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2.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omments13.xml" ContentType="application/vnd.openxmlformats-officedocument.spreadsheetml.comments+xml"/>
  <Override PartName="/xl/drawings/drawing22.xml" ContentType="application/vnd.openxmlformats-officedocument.drawing+xml"/>
  <Override PartName="/xl/comments14.xml" ContentType="application/vnd.openxmlformats-officedocument.spreadsheetml.comments+xml"/>
  <Override PartName="/xl/drawings/drawing23.xml" ContentType="application/vnd.openxmlformats-officedocument.drawing+xml"/>
  <Override PartName="/xl/comments15.xml" ContentType="application/vnd.openxmlformats-officedocument.spreadsheetml.comments+xml"/>
  <Override PartName="/xl/drawings/drawing24.xml" ContentType="application/vnd.openxmlformats-officedocument.drawing+xml"/>
  <Override PartName="/xl/comments16.xml" ContentType="application/vnd.openxmlformats-officedocument.spreadsheetml.comments+xml"/>
  <Override PartName="/xl/drawings/drawing25.xml" ContentType="application/vnd.openxmlformats-officedocument.drawing+xml"/>
  <Override PartName="/xl/comments17.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comments18.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19.xml" ContentType="application/vnd.openxmlformats-officedocument.spreadsheetml.comments+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comments21.xml" ContentType="application/vnd.openxmlformats-officedocument.spreadsheetml.comments+xml"/>
  <Override PartName="/xl/drawings/drawing34.xml" ContentType="application/vnd.openxmlformats-officedocument.drawing+xml"/>
  <Override PartName="/xl/comments22.xml" ContentType="application/vnd.openxmlformats-officedocument.spreadsheetml.comments+xml"/>
  <Override PartName="/xl/drawings/drawing35.xml" ContentType="application/vnd.openxmlformats-officedocument.drawing+xml"/>
  <Override PartName="/xl/comments23.xml" ContentType="application/vnd.openxmlformats-officedocument.spreadsheetml.comments+xml"/>
  <Override PartName="/xl/drawings/drawing36.xml" ContentType="application/vnd.openxmlformats-officedocument.drawing+xml"/>
  <Override PartName="/xl/drawings/drawing37.xml" ContentType="application/vnd.openxmlformats-officedocument.drawing+xml"/>
  <Override PartName="/xl/comments24.xml" ContentType="application/vnd.openxmlformats-officedocument.spreadsheetml.comments+xml"/>
  <Override PartName="/xl/drawings/drawing38.xml" ContentType="application/vnd.openxmlformats-officedocument.drawing+xml"/>
  <Override PartName="/xl/comments25.xml" ContentType="application/vnd.openxmlformats-officedocument.spreadsheetml.comments+xml"/>
  <Override PartName="/xl/drawings/drawing39.xml" ContentType="application/vnd.openxmlformats-officedocument.drawing+xml"/>
  <Override PartName="/xl/comments26.xml" ContentType="application/vnd.openxmlformats-officedocument.spreadsheetml.comments+xml"/>
  <Override PartName="/xl/drawings/drawing40.xml" ContentType="application/vnd.openxmlformats-officedocument.drawing+xml"/>
  <Override PartName="/xl/comments27.xml" ContentType="application/vnd.openxmlformats-officedocument.spreadsheetml.comments+xml"/>
  <Override PartName="/xl/drawings/drawing41.xml" ContentType="application/vnd.openxmlformats-officedocument.drawing+xml"/>
  <Override PartName="/xl/comments28.xml" ContentType="application/vnd.openxmlformats-officedocument.spreadsheetml.comments+xml"/>
  <Override PartName="/xl/drawings/drawing42.xml" ContentType="application/vnd.openxmlformats-officedocument.drawing+xml"/>
  <Override PartName="/xl/comments29.xml" ContentType="application/vnd.openxmlformats-officedocument.spreadsheetml.comments+xml"/>
  <Override PartName="/xl/drawings/drawing43.xml" ContentType="application/vnd.openxmlformats-officedocument.drawing+xml"/>
  <Override PartName="/xl/comments30.xml" ContentType="application/vnd.openxmlformats-officedocument.spreadsheetml.comments+xml"/>
  <Override PartName="/xl/drawings/drawing44.xml" ContentType="application/vnd.openxmlformats-officedocument.drawing+xml"/>
  <Override PartName="/xl/drawings/drawing45.xml" ContentType="application/vnd.openxmlformats-officedocument.drawing+xml"/>
  <Override PartName="/xl/comments31.xml" ContentType="application/vnd.openxmlformats-officedocument.spreadsheetml.comments+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backupFile="1" codeName="EstaPasta_de_trabalho"/>
  <mc:AlternateContent xmlns:mc="http://schemas.openxmlformats.org/markup-compatibility/2006">
    <mc:Choice Requires="x15">
      <x15ac:absPath xmlns:x15ac="http://schemas.microsoft.com/office/spreadsheetml/2010/11/ac" url="https://tegma.sharepoint.com/sites/Cloud/Matriz/Financeiro/Investidores/RI/IR FORCE/Série Histórica/Divulgados/"/>
    </mc:Choice>
  </mc:AlternateContent>
  <xr:revisionPtr revIDLastSave="1" documentId="13_ncr:1_{55007D63-B97C-4A0F-8845-40099CAA5815}" xr6:coauthVersionLast="47" xr6:coauthVersionMax="47" xr10:uidLastSave="{BEFF2784-D901-4B49-9C2F-6BF139EC229C}"/>
  <bookViews>
    <workbookView xWindow="-120" yWindow="-120" windowWidth="29040" windowHeight="15720" tabRatio="830" xr2:uid="{00000000-000D-0000-FFFF-FFFF00000000}"/>
  </bookViews>
  <sheets>
    <sheet name="Menu" sheetId="8" r:id="rId1"/>
    <sheet name="Análise Rápida" sheetId="83" r:id="rId2"/>
    <sheet name="Dados Operacionais Auto" sheetId="84" r:id="rId3"/>
    <sheet name="BP" sheetId="3" r:id="rId4"/>
    <sheet name="DRE" sheetId="2" r:id="rId5"/>
    <sheet name="Auto" sheetId="1" r:id="rId6"/>
    <sheet name="LI" sheetId="10" r:id="rId7"/>
    <sheet name="Consolidado" sheetId="12" r:id="rId8"/>
    <sheet name="DFC" sheetId="63" r:id="rId9"/>
    <sheet name="DVA" sheetId="67" r:id="rId10"/>
    <sheet name="DMPL" sheetId="79" r:id="rId11"/>
    <sheet name="Indicadores" sheetId="9" r:id="rId12"/>
    <sheet name="Dividendos" sheetId="76" r:id="rId13"/>
    <sheet name="Estimativas" sheetId="73" r:id="rId14"/>
    <sheet name="Dados Mercado" sheetId="77" r:id="rId15"/>
    <sheet name="Anexos" sheetId="13" r:id="rId16"/>
    <sheet name="Análise de Sensibilidade" sheetId="24" r:id="rId17"/>
    <sheet name="Risco de Liquidez" sheetId="23" r:id="rId18"/>
    <sheet name="Gestão de Capital" sheetId="26" r:id="rId19"/>
    <sheet name="Caixa e Equivalente de Caixa" sheetId="29" r:id="rId20"/>
    <sheet name="Contas a Receber" sheetId="30" r:id="rId21"/>
    <sheet name="Contas a Receber Aging" sheetId="31" r:id="rId22"/>
    <sheet name="Contas a Receber Mov PDD" sheetId="32" r:id="rId23"/>
    <sheet name="Demais Contas a Receber" sheetId="61" r:id="rId24"/>
    <sheet name="Impostos a Recuperar" sheetId="33" r:id="rId25"/>
    <sheet name="Investimentos A" sheetId="34" r:id="rId26"/>
    <sheet name="Investimentos C" sheetId="36" r:id="rId27"/>
    <sheet name="Investimentos E" sheetId="38" r:id="rId28"/>
    <sheet name="Investimentos F" sheetId="39" r:id="rId29"/>
    <sheet name="Imobilizado " sheetId="42" r:id="rId30"/>
    <sheet name="Empréstimos e Financiamentos" sheetId="44" r:id="rId31"/>
    <sheet name="Intangível" sheetId="85" r:id="rId32"/>
    <sheet name="Salários e Encargos Sociais" sheetId="45" r:id="rId33"/>
    <sheet name="Riscos Judiciais" sheetId="46" r:id="rId34"/>
    <sheet name="Despesas de IR e CSLL" sheetId="72" r:id="rId35"/>
    <sheet name="IR e CS Diferidos" sheetId="48" r:id="rId36"/>
    <sheet name="Demais Contas a Pagar" sheetId="49" r:id="rId37"/>
    <sheet name="Outras receitas e despesas" sheetId="52" r:id="rId38"/>
    <sheet name="Receita" sheetId="53" r:id="rId39"/>
    <sheet name="Despesas por Natureza" sheetId="71" r:id="rId40"/>
    <sheet name="Despesas por Natureza 1" sheetId="65" r:id="rId41"/>
    <sheet name="Resultado Financeiro" sheetId="55" r:id="rId42"/>
    <sheet name="Remuneração Administração" sheetId="66" r:id="rId43"/>
    <sheet name="Arrendamento Operacional" sheetId="59" r:id="rId44"/>
    <sheet name="Partes Relacionadas" sheetId="68" r:id="rId45"/>
    <sheet name="Direito de Uso" sheetId="80" r:id="rId46"/>
    <sheet name="Arrendamento Mercantil" sheetId="81" r:id="rId47"/>
    <sheet name="Operações Descontinuadas" sheetId="60" r:id="rId48"/>
  </sheets>
  <externalReferences>
    <externalReference r:id="rId49"/>
  </externalReferences>
  <definedNames>
    <definedName name="\a" localSheetId="2">#REF!</definedName>
    <definedName name="\a" localSheetId="31">#REF!</definedName>
    <definedName name="\a">#REF!</definedName>
    <definedName name="\b" localSheetId="2">#REF!</definedName>
    <definedName name="\b">#REF!</definedName>
    <definedName name="\c" localSheetId="2">#REF!</definedName>
    <definedName name="\c">#REF!</definedName>
    <definedName name="\d" localSheetId="2">#REF!</definedName>
    <definedName name="\d">#REF!</definedName>
    <definedName name="\e" localSheetId="2">#REF!</definedName>
    <definedName name="\e">#REF!</definedName>
    <definedName name="\f" localSheetId="2">#REF!</definedName>
    <definedName name="\f">#REF!</definedName>
    <definedName name="\g" localSheetId="2">#REF!</definedName>
    <definedName name="\g">#REF!</definedName>
    <definedName name="\m" localSheetId="2">#REF!</definedName>
    <definedName name="\m">#REF!</definedName>
    <definedName name="\p" localSheetId="2">#REF!</definedName>
    <definedName name="\p">#REF!</definedName>
    <definedName name="\t" localSheetId="2">#REF!</definedName>
    <definedName name="\t">#REF!</definedName>
    <definedName name="\z" localSheetId="2">#REF!</definedName>
    <definedName name="\z">#REF!</definedName>
    <definedName name="_______________________________________________________fl1111" localSheetId="15" hidden="1">{"Fecha_Novembro",#N/A,FALSE,"FECHAMENTO-2002 ";"Defer_Novembro",#N/A,FALSE,"DIFERIDO";"Pis_Novembro",#N/A,FALSE,"PIS COFINS";"Iss_Novembro",#N/A,FALSE,"ISS"}</definedName>
    <definedName name="_______________________________________________________fl1111" localSheetId="14" hidden="1">{"Fecha_Novembro",#N/A,FALSE,"FECHAMENTO-2002 ";"Defer_Novembro",#N/A,FALSE,"DIFERIDO";"Pis_Novembro",#N/A,FALSE,"PIS COFINS";"Iss_Novembro",#N/A,FALSE,"ISS"}</definedName>
    <definedName name="_______________________________________________________fl1111" localSheetId="2" hidden="1">{"Fecha_Novembro",#N/A,FALSE,"FECHAMENTO-2002 ";"Defer_Novembro",#N/A,FALSE,"DIFERIDO";"Pis_Novembro",#N/A,FALSE,"PIS COFINS";"Iss_Novembro",#N/A,FALSE,"ISS"}</definedName>
    <definedName name="_______________________________________________________fl1111" localSheetId="34" hidden="1">{"Fecha_Novembro",#N/A,FALSE,"FECHAMENTO-2002 ";"Defer_Novembro",#N/A,FALSE,"DIFERIDO";"Pis_Novembro",#N/A,FALSE,"PIS COFINS";"Iss_Novembro",#N/A,FALSE,"ISS"}</definedName>
    <definedName name="_______________________________________________________fl1111" localSheetId="39" hidden="1">{"Fecha_Novembro",#N/A,FALSE,"FECHAMENTO-2002 ";"Defer_Novembro",#N/A,FALSE,"DIFERIDO";"Pis_Novembro",#N/A,FALSE,"PIS COFINS";"Iss_Novembro",#N/A,FALSE,"ISS"}</definedName>
    <definedName name="_______________________________________________________fl1111" localSheetId="8" hidden="1">{"Fecha_Novembro",#N/A,FALSE,"FECHAMENTO-2002 ";"Defer_Novembro",#N/A,FALSE,"DIFERIDO";"Pis_Novembro",#N/A,FALSE,"PIS COFINS";"Iss_Novembro",#N/A,FALSE,"ISS"}</definedName>
    <definedName name="_______________________________________________________fl1111" localSheetId="12" hidden="1">{"Fecha_Novembro",#N/A,FALSE,"FECHAMENTO-2002 ";"Defer_Novembro",#N/A,FALSE,"DIFERIDO";"Pis_Novembro",#N/A,FALSE,"PIS COFINS";"Iss_Novembro",#N/A,FALSE,"ISS"}</definedName>
    <definedName name="_______________________________________________________fl1111" localSheetId="13" hidden="1">{"Fecha_Novembro",#N/A,FALSE,"FECHAMENTO-2002 ";"Defer_Novembro",#N/A,FALSE,"DIFERIDO";"Pis_Novembro",#N/A,FALSE,"PIS COFINS";"Iss_Novembro",#N/A,FALSE,"ISS"}</definedName>
    <definedName name="_______________________________________________________fl1111" localSheetId="11" hidden="1">{"Fecha_Novembro",#N/A,FALSE,"FECHAMENTO-2002 ";"Defer_Novembro",#N/A,FALSE,"DIFERIDO";"Pis_Novembro",#N/A,FALSE,"PIS COFINS";"Iss_Novembro",#N/A,FALSE,"ISS"}</definedName>
    <definedName name="_______________________________________________________fl1111" localSheetId="31" hidden="1">{"Fecha_Novembro",#N/A,FALSE,"FECHAMENTO-2002 ";"Defer_Novembro",#N/A,FALSE,"DIFERIDO";"Pis_Novembro",#N/A,FALSE,"PIS COFINS";"Iss_Novembro",#N/A,FALSE,"ISS"}</definedName>
    <definedName name="_______________________________________________________fl1111" hidden="1">{"Fecha_Novembro",#N/A,FALSE,"FECHAMENTO-2002 ";"Defer_Novembro",#N/A,FALSE,"DIFERIDO";"Pis_Novembro",#N/A,FALSE,"PIS COFINS";"Iss_Novembro",#N/A,FALSE,"ISS"}</definedName>
    <definedName name="___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fl1111" localSheetId="15" hidden="1">{"Fecha_Novembro",#N/A,FALSE,"FECHAMENTO-2002 ";"Defer_Novembro",#N/A,FALSE,"DIFERIDO";"Pis_Novembro",#N/A,FALSE,"PIS COFINS";"Iss_Novembro",#N/A,FALSE,"ISS"}</definedName>
    <definedName name="_____________________________________________________fl1111" localSheetId="14" hidden="1">{"Fecha_Novembro",#N/A,FALSE,"FECHAMENTO-2002 ";"Defer_Novembro",#N/A,FALSE,"DIFERIDO";"Pis_Novembro",#N/A,FALSE,"PIS COFINS";"Iss_Novembro",#N/A,FALSE,"ISS"}</definedName>
    <definedName name="_____________________________________________________fl1111" localSheetId="2" hidden="1">{"Fecha_Novembro",#N/A,FALSE,"FECHAMENTO-2002 ";"Defer_Novembro",#N/A,FALSE,"DIFERIDO";"Pis_Novembro",#N/A,FALSE,"PIS COFINS";"Iss_Novembro",#N/A,FALSE,"ISS"}</definedName>
    <definedName name="_____________________________________________________fl1111" localSheetId="34" hidden="1">{"Fecha_Novembro",#N/A,FALSE,"FECHAMENTO-2002 ";"Defer_Novembro",#N/A,FALSE,"DIFERIDO";"Pis_Novembro",#N/A,FALSE,"PIS COFINS";"Iss_Novembro",#N/A,FALSE,"ISS"}</definedName>
    <definedName name="_____________________________________________________fl1111" localSheetId="39" hidden="1">{"Fecha_Novembro",#N/A,FALSE,"FECHAMENTO-2002 ";"Defer_Novembro",#N/A,FALSE,"DIFERIDO";"Pis_Novembro",#N/A,FALSE,"PIS COFINS";"Iss_Novembro",#N/A,FALSE,"ISS"}</definedName>
    <definedName name="_____________________________________________________fl1111" localSheetId="8" hidden="1">{"Fecha_Novembro",#N/A,FALSE,"FECHAMENTO-2002 ";"Defer_Novembro",#N/A,FALSE,"DIFERIDO";"Pis_Novembro",#N/A,FALSE,"PIS COFINS";"Iss_Novembro",#N/A,FALSE,"ISS"}</definedName>
    <definedName name="_____________________________________________________fl1111" localSheetId="12" hidden="1">{"Fecha_Novembro",#N/A,FALSE,"FECHAMENTO-2002 ";"Defer_Novembro",#N/A,FALSE,"DIFERIDO";"Pis_Novembro",#N/A,FALSE,"PIS COFINS";"Iss_Novembro",#N/A,FALSE,"ISS"}</definedName>
    <definedName name="_____________________________________________________fl1111" localSheetId="13" hidden="1">{"Fecha_Novembro",#N/A,FALSE,"FECHAMENTO-2002 ";"Defer_Novembro",#N/A,FALSE,"DIFERIDO";"Pis_Novembro",#N/A,FALSE,"PIS COFINS";"Iss_Novembro",#N/A,FALSE,"ISS"}</definedName>
    <definedName name="_____________________________________________________fl1111" localSheetId="11" hidden="1">{"Fecha_Novembro",#N/A,FALSE,"FECHAMENTO-2002 ";"Defer_Novembro",#N/A,FALSE,"DIFERIDO";"Pis_Novembro",#N/A,FALSE,"PIS COFINS";"Iss_Novembro",#N/A,FALSE,"ISS"}</definedName>
    <definedName name="_____________________________________________________fl1111" localSheetId="31" hidden="1">{"Fecha_Novembro",#N/A,FALSE,"FECHAMENTO-2002 ";"Defer_Novembro",#N/A,FALSE,"DIFERIDO";"Pis_Novembro",#N/A,FALSE,"PIS COFINS";"Iss_Novembro",#N/A,FALSE,"ISS"}</definedName>
    <definedName name="_____________________________________________________fl1111" hidden="1">{"Fecha_Novembro",#N/A,FALSE,"FECHAMENTO-2002 ";"Defer_Novembro",#N/A,FALSE,"DIFERIDO";"Pis_Novembro",#N/A,FALSE,"PIS COFINS";"Iss_Novembro",#N/A,FALSE,"ISS"}</definedName>
    <definedName name="_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fl1111" localSheetId="15" hidden="1">{"Fecha_Novembro",#N/A,FALSE,"FECHAMENTO-2002 ";"Defer_Novembro",#N/A,FALSE,"DIFERIDO";"Pis_Novembro",#N/A,FALSE,"PIS COFINS";"Iss_Novembro",#N/A,FALSE,"ISS"}</definedName>
    <definedName name="____________________________________________________fl1111" localSheetId="14" hidden="1">{"Fecha_Novembro",#N/A,FALSE,"FECHAMENTO-2002 ";"Defer_Novembro",#N/A,FALSE,"DIFERIDO";"Pis_Novembro",#N/A,FALSE,"PIS COFINS";"Iss_Novembro",#N/A,FALSE,"ISS"}</definedName>
    <definedName name="____________________________________________________fl1111" localSheetId="2" hidden="1">{"Fecha_Novembro",#N/A,FALSE,"FECHAMENTO-2002 ";"Defer_Novembro",#N/A,FALSE,"DIFERIDO";"Pis_Novembro",#N/A,FALSE,"PIS COFINS";"Iss_Novembro",#N/A,FALSE,"ISS"}</definedName>
    <definedName name="____________________________________________________fl1111" localSheetId="34" hidden="1">{"Fecha_Novembro",#N/A,FALSE,"FECHAMENTO-2002 ";"Defer_Novembro",#N/A,FALSE,"DIFERIDO";"Pis_Novembro",#N/A,FALSE,"PIS COFINS";"Iss_Novembro",#N/A,FALSE,"ISS"}</definedName>
    <definedName name="____________________________________________________fl1111" localSheetId="39" hidden="1">{"Fecha_Novembro",#N/A,FALSE,"FECHAMENTO-2002 ";"Defer_Novembro",#N/A,FALSE,"DIFERIDO";"Pis_Novembro",#N/A,FALSE,"PIS COFINS";"Iss_Novembro",#N/A,FALSE,"ISS"}</definedName>
    <definedName name="____________________________________________________fl1111" localSheetId="8" hidden="1">{"Fecha_Novembro",#N/A,FALSE,"FECHAMENTO-2002 ";"Defer_Novembro",#N/A,FALSE,"DIFERIDO";"Pis_Novembro",#N/A,FALSE,"PIS COFINS";"Iss_Novembro",#N/A,FALSE,"ISS"}</definedName>
    <definedName name="____________________________________________________fl1111" localSheetId="12" hidden="1">{"Fecha_Novembro",#N/A,FALSE,"FECHAMENTO-2002 ";"Defer_Novembro",#N/A,FALSE,"DIFERIDO";"Pis_Novembro",#N/A,FALSE,"PIS COFINS";"Iss_Novembro",#N/A,FALSE,"ISS"}</definedName>
    <definedName name="____________________________________________________fl1111" localSheetId="13" hidden="1">{"Fecha_Novembro",#N/A,FALSE,"FECHAMENTO-2002 ";"Defer_Novembro",#N/A,FALSE,"DIFERIDO";"Pis_Novembro",#N/A,FALSE,"PIS COFINS";"Iss_Novembro",#N/A,FALSE,"ISS"}</definedName>
    <definedName name="____________________________________________________fl1111" localSheetId="11" hidden="1">{"Fecha_Novembro",#N/A,FALSE,"FECHAMENTO-2002 ";"Defer_Novembro",#N/A,FALSE,"DIFERIDO";"Pis_Novembro",#N/A,FALSE,"PIS COFINS";"Iss_Novembro",#N/A,FALSE,"ISS"}</definedName>
    <definedName name="____________________________________________________fl1111" localSheetId="31" hidden="1">{"Fecha_Novembro",#N/A,FALSE,"FECHAMENTO-2002 ";"Defer_Novembro",#N/A,FALSE,"DIFERIDO";"Pis_Novembro",#N/A,FALSE,"PIS COFINS";"Iss_Novembro",#N/A,FALSE,"ISS"}</definedName>
    <definedName name="____________________________________________________fl1111" hidden="1">{"Fecha_Novembro",#N/A,FALSE,"FECHAMENTO-2002 ";"Defer_Novembro",#N/A,FALSE,"DIFERIDO";"Pis_Novembro",#N/A,FALSE,"PIS COFINS";"Iss_Novembro",#N/A,FALSE,"ISS"}</definedName>
    <definedName name="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fl1111" localSheetId="15" hidden="1">{"Fecha_Novembro",#N/A,FALSE,"FECHAMENTO-2002 ";"Defer_Novembro",#N/A,FALSE,"DIFERIDO";"Pis_Novembro",#N/A,FALSE,"PIS COFINS";"Iss_Novembro",#N/A,FALSE,"ISS"}</definedName>
    <definedName name="___________________________________________________fl1111" localSheetId="14" hidden="1">{"Fecha_Novembro",#N/A,FALSE,"FECHAMENTO-2002 ";"Defer_Novembro",#N/A,FALSE,"DIFERIDO";"Pis_Novembro",#N/A,FALSE,"PIS COFINS";"Iss_Novembro",#N/A,FALSE,"ISS"}</definedName>
    <definedName name="___________________________________________________fl1111" localSheetId="2" hidden="1">{"Fecha_Novembro",#N/A,FALSE,"FECHAMENTO-2002 ";"Defer_Novembro",#N/A,FALSE,"DIFERIDO";"Pis_Novembro",#N/A,FALSE,"PIS COFINS";"Iss_Novembro",#N/A,FALSE,"ISS"}</definedName>
    <definedName name="___________________________________________________fl1111" localSheetId="34" hidden="1">{"Fecha_Novembro",#N/A,FALSE,"FECHAMENTO-2002 ";"Defer_Novembro",#N/A,FALSE,"DIFERIDO";"Pis_Novembro",#N/A,FALSE,"PIS COFINS";"Iss_Novembro",#N/A,FALSE,"ISS"}</definedName>
    <definedName name="___________________________________________________fl1111" localSheetId="39" hidden="1">{"Fecha_Novembro",#N/A,FALSE,"FECHAMENTO-2002 ";"Defer_Novembro",#N/A,FALSE,"DIFERIDO";"Pis_Novembro",#N/A,FALSE,"PIS COFINS";"Iss_Novembro",#N/A,FALSE,"ISS"}</definedName>
    <definedName name="___________________________________________________fl1111" localSheetId="8" hidden="1">{"Fecha_Novembro",#N/A,FALSE,"FECHAMENTO-2002 ";"Defer_Novembro",#N/A,FALSE,"DIFERIDO";"Pis_Novembro",#N/A,FALSE,"PIS COFINS";"Iss_Novembro",#N/A,FALSE,"ISS"}</definedName>
    <definedName name="___________________________________________________fl1111" localSheetId="12" hidden="1">{"Fecha_Novembro",#N/A,FALSE,"FECHAMENTO-2002 ";"Defer_Novembro",#N/A,FALSE,"DIFERIDO";"Pis_Novembro",#N/A,FALSE,"PIS COFINS";"Iss_Novembro",#N/A,FALSE,"ISS"}</definedName>
    <definedName name="___________________________________________________fl1111" localSheetId="13" hidden="1">{"Fecha_Novembro",#N/A,FALSE,"FECHAMENTO-2002 ";"Defer_Novembro",#N/A,FALSE,"DIFERIDO";"Pis_Novembro",#N/A,FALSE,"PIS COFINS";"Iss_Novembro",#N/A,FALSE,"ISS"}</definedName>
    <definedName name="___________________________________________________fl1111" localSheetId="11" hidden="1">{"Fecha_Novembro",#N/A,FALSE,"FECHAMENTO-2002 ";"Defer_Novembro",#N/A,FALSE,"DIFERIDO";"Pis_Novembro",#N/A,FALSE,"PIS COFINS";"Iss_Novembro",#N/A,FALSE,"ISS"}</definedName>
    <definedName name="___________________________________________________fl1111" localSheetId="31" hidden="1">{"Fecha_Novembro",#N/A,FALSE,"FECHAMENTO-2002 ";"Defer_Novembro",#N/A,FALSE,"DIFERIDO";"Pis_Novembro",#N/A,FALSE,"PIS COFINS";"Iss_Novembro",#N/A,FALSE,"ISS"}</definedName>
    <definedName name="___________________________________________________fl1111" hidden="1">{"Fecha_Novembro",#N/A,FALSE,"FECHAMENTO-2002 ";"Defer_Novembro",#N/A,FALSE,"DIFERIDO";"Pis_Novembro",#N/A,FALSE,"PIS COFINS";"Iss_Novembro",#N/A,FALSE,"ISS"}</definedName>
    <definedName name="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fl1111" localSheetId="15" hidden="1">{"Fecha_Novembro",#N/A,FALSE,"FECHAMENTO-2002 ";"Defer_Novembro",#N/A,FALSE,"DIFERIDO";"Pis_Novembro",#N/A,FALSE,"PIS COFINS";"Iss_Novembro",#N/A,FALSE,"ISS"}</definedName>
    <definedName name="__________________________________________________fl1111" localSheetId="14" hidden="1">{"Fecha_Novembro",#N/A,FALSE,"FECHAMENTO-2002 ";"Defer_Novembro",#N/A,FALSE,"DIFERIDO";"Pis_Novembro",#N/A,FALSE,"PIS COFINS";"Iss_Novembro",#N/A,FALSE,"ISS"}</definedName>
    <definedName name="__________________________________________________fl1111" localSheetId="2" hidden="1">{"Fecha_Novembro",#N/A,FALSE,"FECHAMENTO-2002 ";"Defer_Novembro",#N/A,FALSE,"DIFERIDO";"Pis_Novembro",#N/A,FALSE,"PIS COFINS";"Iss_Novembro",#N/A,FALSE,"ISS"}</definedName>
    <definedName name="__________________________________________________fl1111" localSheetId="34" hidden="1">{"Fecha_Novembro",#N/A,FALSE,"FECHAMENTO-2002 ";"Defer_Novembro",#N/A,FALSE,"DIFERIDO";"Pis_Novembro",#N/A,FALSE,"PIS COFINS";"Iss_Novembro",#N/A,FALSE,"ISS"}</definedName>
    <definedName name="__________________________________________________fl1111" localSheetId="39" hidden="1">{"Fecha_Novembro",#N/A,FALSE,"FECHAMENTO-2002 ";"Defer_Novembro",#N/A,FALSE,"DIFERIDO";"Pis_Novembro",#N/A,FALSE,"PIS COFINS";"Iss_Novembro",#N/A,FALSE,"ISS"}</definedName>
    <definedName name="__________________________________________________fl1111" localSheetId="8" hidden="1">{"Fecha_Novembro",#N/A,FALSE,"FECHAMENTO-2002 ";"Defer_Novembro",#N/A,FALSE,"DIFERIDO";"Pis_Novembro",#N/A,FALSE,"PIS COFINS";"Iss_Novembro",#N/A,FALSE,"ISS"}</definedName>
    <definedName name="__________________________________________________fl1111" localSheetId="12" hidden="1">{"Fecha_Novembro",#N/A,FALSE,"FECHAMENTO-2002 ";"Defer_Novembro",#N/A,FALSE,"DIFERIDO";"Pis_Novembro",#N/A,FALSE,"PIS COFINS";"Iss_Novembro",#N/A,FALSE,"ISS"}</definedName>
    <definedName name="__________________________________________________fl1111" localSheetId="13" hidden="1">{"Fecha_Novembro",#N/A,FALSE,"FECHAMENTO-2002 ";"Defer_Novembro",#N/A,FALSE,"DIFERIDO";"Pis_Novembro",#N/A,FALSE,"PIS COFINS";"Iss_Novembro",#N/A,FALSE,"ISS"}</definedName>
    <definedName name="__________________________________________________fl1111" localSheetId="11" hidden="1">{"Fecha_Novembro",#N/A,FALSE,"FECHAMENTO-2002 ";"Defer_Novembro",#N/A,FALSE,"DIFERIDO";"Pis_Novembro",#N/A,FALSE,"PIS COFINS";"Iss_Novembro",#N/A,FALSE,"ISS"}</definedName>
    <definedName name="__________________________________________________fl1111" localSheetId="31" hidden="1">{"Fecha_Novembro",#N/A,FALSE,"FECHAMENTO-2002 ";"Defer_Novembro",#N/A,FALSE,"DIFERIDO";"Pis_Novembro",#N/A,FALSE,"PIS COFINS";"Iss_Novembro",#N/A,FALSE,"ISS"}</definedName>
    <definedName name="__________________________________________________fl1111" hidden="1">{"Fecha_Novembro",#N/A,FALSE,"FECHAMENTO-2002 ";"Defer_Novembro",#N/A,FALSE,"DIFERIDO";"Pis_Novembro",#N/A,FALSE,"PIS COFINS";"Iss_Novembro",#N/A,FALSE,"ISS"}</definedName>
    <definedName name="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fl1111" localSheetId="15" hidden="1">{"Fecha_Novembro",#N/A,FALSE,"FECHAMENTO-2002 ";"Defer_Novembro",#N/A,FALSE,"DIFERIDO";"Pis_Novembro",#N/A,FALSE,"PIS COFINS";"Iss_Novembro",#N/A,FALSE,"ISS"}</definedName>
    <definedName name="_________________________________________________fl1111" localSheetId="14" hidden="1">{"Fecha_Novembro",#N/A,FALSE,"FECHAMENTO-2002 ";"Defer_Novembro",#N/A,FALSE,"DIFERIDO";"Pis_Novembro",#N/A,FALSE,"PIS COFINS";"Iss_Novembro",#N/A,FALSE,"ISS"}</definedName>
    <definedName name="_________________________________________________fl1111" localSheetId="2" hidden="1">{"Fecha_Novembro",#N/A,FALSE,"FECHAMENTO-2002 ";"Defer_Novembro",#N/A,FALSE,"DIFERIDO";"Pis_Novembro",#N/A,FALSE,"PIS COFINS";"Iss_Novembro",#N/A,FALSE,"ISS"}</definedName>
    <definedName name="_________________________________________________fl1111" localSheetId="34" hidden="1">{"Fecha_Novembro",#N/A,FALSE,"FECHAMENTO-2002 ";"Defer_Novembro",#N/A,FALSE,"DIFERIDO";"Pis_Novembro",#N/A,FALSE,"PIS COFINS";"Iss_Novembro",#N/A,FALSE,"ISS"}</definedName>
    <definedName name="_________________________________________________fl1111" localSheetId="39" hidden="1">{"Fecha_Novembro",#N/A,FALSE,"FECHAMENTO-2002 ";"Defer_Novembro",#N/A,FALSE,"DIFERIDO";"Pis_Novembro",#N/A,FALSE,"PIS COFINS";"Iss_Novembro",#N/A,FALSE,"ISS"}</definedName>
    <definedName name="_________________________________________________fl1111" localSheetId="8" hidden="1">{"Fecha_Novembro",#N/A,FALSE,"FECHAMENTO-2002 ";"Defer_Novembro",#N/A,FALSE,"DIFERIDO";"Pis_Novembro",#N/A,FALSE,"PIS COFINS";"Iss_Novembro",#N/A,FALSE,"ISS"}</definedName>
    <definedName name="_________________________________________________fl1111" localSheetId="12" hidden="1">{"Fecha_Novembro",#N/A,FALSE,"FECHAMENTO-2002 ";"Defer_Novembro",#N/A,FALSE,"DIFERIDO";"Pis_Novembro",#N/A,FALSE,"PIS COFINS";"Iss_Novembro",#N/A,FALSE,"ISS"}</definedName>
    <definedName name="_________________________________________________fl1111" localSheetId="13" hidden="1">{"Fecha_Novembro",#N/A,FALSE,"FECHAMENTO-2002 ";"Defer_Novembro",#N/A,FALSE,"DIFERIDO";"Pis_Novembro",#N/A,FALSE,"PIS COFINS";"Iss_Novembro",#N/A,FALSE,"ISS"}</definedName>
    <definedName name="_________________________________________________fl1111" localSheetId="11" hidden="1">{"Fecha_Novembro",#N/A,FALSE,"FECHAMENTO-2002 ";"Defer_Novembro",#N/A,FALSE,"DIFERIDO";"Pis_Novembro",#N/A,FALSE,"PIS COFINS";"Iss_Novembro",#N/A,FALSE,"ISS"}</definedName>
    <definedName name="_________________________________________________fl1111" localSheetId="31" hidden="1">{"Fecha_Novembro",#N/A,FALSE,"FECHAMENTO-2002 ";"Defer_Novembro",#N/A,FALSE,"DIFERIDO";"Pis_Novembro",#N/A,FALSE,"PIS COFINS";"Iss_Novembro",#N/A,FALSE,"ISS"}</definedName>
    <definedName name="_________________________________________________fl1111" hidden="1">{"Fecha_Novembro",#N/A,FALSE,"FECHAMENTO-2002 ";"Defer_Novembro",#N/A,FALSE,"DIFERIDO";"Pis_Novembro",#N/A,FALSE,"PIS COFINS";"Iss_Novembro",#N/A,FALSE,"ISS"}</definedName>
    <definedName name="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fl1111" localSheetId="15" hidden="1">{"Fecha_Novembro",#N/A,FALSE,"FECHAMENTO-2002 ";"Defer_Novembro",#N/A,FALSE,"DIFERIDO";"Pis_Novembro",#N/A,FALSE,"PIS COFINS";"Iss_Novembro",#N/A,FALSE,"ISS"}</definedName>
    <definedName name="________________________________________________fl1111" localSheetId="14" hidden="1">{"Fecha_Novembro",#N/A,FALSE,"FECHAMENTO-2002 ";"Defer_Novembro",#N/A,FALSE,"DIFERIDO";"Pis_Novembro",#N/A,FALSE,"PIS COFINS";"Iss_Novembro",#N/A,FALSE,"ISS"}</definedName>
    <definedName name="________________________________________________fl1111" localSheetId="2" hidden="1">{"Fecha_Novembro",#N/A,FALSE,"FECHAMENTO-2002 ";"Defer_Novembro",#N/A,FALSE,"DIFERIDO";"Pis_Novembro",#N/A,FALSE,"PIS COFINS";"Iss_Novembro",#N/A,FALSE,"ISS"}</definedName>
    <definedName name="________________________________________________fl1111" localSheetId="34" hidden="1">{"Fecha_Novembro",#N/A,FALSE,"FECHAMENTO-2002 ";"Defer_Novembro",#N/A,FALSE,"DIFERIDO";"Pis_Novembro",#N/A,FALSE,"PIS COFINS";"Iss_Novembro",#N/A,FALSE,"ISS"}</definedName>
    <definedName name="________________________________________________fl1111" localSheetId="39" hidden="1">{"Fecha_Novembro",#N/A,FALSE,"FECHAMENTO-2002 ";"Defer_Novembro",#N/A,FALSE,"DIFERIDO";"Pis_Novembro",#N/A,FALSE,"PIS COFINS";"Iss_Novembro",#N/A,FALSE,"ISS"}</definedName>
    <definedName name="________________________________________________fl1111" localSheetId="8" hidden="1">{"Fecha_Novembro",#N/A,FALSE,"FECHAMENTO-2002 ";"Defer_Novembro",#N/A,FALSE,"DIFERIDO";"Pis_Novembro",#N/A,FALSE,"PIS COFINS";"Iss_Novembro",#N/A,FALSE,"ISS"}</definedName>
    <definedName name="________________________________________________fl1111" localSheetId="12" hidden="1">{"Fecha_Novembro",#N/A,FALSE,"FECHAMENTO-2002 ";"Defer_Novembro",#N/A,FALSE,"DIFERIDO";"Pis_Novembro",#N/A,FALSE,"PIS COFINS";"Iss_Novembro",#N/A,FALSE,"ISS"}</definedName>
    <definedName name="________________________________________________fl1111" localSheetId="13" hidden="1">{"Fecha_Novembro",#N/A,FALSE,"FECHAMENTO-2002 ";"Defer_Novembro",#N/A,FALSE,"DIFERIDO";"Pis_Novembro",#N/A,FALSE,"PIS COFINS";"Iss_Novembro",#N/A,FALSE,"ISS"}</definedName>
    <definedName name="________________________________________________fl1111" localSheetId="11" hidden="1">{"Fecha_Novembro",#N/A,FALSE,"FECHAMENTO-2002 ";"Defer_Novembro",#N/A,FALSE,"DIFERIDO";"Pis_Novembro",#N/A,FALSE,"PIS COFINS";"Iss_Novembro",#N/A,FALSE,"ISS"}</definedName>
    <definedName name="________________________________________________fl1111" localSheetId="31" hidden="1">{"Fecha_Novembro",#N/A,FALSE,"FECHAMENTO-2002 ";"Defer_Novembro",#N/A,FALSE,"DIFERIDO";"Pis_Novembro",#N/A,FALSE,"PIS COFINS";"Iss_Novembro",#N/A,FALSE,"ISS"}</definedName>
    <definedName name="________________________________________________fl1111" hidden="1">{"Fecha_Novembro",#N/A,FALSE,"FECHAMENTO-2002 ";"Defer_Novembro",#N/A,FALSE,"DIFERIDO";"Pis_Novembro",#N/A,FALSE,"PIS COFINS";"Iss_Novembro",#N/A,FALSE,"ISS"}</definedName>
    <definedName name="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fl1111" localSheetId="15" hidden="1">{"Fecha_Novembro",#N/A,FALSE,"FECHAMENTO-2002 ";"Defer_Novembro",#N/A,FALSE,"DIFERIDO";"Pis_Novembro",#N/A,FALSE,"PIS COFINS";"Iss_Novembro",#N/A,FALSE,"ISS"}</definedName>
    <definedName name="_______________________________________________fl1111" localSheetId="14" hidden="1">{"Fecha_Novembro",#N/A,FALSE,"FECHAMENTO-2002 ";"Defer_Novembro",#N/A,FALSE,"DIFERIDO";"Pis_Novembro",#N/A,FALSE,"PIS COFINS";"Iss_Novembro",#N/A,FALSE,"ISS"}</definedName>
    <definedName name="_______________________________________________fl1111" localSheetId="2" hidden="1">{"Fecha_Novembro",#N/A,FALSE,"FECHAMENTO-2002 ";"Defer_Novembro",#N/A,FALSE,"DIFERIDO";"Pis_Novembro",#N/A,FALSE,"PIS COFINS";"Iss_Novembro",#N/A,FALSE,"ISS"}</definedName>
    <definedName name="_______________________________________________fl1111" localSheetId="34" hidden="1">{"Fecha_Novembro",#N/A,FALSE,"FECHAMENTO-2002 ";"Defer_Novembro",#N/A,FALSE,"DIFERIDO";"Pis_Novembro",#N/A,FALSE,"PIS COFINS";"Iss_Novembro",#N/A,FALSE,"ISS"}</definedName>
    <definedName name="_______________________________________________fl1111" localSheetId="39" hidden="1">{"Fecha_Novembro",#N/A,FALSE,"FECHAMENTO-2002 ";"Defer_Novembro",#N/A,FALSE,"DIFERIDO";"Pis_Novembro",#N/A,FALSE,"PIS COFINS";"Iss_Novembro",#N/A,FALSE,"ISS"}</definedName>
    <definedName name="_______________________________________________fl1111" localSheetId="8" hidden="1">{"Fecha_Novembro",#N/A,FALSE,"FECHAMENTO-2002 ";"Defer_Novembro",#N/A,FALSE,"DIFERIDO";"Pis_Novembro",#N/A,FALSE,"PIS COFINS";"Iss_Novembro",#N/A,FALSE,"ISS"}</definedName>
    <definedName name="_______________________________________________fl1111" localSheetId="12" hidden="1">{"Fecha_Novembro",#N/A,FALSE,"FECHAMENTO-2002 ";"Defer_Novembro",#N/A,FALSE,"DIFERIDO";"Pis_Novembro",#N/A,FALSE,"PIS COFINS";"Iss_Novembro",#N/A,FALSE,"ISS"}</definedName>
    <definedName name="_______________________________________________fl1111" localSheetId="13" hidden="1">{"Fecha_Novembro",#N/A,FALSE,"FECHAMENTO-2002 ";"Defer_Novembro",#N/A,FALSE,"DIFERIDO";"Pis_Novembro",#N/A,FALSE,"PIS COFINS";"Iss_Novembro",#N/A,FALSE,"ISS"}</definedName>
    <definedName name="_______________________________________________fl1111" localSheetId="11" hidden="1">{"Fecha_Novembro",#N/A,FALSE,"FECHAMENTO-2002 ";"Defer_Novembro",#N/A,FALSE,"DIFERIDO";"Pis_Novembro",#N/A,FALSE,"PIS COFINS";"Iss_Novembro",#N/A,FALSE,"ISS"}</definedName>
    <definedName name="_______________________________________________fl1111" localSheetId="31" hidden="1">{"Fecha_Novembro",#N/A,FALSE,"FECHAMENTO-2002 ";"Defer_Novembro",#N/A,FALSE,"DIFERIDO";"Pis_Novembro",#N/A,FALSE,"PIS COFINS";"Iss_Novembro",#N/A,FALSE,"ISS"}</definedName>
    <definedName name="_______________________________________________fl1111" hidden="1">{"Fecha_Novembro",#N/A,FALSE,"FECHAMENTO-2002 ";"Defer_Novembro",#N/A,FALSE,"DIFERIDO";"Pis_Novembro",#N/A,FALSE,"PIS COFINS";"Iss_Novembro",#N/A,FALSE,"ISS"}</definedName>
    <definedName name="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fl1111" localSheetId="15" hidden="1">{"Fecha_Novembro",#N/A,FALSE,"FECHAMENTO-2002 ";"Defer_Novembro",#N/A,FALSE,"DIFERIDO";"Pis_Novembro",#N/A,FALSE,"PIS COFINS";"Iss_Novembro",#N/A,FALSE,"ISS"}</definedName>
    <definedName name="______________________________________________fl1111" localSheetId="14" hidden="1">{"Fecha_Novembro",#N/A,FALSE,"FECHAMENTO-2002 ";"Defer_Novembro",#N/A,FALSE,"DIFERIDO";"Pis_Novembro",#N/A,FALSE,"PIS COFINS";"Iss_Novembro",#N/A,FALSE,"ISS"}</definedName>
    <definedName name="______________________________________________fl1111" localSheetId="2" hidden="1">{"Fecha_Novembro",#N/A,FALSE,"FECHAMENTO-2002 ";"Defer_Novembro",#N/A,FALSE,"DIFERIDO";"Pis_Novembro",#N/A,FALSE,"PIS COFINS";"Iss_Novembro",#N/A,FALSE,"ISS"}</definedName>
    <definedName name="______________________________________________fl1111" localSheetId="34" hidden="1">{"Fecha_Novembro",#N/A,FALSE,"FECHAMENTO-2002 ";"Defer_Novembro",#N/A,FALSE,"DIFERIDO";"Pis_Novembro",#N/A,FALSE,"PIS COFINS";"Iss_Novembro",#N/A,FALSE,"ISS"}</definedName>
    <definedName name="______________________________________________fl1111" localSheetId="39" hidden="1">{"Fecha_Novembro",#N/A,FALSE,"FECHAMENTO-2002 ";"Defer_Novembro",#N/A,FALSE,"DIFERIDO";"Pis_Novembro",#N/A,FALSE,"PIS COFINS";"Iss_Novembro",#N/A,FALSE,"ISS"}</definedName>
    <definedName name="______________________________________________fl1111" localSheetId="8" hidden="1">{"Fecha_Novembro",#N/A,FALSE,"FECHAMENTO-2002 ";"Defer_Novembro",#N/A,FALSE,"DIFERIDO";"Pis_Novembro",#N/A,FALSE,"PIS COFINS";"Iss_Novembro",#N/A,FALSE,"ISS"}</definedName>
    <definedName name="______________________________________________fl1111" localSheetId="12" hidden="1">{"Fecha_Novembro",#N/A,FALSE,"FECHAMENTO-2002 ";"Defer_Novembro",#N/A,FALSE,"DIFERIDO";"Pis_Novembro",#N/A,FALSE,"PIS COFINS";"Iss_Novembro",#N/A,FALSE,"ISS"}</definedName>
    <definedName name="______________________________________________fl1111" localSheetId="13" hidden="1">{"Fecha_Novembro",#N/A,FALSE,"FECHAMENTO-2002 ";"Defer_Novembro",#N/A,FALSE,"DIFERIDO";"Pis_Novembro",#N/A,FALSE,"PIS COFINS";"Iss_Novembro",#N/A,FALSE,"ISS"}</definedName>
    <definedName name="______________________________________________fl1111" localSheetId="11" hidden="1">{"Fecha_Novembro",#N/A,FALSE,"FECHAMENTO-2002 ";"Defer_Novembro",#N/A,FALSE,"DIFERIDO";"Pis_Novembro",#N/A,FALSE,"PIS COFINS";"Iss_Novembro",#N/A,FALSE,"ISS"}</definedName>
    <definedName name="______________________________________________fl1111" localSheetId="31" hidden="1">{"Fecha_Novembro",#N/A,FALSE,"FECHAMENTO-2002 ";"Defer_Novembro",#N/A,FALSE,"DIFERIDO";"Pis_Novembro",#N/A,FALSE,"PIS COFINS";"Iss_Novembro",#N/A,FALSE,"ISS"}</definedName>
    <definedName name="______________________________________________fl1111" hidden="1">{"Fecha_Novembro",#N/A,FALSE,"FECHAMENTO-2002 ";"Defer_Novembro",#N/A,FALSE,"DIFERIDO";"Pis_Novembro",#N/A,FALSE,"PIS COFINS";"Iss_Novembro",#N/A,FALSE,"ISS"}</definedName>
    <definedName name="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fl1111" localSheetId="15" hidden="1">{"Fecha_Novembro",#N/A,FALSE,"FECHAMENTO-2002 ";"Defer_Novembro",#N/A,FALSE,"DIFERIDO";"Pis_Novembro",#N/A,FALSE,"PIS COFINS";"Iss_Novembro",#N/A,FALSE,"ISS"}</definedName>
    <definedName name="____________________________________________fl1111" localSheetId="14" hidden="1">{"Fecha_Novembro",#N/A,FALSE,"FECHAMENTO-2002 ";"Defer_Novembro",#N/A,FALSE,"DIFERIDO";"Pis_Novembro",#N/A,FALSE,"PIS COFINS";"Iss_Novembro",#N/A,FALSE,"ISS"}</definedName>
    <definedName name="____________________________________________fl1111" localSheetId="2" hidden="1">{"Fecha_Novembro",#N/A,FALSE,"FECHAMENTO-2002 ";"Defer_Novembro",#N/A,FALSE,"DIFERIDO";"Pis_Novembro",#N/A,FALSE,"PIS COFINS";"Iss_Novembro",#N/A,FALSE,"ISS"}</definedName>
    <definedName name="____________________________________________fl1111" localSheetId="34" hidden="1">{"Fecha_Novembro",#N/A,FALSE,"FECHAMENTO-2002 ";"Defer_Novembro",#N/A,FALSE,"DIFERIDO";"Pis_Novembro",#N/A,FALSE,"PIS COFINS";"Iss_Novembro",#N/A,FALSE,"ISS"}</definedName>
    <definedName name="____________________________________________fl1111" localSheetId="39" hidden="1">{"Fecha_Novembro",#N/A,FALSE,"FECHAMENTO-2002 ";"Defer_Novembro",#N/A,FALSE,"DIFERIDO";"Pis_Novembro",#N/A,FALSE,"PIS COFINS";"Iss_Novembro",#N/A,FALSE,"ISS"}</definedName>
    <definedName name="____________________________________________fl1111" localSheetId="8" hidden="1">{"Fecha_Novembro",#N/A,FALSE,"FECHAMENTO-2002 ";"Defer_Novembro",#N/A,FALSE,"DIFERIDO";"Pis_Novembro",#N/A,FALSE,"PIS COFINS";"Iss_Novembro",#N/A,FALSE,"ISS"}</definedName>
    <definedName name="____________________________________________fl1111" localSheetId="12" hidden="1">{"Fecha_Novembro",#N/A,FALSE,"FECHAMENTO-2002 ";"Defer_Novembro",#N/A,FALSE,"DIFERIDO";"Pis_Novembro",#N/A,FALSE,"PIS COFINS";"Iss_Novembro",#N/A,FALSE,"ISS"}</definedName>
    <definedName name="____________________________________________fl1111" localSheetId="13" hidden="1">{"Fecha_Novembro",#N/A,FALSE,"FECHAMENTO-2002 ";"Defer_Novembro",#N/A,FALSE,"DIFERIDO";"Pis_Novembro",#N/A,FALSE,"PIS COFINS";"Iss_Novembro",#N/A,FALSE,"ISS"}</definedName>
    <definedName name="____________________________________________fl1111" localSheetId="11" hidden="1">{"Fecha_Novembro",#N/A,FALSE,"FECHAMENTO-2002 ";"Defer_Novembro",#N/A,FALSE,"DIFERIDO";"Pis_Novembro",#N/A,FALSE,"PIS COFINS";"Iss_Novembro",#N/A,FALSE,"ISS"}</definedName>
    <definedName name="____________________________________________fl1111" localSheetId="31" hidden="1">{"Fecha_Novembro",#N/A,FALSE,"FECHAMENTO-2002 ";"Defer_Novembro",#N/A,FALSE,"DIFERIDO";"Pis_Novembro",#N/A,FALSE,"PIS COFINS";"Iss_Novembro",#N/A,FALSE,"ISS"}</definedName>
    <definedName name="____________________________________________fl1111" hidden="1">{"Fecha_Novembro",#N/A,FALSE,"FECHAMENTO-2002 ";"Defer_Novembro",#N/A,FALSE,"DIFERIDO";"Pis_Novembro",#N/A,FALSE,"PIS COFINS";"Iss_Novembro",#N/A,FALSE,"ISS"}</definedName>
    <definedName name="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fl1111" localSheetId="15" hidden="1">{"Fecha_Novembro",#N/A,FALSE,"FECHAMENTO-2002 ";"Defer_Novembro",#N/A,FALSE,"DIFERIDO";"Pis_Novembro",#N/A,FALSE,"PIS COFINS";"Iss_Novembro",#N/A,FALSE,"ISS"}</definedName>
    <definedName name="___________________________________________fl1111" localSheetId="14" hidden="1">{"Fecha_Novembro",#N/A,FALSE,"FECHAMENTO-2002 ";"Defer_Novembro",#N/A,FALSE,"DIFERIDO";"Pis_Novembro",#N/A,FALSE,"PIS COFINS";"Iss_Novembro",#N/A,FALSE,"ISS"}</definedName>
    <definedName name="___________________________________________fl1111" localSheetId="2" hidden="1">{"Fecha_Novembro",#N/A,FALSE,"FECHAMENTO-2002 ";"Defer_Novembro",#N/A,FALSE,"DIFERIDO";"Pis_Novembro",#N/A,FALSE,"PIS COFINS";"Iss_Novembro",#N/A,FALSE,"ISS"}</definedName>
    <definedName name="___________________________________________fl1111" localSheetId="34" hidden="1">{"Fecha_Novembro",#N/A,FALSE,"FECHAMENTO-2002 ";"Defer_Novembro",#N/A,FALSE,"DIFERIDO";"Pis_Novembro",#N/A,FALSE,"PIS COFINS";"Iss_Novembro",#N/A,FALSE,"ISS"}</definedName>
    <definedName name="___________________________________________fl1111" localSheetId="39" hidden="1">{"Fecha_Novembro",#N/A,FALSE,"FECHAMENTO-2002 ";"Defer_Novembro",#N/A,FALSE,"DIFERIDO";"Pis_Novembro",#N/A,FALSE,"PIS COFINS";"Iss_Novembro",#N/A,FALSE,"ISS"}</definedName>
    <definedName name="___________________________________________fl1111" localSheetId="8" hidden="1">{"Fecha_Novembro",#N/A,FALSE,"FECHAMENTO-2002 ";"Defer_Novembro",#N/A,FALSE,"DIFERIDO";"Pis_Novembro",#N/A,FALSE,"PIS COFINS";"Iss_Novembro",#N/A,FALSE,"ISS"}</definedName>
    <definedName name="___________________________________________fl1111" localSheetId="12" hidden="1">{"Fecha_Novembro",#N/A,FALSE,"FECHAMENTO-2002 ";"Defer_Novembro",#N/A,FALSE,"DIFERIDO";"Pis_Novembro",#N/A,FALSE,"PIS COFINS";"Iss_Novembro",#N/A,FALSE,"ISS"}</definedName>
    <definedName name="___________________________________________fl1111" localSheetId="13" hidden="1">{"Fecha_Novembro",#N/A,FALSE,"FECHAMENTO-2002 ";"Defer_Novembro",#N/A,FALSE,"DIFERIDO";"Pis_Novembro",#N/A,FALSE,"PIS COFINS";"Iss_Novembro",#N/A,FALSE,"ISS"}</definedName>
    <definedName name="___________________________________________fl1111" localSheetId="11" hidden="1">{"Fecha_Novembro",#N/A,FALSE,"FECHAMENTO-2002 ";"Defer_Novembro",#N/A,FALSE,"DIFERIDO";"Pis_Novembro",#N/A,FALSE,"PIS COFINS";"Iss_Novembro",#N/A,FALSE,"ISS"}</definedName>
    <definedName name="___________________________________________fl1111" localSheetId="31" hidden="1">{"Fecha_Novembro",#N/A,FALSE,"FECHAMENTO-2002 ";"Defer_Novembro",#N/A,FALSE,"DIFERIDO";"Pis_Novembro",#N/A,FALSE,"PIS COFINS";"Iss_Novembro",#N/A,FALSE,"ISS"}</definedName>
    <definedName name="___________________________________________fl1111" hidden="1">{"Fecha_Novembro",#N/A,FALSE,"FECHAMENTO-2002 ";"Defer_Novembro",#N/A,FALSE,"DIFERIDO";"Pis_Novembro",#N/A,FALSE,"PIS COFINS";"Iss_Novembro",#N/A,FALSE,"ISS"}</definedName>
    <definedName name="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fl1111" localSheetId="15" hidden="1">{"Fecha_Novembro",#N/A,FALSE,"FECHAMENTO-2002 ";"Defer_Novembro",#N/A,FALSE,"DIFERIDO";"Pis_Novembro",#N/A,FALSE,"PIS COFINS";"Iss_Novembro",#N/A,FALSE,"ISS"}</definedName>
    <definedName name="__________________________________________fl1111" localSheetId="14" hidden="1">{"Fecha_Novembro",#N/A,FALSE,"FECHAMENTO-2002 ";"Defer_Novembro",#N/A,FALSE,"DIFERIDO";"Pis_Novembro",#N/A,FALSE,"PIS COFINS";"Iss_Novembro",#N/A,FALSE,"ISS"}</definedName>
    <definedName name="__________________________________________fl1111" localSheetId="2" hidden="1">{"Fecha_Novembro",#N/A,FALSE,"FECHAMENTO-2002 ";"Defer_Novembro",#N/A,FALSE,"DIFERIDO";"Pis_Novembro",#N/A,FALSE,"PIS COFINS";"Iss_Novembro",#N/A,FALSE,"ISS"}</definedName>
    <definedName name="__________________________________________fl1111" localSheetId="34" hidden="1">{"Fecha_Novembro",#N/A,FALSE,"FECHAMENTO-2002 ";"Defer_Novembro",#N/A,FALSE,"DIFERIDO";"Pis_Novembro",#N/A,FALSE,"PIS COFINS";"Iss_Novembro",#N/A,FALSE,"ISS"}</definedName>
    <definedName name="__________________________________________fl1111" localSheetId="39" hidden="1">{"Fecha_Novembro",#N/A,FALSE,"FECHAMENTO-2002 ";"Defer_Novembro",#N/A,FALSE,"DIFERIDO";"Pis_Novembro",#N/A,FALSE,"PIS COFINS";"Iss_Novembro",#N/A,FALSE,"ISS"}</definedName>
    <definedName name="__________________________________________fl1111" localSheetId="8" hidden="1">{"Fecha_Novembro",#N/A,FALSE,"FECHAMENTO-2002 ";"Defer_Novembro",#N/A,FALSE,"DIFERIDO";"Pis_Novembro",#N/A,FALSE,"PIS COFINS";"Iss_Novembro",#N/A,FALSE,"ISS"}</definedName>
    <definedName name="__________________________________________fl1111" localSheetId="12" hidden="1">{"Fecha_Novembro",#N/A,FALSE,"FECHAMENTO-2002 ";"Defer_Novembro",#N/A,FALSE,"DIFERIDO";"Pis_Novembro",#N/A,FALSE,"PIS COFINS";"Iss_Novembro",#N/A,FALSE,"ISS"}</definedName>
    <definedName name="__________________________________________fl1111" localSheetId="13" hidden="1">{"Fecha_Novembro",#N/A,FALSE,"FECHAMENTO-2002 ";"Defer_Novembro",#N/A,FALSE,"DIFERIDO";"Pis_Novembro",#N/A,FALSE,"PIS COFINS";"Iss_Novembro",#N/A,FALSE,"ISS"}</definedName>
    <definedName name="__________________________________________fl1111" localSheetId="11" hidden="1">{"Fecha_Novembro",#N/A,FALSE,"FECHAMENTO-2002 ";"Defer_Novembro",#N/A,FALSE,"DIFERIDO";"Pis_Novembro",#N/A,FALSE,"PIS COFINS";"Iss_Novembro",#N/A,FALSE,"ISS"}</definedName>
    <definedName name="__________________________________________fl1111" localSheetId="31" hidden="1">{"Fecha_Novembro",#N/A,FALSE,"FECHAMENTO-2002 ";"Defer_Novembro",#N/A,FALSE,"DIFERIDO";"Pis_Novembro",#N/A,FALSE,"PIS COFINS";"Iss_Novembro",#N/A,FALSE,"ISS"}</definedName>
    <definedName name="__________________________________________fl1111" hidden="1">{"Fecha_Novembro",#N/A,FALSE,"FECHAMENTO-2002 ";"Defer_Novembro",#N/A,FALSE,"DIFERIDO";"Pis_Novembro",#N/A,FALSE,"PIS COFINS";"Iss_Novembro",#N/A,FALSE,"ISS"}</definedName>
    <definedName name="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fl1111" localSheetId="15" hidden="1">{"Fecha_Novembro",#N/A,FALSE,"FECHAMENTO-2002 ";"Defer_Novembro",#N/A,FALSE,"DIFERIDO";"Pis_Novembro",#N/A,FALSE,"PIS COFINS";"Iss_Novembro",#N/A,FALSE,"ISS"}</definedName>
    <definedName name="_________________________________________fl1111" localSheetId="14" hidden="1">{"Fecha_Novembro",#N/A,FALSE,"FECHAMENTO-2002 ";"Defer_Novembro",#N/A,FALSE,"DIFERIDO";"Pis_Novembro",#N/A,FALSE,"PIS COFINS";"Iss_Novembro",#N/A,FALSE,"ISS"}</definedName>
    <definedName name="_________________________________________fl1111" localSheetId="2" hidden="1">{"Fecha_Novembro",#N/A,FALSE,"FECHAMENTO-2002 ";"Defer_Novembro",#N/A,FALSE,"DIFERIDO";"Pis_Novembro",#N/A,FALSE,"PIS COFINS";"Iss_Novembro",#N/A,FALSE,"ISS"}</definedName>
    <definedName name="_________________________________________fl1111" localSheetId="34" hidden="1">{"Fecha_Novembro",#N/A,FALSE,"FECHAMENTO-2002 ";"Defer_Novembro",#N/A,FALSE,"DIFERIDO";"Pis_Novembro",#N/A,FALSE,"PIS COFINS";"Iss_Novembro",#N/A,FALSE,"ISS"}</definedName>
    <definedName name="_________________________________________fl1111" localSheetId="39" hidden="1">{"Fecha_Novembro",#N/A,FALSE,"FECHAMENTO-2002 ";"Defer_Novembro",#N/A,FALSE,"DIFERIDO";"Pis_Novembro",#N/A,FALSE,"PIS COFINS";"Iss_Novembro",#N/A,FALSE,"ISS"}</definedName>
    <definedName name="_________________________________________fl1111" localSheetId="8" hidden="1">{"Fecha_Novembro",#N/A,FALSE,"FECHAMENTO-2002 ";"Defer_Novembro",#N/A,FALSE,"DIFERIDO";"Pis_Novembro",#N/A,FALSE,"PIS COFINS";"Iss_Novembro",#N/A,FALSE,"ISS"}</definedName>
    <definedName name="_________________________________________fl1111" localSheetId="12" hidden="1">{"Fecha_Novembro",#N/A,FALSE,"FECHAMENTO-2002 ";"Defer_Novembro",#N/A,FALSE,"DIFERIDO";"Pis_Novembro",#N/A,FALSE,"PIS COFINS";"Iss_Novembro",#N/A,FALSE,"ISS"}</definedName>
    <definedName name="_________________________________________fl1111" localSheetId="13" hidden="1">{"Fecha_Novembro",#N/A,FALSE,"FECHAMENTO-2002 ";"Defer_Novembro",#N/A,FALSE,"DIFERIDO";"Pis_Novembro",#N/A,FALSE,"PIS COFINS";"Iss_Novembro",#N/A,FALSE,"ISS"}</definedName>
    <definedName name="_________________________________________fl1111" localSheetId="11" hidden="1">{"Fecha_Novembro",#N/A,FALSE,"FECHAMENTO-2002 ";"Defer_Novembro",#N/A,FALSE,"DIFERIDO";"Pis_Novembro",#N/A,FALSE,"PIS COFINS";"Iss_Novembro",#N/A,FALSE,"ISS"}</definedName>
    <definedName name="_________________________________________fl1111" localSheetId="31" hidden="1">{"Fecha_Novembro",#N/A,FALSE,"FECHAMENTO-2002 ";"Defer_Novembro",#N/A,FALSE,"DIFERIDO";"Pis_Novembro",#N/A,FALSE,"PIS COFINS";"Iss_Novembro",#N/A,FALSE,"ISS"}</definedName>
    <definedName name="_________________________________________fl1111" hidden="1">{"Fecha_Novembro",#N/A,FALSE,"FECHAMENTO-2002 ";"Defer_Novembro",#N/A,FALSE,"DIFERIDO";"Pis_Novembro",#N/A,FALSE,"PIS COFINS";"Iss_Novembro",#N/A,FALSE,"ISS"}</definedName>
    <definedName name="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fl1111" localSheetId="15" hidden="1">{"Fecha_Novembro",#N/A,FALSE,"FECHAMENTO-2002 ";"Defer_Novembro",#N/A,FALSE,"DIFERIDO";"Pis_Novembro",#N/A,FALSE,"PIS COFINS";"Iss_Novembro",#N/A,FALSE,"ISS"}</definedName>
    <definedName name="________________________________________fl1111" localSheetId="14" hidden="1">{"Fecha_Novembro",#N/A,FALSE,"FECHAMENTO-2002 ";"Defer_Novembro",#N/A,FALSE,"DIFERIDO";"Pis_Novembro",#N/A,FALSE,"PIS COFINS";"Iss_Novembro",#N/A,FALSE,"ISS"}</definedName>
    <definedName name="________________________________________fl1111" localSheetId="2" hidden="1">{"Fecha_Novembro",#N/A,FALSE,"FECHAMENTO-2002 ";"Defer_Novembro",#N/A,FALSE,"DIFERIDO";"Pis_Novembro",#N/A,FALSE,"PIS COFINS";"Iss_Novembro",#N/A,FALSE,"ISS"}</definedName>
    <definedName name="________________________________________fl1111" localSheetId="34" hidden="1">{"Fecha_Novembro",#N/A,FALSE,"FECHAMENTO-2002 ";"Defer_Novembro",#N/A,FALSE,"DIFERIDO";"Pis_Novembro",#N/A,FALSE,"PIS COFINS";"Iss_Novembro",#N/A,FALSE,"ISS"}</definedName>
    <definedName name="________________________________________fl1111" localSheetId="39" hidden="1">{"Fecha_Novembro",#N/A,FALSE,"FECHAMENTO-2002 ";"Defer_Novembro",#N/A,FALSE,"DIFERIDO";"Pis_Novembro",#N/A,FALSE,"PIS COFINS";"Iss_Novembro",#N/A,FALSE,"ISS"}</definedName>
    <definedName name="________________________________________fl1111" localSheetId="8" hidden="1">{"Fecha_Novembro",#N/A,FALSE,"FECHAMENTO-2002 ";"Defer_Novembro",#N/A,FALSE,"DIFERIDO";"Pis_Novembro",#N/A,FALSE,"PIS COFINS";"Iss_Novembro",#N/A,FALSE,"ISS"}</definedName>
    <definedName name="________________________________________fl1111" localSheetId="12" hidden="1">{"Fecha_Novembro",#N/A,FALSE,"FECHAMENTO-2002 ";"Defer_Novembro",#N/A,FALSE,"DIFERIDO";"Pis_Novembro",#N/A,FALSE,"PIS COFINS";"Iss_Novembro",#N/A,FALSE,"ISS"}</definedName>
    <definedName name="________________________________________fl1111" localSheetId="13" hidden="1">{"Fecha_Novembro",#N/A,FALSE,"FECHAMENTO-2002 ";"Defer_Novembro",#N/A,FALSE,"DIFERIDO";"Pis_Novembro",#N/A,FALSE,"PIS COFINS";"Iss_Novembro",#N/A,FALSE,"ISS"}</definedName>
    <definedName name="________________________________________fl1111" localSheetId="11" hidden="1">{"Fecha_Novembro",#N/A,FALSE,"FECHAMENTO-2002 ";"Defer_Novembro",#N/A,FALSE,"DIFERIDO";"Pis_Novembro",#N/A,FALSE,"PIS COFINS";"Iss_Novembro",#N/A,FALSE,"ISS"}</definedName>
    <definedName name="________________________________________fl1111" localSheetId="31" hidden="1">{"Fecha_Novembro",#N/A,FALSE,"FECHAMENTO-2002 ";"Defer_Novembro",#N/A,FALSE,"DIFERIDO";"Pis_Novembro",#N/A,FALSE,"PIS COFINS";"Iss_Novembro",#N/A,FALSE,"ISS"}</definedName>
    <definedName name="________________________________________fl1111" hidden="1">{"Fecha_Novembro",#N/A,FALSE,"FECHAMENTO-2002 ";"Defer_Novembro",#N/A,FALSE,"DIFERIDO";"Pis_Novembro",#N/A,FALSE,"PIS COFINS";"Iss_Novembro",#N/A,FALSE,"ISS"}</definedName>
    <definedName name="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fl1111" localSheetId="15" hidden="1">{"Fecha_Novembro",#N/A,FALSE,"FECHAMENTO-2002 ";"Defer_Novembro",#N/A,FALSE,"DIFERIDO";"Pis_Novembro",#N/A,FALSE,"PIS COFINS";"Iss_Novembro",#N/A,FALSE,"ISS"}</definedName>
    <definedName name="_______________________________________fl1111" localSheetId="14" hidden="1">{"Fecha_Novembro",#N/A,FALSE,"FECHAMENTO-2002 ";"Defer_Novembro",#N/A,FALSE,"DIFERIDO";"Pis_Novembro",#N/A,FALSE,"PIS COFINS";"Iss_Novembro",#N/A,FALSE,"ISS"}</definedName>
    <definedName name="_______________________________________fl1111" localSheetId="2" hidden="1">{"Fecha_Novembro",#N/A,FALSE,"FECHAMENTO-2002 ";"Defer_Novembro",#N/A,FALSE,"DIFERIDO";"Pis_Novembro",#N/A,FALSE,"PIS COFINS";"Iss_Novembro",#N/A,FALSE,"ISS"}</definedName>
    <definedName name="_______________________________________fl1111" localSheetId="34" hidden="1">{"Fecha_Novembro",#N/A,FALSE,"FECHAMENTO-2002 ";"Defer_Novembro",#N/A,FALSE,"DIFERIDO";"Pis_Novembro",#N/A,FALSE,"PIS COFINS";"Iss_Novembro",#N/A,FALSE,"ISS"}</definedName>
    <definedName name="_______________________________________fl1111" localSheetId="39" hidden="1">{"Fecha_Novembro",#N/A,FALSE,"FECHAMENTO-2002 ";"Defer_Novembro",#N/A,FALSE,"DIFERIDO";"Pis_Novembro",#N/A,FALSE,"PIS COFINS";"Iss_Novembro",#N/A,FALSE,"ISS"}</definedName>
    <definedName name="_______________________________________fl1111" localSheetId="8" hidden="1">{"Fecha_Novembro",#N/A,FALSE,"FECHAMENTO-2002 ";"Defer_Novembro",#N/A,FALSE,"DIFERIDO";"Pis_Novembro",#N/A,FALSE,"PIS COFINS";"Iss_Novembro",#N/A,FALSE,"ISS"}</definedName>
    <definedName name="_______________________________________fl1111" localSheetId="12" hidden="1">{"Fecha_Novembro",#N/A,FALSE,"FECHAMENTO-2002 ";"Defer_Novembro",#N/A,FALSE,"DIFERIDO";"Pis_Novembro",#N/A,FALSE,"PIS COFINS";"Iss_Novembro",#N/A,FALSE,"ISS"}</definedName>
    <definedName name="_______________________________________fl1111" localSheetId="13" hidden="1">{"Fecha_Novembro",#N/A,FALSE,"FECHAMENTO-2002 ";"Defer_Novembro",#N/A,FALSE,"DIFERIDO";"Pis_Novembro",#N/A,FALSE,"PIS COFINS";"Iss_Novembro",#N/A,FALSE,"ISS"}</definedName>
    <definedName name="_______________________________________fl1111" localSheetId="11" hidden="1">{"Fecha_Novembro",#N/A,FALSE,"FECHAMENTO-2002 ";"Defer_Novembro",#N/A,FALSE,"DIFERIDO";"Pis_Novembro",#N/A,FALSE,"PIS COFINS";"Iss_Novembro",#N/A,FALSE,"ISS"}</definedName>
    <definedName name="_______________________________________fl1111" localSheetId="31" hidden="1">{"Fecha_Novembro",#N/A,FALSE,"FECHAMENTO-2002 ";"Defer_Novembro",#N/A,FALSE,"DIFERIDO";"Pis_Novembro",#N/A,FALSE,"PIS COFINS";"Iss_Novembro",#N/A,FALSE,"ISS"}</definedName>
    <definedName name="_______________________________________fl1111" hidden="1">{"Fecha_Novembro",#N/A,FALSE,"FECHAMENTO-2002 ";"Defer_Novembro",#N/A,FALSE,"DIFERIDO";"Pis_Novembro",#N/A,FALSE,"PIS COFINS";"Iss_Novembro",#N/A,FALSE,"ISS"}</definedName>
    <definedName name="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fl1111" localSheetId="15" hidden="1">{"Fecha_Novembro",#N/A,FALSE,"FECHAMENTO-2002 ";"Defer_Novembro",#N/A,FALSE,"DIFERIDO";"Pis_Novembro",#N/A,FALSE,"PIS COFINS";"Iss_Novembro",#N/A,FALSE,"ISS"}</definedName>
    <definedName name="______________________________________fl1111" localSheetId="14" hidden="1">{"Fecha_Novembro",#N/A,FALSE,"FECHAMENTO-2002 ";"Defer_Novembro",#N/A,FALSE,"DIFERIDO";"Pis_Novembro",#N/A,FALSE,"PIS COFINS";"Iss_Novembro",#N/A,FALSE,"ISS"}</definedName>
    <definedName name="______________________________________fl1111" localSheetId="2" hidden="1">{"Fecha_Novembro",#N/A,FALSE,"FECHAMENTO-2002 ";"Defer_Novembro",#N/A,FALSE,"DIFERIDO";"Pis_Novembro",#N/A,FALSE,"PIS COFINS";"Iss_Novembro",#N/A,FALSE,"ISS"}</definedName>
    <definedName name="______________________________________fl1111" localSheetId="34" hidden="1">{"Fecha_Novembro",#N/A,FALSE,"FECHAMENTO-2002 ";"Defer_Novembro",#N/A,FALSE,"DIFERIDO";"Pis_Novembro",#N/A,FALSE,"PIS COFINS";"Iss_Novembro",#N/A,FALSE,"ISS"}</definedName>
    <definedName name="______________________________________fl1111" localSheetId="39" hidden="1">{"Fecha_Novembro",#N/A,FALSE,"FECHAMENTO-2002 ";"Defer_Novembro",#N/A,FALSE,"DIFERIDO";"Pis_Novembro",#N/A,FALSE,"PIS COFINS";"Iss_Novembro",#N/A,FALSE,"ISS"}</definedName>
    <definedName name="______________________________________fl1111" localSheetId="8" hidden="1">{"Fecha_Novembro",#N/A,FALSE,"FECHAMENTO-2002 ";"Defer_Novembro",#N/A,FALSE,"DIFERIDO";"Pis_Novembro",#N/A,FALSE,"PIS COFINS";"Iss_Novembro",#N/A,FALSE,"ISS"}</definedName>
    <definedName name="______________________________________fl1111" localSheetId="12" hidden="1">{"Fecha_Novembro",#N/A,FALSE,"FECHAMENTO-2002 ";"Defer_Novembro",#N/A,FALSE,"DIFERIDO";"Pis_Novembro",#N/A,FALSE,"PIS COFINS";"Iss_Novembro",#N/A,FALSE,"ISS"}</definedName>
    <definedName name="______________________________________fl1111" localSheetId="13" hidden="1">{"Fecha_Novembro",#N/A,FALSE,"FECHAMENTO-2002 ";"Defer_Novembro",#N/A,FALSE,"DIFERIDO";"Pis_Novembro",#N/A,FALSE,"PIS COFINS";"Iss_Novembro",#N/A,FALSE,"ISS"}</definedName>
    <definedName name="______________________________________fl1111" localSheetId="11" hidden="1">{"Fecha_Novembro",#N/A,FALSE,"FECHAMENTO-2002 ";"Defer_Novembro",#N/A,FALSE,"DIFERIDO";"Pis_Novembro",#N/A,FALSE,"PIS COFINS";"Iss_Novembro",#N/A,FALSE,"ISS"}</definedName>
    <definedName name="______________________________________fl1111" localSheetId="31" hidden="1">{"Fecha_Novembro",#N/A,FALSE,"FECHAMENTO-2002 ";"Defer_Novembro",#N/A,FALSE,"DIFERIDO";"Pis_Novembro",#N/A,FALSE,"PIS COFINS";"Iss_Novembro",#N/A,FALSE,"ISS"}</definedName>
    <definedName name="______________________________________fl1111" hidden="1">{"Fecha_Novembro",#N/A,FALSE,"FECHAMENTO-2002 ";"Defer_Novembro",#N/A,FALSE,"DIFERIDO";"Pis_Novembro",#N/A,FALSE,"PIS COFINS";"Iss_Novembro",#N/A,FALSE,"ISS"}</definedName>
    <definedName name="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fl1111" localSheetId="15" hidden="1">{"Fecha_Novembro",#N/A,FALSE,"FECHAMENTO-2002 ";"Defer_Novembro",#N/A,FALSE,"DIFERIDO";"Pis_Novembro",#N/A,FALSE,"PIS COFINS";"Iss_Novembro",#N/A,FALSE,"ISS"}</definedName>
    <definedName name="_____________________________________fl1111" localSheetId="14" hidden="1">{"Fecha_Novembro",#N/A,FALSE,"FECHAMENTO-2002 ";"Defer_Novembro",#N/A,FALSE,"DIFERIDO";"Pis_Novembro",#N/A,FALSE,"PIS COFINS";"Iss_Novembro",#N/A,FALSE,"ISS"}</definedName>
    <definedName name="_____________________________________fl1111" localSheetId="2" hidden="1">{"Fecha_Novembro",#N/A,FALSE,"FECHAMENTO-2002 ";"Defer_Novembro",#N/A,FALSE,"DIFERIDO";"Pis_Novembro",#N/A,FALSE,"PIS COFINS";"Iss_Novembro",#N/A,FALSE,"ISS"}</definedName>
    <definedName name="_____________________________________fl1111" localSheetId="34" hidden="1">{"Fecha_Novembro",#N/A,FALSE,"FECHAMENTO-2002 ";"Defer_Novembro",#N/A,FALSE,"DIFERIDO";"Pis_Novembro",#N/A,FALSE,"PIS COFINS";"Iss_Novembro",#N/A,FALSE,"ISS"}</definedName>
    <definedName name="_____________________________________fl1111" localSheetId="39" hidden="1">{"Fecha_Novembro",#N/A,FALSE,"FECHAMENTO-2002 ";"Defer_Novembro",#N/A,FALSE,"DIFERIDO";"Pis_Novembro",#N/A,FALSE,"PIS COFINS";"Iss_Novembro",#N/A,FALSE,"ISS"}</definedName>
    <definedName name="_____________________________________fl1111" localSheetId="8" hidden="1">{"Fecha_Novembro",#N/A,FALSE,"FECHAMENTO-2002 ";"Defer_Novembro",#N/A,FALSE,"DIFERIDO";"Pis_Novembro",#N/A,FALSE,"PIS COFINS";"Iss_Novembro",#N/A,FALSE,"ISS"}</definedName>
    <definedName name="_____________________________________fl1111" localSheetId="12" hidden="1">{"Fecha_Novembro",#N/A,FALSE,"FECHAMENTO-2002 ";"Defer_Novembro",#N/A,FALSE,"DIFERIDO";"Pis_Novembro",#N/A,FALSE,"PIS COFINS";"Iss_Novembro",#N/A,FALSE,"ISS"}</definedName>
    <definedName name="_____________________________________fl1111" localSheetId="13" hidden="1">{"Fecha_Novembro",#N/A,FALSE,"FECHAMENTO-2002 ";"Defer_Novembro",#N/A,FALSE,"DIFERIDO";"Pis_Novembro",#N/A,FALSE,"PIS COFINS";"Iss_Novembro",#N/A,FALSE,"ISS"}</definedName>
    <definedName name="_____________________________________fl1111" localSheetId="11" hidden="1">{"Fecha_Novembro",#N/A,FALSE,"FECHAMENTO-2002 ";"Defer_Novembro",#N/A,FALSE,"DIFERIDO";"Pis_Novembro",#N/A,FALSE,"PIS COFINS";"Iss_Novembro",#N/A,FALSE,"ISS"}</definedName>
    <definedName name="_____________________________________fl1111" localSheetId="31" hidden="1">{"Fecha_Novembro",#N/A,FALSE,"FECHAMENTO-2002 ";"Defer_Novembro",#N/A,FALSE,"DIFERIDO";"Pis_Novembro",#N/A,FALSE,"PIS COFINS";"Iss_Novembro",#N/A,FALSE,"ISS"}</definedName>
    <definedName name="_____________________________________fl1111" hidden="1">{"Fecha_Novembro",#N/A,FALSE,"FECHAMENTO-2002 ";"Defer_Novembro",#N/A,FALSE,"DIFERIDO";"Pis_Novembro",#N/A,FALSE,"PIS COFINS";"Iss_Novembro",#N/A,FALSE,"ISS"}</definedName>
    <definedName name="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fl1111" localSheetId="15" hidden="1">{"Fecha_Novembro",#N/A,FALSE,"FECHAMENTO-2002 ";"Defer_Novembro",#N/A,FALSE,"DIFERIDO";"Pis_Novembro",#N/A,FALSE,"PIS COFINS";"Iss_Novembro",#N/A,FALSE,"ISS"}</definedName>
    <definedName name="____________________________________fl1111" localSheetId="14" hidden="1">{"Fecha_Novembro",#N/A,FALSE,"FECHAMENTO-2002 ";"Defer_Novembro",#N/A,FALSE,"DIFERIDO";"Pis_Novembro",#N/A,FALSE,"PIS COFINS";"Iss_Novembro",#N/A,FALSE,"ISS"}</definedName>
    <definedName name="____________________________________fl1111" localSheetId="2" hidden="1">{"Fecha_Novembro",#N/A,FALSE,"FECHAMENTO-2002 ";"Defer_Novembro",#N/A,FALSE,"DIFERIDO";"Pis_Novembro",#N/A,FALSE,"PIS COFINS";"Iss_Novembro",#N/A,FALSE,"ISS"}</definedName>
    <definedName name="____________________________________fl1111" localSheetId="34" hidden="1">{"Fecha_Novembro",#N/A,FALSE,"FECHAMENTO-2002 ";"Defer_Novembro",#N/A,FALSE,"DIFERIDO";"Pis_Novembro",#N/A,FALSE,"PIS COFINS";"Iss_Novembro",#N/A,FALSE,"ISS"}</definedName>
    <definedName name="____________________________________fl1111" localSheetId="39" hidden="1">{"Fecha_Novembro",#N/A,FALSE,"FECHAMENTO-2002 ";"Defer_Novembro",#N/A,FALSE,"DIFERIDO";"Pis_Novembro",#N/A,FALSE,"PIS COFINS";"Iss_Novembro",#N/A,FALSE,"ISS"}</definedName>
    <definedName name="____________________________________fl1111" localSheetId="8" hidden="1">{"Fecha_Novembro",#N/A,FALSE,"FECHAMENTO-2002 ";"Defer_Novembro",#N/A,FALSE,"DIFERIDO";"Pis_Novembro",#N/A,FALSE,"PIS COFINS";"Iss_Novembro",#N/A,FALSE,"ISS"}</definedName>
    <definedName name="____________________________________fl1111" localSheetId="12" hidden="1">{"Fecha_Novembro",#N/A,FALSE,"FECHAMENTO-2002 ";"Defer_Novembro",#N/A,FALSE,"DIFERIDO";"Pis_Novembro",#N/A,FALSE,"PIS COFINS";"Iss_Novembro",#N/A,FALSE,"ISS"}</definedName>
    <definedName name="____________________________________fl1111" localSheetId="13" hidden="1">{"Fecha_Novembro",#N/A,FALSE,"FECHAMENTO-2002 ";"Defer_Novembro",#N/A,FALSE,"DIFERIDO";"Pis_Novembro",#N/A,FALSE,"PIS COFINS";"Iss_Novembro",#N/A,FALSE,"ISS"}</definedName>
    <definedName name="____________________________________fl1111" localSheetId="11" hidden="1">{"Fecha_Novembro",#N/A,FALSE,"FECHAMENTO-2002 ";"Defer_Novembro",#N/A,FALSE,"DIFERIDO";"Pis_Novembro",#N/A,FALSE,"PIS COFINS";"Iss_Novembro",#N/A,FALSE,"ISS"}</definedName>
    <definedName name="____________________________________fl1111" localSheetId="31" hidden="1">{"Fecha_Novembro",#N/A,FALSE,"FECHAMENTO-2002 ";"Defer_Novembro",#N/A,FALSE,"DIFERIDO";"Pis_Novembro",#N/A,FALSE,"PIS COFINS";"Iss_Novembro",#N/A,FALSE,"ISS"}</definedName>
    <definedName name="____________________________________fl1111" hidden="1">{"Fecha_Novembro",#N/A,FALSE,"FECHAMENTO-2002 ";"Defer_Novembro",#N/A,FALSE,"DIFERIDO";"Pis_Novembro",#N/A,FALSE,"PIS COFINS";"Iss_Novembro",#N/A,FALSE,"ISS"}</definedName>
    <definedName name="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fl1111" localSheetId="15" hidden="1">{"Fecha_Novembro",#N/A,FALSE,"FECHAMENTO-2002 ";"Defer_Novembro",#N/A,FALSE,"DIFERIDO";"Pis_Novembro",#N/A,FALSE,"PIS COFINS";"Iss_Novembro",#N/A,FALSE,"ISS"}</definedName>
    <definedName name="___________________________________fl1111" localSheetId="14" hidden="1">{"Fecha_Novembro",#N/A,FALSE,"FECHAMENTO-2002 ";"Defer_Novembro",#N/A,FALSE,"DIFERIDO";"Pis_Novembro",#N/A,FALSE,"PIS COFINS";"Iss_Novembro",#N/A,FALSE,"ISS"}</definedName>
    <definedName name="___________________________________fl1111" localSheetId="2" hidden="1">{"Fecha_Novembro",#N/A,FALSE,"FECHAMENTO-2002 ";"Defer_Novembro",#N/A,FALSE,"DIFERIDO";"Pis_Novembro",#N/A,FALSE,"PIS COFINS";"Iss_Novembro",#N/A,FALSE,"ISS"}</definedName>
    <definedName name="___________________________________fl1111" localSheetId="34" hidden="1">{"Fecha_Novembro",#N/A,FALSE,"FECHAMENTO-2002 ";"Defer_Novembro",#N/A,FALSE,"DIFERIDO";"Pis_Novembro",#N/A,FALSE,"PIS COFINS";"Iss_Novembro",#N/A,FALSE,"ISS"}</definedName>
    <definedName name="___________________________________fl1111" localSheetId="39" hidden="1">{"Fecha_Novembro",#N/A,FALSE,"FECHAMENTO-2002 ";"Defer_Novembro",#N/A,FALSE,"DIFERIDO";"Pis_Novembro",#N/A,FALSE,"PIS COFINS";"Iss_Novembro",#N/A,FALSE,"ISS"}</definedName>
    <definedName name="___________________________________fl1111" localSheetId="8" hidden="1">{"Fecha_Novembro",#N/A,FALSE,"FECHAMENTO-2002 ";"Defer_Novembro",#N/A,FALSE,"DIFERIDO";"Pis_Novembro",#N/A,FALSE,"PIS COFINS";"Iss_Novembro",#N/A,FALSE,"ISS"}</definedName>
    <definedName name="___________________________________fl1111" localSheetId="12" hidden="1">{"Fecha_Novembro",#N/A,FALSE,"FECHAMENTO-2002 ";"Defer_Novembro",#N/A,FALSE,"DIFERIDO";"Pis_Novembro",#N/A,FALSE,"PIS COFINS";"Iss_Novembro",#N/A,FALSE,"ISS"}</definedName>
    <definedName name="___________________________________fl1111" localSheetId="13" hidden="1">{"Fecha_Novembro",#N/A,FALSE,"FECHAMENTO-2002 ";"Defer_Novembro",#N/A,FALSE,"DIFERIDO";"Pis_Novembro",#N/A,FALSE,"PIS COFINS";"Iss_Novembro",#N/A,FALSE,"ISS"}</definedName>
    <definedName name="___________________________________fl1111" localSheetId="11" hidden="1">{"Fecha_Novembro",#N/A,FALSE,"FECHAMENTO-2002 ";"Defer_Novembro",#N/A,FALSE,"DIFERIDO";"Pis_Novembro",#N/A,FALSE,"PIS COFINS";"Iss_Novembro",#N/A,FALSE,"ISS"}</definedName>
    <definedName name="___________________________________fl1111" localSheetId="31" hidden="1">{"Fecha_Novembro",#N/A,FALSE,"FECHAMENTO-2002 ";"Defer_Novembro",#N/A,FALSE,"DIFERIDO";"Pis_Novembro",#N/A,FALSE,"PIS COFINS";"Iss_Novembro",#N/A,FALSE,"ISS"}</definedName>
    <definedName name="___________________________________fl1111" hidden="1">{"Fecha_Novembro",#N/A,FALSE,"FECHAMENTO-2002 ";"Defer_Novembro",#N/A,FALSE,"DIFERIDO";"Pis_Novembro",#N/A,FALSE,"PIS COFINS";"Iss_Novembro",#N/A,FALSE,"ISS"}</definedName>
    <definedName name="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fl1111" localSheetId="15" hidden="1">{"Fecha_Novembro",#N/A,FALSE,"FECHAMENTO-2002 ";"Defer_Novembro",#N/A,FALSE,"DIFERIDO";"Pis_Novembro",#N/A,FALSE,"PIS COFINS";"Iss_Novembro",#N/A,FALSE,"ISS"}</definedName>
    <definedName name="__________________________________fl1111" localSheetId="14" hidden="1">{"Fecha_Novembro",#N/A,FALSE,"FECHAMENTO-2002 ";"Defer_Novembro",#N/A,FALSE,"DIFERIDO";"Pis_Novembro",#N/A,FALSE,"PIS COFINS";"Iss_Novembro",#N/A,FALSE,"ISS"}</definedName>
    <definedName name="__________________________________fl1111" localSheetId="2" hidden="1">{"Fecha_Novembro",#N/A,FALSE,"FECHAMENTO-2002 ";"Defer_Novembro",#N/A,FALSE,"DIFERIDO";"Pis_Novembro",#N/A,FALSE,"PIS COFINS";"Iss_Novembro",#N/A,FALSE,"ISS"}</definedName>
    <definedName name="__________________________________fl1111" localSheetId="34" hidden="1">{"Fecha_Novembro",#N/A,FALSE,"FECHAMENTO-2002 ";"Defer_Novembro",#N/A,FALSE,"DIFERIDO";"Pis_Novembro",#N/A,FALSE,"PIS COFINS";"Iss_Novembro",#N/A,FALSE,"ISS"}</definedName>
    <definedName name="__________________________________fl1111" localSheetId="39" hidden="1">{"Fecha_Novembro",#N/A,FALSE,"FECHAMENTO-2002 ";"Defer_Novembro",#N/A,FALSE,"DIFERIDO";"Pis_Novembro",#N/A,FALSE,"PIS COFINS";"Iss_Novembro",#N/A,FALSE,"ISS"}</definedName>
    <definedName name="__________________________________fl1111" localSheetId="8" hidden="1">{"Fecha_Novembro",#N/A,FALSE,"FECHAMENTO-2002 ";"Defer_Novembro",#N/A,FALSE,"DIFERIDO";"Pis_Novembro",#N/A,FALSE,"PIS COFINS";"Iss_Novembro",#N/A,FALSE,"ISS"}</definedName>
    <definedName name="__________________________________fl1111" localSheetId="12" hidden="1">{"Fecha_Novembro",#N/A,FALSE,"FECHAMENTO-2002 ";"Defer_Novembro",#N/A,FALSE,"DIFERIDO";"Pis_Novembro",#N/A,FALSE,"PIS COFINS";"Iss_Novembro",#N/A,FALSE,"ISS"}</definedName>
    <definedName name="__________________________________fl1111" localSheetId="13" hidden="1">{"Fecha_Novembro",#N/A,FALSE,"FECHAMENTO-2002 ";"Defer_Novembro",#N/A,FALSE,"DIFERIDO";"Pis_Novembro",#N/A,FALSE,"PIS COFINS";"Iss_Novembro",#N/A,FALSE,"ISS"}</definedName>
    <definedName name="__________________________________fl1111" localSheetId="11" hidden="1">{"Fecha_Novembro",#N/A,FALSE,"FECHAMENTO-2002 ";"Defer_Novembro",#N/A,FALSE,"DIFERIDO";"Pis_Novembro",#N/A,FALSE,"PIS COFINS";"Iss_Novembro",#N/A,FALSE,"ISS"}</definedName>
    <definedName name="__________________________________fl1111" localSheetId="31" hidden="1">{"Fecha_Novembro",#N/A,FALSE,"FECHAMENTO-2002 ";"Defer_Novembro",#N/A,FALSE,"DIFERIDO";"Pis_Novembro",#N/A,FALSE,"PIS COFINS";"Iss_Novembro",#N/A,FALSE,"ISS"}</definedName>
    <definedName name="__________________________________fl1111" hidden="1">{"Fecha_Novembro",#N/A,FALSE,"FECHAMENTO-2002 ";"Defer_Novembro",#N/A,FALSE,"DIFERIDO";"Pis_Novembro",#N/A,FALSE,"PIS COFINS";"Iss_Novembro",#N/A,FALSE,"ISS"}</definedName>
    <definedName name="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fl1111" localSheetId="15" hidden="1">{"Fecha_Novembro",#N/A,FALSE,"FECHAMENTO-2002 ";"Defer_Novembro",#N/A,FALSE,"DIFERIDO";"Pis_Novembro",#N/A,FALSE,"PIS COFINS";"Iss_Novembro",#N/A,FALSE,"ISS"}</definedName>
    <definedName name="_________________________________fl1111" localSheetId="14" hidden="1">{"Fecha_Novembro",#N/A,FALSE,"FECHAMENTO-2002 ";"Defer_Novembro",#N/A,FALSE,"DIFERIDO";"Pis_Novembro",#N/A,FALSE,"PIS COFINS";"Iss_Novembro",#N/A,FALSE,"ISS"}</definedName>
    <definedName name="_________________________________fl1111" localSheetId="2" hidden="1">{"Fecha_Novembro",#N/A,FALSE,"FECHAMENTO-2002 ";"Defer_Novembro",#N/A,FALSE,"DIFERIDO";"Pis_Novembro",#N/A,FALSE,"PIS COFINS";"Iss_Novembro",#N/A,FALSE,"ISS"}</definedName>
    <definedName name="_________________________________fl1111" localSheetId="34" hidden="1">{"Fecha_Novembro",#N/A,FALSE,"FECHAMENTO-2002 ";"Defer_Novembro",#N/A,FALSE,"DIFERIDO";"Pis_Novembro",#N/A,FALSE,"PIS COFINS";"Iss_Novembro",#N/A,FALSE,"ISS"}</definedName>
    <definedName name="_________________________________fl1111" localSheetId="39" hidden="1">{"Fecha_Novembro",#N/A,FALSE,"FECHAMENTO-2002 ";"Defer_Novembro",#N/A,FALSE,"DIFERIDO";"Pis_Novembro",#N/A,FALSE,"PIS COFINS";"Iss_Novembro",#N/A,FALSE,"ISS"}</definedName>
    <definedName name="_________________________________fl1111" localSheetId="8" hidden="1">{"Fecha_Novembro",#N/A,FALSE,"FECHAMENTO-2002 ";"Defer_Novembro",#N/A,FALSE,"DIFERIDO";"Pis_Novembro",#N/A,FALSE,"PIS COFINS";"Iss_Novembro",#N/A,FALSE,"ISS"}</definedName>
    <definedName name="_________________________________fl1111" localSheetId="12" hidden="1">{"Fecha_Novembro",#N/A,FALSE,"FECHAMENTO-2002 ";"Defer_Novembro",#N/A,FALSE,"DIFERIDO";"Pis_Novembro",#N/A,FALSE,"PIS COFINS";"Iss_Novembro",#N/A,FALSE,"ISS"}</definedName>
    <definedName name="_________________________________fl1111" localSheetId="13" hidden="1">{"Fecha_Novembro",#N/A,FALSE,"FECHAMENTO-2002 ";"Defer_Novembro",#N/A,FALSE,"DIFERIDO";"Pis_Novembro",#N/A,FALSE,"PIS COFINS";"Iss_Novembro",#N/A,FALSE,"ISS"}</definedName>
    <definedName name="_________________________________fl1111" localSheetId="11" hidden="1">{"Fecha_Novembro",#N/A,FALSE,"FECHAMENTO-2002 ";"Defer_Novembro",#N/A,FALSE,"DIFERIDO";"Pis_Novembro",#N/A,FALSE,"PIS COFINS";"Iss_Novembro",#N/A,FALSE,"ISS"}</definedName>
    <definedName name="_________________________________fl1111" localSheetId="31" hidden="1">{"Fecha_Novembro",#N/A,FALSE,"FECHAMENTO-2002 ";"Defer_Novembro",#N/A,FALSE,"DIFERIDO";"Pis_Novembro",#N/A,FALSE,"PIS COFINS";"Iss_Novembro",#N/A,FALSE,"ISS"}</definedName>
    <definedName name="_________________________________fl1111" hidden="1">{"Fecha_Novembro",#N/A,FALSE,"FECHAMENTO-2002 ";"Defer_Novembro",#N/A,FALSE,"DIFERIDO";"Pis_Novembro",#N/A,FALSE,"PIS COFINS";"Iss_Novembro",#N/A,FALSE,"ISS"}</definedName>
    <definedName name="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fl1111" localSheetId="15" hidden="1">{"Fecha_Novembro",#N/A,FALSE,"FECHAMENTO-2002 ";"Defer_Novembro",#N/A,FALSE,"DIFERIDO";"Pis_Novembro",#N/A,FALSE,"PIS COFINS";"Iss_Novembro",#N/A,FALSE,"ISS"}</definedName>
    <definedName name="________________________________fl1111" localSheetId="14" hidden="1">{"Fecha_Novembro",#N/A,FALSE,"FECHAMENTO-2002 ";"Defer_Novembro",#N/A,FALSE,"DIFERIDO";"Pis_Novembro",#N/A,FALSE,"PIS COFINS";"Iss_Novembro",#N/A,FALSE,"ISS"}</definedName>
    <definedName name="________________________________fl1111" localSheetId="2" hidden="1">{"Fecha_Novembro",#N/A,FALSE,"FECHAMENTO-2002 ";"Defer_Novembro",#N/A,FALSE,"DIFERIDO";"Pis_Novembro",#N/A,FALSE,"PIS COFINS";"Iss_Novembro",#N/A,FALSE,"ISS"}</definedName>
    <definedName name="________________________________fl1111" localSheetId="34" hidden="1">{"Fecha_Novembro",#N/A,FALSE,"FECHAMENTO-2002 ";"Defer_Novembro",#N/A,FALSE,"DIFERIDO";"Pis_Novembro",#N/A,FALSE,"PIS COFINS";"Iss_Novembro",#N/A,FALSE,"ISS"}</definedName>
    <definedName name="________________________________fl1111" localSheetId="39" hidden="1">{"Fecha_Novembro",#N/A,FALSE,"FECHAMENTO-2002 ";"Defer_Novembro",#N/A,FALSE,"DIFERIDO";"Pis_Novembro",#N/A,FALSE,"PIS COFINS";"Iss_Novembro",#N/A,FALSE,"ISS"}</definedName>
    <definedName name="________________________________fl1111" localSheetId="8" hidden="1">{"Fecha_Novembro",#N/A,FALSE,"FECHAMENTO-2002 ";"Defer_Novembro",#N/A,FALSE,"DIFERIDO";"Pis_Novembro",#N/A,FALSE,"PIS COFINS";"Iss_Novembro",#N/A,FALSE,"ISS"}</definedName>
    <definedName name="________________________________fl1111" localSheetId="12" hidden="1">{"Fecha_Novembro",#N/A,FALSE,"FECHAMENTO-2002 ";"Defer_Novembro",#N/A,FALSE,"DIFERIDO";"Pis_Novembro",#N/A,FALSE,"PIS COFINS";"Iss_Novembro",#N/A,FALSE,"ISS"}</definedName>
    <definedName name="________________________________fl1111" localSheetId="13" hidden="1">{"Fecha_Novembro",#N/A,FALSE,"FECHAMENTO-2002 ";"Defer_Novembro",#N/A,FALSE,"DIFERIDO";"Pis_Novembro",#N/A,FALSE,"PIS COFINS";"Iss_Novembro",#N/A,FALSE,"ISS"}</definedName>
    <definedName name="________________________________fl1111" localSheetId="11" hidden="1">{"Fecha_Novembro",#N/A,FALSE,"FECHAMENTO-2002 ";"Defer_Novembro",#N/A,FALSE,"DIFERIDO";"Pis_Novembro",#N/A,FALSE,"PIS COFINS";"Iss_Novembro",#N/A,FALSE,"ISS"}</definedName>
    <definedName name="________________________________fl1111" localSheetId="31" hidden="1">{"Fecha_Novembro",#N/A,FALSE,"FECHAMENTO-2002 ";"Defer_Novembro",#N/A,FALSE,"DIFERIDO";"Pis_Novembro",#N/A,FALSE,"PIS COFINS";"Iss_Novembro",#N/A,FALSE,"ISS"}</definedName>
    <definedName name="________________________________fl1111" hidden="1">{"Fecha_Novembro",#N/A,FALSE,"FECHAMENTO-2002 ";"Defer_Novembro",#N/A,FALSE,"DIFERIDO";"Pis_Novembro",#N/A,FALSE,"PIS COFINS";"Iss_Novembro",#N/A,FALSE,"ISS"}</definedName>
    <definedName name="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fl1111" localSheetId="15" hidden="1">{"Fecha_Novembro",#N/A,FALSE,"FECHAMENTO-2002 ";"Defer_Novembro",#N/A,FALSE,"DIFERIDO";"Pis_Novembro",#N/A,FALSE,"PIS COFINS";"Iss_Novembro",#N/A,FALSE,"ISS"}</definedName>
    <definedName name="_______________________________fl1111" localSheetId="14" hidden="1">{"Fecha_Novembro",#N/A,FALSE,"FECHAMENTO-2002 ";"Defer_Novembro",#N/A,FALSE,"DIFERIDO";"Pis_Novembro",#N/A,FALSE,"PIS COFINS";"Iss_Novembro",#N/A,FALSE,"ISS"}</definedName>
    <definedName name="_______________________________fl1111" localSheetId="2" hidden="1">{"Fecha_Novembro",#N/A,FALSE,"FECHAMENTO-2002 ";"Defer_Novembro",#N/A,FALSE,"DIFERIDO";"Pis_Novembro",#N/A,FALSE,"PIS COFINS";"Iss_Novembro",#N/A,FALSE,"ISS"}</definedName>
    <definedName name="_______________________________fl1111" localSheetId="34" hidden="1">{"Fecha_Novembro",#N/A,FALSE,"FECHAMENTO-2002 ";"Defer_Novembro",#N/A,FALSE,"DIFERIDO";"Pis_Novembro",#N/A,FALSE,"PIS COFINS";"Iss_Novembro",#N/A,FALSE,"ISS"}</definedName>
    <definedName name="_______________________________fl1111" localSheetId="39" hidden="1">{"Fecha_Novembro",#N/A,FALSE,"FECHAMENTO-2002 ";"Defer_Novembro",#N/A,FALSE,"DIFERIDO";"Pis_Novembro",#N/A,FALSE,"PIS COFINS";"Iss_Novembro",#N/A,FALSE,"ISS"}</definedName>
    <definedName name="_______________________________fl1111" localSheetId="8" hidden="1">{"Fecha_Novembro",#N/A,FALSE,"FECHAMENTO-2002 ";"Defer_Novembro",#N/A,FALSE,"DIFERIDO";"Pis_Novembro",#N/A,FALSE,"PIS COFINS";"Iss_Novembro",#N/A,FALSE,"ISS"}</definedName>
    <definedName name="_______________________________fl1111" localSheetId="12" hidden="1">{"Fecha_Novembro",#N/A,FALSE,"FECHAMENTO-2002 ";"Defer_Novembro",#N/A,FALSE,"DIFERIDO";"Pis_Novembro",#N/A,FALSE,"PIS COFINS";"Iss_Novembro",#N/A,FALSE,"ISS"}</definedName>
    <definedName name="_______________________________fl1111" localSheetId="13" hidden="1">{"Fecha_Novembro",#N/A,FALSE,"FECHAMENTO-2002 ";"Defer_Novembro",#N/A,FALSE,"DIFERIDO";"Pis_Novembro",#N/A,FALSE,"PIS COFINS";"Iss_Novembro",#N/A,FALSE,"ISS"}</definedName>
    <definedName name="_______________________________fl1111" localSheetId="11" hidden="1">{"Fecha_Novembro",#N/A,FALSE,"FECHAMENTO-2002 ";"Defer_Novembro",#N/A,FALSE,"DIFERIDO";"Pis_Novembro",#N/A,FALSE,"PIS COFINS";"Iss_Novembro",#N/A,FALSE,"ISS"}</definedName>
    <definedName name="_______________________________fl1111" localSheetId="31" hidden="1">{"Fecha_Novembro",#N/A,FALSE,"FECHAMENTO-2002 ";"Defer_Novembro",#N/A,FALSE,"DIFERIDO";"Pis_Novembro",#N/A,FALSE,"PIS COFINS";"Iss_Novembro",#N/A,FALSE,"ISS"}</definedName>
    <definedName name="_______________________________fl1111" hidden="1">{"Fecha_Novembro",#N/A,FALSE,"FECHAMENTO-2002 ";"Defer_Novembro",#N/A,FALSE,"DIFERIDO";"Pis_Novembro",#N/A,FALSE,"PIS COFINS";"Iss_Novembro",#N/A,FALSE,"ISS"}</definedName>
    <definedName name="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fl1111" localSheetId="15" hidden="1">{"Fecha_Novembro",#N/A,FALSE,"FECHAMENTO-2002 ";"Defer_Novembro",#N/A,FALSE,"DIFERIDO";"Pis_Novembro",#N/A,FALSE,"PIS COFINS";"Iss_Novembro",#N/A,FALSE,"ISS"}</definedName>
    <definedName name="______________________________fl1111" localSheetId="14" hidden="1">{"Fecha_Novembro",#N/A,FALSE,"FECHAMENTO-2002 ";"Defer_Novembro",#N/A,FALSE,"DIFERIDO";"Pis_Novembro",#N/A,FALSE,"PIS COFINS";"Iss_Novembro",#N/A,FALSE,"ISS"}</definedName>
    <definedName name="______________________________fl1111" localSheetId="2" hidden="1">{"Fecha_Novembro",#N/A,FALSE,"FECHAMENTO-2002 ";"Defer_Novembro",#N/A,FALSE,"DIFERIDO";"Pis_Novembro",#N/A,FALSE,"PIS COFINS";"Iss_Novembro",#N/A,FALSE,"ISS"}</definedName>
    <definedName name="______________________________fl1111" localSheetId="34" hidden="1">{"Fecha_Novembro",#N/A,FALSE,"FECHAMENTO-2002 ";"Defer_Novembro",#N/A,FALSE,"DIFERIDO";"Pis_Novembro",#N/A,FALSE,"PIS COFINS";"Iss_Novembro",#N/A,FALSE,"ISS"}</definedName>
    <definedName name="______________________________fl1111" localSheetId="39" hidden="1">{"Fecha_Novembro",#N/A,FALSE,"FECHAMENTO-2002 ";"Defer_Novembro",#N/A,FALSE,"DIFERIDO";"Pis_Novembro",#N/A,FALSE,"PIS COFINS";"Iss_Novembro",#N/A,FALSE,"ISS"}</definedName>
    <definedName name="______________________________fl1111" localSheetId="8" hidden="1">{"Fecha_Novembro",#N/A,FALSE,"FECHAMENTO-2002 ";"Defer_Novembro",#N/A,FALSE,"DIFERIDO";"Pis_Novembro",#N/A,FALSE,"PIS COFINS";"Iss_Novembro",#N/A,FALSE,"ISS"}</definedName>
    <definedName name="______________________________fl1111" localSheetId="12" hidden="1">{"Fecha_Novembro",#N/A,FALSE,"FECHAMENTO-2002 ";"Defer_Novembro",#N/A,FALSE,"DIFERIDO";"Pis_Novembro",#N/A,FALSE,"PIS COFINS";"Iss_Novembro",#N/A,FALSE,"ISS"}</definedName>
    <definedName name="______________________________fl1111" localSheetId="13" hidden="1">{"Fecha_Novembro",#N/A,FALSE,"FECHAMENTO-2002 ";"Defer_Novembro",#N/A,FALSE,"DIFERIDO";"Pis_Novembro",#N/A,FALSE,"PIS COFINS";"Iss_Novembro",#N/A,FALSE,"ISS"}</definedName>
    <definedName name="______________________________fl1111" localSheetId="11" hidden="1">{"Fecha_Novembro",#N/A,FALSE,"FECHAMENTO-2002 ";"Defer_Novembro",#N/A,FALSE,"DIFERIDO";"Pis_Novembro",#N/A,FALSE,"PIS COFINS";"Iss_Novembro",#N/A,FALSE,"ISS"}</definedName>
    <definedName name="______________________________fl1111" localSheetId="31" hidden="1">{"Fecha_Novembro",#N/A,FALSE,"FECHAMENTO-2002 ";"Defer_Novembro",#N/A,FALSE,"DIFERIDO";"Pis_Novembro",#N/A,FALSE,"PIS COFINS";"Iss_Novembro",#N/A,FALSE,"ISS"}</definedName>
    <definedName name="______________________________fl1111" hidden="1">{"Fecha_Novembro",#N/A,FALSE,"FECHAMENTO-2002 ";"Defer_Novembro",#N/A,FALSE,"DIFERIDO";"Pis_Novembro",#N/A,FALSE,"PIS COFINS";"Iss_Novembro",#N/A,FALSE,"ISS"}</definedName>
    <definedName name="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fl1111" localSheetId="15" hidden="1">{"Fecha_Novembro",#N/A,FALSE,"FECHAMENTO-2002 ";"Defer_Novembro",#N/A,FALSE,"DIFERIDO";"Pis_Novembro",#N/A,FALSE,"PIS COFINS";"Iss_Novembro",#N/A,FALSE,"ISS"}</definedName>
    <definedName name="_____________________________fl1111" localSheetId="14" hidden="1">{"Fecha_Novembro",#N/A,FALSE,"FECHAMENTO-2002 ";"Defer_Novembro",#N/A,FALSE,"DIFERIDO";"Pis_Novembro",#N/A,FALSE,"PIS COFINS";"Iss_Novembro",#N/A,FALSE,"ISS"}</definedName>
    <definedName name="_____________________________fl1111" localSheetId="2" hidden="1">{"Fecha_Novembro",#N/A,FALSE,"FECHAMENTO-2002 ";"Defer_Novembro",#N/A,FALSE,"DIFERIDO";"Pis_Novembro",#N/A,FALSE,"PIS COFINS";"Iss_Novembro",#N/A,FALSE,"ISS"}</definedName>
    <definedName name="_____________________________fl1111" localSheetId="34" hidden="1">{"Fecha_Novembro",#N/A,FALSE,"FECHAMENTO-2002 ";"Defer_Novembro",#N/A,FALSE,"DIFERIDO";"Pis_Novembro",#N/A,FALSE,"PIS COFINS";"Iss_Novembro",#N/A,FALSE,"ISS"}</definedName>
    <definedName name="_____________________________fl1111" localSheetId="39" hidden="1">{"Fecha_Novembro",#N/A,FALSE,"FECHAMENTO-2002 ";"Defer_Novembro",#N/A,FALSE,"DIFERIDO";"Pis_Novembro",#N/A,FALSE,"PIS COFINS";"Iss_Novembro",#N/A,FALSE,"ISS"}</definedName>
    <definedName name="_____________________________fl1111" localSheetId="8" hidden="1">{"Fecha_Novembro",#N/A,FALSE,"FECHAMENTO-2002 ";"Defer_Novembro",#N/A,FALSE,"DIFERIDO";"Pis_Novembro",#N/A,FALSE,"PIS COFINS";"Iss_Novembro",#N/A,FALSE,"ISS"}</definedName>
    <definedName name="_____________________________fl1111" localSheetId="12" hidden="1">{"Fecha_Novembro",#N/A,FALSE,"FECHAMENTO-2002 ";"Defer_Novembro",#N/A,FALSE,"DIFERIDO";"Pis_Novembro",#N/A,FALSE,"PIS COFINS";"Iss_Novembro",#N/A,FALSE,"ISS"}</definedName>
    <definedName name="_____________________________fl1111" localSheetId="13" hidden="1">{"Fecha_Novembro",#N/A,FALSE,"FECHAMENTO-2002 ";"Defer_Novembro",#N/A,FALSE,"DIFERIDO";"Pis_Novembro",#N/A,FALSE,"PIS COFINS";"Iss_Novembro",#N/A,FALSE,"ISS"}</definedName>
    <definedName name="_____________________________fl1111" localSheetId="11" hidden="1">{"Fecha_Novembro",#N/A,FALSE,"FECHAMENTO-2002 ";"Defer_Novembro",#N/A,FALSE,"DIFERIDO";"Pis_Novembro",#N/A,FALSE,"PIS COFINS";"Iss_Novembro",#N/A,FALSE,"ISS"}</definedName>
    <definedName name="_____________________________fl1111" localSheetId="31" hidden="1">{"Fecha_Novembro",#N/A,FALSE,"FECHAMENTO-2002 ";"Defer_Novembro",#N/A,FALSE,"DIFERIDO";"Pis_Novembro",#N/A,FALSE,"PIS COFINS";"Iss_Novembro",#N/A,FALSE,"ISS"}</definedName>
    <definedName name="_____________________________fl1111" hidden="1">{"Fecha_Novembro",#N/A,FALSE,"FECHAMENTO-2002 ";"Defer_Novembro",#N/A,FALSE,"DIFERIDO";"Pis_Novembro",#N/A,FALSE,"PIS COFINS";"Iss_Novembro",#N/A,FALSE,"ISS"}</definedName>
    <definedName name="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fl1111" localSheetId="15" hidden="1">{"Fecha_Novembro",#N/A,FALSE,"FECHAMENTO-2002 ";"Defer_Novembro",#N/A,FALSE,"DIFERIDO";"Pis_Novembro",#N/A,FALSE,"PIS COFINS";"Iss_Novembro",#N/A,FALSE,"ISS"}</definedName>
    <definedName name="____________________________fl1111" localSheetId="14" hidden="1">{"Fecha_Novembro",#N/A,FALSE,"FECHAMENTO-2002 ";"Defer_Novembro",#N/A,FALSE,"DIFERIDO";"Pis_Novembro",#N/A,FALSE,"PIS COFINS";"Iss_Novembro",#N/A,FALSE,"ISS"}</definedName>
    <definedName name="____________________________fl1111" localSheetId="2" hidden="1">{"Fecha_Novembro",#N/A,FALSE,"FECHAMENTO-2002 ";"Defer_Novembro",#N/A,FALSE,"DIFERIDO";"Pis_Novembro",#N/A,FALSE,"PIS COFINS";"Iss_Novembro",#N/A,FALSE,"ISS"}</definedName>
    <definedName name="____________________________fl1111" localSheetId="34" hidden="1">{"Fecha_Novembro",#N/A,FALSE,"FECHAMENTO-2002 ";"Defer_Novembro",#N/A,FALSE,"DIFERIDO";"Pis_Novembro",#N/A,FALSE,"PIS COFINS";"Iss_Novembro",#N/A,FALSE,"ISS"}</definedName>
    <definedName name="____________________________fl1111" localSheetId="39" hidden="1">{"Fecha_Novembro",#N/A,FALSE,"FECHAMENTO-2002 ";"Defer_Novembro",#N/A,FALSE,"DIFERIDO";"Pis_Novembro",#N/A,FALSE,"PIS COFINS";"Iss_Novembro",#N/A,FALSE,"ISS"}</definedName>
    <definedName name="____________________________fl1111" localSheetId="8" hidden="1">{"Fecha_Novembro",#N/A,FALSE,"FECHAMENTO-2002 ";"Defer_Novembro",#N/A,FALSE,"DIFERIDO";"Pis_Novembro",#N/A,FALSE,"PIS COFINS";"Iss_Novembro",#N/A,FALSE,"ISS"}</definedName>
    <definedName name="____________________________fl1111" localSheetId="12" hidden="1">{"Fecha_Novembro",#N/A,FALSE,"FECHAMENTO-2002 ";"Defer_Novembro",#N/A,FALSE,"DIFERIDO";"Pis_Novembro",#N/A,FALSE,"PIS COFINS";"Iss_Novembro",#N/A,FALSE,"ISS"}</definedName>
    <definedName name="____________________________fl1111" localSheetId="13" hidden="1">{"Fecha_Novembro",#N/A,FALSE,"FECHAMENTO-2002 ";"Defer_Novembro",#N/A,FALSE,"DIFERIDO";"Pis_Novembro",#N/A,FALSE,"PIS COFINS";"Iss_Novembro",#N/A,FALSE,"ISS"}</definedName>
    <definedName name="____________________________fl1111" localSheetId="11" hidden="1">{"Fecha_Novembro",#N/A,FALSE,"FECHAMENTO-2002 ";"Defer_Novembro",#N/A,FALSE,"DIFERIDO";"Pis_Novembro",#N/A,FALSE,"PIS COFINS";"Iss_Novembro",#N/A,FALSE,"ISS"}</definedName>
    <definedName name="____________________________fl1111" localSheetId="31" hidden="1">{"Fecha_Novembro",#N/A,FALSE,"FECHAMENTO-2002 ";"Defer_Novembro",#N/A,FALSE,"DIFERIDO";"Pis_Novembro",#N/A,FALSE,"PIS COFINS";"Iss_Novembro",#N/A,FALSE,"ISS"}</definedName>
    <definedName name="____________________________fl1111" hidden="1">{"Fecha_Novembro",#N/A,FALSE,"FECHAMENTO-2002 ";"Defer_Novembro",#N/A,FALSE,"DIFERIDO";"Pis_Novembro",#N/A,FALSE,"PIS COFINS";"Iss_Novembro",#N/A,FALSE,"ISS"}</definedName>
    <definedName name="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fl1111" localSheetId="15" hidden="1">{"Fecha_Novembro",#N/A,FALSE,"FECHAMENTO-2002 ";"Defer_Novembro",#N/A,FALSE,"DIFERIDO";"Pis_Novembro",#N/A,FALSE,"PIS COFINS";"Iss_Novembro",#N/A,FALSE,"ISS"}</definedName>
    <definedName name="___________________________fl1111" localSheetId="14" hidden="1">{"Fecha_Novembro",#N/A,FALSE,"FECHAMENTO-2002 ";"Defer_Novembro",#N/A,FALSE,"DIFERIDO";"Pis_Novembro",#N/A,FALSE,"PIS COFINS";"Iss_Novembro",#N/A,FALSE,"ISS"}</definedName>
    <definedName name="___________________________fl1111" localSheetId="2" hidden="1">{"Fecha_Novembro",#N/A,FALSE,"FECHAMENTO-2002 ";"Defer_Novembro",#N/A,FALSE,"DIFERIDO";"Pis_Novembro",#N/A,FALSE,"PIS COFINS";"Iss_Novembro",#N/A,FALSE,"ISS"}</definedName>
    <definedName name="___________________________fl1111" localSheetId="34" hidden="1">{"Fecha_Novembro",#N/A,FALSE,"FECHAMENTO-2002 ";"Defer_Novembro",#N/A,FALSE,"DIFERIDO";"Pis_Novembro",#N/A,FALSE,"PIS COFINS";"Iss_Novembro",#N/A,FALSE,"ISS"}</definedName>
    <definedName name="___________________________fl1111" localSheetId="39" hidden="1">{"Fecha_Novembro",#N/A,FALSE,"FECHAMENTO-2002 ";"Defer_Novembro",#N/A,FALSE,"DIFERIDO";"Pis_Novembro",#N/A,FALSE,"PIS COFINS";"Iss_Novembro",#N/A,FALSE,"ISS"}</definedName>
    <definedName name="___________________________fl1111" localSheetId="8" hidden="1">{"Fecha_Novembro",#N/A,FALSE,"FECHAMENTO-2002 ";"Defer_Novembro",#N/A,FALSE,"DIFERIDO";"Pis_Novembro",#N/A,FALSE,"PIS COFINS";"Iss_Novembro",#N/A,FALSE,"ISS"}</definedName>
    <definedName name="___________________________fl1111" localSheetId="12" hidden="1">{"Fecha_Novembro",#N/A,FALSE,"FECHAMENTO-2002 ";"Defer_Novembro",#N/A,FALSE,"DIFERIDO";"Pis_Novembro",#N/A,FALSE,"PIS COFINS";"Iss_Novembro",#N/A,FALSE,"ISS"}</definedName>
    <definedName name="___________________________fl1111" localSheetId="13" hidden="1">{"Fecha_Novembro",#N/A,FALSE,"FECHAMENTO-2002 ";"Defer_Novembro",#N/A,FALSE,"DIFERIDO";"Pis_Novembro",#N/A,FALSE,"PIS COFINS";"Iss_Novembro",#N/A,FALSE,"ISS"}</definedName>
    <definedName name="___________________________fl1111" localSheetId="11" hidden="1">{"Fecha_Novembro",#N/A,FALSE,"FECHAMENTO-2002 ";"Defer_Novembro",#N/A,FALSE,"DIFERIDO";"Pis_Novembro",#N/A,FALSE,"PIS COFINS";"Iss_Novembro",#N/A,FALSE,"ISS"}</definedName>
    <definedName name="___________________________fl1111" localSheetId="31" hidden="1">{"Fecha_Novembro",#N/A,FALSE,"FECHAMENTO-2002 ";"Defer_Novembro",#N/A,FALSE,"DIFERIDO";"Pis_Novembro",#N/A,FALSE,"PIS COFINS";"Iss_Novembro",#N/A,FALSE,"ISS"}</definedName>
    <definedName name="___________________________fl1111" hidden="1">{"Fecha_Novembro",#N/A,FALSE,"FECHAMENTO-2002 ";"Defer_Novembro",#N/A,FALSE,"DIFERIDO";"Pis_Novembro",#N/A,FALSE,"PIS COFINS";"Iss_Novembro",#N/A,FALSE,"ISS"}</definedName>
    <definedName name="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fl1111" localSheetId="15" hidden="1">{"Fecha_Novembro",#N/A,FALSE,"FECHAMENTO-2002 ";"Defer_Novembro",#N/A,FALSE,"DIFERIDO";"Pis_Novembro",#N/A,FALSE,"PIS COFINS";"Iss_Novembro",#N/A,FALSE,"ISS"}</definedName>
    <definedName name="__________________________fl1111" localSheetId="14" hidden="1">{"Fecha_Novembro",#N/A,FALSE,"FECHAMENTO-2002 ";"Defer_Novembro",#N/A,FALSE,"DIFERIDO";"Pis_Novembro",#N/A,FALSE,"PIS COFINS";"Iss_Novembro",#N/A,FALSE,"ISS"}</definedName>
    <definedName name="__________________________fl1111" localSheetId="2" hidden="1">{"Fecha_Novembro",#N/A,FALSE,"FECHAMENTO-2002 ";"Defer_Novembro",#N/A,FALSE,"DIFERIDO";"Pis_Novembro",#N/A,FALSE,"PIS COFINS";"Iss_Novembro",#N/A,FALSE,"ISS"}</definedName>
    <definedName name="__________________________fl1111" localSheetId="34" hidden="1">{"Fecha_Novembro",#N/A,FALSE,"FECHAMENTO-2002 ";"Defer_Novembro",#N/A,FALSE,"DIFERIDO";"Pis_Novembro",#N/A,FALSE,"PIS COFINS";"Iss_Novembro",#N/A,FALSE,"ISS"}</definedName>
    <definedName name="__________________________fl1111" localSheetId="39" hidden="1">{"Fecha_Novembro",#N/A,FALSE,"FECHAMENTO-2002 ";"Defer_Novembro",#N/A,FALSE,"DIFERIDO";"Pis_Novembro",#N/A,FALSE,"PIS COFINS";"Iss_Novembro",#N/A,FALSE,"ISS"}</definedName>
    <definedName name="__________________________fl1111" localSheetId="8" hidden="1">{"Fecha_Novembro",#N/A,FALSE,"FECHAMENTO-2002 ";"Defer_Novembro",#N/A,FALSE,"DIFERIDO";"Pis_Novembro",#N/A,FALSE,"PIS COFINS";"Iss_Novembro",#N/A,FALSE,"ISS"}</definedName>
    <definedName name="__________________________fl1111" localSheetId="12" hidden="1">{"Fecha_Novembro",#N/A,FALSE,"FECHAMENTO-2002 ";"Defer_Novembro",#N/A,FALSE,"DIFERIDO";"Pis_Novembro",#N/A,FALSE,"PIS COFINS";"Iss_Novembro",#N/A,FALSE,"ISS"}</definedName>
    <definedName name="__________________________fl1111" localSheetId="13" hidden="1">{"Fecha_Novembro",#N/A,FALSE,"FECHAMENTO-2002 ";"Defer_Novembro",#N/A,FALSE,"DIFERIDO";"Pis_Novembro",#N/A,FALSE,"PIS COFINS";"Iss_Novembro",#N/A,FALSE,"ISS"}</definedName>
    <definedName name="__________________________fl1111" localSheetId="11" hidden="1">{"Fecha_Novembro",#N/A,FALSE,"FECHAMENTO-2002 ";"Defer_Novembro",#N/A,FALSE,"DIFERIDO";"Pis_Novembro",#N/A,FALSE,"PIS COFINS";"Iss_Novembro",#N/A,FALSE,"ISS"}</definedName>
    <definedName name="__________________________fl1111" localSheetId="31" hidden="1">{"Fecha_Novembro",#N/A,FALSE,"FECHAMENTO-2002 ";"Defer_Novembro",#N/A,FALSE,"DIFERIDO";"Pis_Novembro",#N/A,FALSE,"PIS COFINS";"Iss_Novembro",#N/A,FALSE,"ISS"}</definedName>
    <definedName name="__________________________fl1111" hidden="1">{"Fecha_Novembro",#N/A,FALSE,"FECHAMENTO-2002 ";"Defer_Novembro",#N/A,FALSE,"DIFERIDO";"Pis_Novembro",#N/A,FALSE,"PIS COFINS";"Iss_Novembro",#N/A,FALSE,"ISS"}</definedName>
    <definedName name="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fl1111" localSheetId="15" hidden="1">{"Fecha_Novembro",#N/A,FALSE,"FECHAMENTO-2002 ";"Defer_Novembro",#N/A,FALSE,"DIFERIDO";"Pis_Novembro",#N/A,FALSE,"PIS COFINS";"Iss_Novembro",#N/A,FALSE,"ISS"}</definedName>
    <definedName name="_________________________fl1111" localSheetId="14" hidden="1">{"Fecha_Novembro",#N/A,FALSE,"FECHAMENTO-2002 ";"Defer_Novembro",#N/A,FALSE,"DIFERIDO";"Pis_Novembro",#N/A,FALSE,"PIS COFINS";"Iss_Novembro",#N/A,FALSE,"ISS"}</definedName>
    <definedName name="_________________________fl1111" localSheetId="2" hidden="1">{"Fecha_Novembro",#N/A,FALSE,"FECHAMENTO-2002 ";"Defer_Novembro",#N/A,FALSE,"DIFERIDO";"Pis_Novembro",#N/A,FALSE,"PIS COFINS";"Iss_Novembro",#N/A,FALSE,"ISS"}</definedName>
    <definedName name="_________________________fl1111" localSheetId="34" hidden="1">{"Fecha_Novembro",#N/A,FALSE,"FECHAMENTO-2002 ";"Defer_Novembro",#N/A,FALSE,"DIFERIDO";"Pis_Novembro",#N/A,FALSE,"PIS COFINS";"Iss_Novembro",#N/A,FALSE,"ISS"}</definedName>
    <definedName name="_________________________fl1111" localSheetId="39" hidden="1">{"Fecha_Novembro",#N/A,FALSE,"FECHAMENTO-2002 ";"Defer_Novembro",#N/A,FALSE,"DIFERIDO";"Pis_Novembro",#N/A,FALSE,"PIS COFINS";"Iss_Novembro",#N/A,FALSE,"ISS"}</definedName>
    <definedName name="_________________________fl1111" localSheetId="8" hidden="1">{"Fecha_Novembro",#N/A,FALSE,"FECHAMENTO-2002 ";"Defer_Novembro",#N/A,FALSE,"DIFERIDO";"Pis_Novembro",#N/A,FALSE,"PIS COFINS";"Iss_Novembro",#N/A,FALSE,"ISS"}</definedName>
    <definedName name="_________________________fl1111" localSheetId="12" hidden="1">{"Fecha_Novembro",#N/A,FALSE,"FECHAMENTO-2002 ";"Defer_Novembro",#N/A,FALSE,"DIFERIDO";"Pis_Novembro",#N/A,FALSE,"PIS COFINS";"Iss_Novembro",#N/A,FALSE,"ISS"}</definedName>
    <definedName name="_________________________fl1111" localSheetId="13" hidden="1">{"Fecha_Novembro",#N/A,FALSE,"FECHAMENTO-2002 ";"Defer_Novembro",#N/A,FALSE,"DIFERIDO";"Pis_Novembro",#N/A,FALSE,"PIS COFINS";"Iss_Novembro",#N/A,FALSE,"ISS"}</definedName>
    <definedName name="_________________________fl1111" localSheetId="11" hidden="1">{"Fecha_Novembro",#N/A,FALSE,"FECHAMENTO-2002 ";"Defer_Novembro",#N/A,FALSE,"DIFERIDO";"Pis_Novembro",#N/A,FALSE,"PIS COFINS";"Iss_Novembro",#N/A,FALSE,"ISS"}</definedName>
    <definedName name="_________________________fl1111" localSheetId="31" hidden="1">{"Fecha_Novembro",#N/A,FALSE,"FECHAMENTO-2002 ";"Defer_Novembro",#N/A,FALSE,"DIFERIDO";"Pis_Novembro",#N/A,FALSE,"PIS COFINS";"Iss_Novembro",#N/A,FALSE,"ISS"}</definedName>
    <definedName name="_________________________fl1111" hidden="1">{"Fecha_Novembro",#N/A,FALSE,"FECHAMENTO-2002 ";"Defer_Novembro",#N/A,FALSE,"DIFERIDO";"Pis_Novembro",#N/A,FALSE,"PIS COFINS";"Iss_Novembro",#N/A,FALSE,"ISS"}</definedName>
    <definedName name="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fl1111" localSheetId="15" hidden="1">{"Fecha_Novembro",#N/A,FALSE,"FECHAMENTO-2002 ";"Defer_Novembro",#N/A,FALSE,"DIFERIDO";"Pis_Novembro",#N/A,FALSE,"PIS COFINS";"Iss_Novembro",#N/A,FALSE,"ISS"}</definedName>
    <definedName name="________________________fl1111" localSheetId="14" hidden="1">{"Fecha_Novembro",#N/A,FALSE,"FECHAMENTO-2002 ";"Defer_Novembro",#N/A,FALSE,"DIFERIDO";"Pis_Novembro",#N/A,FALSE,"PIS COFINS";"Iss_Novembro",#N/A,FALSE,"ISS"}</definedName>
    <definedName name="________________________fl1111" localSheetId="2" hidden="1">{"Fecha_Novembro",#N/A,FALSE,"FECHAMENTO-2002 ";"Defer_Novembro",#N/A,FALSE,"DIFERIDO";"Pis_Novembro",#N/A,FALSE,"PIS COFINS";"Iss_Novembro",#N/A,FALSE,"ISS"}</definedName>
    <definedName name="________________________fl1111" localSheetId="34" hidden="1">{"Fecha_Novembro",#N/A,FALSE,"FECHAMENTO-2002 ";"Defer_Novembro",#N/A,FALSE,"DIFERIDO";"Pis_Novembro",#N/A,FALSE,"PIS COFINS";"Iss_Novembro",#N/A,FALSE,"ISS"}</definedName>
    <definedName name="________________________fl1111" localSheetId="39" hidden="1">{"Fecha_Novembro",#N/A,FALSE,"FECHAMENTO-2002 ";"Defer_Novembro",#N/A,FALSE,"DIFERIDO";"Pis_Novembro",#N/A,FALSE,"PIS COFINS";"Iss_Novembro",#N/A,FALSE,"ISS"}</definedName>
    <definedName name="________________________fl1111" localSheetId="8" hidden="1">{"Fecha_Novembro",#N/A,FALSE,"FECHAMENTO-2002 ";"Defer_Novembro",#N/A,FALSE,"DIFERIDO";"Pis_Novembro",#N/A,FALSE,"PIS COFINS";"Iss_Novembro",#N/A,FALSE,"ISS"}</definedName>
    <definedName name="________________________fl1111" localSheetId="12" hidden="1">{"Fecha_Novembro",#N/A,FALSE,"FECHAMENTO-2002 ";"Defer_Novembro",#N/A,FALSE,"DIFERIDO";"Pis_Novembro",#N/A,FALSE,"PIS COFINS";"Iss_Novembro",#N/A,FALSE,"ISS"}</definedName>
    <definedName name="________________________fl1111" localSheetId="13" hidden="1">{"Fecha_Novembro",#N/A,FALSE,"FECHAMENTO-2002 ";"Defer_Novembro",#N/A,FALSE,"DIFERIDO";"Pis_Novembro",#N/A,FALSE,"PIS COFINS";"Iss_Novembro",#N/A,FALSE,"ISS"}</definedName>
    <definedName name="________________________fl1111" localSheetId="11" hidden="1">{"Fecha_Novembro",#N/A,FALSE,"FECHAMENTO-2002 ";"Defer_Novembro",#N/A,FALSE,"DIFERIDO";"Pis_Novembro",#N/A,FALSE,"PIS COFINS";"Iss_Novembro",#N/A,FALSE,"ISS"}</definedName>
    <definedName name="________________________fl1111" localSheetId="31" hidden="1">{"Fecha_Novembro",#N/A,FALSE,"FECHAMENTO-2002 ";"Defer_Novembro",#N/A,FALSE,"DIFERIDO";"Pis_Novembro",#N/A,FALSE,"PIS COFINS";"Iss_Novembro",#N/A,FALSE,"ISS"}</definedName>
    <definedName name="________________________fl1111" hidden="1">{"Fecha_Novembro",#N/A,FALSE,"FECHAMENTO-2002 ";"Defer_Novembro",#N/A,FALSE,"DIFERIDO";"Pis_Novembro",#N/A,FALSE,"PIS COFINS";"Iss_Novembro",#N/A,FALSE,"ISS"}</definedName>
    <definedName name="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fl1111" localSheetId="15" hidden="1">{"Fecha_Novembro",#N/A,FALSE,"FECHAMENTO-2002 ";"Defer_Novembro",#N/A,FALSE,"DIFERIDO";"Pis_Novembro",#N/A,FALSE,"PIS COFINS";"Iss_Novembro",#N/A,FALSE,"ISS"}</definedName>
    <definedName name="_______________________fl1111" localSheetId="14" hidden="1">{"Fecha_Novembro",#N/A,FALSE,"FECHAMENTO-2002 ";"Defer_Novembro",#N/A,FALSE,"DIFERIDO";"Pis_Novembro",#N/A,FALSE,"PIS COFINS";"Iss_Novembro",#N/A,FALSE,"ISS"}</definedName>
    <definedName name="_______________________fl1111" localSheetId="2" hidden="1">{"Fecha_Novembro",#N/A,FALSE,"FECHAMENTO-2002 ";"Defer_Novembro",#N/A,FALSE,"DIFERIDO";"Pis_Novembro",#N/A,FALSE,"PIS COFINS";"Iss_Novembro",#N/A,FALSE,"ISS"}</definedName>
    <definedName name="_______________________fl1111" localSheetId="34" hidden="1">{"Fecha_Novembro",#N/A,FALSE,"FECHAMENTO-2002 ";"Defer_Novembro",#N/A,FALSE,"DIFERIDO";"Pis_Novembro",#N/A,FALSE,"PIS COFINS";"Iss_Novembro",#N/A,FALSE,"ISS"}</definedName>
    <definedName name="_______________________fl1111" localSheetId="39" hidden="1">{"Fecha_Novembro",#N/A,FALSE,"FECHAMENTO-2002 ";"Defer_Novembro",#N/A,FALSE,"DIFERIDO";"Pis_Novembro",#N/A,FALSE,"PIS COFINS";"Iss_Novembro",#N/A,FALSE,"ISS"}</definedName>
    <definedName name="_______________________fl1111" localSheetId="8" hidden="1">{"Fecha_Novembro",#N/A,FALSE,"FECHAMENTO-2002 ";"Defer_Novembro",#N/A,FALSE,"DIFERIDO";"Pis_Novembro",#N/A,FALSE,"PIS COFINS";"Iss_Novembro",#N/A,FALSE,"ISS"}</definedName>
    <definedName name="_______________________fl1111" localSheetId="12" hidden="1">{"Fecha_Novembro",#N/A,FALSE,"FECHAMENTO-2002 ";"Defer_Novembro",#N/A,FALSE,"DIFERIDO";"Pis_Novembro",#N/A,FALSE,"PIS COFINS";"Iss_Novembro",#N/A,FALSE,"ISS"}</definedName>
    <definedName name="_______________________fl1111" localSheetId="13" hidden="1">{"Fecha_Novembro",#N/A,FALSE,"FECHAMENTO-2002 ";"Defer_Novembro",#N/A,FALSE,"DIFERIDO";"Pis_Novembro",#N/A,FALSE,"PIS COFINS";"Iss_Novembro",#N/A,FALSE,"ISS"}</definedName>
    <definedName name="_______________________fl1111" localSheetId="11" hidden="1">{"Fecha_Novembro",#N/A,FALSE,"FECHAMENTO-2002 ";"Defer_Novembro",#N/A,FALSE,"DIFERIDO";"Pis_Novembro",#N/A,FALSE,"PIS COFINS";"Iss_Novembro",#N/A,FALSE,"ISS"}</definedName>
    <definedName name="_______________________fl1111" localSheetId="31" hidden="1">{"Fecha_Novembro",#N/A,FALSE,"FECHAMENTO-2002 ";"Defer_Novembro",#N/A,FALSE,"DIFERIDO";"Pis_Novembro",#N/A,FALSE,"PIS COFINS";"Iss_Novembro",#N/A,FALSE,"ISS"}</definedName>
    <definedName name="_______________________fl1111" hidden="1">{"Fecha_Novembro",#N/A,FALSE,"FECHAMENTO-2002 ";"Defer_Novembro",#N/A,FALSE,"DIFERIDO";"Pis_Novembro",#N/A,FALSE,"PIS COFINS";"Iss_Novembro",#N/A,FALSE,"ISS"}</definedName>
    <definedName name="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fl1111" localSheetId="15" hidden="1">{"Fecha_Novembro",#N/A,FALSE,"FECHAMENTO-2002 ";"Defer_Novembro",#N/A,FALSE,"DIFERIDO";"Pis_Novembro",#N/A,FALSE,"PIS COFINS";"Iss_Novembro",#N/A,FALSE,"ISS"}</definedName>
    <definedName name="______________________fl1111" localSheetId="14" hidden="1">{"Fecha_Novembro",#N/A,FALSE,"FECHAMENTO-2002 ";"Defer_Novembro",#N/A,FALSE,"DIFERIDO";"Pis_Novembro",#N/A,FALSE,"PIS COFINS";"Iss_Novembro",#N/A,FALSE,"ISS"}</definedName>
    <definedName name="______________________fl1111" localSheetId="2" hidden="1">{"Fecha_Novembro",#N/A,FALSE,"FECHAMENTO-2002 ";"Defer_Novembro",#N/A,FALSE,"DIFERIDO";"Pis_Novembro",#N/A,FALSE,"PIS COFINS";"Iss_Novembro",#N/A,FALSE,"ISS"}</definedName>
    <definedName name="______________________fl1111" localSheetId="34" hidden="1">{"Fecha_Novembro",#N/A,FALSE,"FECHAMENTO-2002 ";"Defer_Novembro",#N/A,FALSE,"DIFERIDO";"Pis_Novembro",#N/A,FALSE,"PIS COFINS";"Iss_Novembro",#N/A,FALSE,"ISS"}</definedName>
    <definedName name="______________________fl1111" localSheetId="39" hidden="1">{"Fecha_Novembro",#N/A,FALSE,"FECHAMENTO-2002 ";"Defer_Novembro",#N/A,FALSE,"DIFERIDO";"Pis_Novembro",#N/A,FALSE,"PIS COFINS";"Iss_Novembro",#N/A,FALSE,"ISS"}</definedName>
    <definedName name="______________________fl1111" localSheetId="8" hidden="1">{"Fecha_Novembro",#N/A,FALSE,"FECHAMENTO-2002 ";"Defer_Novembro",#N/A,FALSE,"DIFERIDO";"Pis_Novembro",#N/A,FALSE,"PIS COFINS";"Iss_Novembro",#N/A,FALSE,"ISS"}</definedName>
    <definedName name="______________________fl1111" localSheetId="12" hidden="1">{"Fecha_Novembro",#N/A,FALSE,"FECHAMENTO-2002 ";"Defer_Novembro",#N/A,FALSE,"DIFERIDO";"Pis_Novembro",#N/A,FALSE,"PIS COFINS";"Iss_Novembro",#N/A,FALSE,"ISS"}</definedName>
    <definedName name="______________________fl1111" localSheetId="13" hidden="1">{"Fecha_Novembro",#N/A,FALSE,"FECHAMENTO-2002 ";"Defer_Novembro",#N/A,FALSE,"DIFERIDO";"Pis_Novembro",#N/A,FALSE,"PIS COFINS";"Iss_Novembro",#N/A,FALSE,"ISS"}</definedName>
    <definedName name="______________________fl1111" localSheetId="11" hidden="1">{"Fecha_Novembro",#N/A,FALSE,"FECHAMENTO-2002 ";"Defer_Novembro",#N/A,FALSE,"DIFERIDO";"Pis_Novembro",#N/A,FALSE,"PIS COFINS";"Iss_Novembro",#N/A,FALSE,"ISS"}</definedName>
    <definedName name="______________________fl1111" localSheetId="31" hidden="1">{"Fecha_Novembro",#N/A,FALSE,"FECHAMENTO-2002 ";"Defer_Novembro",#N/A,FALSE,"DIFERIDO";"Pis_Novembro",#N/A,FALSE,"PIS COFINS";"Iss_Novembro",#N/A,FALSE,"ISS"}</definedName>
    <definedName name="______________________fl1111" hidden="1">{"Fecha_Novembro",#N/A,FALSE,"FECHAMENTO-2002 ";"Defer_Novembro",#N/A,FALSE,"DIFERIDO";"Pis_Novembro",#N/A,FALSE,"PIS COFINS";"Iss_Novembro",#N/A,FALSE,"ISS"}</definedName>
    <definedName name="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fl1111" localSheetId="15" hidden="1">{"Fecha_Novembro",#N/A,FALSE,"FECHAMENTO-2002 ";"Defer_Novembro",#N/A,FALSE,"DIFERIDO";"Pis_Novembro",#N/A,FALSE,"PIS COFINS";"Iss_Novembro",#N/A,FALSE,"ISS"}</definedName>
    <definedName name="_____________________fl1111" localSheetId="14" hidden="1">{"Fecha_Novembro",#N/A,FALSE,"FECHAMENTO-2002 ";"Defer_Novembro",#N/A,FALSE,"DIFERIDO";"Pis_Novembro",#N/A,FALSE,"PIS COFINS";"Iss_Novembro",#N/A,FALSE,"ISS"}</definedName>
    <definedName name="_____________________fl1111" localSheetId="2" hidden="1">{"Fecha_Novembro",#N/A,FALSE,"FECHAMENTO-2002 ";"Defer_Novembro",#N/A,FALSE,"DIFERIDO";"Pis_Novembro",#N/A,FALSE,"PIS COFINS";"Iss_Novembro",#N/A,FALSE,"ISS"}</definedName>
    <definedName name="_____________________fl1111" localSheetId="34" hidden="1">{"Fecha_Novembro",#N/A,FALSE,"FECHAMENTO-2002 ";"Defer_Novembro",#N/A,FALSE,"DIFERIDO";"Pis_Novembro",#N/A,FALSE,"PIS COFINS";"Iss_Novembro",#N/A,FALSE,"ISS"}</definedName>
    <definedName name="_____________________fl1111" localSheetId="39" hidden="1">{"Fecha_Novembro",#N/A,FALSE,"FECHAMENTO-2002 ";"Defer_Novembro",#N/A,FALSE,"DIFERIDO";"Pis_Novembro",#N/A,FALSE,"PIS COFINS";"Iss_Novembro",#N/A,FALSE,"ISS"}</definedName>
    <definedName name="_____________________fl1111" localSheetId="8" hidden="1">{"Fecha_Novembro",#N/A,FALSE,"FECHAMENTO-2002 ";"Defer_Novembro",#N/A,FALSE,"DIFERIDO";"Pis_Novembro",#N/A,FALSE,"PIS COFINS";"Iss_Novembro",#N/A,FALSE,"ISS"}</definedName>
    <definedName name="_____________________fl1111" localSheetId="12" hidden="1">{"Fecha_Novembro",#N/A,FALSE,"FECHAMENTO-2002 ";"Defer_Novembro",#N/A,FALSE,"DIFERIDO";"Pis_Novembro",#N/A,FALSE,"PIS COFINS";"Iss_Novembro",#N/A,FALSE,"ISS"}</definedName>
    <definedName name="_____________________fl1111" localSheetId="13" hidden="1">{"Fecha_Novembro",#N/A,FALSE,"FECHAMENTO-2002 ";"Defer_Novembro",#N/A,FALSE,"DIFERIDO";"Pis_Novembro",#N/A,FALSE,"PIS COFINS";"Iss_Novembro",#N/A,FALSE,"ISS"}</definedName>
    <definedName name="_____________________fl1111" localSheetId="11" hidden="1">{"Fecha_Novembro",#N/A,FALSE,"FECHAMENTO-2002 ";"Defer_Novembro",#N/A,FALSE,"DIFERIDO";"Pis_Novembro",#N/A,FALSE,"PIS COFINS";"Iss_Novembro",#N/A,FALSE,"ISS"}</definedName>
    <definedName name="_____________________fl1111" localSheetId="31" hidden="1">{"Fecha_Novembro",#N/A,FALSE,"FECHAMENTO-2002 ";"Defer_Novembro",#N/A,FALSE,"DIFERIDO";"Pis_Novembro",#N/A,FALSE,"PIS COFINS";"Iss_Novembro",#N/A,FALSE,"ISS"}</definedName>
    <definedName name="_____________________fl1111" hidden="1">{"Fecha_Novembro",#N/A,FALSE,"FECHAMENTO-2002 ";"Defer_Novembro",#N/A,FALSE,"DIFERIDO";"Pis_Novembro",#N/A,FALSE,"PIS COFINS";"Iss_Novembro",#N/A,FALSE,"ISS"}</definedName>
    <definedName name="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fl1111" localSheetId="15" hidden="1">{"Fecha_Novembro",#N/A,FALSE,"FECHAMENTO-2002 ";"Defer_Novembro",#N/A,FALSE,"DIFERIDO";"Pis_Novembro",#N/A,FALSE,"PIS COFINS";"Iss_Novembro",#N/A,FALSE,"ISS"}</definedName>
    <definedName name="____________________fl1111" localSheetId="14" hidden="1">{"Fecha_Novembro",#N/A,FALSE,"FECHAMENTO-2002 ";"Defer_Novembro",#N/A,FALSE,"DIFERIDO";"Pis_Novembro",#N/A,FALSE,"PIS COFINS";"Iss_Novembro",#N/A,FALSE,"ISS"}</definedName>
    <definedName name="____________________fl1111" localSheetId="2" hidden="1">{"Fecha_Novembro",#N/A,FALSE,"FECHAMENTO-2002 ";"Defer_Novembro",#N/A,FALSE,"DIFERIDO";"Pis_Novembro",#N/A,FALSE,"PIS COFINS";"Iss_Novembro",#N/A,FALSE,"ISS"}</definedName>
    <definedName name="____________________fl1111" localSheetId="34" hidden="1">{"Fecha_Novembro",#N/A,FALSE,"FECHAMENTO-2002 ";"Defer_Novembro",#N/A,FALSE,"DIFERIDO";"Pis_Novembro",#N/A,FALSE,"PIS COFINS";"Iss_Novembro",#N/A,FALSE,"ISS"}</definedName>
    <definedName name="____________________fl1111" localSheetId="39" hidden="1">{"Fecha_Novembro",#N/A,FALSE,"FECHAMENTO-2002 ";"Defer_Novembro",#N/A,FALSE,"DIFERIDO";"Pis_Novembro",#N/A,FALSE,"PIS COFINS";"Iss_Novembro",#N/A,FALSE,"ISS"}</definedName>
    <definedName name="____________________fl1111" localSheetId="8" hidden="1">{"Fecha_Novembro",#N/A,FALSE,"FECHAMENTO-2002 ";"Defer_Novembro",#N/A,FALSE,"DIFERIDO";"Pis_Novembro",#N/A,FALSE,"PIS COFINS";"Iss_Novembro",#N/A,FALSE,"ISS"}</definedName>
    <definedName name="____________________fl1111" localSheetId="12" hidden="1">{"Fecha_Novembro",#N/A,FALSE,"FECHAMENTO-2002 ";"Defer_Novembro",#N/A,FALSE,"DIFERIDO";"Pis_Novembro",#N/A,FALSE,"PIS COFINS";"Iss_Novembro",#N/A,FALSE,"ISS"}</definedName>
    <definedName name="____________________fl1111" localSheetId="13" hidden="1">{"Fecha_Novembro",#N/A,FALSE,"FECHAMENTO-2002 ";"Defer_Novembro",#N/A,FALSE,"DIFERIDO";"Pis_Novembro",#N/A,FALSE,"PIS COFINS";"Iss_Novembro",#N/A,FALSE,"ISS"}</definedName>
    <definedName name="____________________fl1111" localSheetId="11" hidden="1">{"Fecha_Novembro",#N/A,FALSE,"FECHAMENTO-2002 ";"Defer_Novembro",#N/A,FALSE,"DIFERIDO";"Pis_Novembro",#N/A,FALSE,"PIS COFINS";"Iss_Novembro",#N/A,FALSE,"ISS"}</definedName>
    <definedName name="____________________fl1111" localSheetId="31" hidden="1">{"Fecha_Novembro",#N/A,FALSE,"FECHAMENTO-2002 ";"Defer_Novembro",#N/A,FALSE,"DIFERIDO";"Pis_Novembro",#N/A,FALSE,"PIS COFINS";"Iss_Novembro",#N/A,FALSE,"ISS"}</definedName>
    <definedName name="____________________fl1111" hidden="1">{"Fecha_Novembro",#N/A,FALSE,"FECHAMENTO-2002 ";"Defer_Novembro",#N/A,FALSE,"DIFERIDO";"Pis_Novembro",#N/A,FALSE,"PIS COFINS";"Iss_Novembro",#N/A,FALSE,"ISS"}</definedName>
    <definedName name="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fl1111" localSheetId="15" hidden="1">{"Fecha_Novembro",#N/A,FALSE,"FECHAMENTO-2002 ";"Defer_Novembro",#N/A,FALSE,"DIFERIDO";"Pis_Novembro",#N/A,FALSE,"PIS COFINS";"Iss_Novembro",#N/A,FALSE,"ISS"}</definedName>
    <definedName name="___________________fl1111" localSheetId="14" hidden="1">{"Fecha_Novembro",#N/A,FALSE,"FECHAMENTO-2002 ";"Defer_Novembro",#N/A,FALSE,"DIFERIDO";"Pis_Novembro",#N/A,FALSE,"PIS COFINS";"Iss_Novembro",#N/A,FALSE,"ISS"}</definedName>
    <definedName name="___________________fl1111" localSheetId="2" hidden="1">{"Fecha_Novembro",#N/A,FALSE,"FECHAMENTO-2002 ";"Defer_Novembro",#N/A,FALSE,"DIFERIDO";"Pis_Novembro",#N/A,FALSE,"PIS COFINS";"Iss_Novembro",#N/A,FALSE,"ISS"}</definedName>
    <definedName name="___________________fl1111" localSheetId="34" hidden="1">{"Fecha_Novembro",#N/A,FALSE,"FECHAMENTO-2002 ";"Defer_Novembro",#N/A,FALSE,"DIFERIDO";"Pis_Novembro",#N/A,FALSE,"PIS COFINS";"Iss_Novembro",#N/A,FALSE,"ISS"}</definedName>
    <definedName name="___________________fl1111" localSheetId="39" hidden="1">{"Fecha_Novembro",#N/A,FALSE,"FECHAMENTO-2002 ";"Defer_Novembro",#N/A,FALSE,"DIFERIDO";"Pis_Novembro",#N/A,FALSE,"PIS COFINS";"Iss_Novembro",#N/A,FALSE,"ISS"}</definedName>
    <definedName name="___________________fl1111" localSheetId="8" hidden="1">{"Fecha_Novembro",#N/A,FALSE,"FECHAMENTO-2002 ";"Defer_Novembro",#N/A,FALSE,"DIFERIDO";"Pis_Novembro",#N/A,FALSE,"PIS COFINS";"Iss_Novembro",#N/A,FALSE,"ISS"}</definedName>
    <definedName name="___________________fl1111" localSheetId="12" hidden="1">{"Fecha_Novembro",#N/A,FALSE,"FECHAMENTO-2002 ";"Defer_Novembro",#N/A,FALSE,"DIFERIDO";"Pis_Novembro",#N/A,FALSE,"PIS COFINS";"Iss_Novembro",#N/A,FALSE,"ISS"}</definedName>
    <definedName name="___________________fl1111" localSheetId="13" hidden="1">{"Fecha_Novembro",#N/A,FALSE,"FECHAMENTO-2002 ";"Defer_Novembro",#N/A,FALSE,"DIFERIDO";"Pis_Novembro",#N/A,FALSE,"PIS COFINS";"Iss_Novembro",#N/A,FALSE,"ISS"}</definedName>
    <definedName name="___________________fl1111" localSheetId="11" hidden="1">{"Fecha_Novembro",#N/A,FALSE,"FECHAMENTO-2002 ";"Defer_Novembro",#N/A,FALSE,"DIFERIDO";"Pis_Novembro",#N/A,FALSE,"PIS COFINS";"Iss_Novembro",#N/A,FALSE,"ISS"}</definedName>
    <definedName name="___________________fl1111" localSheetId="31" hidden="1">{"Fecha_Novembro",#N/A,FALSE,"FECHAMENTO-2002 ";"Defer_Novembro",#N/A,FALSE,"DIFERIDO";"Pis_Novembro",#N/A,FALSE,"PIS COFINS";"Iss_Novembro",#N/A,FALSE,"ISS"}</definedName>
    <definedName name="___________________fl1111" hidden="1">{"Fecha_Novembro",#N/A,FALSE,"FECHAMENTO-2002 ";"Defer_Novembro",#N/A,FALSE,"DIFERIDO";"Pis_Novembro",#N/A,FALSE,"PIS COFINS";"Iss_Novembro",#N/A,FALSE,"ISS"}</definedName>
    <definedName name="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fl1111" localSheetId="15" hidden="1">{"Fecha_Novembro",#N/A,FALSE,"FECHAMENTO-2002 ";"Defer_Novembro",#N/A,FALSE,"DIFERIDO";"Pis_Novembro",#N/A,FALSE,"PIS COFINS";"Iss_Novembro",#N/A,FALSE,"ISS"}</definedName>
    <definedName name="__________________fl1111" localSheetId="14" hidden="1">{"Fecha_Novembro",#N/A,FALSE,"FECHAMENTO-2002 ";"Defer_Novembro",#N/A,FALSE,"DIFERIDO";"Pis_Novembro",#N/A,FALSE,"PIS COFINS";"Iss_Novembro",#N/A,FALSE,"ISS"}</definedName>
    <definedName name="__________________fl1111" localSheetId="2" hidden="1">{"Fecha_Novembro",#N/A,FALSE,"FECHAMENTO-2002 ";"Defer_Novembro",#N/A,FALSE,"DIFERIDO";"Pis_Novembro",#N/A,FALSE,"PIS COFINS";"Iss_Novembro",#N/A,FALSE,"ISS"}</definedName>
    <definedName name="__________________fl1111" localSheetId="34" hidden="1">{"Fecha_Novembro",#N/A,FALSE,"FECHAMENTO-2002 ";"Defer_Novembro",#N/A,FALSE,"DIFERIDO";"Pis_Novembro",#N/A,FALSE,"PIS COFINS";"Iss_Novembro",#N/A,FALSE,"ISS"}</definedName>
    <definedName name="__________________fl1111" localSheetId="39" hidden="1">{"Fecha_Novembro",#N/A,FALSE,"FECHAMENTO-2002 ";"Defer_Novembro",#N/A,FALSE,"DIFERIDO";"Pis_Novembro",#N/A,FALSE,"PIS COFINS";"Iss_Novembro",#N/A,FALSE,"ISS"}</definedName>
    <definedName name="__________________fl1111" localSheetId="8" hidden="1">{"Fecha_Novembro",#N/A,FALSE,"FECHAMENTO-2002 ";"Defer_Novembro",#N/A,FALSE,"DIFERIDO";"Pis_Novembro",#N/A,FALSE,"PIS COFINS";"Iss_Novembro",#N/A,FALSE,"ISS"}</definedName>
    <definedName name="__________________fl1111" localSheetId="12" hidden="1">{"Fecha_Novembro",#N/A,FALSE,"FECHAMENTO-2002 ";"Defer_Novembro",#N/A,FALSE,"DIFERIDO";"Pis_Novembro",#N/A,FALSE,"PIS COFINS";"Iss_Novembro",#N/A,FALSE,"ISS"}</definedName>
    <definedName name="__________________fl1111" localSheetId="13" hidden="1">{"Fecha_Novembro",#N/A,FALSE,"FECHAMENTO-2002 ";"Defer_Novembro",#N/A,FALSE,"DIFERIDO";"Pis_Novembro",#N/A,FALSE,"PIS COFINS";"Iss_Novembro",#N/A,FALSE,"ISS"}</definedName>
    <definedName name="__________________fl1111" localSheetId="11" hidden="1">{"Fecha_Novembro",#N/A,FALSE,"FECHAMENTO-2002 ";"Defer_Novembro",#N/A,FALSE,"DIFERIDO";"Pis_Novembro",#N/A,FALSE,"PIS COFINS";"Iss_Novembro",#N/A,FALSE,"ISS"}</definedName>
    <definedName name="__________________fl1111" localSheetId="31" hidden="1">{"Fecha_Novembro",#N/A,FALSE,"FECHAMENTO-2002 ";"Defer_Novembro",#N/A,FALSE,"DIFERIDO";"Pis_Novembro",#N/A,FALSE,"PIS COFINS";"Iss_Novembro",#N/A,FALSE,"ISS"}</definedName>
    <definedName name="__________________fl1111" hidden="1">{"Fecha_Novembro",#N/A,FALSE,"FECHAMENTO-2002 ";"Defer_Novembro",#N/A,FALSE,"DIFERIDO";"Pis_Novembro",#N/A,FALSE,"PIS COFINS";"Iss_Novembro",#N/A,FALSE,"ISS"}</definedName>
    <definedName name="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fl1111" localSheetId="15" hidden="1">{"Fecha_Novembro",#N/A,FALSE,"FECHAMENTO-2002 ";"Defer_Novembro",#N/A,FALSE,"DIFERIDO";"Pis_Novembro",#N/A,FALSE,"PIS COFINS";"Iss_Novembro",#N/A,FALSE,"ISS"}</definedName>
    <definedName name="_________________fl1111" localSheetId="14" hidden="1">{"Fecha_Novembro",#N/A,FALSE,"FECHAMENTO-2002 ";"Defer_Novembro",#N/A,FALSE,"DIFERIDO";"Pis_Novembro",#N/A,FALSE,"PIS COFINS";"Iss_Novembro",#N/A,FALSE,"ISS"}</definedName>
    <definedName name="_________________fl1111" localSheetId="2" hidden="1">{"Fecha_Novembro",#N/A,FALSE,"FECHAMENTO-2002 ";"Defer_Novembro",#N/A,FALSE,"DIFERIDO";"Pis_Novembro",#N/A,FALSE,"PIS COFINS";"Iss_Novembro",#N/A,FALSE,"ISS"}</definedName>
    <definedName name="_________________fl1111" localSheetId="34" hidden="1">{"Fecha_Novembro",#N/A,FALSE,"FECHAMENTO-2002 ";"Defer_Novembro",#N/A,FALSE,"DIFERIDO";"Pis_Novembro",#N/A,FALSE,"PIS COFINS";"Iss_Novembro",#N/A,FALSE,"ISS"}</definedName>
    <definedName name="_________________fl1111" localSheetId="39" hidden="1">{"Fecha_Novembro",#N/A,FALSE,"FECHAMENTO-2002 ";"Defer_Novembro",#N/A,FALSE,"DIFERIDO";"Pis_Novembro",#N/A,FALSE,"PIS COFINS";"Iss_Novembro",#N/A,FALSE,"ISS"}</definedName>
    <definedName name="_________________fl1111" localSheetId="8" hidden="1">{"Fecha_Novembro",#N/A,FALSE,"FECHAMENTO-2002 ";"Defer_Novembro",#N/A,FALSE,"DIFERIDO";"Pis_Novembro",#N/A,FALSE,"PIS COFINS";"Iss_Novembro",#N/A,FALSE,"ISS"}</definedName>
    <definedName name="_________________fl1111" localSheetId="12" hidden="1">{"Fecha_Novembro",#N/A,FALSE,"FECHAMENTO-2002 ";"Defer_Novembro",#N/A,FALSE,"DIFERIDO";"Pis_Novembro",#N/A,FALSE,"PIS COFINS";"Iss_Novembro",#N/A,FALSE,"ISS"}</definedName>
    <definedName name="_________________fl1111" localSheetId="13" hidden="1">{"Fecha_Novembro",#N/A,FALSE,"FECHAMENTO-2002 ";"Defer_Novembro",#N/A,FALSE,"DIFERIDO";"Pis_Novembro",#N/A,FALSE,"PIS COFINS";"Iss_Novembro",#N/A,FALSE,"ISS"}</definedName>
    <definedName name="_________________fl1111" localSheetId="11" hidden="1">{"Fecha_Novembro",#N/A,FALSE,"FECHAMENTO-2002 ";"Defer_Novembro",#N/A,FALSE,"DIFERIDO";"Pis_Novembro",#N/A,FALSE,"PIS COFINS";"Iss_Novembro",#N/A,FALSE,"ISS"}</definedName>
    <definedName name="_________________fl1111" localSheetId="31" hidden="1">{"Fecha_Novembro",#N/A,FALSE,"FECHAMENTO-2002 ";"Defer_Novembro",#N/A,FALSE,"DIFERIDO";"Pis_Novembro",#N/A,FALSE,"PIS COFINS";"Iss_Novembro",#N/A,FALSE,"ISS"}</definedName>
    <definedName name="_________________fl1111" hidden="1">{"Fecha_Novembro",#N/A,FALSE,"FECHAMENTO-2002 ";"Defer_Novembro",#N/A,FALSE,"DIFERIDO";"Pis_Novembro",#N/A,FALSE,"PIS COFINS";"Iss_Novembro",#N/A,FALSE,"ISS"}</definedName>
    <definedName name="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fl1111" localSheetId="15" hidden="1">{"Fecha_Novembro",#N/A,FALSE,"FECHAMENTO-2002 ";"Defer_Novembro",#N/A,FALSE,"DIFERIDO";"Pis_Novembro",#N/A,FALSE,"PIS COFINS";"Iss_Novembro",#N/A,FALSE,"ISS"}</definedName>
    <definedName name="________________fl1111" localSheetId="14" hidden="1">{"Fecha_Novembro",#N/A,FALSE,"FECHAMENTO-2002 ";"Defer_Novembro",#N/A,FALSE,"DIFERIDO";"Pis_Novembro",#N/A,FALSE,"PIS COFINS";"Iss_Novembro",#N/A,FALSE,"ISS"}</definedName>
    <definedName name="________________fl1111" localSheetId="2" hidden="1">{"Fecha_Novembro",#N/A,FALSE,"FECHAMENTO-2002 ";"Defer_Novembro",#N/A,FALSE,"DIFERIDO";"Pis_Novembro",#N/A,FALSE,"PIS COFINS";"Iss_Novembro",#N/A,FALSE,"ISS"}</definedName>
    <definedName name="________________fl1111" localSheetId="34" hidden="1">{"Fecha_Novembro",#N/A,FALSE,"FECHAMENTO-2002 ";"Defer_Novembro",#N/A,FALSE,"DIFERIDO";"Pis_Novembro",#N/A,FALSE,"PIS COFINS";"Iss_Novembro",#N/A,FALSE,"ISS"}</definedName>
    <definedName name="________________fl1111" localSheetId="39" hidden="1">{"Fecha_Novembro",#N/A,FALSE,"FECHAMENTO-2002 ";"Defer_Novembro",#N/A,FALSE,"DIFERIDO";"Pis_Novembro",#N/A,FALSE,"PIS COFINS";"Iss_Novembro",#N/A,FALSE,"ISS"}</definedName>
    <definedName name="________________fl1111" localSheetId="8" hidden="1">{"Fecha_Novembro",#N/A,FALSE,"FECHAMENTO-2002 ";"Defer_Novembro",#N/A,FALSE,"DIFERIDO";"Pis_Novembro",#N/A,FALSE,"PIS COFINS";"Iss_Novembro",#N/A,FALSE,"ISS"}</definedName>
    <definedName name="________________fl1111" localSheetId="12" hidden="1">{"Fecha_Novembro",#N/A,FALSE,"FECHAMENTO-2002 ";"Defer_Novembro",#N/A,FALSE,"DIFERIDO";"Pis_Novembro",#N/A,FALSE,"PIS COFINS";"Iss_Novembro",#N/A,FALSE,"ISS"}</definedName>
    <definedName name="________________fl1111" localSheetId="13" hidden="1">{"Fecha_Novembro",#N/A,FALSE,"FECHAMENTO-2002 ";"Defer_Novembro",#N/A,FALSE,"DIFERIDO";"Pis_Novembro",#N/A,FALSE,"PIS COFINS";"Iss_Novembro",#N/A,FALSE,"ISS"}</definedName>
    <definedName name="________________fl1111" localSheetId="11" hidden="1">{"Fecha_Novembro",#N/A,FALSE,"FECHAMENTO-2002 ";"Defer_Novembro",#N/A,FALSE,"DIFERIDO";"Pis_Novembro",#N/A,FALSE,"PIS COFINS";"Iss_Novembro",#N/A,FALSE,"ISS"}</definedName>
    <definedName name="________________fl1111" localSheetId="31" hidden="1">{"Fecha_Novembro",#N/A,FALSE,"FECHAMENTO-2002 ";"Defer_Novembro",#N/A,FALSE,"DIFERIDO";"Pis_Novembro",#N/A,FALSE,"PIS COFINS";"Iss_Novembro",#N/A,FALSE,"ISS"}</definedName>
    <definedName name="________________fl1111" hidden="1">{"Fecha_Novembro",#N/A,FALSE,"FECHAMENTO-2002 ";"Defer_Novembro",#N/A,FALSE,"DIFERIDO";"Pis_Novembro",#N/A,FALSE,"PIS COFINS";"Iss_Novembro",#N/A,FALSE,"ISS"}</definedName>
    <definedName name="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fl1111" localSheetId="15" hidden="1">{"Fecha_Novembro",#N/A,FALSE,"FECHAMENTO-2002 ";"Defer_Novembro",#N/A,FALSE,"DIFERIDO";"Pis_Novembro",#N/A,FALSE,"PIS COFINS";"Iss_Novembro",#N/A,FALSE,"ISS"}</definedName>
    <definedName name="_______________fl1111" localSheetId="14" hidden="1">{"Fecha_Novembro",#N/A,FALSE,"FECHAMENTO-2002 ";"Defer_Novembro",#N/A,FALSE,"DIFERIDO";"Pis_Novembro",#N/A,FALSE,"PIS COFINS";"Iss_Novembro",#N/A,FALSE,"ISS"}</definedName>
    <definedName name="_______________fl1111" localSheetId="2" hidden="1">{"Fecha_Novembro",#N/A,FALSE,"FECHAMENTO-2002 ";"Defer_Novembro",#N/A,FALSE,"DIFERIDO";"Pis_Novembro",#N/A,FALSE,"PIS COFINS";"Iss_Novembro",#N/A,FALSE,"ISS"}</definedName>
    <definedName name="_______________fl1111" localSheetId="34" hidden="1">{"Fecha_Novembro",#N/A,FALSE,"FECHAMENTO-2002 ";"Defer_Novembro",#N/A,FALSE,"DIFERIDO";"Pis_Novembro",#N/A,FALSE,"PIS COFINS";"Iss_Novembro",#N/A,FALSE,"ISS"}</definedName>
    <definedName name="_______________fl1111" localSheetId="39" hidden="1">{"Fecha_Novembro",#N/A,FALSE,"FECHAMENTO-2002 ";"Defer_Novembro",#N/A,FALSE,"DIFERIDO";"Pis_Novembro",#N/A,FALSE,"PIS COFINS";"Iss_Novembro",#N/A,FALSE,"ISS"}</definedName>
    <definedName name="_______________fl1111" localSheetId="8" hidden="1">{"Fecha_Novembro",#N/A,FALSE,"FECHAMENTO-2002 ";"Defer_Novembro",#N/A,FALSE,"DIFERIDO";"Pis_Novembro",#N/A,FALSE,"PIS COFINS";"Iss_Novembro",#N/A,FALSE,"ISS"}</definedName>
    <definedName name="_______________fl1111" localSheetId="12" hidden="1">{"Fecha_Novembro",#N/A,FALSE,"FECHAMENTO-2002 ";"Defer_Novembro",#N/A,FALSE,"DIFERIDO";"Pis_Novembro",#N/A,FALSE,"PIS COFINS";"Iss_Novembro",#N/A,FALSE,"ISS"}</definedName>
    <definedName name="_______________fl1111" localSheetId="13" hidden="1">{"Fecha_Novembro",#N/A,FALSE,"FECHAMENTO-2002 ";"Defer_Novembro",#N/A,FALSE,"DIFERIDO";"Pis_Novembro",#N/A,FALSE,"PIS COFINS";"Iss_Novembro",#N/A,FALSE,"ISS"}</definedName>
    <definedName name="_______________fl1111" localSheetId="11" hidden="1">{"Fecha_Novembro",#N/A,FALSE,"FECHAMENTO-2002 ";"Defer_Novembro",#N/A,FALSE,"DIFERIDO";"Pis_Novembro",#N/A,FALSE,"PIS COFINS";"Iss_Novembro",#N/A,FALSE,"ISS"}</definedName>
    <definedName name="_______________fl1111" localSheetId="31" hidden="1">{"Fecha_Novembro",#N/A,FALSE,"FECHAMENTO-2002 ";"Defer_Novembro",#N/A,FALSE,"DIFERIDO";"Pis_Novembro",#N/A,FALSE,"PIS COFINS";"Iss_Novembro",#N/A,FALSE,"ISS"}</definedName>
    <definedName name="_______________fl1111" hidden="1">{"Fecha_Novembro",#N/A,FALSE,"FECHAMENTO-2002 ";"Defer_Novembro",#N/A,FALSE,"DIFERIDO";"Pis_Novembro",#N/A,FALSE,"PIS COFINS";"Iss_Novembro",#N/A,FALSE,"ISS"}</definedName>
    <definedName name="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fl1111" localSheetId="15" hidden="1">{"Fecha_Novembro",#N/A,FALSE,"FECHAMENTO-2002 ";"Defer_Novembro",#N/A,FALSE,"DIFERIDO";"Pis_Novembro",#N/A,FALSE,"PIS COFINS";"Iss_Novembro",#N/A,FALSE,"ISS"}</definedName>
    <definedName name="______________fl1111" localSheetId="14" hidden="1">{"Fecha_Novembro",#N/A,FALSE,"FECHAMENTO-2002 ";"Defer_Novembro",#N/A,FALSE,"DIFERIDO";"Pis_Novembro",#N/A,FALSE,"PIS COFINS";"Iss_Novembro",#N/A,FALSE,"ISS"}</definedName>
    <definedName name="______________fl1111" localSheetId="2" hidden="1">{"Fecha_Novembro",#N/A,FALSE,"FECHAMENTO-2002 ";"Defer_Novembro",#N/A,FALSE,"DIFERIDO";"Pis_Novembro",#N/A,FALSE,"PIS COFINS";"Iss_Novembro",#N/A,FALSE,"ISS"}</definedName>
    <definedName name="______________fl1111" localSheetId="34" hidden="1">{"Fecha_Novembro",#N/A,FALSE,"FECHAMENTO-2002 ";"Defer_Novembro",#N/A,FALSE,"DIFERIDO";"Pis_Novembro",#N/A,FALSE,"PIS COFINS";"Iss_Novembro",#N/A,FALSE,"ISS"}</definedName>
    <definedName name="______________fl1111" localSheetId="39" hidden="1">{"Fecha_Novembro",#N/A,FALSE,"FECHAMENTO-2002 ";"Defer_Novembro",#N/A,FALSE,"DIFERIDO";"Pis_Novembro",#N/A,FALSE,"PIS COFINS";"Iss_Novembro",#N/A,FALSE,"ISS"}</definedName>
    <definedName name="______________fl1111" localSheetId="8" hidden="1">{"Fecha_Novembro",#N/A,FALSE,"FECHAMENTO-2002 ";"Defer_Novembro",#N/A,FALSE,"DIFERIDO";"Pis_Novembro",#N/A,FALSE,"PIS COFINS";"Iss_Novembro",#N/A,FALSE,"ISS"}</definedName>
    <definedName name="______________fl1111" localSheetId="12" hidden="1">{"Fecha_Novembro",#N/A,FALSE,"FECHAMENTO-2002 ";"Defer_Novembro",#N/A,FALSE,"DIFERIDO";"Pis_Novembro",#N/A,FALSE,"PIS COFINS";"Iss_Novembro",#N/A,FALSE,"ISS"}</definedName>
    <definedName name="______________fl1111" localSheetId="13" hidden="1">{"Fecha_Novembro",#N/A,FALSE,"FECHAMENTO-2002 ";"Defer_Novembro",#N/A,FALSE,"DIFERIDO";"Pis_Novembro",#N/A,FALSE,"PIS COFINS";"Iss_Novembro",#N/A,FALSE,"ISS"}</definedName>
    <definedName name="______________fl1111" localSheetId="11" hidden="1">{"Fecha_Novembro",#N/A,FALSE,"FECHAMENTO-2002 ";"Defer_Novembro",#N/A,FALSE,"DIFERIDO";"Pis_Novembro",#N/A,FALSE,"PIS COFINS";"Iss_Novembro",#N/A,FALSE,"ISS"}</definedName>
    <definedName name="______________fl1111" localSheetId="31" hidden="1">{"Fecha_Novembro",#N/A,FALSE,"FECHAMENTO-2002 ";"Defer_Novembro",#N/A,FALSE,"DIFERIDO";"Pis_Novembro",#N/A,FALSE,"PIS COFINS";"Iss_Novembro",#N/A,FALSE,"ISS"}</definedName>
    <definedName name="______________fl1111" hidden="1">{"Fecha_Novembro",#N/A,FALSE,"FECHAMENTO-2002 ";"Defer_Novembro",#N/A,FALSE,"DIFERIDO";"Pis_Novembro",#N/A,FALSE,"PIS COFINS";"Iss_Novembro",#N/A,FALSE,"ISS"}</definedName>
    <definedName name="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fl1111" localSheetId="15" hidden="1">{"Fecha_Novembro",#N/A,FALSE,"FECHAMENTO-2002 ";"Defer_Novembro",#N/A,FALSE,"DIFERIDO";"Pis_Novembro",#N/A,FALSE,"PIS COFINS";"Iss_Novembro",#N/A,FALSE,"ISS"}</definedName>
    <definedName name="_____________fl1111" localSheetId="14" hidden="1">{"Fecha_Novembro",#N/A,FALSE,"FECHAMENTO-2002 ";"Defer_Novembro",#N/A,FALSE,"DIFERIDO";"Pis_Novembro",#N/A,FALSE,"PIS COFINS";"Iss_Novembro",#N/A,FALSE,"ISS"}</definedName>
    <definedName name="_____________fl1111" localSheetId="2" hidden="1">{"Fecha_Novembro",#N/A,FALSE,"FECHAMENTO-2002 ";"Defer_Novembro",#N/A,FALSE,"DIFERIDO";"Pis_Novembro",#N/A,FALSE,"PIS COFINS";"Iss_Novembro",#N/A,FALSE,"ISS"}</definedName>
    <definedName name="_____________fl1111" localSheetId="34" hidden="1">{"Fecha_Novembro",#N/A,FALSE,"FECHAMENTO-2002 ";"Defer_Novembro",#N/A,FALSE,"DIFERIDO";"Pis_Novembro",#N/A,FALSE,"PIS COFINS";"Iss_Novembro",#N/A,FALSE,"ISS"}</definedName>
    <definedName name="_____________fl1111" localSheetId="39" hidden="1">{"Fecha_Novembro",#N/A,FALSE,"FECHAMENTO-2002 ";"Defer_Novembro",#N/A,FALSE,"DIFERIDO";"Pis_Novembro",#N/A,FALSE,"PIS COFINS";"Iss_Novembro",#N/A,FALSE,"ISS"}</definedName>
    <definedName name="_____________fl1111" localSheetId="8" hidden="1">{"Fecha_Novembro",#N/A,FALSE,"FECHAMENTO-2002 ";"Defer_Novembro",#N/A,FALSE,"DIFERIDO";"Pis_Novembro",#N/A,FALSE,"PIS COFINS";"Iss_Novembro",#N/A,FALSE,"ISS"}</definedName>
    <definedName name="_____________fl1111" localSheetId="12" hidden="1">{"Fecha_Novembro",#N/A,FALSE,"FECHAMENTO-2002 ";"Defer_Novembro",#N/A,FALSE,"DIFERIDO";"Pis_Novembro",#N/A,FALSE,"PIS COFINS";"Iss_Novembro",#N/A,FALSE,"ISS"}</definedName>
    <definedName name="_____________fl1111" localSheetId="13" hidden="1">{"Fecha_Novembro",#N/A,FALSE,"FECHAMENTO-2002 ";"Defer_Novembro",#N/A,FALSE,"DIFERIDO";"Pis_Novembro",#N/A,FALSE,"PIS COFINS";"Iss_Novembro",#N/A,FALSE,"ISS"}</definedName>
    <definedName name="_____________fl1111" localSheetId="11" hidden="1">{"Fecha_Novembro",#N/A,FALSE,"FECHAMENTO-2002 ";"Defer_Novembro",#N/A,FALSE,"DIFERIDO";"Pis_Novembro",#N/A,FALSE,"PIS COFINS";"Iss_Novembro",#N/A,FALSE,"ISS"}</definedName>
    <definedName name="_____________fl1111" localSheetId="31" hidden="1">{"Fecha_Novembro",#N/A,FALSE,"FECHAMENTO-2002 ";"Defer_Novembro",#N/A,FALSE,"DIFERIDO";"Pis_Novembro",#N/A,FALSE,"PIS COFINS";"Iss_Novembro",#N/A,FALSE,"ISS"}</definedName>
    <definedName name="_____________fl1111" hidden="1">{"Fecha_Novembro",#N/A,FALSE,"FECHAMENTO-2002 ";"Defer_Novembro",#N/A,FALSE,"DIFERIDO";"Pis_Novembro",#N/A,FALSE,"PIS COFINS";"Iss_Novembro",#N/A,FALSE,"ISS"}</definedName>
    <definedName name="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fl1111" localSheetId="15" hidden="1">{"Fecha_Novembro",#N/A,FALSE,"FECHAMENTO-2002 ";"Defer_Novembro",#N/A,FALSE,"DIFERIDO";"Pis_Novembro",#N/A,FALSE,"PIS COFINS";"Iss_Novembro",#N/A,FALSE,"ISS"}</definedName>
    <definedName name="____________fl1111" localSheetId="14" hidden="1">{"Fecha_Novembro",#N/A,FALSE,"FECHAMENTO-2002 ";"Defer_Novembro",#N/A,FALSE,"DIFERIDO";"Pis_Novembro",#N/A,FALSE,"PIS COFINS";"Iss_Novembro",#N/A,FALSE,"ISS"}</definedName>
    <definedName name="____________fl1111" localSheetId="2" hidden="1">{"Fecha_Novembro",#N/A,FALSE,"FECHAMENTO-2002 ";"Defer_Novembro",#N/A,FALSE,"DIFERIDO";"Pis_Novembro",#N/A,FALSE,"PIS COFINS";"Iss_Novembro",#N/A,FALSE,"ISS"}</definedName>
    <definedName name="____________fl1111" localSheetId="34" hidden="1">{"Fecha_Novembro",#N/A,FALSE,"FECHAMENTO-2002 ";"Defer_Novembro",#N/A,FALSE,"DIFERIDO";"Pis_Novembro",#N/A,FALSE,"PIS COFINS";"Iss_Novembro",#N/A,FALSE,"ISS"}</definedName>
    <definedName name="____________fl1111" localSheetId="39" hidden="1">{"Fecha_Novembro",#N/A,FALSE,"FECHAMENTO-2002 ";"Defer_Novembro",#N/A,FALSE,"DIFERIDO";"Pis_Novembro",#N/A,FALSE,"PIS COFINS";"Iss_Novembro",#N/A,FALSE,"ISS"}</definedName>
    <definedName name="____________fl1111" localSheetId="8" hidden="1">{"Fecha_Novembro",#N/A,FALSE,"FECHAMENTO-2002 ";"Defer_Novembro",#N/A,FALSE,"DIFERIDO";"Pis_Novembro",#N/A,FALSE,"PIS COFINS";"Iss_Novembro",#N/A,FALSE,"ISS"}</definedName>
    <definedName name="____________fl1111" localSheetId="12" hidden="1">{"Fecha_Novembro",#N/A,FALSE,"FECHAMENTO-2002 ";"Defer_Novembro",#N/A,FALSE,"DIFERIDO";"Pis_Novembro",#N/A,FALSE,"PIS COFINS";"Iss_Novembro",#N/A,FALSE,"ISS"}</definedName>
    <definedName name="____________fl1111" localSheetId="13" hidden="1">{"Fecha_Novembro",#N/A,FALSE,"FECHAMENTO-2002 ";"Defer_Novembro",#N/A,FALSE,"DIFERIDO";"Pis_Novembro",#N/A,FALSE,"PIS COFINS";"Iss_Novembro",#N/A,FALSE,"ISS"}</definedName>
    <definedName name="____________fl1111" localSheetId="11" hidden="1">{"Fecha_Novembro",#N/A,FALSE,"FECHAMENTO-2002 ";"Defer_Novembro",#N/A,FALSE,"DIFERIDO";"Pis_Novembro",#N/A,FALSE,"PIS COFINS";"Iss_Novembro",#N/A,FALSE,"ISS"}</definedName>
    <definedName name="____________fl1111" localSheetId="31" hidden="1">{"Fecha_Novembro",#N/A,FALSE,"FECHAMENTO-2002 ";"Defer_Novembro",#N/A,FALSE,"DIFERIDO";"Pis_Novembro",#N/A,FALSE,"PIS COFINS";"Iss_Novembro",#N/A,FALSE,"ISS"}</definedName>
    <definedName name="____________fl1111" hidden="1">{"Fecha_Novembro",#N/A,FALSE,"FECHAMENTO-2002 ";"Defer_Novembro",#N/A,FALSE,"DIFERIDO";"Pis_Novembro",#N/A,FALSE,"PIS COFINS";"Iss_Novembro",#N/A,FALSE,"ISS"}</definedName>
    <definedName name="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fl1111" localSheetId="15" hidden="1">{"Fecha_Novembro",#N/A,FALSE,"FECHAMENTO-2002 ";"Defer_Novembro",#N/A,FALSE,"DIFERIDO";"Pis_Novembro",#N/A,FALSE,"PIS COFINS";"Iss_Novembro",#N/A,FALSE,"ISS"}</definedName>
    <definedName name="___________fl1111" localSheetId="14" hidden="1">{"Fecha_Novembro",#N/A,FALSE,"FECHAMENTO-2002 ";"Defer_Novembro",#N/A,FALSE,"DIFERIDO";"Pis_Novembro",#N/A,FALSE,"PIS COFINS";"Iss_Novembro",#N/A,FALSE,"ISS"}</definedName>
    <definedName name="___________fl1111" localSheetId="2" hidden="1">{"Fecha_Novembro",#N/A,FALSE,"FECHAMENTO-2002 ";"Defer_Novembro",#N/A,FALSE,"DIFERIDO";"Pis_Novembro",#N/A,FALSE,"PIS COFINS";"Iss_Novembro",#N/A,FALSE,"ISS"}</definedName>
    <definedName name="___________fl1111" localSheetId="34" hidden="1">{"Fecha_Novembro",#N/A,FALSE,"FECHAMENTO-2002 ";"Defer_Novembro",#N/A,FALSE,"DIFERIDO";"Pis_Novembro",#N/A,FALSE,"PIS COFINS";"Iss_Novembro",#N/A,FALSE,"ISS"}</definedName>
    <definedName name="___________fl1111" localSheetId="39" hidden="1">{"Fecha_Novembro",#N/A,FALSE,"FECHAMENTO-2002 ";"Defer_Novembro",#N/A,FALSE,"DIFERIDO";"Pis_Novembro",#N/A,FALSE,"PIS COFINS";"Iss_Novembro",#N/A,FALSE,"ISS"}</definedName>
    <definedName name="___________fl1111" localSheetId="8" hidden="1">{"Fecha_Novembro",#N/A,FALSE,"FECHAMENTO-2002 ";"Defer_Novembro",#N/A,FALSE,"DIFERIDO";"Pis_Novembro",#N/A,FALSE,"PIS COFINS";"Iss_Novembro",#N/A,FALSE,"ISS"}</definedName>
    <definedName name="___________fl1111" localSheetId="12" hidden="1">{"Fecha_Novembro",#N/A,FALSE,"FECHAMENTO-2002 ";"Defer_Novembro",#N/A,FALSE,"DIFERIDO";"Pis_Novembro",#N/A,FALSE,"PIS COFINS";"Iss_Novembro",#N/A,FALSE,"ISS"}</definedName>
    <definedName name="___________fl1111" localSheetId="13" hidden="1">{"Fecha_Novembro",#N/A,FALSE,"FECHAMENTO-2002 ";"Defer_Novembro",#N/A,FALSE,"DIFERIDO";"Pis_Novembro",#N/A,FALSE,"PIS COFINS";"Iss_Novembro",#N/A,FALSE,"ISS"}</definedName>
    <definedName name="___________fl1111" localSheetId="11" hidden="1">{"Fecha_Novembro",#N/A,FALSE,"FECHAMENTO-2002 ";"Defer_Novembro",#N/A,FALSE,"DIFERIDO";"Pis_Novembro",#N/A,FALSE,"PIS COFINS";"Iss_Novembro",#N/A,FALSE,"ISS"}</definedName>
    <definedName name="___________fl1111" localSheetId="31" hidden="1">{"Fecha_Novembro",#N/A,FALSE,"FECHAMENTO-2002 ";"Defer_Novembro",#N/A,FALSE,"DIFERIDO";"Pis_Novembro",#N/A,FALSE,"PIS COFINS";"Iss_Novembro",#N/A,FALSE,"ISS"}</definedName>
    <definedName name="___________fl1111" hidden="1">{"Fecha_Novembro",#N/A,FALSE,"FECHAMENTO-2002 ";"Defer_Novembro",#N/A,FALSE,"DIFERIDO";"Pis_Novembro",#N/A,FALSE,"PIS COFINS";"Iss_Novembro",#N/A,FALSE,"ISS"}</definedName>
    <definedName name="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fl1111" localSheetId="15" hidden="1">{"Fecha_Novembro",#N/A,FALSE,"FECHAMENTO-2002 ";"Defer_Novembro",#N/A,FALSE,"DIFERIDO";"Pis_Novembro",#N/A,FALSE,"PIS COFINS";"Iss_Novembro",#N/A,FALSE,"ISS"}</definedName>
    <definedName name="__________fl1111" localSheetId="14" hidden="1">{"Fecha_Novembro",#N/A,FALSE,"FECHAMENTO-2002 ";"Defer_Novembro",#N/A,FALSE,"DIFERIDO";"Pis_Novembro",#N/A,FALSE,"PIS COFINS";"Iss_Novembro",#N/A,FALSE,"ISS"}</definedName>
    <definedName name="__________fl1111" localSheetId="2" hidden="1">{"Fecha_Novembro",#N/A,FALSE,"FECHAMENTO-2002 ";"Defer_Novembro",#N/A,FALSE,"DIFERIDO";"Pis_Novembro",#N/A,FALSE,"PIS COFINS";"Iss_Novembro",#N/A,FALSE,"ISS"}</definedName>
    <definedName name="__________fl1111" localSheetId="34" hidden="1">{"Fecha_Novembro",#N/A,FALSE,"FECHAMENTO-2002 ";"Defer_Novembro",#N/A,FALSE,"DIFERIDO";"Pis_Novembro",#N/A,FALSE,"PIS COFINS";"Iss_Novembro",#N/A,FALSE,"ISS"}</definedName>
    <definedName name="__________fl1111" localSheetId="39" hidden="1">{"Fecha_Novembro",#N/A,FALSE,"FECHAMENTO-2002 ";"Defer_Novembro",#N/A,FALSE,"DIFERIDO";"Pis_Novembro",#N/A,FALSE,"PIS COFINS";"Iss_Novembro",#N/A,FALSE,"ISS"}</definedName>
    <definedName name="__________fl1111" localSheetId="8" hidden="1">{"Fecha_Novembro",#N/A,FALSE,"FECHAMENTO-2002 ";"Defer_Novembro",#N/A,FALSE,"DIFERIDO";"Pis_Novembro",#N/A,FALSE,"PIS COFINS";"Iss_Novembro",#N/A,FALSE,"ISS"}</definedName>
    <definedName name="__________fl1111" localSheetId="12" hidden="1">{"Fecha_Novembro",#N/A,FALSE,"FECHAMENTO-2002 ";"Defer_Novembro",#N/A,FALSE,"DIFERIDO";"Pis_Novembro",#N/A,FALSE,"PIS COFINS";"Iss_Novembro",#N/A,FALSE,"ISS"}</definedName>
    <definedName name="__________fl1111" localSheetId="13" hidden="1">{"Fecha_Novembro",#N/A,FALSE,"FECHAMENTO-2002 ";"Defer_Novembro",#N/A,FALSE,"DIFERIDO";"Pis_Novembro",#N/A,FALSE,"PIS COFINS";"Iss_Novembro",#N/A,FALSE,"ISS"}</definedName>
    <definedName name="__________fl1111" localSheetId="11" hidden="1">{"Fecha_Novembro",#N/A,FALSE,"FECHAMENTO-2002 ";"Defer_Novembro",#N/A,FALSE,"DIFERIDO";"Pis_Novembro",#N/A,FALSE,"PIS COFINS";"Iss_Novembro",#N/A,FALSE,"ISS"}</definedName>
    <definedName name="__________fl1111" localSheetId="31"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fl1111" localSheetId="15" hidden="1">{"Fecha_Novembro",#N/A,FALSE,"FECHAMENTO-2002 ";"Defer_Novembro",#N/A,FALSE,"DIFERIDO";"Pis_Novembro",#N/A,FALSE,"PIS COFINS";"Iss_Novembro",#N/A,FALSE,"ISS"}</definedName>
    <definedName name="_________fl1111" localSheetId="14" hidden="1">{"Fecha_Novembro",#N/A,FALSE,"FECHAMENTO-2002 ";"Defer_Novembro",#N/A,FALSE,"DIFERIDO";"Pis_Novembro",#N/A,FALSE,"PIS COFINS";"Iss_Novembro",#N/A,FALSE,"ISS"}</definedName>
    <definedName name="_________fl1111" localSheetId="2" hidden="1">{"Fecha_Novembro",#N/A,FALSE,"FECHAMENTO-2002 ";"Defer_Novembro",#N/A,FALSE,"DIFERIDO";"Pis_Novembro",#N/A,FALSE,"PIS COFINS";"Iss_Novembro",#N/A,FALSE,"ISS"}</definedName>
    <definedName name="_________fl1111" localSheetId="34" hidden="1">{"Fecha_Novembro",#N/A,FALSE,"FECHAMENTO-2002 ";"Defer_Novembro",#N/A,FALSE,"DIFERIDO";"Pis_Novembro",#N/A,FALSE,"PIS COFINS";"Iss_Novembro",#N/A,FALSE,"ISS"}</definedName>
    <definedName name="_________fl1111" localSheetId="39" hidden="1">{"Fecha_Novembro",#N/A,FALSE,"FECHAMENTO-2002 ";"Defer_Novembro",#N/A,FALSE,"DIFERIDO";"Pis_Novembro",#N/A,FALSE,"PIS COFINS";"Iss_Novembro",#N/A,FALSE,"ISS"}</definedName>
    <definedName name="_________fl1111" localSheetId="8" hidden="1">{"Fecha_Novembro",#N/A,FALSE,"FECHAMENTO-2002 ";"Defer_Novembro",#N/A,FALSE,"DIFERIDO";"Pis_Novembro",#N/A,FALSE,"PIS COFINS";"Iss_Novembro",#N/A,FALSE,"ISS"}</definedName>
    <definedName name="_________fl1111" localSheetId="12" hidden="1">{"Fecha_Novembro",#N/A,FALSE,"FECHAMENTO-2002 ";"Defer_Novembro",#N/A,FALSE,"DIFERIDO";"Pis_Novembro",#N/A,FALSE,"PIS COFINS";"Iss_Novembro",#N/A,FALSE,"ISS"}</definedName>
    <definedName name="_________fl1111" localSheetId="13" hidden="1">{"Fecha_Novembro",#N/A,FALSE,"FECHAMENTO-2002 ";"Defer_Novembro",#N/A,FALSE,"DIFERIDO";"Pis_Novembro",#N/A,FALSE,"PIS COFINS";"Iss_Novembro",#N/A,FALSE,"ISS"}</definedName>
    <definedName name="_________fl1111" localSheetId="11" hidden="1">{"Fecha_Novembro",#N/A,FALSE,"FECHAMENTO-2002 ";"Defer_Novembro",#N/A,FALSE,"DIFERIDO";"Pis_Novembro",#N/A,FALSE,"PIS COFINS";"Iss_Novembro",#N/A,FALSE,"ISS"}</definedName>
    <definedName name="_________fl1111" localSheetId="31"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fl1111" localSheetId="15" hidden="1">{"Fecha_Novembro",#N/A,FALSE,"FECHAMENTO-2002 ";"Defer_Novembro",#N/A,FALSE,"DIFERIDO";"Pis_Novembro",#N/A,FALSE,"PIS COFINS";"Iss_Novembro",#N/A,FALSE,"ISS"}</definedName>
    <definedName name="________fl1111" localSheetId="14" hidden="1">{"Fecha_Novembro",#N/A,FALSE,"FECHAMENTO-2002 ";"Defer_Novembro",#N/A,FALSE,"DIFERIDO";"Pis_Novembro",#N/A,FALSE,"PIS COFINS";"Iss_Novembro",#N/A,FALSE,"ISS"}</definedName>
    <definedName name="________fl1111" localSheetId="2" hidden="1">{"Fecha_Novembro",#N/A,FALSE,"FECHAMENTO-2002 ";"Defer_Novembro",#N/A,FALSE,"DIFERIDO";"Pis_Novembro",#N/A,FALSE,"PIS COFINS";"Iss_Novembro",#N/A,FALSE,"ISS"}</definedName>
    <definedName name="________fl1111" localSheetId="34" hidden="1">{"Fecha_Novembro",#N/A,FALSE,"FECHAMENTO-2002 ";"Defer_Novembro",#N/A,FALSE,"DIFERIDO";"Pis_Novembro",#N/A,FALSE,"PIS COFINS";"Iss_Novembro",#N/A,FALSE,"ISS"}</definedName>
    <definedName name="________fl1111" localSheetId="39" hidden="1">{"Fecha_Novembro",#N/A,FALSE,"FECHAMENTO-2002 ";"Defer_Novembro",#N/A,FALSE,"DIFERIDO";"Pis_Novembro",#N/A,FALSE,"PIS COFINS";"Iss_Novembro",#N/A,FALSE,"ISS"}</definedName>
    <definedName name="________fl1111" localSheetId="8" hidden="1">{"Fecha_Novembro",#N/A,FALSE,"FECHAMENTO-2002 ";"Defer_Novembro",#N/A,FALSE,"DIFERIDO";"Pis_Novembro",#N/A,FALSE,"PIS COFINS";"Iss_Novembro",#N/A,FALSE,"ISS"}</definedName>
    <definedName name="________fl1111" localSheetId="12" hidden="1">{"Fecha_Novembro",#N/A,FALSE,"FECHAMENTO-2002 ";"Defer_Novembro",#N/A,FALSE,"DIFERIDO";"Pis_Novembro",#N/A,FALSE,"PIS COFINS";"Iss_Novembro",#N/A,FALSE,"ISS"}</definedName>
    <definedName name="________fl1111" localSheetId="13" hidden="1">{"Fecha_Novembro",#N/A,FALSE,"FECHAMENTO-2002 ";"Defer_Novembro",#N/A,FALSE,"DIFERIDO";"Pis_Novembro",#N/A,FALSE,"PIS COFINS";"Iss_Novembro",#N/A,FALSE,"ISS"}</definedName>
    <definedName name="________fl1111" localSheetId="11" hidden="1">{"Fecha_Novembro",#N/A,FALSE,"FECHAMENTO-2002 ";"Defer_Novembro",#N/A,FALSE,"DIFERIDO";"Pis_Novembro",#N/A,FALSE,"PIS COFINS";"Iss_Novembro",#N/A,FALSE,"ISS"}</definedName>
    <definedName name="________fl1111" localSheetId="31"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fl1111" localSheetId="15" hidden="1">{"Fecha_Novembro",#N/A,FALSE,"FECHAMENTO-2002 ";"Defer_Novembro",#N/A,FALSE,"DIFERIDO";"Pis_Novembro",#N/A,FALSE,"PIS COFINS";"Iss_Novembro",#N/A,FALSE,"ISS"}</definedName>
    <definedName name="_______fl1111" localSheetId="14" hidden="1">{"Fecha_Novembro",#N/A,FALSE,"FECHAMENTO-2002 ";"Defer_Novembro",#N/A,FALSE,"DIFERIDO";"Pis_Novembro",#N/A,FALSE,"PIS COFINS";"Iss_Novembro",#N/A,FALSE,"ISS"}</definedName>
    <definedName name="_______fl1111" localSheetId="2" hidden="1">{"Fecha_Novembro",#N/A,FALSE,"FECHAMENTO-2002 ";"Defer_Novembro",#N/A,FALSE,"DIFERIDO";"Pis_Novembro",#N/A,FALSE,"PIS COFINS";"Iss_Novembro",#N/A,FALSE,"ISS"}</definedName>
    <definedName name="_______fl1111" localSheetId="34" hidden="1">{"Fecha_Novembro",#N/A,FALSE,"FECHAMENTO-2002 ";"Defer_Novembro",#N/A,FALSE,"DIFERIDO";"Pis_Novembro",#N/A,FALSE,"PIS COFINS";"Iss_Novembro",#N/A,FALSE,"ISS"}</definedName>
    <definedName name="_______fl1111" localSheetId="39" hidden="1">{"Fecha_Novembro",#N/A,FALSE,"FECHAMENTO-2002 ";"Defer_Novembro",#N/A,FALSE,"DIFERIDO";"Pis_Novembro",#N/A,FALSE,"PIS COFINS";"Iss_Novembro",#N/A,FALSE,"ISS"}</definedName>
    <definedName name="_______fl1111" localSheetId="8" hidden="1">{"Fecha_Novembro",#N/A,FALSE,"FECHAMENTO-2002 ";"Defer_Novembro",#N/A,FALSE,"DIFERIDO";"Pis_Novembro",#N/A,FALSE,"PIS COFINS";"Iss_Novembro",#N/A,FALSE,"ISS"}</definedName>
    <definedName name="_______fl1111" localSheetId="12" hidden="1">{"Fecha_Novembro",#N/A,FALSE,"FECHAMENTO-2002 ";"Defer_Novembro",#N/A,FALSE,"DIFERIDO";"Pis_Novembro",#N/A,FALSE,"PIS COFINS";"Iss_Novembro",#N/A,FALSE,"ISS"}</definedName>
    <definedName name="_______fl1111" localSheetId="13" hidden="1">{"Fecha_Novembro",#N/A,FALSE,"FECHAMENTO-2002 ";"Defer_Novembro",#N/A,FALSE,"DIFERIDO";"Pis_Novembro",#N/A,FALSE,"PIS COFINS";"Iss_Novembro",#N/A,FALSE,"ISS"}</definedName>
    <definedName name="_______fl1111" localSheetId="11" hidden="1">{"Fecha_Novembro",#N/A,FALSE,"FECHAMENTO-2002 ";"Defer_Novembro",#N/A,FALSE,"DIFERIDO";"Pis_Novembro",#N/A,FALSE,"PIS COFINS";"Iss_Novembro",#N/A,FALSE,"ISS"}</definedName>
    <definedName name="_______fl1111" localSheetId="31"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fl1111" localSheetId="15" hidden="1">{"Fecha_Novembro",#N/A,FALSE,"FECHAMENTO-2002 ";"Defer_Novembro",#N/A,FALSE,"DIFERIDO";"Pis_Novembro",#N/A,FALSE,"PIS COFINS";"Iss_Novembro",#N/A,FALSE,"ISS"}</definedName>
    <definedName name="______fl1111" localSheetId="14" hidden="1">{"Fecha_Novembro",#N/A,FALSE,"FECHAMENTO-2002 ";"Defer_Novembro",#N/A,FALSE,"DIFERIDO";"Pis_Novembro",#N/A,FALSE,"PIS COFINS";"Iss_Novembro",#N/A,FALSE,"ISS"}</definedName>
    <definedName name="______fl1111" localSheetId="2" hidden="1">{"Fecha_Novembro",#N/A,FALSE,"FECHAMENTO-2002 ";"Defer_Novembro",#N/A,FALSE,"DIFERIDO";"Pis_Novembro",#N/A,FALSE,"PIS COFINS";"Iss_Novembro",#N/A,FALSE,"ISS"}</definedName>
    <definedName name="______fl1111" localSheetId="34" hidden="1">{"Fecha_Novembro",#N/A,FALSE,"FECHAMENTO-2002 ";"Defer_Novembro",#N/A,FALSE,"DIFERIDO";"Pis_Novembro",#N/A,FALSE,"PIS COFINS";"Iss_Novembro",#N/A,FALSE,"ISS"}</definedName>
    <definedName name="______fl1111" localSheetId="39" hidden="1">{"Fecha_Novembro",#N/A,FALSE,"FECHAMENTO-2002 ";"Defer_Novembro",#N/A,FALSE,"DIFERIDO";"Pis_Novembro",#N/A,FALSE,"PIS COFINS";"Iss_Novembro",#N/A,FALSE,"ISS"}</definedName>
    <definedName name="______fl1111" localSheetId="8" hidden="1">{"Fecha_Novembro",#N/A,FALSE,"FECHAMENTO-2002 ";"Defer_Novembro",#N/A,FALSE,"DIFERIDO";"Pis_Novembro",#N/A,FALSE,"PIS COFINS";"Iss_Novembro",#N/A,FALSE,"ISS"}</definedName>
    <definedName name="______fl1111" localSheetId="12" hidden="1">{"Fecha_Novembro",#N/A,FALSE,"FECHAMENTO-2002 ";"Defer_Novembro",#N/A,FALSE,"DIFERIDO";"Pis_Novembro",#N/A,FALSE,"PIS COFINS";"Iss_Novembro",#N/A,FALSE,"ISS"}</definedName>
    <definedName name="______fl1111" localSheetId="13" hidden="1">{"Fecha_Novembro",#N/A,FALSE,"FECHAMENTO-2002 ";"Defer_Novembro",#N/A,FALSE,"DIFERIDO";"Pis_Novembro",#N/A,FALSE,"PIS COFINS";"Iss_Novembro",#N/A,FALSE,"ISS"}</definedName>
    <definedName name="______fl1111" localSheetId="11" hidden="1">{"Fecha_Novembro",#N/A,FALSE,"FECHAMENTO-2002 ";"Defer_Novembro",#N/A,FALSE,"DIFERIDO";"Pis_Novembro",#N/A,FALSE,"PIS COFINS";"Iss_Novembro",#N/A,FALSE,"ISS"}</definedName>
    <definedName name="______fl1111" localSheetId="31"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fl1111" localSheetId="15" hidden="1">{"Fecha_Novembro",#N/A,FALSE,"FECHAMENTO-2002 ";"Defer_Novembro",#N/A,FALSE,"DIFERIDO";"Pis_Novembro",#N/A,FALSE,"PIS COFINS";"Iss_Novembro",#N/A,FALSE,"ISS"}</definedName>
    <definedName name="_____fl1111" localSheetId="14" hidden="1">{"Fecha_Novembro",#N/A,FALSE,"FECHAMENTO-2002 ";"Defer_Novembro",#N/A,FALSE,"DIFERIDO";"Pis_Novembro",#N/A,FALSE,"PIS COFINS";"Iss_Novembro",#N/A,FALSE,"ISS"}</definedName>
    <definedName name="_____fl1111" localSheetId="2" hidden="1">{"Fecha_Novembro",#N/A,FALSE,"FECHAMENTO-2002 ";"Defer_Novembro",#N/A,FALSE,"DIFERIDO";"Pis_Novembro",#N/A,FALSE,"PIS COFINS";"Iss_Novembro",#N/A,FALSE,"ISS"}</definedName>
    <definedName name="_____fl1111" localSheetId="34" hidden="1">{"Fecha_Novembro",#N/A,FALSE,"FECHAMENTO-2002 ";"Defer_Novembro",#N/A,FALSE,"DIFERIDO";"Pis_Novembro",#N/A,FALSE,"PIS COFINS";"Iss_Novembro",#N/A,FALSE,"ISS"}</definedName>
    <definedName name="_____fl1111" localSheetId="39" hidden="1">{"Fecha_Novembro",#N/A,FALSE,"FECHAMENTO-2002 ";"Defer_Novembro",#N/A,FALSE,"DIFERIDO";"Pis_Novembro",#N/A,FALSE,"PIS COFINS";"Iss_Novembro",#N/A,FALSE,"ISS"}</definedName>
    <definedName name="_____fl1111" localSheetId="8" hidden="1">{"Fecha_Novembro",#N/A,FALSE,"FECHAMENTO-2002 ";"Defer_Novembro",#N/A,FALSE,"DIFERIDO";"Pis_Novembro",#N/A,FALSE,"PIS COFINS";"Iss_Novembro",#N/A,FALSE,"ISS"}</definedName>
    <definedName name="_____fl1111" localSheetId="12" hidden="1">{"Fecha_Novembro",#N/A,FALSE,"FECHAMENTO-2002 ";"Defer_Novembro",#N/A,FALSE,"DIFERIDO";"Pis_Novembro",#N/A,FALSE,"PIS COFINS";"Iss_Novembro",#N/A,FALSE,"ISS"}</definedName>
    <definedName name="_____fl1111" localSheetId="13" hidden="1">{"Fecha_Novembro",#N/A,FALSE,"FECHAMENTO-2002 ";"Defer_Novembro",#N/A,FALSE,"DIFERIDO";"Pis_Novembro",#N/A,FALSE,"PIS COFINS";"Iss_Novembro",#N/A,FALSE,"ISS"}</definedName>
    <definedName name="_____fl1111" localSheetId="11" hidden="1">{"Fecha_Novembro",#N/A,FALSE,"FECHAMENTO-2002 ";"Defer_Novembro",#N/A,FALSE,"DIFERIDO";"Pis_Novembro",#N/A,FALSE,"PIS COFINS";"Iss_Novembro",#N/A,FALSE,"ISS"}</definedName>
    <definedName name="_____fl1111" localSheetId="31" hidden="1">{"Fecha_Novembro",#N/A,FALSE,"FECHAMENTO-2002 ";"Defer_Novembro",#N/A,FALSE,"DIFERIDO";"Pis_Novembro",#N/A,FALSE,"PIS COFINS";"Iss_Novembro",#N/A,FALSE,"ISS"}</definedName>
    <definedName name="_____fl1111" hidden="1">{"Fecha_Novembro",#N/A,FALSE,"FECHAMENTO-2002 ";"Defer_Novembro",#N/A,FALSE,"DIFERIDO";"Pis_Novembro",#N/A,FALSE,"PIS COFINS";"Iss_Novembro",#N/A,FALSE,"ISS"}</definedName>
    <definedName name="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fl1111" localSheetId="15" hidden="1">{"Fecha_Novembro",#N/A,FALSE,"FECHAMENTO-2002 ";"Defer_Novembro",#N/A,FALSE,"DIFERIDO";"Pis_Novembro",#N/A,FALSE,"PIS COFINS";"Iss_Novembro",#N/A,FALSE,"ISS"}</definedName>
    <definedName name="____fl1111" localSheetId="14" hidden="1">{"Fecha_Novembro",#N/A,FALSE,"FECHAMENTO-2002 ";"Defer_Novembro",#N/A,FALSE,"DIFERIDO";"Pis_Novembro",#N/A,FALSE,"PIS COFINS";"Iss_Novembro",#N/A,FALSE,"ISS"}</definedName>
    <definedName name="____fl1111" localSheetId="2" hidden="1">{"Fecha_Novembro",#N/A,FALSE,"FECHAMENTO-2002 ";"Defer_Novembro",#N/A,FALSE,"DIFERIDO";"Pis_Novembro",#N/A,FALSE,"PIS COFINS";"Iss_Novembro",#N/A,FALSE,"ISS"}</definedName>
    <definedName name="____fl1111" localSheetId="34" hidden="1">{"Fecha_Novembro",#N/A,FALSE,"FECHAMENTO-2002 ";"Defer_Novembro",#N/A,FALSE,"DIFERIDO";"Pis_Novembro",#N/A,FALSE,"PIS COFINS";"Iss_Novembro",#N/A,FALSE,"ISS"}</definedName>
    <definedName name="____fl1111" localSheetId="39" hidden="1">{"Fecha_Novembro",#N/A,FALSE,"FECHAMENTO-2002 ";"Defer_Novembro",#N/A,FALSE,"DIFERIDO";"Pis_Novembro",#N/A,FALSE,"PIS COFINS";"Iss_Novembro",#N/A,FALSE,"ISS"}</definedName>
    <definedName name="____fl1111" localSheetId="8" hidden="1">{"Fecha_Novembro",#N/A,FALSE,"FECHAMENTO-2002 ";"Defer_Novembro",#N/A,FALSE,"DIFERIDO";"Pis_Novembro",#N/A,FALSE,"PIS COFINS";"Iss_Novembro",#N/A,FALSE,"ISS"}</definedName>
    <definedName name="____fl1111" localSheetId="12" hidden="1">{"Fecha_Novembro",#N/A,FALSE,"FECHAMENTO-2002 ";"Defer_Novembro",#N/A,FALSE,"DIFERIDO";"Pis_Novembro",#N/A,FALSE,"PIS COFINS";"Iss_Novembro",#N/A,FALSE,"ISS"}</definedName>
    <definedName name="____fl1111" localSheetId="13" hidden="1">{"Fecha_Novembro",#N/A,FALSE,"FECHAMENTO-2002 ";"Defer_Novembro",#N/A,FALSE,"DIFERIDO";"Pis_Novembro",#N/A,FALSE,"PIS COFINS";"Iss_Novembro",#N/A,FALSE,"ISS"}</definedName>
    <definedName name="____fl1111" localSheetId="11" hidden="1">{"Fecha_Novembro",#N/A,FALSE,"FECHAMENTO-2002 ";"Defer_Novembro",#N/A,FALSE,"DIFERIDO";"Pis_Novembro",#N/A,FALSE,"PIS COFINS";"Iss_Novembro",#N/A,FALSE,"ISS"}</definedName>
    <definedName name="____fl1111" localSheetId="31"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fl1111" localSheetId="15" hidden="1">{"Fecha_Novembro",#N/A,FALSE,"FECHAMENTO-2002 ";"Defer_Novembro",#N/A,FALSE,"DIFERIDO";"Pis_Novembro",#N/A,FALSE,"PIS COFINS";"Iss_Novembro",#N/A,FALSE,"ISS"}</definedName>
    <definedName name="___fl1111" localSheetId="14" hidden="1">{"Fecha_Novembro",#N/A,FALSE,"FECHAMENTO-2002 ";"Defer_Novembro",#N/A,FALSE,"DIFERIDO";"Pis_Novembro",#N/A,FALSE,"PIS COFINS";"Iss_Novembro",#N/A,FALSE,"ISS"}</definedName>
    <definedName name="___fl1111" localSheetId="2" hidden="1">{"Fecha_Novembro",#N/A,FALSE,"FECHAMENTO-2002 ";"Defer_Novembro",#N/A,FALSE,"DIFERIDO";"Pis_Novembro",#N/A,FALSE,"PIS COFINS";"Iss_Novembro",#N/A,FALSE,"ISS"}</definedName>
    <definedName name="___fl1111" localSheetId="34" hidden="1">{"Fecha_Novembro",#N/A,FALSE,"FECHAMENTO-2002 ";"Defer_Novembro",#N/A,FALSE,"DIFERIDO";"Pis_Novembro",#N/A,FALSE,"PIS COFINS";"Iss_Novembro",#N/A,FALSE,"ISS"}</definedName>
    <definedName name="___fl1111" localSheetId="39" hidden="1">{"Fecha_Novembro",#N/A,FALSE,"FECHAMENTO-2002 ";"Defer_Novembro",#N/A,FALSE,"DIFERIDO";"Pis_Novembro",#N/A,FALSE,"PIS COFINS";"Iss_Novembro",#N/A,FALSE,"ISS"}</definedName>
    <definedName name="___fl1111" localSheetId="8" hidden="1">{"Fecha_Novembro",#N/A,FALSE,"FECHAMENTO-2002 ";"Defer_Novembro",#N/A,FALSE,"DIFERIDO";"Pis_Novembro",#N/A,FALSE,"PIS COFINS";"Iss_Novembro",#N/A,FALSE,"ISS"}</definedName>
    <definedName name="___fl1111" localSheetId="12" hidden="1">{"Fecha_Novembro",#N/A,FALSE,"FECHAMENTO-2002 ";"Defer_Novembro",#N/A,FALSE,"DIFERIDO";"Pis_Novembro",#N/A,FALSE,"PIS COFINS";"Iss_Novembro",#N/A,FALSE,"ISS"}</definedName>
    <definedName name="___fl1111" localSheetId="13" hidden="1">{"Fecha_Novembro",#N/A,FALSE,"FECHAMENTO-2002 ";"Defer_Novembro",#N/A,FALSE,"DIFERIDO";"Pis_Novembro",#N/A,FALSE,"PIS COFINS";"Iss_Novembro",#N/A,FALSE,"ISS"}</definedName>
    <definedName name="___fl1111" localSheetId="11" hidden="1">{"Fecha_Novembro",#N/A,FALSE,"FECHAMENTO-2002 ";"Defer_Novembro",#N/A,FALSE,"DIFERIDO";"Pis_Novembro",#N/A,FALSE,"PIS COFINS";"Iss_Novembro",#N/A,FALSE,"ISS"}</definedName>
    <definedName name="___fl1111" localSheetId="31" hidden="1">{"Fecha_Novembro",#N/A,FALSE,"FECHAMENTO-2002 ";"Defer_Novembro",#N/A,FALSE,"DIFERIDO";"Pis_Novembro",#N/A,FALSE,"PIS COFINS";"Iss_Novembro",#N/A,FALSE,"ISS"}</definedName>
    <definedName name="___fl1111" hidden="1">{"Fecha_Novembro",#N/A,FALSE,"FECHAMENTO-2002 ";"Defer_Novembro",#N/A,FALSE,"DIFERIDO";"Pis_Novembro",#N/A,FALSE,"PIS COFINS";"Iss_Novembro",#N/A,FALSE,"ISS"}</definedName>
    <definedName name="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123Graph_A" hidden="1">#REF!</definedName>
    <definedName name="__123Graph_AANIDRO" hidden="1">#REF!</definedName>
    <definedName name="__123Graph_AHIALCOOL" hidden="1">#REF!</definedName>
    <definedName name="__123Graph_AHIDRATADO" hidden="1">#REF!</definedName>
    <definedName name="__123Graph_AINDMES" hidden="1">#REF!</definedName>
    <definedName name="__123Graph_AJAYME" hidden="1">#REF!</definedName>
    <definedName name="__123Graph_AMERC" hidden="1">#REF!</definedName>
    <definedName name="__123Graph_ARESFIN" hidden="1">#REF!</definedName>
    <definedName name="__123Graph_ASACAS" hidden="1">#REF!</definedName>
    <definedName name="__123Graph_ASIDECO" localSheetId="1" hidden="1">#REF!</definedName>
    <definedName name="__123Graph_ASIDECO" localSheetId="15" hidden="1">#REF!</definedName>
    <definedName name="__123Graph_ASIDECO" localSheetId="7" hidden="1">#REF!</definedName>
    <definedName name="__123Graph_ASIDECO" localSheetId="2" hidden="1">#REF!</definedName>
    <definedName name="__123Graph_ASIDECO" localSheetId="34" hidden="1">#REF!</definedName>
    <definedName name="__123Graph_ASIDECO" localSheetId="39" hidden="1">#REF!</definedName>
    <definedName name="__123Graph_ASIDECO" localSheetId="12" hidden="1">#REF!</definedName>
    <definedName name="__123Graph_ASIDECO" localSheetId="10" hidden="1">#REF!</definedName>
    <definedName name="__123Graph_ASIDECO" localSheetId="6" hidden="1">#REF!</definedName>
    <definedName name="__123Graph_ASIDECO" hidden="1">#REF!</definedName>
    <definedName name="__123Graph_AUSS" hidden="1">#REF!</definedName>
    <definedName name="__123Graph_B" localSheetId="1" hidden="1">#REF!</definedName>
    <definedName name="__123Graph_B" localSheetId="15" hidden="1">#REF!</definedName>
    <definedName name="__123Graph_B" localSheetId="7" hidden="1">#REF!</definedName>
    <definedName name="__123Graph_B" localSheetId="2" hidden="1">#REF!</definedName>
    <definedName name="__123Graph_B" localSheetId="34" hidden="1">#REF!</definedName>
    <definedName name="__123Graph_B" localSheetId="39" hidden="1">#REF!</definedName>
    <definedName name="__123Graph_B" localSheetId="12" hidden="1">#REF!</definedName>
    <definedName name="__123Graph_B" localSheetId="10" hidden="1">#REF!</definedName>
    <definedName name="__123Graph_B" localSheetId="6" hidden="1">#REF!</definedName>
    <definedName name="__123Graph_B" hidden="1">#REF!</definedName>
    <definedName name="__123Graph_BINDMES" hidden="1">#REF!</definedName>
    <definedName name="__123Graph_BJAYME" hidden="1">#REF!</definedName>
    <definedName name="__123Graph_BMERC" hidden="1">#REF!</definedName>
    <definedName name="__123Graph_BRESFIN" hidden="1">#REF!</definedName>
    <definedName name="__123Graph_BSIDECO" localSheetId="1" hidden="1">#REF!</definedName>
    <definedName name="__123Graph_BSIDECO" localSheetId="15" hidden="1">#REF!</definedName>
    <definedName name="__123Graph_BSIDECO" localSheetId="7" hidden="1">#REF!</definedName>
    <definedName name="__123Graph_BSIDECO" localSheetId="2" hidden="1">#REF!</definedName>
    <definedName name="__123Graph_BSIDECO" localSheetId="34" hidden="1">#REF!</definedName>
    <definedName name="__123Graph_BSIDECO" localSheetId="39" hidden="1">#REF!</definedName>
    <definedName name="__123Graph_BSIDECO" localSheetId="12" hidden="1">#REF!</definedName>
    <definedName name="__123Graph_BSIDECO" localSheetId="10" hidden="1">#REF!</definedName>
    <definedName name="__123Graph_BSIDECO" localSheetId="6" hidden="1">#REF!</definedName>
    <definedName name="__123Graph_BSIDECO" hidden="1">#REF!</definedName>
    <definedName name="__123Graph_C" hidden="1">#REF!</definedName>
    <definedName name="__123Graph_CINDMES" hidden="1">#REF!</definedName>
    <definedName name="__123Graph_CJAYME" hidden="1">#REF!</definedName>
    <definedName name="__123Graph_CMERC" hidden="1">#REF!</definedName>
    <definedName name="__123Graph_CRESFIN" hidden="1">#REF!</definedName>
    <definedName name="__123Graph_CSIDECO" localSheetId="1" hidden="1">#REF!</definedName>
    <definedName name="__123Graph_CSIDECO" localSheetId="15" hidden="1">#REF!</definedName>
    <definedName name="__123Graph_CSIDECO" localSheetId="7" hidden="1">#REF!</definedName>
    <definedName name="__123Graph_CSIDECO" localSheetId="2" hidden="1">#REF!</definedName>
    <definedName name="__123Graph_CSIDECO" localSheetId="34" hidden="1">#REF!</definedName>
    <definedName name="__123Graph_CSIDECO" localSheetId="39" hidden="1">#REF!</definedName>
    <definedName name="__123Graph_CSIDECO" localSheetId="12" hidden="1">#REF!</definedName>
    <definedName name="__123Graph_CSIDECO" localSheetId="10" hidden="1">#REF!</definedName>
    <definedName name="__123Graph_CSIDECO" localSheetId="6" hidden="1">#REF!</definedName>
    <definedName name="__123Graph_CSIDECO" hidden="1">#REF!</definedName>
    <definedName name="__123Graph_D" localSheetId="1" hidden="1">#REF!</definedName>
    <definedName name="__123Graph_D" localSheetId="7" hidden="1">#REF!</definedName>
    <definedName name="__123Graph_D" localSheetId="2" hidden="1">#REF!</definedName>
    <definedName name="__123Graph_D" localSheetId="34" hidden="1">#REF!</definedName>
    <definedName name="__123Graph_D" localSheetId="39" hidden="1">#REF!</definedName>
    <definedName name="__123Graph_D" localSheetId="12" hidden="1">#REF!</definedName>
    <definedName name="__123Graph_D" localSheetId="10" hidden="1">#REF!</definedName>
    <definedName name="__123Graph_D" localSheetId="11" hidden="1">#REF!</definedName>
    <definedName name="__123Graph_D" localSheetId="6" hidden="1">#REF!</definedName>
    <definedName name="__123Graph_D" hidden="1">#REF!</definedName>
    <definedName name="__123Graph_DINDMES" hidden="1">#REF!</definedName>
    <definedName name="__123Graph_F" hidden="1">#REF!</definedName>
    <definedName name="__123Graph_X" hidden="1">#REF!</definedName>
    <definedName name="__123Graph_XANIDRO" hidden="1">#REF!</definedName>
    <definedName name="__123Graph_XHIALCOOL" hidden="1">#REF!</definedName>
    <definedName name="__123Graph_XHIDRATADO" hidden="1">#REF!</definedName>
    <definedName name="__123Graph_XINDMES" hidden="1">#REF!</definedName>
    <definedName name="__123Graph_XJAYME" hidden="1">#REF!</definedName>
    <definedName name="__123Graph_XMERC" hidden="1">#REF!</definedName>
    <definedName name="__123Graph_XRESFIN" hidden="1">#REF!</definedName>
    <definedName name="__123Graph_XSACAS" hidden="1">#REF!</definedName>
    <definedName name="__123Graph_XSIDECO" localSheetId="1" hidden="1">#REF!</definedName>
    <definedName name="__123Graph_XSIDECO" localSheetId="15" hidden="1">#REF!</definedName>
    <definedName name="__123Graph_XSIDECO" localSheetId="7" hidden="1">#REF!</definedName>
    <definedName name="__123Graph_XSIDECO" localSheetId="2" hidden="1">#REF!</definedName>
    <definedName name="__123Graph_XSIDECO" localSheetId="34" hidden="1">#REF!</definedName>
    <definedName name="__123Graph_XSIDECO" localSheetId="39" hidden="1">#REF!</definedName>
    <definedName name="__123Graph_XSIDECO" localSheetId="12" hidden="1">#REF!</definedName>
    <definedName name="__123Graph_XSIDECO" localSheetId="10" hidden="1">#REF!</definedName>
    <definedName name="__123Graph_XSIDECO" localSheetId="6" hidden="1">#REF!</definedName>
    <definedName name="__123Graph_XSIDECO" hidden="1">#REF!</definedName>
    <definedName name="__123Graph_XUSS" hidden="1">#REF!</definedName>
    <definedName name="__DRE0700" localSheetId="15" hidden="1">{"'PXR_6500'!$A$1:$I$124"}</definedName>
    <definedName name="__DRE0700" localSheetId="14" hidden="1">{"'PXR_6500'!$A$1:$I$124"}</definedName>
    <definedName name="__DRE0700" localSheetId="2" hidden="1">{"'PXR_6500'!$A$1:$I$124"}</definedName>
    <definedName name="__DRE0700" localSheetId="34" hidden="1">{"'PXR_6500'!$A$1:$I$124"}</definedName>
    <definedName name="__DRE0700" localSheetId="39" hidden="1">{"'PXR_6500'!$A$1:$I$124"}</definedName>
    <definedName name="__DRE0700" localSheetId="8" hidden="1">{"'PXR_6500'!$A$1:$I$124"}</definedName>
    <definedName name="__DRE0700" localSheetId="12" hidden="1">{"'PXR_6500'!$A$1:$I$124"}</definedName>
    <definedName name="__DRE0700" localSheetId="13" hidden="1">{"'PXR_6500'!$A$1:$I$124"}</definedName>
    <definedName name="__DRE0700" localSheetId="11" hidden="1">{"'PXR_6500'!$A$1:$I$124"}</definedName>
    <definedName name="__DRE0700" localSheetId="31" hidden="1">{"'PXR_6500'!$A$1:$I$124"}</definedName>
    <definedName name="__DRE0700" hidden="1">{"'PXR_6500'!$A$1:$I$124"}</definedName>
    <definedName name="__fl1111" localSheetId="15" hidden="1">{"Fecha_Novembro",#N/A,FALSE,"FECHAMENTO-2002 ";"Defer_Novembro",#N/A,FALSE,"DIFERIDO";"Pis_Novembro",#N/A,FALSE,"PIS COFINS";"Iss_Novembro",#N/A,FALSE,"ISS"}</definedName>
    <definedName name="__fl1111" localSheetId="14" hidden="1">{"Fecha_Novembro",#N/A,FALSE,"FECHAMENTO-2002 ";"Defer_Novembro",#N/A,FALSE,"DIFERIDO";"Pis_Novembro",#N/A,FALSE,"PIS COFINS";"Iss_Novembro",#N/A,FALSE,"ISS"}</definedName>
    <definedName name="__fl1111" localSheetId="2" hidden="1">{"Fecha_Novembro",#N/A,FALSE,"FECHAMENTO-2002 ";"Defer_Novembro",#N/A,FALSE,"DIFERIDO";"Pis_Novembro",#N/A,FALSE,"PIS COFINS";"Iss_Novembro",#N/A,FALSE,"ISS"}</definedName>
    <definedName name="__fl1111" localSheetId="34" hidden="1">{"Fecha_Novembro",#N/A,FALSE,"FECHAMENTO-2002 ";"Defer_Novembro",#N/A,FALSE,"DIFERIDO";"Pis_Novembro",#N/A,FALSE,"PIS COFINS";"Iss_Novembro",#N/A,FALSE,"ISS"}</definedName>
    <definedName name="__fl1111" localSheetId="39" hidden="1">{"Fecha_Novembro",#N/A,FALSE,"FECHAMENTO-2002 ";"Defer_Novembro",#N/A,FALSE,"DIFERIDO";"Pis_Novembro",#N/A,FALSE,"PIS COFINS";"Iss_Novembro",#N/A,FALSE,"ISS"}</definedName>
    <definedName name="__fl1111" localSheetId="8" hidden="1">{"Fecha_Novembro",#N/A,FALSE,"FECHAMENTO-2002 ";"Defer_Novembro",#N/A,FALSE,"DIFERIDO";"Pis_Novembro",#N/A,FALSE,"PIS COFINS";"Iss_Novembro",#N/A,FALSE,"ISS"}</definedName>
    <definedName name="__fl1111" localSheetId="12" hidden="1">{"Fecha_Novembro",#N/A,FALSE,"FECHAMENTO-2002 ";"Defer_Novembro",#N/A,FALSE,"DIFERIDO";"Pis_Novembro",#N/A,FALSE,"PIS COFINS";"Iss_Novembro",#N/A,FALSE,"ISS"}</definedName>
    <definedName name="__fl1111" localSheetId="13" hidden="1">{"Fecha_Novembro",#N/A,FALSE,"FECHAMENTO-2002 ";"Defer_Novembro",#N/A,FALSE,"DIFERIDO";"Pis_Novembro",#N/A,FALSE,"PIS COFINS";"Iss_Novembro",#N/A,FALSE,"ISS"}</definedName>
    <definedName name="__fl1111" localSheetId="11" hidden="1">{"Fecha_Novembro",#N/A,FALSE,"FECHAMENTO-2002 ";"Defer_Novembro",#N/A,FALSE,"DIFERIDO";"Pis_Novembro",#N/A,FALSE,"PIS COFINS";"Iss_Novembro",#N/A,FALSE,"ISS"}</definedName>
    <definedName name="__fl1111" localSheetId="31" hidden="1">{"Fecha_Novembro",#N/A,FALSE,"FECHAMENTO-2002 ";"Defer_Novembro",#N/A,FALSE,"DIFERIDO";"Pis_Novembro",#N/A,FALSE,"PIS COFINS";"Iss_Novembro",#N/A,FALSE,"ISS"}</definedName>
    <definedName name="__fl1111" hidden="1">{"Fecha_Novembro",#N/A,FALSE,"FECHAMENTO-2002 ";"Defer_Novembro",#N/A,FALSE,"DIFERIDO";"Pis_Novembro",#N/A,FALSE,"PIS COFINS";"Iss_Novembro",#N/A,FALSE,"ISS"}</definedName>
    <definedName name="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01_jan_00__sáb">#REF!</definedName>
    <definedName name="_1_0__123Grap" localSheetId="1" hidden="1">#REF!</definedName>
    <definedName name="_1_0__123Grap" localSheetId="7" hidden="1">#REF!</definedName>
    <definedName name="_1_0__123Grap" localSheetId="2" hidden="1">#REF!</definedName>
    <definedName name="_1_0__123Grap" localSheetId="34" hidden="1">#REF!</definedName>
    <definedName name="_1_0__123Grap" localSheetId="12" hidden="1">#REF!</definedName>
    <definedName name="_1_0__123Grap" localSheetId="10" hidden="1">#REF!</definedName>
    <definedName name="_1_0__123Grap" localSheetId="6" hidden="1">#REF!</definedName>
    <definedName name="_1_0__123Grap" hidden="1">#REF!</definedName>
    <definedName name="_1_123Grap" localSheetId="1" hidden="1">#REF!</definedName>
    <definedName name="_1_123Grap" localSheetId="7" hidden="1">#REF!</definedName>
    <definedName name="_1_123Grap" localSheetId="2" hidden="1">#REF!</definedName>
    <definedName name="_1_123Grap" localSheetId="34" hidden="1">#REF!</definedName>
    <definedName name="_1_123Grap" localSheetId="12" hidden="1">#REF!</definedName>
    <definedName name="_1_123Grap" localSheetId="10" hidden="1">#REF!</definedName>
    <definedName name="_1_123Grap" localSheetId="6" hidden="1">#REF!</definedName>
    <definedName name="_1_123Grap" hidden="1">#REF!</definedName>
    <definedName name="_12__123Graph_BCHART_1" localSheetId="1" hidden="1">#REF!</definedName>
    <definedName name="_12__123Graph_BCHART_1" localSheetId="7" hidden="1">#REF!</definedName>
    <definedName name="_12__123Graph_BCHART_1" localSheetId="2" hidden="1">#REF!</definedName>
    <definedName name="_12__123Graph_BCHART_1" localSheetId="34" hidden="1">#REF!</definedName>
    <definedName name="_12__123Graph_BCHART_1" localSheetId="12" hidden="1">#REF!</definedName>
    <definedName name="_12__123Graph_BCHART_1" localSheetId="10" hidden="1">#REF!</definedName>
    <definedName name="_12__123Graph_BCHART_1" localSheetId="6" hidden="1">#REF!</definedName>
    <definedName name="_12__123Graph_BCHART_1" hidden="1">#REF!</definedName>
    <definedName name="_13œ____123Grap" localSheetId="1" hidden="1">#REF!</definedName>
    <definedName name="_13œ____123Grap" localSheetId="7" hidden="1">#REF!</definedName>
    <definedName name="_13œ____123Grap" localSheetId="2" hidden="1">#REF!</definedName>
    <definedName name="_13œ____123Grap" localSheetId="34" hidden="1">#REF!</definedName>
    <definedName name="_13œ____123Grap" localSheetId="12" hidden="1">#REF!</definedName>
    <definedName name="_13œ____123Grap" localSheetId="10" hidden="1">#REF!</definedName>
    <definedName name="_13œ____123Grap" localSheetId="6" hidden="1">#REF!</definedName>
    <definedName name="_13œ____123Grap" hidden="1">#REF!</definedName>
    <definedName name="_14__123Graph_BCHART_3" hidden="1">#REF!</definedName>
    <definedName name="_14œ_0__123Grap" localSheetId="1" hidden="1">#REF!</definedName>
    <definedName name="_14œ_0__123Grap" localSheetId="15" hidden="1">#REF!</definedName>
    <definedName name="_14œ_0__123Grap" localSheetId="7" hidden="1">#REF!</definedName>
    <definedName name="_14œ_0__123Grap" localSheetId="2" hidden="1">#REF!</definedName>
    <definedName name="_14œ_0__123Grap" localSheetId="34" hidden="1">#REF!</definedName>
    <definedName name="_14œ_0__123Grap" localSheetId="39" hidden="1">#REF!</definedName>
    <definedName name="_14œ_0__123Grap" localSheetId="12" hidden="1">#REF!</definedName>
    <definedName name="_14œ_0__123Grap" localSheetId="10" hidden="1">#REF!</definedName>
    <definedName name="_14œ_0__123Grap" localSheetId="6" hidden="1">#REF!</definedName>
    <definedName name="_14œ_0__123Grap" hidden="1">#REF!</definedName>
    <definedName name="_19__123Graph_DCHART_1" localSheetId="1" hidden="1">#REF!</definedName>
    <definedName name="_19__123Graph_DCHART_1" localSheetId="7" hidden="1">#REF!</definedName>
    <definedName name="_19__123Graph_DCHART_1" localSheetId="2" hidden="1">#REF!</definedName>
    <definedName name="_19__123Graph_DCHART_1" localSheetId="34" hidden="1">#REF!</definedName>
    <definedName name="_19__123Graph_DCHART_1" localSheetId="39" hidden="1">#REF!</definedName>
    <definedName name="_19__123Graph_DCHART_1" localSheetId="12" hidden="1">#REF!</definedName>
    <definedName name="_19__123Graph_DCHART_1" localSheetId="10" hidden="1">#REF!</definedName>
    <definedName name="_19__123Graph_DCHART_1" localSheetId="11" hidden="1">#REF!</definedName>
    <definedName name="_19__123Graph_DCHART_1" localSheetId="6" hidden="1">#REF!</definedName>
    <definedName name="_19__123Graph_DCHART_1" hidden="1">#REF!</definedName>
    <definedName name="_1Dist_Val" localSheetId="1" hidden="1">#REF!</definedName>
    <definedName name="_1Dist_Val" localSheetId="15" hidden="1">#REF!</definedName>
    <definedName name="_1Dist_Val" localSheetId="7" hidden="1">#REF!</definedName>
    <definedName name="_1Dist_Val" localSheetId="2" hidden="1">#REF!</definedName>
    <definedName name="_1Dist_Val" localSheetId="34" hidden="1">#REF!</definedName>
    <definedName name="_1Dist_Val" localSheetId="39" hidden="1">#REF!</definedName>
    <definedName name="_1Dist_Val" localSheetId="12" hidden="1">#REF!</definedName>
    <definedName name="_1Dist_Val" localSheetId="10" hidden="1">#REF!</definedName>
    <definedName name="_1Dist_Val" localSheetId="11" hidden="1">#REF!</definedName>
    <definedName name="_1Dist_Val" localSheetId="6" hidden="1">#REF!</definedName>
    <definedName name="_1Dist_Val" hidden="1">#REF!</definedName>
    <definedName name="_2__123Graph_ACDIUS" hidden="1">#REF!</definedName>
    <definedName name="_2_0__123Grap" localSheetId="1" hidden="1">#REF!</definedName>
    <definedName name="_2_0__123Grap" localSheetId="15" hidden="1">#REF!</definedName>
    <definedName name="_2_0__123Grap" localSheetId="7" hidden="1">#REF!</definedName>
    <definedName name="_2_0__123Grap" localSheetId="2" hidden="1">#REF!</definedName>
    <definedName name="_2_0__123Grap" localSheetId="34" hidden="1">#REF!</definedName>
    <definedName name="_2_0__123Grap" localSheetId="39" hidden="1">#REF!</definedName>
    <definedName name="_2_0__123Grap" localSheetId="12" hidden="1">#REF!</definedName>
    <definedName name="_2_0__123Grap" localSheetId="10" hidden="1">#REF!</definedName>
    <definedName name="_2_0__123Grap" localSheetId="6" hidden="1">#REF!</definedName>
    <definedName name="_2_0__123Grap" hidden="1">#REF!</definedName>
    <definedName name="_24__123Graph_LBL_ACHART_1" localSheetId="1" hidden="1">#REF!</definedName>
    <definedName name="_24__123Graph_LBL_ACHART_1" localSheetId="7" hidden="1">#REF!</definedName>
    <definedName name="_24__123Graph_LBL_ACHART_1" localSheetId="2" hidden="1">#REF!</definedName>
    <definedName name="_24__123Graph_LBL_ACHART_1" localSheetId="34" hidden="1">#REF!</definedName>
    <definedName name="_24__123Graph_LBL_ACHART_1" localSheetId="39" hidden="1">#REF!</definedName>
    <definedName name="_24__123Graph_LBL_ACHART_1" localSheetId="12" hidden="1">#REF!</definedName>
    <definedName name="_24__123Graph_LBL_ACHART_1" localSheetId="10" hidden="1">#REF!</definedName>
    <definedName name="_24__123Graph_LBL_ACHART_1" localSheetId="11" hidden="1">#REF!</definedName>
    <definedName name="_24__123Graph_LBL_ACHART_1" localSheetId="6" hidden="1">#REF!</definedName>
    <definedName name="_24__123Graph_LBL_ACHART_1" hidden="1">#REF!</definedName>
    <definedName name="_26__123Graph_LBL_ACHART_3" hidden="1">#REF!</definedName>
    <definedName name="_2F" localSheetId="1" hidden="1">#REF!</definedName>
    <definedName name="_2F" localSheetId="15" hidden="1">#REF!</definedName>
    <definedName name="_2F" localSheetId="7" hidden="1">#REF!</definedName>
    <definedName name="_2F" localSheetId="2" hidden="1">#REF!</definedName>
    <definedName name="_2F" localSheetId="34" hidden="1">#REF!</definedName>
    <definedName name="_2F" localSheetId="39" hidden="1">#REF!</definedName>
    <definedName name="_2F" localSheetId="12" hidden="1">#REF!</definedName>
    <definedName name="_2F" localSheetId="10" hidden="1">#REF!</definedName>
    <definedName name="_2F" localSheetId="6" hidden="1">#REF!</definedName>
    <definedName name="_2F" hidden="1">#REF!</definedName>
    <definedName name="_3__123Graph_BCDIUS" hidden="1">#REF!</definedName>
    <definedName name="_3_123Grap" localSheetId="1" hidden="1">#REF!</definedName>
    <definedName name="_3_123Grap" localSheetId="15" hidden="1">#REF!</definedName>
    <definedName name="_3_123Grap" localSheetId="7" hidden="1">#REF!</definedName>
    <definedName name="_3_123Grap" localSheetId="2" hidden="1">#REF!</definedName>
    <definedName name="_3_123Grap" localSheetId="34" hidden="1">#REF!</definedName>
    <definedName name="_3_123Grap" localSheetId="39" hidden="1">#REF!</definedName>
    <definedName name="_3_123Grap" localSheetId="12" hidden="1">#REF!</definedName>
    <definedName name="_3_123Grap" localSheetId="10" hidden="1">#REF!</definedName>
    <definedName name="_3_123Grap" localSheetId="6" hidden="1">#REF!</definedName>
    <definedName name="_3_123Grap" hidden="1">#REF!</definedName>
    <definedName name="_31__123Graph_LBL_DCHART_1" localSheetId="1" hidden="1">#REF!</definedName>
    <definedName name="_31__123Graph_LBL_DCHART_1" localSheetId="7" hidden="1">#REF!</definedName>
    <definedName name="_31__123Graph_LBL_DCHART_1" localSheetId="2" hidden="1">#REF!</definedName>
    <definedName name="_31__123Graph_LBL_DCHART_1" localSheetId="34" hidden="1">#REF!</definedName>
    <definedName name="_31__123Graph_LBL_DCHART_1" localSheetId="39" hidden="1">#REF!</definedName>
    <definedName name="_31__123Graph_LBL_DCHART_1" localSheetId="12" hidden="1">#REF!</definedName>
    <definedName name="_31__123Graph_LBL_DCHART_1" localSheetId="10" hidden="1">#REF!</definedName>
    <definedName name="_31__123Graph_LBL_DCHART_1" localSheetId="11" hidden="1">#REF!</definedName>
    <definedName name="_31__123Graph_LBL_DCHART_1" localSheetId="6" hidden="1">#REF!</definedName>
    <definedName name="_31__123Graph_LBL_DCHART_1" hidden="1">#REF!</definedName>
    <definedName name="_4__123Graph_XCDIUS" hidden="1">#REF!</definedName>
    <definedName name="_4_0__123Grap" localSheetId="1" hidden="1">#REF!</definedName>
    <definedName name="_4_0__123Grap" localSheetId="15" hidden="1">#REF!</definedName>
    <definedName name="_4_0__123Grap" localSheetId="7" hidden="1">#REF!</definedName>
    <definedName name="_4_0__123Grap" localSheetId="2" hidden="1">#REF!</definedName>
    <definedName name="_4_0__123Grap" localSheetId="34" hidden="1">#REF!</definedName>
    <definedName name="_4_0__123Grap" localSheetId="39" hidden="1">#REF!</definedName>
    <definedName name="_4_0__123Grap" localSheetId="12" hidden="1">#REF!</definedName>
    <definedName name="_4_0__123Grap" localSheetId="10" hidden="1">#REF!</definedName>
    <definedName name="_4_0__123Grap" localSheetId="6" hidden="1">#REF!</definedName>
    <definedName name="_4_0__123Grap" hidden="1">#REF!</definedName>
    <definedName name="_5__123Graph_ACDIUS" hidden="1">#REF!</definedName>
    <definedName name="_5__123Graph_ACHART_1" localSheetId="1" hidden="1">#REF!</definedName>
    <definedName name="_5__123Graph_ACHART_1" localSheetId="15" hidden="1">#REF!</definedName>
    <definedName name="_5__123Graph_ACHART_1" localSheetId="7" hidden="1">#REF!</definedName>
    <definedName name="_5__123Graph_ACHART_1" localSheetId="2" hidden="1">#REF!</definedName>
    <definedName name="_5__123Graph_ACHART_1" localSheetId="34" hidden="1">#REF!</definedName>
    <definedName name="_5__123Graph_ACHART_1" localSheetId="39" hidden="1">#REF!</definedName>
    <definedName name="_5__123Graph_ACHART_1" localSheetId="12" hidden="1">#REF!</definedName>
    <definedName name="_5__123Graph_ACHART_1" localSheetId="10" hidden="1">#REF!</definedName>
    <definedName name="_5__123Graph_ACHART_1" localSheetId="11" hidden="1">#REF!</definedName>
    <definedName name="_5__123Graph_ACHART_1" localSheetId="6" hidden="1">#REF!</definedName>
    <definedName name="_5__123Graph_ACHART_1" hidden="1">#REF!</definedName>
    <definedName name="_5œ____123Grap" localSheetId="1" hidden="1">#REF!</definedName>
    <definedName name="_5œ____123Grap" localSheetId="7" hidden="1">#REF!</definedName>
    <definedName name="_5œ____123Grap" localSheetId="2" hidden="1">#REF!</definedName>
    <definedName name="_5œ____123Grap" localSheetId="34" hidden="1">#REF!</definedName>
    <definedName name="_5œ____123Grap" localSheetId="39" hidden="1">#REF!</definedName>
    <definedName name="_5œ____123Grap" localSheetId="12" hidden="1">#REF!</definedName>
    <definedName name="_5œ____123Grap" localSheetId="10" hidden="1">#REF!</definedName>
    <definedName name="_5œ____123Grap" localSheetId="6" hidden="1">#REF!</definedName>
    <definedName name="_5œ____123Grap" hidden="1">#REF!</definedName>
    <definedName name="_6__123Graph_BCDIUS" hidden="1">#REF!</definedName>
    <definedName name="_6œ_0__123Grap" localSheetId="1" hidden="1">#REF!</definedName>
    <definedName name="_6œ_0__123Grap" localSheetId="15" hidden="1">#REF!</definedName>
    <definedName name="_6œ_0__123Grap" localSheetId="7" hidden="1">#REF!</definedName>
    <definedName name="_6œ_0__123Grap" localSheetId="2" hidden="1">#REF!</definedName>
    <definedName name="_6œ_0__123Grap" localSheetId="34" hidden="1">#REF!</definedName>
    <definedName name="_6œ_0__123Grap" localSheetId="39" hidden="1">#REF!</definedName>
    <definedName name="_6œ_0__123Grap" localSheetId="12" hidden="1">#REF!</definedName>
    <definedName name="_6œ_0__123Grap" localSheetId="10" hidden="1">#REF!</definedName>
    <definedName name="_6œ_0__123Grap" localSheetId="6" hidden="1">#REF!</definedName>
    <definedName name="_6œ_0__123Grap" hidden="1">#REF!</definedName>
    <definedName name="_7__123Graph_ACHART_3" hidden="1">#REF!</definedName>
    <definedName name="_7__123Graph_XCDIUS" hidden="1">#REF!</definedName>
    <definedName name="_ANA1" localSheetId="2">#REF!</definedName>
    <definedName name="_ANA1">#REF!</definedName>
    <definedName name="_ANA2" localSheetId="2">#REF!</definedName>
    <definedName name="_ANA2">#REF!</definedName>
    <definedName name="_bdm.A56044B6AE024A82A1E4B0A4159858FA.edm" localSheetId="1" hidden="1">#REF!</definedName>
    <definedName name="_bdm.A56044B6AE024A82A1E4B0A4159858FA.edm" localSheetId="15" hidden="1">#REF!</definedName>
    <definedName name="_bdm.A56044B6AE024A82A1E4B0A4159858FA.edm" localSheetId="7" hidden="1">#REF!</definedName>
    <definedName name="_bdm.A56044B6AE024A82A1E4B0A4159858FA.edm" localSheetId="14" hidden="1">#REF!</definedName>
    <definedName name="_bdm.A56044B6AE024A82A1E4B0A4159858FA.edm" localSheetId="2" hidden="1">#REF!</definedName>
    <definedName name="_bdm.A56044B6AE024A82A1E4B0A4159858FA.edm" localSheetId="34" hidden="1">#REF!</definedName>
    <definedName name="_bdm.A56044B6AE024A82A1E4B0A4159858FA.edm" localSheetId="39" hidden="1">#REF!</definedName>
    <definedName name="_bdm.A56044B6AE024A82A1E4B0A4159858FA.edm" localSheetId="12" hidden="1">#REF!</definedName>
    <definedName name="_bdm.A56044B6AE024A82A1E4B0A4159858FA.edm" localSheetId="10" hidden="1">#REF!</definedName>
    <definedName name="_bdm.A56044B6AE024A82A1E4B0A4159858FA.edm" localSheetId="11" hidden="1">#REF!</definedName>
    <definedName name="_bdm.A56044B6AE024A82A1E4B0A4159858FA.edm" localSheetId="6" hidden="1">#REF!</definedName>
    <definedName name="_bdm.A56044B6AE024A82A1E4B0A4159858FA.edm" hidden="1">#REF!</definedName>
    <definedName name="_bdm.B0D166CE42564D8B8A1EF8B65CFD765C.edm" localSheetId="1" hidden="1">#REF!</definedName>
    <definedName name="_bdm.B0D166CE42564D8B8A1EF8B65CFD765C.edm" localSheetId="15" hidden="1">#REF!</definedName>
    <definedName name="_bdm.B0D166CE42564D8B8A1EF8B65CFD765C.edm" localSheetId="7" hidden="1">#REF!</definedName>
    <definedName name="_bdm.B0D166CE42564D8B8A1EF8B65CFD765C.edm" localSheetId="14" hidden="1">#REF!</definedName>
    <definedName name="_bdm.B0D166CE42564D8B8A1EF8B65CFD765C.edm" localSheetId="2" hidden="1">#REF!</definedName>
    <definedName name="_bdm.B0D166CE42564D8B8A1EF8B65CFD765C.edm" localSheetId="34" hidden="1">#REF!</definedName>
    <definedName name="_bdm.B0D166CE42564D8B8A1EF8B65CFD765C.edm" localSheetId="39" hidden="1">#REF!</definedName>
    <definedName name="_bdm.B0D166CE42564D8B8A1EF8B65CFD765C.edm" localSheetId="12" hidden="1">#REF!</definedName>
    <definedName name="_bdm.B0D166CE42564D8B8A1EF8B65CFD765C.edm" localSheetId="10" hidden="1">#REF!</definedName>
    <definedName name="_bdm.B0D166CE42564D8B8A1EF8B65CFD765C.edm" localSheetId="11" hidden="1">#REF!</definedName>
    <definedName name="_bdm.B0D166CE42564D8B8A1EF8B65CFD765C.edm" localSheetId="6" hidden="1">#REF!</definedName>
    <definedName name="_bdm.B0D166CE42564D8B8A1EF8B65CFD765C.edm" hidden="1">#REF!</definedName>
    <definedName name="_Dist_Bin" localSheetId="1" hidden="1">#REF!</definedName>
    <definedName name="_Dist_Bin" localSheetId="15" hidden="1">#REF!</definedName>
    <definedName name="_Dist_Bin" localSheetId="7" hidden="1">#REF!</definedName>
    <definedName name="_Dist_Bin" localSheetId="2" hidden="1">#REF!</definedName>
    <definedName name="_Dist_Bin" localSheetId="34" hidden="1">#REF!</definedName>
    <definedName name="_Dist_Bin" localSheetId="39" hidden="1">#REF!</definedName>
    <definedName name="_Dist_Bin" localSheetId="12" hidden="1">#REF!</definedName>
    <definedName name="_Dist_Bin" localSheetId="10" hidden="1">#REF!</definedName>
    <definedName name="_Dist_Bin" localSheetId="11" hidden="1">#REF!</definedName>
    <definedName name="_Dist_Bin" localSheetId="6" hidden="1">#REF!</definedName>
    <definedName name="_Dist_Bin" hidden="1">#REF!</definedName>
    <definedName name="_Dist_Values" localSheetId="1" hidden="1">#REF!</definedName>
    <definedName name="_Dist_Values" localSheetId="15" hidden="1">#REF!</definedName>
    <definedName name="_Dist_Values" localSheetId="3" hidden="1">#REF!</definedName>
    <definedName name="_Dist_Values" localSheetId="7" hidden="1">#REF!</definedName>
    <definedName name="_Dist_Values" localSheetId="2" hidden="1">#REF!</definedName>
    <definedName name="_Dist_Values" localSheetId="34" hidden="1">#REF!</definedName>
    <definedName name="_Dist_Values" localSheetId="39" hidden="1">#REF!</definedName>
    <definedName name="_Dist_Values" localSheetId="12" hidden="1">#REF!</definedName>
    <definedName name="_Dist_Values" localSheetId="10" hidden="1">#REF!</definedName>
    <definedName name="_Dist_Values" localSheetId="11" hidden="1">#REF!</definedName>
    <definedName name="_Dist_Values" localSheetId="6" hidden="1">#REF!</definedName>
    <definedName name="_Dist_Values" hidden="1">#REF!</definedName>
    <definedName name="_DRE0700" localSheetId="15" hidden="1">{"'PXR_6500'!$A$1:$I$124"}</definedName>
    <definedName name="_DRE0700" localSheetId="14" hidden="1">{"'PXR_6500'!$A$1:$I$124"}</definedName>
    <definedName name="_DRE0700" localSheetId="2" hidden="1">{"'PXR_6500'!$A$1:$I$124"}</definedName>
    <definedName name="_DRE0700" localSheetId="34" hidden="1">{"'PXR_6500'!$A$1:$I$124"}</definedName>
    <definedName name="_DRE0700" localSheetId="39" hidden="1">{"'PXR_6500'!$A$1:$I$124"}</definedName>
    <definedName name="_DRE0700" localSheetId="8" hidden="1">{"'PXR_6500'!$A$1:$I$124"}</definedName>
    <definedName name="_DRE0700" localSheetId="12" hidden="1">{"'PXR_6500'!$A$1:$I$124"}</definedName>
    <definedName name="_DRE0700" localSheetId="13" hidden="1">{"'PXR_6500'!$A$1:$I$124"}</definedName>
    <definedName name="_DRE0700" localSheetId="11" hidden="1">{"'PXR_6500'!$A$1:$I$124"}</definedName>
    <definedName name="_DRE0700" localSheetId="31" hidden="1">{"'PXR_6500'!$A$1:$I$124"}</definedName>
    <definedName name="_DRE0700" hidden="1">{"'PXR_6500'!$A$1:$I$124"}</definedName>
    <definedName name="_Fill" localSheetId="1" hidden="1">#REF!</definedName>
    <definedName name="_Fill" localSheetId="15" hidden="1">#REF!</definedName>
    <definedName name="_Fill" localSheetId="7" hidden="1">#REF!</definedName>
    <definedName name="_Fill" localSheetId="14" hidden="1">#REF!</definedName>
    <definedName name="_Fill" localSheetId="2" hidden="1">#REF!</definedName>
    <definedName name="_Fill" localSheetId="34" hidden="1">#REF!</definedName>
    <definedName name="_Fill" localSheetId="39" hidden="1">#REF!</definedName>
    <definedName name="_Fill" localSheetId="12" hidden="1">#REF!</definedName>
    <definedName name="_Fill" localSheetId="10" hidden="1">#REF!</definedName>
    <definedName name="_Fill" localSheetId="6" hidden="1">#REF!</definedName>
    <definedName name="_Fill" hidden="1">#REF!</definedName>
    <definedName name="_FiltrarBancoDados2" localSheetId="1" hidden="1">#REF!</definedName>
    <definedName name="_FiltrarBancoDados2" localSheetId="15" hidden="1">#REF!</definedName>
    <definedName name="_FiltrarBancoDados2" localSheetId="7" hidden="1">#REF!</definedName>
    <definedName name="_FiltrarBancoDados2" localSheetId="14" hidden="1">#REF!</definedName>
    <definedName name="_FiltrarBancoDados2" localSheetId="2" hidden="1">#REF!</definedName>
    <definedName name="_FiltrarBancoDados2" localSheetId="34" hidden="1">#REF!</definedName>
    <definedName name="_FiltrarBancoDados2" localSheetId="39" hidden="1">#REF!</definedName>
    <definedName name="_FiltrarBancoDados2" localSheetId="12" hidden="1">#REF!</definedName>
    <definedName name="_FiltrarBancoDados2" localSheetId="10" hidden="1">#REF!</definedName>
    <definedName name="_FiltrarBancoDados2" localSheetId="11" hidden="1">#REF!</definedName>
    <definedName name="_FiltrarBancoDados2" localSheetId="6" hidden="1">#REF!</definedName>
    <definedName name="_FiltrarBancoDados2" hidden="1">#REF!</definedName>
    <definedName name="_xlnm._FilterDatabase" localSheetId="1" hidden="1">'Análise Rápida'!#REF!</definedName>
    <definedName name="_xlnm._FilterDatabase" localSheetId="15" hidden="1">Anexos!#REF!</definedName>
    <definedName name="_xlnm._FilterDatabase" localSheetId="5" hidden="1">Auto!$C$73:$N$73</definedName>
    <definedName name="_xlnm._FilterDatabase" localSheetId="7" hidden="1">Consolidado!$A$51:$Q$53</definedName>
    <definedName name="_xlnm._FilterDatabase" localSheetId="23" hidden="1">'Demais Contas a Receber'!$M$31:$AK$31</definedName>
    <definedName name="_xlnm._FilterDatabase" localSheetId="12" hidden="1">Dividendos!#REF!</definedName>
    <definedName name="_xlnm._FilterDatabase" localSheetId="4" hidden="1">DRE!$B$31:$R$31</definedName>
    <definedName name="_xlnm._FilterDatabase" localSheetId="29" hidden="1">'Imobilizado '!$O$5:$AA$5</definedName>
    <definedName name="_xlnm._FilterDatabase" localSheetId="24" hidden="1">'Impostos a Recuperar'!$M$5:$AC$5</definedName>
    <definedName name="_xlnm._FilterDatabase" localSheetId="11" hidden="1">Indicadores!#REF!</definedName>
    <definedName name="_xlnm._FilterDatabase" localSheetId="25" hidden="1">'Investimentos A'!$K$39:$N$39</definedName>
    <definedName name="_xlnm._FilterDatabase" localSheetId="6" hidden="1">LI!$B$51:$N$51</definedName>
    <definedName name="_xlnm._FilterDatabase" hidden="1">#REF!</definedName>
    <definedName name="_fl1111" localSheetId="15" hidden="1">{"Fecha_Novembro",#N/A,FALSE,"FECHAMENTO-2002 ";"Defer_Novembro",#N/A,FALSE,"DIFERIDO";"Pis_Novembro",#N/A,FALSE,"PIS COFINS";"Iss_Novembro",#N/A,FALSE,"ISS"}</definedName>
    <definedName name="_fl1111" localSheetId="14" hidden="1">{"Fecha_Novembro",#N/A,FALSE,"FECHAMENTO-2002 ";"Defer_Novembro",#N/A,FALSE,"DIFERIDO";"Pis_Novembro",#N/A,FALSE,"PIS COFINS";"Iss_Novembro",#N/A,FALSE,"ISS"}</definedName>
    <definedName name="_fl1111" localSheetId="2" hidden="1">{"Fecha_Novembro",#N/A,FALSE,"FECHAMENTO-2002 ";"Defer_Novembro",#N/A,FALSE,"DIFERIDO";"Pis_Novembro",#N/A,FALSE,"PIS COFINS";"Iss_Novembro",#N/A,FALSE,"ISS"}</definedName>
    <definedName name="_fl1111" localSheetId="34" hidden="1">{"Fecha_Novembro",#N/A,FALSE,"FECHAMENTO-2002 ";"Defer_Novembro",#N/A,FALSE,"DIFERIDO";"Pis_Novembro",#N/A,FALSE,"PIS COFINS";"Iss_Novembro",#N/A,FALSE,"ISS"}</definedName>
    <definedName name="_fl1111" localSheetId="39" hidden="1">{"Fecha_Novembro",#N/A,FALSE,"FECHAMENTO-2002 ";"Defer_Novembro",#N/A,FALSE,"DIFERIDO";"Pis_Novembro",#N/A,FALSE,"PIS COFINS";"Iss_Novembro",#N/A,FALSE,"ISS"}</definedName>
    <definedName name="_fl1111" localSheetId="8" hidden="1">{"Fecha_Novembro",#N/A,FALSE,"FECHAMENTO-2002 ";"Defer_Novembro",#N/A,FALSE,"DIFERIDO";"Pis_Novembro",#N/A,FALSE,"PIS COFINS";"Iss_Novembro",#N/A,FALSE,"ISS"}</definedName>
    <definedName name="_fl1111" localSheetId="12" hidden="1">{"Fecha_Novembro",#N/A,FALSE,"FECHAMENTO-2002 ";"Defer_Novembro",#N/A,FALSE,"DIFERIDO";"Pis_Novembro",#N/A,FALSE,"PIS COFINS";"Iss_Novembro",#N/A,FALSE,"ISS"}</definedName>
    <definedName name="_fl1111" localSheetId="13" hidden="1">{"Fecha_Novembro",#N/A,FALSE,"FECHAMENTO-2002 ";"Defer_Novembro",#N/A,FALSE,"DIFERIDO";"Pis_Novembro",#N/A,FALSE,"PIS COFINS";"Iss_Novembro",#N/A,FALSE,"ISS"}</definedName>
    <definedName name="_fl1111" localSheetId="11" hidden="1">{"Fecha_Novembro",#N/A,FALSE,"FECHAMENTO-2002 ";"Defer_Novembro",#N/A,FALSE,"DIFERIDO";"Pis_Novembro",#N/A,FALSE,"PIS COFINS";"Iss_Novembro",#N/A,FALSE,"ISS"}</definedName>
    <definedName name="_fl1111" localSheetId="31" hidden="1">{"Fecha_Novembro",#N/A,FALSE,"FECHAMENTO-2002 ";"Defer_Novembro",#N/A,FALSE,"DIFERIDO";"Pis_Novembro",#N/A,FALSE,"PIS COFINS";"Iss_Novembro",#N/A,FALSE,"ISS"}</definedName>
    <definedName name="_fl1111" hidden="1">{"Fecha_Novembro",#N/A,FALSE,"FECHAMENTO-2002 ";"Defer_Novembro",#N/A,FALSE,"DIFERIDO";"Pis_Novembro",#N/A,FALSE,"PIS COFINS";"Iss_Novembro",#N/A,FALSE,"ISS"}</definedName>
    <definedName name="_Key1" localSheetId="1" hidden="1">#REF!</definedName>
    <definedName name="_Key1" localSheetId="15" hidden="1">#REF!</definedName>
    <definedName name="_Key1" localSheetId="7" hidden="1">#REF!</definedName>
    <definedName name="_Key1" localSheetId="14" hidden="1">#REF!</definedName>
    <definedName name="_Key1" localSheetId="2" hidden="1">#REF!</definedName>
    <definedName name="_Key1" localSheetId="34" hidden="1">#REF!</definedName>
    <definedName name="_Key1" localSheetId="39" hidden="1">#REF!</definedName>
    <definedName name="_Key1" localSheetId="12" hidden="1">#REF!</definedName>
    <definedName name="_Key1" localSheetId="10" hidden="1">#REF!</definedName>
    <definedName name="_Key1" localSheetId="6" hidden="1">#REF!</definedName>
    <definedName name="_Key1" hidden="1">#REF!</definedName>
    <definedName name="_Key2" localSheetId="1" hidden="1">#REF!</definedName>
    <definedName name="_Key2" localSheetId="15" hidden="1">#REF!</definedName>
    <definedName name="_Key2" localSheetId="7" hidden="1">#REF!</definedName>
    <definedName name="_Key2" localSheetId="14" hidden="1">#REF!</definedName>
    <definedName name="_Key2" localSheetId="2" hidden="1">#REF!</definedName>
    <definedName name="_Key2" localSheetId="34" hidden="1">#REF!</definedName>
    <definedName name="_Key2" localSheetId="39" hidden="1">#REF!</definedName>
    <definedName name="_Key2" localSheetId="12" hidden="1">#REF!</definedName>
    <definedName name="_Key2" localSheetId="10" hidden="1">#REF!</definedName>
    <definedName name="_Key2" localSheetId="6" hidden="1">#REF!</definedName>
    <definedName name="_Key2" hidden="1">#REF!</definedName>
    <definedName name="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mes1" localSheetId="2">#REF!</definedName>
    <definedName name="_mes1">#REF!</definedName>
    <definedName name="_ok1" localSheetId="1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9"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3"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rder1" localSheetId="0" hidden="1">255</definedName>
    <definedName name="_Order1" hidden="1">0</definedName>
    <definedName name="_Order2" localSheetId="0" hidden="1">255</definedName>
    <definedName name="_Order2" hidden="1">0</definedName>
    <definedName name="_Parse_Out" localSheetId="1" hidden="1">#REF!</definedName>
    <definedName name="_Parse_Out" localSheetId="7" hidden="1">#REF!</definedName>
    <definedName name="_Parse_Out" localSheetId="2" hidden="1">#REF!</definedName>
    <definedName name="_Parse_Out" localSheetId="34" hidden="1">#REF!</definedName>
    <definedName name="_Parse_Out" localSheetId="12" hidden="1">#REF!</definedName>
    <definedName name="_Parse_Out" localSheetId="10" hidden="1">#REF!</definedName>
    <definedName name="_Parse_Out" localSheetId="6" hidden="1">#REF!</definedName>
    <definedName name="_Parse_Out" hidden="1">#REF!</definedName>
    <definedName name="_Regression_Int" hidden="1">1</definedName>
    <definedName name="_Regression_Out" localSheetId="1" hidden="1">#REF!</definedName>
    <definedName name="_Regression_Out" localSheetId="15" hidden="1">#REF!</definedName>
    <definedName name="_Regression_Out" localSheetId="7" hidden="1">#REF!</definedName>
    <definedName name="_Regression_Out" localSheetId="14" hidden="1">#REF!</definedName>
    <definedName name="_Regression_Out" localSheetId="2" hidden="1">#REF!</definedName>
    <definedName name="_Regression_Out" localSheetId="34" hidden="1">#REF!</definedName>
    <definedName name="_Regression_Out" localSheetId="39" hidden="1">#REF!</definedName>
    <definedName name="_Regression_Out" localSheetId="12" hidden="1">#REF!</definedName>
    <definedName name="_Regression_Out" localSheetId="10" hidden="1">#REF!</definedName>
    <definedName name="_Regression_Out" localSheetId="6" hidden="1">#REF!</definedName>
    <definedName name="_Regression_Out" hidden="1">#REF!</definedName>
    <definedName name="_Regression_X" localSheetId="1" hidden="1">#REF!</definedName>
    <definedName name="_Regression_X" localSheetId="15" hidden="1">#REF!</definedName>
    <definedName name="_Regression_X" localSheetId="7" hidden="1">#REF!</definedName>
    <definedName name="_Regression_X" localSheetId="14" hidden="1">#REF!</definedName>
    <definedName name="_Regression_X" localSheetId="2" hidden="1">#REF!</definedName>
    <definedName name="_Regression_X" localSheetId="34" hidden="1">#REF!</definedName>
    <definedName name="_Regression_X" localSheetId="39" hidden="1">#REF!</definedName>
    <definedName name="_Regression_X" localSheetId="12" hidden="1">#REF!</definedName>
    <definedName name="_Regression_X" localSheetId="10" hidden="1">#REF!</definedName>
    <definedName name="_Regression_X" localSheetId="11" hidden="1">#REF!</definedName>
    <definedName name="_Regression_X" localSheetId="6" hidden="1">#REF!</definedName>
    <definedName name="_Regression_X" hidden="1">#REF!</definedName>
    <definedName name="_Regression_Y" localSheetId="1" hidden="1">#REF!</definedName>
    <definedName name="_Regression_Y" localSheetId="15" hidden="1">#REF!</definedName>
    <definedName name="_Regression_Y" localSheetId="7" hidden="1">#REF!</definedName>
    <definedName name="_Regression_Y" localSheetId="14" hidden="1">#REF!</definedName>
    <definedName name="_Regression_Y" localSheetId="2" hidden="1">#REF!</definedName>
    <definedName name="_Regression_Y" localSheetId="34" hidden="1">#REF!</definedName>
    <definedName name="_Regression_Y" localSheetId="39" hidden="1">#REF!</definedName>
    <definedName name="_Regression_Y" localSheetId="12" hidden="1">#REF!</definedName>
    <definedName name="_Regression_Y" localSheetId="10" hidden="1">#REF!</definedName>
    <definedName name="_Regression_Y" localSheetId="11" hidden="1">#REF!</definedName>
    <definedName name="_Regression_Y" localSheetId="6" hidden="1">#REF!</definedName>
    <definedName name="_Regression_Y" hidden="1">#REF!</definedName>
    <definedName name="_REL1" localSheetId="2">#REF!</definedName>
    <definedName name="_REL1">#REF!</definedName>
    <definedName name="_REL2" localSheetId="2">#REF!</definedName>
    <definedName name="_REL2">#REF!</definedName>
    <definedName name="_REL3" localSheetId="2">#REF!</definedName>
    <definedName name="_REL3">#REF!</definedName>
    <definedName name="_REL4" localSheetId="2">#REF!</definedName>
    <definedName name="_REL4">#REF!</definedName>
    <definedName name="_REL5" localSheetId="2">#REF!</definedName>
    <definedName name="_REL5">#REF!</definedName>
    <definedName name="_REL9" localSheetId="2">#REF!</definedName>
    <definedName name="_REL9">#REF!</definedName>
    <definedName name="_Sort" localSheetId="1" hidden="1">#REF!</definedName>
    <definedName name="_Sort" localSheetId="15" hidden="1">#REF!</definedName>
    <definedName name="_Sort" localSheetId="7" hidden="1">#REF!</definedName>
    <definedName name="_Sort" localSheetId="14" hidden="1">#REF!</definedName>
    <definedName name="_Sort" localSheetId="2" hidden="1">#REF!</definedName>
    <definedName name="_Sort" localSheetId="34" hidden="1">#REF!</definedName>
    <definedName name="_Sort" localSheetId="39" hidden="1">#REF!</definedName>
    <definedName name="_Sort" localSheetId="12" hidden="1">#REF!</definedName>
    <definedName name="_Sort" localSheetId="10" hidden="1">#REF!</definedName>
    <definedName name="_Sort" localSheetId="11" hidden="1">#REF!</definedName>
    <definedName name="_Sort" localSheetId="6" hidden="1">#REF!</definedName>
    <definedName name="_Sort" hidden="1">#REF!</definedName>
    <definedName name="_Table2_In1" hidden="1">#REF!</definedName>
    <definedName name="_Table2_In2" hidden="1">#REF!</definedName>
    <definedName name="_Table2_Out" hidden="1">#REF!</definedName>
    <definedName name="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a" localSheetId="15" hidden="1">{#N/A,#N/A,TRUE,"Pro Forma";#N/A,#N/A,TRUE,"PF_Bal";#N/A,#N/A,TRUE,"PF_INC";#N/A,#N/A,TRUE,"CBE";#N/A,#N/A,TRUE,"SWK"}</definedName>
    <definedName name="aa" localSheetId="14" hidden="1">{#N/A,#N/A,TRUE,"Pro Forma";#N/A,#N/A,TRUE,"PF_Bal";#N/A,#N/A,TRUE,"PF_INC";#N/A,#N/A,TRUE,"CBE";#N/A,#N/A,TRUE,"SWK"}</definedName>
    <definedName name="aa" localSheetId="2" hidden="1">{#N/A,#N/A,TRUE,"Pro Forma";#N/A,#N/A,TRUE,"PF_Bal";#N/A,#N/A,TRUE,"PF_INC";#N/A,#N/A,TRUE,"CBE";#N/A,#N/A,TRUE,"SWK"}</definedName>
    <definedName name="aa" localSheetId="34" hidden="1">{#N/A,#N/A,TRUE,"Pro Forma";#N/A,#N/A,TRUE,"PF_Bal";#N/A,#N/A,TRUE,"PF_INC";#N/A,#N/A,TRUE,"CBE";#N/A,#N/A,TRUE,"SWK"}</definedName>
    <definedName name="aa" localSheetId="39" hidden="1">{#N/A,#N/A,TRUE,"Pro Forma";#N/A,#N/A,TRUE,"PF_Bal";#N/A,#N/A,TRUE,"PF_INC";#N/A,#N/A,TRUE,"CBE";#N/A,#N/A,TRUE,"SWK"}</definedName>
    <definedName name="aa" localSheetId="8" hidden="1">{#N/A,#N/A,TRUE,"Pro Forma";#N/A,#N/A,TRUE,"PF_Bal";#N/A,#N/A,TRUE,"PF_INC";#N/A,#N/A,TRUE,"CBE";#N/A,#N/A,TRUE,"SWK"}</definedName>
    <definedName name="aa" localSheetId="12" hidden="1">{#N/A,#N/A,TRUE,"Pro Forma";#N/A,#N/A,TRUE,"PF_Bal";#N/A,#N/A,TRUE,"PF_INC";#N/A,#N/A,TRUE,"CBE";#N/A,#N/A,TRUE,"SWK"}</definedName>
    <definedName name="aa" localSheetId="13" hidden="1">{#N/A,#N/A,TRUE,"Pro Forma";#N/A,#N/A,TRUE,"PF_Bal";#N/A,#N/A,TRUE,"PF_INC";#N/A,#N/A,TRUE,"CBE";#N/A,#N/A,TRUE,"SWK"}</definedName>
    <definedName name="aa" localSheetId="11" hidden="1">{#N/A,#N/A,TRUE,"Pro Forma";#N/A,#N/A,TRUE,"PF_Bal";#N/A,#N/A,TRUE,"PF_INC";#N/A,#N/A,TRUE,"CBE";#N/A,#N/A,TRUE,"SWK"}</definedName>
    <definedName name="aa" localSheetId="31" hidden="1">{#N/A,#N/A,TRUE,"Pro Forma";#N/A,#N/A,TRUE,"PF_Bal";#N/A,#N/A,TRUE,"PF_INC";#N/A,#N/A,TRUE,"CBE";#N/A,#N/A,TRUE,"SWK"}</definedName>
    <definedName name="aa" hidden="1">{#N/A,#N/A,TRUE,"Pro Forma";#N/A,#N/A,TRUE,"PF_Bal";#N/A,#N/A,TRUE,"PF_INC";#N/A,#N/A,TRUE,"CBE";#N/A,#N/A,TRUE,"SWK"}</definedName>
    <definedName name="aa_1" localSheetId="15" hidden="1">{"Fecha_Novembro",#N/A,FALSE,"FECHAMENTO-2002 ";"Defer_Novembro",#N/A,FALSE,"DIFERIDO";"Pis_Novembro",#N/A,FALSE,"PIS COFINS";"Iss_Novembro",#N/A,FALSE,"ISS"}</definedName>
    <definedName name="aa_1" localSheetId="14" hidden="1">{"Fecha_Novembro",#N/A,FALSE,"FECHAMENTO-2002 ";"Defer_Novembro",#N/A,FALSE,"DIFERIDO";"Pis_Novembro",#N/A,FALSE,"PIS COFINS";"Iss_Novembro",#N/A,FALSE,"ISS"}</definedName>
    <definedName name="aa_1" localSheetId="2" hidden="1">{"Fecha_Novembro",#N/A,FALSE,"FECHAMENTO-2002 ";"Defer_Novembro",#N/A,FALSE,"DIFERIDO";"Pis_Novembro",#N/A,FALSE,"PIS COFINS";"Iss_Novembro",#N/A,FALSE,"ISS"}</definedName>
    <definedName name="aa_1" localSheetId="34" hidden="1">{"Fecha_Novembro",#N/A,FALSE,"FECHAMENTO-2002 ";"Defer_Novembro",#N/A,FALSE,"DIFERIDO";"Pis_Novembro",#N/A,FALSE,"PIS COFINS";"Iss_Novembro",#N/A,FALSE,"ISS"}</definedName>
    <definedName name="aa_1" localSheetId="39" hidden="1">{"Fecha_Novembro",#N/A,FALSE,"FECHAMENTO-2002 ";"Defer_Novembro",#N/A,FALSE,"DIFERIDO";"Pis_Novembro",#N/A,FALSE,"PIS COFINS";"Iss_Novembro",#N/A,FALSE,"ISS"}</definedName>
    <definedName name="aa_1" localSheetId="8" hidden="1">{"Fecha_Novembro",#N/A,FALSE,"FECHAMENTO-2002 ";"Defer_Novembro",#N/A,FALSE,"DIFERIDO";"Pis_Novembro",#N/A,FALSE,"PIS COFINS";"Iss_Novembro",#N/A,FALSE,"ISS"}</definedName>
    <definedName name="aa_1" localSheetId="12" hidden="1">{"Fecha_Novembro",#N/A,FALSE,"FECHAMENTO-2002 ";"Defer_Novembro",#N/A,FALSE,"DIFERIDO";"Pis_Novembro",#N/A,FALSE,"PIS COFINS";"Iss_Novembro",#N/A,FALSE,"ISS"}</definedName>
    <definedName name="aa_1" localSheetId="13" hidden="1">{"Fecha_Novembro",#N/A,FALSE,"FECHAMENTO-2002 ";"Defer_Novembro",#N/A,FALSE,"DIFERIDO";"Pis_Novembro",#N/A,FALSE,"PIS COFINS";"Iss_Novembro",#N/A,FALSE,"ISS"}</definedName>
    <definedName name="aa_1" localSheetId="11" hidden="1">{"Fecha_Novembro",#N/A,FALSE,"FECHAMENTO-2002 ";"Defer_Novembro",#N/A,FALSE,"DIFERIDO";"Pis_Novembro",#N/A,FALSE,"PIS COFINS";"Iss_Novembro",#N/A,FALSE,"ISS"}</definedName>
    <definedName name="aa_1" localSheetId="31" hidden="1">{"Fecha_Novembro",#N/A,FALSE,"FECHAMENTO-2002 ";"Defer_Novembro",#N/A,FALSE,"DIFERIDO";"Pis_Novembro",#N/A,FALSE,"PIS COFINS";"Iss_Novembro",#N/A,FALSE,"ISS"}</definedName>
    <definedName name="aa_1" hidden="1">{"Fecha_Novembro",#N/A,FALSE,"FECHAMENTO-2002 ";"Defer_Novembro",#N/A,FALSE,"DIFERIDO";"Pis_Novembro",#N/A,FALSE,"PIS COFINS";"Iss_Novembro",#N/A,FALSE,"ISS"}</definedName>
    <definedName name="aaa" localSheetId="2">#REF!</definedName>
    <definedName name="aaa">#REF!</definedName>
    <definedName name="AAA_DOCTOPS" hidden="1">"AAA_SET"</definedName>
    <definedName name="aaaa" localSheetId="2">#REF!</definedName>
    <definedName name="aaaa">#REF!</definedName>
    <definedName name="ab" localSheetId="15" hidden="1">{#N/A,#N/A,TRUE,"Pro Forma";#N/A,#N/A,TRUE,"PF_Bal";#N/A,#N/A,TRUE,"PF_INC";#N/A,#N/A,TRUE,"CBE";#N/A,#N/A,TRUE,"SWK"}</definedName>
    <definedName name="ab" localSheetId="14" hidden="1">{#N/A,#N/A,TRUE,"Pro Forma";#N/A,#N/A,TRUE,"PF_Bal";#N/A,#N/A,TRUE,"PF_INC";#N/A,#N/A,TRUE,"CBE";#N/A,#N/A,TRUE,"SWK"}</definedName>
    <definedName name="ab" localSheetId="2" hidden="1">{#N/A,#N/A,TRUE,"Pro Forma";#N/A,#N/A,TRUE,"PF_Bal";#N/A,#N/A,TRUE,"PF_INC";#N/A,#N/A,TRUE,"CBE";#N/A,#N/A,TRUE,"SWK"}</definedName>
    <definedName name="ab" localSheetId="34" hidden="1">{#N/A,#N/A,TRUE,"Pro Forma";#N/A,#N/A,TRUE,"PF_Bal";#N/A,#N/A,TRUE,"PF_INC";#N/A,#N/A,TRUE,"CBE";#N/A,#N/A,TRUE,"SWK"}</definedName>
    <definedName name="ab" localSheetId="39" hidden="1">{#N/A,#N/A,TRUE,"Pro Forma";#N/A,#N/A,TRUE,"PF_Bal";#N/A,#N/A,TRUE,"PF_INC";#N/A,#N/A,TRUE,"CBE";#N/A,#N/A,TRUE,"SWK"}</definedName>
    <definedName name="ab" localSheetId="8" hidden="1">{#N/A,#N/A,TRUE,"Pro Forma";#N/A,#N/A,TRUE,"PF_Bal";#N/A,#N/A,TRUE,"PF_INC";#N/A,#N/A,TRUE,"CBE";#N/A,#N/A,TRUE,"SWK"}</definedName>
    <definedName name="ab" localSheetId="12" hidden="1">{#N/A,#N/A,TRUE,"Pro Forma";#N/A,#N/A,TRUE,"PF_Bal";#N/A,#N/A,TRUE,"PF_INC";#N/A,#N/A,TRUE,"CBE";#N/A,#N/A,TRUE,"SWK"}</definedName>
    <definedName name="ab" localSheetId="13" hidden="1">{#N/A,#N/A,TRUE,"Pro Forma";#N/A,#N/A,TRUE,"PF_Bal";#N/A,#N/A,TRUE,"PF_INC";#N/A,#N/A,TRUE,"CBE";#N/A,#N/A,TRUE,"SWK"}</definedName>
    <definedName name="ab" localSheetId="11" hidden="1">{#N/A,#N/A,TRUE,"Pro Forma";#N/A,#N/A,TRUE,"PF_Bal";#N/A,#N/A,TRUE,"PF_INC";#N/A,#N/A,TRUE,"CBE";#N/A,#N/A,TRUE,"SWK"}</definedName>
    <definedName name="ab" localSheetId="31" hidden="1">{#N/A,#N/A,TRUE,"Pro Forma";#N/A,#N/A,TRUE,"PF_Bal";#N/A,#N/A,TRUE,"PF_INC";#N/A,#N/A,TRUE,"CBE";#N/A,#N/A,TRUE,"SWK"}</definedName>
    <definedName name="ab" hidden="1">{#N/A,#N/A,TRUE,"Pro Forma";#N/A,#N/A,TRUE,"PF_Bal";#N/A,#N/A,TRUE,"PF_INC";#N/A,#N/A,TRUE,"CBE";#N/A,#N/A,TRUE,"SWK"}</definedName>
    <definedName name="ab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def" localSheetId="15" hidden="1">{"'PXR_6500'!$A$1:$I$124"}</definedName>
    <definedName name="abcdef" localSheetId="14" hidden="1">{"'PXR_6500'!$A$1:$I$124"}</definedName>
    <definedName name="abcdef" localSheetId="2" hidden="1">{"'PXR_6500'!$A$1:$I$124"}</definedName>
    <definedName name="abcdef" localSheetId="34" hidden="1">{"'PXR_6500'!$A$1:$I$124"}</definedName>
    <definedName name="abcdef" localSheetId="39" hidden="1">{"'PXR_6500'!$A$1:$I$124"}</definedName>
    <definedName name="abcdef" localSheetId="8" hidden="1">{"'PXR_6500'!$A$1:$I$124"}</definedName>
    <definedName name="abcdef" localSheetId="12" hidden="1">{"'PXR_6500'!$A$1:$I$124"}</definedName>
    <definedName name="abcdef" localSheetId="13" hidden="1">{"'PXR_6500'!$A$1:$I$124"}</definedName>
    <definedName name="abcdef" localSheetId="11" hidden="1">{"'PXR_6500'!$A$1:$I$124"}</definedName>
    <definedName name="abcdef" localSheetId="31" hidden="1">{"'PXR_6500'!$A$1:$I$124"}</definedName>
    <definedName name="abcdef" hidden="1">{"'PXR_6500'!$A$1:$I$124"}</definedName>
    <definedName name="ABN" localSheetId="15" hidden="1">{"'PXR_6500'!$A$1:$I$124"}</definedName>
    <definedName name="ABN" localSheetId="14" hidden="1">{"'PXR_6500'!$A$1:$I$124"}</definedName>
    <definedName name="ABN" localSheetId="2" hidden="1">{"'PXR_6500'!$A$1:$I$124"}</definedName>
    <definedName name="ABN" localSheetId="34" hidden="1">{"'PXR_6500'!$A$1:$I$124"}</definedName>
    <definedName name="ABN" localSheetId="39" hidden="1">{"'PXR_6500'!$A$1:$I$124"}</definedName>
    <definedName name="ABN" localSheetId="8" hidden="1">{"'PXR_6500'!$A$1:$I$124"}</definedName>
    <definedName name="ABN" localSheetId="12" hidden="1">{"'PXR_6500'!$A$1:$I$124"}</definedName>
    <definedName name="ABN" localSheetId="13" hidden="1">{"'PXR_6500'!$A$1:$I$124"}</definedName>
    <definedName name="ABN" localSheetId="11" hidden="1">{"'PXR_6500'!$A$1:$I$124"}</definedName>
    <definedName name="ABN" localSheetId="31" hidden="1">{"'PXR_6500'!$A$1:$I$124"}</definedName>
    <definedName name="ABN" hidden="1">{"'PXR_6500'!$A$1:$I$124"}</definedName>
    <definedName name="AçLíquido" localSheetId="2">#REF!</definedName>
    <definedName name="AçLíquido">#REF!</definedName>
    <definedName name="ACUCADQANT" localSheetId="2">#REF!</definedName>
    <definedName name="ACUCADQANT">#REF!</definedName>
    <definedName name="ACUCADQATU" localSheetId="2">#REF!</definedName>
    <definedName name="ACUCADQATU">#REF!</definedName>
    <definedName name="ACUCARANT" localSheetId="2">#REF!</definedName>
    <definedName name="ACUCARANT">#REF!</definedName>
    <definedName name="ACUCARATU" localSheetId="2">#REF!</definedName>
    <definedName name="ACUCARATU">#REF!</definedName>
    <definedName name="acucarmi">#REF!</definedName>
    <definedName name="addg" localSheetId="15" hidden="1">{#N/A,#N/A,FALSE,"CBE";#N/A,#N/A,FALSE,"SWK"}</definedName>
    <definedName name="addg" localSheetId="14" hidden="1">{#N/A,#N/A,FALSE,"CBE";#N/A,#N/A,FALSE,"SWK"}</definedName>
    <definedName name="addg" localSheetId="2" hidden="1">{#N/A,#N/A,FALSE,"CBE";#N/A,#N/A,FALSE,"SWK"}</definedName>
    <definedName name="addg" localSheetId="34" hidden="1">{#N/A,#N/A,FALSE,"CBE";#N/A,#N/A,FALSE,"SWK"}</definedName>
    <definedName name="addg" localSheetId="39" hidden="1">{#N/A,#N/A,FALSE,"CBE";#N/A,#N/A,FALSE,"SWK"}</definedName>
    <definedName name="addg" localSheetId="8" hidden="1">{#N/A,#N/A,FALSE,"CBE";#N/A,#N/A,FALSE,"SWK"}</definedName>
    <definedName name="addg" localSheetId="12" hidden="1">{#N/A,#N/A,FALSE,"CBE";#N/A,#N/A,FALSE,"SWK"}</definedName>
    <definedName name="addg" localSheetId="13" hidden="1">{#N/A,#N/A,FALSE,"CBE";#N/A,#N/A,FALSE,"SWK"}</definedName>
    <definedName name="addg" localSheetId="11" hidden="1">{#N/A,#N/A,FALSE,"CBE";#N/A,#N/A,FALSE,"SWK"}</definedName>
    <definedName name="addg" localSheetId="31" hidden="1">{#N/A,#N/A,FALSE,"CBE";#N/A,#N/A,FALSE,"SWK"}</definedName>
    <definedName name="addg" hidden="1">{#N/A,#N/A,FALSE,"CBE";#N/A,#N/A,FALSE,"SWK"}</definedName>
    <definedName name="adeletar" localSheetId="15" hidden="1">{"TotalGeralDespesasPorArea",#N/A,FALSE,"VinculosAccessEfetivo"}</definedName>
    <definedName name="adeletar" localSheetId="14" hidden="1">{"TotalGeralDespesasPorArea",#N/A,FALSE,"VinculosAccessEfetivo"}</definedName>
    <definedName name="adeletar" localSheetId="2" hidden="1">{"TotalGeralDespesasPorArea",#N/A,FALSE,"VinculosAccessEfetivo"}</definedName>
    <definedName name="adeletar" localSheetId="34" hidden="1">{"TotalGeralDespesasPorArea",#N/A,FALSE,"VinculosAccessEfetivo"}</definedName>
    <definedName name="adeletar" localSheetId="39" hidden="1">{"TotalGeralDespesasPorArea",#N/A,FALSE,"VinculosAccessEfetivo"}</definedName>
    <definedName name="adeletar" localSheetId="8" hidden="1">{"TotalGeralDespesasPorArea",#N/A,FALSE,"VinculosAccessEfetivo"}</definedName>
    <definedName name="adeletar" localSheetId="12" hidden="1">{"TotalGeralDespesasPorArea",#N/A,FALSE,"VinculosAccessEfetivo"}</definedName>
    <definedName name="adeletar" localSheetId="13" hidden="1">{"TotalGeralDespesasPorArea",#N/A,FALSE,"VinculosAccessEfetivo"}</definedName>
    <definedName name="adeletar" localSheetId="11" hidden="1">{"TotalGeralDespesasPorArea",#N/A,FALSE,"VinculosAccessEfetivo"}</definedName>
    <definedName name="adeletar" localSheetId="31" hidden="1">{"TotalGeralDespesasPorArea",#N/A,FALSE,"VinculosAccessEfetivo"}</definedName>
    <definedName name="adeletar" hidden="1">{"TotalGeralDespesasPorArea",#N/A,FALSE,"VinculosAccessEfetivo"}</definedName>
    <definedName name="adeletar_1" localSheetId="15" hidden="1">{"TotalGeralDespesasPorArea",#N/A,FALSE,"VinculosAccessEfetivo"}</definedName>
    <definedName name="adeletar_1" localSheetId="14" hidden="1">{"TotalGeralDespesasPorArea",#N/A,FALSE,"VinculosAccessEfetivo"}</definedName>
    <definedName name="adeletar_1" localSheetId="2" hidden="1">{"TotalGeralDespesasPorArea",#N/A,FALSE,"VinculosAccessEfetivo"}</definedName>
    <definedName name="adeletar_1" localSheetId="34" hidden="1">{"TotalGeralDespesasPorArea",#N/A,FALSE,"VinculosAccessEfetivo"}</definedName>
    <definedName name="adeletar_1" localSheetId="39" hidden="1">{"TotalGeralDespesasPorArea",#N/A,FALSE,"VinculosAccessEfetivo"}</definedName>
    <definedName name="adeletar_1" localSheetId="8" hidden="1">{"TotalGeralDespesasPorArea",#N/A,FALSE,"VinculosAccessEfetivo"}</definedName>
    <definedName name="adeletar_1" localSheetId="12" hidden="1">{"TotalGeralDespesasPorArea",#N/A,FALSE,"VinculosAccessEfetivo"}</definedName>
    <definedName name="adeletar_1" localSheetId="13" hidden="1">{"TotalGeralDespesasPorArea",#N/A,FALSE,"VinculosAccessEfetivo"}</definedName>
    <definedName name="adeletar_1" localSheetId="11" hidden="1">{"TotalGeralDespesasPorArea",#N/A,FALSE,"VinculosAccessEfetivo"}</definedName>
    <definedName name="adeletar_1" localSheetId="31" hidden="1">{"TotalGeralDespesasPorArea",#N/A,FALSE,"VinculosAccessEfetivo"}</definedName>
    <definedName name="adeletar_1" hidden="1">{"TotalGeralDespesasPorArea",#N/A,FALSE,"VinculosAccessEfetivo"}</definedName>
    <definedName name="adeletar1" localSheetId="15" hidden="1">{"TotalGeralDespesasPorArea",#N/A,FALSE,"VinculosAccessEfetivo"}</definedName>
    <definedName name="adeletar1" localSheetId="14" hidden="1">{"TotalGeralDespesasPorArea",#N/A,FALSE,"VinculosAccessEfetivo"}</definedName>
    <definedName name="adeletar1" localSheetId="2" hidden="1">{"TotalGeralDespesasPorArea",#N/A,FALSE,"VinculosAccessEfetivo"}</definedName>
    <definedName name="adeletar1" localSheetId="34" hidden="1">{"TotalGeralDespesasPorArea",#N/A,FALSE,"VinculosAccessEfetivo"}</definedName>
    <definedName name="adeletar1" localSheetId="39" hidden="1">{"TotalGeralDespesasPorArea",#N/A,FALSE,"VinculosAccessEfetivo"}</definedName>
    <definedName name="adeletar1" localSheetId="8" hidden="1">{"TotalGeralDespesasPorArea",#N/A,FALSE,"VinculosAccessEfetivo"}</definedName>
    <definedName name="adeletar1" localSheetId="12" hidden="1">{"TotalGeralDespesasPorArea",#N/A,FALSE,"VinculosAccessEfetivo"}</definedName>
    <definedName name="adeletar1" localSheetId="13" hidden="1">{"TotalGeralDespesasPorArea",#N/A,FALSE,"VinculosAccessEfetivo"}</definedName>
    <definedName name="adeletar1" localSheetId="11" hidden="1">{"TotalGeralDespesasPorArea",#N/A,FALSE,"VinculosAccessEfetivo"}</definedName>
    <definedName name="adeletar1" localSheetId="31" hidden="1">{"TotalGeralDespesasPorArea",#N/A,FALSE,"VinculosAccessEfetivo"}</definedName>
    <definedName name="adeletar1" hidden="1">{"TotalGeralDespesasPorArea",#N/A,FALSE,"VinculosAccessEfetivo"}</definedName>
    <definedName name="adeletar1_1" localSheetId="15" hidden="1">{"TotalGeralDespesasPorArea",#N/A,FALSE,"VinculosAccessEfetivo"}</definedName>
    <definedName name="adeletar1_1" localSheetId="14" hidden="1">{"TotalGeralDespesasPorArea",#N/A,FALSE,"VinculosAccessEfetivo"}</definedName>
    <definedName name="adeletar1_1" localSheetId="2" hidden="1">{"TotalGeralDespesasPorArea",#N/A,FALSE,"VinculosAccessEfetivo"}</definedName>
    <definedName name="adeletar1_1" localSheetId="34" hidden="1">{"TotalGeralDespesasPorArea",#N/A,FALSE,"VinculosAccessEfetivo"}</definedName>
    <definedName name="adeletar1_1" localSheetId="39" hidden="1">{"TotalGeralDespesasPorArea",#N/A,FALSE,"VinculosAccessEfetivo"}</definedName>
    <definedName name="adeletar1_1" localSheetId="8" hidden="1">{"TotalGeralDespesasPorArea",#N/A,FALSE,"VinculosAccessEfetivo"}</definedName>
    <definedName name="adeletar1_1" localSheetId="12" hidden="1">{"TotalGeralDespesasPorArea",#N/A,FALSE,"VinculosAccessEfetivo"}</definedName>
    <definedName name="adeletar1_1" localSheetId="13" hidden="1">{"TotalGeralDespesasPorArea",#N/A,FALSE,"VinculosAccessEfetivo"}</definedName>
    <definedName name="adeletar1_1" localSheetId="11" hidden="1">{"TotalGeralDespesasPorArea",#N/A,FALSE,"VinculosAccessEfetivo"}</definedName>
    <definedName name="adeletar1_1" localSheetId="31" hidden="1">{"TotalGeralDespesasPorArea",#N/A,FALSE,"VinculosAccessEfetivo"}</definedName>
    <definedName name="adeletar1_1" hidden="1">{"TotalGeralDespesasPorArea",#N/A,FALSE,"VinculosAccessEfetivo"}</definedName>
    <definedName name="adeletar10" localSheetId="15" hidden="1">{"TotalGeralDespesasPorArea",#N/A,FALSE,"VinculosAccessEfetivo"}</definedName>
    <definedName name="adeletar10" localSheetId="14" hidden="1">{"TotalGeralDespesasPorArea",#N/A,FALSE,"VinculosAccessEfetivo"}</definedName>
    <definedName name="adeletar10" localSheetId="2" hidden="1">{"TotalGeralDespesasPorArea",#N/A,FALSE,"VinculosAccessEfetivo"}</definedName>
    <definedName name="adeletar10" localSheetId="34" hidden="1">{"TotalGeralDespesasPorArea",#N/A,FALSE,"VinculosAccessEfetivo"}</definedName>
    <definedName name="adeletar10" localSheetId="39" hidden="1">{"TotalGeralDespesasPorArea",#N/A,FALSE,"VinculosAccessEfetivo"}</definedName>
    <definedName name="adeletar10" localSheetId="8" hidden="1">{"TotalGeralDespesasPorArea",#N/A,FALSE,"VinculosAccessEfetivo"}</definedName>
    <definedName name="adeletar10" localSheetId="12" hidden="1">{"TotalGeralDespesasPorArea",#N/A,FALSE,"VinculosAccessEfetivo"}</definedName>
    <definedName name="adeletar10" localSheetId="13" hidden="1">{"TotalGeralDespesasPorArea",#N/A,FALSE,"VinculosAccessEfetivo"}</definedName>
    <definedName name="adeletar10" localSheetId="11" hidden="1">{"TotalGeralDespesasPorArea",#N/A,FALSE,"VinculosAccessEfetivo"}</definedName>
    <definedName name="adeletar10" localSheetId="31" hidden="1">{"TotalGeralDespesasPorArea",#N/A,FALSE,"VinculosAccessEfetivo"}</definedName>
    <definedName name="adeletar10" hidden="1">{"TotalGeralDespesasPorArea",#N/A,FALSE,"VinculosAccessEfetivo"}</definedName>
    <definedName name="adeletar10_1" localSheetId="15" hidden="1">{"TotalGeralDespesasPorArea",#N/A,FALSE,"VinculosAccessEfetivo"}</definedName>
    <definedName name="adeletar10_1" localSheetId="14" hidden="1">{"TotalGeralDespesasPorArea",#N/A,FALSE,"VinculosAccessEfetivo"}</definedName>
    <definedName name="adeletar10_1" localSheetId="2" hidden="1">{"TotalGeralDespesasPorArea",#N/A,FALSE,"VinculosAccessEfetivo"}</definedName>
    <definedName name="adeletar10_1" localSheetId="34" hidden="1">{"TotalGeralDespesasPorArea",#N/A,FALSE,"VinculosAccessEfetivo"}</definedName>
    <definedName name="adeletar10_1" localSheetId="39" hidden="1">{"TotalGeralDespesasPorArea",#N/A,FALSE,"VinculosAccessEfetivo"}</definedName>
    <definedName name="adeletar10_1" localSheetId="8" hidden="1">{"TotalGeralDespesasPorArea",#N/A,FALSE,"VinculosAccessEfetivo"}</definedName>
    <definedName name="adeletar10_1" localSheetId="12" hidden="1">{"TotalGeralDespesasPorArea",#N/A,FALSE,"VinculosAccessEfetivo"}</definedName>
    <definedName name="adeletar10_1" localSheetId="13" hidden="1">{"TotalGeralDespesasPorArea",#N/A,FALSE,"VinculosAccessEfetivo"}</definedName>
    <definedName name="adeletar10_1" localSheetId="11" hidden="1">{"TotalGeralDespesasPorArea",#N/A,FALSE,"VinculosAccessEfetivo"}</definedName>
    <definedName name="adeletar10_1" localSheetId="31" hidden="1">{"TotalGeralDespesasPorArea",#N/A,FALSE,"VinculosAccessEfetivo"}</definedName>
    <definedName name="adeletar10_1" hidden="1">{"TotalGeralDespesasPorArea",#N/A,FALSE,"VinculosAccessEfetivo"}</definedName>
    <definedName name="adeletar2" localSheetId="15" hidden="1">{"TotalGeralDespesasPorArea",#N/A,FALSE,"VinculosAccessEfetivo"}</definedName>
    <definedName name="adeletar2" localSheetId="14" hidden="1">{"TotalGeralDespesasPorArea",#N/A,FALSE,"VinculosAccessEfetivo"}</definedName>
    <definedName name="adeletar2" localSheetId="2" hidden="1">{"TotalGeralDespesasPorArea",#N/A,FALSE,"VinculosAccessEfetivo"}</definedName>
    <definedName name="adeletar2" localSheetId="34" hidden="1">{"TotalGeralDespesasPorArea",#N/A,FALSE,"VinculosAccessEfetivo"}</definedName>
    <definedName name="adeletar2" localSheetId="39" hidden="1">{"TotalGeralDespesasPorArea",#N/A,FALSE,"VinculosAccessEfetivo"}</definedName>
    <definedName name="adeletar2" localSheetId="8" hidden="1">{"TotalGeralDespesasPorArea",#N/A,FALSE,"VinculosAccessEfetivo"}</definedName>
    <definedName name="adeletar2" localSheetId="12" hidden="1">{"TotalGeralDespesasPorArea",#N/A,FALSE,"VinculosAccessEfetivo"}</definedName>
    <definedName name="adeletar2" localSheetId="13" hidden="1">{"TotalGeralDespesasPorArea",#N/A,FALSE,"VinculosAccessEfetivo"}</definedName>
    <definedName name="adeletar2" localSheetId="11" hidden="1">{"TotalGeralDespesasPorArea",#N/A,FALSE,"VinculosAccessEfetivo"}</definedName>
    <definedName name="adeletar2" localSheetId="31" hidden="1">{"TotalGeralDespesasPorArea",#N/A,FALSE,"VinculosAccessEfetivo"}</definedName>
    <definedName name="adeletar2" hidden="1">{"TotalGeralDespesasPorArea",#N/A,FALSE,"VinculosAccessEfetivo"}</definedName>
    <definedName name="adeletar2_1" localSheetId="15" hidden="1">{"TotalGeralDespesasPorArea",#N/A,FALSE,"VinculosAccessEfetivo"}</definedName>
    <definedName name="adeletar2_1" localSheetId="14" hidden="1">{"TotalGeralDespesasPorArea",#N/A,FALSE,"VinculosAccessEfetivo"}</definedName>
    <definedName name="adeletar2_1" localSheetId="2" hidden="1">{"TotalGeralDespesasPorArea",#N/A,FALSE,"VinculosAccessEfetivo"}</definedName>
    <definedName name="adeletar2_1" localSheetId="34" hidden="1">{"TotalGeralDespesasPorArea",#N/A,FALSE,"VinculosAccessEfetivo"}</definedName>
    <definedName name="adeletar2_1" localSheetId="39" hidden="1">{"TotalGeralDespesasPorArea",#N/A,FALSE,"VinculosAccessEfetivo"}</definedName>
    <definedName name="adeletar2_1" localSheetId="8" hidden="1">{"TotalGeralDespesasPorArea",#N/A,FALSE,"VinculosAccessEfetivo"}</definedName>
    <definedName name="adeletar2_1" localSheetId="12" hidden="1">{"TotalGeralDespesasPorArea",#N/A,FALSE,"VinculosAccessEfetivo"}</definedName>
    <definedName name="adeletar2_1" localSheetId="13" hidden="1">{"TotalGeralDespesasPorArea",#N/A,FALSE,"VinculosAccessEfetivo"}</definedName>
    <definedName name="adeletar2_1" localSheetId="11" hidden="1">{"TotalGeralDespesasPorArea",#N/A,FALSE,"VinculosAccessEfetivo"}</definedName>
    <definedName name="adeletar2_1" localSheetId="31" hidden="1">{"TotalGeralDespesasPorArea",#N/A,FALSE,"VinculosAccessEfetivo"}</definedName>
    <definedName name="adeletar2_1" hidden="1">{"TotalGeralDespesasPorArea",#N/A,FALSE,"VinculosAccessEfetivo"}</definedName>
    <definedName name="adeletar20" localSheetId="15" hidden="1">{"TotalGeralDespesasPorArea",#N/A,FALSE,"VinculosAccessEfetivo"}</definedName>
    <definedName name="adeletar20" localSheetId="14" hidden="1">{"TotalGeralDespesasPorArea",#N/A,FALSE,"VinculosAccessEfetivo"}</definedName>
    <definedName name="adeletar20" localSheetId="2" hidden="1">{"TotalGeralDespesasPorArea",#N/A,FALSE,"VinculosAccessEfetivo"}</definedName>
    <definedName name="adeletar20" localSheetId="34" hidden="1">{"TotalGeralDespesasPorArea",#N/A,FALSE,"VinculosAccessEfetivo"}</definedName>
    <definedName name="adeletar20" localSheetId="39" hidden="1">{"TotalGeralDespesasPorArea",#N/A,FALSE,"VinculosAccessEfetivo"}</definedName>
    <definedName name="adeletar20" localSheetId="8" hidden="1">{"TotalGeralDespesasPorArea",#N/A,FALSE,"VinculosAccessEfetivo"}</definedName>
    <definedName name="adeletar20" localSheetId="12" hidden="1">{"TotalGeralDespesasPorArea",#N/A,FALSE,"VinculosAccessEfetivo"}</definedName>
    <definedName name="adeletar20" localSheetId="13" hidden="1">{"TotalGeralDespesasPorArea",#N/A,FALSE,"VinculosAccessEfetivo"}</definedName>
    <definedName name="adeletar20" localSheetId="11" hidden="1">{"TotalGeralDespesasPorArea",#N/A,FALSE,"VinculosAccessEfetivo"}</definedName>
    <definedName name="adeletar20" localSheetId="31" hidden="1">{"TotalGeralDespesasPorArea",#N/A,FALSE,"VinculosAccessEfetivo"}</definedName>
    <definedName name="adeletar20" hidden="1">{"TotalGeralDespesasPorArea",#N/A,FALSE,"VinculosAccessEfetivo"}</definedName>
    <definedName name="adeletar20_1" localSheetId="15" hidden="1">{"TotalGeralDespesasPorArea",#N/A,FALSE,"VinculosAccessEfetivo"}</definedName>
    <definedName name="adeletar20_1" localSheetId="14" hidden="1">{"TotalGeralDespesasPorArea",#N/A,FALSE,"VinculosAccessEfetivo"}</definedName>
    <definedName name="adeletar20_1" localSheetId="2" hidden="1">{"TotalGeralDespesasPorArea",#N/A,FALSE,"VinculosAccessEfetivo"}</definedName>
    <definedName name="adeletar20_1" localSheetId="34" hidden="1">{"TotalGeralDespesasPorArea",#N/A,FALSE,"VinculosAccessEfetivo"}</definedName>
    <definedName name="adeletar20_1" localSheetId="39" hidden="1">{"TotalGeralDespesasPorArea",#N/A,FALSE,"VinculosAccessEfetivo"}</definedName>
    <definedName name="adeletar20_1" localSheetId="8" hidden="1">{"TotalGeralDespesasPorArea",#N/A,FALSE,"VinculosAccessEfetivo"}</definedName>
    <definedName name="adeletar20_1" localSheetId="12" hidden="1">{"TotalGeralDespesasPorArea",#N/A,FALSE,"VinculosAccessEfetivo"}</definedName>
    <definedName name="adeletar20_1" localSheetId="13" hidden="1">{"TotalGeralDespesasPorArea",#N/A,FALSE,"VinculosAccessEfetivo"}</definedName>
    <definedName name="adeletar20_1" localSheetId="11" hidden="1">{"TotalGeralDespesasPorArea",#N/A,FALSE,"VinculosAccessEfetivo"}</definedName>
    <definedName name="adeletar20_1" localSheetId="31" hidden="1">{"TotalGeralDespesasPorArea",#N/A,FALSE,"VinculosAccessEfetivo"}</definedName>
    <definedName name="adeletar20_1" hidden="1">{"TotalGeralDespesasPorArea",#N/A,FALSE,"VinculosAccessEfetivo"}</definedName>
    <definedName name="adeletar4" localSheetId="15" hidden="1">{"TotalGeralDespesasPorArea",#N/A,FALSE,"VinculosAccessEfetivo"}</definedName>
    <definedName name="adeletar4" localSheetId="14" hidden="1">{"TotalGeralDespesasPorArea",#N/A,FALSE,"VinculosAccessEfetivo"}</definedName>
    <definedName name="adeletar4" localSheetId="2" hidden="1">{"TotalGeralDespesasPorArea",#N/A,FALSE,"VinculosAccessEfetivo"}</definedName>
    <definedName name="adeletar4" localSheetId="34" hidden="1">{"TotalGeralDespesasPorArea",#N/A,FALSE,"VinculosAccessEfetivo"}</definedName>
    <definedName name="adeletar4" localSheetId="39" hidden="1">{"TotalGeralDespesasPorArea",#N/A,FALSE,"VinculosAccessEfetivo"}</definedName>
    <definedName name="adeletar4" localSheetId="8" hidden="1">{"TotalGeralDespesasPorArea",#N/A,FALSE,"VinculosAccessEfetivo"}</definedName>
    <definedName name="adeletar4" localSheetId="12" hidden="1">{"TotalGeralDespesasPorArea",#N/A,FALSE,"VinculosAccessEfetivo"}</definedName>
    <definedName name="adeletar4" localSheetId="13" hidden="1">{"TotalGeralDespesasPorArea",#N/A,FALSE,"VinculosAccessEfetivo"}</definedName>
    <definedName name="adeletar4" localSheetId="11" hidden="1">{"TotalGeralDespesasPorArea",#N/A,FALSE,"VinculosAccessEfetivo"}</definedName>
    <definedName name="adeletar4" localSheetId="31" hidden="1">{"TotalGeralDespesasPorArea",#N/A,FALSE,"VinculosAccessEfetivo"}</definedName>
    <definedName name="adeletar4" hidden="1">{"TotalGeralDespesasPorArea",#N/A,FALSE,"VinculosAccessEfetivo"}</definedName>
    <definedName name="adeletar4_1" localSheetId="15" hidden="1">{"TotalGeralDespesasPorArea",#N/A,FALSE,"VinculosAccessEfetivo"}</definedName>
    <definedName name="adeletar4_1" localSheetId="14" hidden="1">{"TotalGeralDespesasPorArea",#N/A,FALSE,"VinculosAccessEfetivo"}</definedName>
    <definedName name="adeletar4_1" localSheetId="2" hidden="1">{"TotalGeralDespesasPorArea",#N/A,FALSE,"VinculosAccessEfetivo"}</definedName>
    <definedName name="adeletar4_1" localSheetId="34" hidden="1">{"TotalGeralDespesasPorArea",#N/A,FALSE,"VinculosAccessEfetivo"}</definedName>
    <definedName name="adeletar4_1" localSheetId="39" hidden="1">{"TotalGeralDespesasPorArea",#N/A,FALSE,"VinculosAccessEfetivo"}</definedName>
    <definedName name="adeletar4_1" localSheetId="8" hidden="1">{"TotalGeralDespesasPorArea",#N/A,FALSE,"VinculosAccessEfetivo"}</definedName>
    <definedName name="adeletar4_1" localSheetId="12" hidden="1">{"TotalGeralDespesasPorArea",#N/A,FALSE,"VinculosAccessEfetivo"}</definedName>
    <definedName name="adeletar4_1" localSheetId="13" hidden="1">{"TotalGeralDespesasPorArea",#N/A,FALSE,"VinculosAccessEfetivo"}</definedName>
    <definedName name="adeletar4_1" localSheetId="11" hidden="1">{"TotalGeralDespesasPorArea",#N/A,FALSE,"VinculosAccessEfetivo"}</definedName>
    <definedName name="adeletar4_1" localSheetId="31" hidden="1">{"TotalGeralDespesasPorArea",#N/A,FALSE,"VinculosAccessEfetivo"}</definedName>
    <definedName name="adeletar4_1" hidden="1">{"TotalGeralDespesasPorArea",#N/A,FALSE,"VinculosAccessEfetivo"}</definedName>
    <definedName name="adeletar50" localSheetId="15" hidden="1">{"TotalGeralDespesasPorArea",#N/A,FALSE,"VinculosAccessEfetivo"}</definedName>
    <definedName name="adeletar50" localSheetId="14" hidden="1">{"TotalGeralDespesasPorArea",#N/A,FALSE,"VinculosAccessEfetivo"}</definedName>
    <definedName name="adeletar50" localSheetId="2" hidden="1">{"TotalGeralDespesasPorArea",#N/A,FALSE,"VinculosAccessEfetivo"}</definedName>
    <definedName name="adeletar50" localSheetId="34" hidden="1">{"TotalGeralDespesasPorArea",#N/A,FALSE,"VinculosAccessEfetivo"}</definedName>
    <definedName name="adeletar50" localSheetId="39" hidden="1">{"TotalGeralDespesasPorArea",#N/A,FALSE,"VinculosAccessEfetivo"}</definedName>
    <definedName name="adeletar50" localSheetId="8" hidden="1">{"TotalGeralDespesasPorArea",#N/A,FALSE,"VinculosAccessEfetivo"}</definedName>
    <definedName name="adeletar50" localSheetId="12" hidden="1">{"TotalGeralDespesasPorArea",#N/A,FALSE,"VinculosAccessEfetivo"}</definedName>
    <definedName name="adeletar50" localSheetId="13" hidden="1">{"TotalGeralDespesasPorArea",#N/A,FALSE,"VinculosAccessEfetivo"}</definedName>
    <definedName name="adeletar50" localSheetId="11" hidden="1">{"TotalGeralDespesasPorArea",#N/A,FALSE,"VinculosAccessEfetivo"}</definedName>
    <definedName name="adeletar50" localSheetId="31" hidden="1">{"TotalGeralDespesasPorArea",#N/A,FALSE,"VinculosAccessEfetivo"}</definedName>
    <definedName name="adeletar50" hidden="1">{"TotalGeralDespesasPorArea",#N/A,FALSE,"VinculosAccessEfetivo"}</definedName>
    <definedName name="adeletar50_1" localSheetId="15" hidden="1">{"TotalGeralDespesasPorArea",#N/A,FALSE,"VinculosAccessEfetivo"}</definedName>
    <definedName name="adeletar50_1" localSheetId="14" hidden="1">{"TotalGeralDespesasPorArea",#N/A,FALSE,"VinculosAccessEfetivo"}</definedName>
    <definedName name="adeletar50_1" localSheetId="2" hidden="1">{"TotalGeralDespesasPorArea",#N/A,FALSE,"VinculosAccessEfetivo"}</definedName>
    <definedName name="adeletar50_1" localSheetId="34" hidden="1">{"TotalGeralDespesasPorArea",#N/A,FALSE,"VinculosAccessEfetivo"}</definedName>
    <definedName name="adeletar50_1" localSheetId="39" hidden="1">{"TotalGeralDespesasPorArea",#N/A,FALSE,"VinculosAccessEfetivo"}</definedName>
    <definedName name="adeletar50_1" localSheetId="8" hidden="1">{"TotalGeralDespesasPorArea",#N/A,FALSE,"VinculosAccessEfetivo"}</definedName>
    <definedName name="adeletar50_1" localSheetId="12" hidden="1">{"TotalGeralDespesasPorArea",#N/A,FALSE,"VinculosAccessEfetivo"}</definedName>
    <definedName name="adeletar50_1" localSheetId="13" hidden="1">{"TotalGeralDespesasPorArea",#N/A,FALSE,"VinculosAccessEfetivo"}</definedName>
    <definedName name="adeletar50_1" localSheetId="11" hidden="1">{"TotalGeralDespesasPorArea",#N/A,FALSE,"VinculosAccessEfetivo"}</definedName>
    <definedName name="adeletar50_1" localSheetId="31" hidden="1">{"TotalGeralDespesasPorArea",#N/A,FALSE,"VinculosAccessEfetivo"}</definedName>
    <definedName name="adeletar50_1" hidden="1">{"TotalGeralDespesasPorArea",#N/A,FALSE,"VinculosAccessEfetivo"}</definedName>
    <definedName name="adeletar51" localSheetId="15" hidden="1">{"TotalGeralDespesasPorArea",#N/A,FALSE,"VinculosAccessEfetivo"}</definedName>
    <definedName name="adeletar51" localSheetId="14" hidden="1">{"TotalGeralDespesasPorArea",#N/A,FALSE,"VinculosAccessEfetivo"}</definedName>
    <definedName name="adeletar51" localSheetId="2" hidden="1">{"TotalGeralDespesasPorArea",#N/A,FALSE,"VinculosAccessEfetivo"}</definedName>
    <definedName name="adeletar51" localSheetId="34" hidden="1">{"TotalGeralDespesasPorArea",#N/A,FALSE,"VinculosAccessEfetivo"}</definedName>
    <definedName name="adeletar51" localSheetId="39" hidden="1">{"TotalGeralDespesasPorArea",#N/A,FALSE,"VinculosAccessEfetivo"}</definedName>
    <definedName name="adeletar51" localSheetId="8" hidden="1">{"TotalGeralDespesasPorArea",#N/A,FALSE,"VinculosAccessEfetivo"}</definedName>
    <definedName name="adeletar51" localSheetId="12" hidden="1">{"TotalGeralDespesasPorArea",#N/A,FALSE,"VinculosAccessEfetivo"}</definedName>
    <definedName name="adeletar51" localSheetId="13" hidden="1">{"TotalGeralDespesasPorArea",#N/A,FALSE,"VinculosAccessEfetivo"}</definedName>
    <definedName name="adeletar51" localSheetId="11" hidden="1">{"TotalGeralDespesasPorArea",#N/A,FALSE,"VinculosAccessEfetivo"}</definedName>
    <definedName name="adeletar51" localSheetId="31" hidden="1">{"TotalGeralDespesasPorArea",#N/A,FALSE,"VinculosAccessEfetivo"}</definedName>
    <definedName name="adeletar51" hidden="1">{"TotalGeralDespesasPorArea",#N/A,FALSE,"VinculosAccessEfetivo"}</definedName>
    <definedName name="adeletar51_1" localSheetId="15" hidden="1">{"TotalGeralDespesasPorArea",#N/A,FALSE,"VinculosAccessEfetivo"}</definedName>
    <definedName name="adeletar51_1" localSheetId="14" hidden="1">{"TotalGeralDespesasPorArea",#N/A,FALSE,"VinculosAccessEfetivo"}</definedName>
    <definedName name="adeletar51_1" localSheetId="2" hidden="1">{"TotalGeralDespesasPorArea",#N/A,FALSE,"VinculosAccessEfetivo"}</definedName>
    <definedName name="adeletar51_1" localSheetId="34" hidden="1">{"TotalGeralDespesasPorArea",#N/A,FALSE,"VinculosAccessEfetivo"}</definedName>
    <definedName name="adeletar51_1" localSheetId="39" hidden="1">{"TotalGeralDespesasPorArea",#N/A,FALSE,"VinculosAccessEfetivo"}</definedName>
    <definedName name="adeletar51_1" localSheetId="8" hidden="1">{"TotalGeralDespesasPorArea",#N/A,FALSE,"VinculosAccessEfetivo"}</definedName>
    <definedName name="adeletar51_1" localSheetId="12" hidden="1">{"TotalGeralDespesasPorArea",#N/A,FALSE,"VinculosAccessEfetivo"}</definedName>
    <definedName name="adeletar51_1" localSheetId="13" hidden="1">{"TotalGeralDespesasPorArea",#N/A,FALSE,"VinculosAccessEfetivo"}</definedName>
    <definedName name="adeletar51_1" localSheetId="11" hidden="1">{"TotalGeralDespesasPorArea",#N/A,FALSE,"VinculosAccessEfetivo"}</definedName>
    <definedName name="adeletar51_1" localSheetId="31" hidden="1">{"TotalGeralDespesasPorArea",#N/A,FALSE,"VinculosAccessEfetivo"}</definedName>
    <definedName name="adeletar51_1" hidden="1">{"TotalGeralDespesasPorArea",#N/A,FALSE,"VinculosAccessEfetivo"}</definedName>
    <definedName name="Adto_clientes">#REF!</definedName>
    <definedName name="Adto_fornecedores">#REF!</definedName>
    <definedName name="Agro_tiete" localSheetId="2">#REF!</definedName>
    <definedName name="Agro_tiete">#REF!</definedName>
    <definedName name="AJUSTE" localSheetId="15" hidden="1">{"Fecha_Dezembro",#N/A,FALSE,"FECHAMENTO-2002 ";"Defer_Dezermbro",#N/A,FALSE,"DIFERIDO";"Pis_Dezembro",#N/A,FALSE,"PIS COFINS";"Iss_Dezembro",#N/A,FALSE,"ISS"}</definedName>
    <definedName name="AJUSTE" localSheetId="14" hidden="1">{"Fecha_Dezembro",#N/A,FALSE,"FECHAMENTO-2002 ";"Defer_Dezermbro",#N/A,FALSE,"DIFERIDO";"Pis_Dezembro",#N/A,FALSE,"PIS COFINS";"Iss_Dezembro",#N/A,FALSE,"ISS"}</definedName>
    <definedName name="AJUSTE" localSheetId="2" hidden="1">{"Fecha_Dezembro",#N/A,FALSE,"FECHAMENTO-2002 ";"Defer_Dezermbro",#N/A,FALSE,"DIFERIDO";"Pis_Dezembro",#N/A,FALSE,"PIS COFINS";"Iss_Dezembro",#N/A,FALSE,"ISS"}</definedName>
    <definedName name="AJUSTE" localSheetId="34" hidden="1">{"Fecha_Dezembro",#N/A,FALSE,"FECHAMENTO-2002 ";"Defer_Dezermbro",#N/A,FALSE,"DIFERIDO";"Pis_Dezembro",#N/A,FALSE,"PIS COFINS";"Iss_Dezembro",#N/A,FALSE,"ISS"}</definedName>
    <definedName name="AJUSTE" localSheetId="39" hidden="1">{"Fecha_Dezembro",#N/A,FALSE,"FECHAMENTO-2002 ";"Defer_Dezermbro",#N/A,FALSE,"DIFERIDO";"Pis_Dezembro",#N/A,FALSE,"PIS COFINS";"Iss_Dezembro",#N/A,FALSE,"ISS"}</definedName>
    <definedName name="AJUSTE" localSheetId="8" hidden="1">{"Fecha_Dezembro",#N/A,FALSE,"FECHAMENTO-2002 ";"Defer_Dezermbro",#N/A,FALSE,"DIFERIDO";"Pis_Dezembro",#N/A,FALSE,"PIS COFINS";"Iss_Dezembro",#N/A,FALSE,"ISS"}</definedName>
    <definedName name="AJUSTE" localSheetId="12" hidden="1">{"Fecha_Dezembro",#N/A,FALSE,"FECHAMENTO-2002 ";"Defer_Dezermbro",#N/A,FALSE,"DIFERIDO";"Pis_Dezembro",#N/A,FALSE,"PIS COFINS";"Iss_Dezembro",#N/A,FALSE,"ISS"}</definedName>
    <definedName name="AJUSTE" localSheetId="13" hidden="1">{"Fecha_Dezembro",#N/A,FALSE,"FECHAMENTO-2002 ";"Defer_Dezermbro",#N/A,FALSE,"DIFERIDO";"Pis_Dezembro",#N/A,FALSE,"PIS COFINS";"Iss_Dezembro",#N/A,FALSE,"ISS"}</definedName>
    <definedName name="AJUSTE" localSheetId="11" hidden="1">{"Fecha_Dezembro",#N/A,FALSE,"FECHAMENTO-2002 ";"Defer_Dezermbro",#N/A,FALSE,"DIFERIDO";"Pis_Dezembro",#N/A,FALSE,"PIS COFINS";"Iss_Dezembro",#N/A,FALSE,"ISS"}</definedName>
    <definedName name="AJUSTE" localSheetId="31" hidden="1">{"Fecha_Dezembro",#N/A,FALSE,"FECHAMENTO-2002 ";"Defer_Dezermbro",#N/A,FALSE,"DIFERIDO";"Pis_Dezembro",#N/A,FALSE,"PIS COFINS";"Iss_Dezembro",#N/A,FALSE,"ISS"}</definedName>
    <definedName name="AJUSTE" hidden="1">{"Fecha_Dezembro",#N/A,FALSE,"FECHAMENTO-2002 ";"Defer_Dezermbro",#N/A,FALSE,"DIFERIDO";"Pis_Dezembro",#N/A,FALSE,"PIS COFINS";"Iss_Dezembro",#N/A,FALSE,"ISS"}</definedName>
    <definedName name="AJUSTE_1" localSheetId="15" hidden="1">{"Fecha_Dezembro",#N/A,FALSE,"FECHAMENTO-2002 ";"Defer_Dezermbro",#N/A,FALSE,"DIFERIDO";"Pis_Dezembro",#N/A,FALSE,"PIS COFINS";"Iss_Dezembro",#N/A,FALSE,"ISS"}</definedName>
    <definedName name="AJUSTE_1" localSheetId="14" hidden="1">{"Fecha_Dezembro",#N/A,FALSE,"FECHAMENTO-2002 ";"Defer_Dezermbro",#N/A,FALSE,"DIFERIDO";"Pis_Dezembro",#N/A,FALSE,"PIS COFINS";"Iss_Dezembro",#N/A,FALSE,"ISS"}</definedName>
    <definedName name="AJUSTE_1" localSheetId="2" hidden="1">{"Fecha_Dezembro",#N/A,FALSE,"FECHAMENTO-2002 ";"Defer_Dezermbro",#N/A,FALSE,"DIFERIDO";"Pis_Dezembro",#N/A,FALSE,"PIS COFINS";"Iss_Dezembro",#N/A,FALSE,"ISS"}</definedName>
    <definedName name="AJUSTE_1" localSheetId="34" hidden="1">{"Fecha_Dezembro",#N/A,FALSE,"FECHAMENTO-2002 ";"Defer_Dezermbro",#N/A,FALSE,"DIFERIDO";"Pis_Dezembro",#N/A,FALSE,"PIS COFINS";"Iss_Dezembro",#N/A,FALSE,"ISS"}</definedName>
    <definedName name="AJUSTE_1" localSheetId="39" hidden="1">{"Fecha_Dezembro",#N/A,FALSE,"FECHAMENTO-2002 ";"Defer_Dezermbro",#N/A,FALSE,"DIFERIDO";"Pis_Dezembro",#N/A,FALSE,"PIS COFINS";"Iss_Dezembro",#N/A,FALSE,"ISS"}</definedName>
    <definedName name="AJUSTE_1" localSheetId="8" hidden="1">{"Fecha_Dezembro",#N/A,FALSE,"FECHAMENTO-2002 ";"Defer_Dezermbro",#N/A,FALSE,"DIFERIDO";"Pis_Dezembro",#N/A,FALSE,"PIS COFINS";"Iss_Dezembro",#N/A,FALSE,"ISS"}</definedName>
    <definedName name="AJUSTE_1" localSheetId="12" hidden="1">{"Fecha_Dezembro",#N/A,FALSE,"FECHAMENTO-2002 ";"Defer_Dezermbro",#N/A,FALSE,"DIFERIDO";"Pis_Dezembro",#N/A,FALSE,"PIS COFINS";"Iss_Dezembro",#N/A,FALSE,"ISS"}</definedName>
    <definedName name="AJUSTE_1" localSheetId="13" hidden="1">{"Fecha_Dezembro",#N/A,FALSE,"FECHAMENTO-2002 ";"Defer_Dezermbro",#N/A,FALSE,"DIFERIDO";"Pis_Dezembro",#N/A,FALSE,"PIS COFINS";"Iss_Dezembro",#N/A,FALSE,"ISS"}</definedName>
    <definedName name="AJUSTE_1" localSheetId="11" hidden="1">{"Fecha_Dezembro",#N/A,FALSE,"FECHAMENTO-2002 ";"Defer_Dezermbro",#N/A,FALSE,"DIFERIDO";"Pis_Dezembro",#N/A,FALSE,"PIS COFINS";"Iss_Dezembro",#N/A,FALSE,"ISS"}</definedName>
    <definedName name="AJUSTE_1" localSheetId="31" hidden="1">{"Fecha_Dezembro",#N/A,FALSE,"FECHAMENTO-2002 ";"Defer_Dezermbro",#N/A,FALSE,"DIFERIDO";"Pis_Dezembro",#N/A,FALSE,"PIS COFINS";"Iss_Dezembro",#N/A,FALSE,"ISS"}</definedName>
    <definedName name="AJUSTE_1" hidden="1">{"Fecha_Dezembro",#N/A,FALSE,"FECHAMENTO-2002 ";"Defer_Dezermbro",#N/A,FALSE,"DIFERIDO";"Pis_Dezembro",#N/A,FALSE,"PIS COFINS";"Iss_Dezembro",#N/A,FALSE,"ISS"}</definedName>
    <definedName name="ajustes" localSheetId="2">#REF!</definedName>
    <definedName name="ajustes">#REF!</definedName>
    <definedName name="ALC_INDUST" localSheetId="2">#REF!</definedName>
    <definedName name="ALC_INDUST">#REF!</definedName>
    <definedName name="ALCADQANT" localSheetId="2">#REF!</definedName>
    <definedName name="ALCADQANT">#REF!</definedName>
    <definedName name="ALCADQATU" localSheetId="2">#REF!</definedName>
    <definedName name="ALCADQATU">#REF!</definedName>
    <definedName name="ALCOOLANT" localSheetId="2">#REF!</definedName>
    <definedName name="ALCOOLANT">#REF!</definedName>
    <definedName name="ALCOOLATU" localSheetId="2">#REF!</definedName>
    <definedName name="ALCOOLATU">#REF!</definedName>
    <definedName name="ANADATA" localSheetId="2">#REF!</definedName>
    <definedName name="ANADATA">#REF!</definedName>
    <definedName name="analise">#REF!</definedName>
    <definedName name="anidromi">#REF!</definedName>
    <definedName name="anscount" hidden="1">7</definedName>
    <definedName name="ANTERIOR" localSheetId="2">#REF!</definedName>
    <definedName name="ANTERIOR">#REF!</definedName>
    <definedName name="ap" localSheetId="15" hidden="1">{"Fecha_Novembro",#N/A,FALSE,"FECHAMENTO-2002 ";"Defer_Novembro",#N/A,FALSE,"DIFERIDO";"Pis_Novembro",#N/A,FALSE,"PIS COFINS";"Iss_Novembro",#N/A,FALSE,"ISS"}</definedName>
    <definedName name="ap" localSheetId="14" hidden="1">{"Fecha_Novembro",#N/A,FALSE,"FECHAMENTO-2002 ";"Defer_Novembro",#N/A,FALSE,"DIFERIDO";"Pis_Novembro",#N/A,FALSE,"PIS COFINS";"Iss_Novembro",#N/A,FALSE,"ISS"}</definedName>
    <definedName name="ap" localSheetId="2" hidden="1">{"Fecha_Novembro",#N/A,FALSE,"FECHAMENTO-2002 ";"Defer_Novembro",#N/A,FALSE,"DIFERIDO";"Pis_Novembro",#N/A,FALSE,"PIS COFINS";"Iss_Novembro",#N/A,FALSE,"ISS"}</definedName>
    <definedName name="ap" localSheetId="34" hidden="1">{"Fecha_Novembro",#N/A,FALSE,"FECHAMENTO-2002 ";"Defer_Novembro",#N/A,FALSE,"DIFERIDO";"Pis_Novembro",#N/A,FALSE,"PIS COFINS";"Iss_Novembro",#N/A,FALSE,"ISS"}</definedName>
    <definedName name="ap" localSheetId="39" hidden="1">{"Fecha_Novembro",#N/A,FALSE,"FECHAMENTO-2002 ";"Defer_Novembro",#N/A,FALSE,"DIFERIDO";"Pis_Novembro",#N/A,FALSE,"PIS COFINS";"Iss_Novembro",#N/A,FALSE,"ISS"}</definedName>
    <definedName name="ap" localSheetId="8" hidden="1">{"Fecha_Novembro",#N/A,FALSE,"FECHAMENTO-2002 ";"Defer_Novembro",#N/A,FALSE,"DIFERIDO";"Pis_Novembro",#N/A,FALSE,"PIS COFINS";"Iss_Novembro",#N/A,FALSE,"ISS"}</definedName>
    <definedName name="ap" localSheetId="12" hidden="1">{"Fecha_Novembro",#N/A,FALSE,"FECHAMENTO-2002 ";"Defer_Novembro",#N/A,FALSE,"DIFERIDO";"Pis_Novembro",#N/A,FALSE,"PIS COFINS";"Iss_Novembro",#N/A,FALSE,"ISS"}</definedName>
    <definedName name="ap" localSheetId="13" hidden="1">{"Fecha_Novembro",#N/A,FALSE,"FECHAMENTO-2002 ";"Defer_Novembro",#N/A,FALSE,"DIFERIDO";"Pis_Novembro",#N/A,FALSE,"PIS COFINS";"Iss_Novembro",#N/A,FALSE,"ISS"}</definedName>
    <definedName name="ap" localSheetId="11" hidden="1">{"Fecha_Novembro",#N/A,FALSE,"FECHAMENTO-2002 ";"Defer_Novembro",#N/A,FALSE,"DIFERIDO";"Pis_Novembro",#N/A,FALSE,"PIS COFINS";"Iss_Novembro",#N/A,FALSE,"ISS"}</definedName>
    <definedName name="ap" localSheetId="31" hidden="1">{"Fecha_Novembro",#N/A,FALSE,"FECHAMENTO-2002 ";"Defer_Novembro",#N/A,FALSE,"DIFERIDO";"Pis_Novembro",#N/A,FALSE,"PIS COFINS";"Iss_Novembro",#N/A,FALSE,"ISS"}</definedName>
    <definedName name="ap" hidden="1">{"Fecha_Novembro",#N/A,FALSE,"FECHAMENTO-2002 ";"Defer_Novembro",#N/A,FALSE,"DIFERIDO";"Pis_Novembro",#N/A,FALSE,"PIS COFINS";"Iss_Novembro",#N/A,FALSE,"ISS"}</definedName>
    <definedName name="ap_1" localSheetId="15" hidden="1">{"Fecha_Novembro",#N/A,FALSE,"FECHAMENTO-2002 ";"Defer_Novembro",#N/A,FALSE,"DIFERIDO";"Pis_Novembro",#N/A,FALSE,"PIS COFINS";"Iss_Novembro",#N/A,FALSE,"ISS"}</definedName>
    <definedName name="ap_1" localSheetId="14" hidden="1">{"Fecha_Novembro",#N/A,FALSE,"FECHAMENTO-2002 ";"Defer_Novembro",#N/A,FALSE,"DIFERIDO";"Pis_Novembro",#N/A,FALSE,"PIS COFINS";"Iss_Novembro",#N/A,FALSE,"ISS"}</definedName>
    <definedName name="ap_1" localSheetId="2" hidden="1">{"Fecha_Novembro",#N/A,FALSE,"FECHAMENTO-2002 ";"Defer_Novembro",#N/A,FALSE,"DIFERIDO";"Pis_Novembro",#N/A,FALSE,"PIS COFINS";"Iss_Novembro",#N/A,FALSE,"ISS"}</definedName>
    <definedName name="ap_1" localSheetId="34" hidden="1">{"Fecha_Novembro",#N/A,FALSE,"FECHAMENTO-2002 ";"Defer_Novembro",#N/A,FALSE,"DIFERIDO";"Pis_Novembro",#N/A,FALSE,"PIS COFINS";"Iss_Novembro",#N/A,FALSE,"ISS"}</definedName>
    <definedName name="ap_1" localSheetId="39" hidden="1">{"Fecha_Novembro",#N/A,FALSE,"FECHAMENTO-2002 ";"Defer_Novembro",#N/A,FALSE,"DIFERIDO";"Pis_Novembro",#N/A,FALSE,"PIS COFINS";"Iss_Novembro",#N/A,FALSE,"ISS"}</definedName>
    <definedName name="ap_1" localSheetId="8" hidden="1">{"Fecha_Novembro",#N/A,FALSE,"FECHAMENTO-2002 ";"Defer_Novembro",#N/A,FALSE,"DIFERIDO";"Pis_Novembro",#N/A,FALSE,"PIS COFINS";"Iss_Novembro",#N/A,FALSE,"ISS"}</definedName>
    <definedName name="ap_1" localSheetId="12" hidden="1">{"Fecha_Novembro",#N/A,FALSE,"FECHAMENTO-2002 ";"Defer_Novembro",#N/A,FALSE,"DIFERIDO";"Pis_Novembro",#N/A,FALSE,"PIS COFINS";"Iss_Novembro",#N/A,FALSE,"ISS"}</definedName>
    <definedName name="ap_1" localSheetId="13" hidden="1">{"Fecha_Novembro",#N/A,FALSE,"FECHAMENTO-2002 ";"Defer_Novembro",#N/A,FALSE,"DIFERIDO";"Pis_Novembro",#N/A,FALSE,"PIS COFINS";"Iss_Novembro",#N/A,FALSE,"ISS"}</definedName>
    <definedName name="ap_1" localSheetId="11" hidden="1">{"Fecha_Novembro",#N/A,FALSE,"FECHAMENTO-2002 ";"Defer_Novembro",#N/A,FALSE,"DIFERIDO";"Pis_Novembro",#N/A,FALSE,"PIS COFINS";"Iss_Novembro",#N/A,FALSE,"ISS"}</definedName>
    <definedName name="ap_1" localSheetId="31" hidden="1">{"Fecha_Novembro",#N/A,FALSE,"FECHAMENTO-2002 ";"Defer_Novembro",#N/A,FALSE,"DIFERIDO";"Pis_Novembro",#N/A,FALSE,"PIS COFINS";"Iss_Novembro",#N/A,FALSE,"ISS"}</definedName>
    <definedName name="ap_1" hidden="1">{"Fecha_Novembro",#N/A,FALSE,"FECHAMENTO-2002 ";"Defer_Novembro",#N/A,FALSE,"DIFERIDO";"Pis_Novembro",#N/A,FALSE,"PIS COFINS";"Iss_Novembro",#N/A,FALSE,"ISS"}</definedName>
    <definedName name="Apoio_C" localSheetId="2">#REF!</definedName>
    <definedName name="Apoio_C">#REF!</definedName>
    <definedName name="Apoio_CTC" localSheetId="2">#REF!</definedName>
    <definedName name="Apoio_CTC">#REF!</definedName>
    <definedName name="Apoio_outros" localSheetId="2">#REF!</definedName>
    <definedName name="Apoio_outros">#REF!</definedName>
    <definedName name="aqqq" localSheetId="15" hidden="1">{"'PXR_6500'!$A$1:$I$124"}</definedName>
    <definedName name="aqqq" localSheetId="14" hidden="1">{"'PXR_6500'!$A$1:$I$124"}</definedName>
    <definedName name="aqqq" localSheetId="2" hidden="1">{"'PXR_6500'!$A$1:$I$124"}</definedName>
    <definedName name="aqqq" localSheetId="34" hidden="1">{"'PXR_6500'!$A$1:$I$124"}</definedName>
    <definedName name="aqqq" localSheetId="39" hidden="1">{"'PXR_6500'!$A$1:$I$124"}</definedName>
    <definedName name="aqqq" localSheetId="8" hidden="1">{"'PXR_6500'!$A$1:$I$124"}</definedName>
    <definedName name="aqqq" localSheetId="12" hidden="1">{"'PXR_6500'!$A$1:$I$124"}</definedName>
    <definedName name="aqqq" localSheetId="13" hidden="1">{"'PXR_6500'!$A$1:$I$124"}</definedName>
    <definedName name="aqqq" localSheetId="11" hidden="1">{"'PXR_6500'!$A$1:$I$124"}</definedName>
    <definedName name="aqqq" localSheetId="31" hidden="1">{"'PXR_6500'!$A$1:$I$124"}</definedName>
    <definedName name="aqqq" hidden="1">{"'PXR_6500'!$A$1:$I$124"}</definedName>
    <definedName name="_xlnm.Print_Area">#REF!</definedName>
    <definedName name="AREA1" localSheetId="2">#REF!</definedName>
    <definedName name="AREA1">#REF!</definedName>
    <definedName name="AREA2" localSheetId="2">#REF!</definedName>
    <definedName name="AREA2">#REF!</definedName>
    <definedName name="AREA3" localSheetId="2">#REF!</definedName>
    <definedName name="AREA3">#REF!</definedName>
    <definedName name="AREA4" localSheetId="2">#REF!</definedName>
    <definedName name="AREA4">#REF!</definedName>
    <definedName name="AREA5" localSheetId="2">#REF!</definedName>
    <definedName name="AREA5">#REF!</definedName>
    <definedName name="AS" localSheetId="15" hidden="1">{"'TG'!$A$1:$L$37"}</definedName>
    <definedName name="AS" localSheetId="14" hidden="1">{"'TG'!$A$1:$L$37"}</definedName>
    <definedName name="AS" localSheetId="2" hidden="1">{"'TG'!$A$1:$L$37"}</definedName>
    <definedName name="AS" localSheetId="34" hidden="1">{"'TG'!$A$1:$L$37"}</definedName>
    <definedName name="AS" localSheetId="39" hidden="1">{"'TG'!$A$1:$L$37"}</definedName>
    <definedName name="AS" localSheetId="8" hidden="1">{"'TG'!$A$1:$L$37"}</definedName>
    <definedName name="AS" localSheetId="12" hidden="1">{"'TG'!$A$1:$L$37"}</definedName>
    <definedName name="AS" localSheetId="13" hidden="1">{"'TG'!$A$1:$L$37"}</definedName>
    <definedName name="AS" localSheetId="11" hidden="1">{"'TG'!$A$1:$L$37"}</definedName>
    <definedName name="AS" localSheetId="31" hidden="1">{"'TG'!$A$1:$L$37"}</definedName>
    <definedName name="AS" hidden="1">{"'TG'!$A$1:$L$37"}</definedName>
    <definedName name="AS2DocOpenMode" hidden="1">"AS2DocumentEdit"</definedName>
    <definedName name="AS2NamedRange" hidden="1">5</definedName>
    <definedName name="AS2ReportLS" hidden="1">1</definedName>
    <definedName name="AS2StaticLS" localSheetId="1" hidden="1">#REF!</definedName>
    <definedName name="AS2StaticLS" localSheetId="15" hidden="1">#REF!</definedName>
    <definedName name="AS2StaticLS" localSheetId="7" hidden="1">#REF!</definedName>
    <definedName name="AS2StaticLS" localSheetId="14" hidden="1">#REF!</definedName>
    <definedName name="AS2StaticLS" localSheetId="2" hidden="1">#REF!</definedName>
    <definedName name="AS2StaticLS" localSheetId="34" hidden="1">#REF!</definedName>
    <definedName name="AS2StaticLS" localSheetId="39" hidden="1">#REF!</definedName>
    <definedName name="AS2StaticLS" localSheetId="12" hidden="1">#REF!</definedName>
    <definedName name="AS2StaticLS" localSheetId="10" hidden="1">#REF!</definedName>
    <definedName name="AS2StaticLS" localSheetId="6" hidden="1">#REF!</definedName>
    <definedName name="AS2StaticLS" hidden="1">#REF!</definedName>
    <definedName name="AS2SyncStepLS" hidden="1">0</definedName>
    <definedName name="AS2TickmarkLS" localSheetId="1" hidden="1">#REF!</definedName>
    <definedName name="AS2TickmarkLS" localSheetId="15" hidden="1">#REF!</definedName>
    <definedName name="AS2TickmarkLS" localSheetId="7" hidden="1">#REF!</definedName>
    <definedName name="AS2TickmarkLS" localSheetId="14" hidden="1">#REF!</definedName>
    <definedName name="AS2TickmarkLS" localSheetId="2" hidden="1">#REF!</definedName>
    <definedName name="AS2TickmarkLS" localSheetId="34" hidden="1">#REF!</definedName>
    <definedName name="AS2TickmarkLS" localSheetId="39" hidden="1">#REF!</definedName>
    <definedName name="AS2TickmarkLS" localSheetId="12" hidden="1">#REF!</definedName>
    <definedName name="AS2TickmarkLS" localSheetId="10" hidden="1">#REF!</definedName>
    <definedName name="AS2TickmarkLS" localSheetId="6" hidden="1">#REF!</definedName>
    <definedName name="AS2TickmarkLS" hidden="1">#REF!</definedName>
    <definedName name="AS2VersionLS" hidden="1">300</definedName>
    <definedName name="asad" localSheetId="15" hidden="1">{"away stand alones",#N/A,FALSE,"Target"}</definedName>
    <definedName name="asad" localSheetId="14" hidden="1">{"away stand alones",#N/A,FALSE,"Target"}</definedName>
    <definedName name="asad" localSheetId="2" hidden="1">{"away stand alones",#N/A,FALSE,"Target"}</definedName>
    <definedName name="asad" localSheetId="34" hidden="1">{"away stand alones",#N/A,FALSE,"Target"}</definedName>
    <definedName name="asad" localSheetId="39" hidden="1">{"away stand alones",#N/A,FALSE,"Target"}</definedName>
    <definedName name="asad" localSheetId="8" hidden="1">{"away stand alones",#N/A,FALSE,"Target"}</definedName>
    <definedName name="asad" localSheetId="12" hidden="1">{"away stand alones",#N/A,FALSE,"Target"}</definedName>
    <definedName name="asad" localSheetId="13" hidden="1">{"away stand alones",#N/A,FALSE,"Target"}</definedName>
    <definedName name="asad" localSheetId="11" hidden="1">{"away stand alones",#N/A,FALSE,"Target"}</definedName>
    <definedName name="asad" localSheetId="31" hidden="1">{"away stand alones",#N/A,FALSE,"Target"}</definedName>
    <definedName name="asad" hidden="1">{"away stand alones",#N/A,FALSE,"Target"}</definedName>
    <definedName name="asdf"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tivo">#REF!</definedName>
    <definedName name="ATUAL" localSheetId="2">#REF!</definedName>
    <definedName name="ATUAL">#REF!</definedName>
    <definedName name="avdd" localSheetId="15" hidden="1">{#N/A,#N/A,FALSE,"Calc";#N/A,#N/A,FALSE,"Sensitivity";#N/A,#N/A,FALSE,"LT Earn.Dil.";#N/A,#N/A,FALSE,"Dil. AVP"}</definedName>
    <definedName name="avdd" localSheetId="14" hidden="1">{#N/A,#N/A,FALSE,"Calc";#N/A,#N/A,FALSE,"Sensitivity";#N/A,#N/A,FALSE,"LT Earn.Dil.";#N/A,#N/A,FALSE,"Dil. AVP"}</definedName>
    <definedName name="avdd" localSheetId="2" hidden="1">{#N/A,#N/A,FALSE,"Calc";#N/A,#N/A,FALSE,"Sensitivity";#N/A,#N/A,FALSE,"LT Earn.Dil.";#N/A,#N/A,FALSE,"Dil. AVP"}</definedName>
    <definedName name="avdd" localSheetId="34" hidden="1">{#N/A,#N/A,FALSE,"Calc";#N/A,#N/A,FALSE,"Sensitivity";#N/A,#N/A,FALSE,"LT Earn.Dil.";#N/A,#N/A,FALSE,"Dil. AVP"}</definedName>
    <definedName name="avdd" localSheetId="39" hidden="1">{#N/A,#N/A,FALSE,"Calc";#N/A,#N/A,FALSE,"Sensitivity";#N/A,#N/A,FALSE,"LT Earn.Dil.";#N/A,#N/A,FALSE,"Dil. AVP"}</definedName>
    <definedName name="avdd" localSheetId="8" hidden="1">{#N/A,#N/A,FALSE,"Calc";#N/A,#N/A,FALSE,"Sensitivity";#N/A,#N/A,FALSE,"LT Earn.Dil.";#N/A,#N/A,FALSE,"Dil. AVP"}</definedName>
    <definedName name="avdd" localSheetId="12" hidden="1">{#N/A,#N/A,FALSE,"Calc";#N/A,#N/A,FALSE,"Sensitivity";#N/A,#N/A,FALSE,"LT Earn.Dil.";#N/A,#N/A,FALSE,"Dil. AVP"}</definedName>
    <definedName name="avdd" localSheetId="13" hidden="1">{#N/A,#N/A,FALSE,"Calc";#N/A,#N/A,FALSE,"Sensitivity";#N/A,#N/A,FALSE,"LT Earn.Dil.";#N/A,#N/A,FALSE,"Dil. AVP"}</definedName>
    <definedName name="avdd" localSheetId="11" hidden="1">{#N/A,#N/A,FALSE,"Calc";#N/A,#N/A,FALSE,"Sensitivity";#N/A,#N/A,FALSE,"LT Earn.Dil.";#N/A,#N/A,FALSE,"Dil. AVP"}</definedName>
    <definedName name="avdd" localSheetId="31" hidden="1">{#N/A,#N/A,FALSE,"Calc";#N/A,#N/A,FALSE,"Sensitivity";#N/A,#N/A,FALSE,"LT Earn.Dil.";#N/A,#N/A,FALSE,"Dil. AVP"}</definedName>
    <definedName name="avdd" hidden="1">{#N/A,#N/A,FALSE,"Calc";#N/A,#N/A,FALSE,"Sensitivity";#N/A,#N/A,FALSE,"LT Earn.Dil.";#N/A,#N/A,FALSE,"Dil. AVP"}</definedName>
    <definedName name="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2W">#REF!</definedName>
    <definedName name="BAIXA" localSheetId="2">#REF!</definedName>
    <definedName name="BAIXA">#REF!</definedName>
    <definedName name="Bal_Ativo" localSheetId="2">#REF!</definedName>
    <definedName name="Bal_Ativo">#REF!</definedName>
    <definedName name="Bal_Pass" localSheetId="2">#REF!</definedName>
    <definedName name="Bal_Pass">#REF!</definedName>
    <definedName name="Bal_Pass1" localSheetId="2">#REF!</definedName>
    <definedName name="Bal_Pass1">#REF!</definedName>
    <definedName name="bALATIVO" localSheetId="2">#REF!</definedName>
    <definedName name="bALATIVO">#REF!</definedName>
    <definedName name="balativo1" localSheetId="2">#REF!</definedName>
    <definedName name="balativo1">#REF!</definedName>
    <definedName name="bALPASS" localSheetId="2">#REF!</definedName>
    <definedName name="bALPASS">#REF!</definedName>
    <definedName name="bb" localSheetId="15" hidden="1">{"Fecha_Novembro",#N/A,FALSE,"FECHAMENTO-2002 ";"Defer_Novembro",#N/A,FALSE,"DIFERIDO";"Pis_Novembro",#N/A,FALSE,"PIS COFINS";"Iss_Novembro",#N/A,FALSE,"ISS"}</definedName>
    <definedName name="bb" localSheetId="14" hidden="1">{"Fecha_Novembro",#N/A,FALSE,"FECHAMENTO-2002 ";"Defer_Novembro",#N/A,FALSE,"DIFERIDO";"Pis_Novembro",#N/A,FALSE,"PIS COFINS";"Iss_Novembro",#N/A,FALSE,"ISS"}</definedName>
    <definedName name="bb" localSheetId="2" hidden="1">{"Fecha_Novembro",#N/A,FALSE,"FECHAMENTO-2002 ";"Defer_Novembro",#N/A,FALSE,"DIFERIDO";"Pis_Novembro",#N/A,FALSE,"PIS COFINS";"Iss_Novembro",#N/A,FALSE,"ISS"}</definedName>
    <definedName name="bb" localSheetId="34" hidden="1">{"Fecha_Novembro",#N/A,FALSE,"FECHAMENTO-2002 ";"Defer_Novembro",#N/A,FALSE,"DIFERIDO";"Pis_Novembro",#N/A,FALSE,"PIS COFINS";"Iss_Novembro",#N/A,FALSE,"ISS"}</definedName>
    <definedName name="bb" localSheetId="39" hidden="1">{"Fecha_Novembro",#N/A,FALSE,"FECHAMENTO-2002 ";"Defer_Novembro",#N/A,FALSE,"DIFERIDO";"Pis_Novembro",#N/A,FALSE,"PIS COFINS";"Iss_Novembro",#N/A,FALSE,"ISS"}</definedName>
    <definedName name="bb" localSheetId="8" hidden="1">{"Fecha_Novembro",#N/A,FALSE,"FECHAMENTO-2002 ";"Defer_Novembro",#N/A,FALSE,"DIFERIDO";"Pis_Novembro",#N/A,FALSE,"PIS COFINS";"Iss_Novembro",#N/A,FALSE,"ISS"}</definedName>
    <definedName name="bb" localSheetId="12" hidden="1">{"Fecha_Novembro",#N/A,FALSE,"FECHAMENTO-2002 ";"Defer_Novembro",#N/A,FALSE,"DIFERIDO";"Pis_Novembro",#N/A,FALSE,"PIS COFINS";"Iss_Novembro",#N/A,FALSE,"ISS"}</definedName>
    <definedName name="bb" localSheetId="13" hidden="1">{"Fecha_Novembro",#N/A,FALSE,"FECHAMENTO-2002 ";"Defer_Novembro",#N/A,FALSE,"DIFERIDO";"Pis_Novembro",#N/A,FALSE,"PIS COFINS";"Iss_Novembro",#N/A,FALSE,"ISS"}</definedName>
    <definedName name="bb" localSheetId="11" hidden="1">{"Fecha_Novembro",#N/A,FALSE,"FECHAMENTO-2002 ";"Defer_Novembro",#N/A,FALSE,"DIFERIDO";"Pis_Novembro",#N/A,FALSE,"PIS COFINS";"Iss_Novembro",#N/A,FALSE,"ISS"}</definedName>
    <definedName name="bb" localSheetId="31" hidden="1">{"Fecha_Novembro",#N/A,FALSE,"FECHAMENTO-2002 ";"Defer_Novembro",#N/A,FALSE,"DIFERIDO";"Pis_Novembro",#N/A,FALSE,"PIS COFINS";"Iss_Novembro",#N/A,FALSE,"ISS"}</definedName>
    <definedName name="bb" hidden="1">{"Fecha_Novembro",#N/A,FALSE,"FECHAMENTO-2002 ";"Defer_Novembro",#N/A,FALSE,"DIFERIDO";"Pis_Novembro",#N/A,FALSE,"PIS COFINS";"Iss_Novembro",#N/A,FALSE,"ISS"}</definedName>
    <definedName name="bb_1" localSheetId="15" hidden="1">{"Fecha_Novembro",#N/A,FALSE,"FECHAMENTO-2002 ";"Defer_Novembro",#N/A,FALSE,"DIFERIDO";"Pis_Novembro",#N/A,FALSE,"PIS COFINS";"Iss_Novembro",#N/A,FALSE,"ISS"}</definedName>
    <definedName name="bb_1" localSheetId="14" hidden="1">{"Fecha_Novembro",#N/A,FALSE,"FECHAMENTO-2002 ";"Defer_Novembro",#N/A,FALSE,"DIFERIDO";"Pis_Novembro",#N/A,FALSE,"PIS COFINS";"Iss_Novembro",#N/A,FALSE,"ISS"}</definedName>
    <definedName name="bb_1" localSheetId="2" hidden="1">{"Fecha_Novembro",#N/A,FALSE,"FECHAMENTO-2002 ";"Defer_Novembro",#N/A,FALSE,"DIFERIDO";"Pis_Novembro",#N/A,FALSE,"PIS COFINS";"Iss_Novembro",#N/A,FALSE,"ISS"}</definedName>
    <definedName name="bb_1" localSheetId="34" hidden="1">{"Fecha_Novembro",#N/A,FALSE,"FECHAMENTO-2002 ";"Defer_Novembro",#N/A,FALSE,"DIFERIDO";"Pis_Novembro",#N/A,FALSE,"PIS COFINS";"Iss_Novembro",#N/A,FALSE,"ISS"}</definedName>
    <definedName name="bb_1" localSheetId="39" hidden="1">{"Fecha_Novembro",#N/A,FALSE,"FECHAMENTO-2002 ";"Defer_Novembro",#N/A,FALSE,"DIFERIDO";"Pis_Novembro",#N/A,FALSE,"PIS COFINS";"Iss_Novembro",#N/A,FALSE,"ISS"}</definedName>
    <definedName name="bb_1" localSheetId="8" hidden="1">{"Fecha_Novembro",#N/A,FALSE,"FECHAMENTO-2002 ";"Defer_Novembro",#N/A,FALSE,"DIFERIDO";"Pis_Novembro",#N/A,FALSE,"PIS COFINS";"Iss_Novembro",#N/A,FALSE,"ISS"}</definedName>
    <definedName name="bb_1" localSheetId="12" hidden="1">{"Fecha_Novembro",#N/A,FALSE,"FECHAMENTO-2002 ";"Defer_Novembro",#N/A,FALSE,"DIFERIDO";"Pis_Novembro",#N/A,FALSE,"PIS COFINS";"Iss_Novembro",#N/A,FALSE,"ISS"}</definedName>
    <definedName name="bb_1" localSheetId="13" hidden="1">{"Fecha_Novembro",#N/A,FALSE,"FECHAMENTO-2002 ";"Defer_Novembro",#N/A,FALSE,"DIFERIDO";"Pis_Novembro",#N/A,FALSE,"PIS COFINS";"Iss_Novembro",#N/A,FALSE,"ISS"}</definedName>
    <definedName name="bb_1" localSheetId="11" hidden="1">{"Fecha_Novembro",#N/A,FALSE,"FECHAMENTO-2002 ";"Defer_Novembro",#N/A,FALSE,"DIFERIDO";"Pis_Novembro",#N/A,FALSE,"PIS COFINS";"Iss_Novembro",#N/A,FALSE,"ISS"}</definedName>
    <definedName name="bb_1" localSheetId="31" hidden="1">{"Fecha_Novembro",#N/A,FALSE,"FECHAMENTO-2002 ";"Defer_Novembro",#N/A,FALSE,"DIFERIDO";"Pis_Novembro",#N/A,FALSE,"PIS COFINS";"Iss_Novembro",#N/A,FALSE,"ISS"}</definedName>
    <definedName name="bb_1" hidden="1">{"Fecha_Novembro",#N/A,FALSE,"FECHAMENTO-2002 ";"Defer_Novembro",#N/A,FALSE,"DIFERIDO";"Pis_Novembro",#N/A,FALSE,"PIS COFINS";"Iss_Novembro",#N/A,FALSE,"ISS"}</definedName>
    <definedName name="besdfs" localSheetId="1" hidden="1">#REF!</definedName>
    <definedName name="besdfs" localSheetId="7" hidden="1">#REF!</definedName>
    <definedName name="besdfs" localSheetId="2" hidden="1">#REF!</definedName>
    <definedName name="besdfs" localSheetId="34" hidden="1">#REF!</definedName>
    <definedName name="besdfs" localSheetId="12" hidden="1">#REF!</definedName>
    <definedName name="besdfs" localSheetId="10" hidden="1">#REF!</definedName>
    <definedName name="besdfs" localSheetId="6" hidden="1">#REF!</definedName>
    <definedName name="besdfs" hidden="1">#REF!</definedName>
    <definedName name="BEx008P2NVFDLBHL7IZ5WTMVOQ1F" localSheetId="1" hidden="1">#REF!</definedName>
    <definedName name="BEx008P2NVFDLBHL7IZ5WTMVOQ1F" localSheetId="7" hidden="1">#REF!</definedName>
    <definedName name="BEx008P2NVFDLBHL7IZ5WTMVOQ1F" localSheetId="2" hidden="1">#REF!</definedName>
    <definedName name="BEx008P2NVFDLBHL7IZ5WTMVOQ1F" localSheetId="34" hidden="1">#REF!</definedName>
    <definedName name="BEx008P2NVFDLBHL7IZ5WTMVOQ1F" localSheetId="12" hidden="1">#REF!</definedName>
    <definedName name="BEx008P2NVFDLBHL7IZ5WTMVOQ1F" localSheetId="10" hidden="1">#REF!</definedName>
    <definedName name="BEx008P2NVFDLBHL7IZ5WTMVOQ1F" localSheetId="6" hidden="1">#REF!</definedName>
    <definedName name="BEx008P2NVFDLBHL7IZ5WTMVOQ1F" hidden="1">#REF!</definedName>
    <definedName name="BEx00KZHZBHP3TDV1YMX4B19B95O" localSheetId="1" hidden="1">#REF!</definedName>
    <definedName name="BEx00KZHZBHP3TDV1YMX4B19B95O" localSheetId="7" hidden="1">#REF!</definedName>
    <definedName name="BEx00KZHZBHP3TDV1YMX4B19B95O" localSheetId="2" hidden="1">#REF!</definedName>
    <definedName name="BEx00KZHZBHP3TDV1YMX4B19B95O" localSheetId="34" hidden="1">#REF!</definedName>
    <definedName name="BEx00KZHZBHP3TDV1YMX4B19B95O" localSheetId="12" hidden="1">#REF!</definedName>
    <definedName name="BEx00KZHZBHP3TDV1YMX4B19B95O" localSheetId="10" hidden="1">#REF!</definedName>
    <definedName name="BEx00KZHZBHP3TDV1YMX4B19B95O" localSheetId="6" hidden="1">#REF!</definedName>
    <definedName name="BEx00KZHZBHP3TDV1YMX4B19B95O" hidden="1">#REF!</definedName>
    <definedName name="BEx02Q08R9G839Q4RFGG9026C7PX" localSheetId="1" hidden="1">#REF!</definedName>
    <definedName name="BEx02Q08R9G839Q4RFGG9026C7PX" localSheetId="7" hidden="1">#REF!</definedName>
    <definedName name="BEx02Q08R9G839Q4RFGG9026C7PX" localSheetId="2" hidden="1">#REF!</definedName>
    <definedName name="BEx02Q08R9G839Q4RFGG9026C7PX" localSheetId="34" hidden="1">#REF!</definedName>
    <definedName name="BEx02Q08R9G839Q4RFGG9026C7PX" localSheetId="12" hidden="1">#REF!</definedName>
    <definedName name="BEx02Q08R9G839Q4RFGG9026C7PX" localSheetId="10" hidden="1">#REF!</definedName>
    <definedName name="BEx02Q08R9G839Q4RFGG9026C7PX" localSheetId="6" hidden="1">#REF!</definedName>
    <definedName name="BEx02Q08R9G839Q4RFGG9026C7PX" hidden="1">#REF!</definedName>
    <definedName name="BEx1J7E8VCGLPYU82QXVUG5N3ZAI" localSheetId="1" hidden="1">#REF!</definedName>
    <definedName name="BEx1J7E8VCGLPYU82QXVUG5N3ZAI" localSheetId="7" hidden="1">#REF!</definedName>
    <definedName name="BEx1J7E8VCGLPYU82QXVUG5N3ZAI" localSheetId="2" hidden="1">#REF!</definedName>
    <definedName name="BEx1J7E8VCGLPYU82QXVUG5N3ZAI" localSheetId="34" hidden="1">#REF!</definedName>
    <definedName name="BEx1J7E8VCGLPYU82QXVUG5N3ZAI" localSheetId="12" hidden="1">#REF!</definedName>
    <definedName name="BEx1J7E8VCGLPYU82QXVUG5N3ZAI" localSheetId="10" hidden="1">#REF!</definedName>
    <definedName name="BEx1J7E8VCGLPYU82QXVUG5N3ZAI" localSheetId="6" hidden="1">#REF!</definedName>
    <definedName name="BEx1J7E8VCGLPYU82QXVUG5N3ZAI" hidden="1">#REF!</definedName>
    <definedName name="BEx1LRUSJW4JG54X07QWD9R27WV9" localSheetId="1" hidden="1">#REF!</definedName>
    <definedName name="BEx1LRUSJW4JG54X07QWD9R27WV9" localSheetId="7" hidden="1">#REF!</definedName>
    <definedName name="BEx1LRUSJW4JG54X07QWD9R27WV9" localSheetId="2" hidden="1">#REF!</definedName>
    <definedName name="BEx1LRUSJW4JG54X07QWD9R27WV9" localSheetId="34" hidden="1">#REF!</definedName>
    <definedName name="BEx1LRUSJW4JG54X07QWD9R27WV9" localSheetId="12" hidden="1">#REF!</definedName>
    <definedName name="BEx1LRUSJW4JG54X07QWD9R27WV9" localSheetId="10" hidden="1">#REF!</definedName>
    <definedName name="BEx1LRUSJW4JG54X07QWD9R27WV9" localSheetId="6" hidden="1">#REF!</definedName>
    <definedName name="BEx1LRUSJW4JG54X07QWD9R27WV9" hidden="1">#REF!</definedName>
    <definedName name="BEx1MTRKKVCHOZ0YGID6HZ49LJTO" localSheetId="1" hidden="1">#REF!</definedName>
    <definedName name="BEx1MTRKKVCHOZ0YGID6HZ49LJTO" localSheetId="7" hidden="1">#REF!</definedName>
    <definedName name="BEx1MTRKKVCHOZ0YGID6HZ49LJTO" localSheetId="2" hidden="1">#REF!</definedName>
    <definedName name="BEx1MTRKKVCHOZ0YGID6HZ49LJTO" localSheetId="34" hidden="1">#REF!</definedName>
    <definedName name="BEx1MTRKKVCHOZ0YGID6HZ49LJTO" localSheetId="12" hidden="1">#REF!</definedName>
    <definedName name="BEx1MTRKKVCHOZ0YGID6HZ49LJTO" localSheetId="10" hidden="1">#REF!</definedName>
    <definedName name="BEx1MTRKKVCHOZ0YGID6HZ49LJTO" localSheetId="6" hidden="1">#REF!</definedName>
    <definedName name="BEx1MTRKKVCHOZ0YGID6HZ49LJTO" hidden="1">#REF!</definedName>
    <definedName name="BEx1SVNCHNANBJIDIQVB8AFK4HAN" localSheetId="1" hidden="1">#REF!</definedName>
    <definedName name="BEx1SVNCHNANBJIDIQVB8AFK4HAN" localSheetId="7" hidden="1">#REF!</definedName>
    <definedName name="BEx1SVNCHNANBJIDIQVB8AFK4HAN" localSheetId="2" hidden="1">#REF!</definedName>
    <definedName name="BEx1SVNCHNANBJIDIQVB8AFK4HAN" localSheetId="34" hidden="1">#REF!</definedName>
    <definedName name="BEx1SVNCHNANBJIDIQVB8AFK4HAN" localSheetId="12" hidden="1">#REF!</definedName>
    <definedName name="BEx1SVNCHNANBJIDIQVB8AFK4HAN" localSheetId="10" hidden="1">#REF!</definedName>
    <definedName name="BEx1SVNCHNANBJIDIQVB8AFK4HAN" localSheetId="6" hidden="1">#REF!</definedName>
    <definedName name="BEx1SVNCHNANBJIDIQVB8AFK4HAN" hidden="1">#REF!</definedName>
    <definedName name="BEx1TJ0WLS9O7KNSGIPWTYHDYI1D" localSheetId="1" hidden="1">#REF!</definedName>
    <definedName name="BEx1TJ0WLS9O7KNSGIPWTYHDYI1D" localSheetId="7" hidden="1">#REF!</definedName>
    <definedName name="BEx1TJ0WLS9O7KNSGIPWTYHDYI1D" localSheetId="2" hidden="1">#REF!</definedName>
    <definedName name="BEx1TJ0WLS9O7KNSGIPWTYHDYI1D" localSheetId="34" hidden="1">#REF!</definedName>
    <definedName name="BEx1TJ0WLS9O7KNSGIPWTYHDYI1D" localSheetId="12" hidden="1">#REF!</definedName>
    <definedName name="BEx1TJ0WLS9O7KNSGIPWTYHDYI1D" localSheetId="10" hidden="1">#REF!</definedName>
    <definedName name="BEx1TJ0WLS9O7KNSGIPWTYHDYI1D" localSheetId="6" hidden="1">#REF!</definedName>
    <definedName name="BEx1TJ0WLS9O7KNSGIPWTYHDYI1D" hidden="1">#REF!</definedName>
    <definedName name="BEx1WHPURIV3D3PTJJ359H1OP7ZV" localSheetId="1" hidden="1">#REF!</definedName>
    <definedName name="BEx1WHPURIV3D3PTJJ359H1OP7ZV" localSheetId="7" hidden="1">#REF!</definedName>
    <definedName name="BEx1WHPURIV3D3PTJJ359H1OP7ZV" localSheetId="2" hidden="1">#REF!</definedName>
    <definedName name="BEx1WHPURIV3D3PTJJ359H1OP7ZV" localSheetId="34" hidden="1">#REF!</definedName>
    <definedName name="BEx1WHPURIV3D3PTJJ359H1OP7ZV" localSheetId="12" hidden="1">#REF!</definedName>
    <definedName name="BEx1WHPURIV3D3PTJJ359H1OP7ZV" localSheetId="10" hidden="1">#REF!</definedName>
    <definedName name="BEx1WHPURIV3D3PTJJ359H1OP7ZV" localSheetId="6" hidden="1">#REF!</definedName>
    <definedName name="BEx1WHPURIV3D3PTJJ359H1OP7ZV" hidden="1">#REF!</definedName>
    <definedName name="BEx1YL3DJ7Y4AZ01ERCOGW0FJ26T" localSheetId="1" hidden="1">#REF!</definedName>
    <definedName name="BEx1YL3DJ7Y4AZ01ERCOGW0FJ26T" localSheetId="7" hidden="1">#REF!</definedName>
    <definedName name="BEx1YL3DJ7Y4AZ01ERCOGW0FJ26T" localSheetId="2" hidden="1">#REF!</definedName>
    <definedName name="BEx1YL3DJ7Y4AZ01ERCOGW0FJ26T" localSheetId="34" hidden="1">#REF!</definedName>
    <definedName name="BEx1YL3DJ7Y4AZ01ERCOGW0FJ26T" localSheetId="12" hidden="1">#REF!</definedName>
    <definedName name="BEx1YL3DJ7Y4AZ01ERCOGW0FJ26T" localSheetId="10" hidden="1">#REF!</definedName>
    <definedName name="BEx1YL3DJ7Y4AZ01ERCOGW0FJ26T" localSheetId="6" hidden="1">#REF!</definedName>
    <definedName name="BEx1YL3DJ7Y4AZ01ERCOGW0FJ26T" hidden="1">#REF!</definedName>
    <definedName name="BEx3AOOVM42G82TNF53W0EKXLUSI" localSheetId="1" hidden="1">#REF!</definedName>
    <definedName name="BEx3AOOVM42G82TNF53W0EKXLUSI" localSheetId="7" hidden="1">#REF!</definedName>
    <definedName name="BEx3AOOVM42G82TNF53W0EKXLUSI" localSheetId="2" hidden="1">#REF!</definedName>
    <definedName name="BEx3AOOVM42G82TNF53W0EKXLUSI" localSheetId="34" hidden="1">#REF!</definedName>
    <definedName name="BEx3AOOVM42G82TNF53W0EKXLUSI" localSheetId="12" hidden="1">#REF!</definedName>
    <definedName name="BEx3AOOVM42G82TNF53W0EKXLUSI" localSheetId="10" hidden="1">#REF!</definedName>
    <definedName name="BEx3AOOVM42G82TNF53W0EKXLUSI" localSheetId="6" hidden="1">#REF!</definedName>
    <definedName name="BEx3AOOVM42G82TNF53W0EKXLUSI" hidden="1">#REF!</definedName>
    <definedName name="BEx3BQR5VZXNQ4H949ORM8ESU3B3" localSheetId="1" hidden="1">#REF!</definedName>
    <definedName name="BEx3BQR5VZXNQ4H949ORM8ESU3B3" localSheetId="7" hidden="1">#REF!</definedName>
    <definedName name="BEx3BQR5VZXNQ4H949ORM8ESU3B3" localSheetId="2" hidden="1">#REF!</definedName>
    <definedName name="BEx3BQR5VZXNQ4H949ORM8ESU3B3" localSheetId="34" hidden="1">#REF!</definedName>
    <definedName name="BEx3BQR5VZXNQ4H949ORM8ESU3B3" localSheetId="12" hidden="1">#REF!</definedName>
    <definedName name="BEx3BQR5VZXNQ4H949ORM8ESU3B3" localSheetId="10" hidden="1">#REF!</definedName>
    <definedName name="BEx3BQR5VZXNQ4H949ORM8ESU3B3" localSheetId="6" hidden="1">#REF!</definedName>
    <definedName name="BEx3BQR5VZXNQ4H949ORM8ESU3B3" hidden="1">#REF!</definedName>
    <definedName name="BEx3EHCSERZ2O2OAG8Y95UPG2IY9" localSheetId="1" hidden="1">#REF!</definedName>
    <definedName name="BEx3EHCSERZ2O2OAG8Y95UPG2IY9" localSheetId="7" hidden="1">#REF!</definedName>
    <definedName name="BEx3EHCSERZ2O2OAG8Y95UPG2IY9" localSheetId="2" hidden="1">#REF!</definedName>
    <definedName name="BEx3EHCSERZ2O2OAG8Y95UPG2IY9" localSheetId="34" hidden="1">#REF!</definedName>
    <definedName name="BEx3EHCSERZ2O2OAG8Y95UPG2IY9" localSheetId="12" hidden="1">#REF!</definedName>
    <definedName name="BEx3EHCSERZ2O2OAG8Y95UPG2IY9" localSheetId="10" hidden="1">#REF!</definedName>
    <definedName name="BEx3EHCSERZ2O2OAG8Y95UPG2IY9" localSheetId="6" hidden="1">#REF!</definedName>
    <definedName name="BEx3EHCSERZ2O2OAG8Y95UPG2IY9" hidden="1">#REF!</definedName>
    <definedName name="BEx3FX7EJL47JSLSWP3EOC265WAE" localSheetId="1" hidden="1">#REF!</definedName>
    <definedName name="BEx3FX7EJL47JSLSWP3EOC265WAE" localSheetId="7" hidden="1">#REF!</definedName>
    <definedName name="BEx3FX7EJL47JSLSWP3EOC265WAE" localSheetId="2" hidden="1">#REF!</definedName>
    <definedName name="BEx3FX7EJL47JSLSWP3EOC265WAE" localSheetId="34" hidden="1">#REF!</definedName>
    <definedName name="BEx3FX7EJL47JSLSWP3EOC265WAE" localSheetId="12" hidden="1">#REF!</definedName>
    <definedName name="BEx3FX7EJL47JSLSWP3EOC265WAE" localSheetId="10" hidden="1">#REF!</definedName>
    <definedName name="BEx3FX7EJL47JSLSWP3EOC265WAE" localSheetId="6" hidden="1">#REF!</definedName>
    <definedName name="BEx3FX7EJL47JSLSWP3EOC265WAE" hidden="1">#REF!</definedName>
    <definedName name="BEx3GEVV18SEQDI1JGY7EN6D1GT1" localSheetId="1" hidden="1">#REF!</definedName>
    <definedName name="BEx3GEVV18SEQDI1JGY7EN6D1GT1" localSheetId="7" hidden="1">#REF!</definedName>
    <definedName name="BEx3GEVV18SEQDI1JGY7EN6D1GT1" localSheetId="2" hidden="1">#REF!</definedName>
    <definedName name="BEx3GEVV18SEQDI1JGY7EN6D1GT1" localSheetId="34" hidden="1">#REF!</definedName>
    <definedName name="BEx3GEVV18SEQDI1JGY7EN6D1GT1" localSheetId="12" hidden="1">#REF!</definedName>
    <definedName name="BEx3GEVV18SEQDI1JGY7EN6D1GT1" localSheetId="10" hidden="1">#REF!</definedName>
    <definedName name="BEx3GEVV18SEQDI1JGY7EN6D1GT1" localSheetId="6" hidden="1">#REF!</definedName>
    <definedName name="BEx3GEVV18SEQDI1JGY7EN6D1GT1" hidden="1">#REF!</definedName>
    <definedName name="BEx3GMJ1Y6UU02DLRL0QXCEKDA6C" localSheetId="1" hidden="1">#REF!</definedName>
    <definedName name="BEx3GMJ1Y6UU02DLRL0QXCEKDA6C" localSheetId="7" hidden="1">#REF!</definedName>
    <definedName name="BEx3GMJ1Y6UU02DLRL0QXCEKDA6C" localSheetId="2" hidden="1">#REF!</definedName>
    <definedName name="BEx3GMJ1Y6UU02DLRL0QXCEKDA6C" localSheetId="34" hidden="1">#REF!</definedName>
    <definedName name="BEx3GMJ1Y6UU02DLRL0QXCEKDA6C" localSheetId="12" hidden="1">#REF!</definedName>
    <definedName name="BEx3GMJ1Y6UU02DLRL0QXCEKDA6C" localSheetId="10" hidden="1">#REF!</definedName>
    <definedName name="BEx3GMJ1Y6UU02DLRL0QXCEKDA6C" localSheetId="6" hidden="1">#REF!</definedName>
    <definedName name="BEx3GMJ1Y6UU02DLRL0QXCEKDA6C" hidden="1">#REF!</definedName>
    <definedName name="BEx3H5UX2GZFZZT657YR76RHW5I6" localSheetId="1" hidden="1">#REF!</definedName>
    <definedName name="BEx3H5UX2GZFZZT657YR76RHW5I6" localSheetId="7" hidden="1">#REF!</definedName>
    <definedName name="BEx3H5UX2GZFZZT657YR76RHW5I6" localSheetId="2" hidden="1">#REF!</definedName>
    <definedName name="BEx3H5UX2GZFZZT657YR76RHW5I6" localSheetId="34" hidden="1">#REF!</definedName>
    <definedName name="BEx3H5UX2GZFZZT657YR76RHW5I6" localSheetId="12" hidden="1">#REF!</definedName>
    <definedName name="BEx3H5UX2GZFZZT657YR76RHW5I6" localSheetId="10" hidden="1">#REF!</definedName>
    <definedName name="BEx3H5UX2GZFZZT657YR76RHW5I6" localSheetId="6" hidden="1">#REF!</definedName>
    <definedName name="BEx3H5UX2GZFZZT657YR76RHW5I6" hidden="1">#REF!</definedName>
    <definedName name="BEx3IYAH2DEBFWO8F94H4MXE3RLY" localSheetId="1" hidden="1">#REF!</definedName>
    <definedName name="BEx3IYAH2DEBFWO8F94H4MXE3RLY" localSheetId="7" hidden="1">#REF!</definedName>
    <definedName name="BEx3IYAH2DEBFWO8F94H4MXE3RLY" localSheetId="2" hidden="1">#REF!</definedName>
    <definedName name="BEx3IYAH2DEBFWO8F94H4MXE3RLY" localSheetId="34" hidden="1">#REF!</definedName>
    <definedName name="BEx3IYAH2DEBFWO8F94H4MXE3RLY" localSheetId="12" hidden="1">#REF!</definedName>
    <definedName name="BEx3IYAH2DEBFWO8F94H4MXE3RLY" localSheetId="10" hidden="1">#REF!</definedName>
    <definedName name="BEx3IYAH2DEBFWO8F94H4MXE3RLY" localSheetId="6" hidden="1">#REF!</definedName>
    <definedName name="BEx3IYAH2DEBFWO8F94H4MXE3RLY" hidden="1">#REF!</definedName>
    <definedName name="BEx3IZXXSYEW50379N2EAFWO8DZV" localSheetId="1" hidden="1">#REF!</definedName>
    <definedName name="BEx3IZXXSYEW50379N2EAFWO8DZV" localSheetId="7" hidden="1">#REF!</definedName>
    <definedName name="BEx3IZXXSYEW50379N2EAFWO8DZV" localSheetId="2" hidden="1">#REF!</definedName>
    <definedName name="BEx3IZXXSYEW50379N2EAFWO8DZV" localSheetId="34" hidden="1">#REF!</definedName>
    <definedName name="BEx3IZXXSYEW50379N2EAFWO8DZV" localSheetId="12" hidden="1">#REF!</definedName>
    <definedName name="BEx3IZXXSYEW50379N2EAFWO8DZV" localSheetId="10" hidden="1">#REF!</definedName>
    <definedName name="BEx3IZXXSYEW50379N2EAFWO8DZV" localSheetId="6" hidden="1">#REF!</definedName>
    <definedName name="BEx3IZXXSYEW50379N2EAFWO8DZV" hidden="1">#REF!</definedName>
    <definedName name="BEx3K4EII7GU1CG0BN7UL15M6J8Z" localSheetId="1" hidden="1">#REF!</definedName>
    <definedName name="BEx3K4EII7GU1CG0BN7UL15M6J8Z" localSheetId="7" hidden="1">#REF!</definedName>
    <definedName name="BEx3K4EII7GU1CG0BN7UL15M6J8Z" localSheetId="2" hidden="1">#REF!</definedName>
    <definedName name="BEx3K4EII7GU1CG0BN7UL15M6J8Z" localSheetId="34" hidden="1">#REF!</definedName>
    <definedName name="BEx3K4EII7GU1CG0BN7UL15M6J8Z" localSheetId="12" hidden="1">#REF!</definedName>
    <definedName name="BEx3K4EII7GU1CG0BN7UL15M6J8Z" localSheetId="10" hidden="1">#REF!</definedName>
    <definedName name="BEx3K4EII7GU1CG0BN7UL15M6J8Z" localSheetId="6" hidden="1">#REF!</definedName>
    <definedName name="BEx3K4EII7GU1CG0BN7UL15M6J8Z" hidden="1">#REF!</definedName>
    <definedName name="BEx3KIXQYOGMPK4WJJAVBRX4NR28" localSheetId="1" hidden="1">#REF!</definedName>
    <definedName name="BEx3KIXQYOGMPK4WJJAVBRX4NR28" localSheetId="7" hidden="1">#REF!</definedName>
    <definedName name="BEx3KIXQYOGMPK4WJJAVBRX4NR28" localSheetId="2" hidden="1">#REF!</definedName>
    <definedName name="BEx3KIXQYOGMPK4WJJAVBRX4NR28" localSheetId="34" hidden="1">#REF!</definedName>
    <definedName name="BEx3KIXQYOGMPK4WJJAVBRX4NR28" localSheetId="12" hidden="1">#REF!</definedName>
    <definedName name="BEx3KIXQYOGMPK4WJJAVBRX4NR28" localSheetId="10" hidden="1">#REF!</definedName>
    <definedName name="BEx3KIXQYOGMPK4WJJAVBRX4NR28" localSheetId="6" hidden="1">#REF!</definedName>
    <definedName name="BEx3KIXQYOGMPK4WJJAVBRX4NR28" hidden="1">#REF!</definedName>
    <definedName name="BEx3L4YQ0J7ZU0M5QM6YIPCEYC9K" localSheetId="1" hidden="1">#REF!</definedName>
    <definedName name="BEx3L4YQ0J7ZU0M5QM6YIPCEYC9K" localSheetId="7" hidden="1">#REF!</definedName>
    <definedName name="BEx3L4YQ0J7ZU0M5QM6YIPCEYC9K" localSheetId="2" hidden="1">#REF!</definedName>
    <definedName name="BEx3L4YQ0J7ZU0M5QM6YIPCEYC9K" localSheetId="34" hidden="1">#REF!</definedName>
    <definedName name="BEx3L4YQ0J7ZU0M5QM6YIPCEYC9K" localSheetId="12" hidden="1">#REF!</definedName>
    <definedName name="BEx3L4YQ0J7ZU0M5QM6YIPCEYC9K" localSheetId="10" hidden="1">#REF!</definedName>
    <definedName name="BEx3L4YQ0J7ZU0M5QM6YIPCEYC9K" localSheetId="6" hidden="1">#REF!</definedName>
    <definedName name="BEx3L4YQ0J7ZU0M5QM6YIPCEYC9K" hidden="1">#REF!</definedName>
    <definedName name="BEx3O85IKWARA6NCJOLRBRJFMEWW" localSheetId="1" hidden="1">#REF!</definedName>
    <definedName name="BEx3O85IKWARA6NCJOLRBRJFMEWW" localSheetId="7" hidden="1">#REF!</definedName>
    <definedName name="BEx3O85IKWARA6NCJOLRBRJFMEWW" localSheetId="2" hidden="1">#REF!</definedName>
    <definedName name="BEx3O85IKWARA6NCJOLRBRJFMEWW" localSheetId="34" hidden="1">#REF!</definedName>
    <definedName name="BEx3O85IKWARA6NCJOLRBRJFMEWW" localSheetId="12" hidden="1">#REF!</definedName>
    <definedName name="BEx3O85IKWARA6NCJOLRBRJFMEWW" localSheetId="10" hidden="1">#REF!</definedName>
    <definedName name="BEx3O85IKWARA6NCJOLRBRJFMEWW" localSheetId="6" hidden="1">#REF!</definedName>
    <definedName name="BEx3O85IKWARA6NCJOLRBRJFMEWW" hidden="1">#REF!</definedName>
    <definedName name="BEx3RHC2ZD5UFS6QD4OPFCNNMWH1" localSheetId="1" hidden="1">#REF!</definedName>
    <definedName name="BEx3RHC2ZD5UFS6QD4OPFCNNMWH1" localSheetId="7" hidden="1">#REF!</definedName>
    <definedName name="BEx3RHC2ZD5UFS6QD4OPFCNNMWH1" localSheetId="2" hidden="1">#REF!</definedName>
    <definedName name="BEx3RHC2ZD5UFS6QD4OPFCNNMWH1" localSheetId="34" hidden="1">#REF!</definedName>
    <definedName name="BEx3RHC2ZD5UFS6QD4OPFCNNMWH1" localSheetId="12" hidden="1">#REF!</definedName>
    <definedName name="BEx3RHC2ZD5UFS6QD4OPFCNNMWH1" localSheetId="10" hidden="1">#REF!</definedName>
    <definedName name="BEx3RHC2ZD5UFS6QD4OPFCNNMWH1" localSheetId="6" hidden="1">#REF!</definedName>
    <definedName name="BEx3RHC2ZD5UFS6QD4OPFCNNMWH1" hidden="1">#REF!</definedName>
    <definedName name="BEx58XHO7ZULLF2EUD7YIS0MGQJ5" localSheetId="1" hidden="1">#REF!</definedName>
    <definedName name="BEx58XHO7ZULLF2EUD7YIS0MGQJ5" localSheetId="7" hidden="1">#REF!</definedName>
    <definedName name="BEx58XHO7ZULLF2EUD7YIS0MGQJ5" localSheetId="2" hidden="1">#REF!</definedName>
    <definedName name="BEx58XHO7ZULLF2EUD7YIS0MGQJ5" localSheetId="34" hidden="1">#REF!</definedName>
    <definedName name="BEx58XHO7ZULLF2EUD7YIS0MGQJ5" localSheetId="12" hidden="1">#REF!</definedName>
    <definedName name="BEx58XHO7ZULLF2EUD7YIS0MGQJ5" localSheetId="10" hidden="1">#REF!</definedName>
    <definedName name="BEx58XHO7ZULLF2EUD7YIS0MGQJ5" localSheetId="6" hidden="1">#REF!</definedName>
    <definedName name="BEx58XHO7ZULLF2EUD7YIS0MGQJ5" hidden="1">#REF!</definedName>
    <definedName name="BEx5BHSQ42B50IU1TEQFUXFX9XQD" localSheetId="1" hidden="1">#REF!</definedName>
    <definedName name="BEx5BHSQ42B50IU1TEQFUXFX9XQD" localSheetId="7" hidden="1">#REF!</definedName>
    <definedName name="BEx5BHSQ42B50IU1TEQFUXFX9XQD" localSheetId="2" hidden="1">#REF!</definedName>
    <definedName name="BEx5BHSQ42B50IU1TEQFUXFX9XQD" localSheetId="34" hidden="1">#REF!</definedName>
    <definedName name="BEx5BHSQ42B50IU1TEQFUXFX9XQD" localSheetId="12" hidden="1">#REF!</definedName>
    <definedName name="BEx5BHSQ42B50IU1TEQFUXFX9XQD" localSheetId="10" hidden="1">#REF!</definedName>
    <definedName name="BEx5BHSQ42B50IU1TEQFUXFX9XQD" localSheetId="6" hidden="1">#REF!</definedName>
    <definedName name="BEx5BHSQ42B50IU1TEQFUXFX9XQD" hidden="1">#REF!</definedName>
    <definedName name="BEx5CFYQ0F1Z6P8SCVJ0I3UPVFE4" localSheetId="1" hidden="1">#REF!</definedName>
    <definedName name="BEx5CFYQ0F1Z6P8SCVJ0I3UPVFE4" localSheetId="7" hidden="1">#REF!</definedName>
    <definedName name="BEx5CFYQ0F1Z6P8SCVJ0I3UPVFE4" localSheetId="2" hidden="1">#REF!</definedName>
    <definedName name="BEx5CFYQ0F1Z6P8SCVJ0I3UPVFE4" localSheetId="34" hidden="1">#REF!</definedName>
    <definedName name="BEx5CFYQ0F1Z6P8SCVJ0I3UPVFE4" localSheetId="12" hidden="1">#REF!</definedName>
    <definedName name="BEx5CFYQ0F1Z6P8SCVJ0I3UPVFE4" localSheetId="10" hidden="1">#REF!</definedName>
    <definedName name="BEx5CFYQ0F1Z6P8SCVJ0I3UPVFE4" localSheetId="6" hidden="1">#REF!</definedName>
    <definedName name="BEx5CFYQ0F1Z6P8SCVJ0I3UPVFE4" hidden="1">#REF!</definedName>
    <definedName name="BEx5FO8YRFSZCG3L608EHIHIHFY4" localSheetId="1" hidden="1">#REF!</definedName>
    <definedName name="BEx5FO8YRFSZCG3L608EHIHIHFY4" localSheetId="7" hidden="1">#REF!</definedName>
    <definedName name="BEx5FO8YRFSZCG3L608EHIHIHFY4" localSheetId="2" hidden="1">#REF!</definedName>
    <definedName name="BEx5FO8YRFSZCG3L608EHIHIHFY4" localSheetId="34" hidden="1">#REF!</definedName>
    <definedName name="BEx5FO8YRFSZCG3L608EHIHIHFY4" localSheetId="12" hidden="1">#REF!</definedName>
    <definedName name="BEx5FO8YRFSZCG3L608EHIHIHFY4" localSheetId="10" hidden="1">#REF!</definedName>
    <definedName name="BEx5FO8YRFSZCG3L608EHIHIHFY4" localSheetId="6" hidden="1">#REF!</definedName>
    <definedName name="BEx5FO8YRFSZCG3L608EHIHIHFY4" hidden="1">#REF!</definedName>
    <definedName name="BEx5G1A8TFN4C4QII35U9DKYNIS8" localSheetId="1" hidden="1">#REF!</definedName>
    <definedName name="BEx5G1A8TFN4C4QII35U9DKYNIS8" localSheetId="7" hidden="1">#REF!</definedName>
    <definedName name="BEx5G1A8TFN4C4QII35U9DKYNIS8" localSheetId="2" hidden="1">#REF!</definedName>
    <definedName name="BEx5G1A8TFN4C4QII35U9DKYNIS8" localSheetId="34" hidden="1">#REF!</definedName>
    <definedName name="BEx5G1A8TFN4C4QII35U9DKYNIS8" localSheetId="12" hidden="1">#REF!</definedName>
    <definedName name="BEx5G1A8TFN4C4QII35U9DKYNIS8" localSheetId="10" hidden="1">#REF!</definedName>
    <definedName name="BEx5G1A8TFN4C4QII35U9DKYNIS8" localSheetId="6" hidden="1">#REF!</definedName>
    <definedName name="BEx5G1A8TFN4C4QII35U9DKYNIS8" hidden="1">#REF!</definedName>
    <definedName name="BEx5I244LQHZTF3XI66J8705R9XX" localSheetId="1" hidden="1">#REF!</definedName>
    <definedName name="BEx5I244LQHZTF3XI66J8705R9XX" localSheetId="7" hidden="1">#REF!</definedName>
    <definedName name="BEx5I244LQHZTF3XI66J8705R9XX" localSheetId="2" hidden="1">#REF!</definedName>
    <definedName name="BEx5I244LQHZTF3XI66J8705R9XX" localSheetId="34" hidden="1">#REF!</definedName>
    <definedName name="BEx5I244LQHZTF3XI66J8705R9XX" localSheetId="12" hidden="1">#REF!</definedName>
    <definedName name="BEx5I244LQHZTF3XI66J8705R9XX" localSheetId="10" hidden="1">#REF!</definedName>
    <definedName name="BEx5I244LQHZTF3XI66J8705R9XX" localSheetId="6" hidden="1">#REF!</definedName>
    <definedName name="BEx5I244LQHZTF3XI66J8705R9XX" hidden="1">#REF!</definedName>
    <definedName name="BEx5I8PBP4LIXDGID5BP0THLO0AQ" localSheetId="1" hidden="1">#REF!</definedName>
    <definedName name="BEx5I8PBP4LIXDGID5BP0THLO0AQ" localSheetId="7" hidden="1">#REF!</definedName>
    <definedName name="BEx5I8PBP4LIXDGID5BP0THLO0AQ" localSheetId="2" hidden="1">#REF!</definedName>
    <definedName name="BEx5I8PBP4LIXDGID5BP0THLO0AQ" localSheetId="34" hidden="1">#REF!</definedName>
    <definedName name="BEx5I8PBP4LIXDGID5BP0THLO0AQ" localSheetId="12" hidden="1">#REF!</definedName>
    <definedName name="BEx5I8PBP4LIXDGID5BP0THLO0AQ" localSheetId="10" hidden="1">#REF!</definedName>
    <definedName name="BEx5I8PBP4LIXDGID5BP0THLO0AQ" localSheetId="6" hidden="1">#REF!</definedName>
    <definedName name="BEx5I8PBP4LIXDGID5BP0THLO0AQ" hidden="1">#REF!</definedName>
    <definedName name="BEx5JHCZJ8G6OOOW6EF3GABXKH6F" localSheetId="1" hidden="1">#REF!</definedName>
    <definedName name="BEx5JHCZJ8G6OOOW6EF3GABXKH6F" localSheetId="7" hidden="1">#REF!</definedName>
    <definedName name="BEx5JHCZJ8G6OOOW6EF3GABXKH6F" localSheetId="2" hidden="1">#REF!</definedName>
    <definedName name="BEx5JHCZJ8G6OOOW6EF3GABXKH6F" localSheetId="34" hidden="1">#REF!</definedName>
    <definedName name="BEx5JHCZJ8G6OOOW6EF3GABXKH6F" localSheetId="12" hidden="1">#REF!</definedName>
    <definedName name="BEx5JHCZJ8G6OOOW6EF3GABXKH6F" localSheetId="10" hidden="1">#REF!</definedName>
    <definedName name="BEx5JHCZJ8G6OOOW6EF3GABXKH6F" localSheetId="6" hidden="1">#REF!</definedName>
    <definedName name="BEx5JHCZJ8G6OOOW6EF3GABXKH6F" hidden="1">#REF!</definedName>
    <definedName name="BEx5JNCT8Z7XSSPD5EMNAJELCU2V" localSheetId="1" hidden="1">#REF!</definedName>
    <definedName name="BEx5JNCT8Z7XSSPD5EMNAJELCU2V" localSheetId="7" hidden="1">#REF!</definedName>
    <definedName name="BEx5JNCT8Z7XSSPD5EMNAJELCU2V" localSheetId="2" hidden="1">#REF!</definedName>
    <definedName name="BEx5JNCT8Z7XSSPD5EMNAJELCU2V" localSheetId="34" hidden="1">#REF!</definedName>
    <definedName name="BEx5JNCT8Z7XSSPD5EMNAJELCU2V" localSheetId="12" hidden="1">#REF!</definedName>
    <definedName name="BEx5JNCT8Z7XSSPD5EMNAJELCU2V" localSheetId="10" hidden="1">#REF!</definedName>
    <definedName name="BEx5JNCT8Z7XSSPD5EMNAJELCU2V" localSheetId="6" hidden="1">#REF!</definedName>
    <definedName name="BEx5JNCT8Z7XSSPD5EMNAJELCU2V" hidden="1">#REF!</definedName>
    <definedName name="BEx5LSJ1LPUAX3ENSPECWPG4J7D1" localSheetId="1" hidden="1">#REF!</definedName>
    <definedName name="BEx5LSJ1LPUAX3ENSPECWPG4J7D1" localSheetId="7" hidden="1">#REF!</definedName>
    <definedName name="BEx5LSJ1LPUAX3ENSPECWPG4J7D1" localSheetId="2" hidden="1">#REF!</definedName>
    <definedName name="BEx5LSJ1LPUAX3ENSPECWPG4J7D1" localSheetId="34" hidden="1">#REF!</definedName>
    <definedName name="BEx5LSJ1LPUAX3ENSPECWPG4J7D1" localSheetId="12" hidden="1">#REF!</definedName>
    <definedName name="BEx5LSJ1LPUAX3ENSPECWPG4J7D1" localSheetId="10" hidden="1">#REF!</definedName>
    <definedName name="BEx5LSJ1LPUAX3ENSPECWPG4J7D1" localSheetId="6" hidden="1">#REF!</definedName>
    <definedName name="BEx5LSJ1LPUAX3ENSPECWPG4J7D1" hidden="1">#REF!</definedName>
    <definedName name="BEx5LTKQ8RQWJE4BC88OP928893U" localSheetId="1" hidden="1">#REF!</definedName>
    <definedName name="BEx5LTKQ8RQWJE4BC88OP928893U" localSheetId="7" hidden="1">#REF!</definedName>
    <definedName name="BEx5LTKQ8RQWJE4BC88OP928893U" localSheetId="2" hidden="1">#REF!</definedName>
    <definedName name="BEx5LTKQ8RQWJE4BC88OP928893U" localSheetId="34" hidden="1">#REF!</definedName>
    <definedName name="BEx5LTKQ8RQWJE4BC88OP928893U" localSheetId="12" hidden="1">#REF!</definedName>
    <definedName name="BEx5LTKQ8RQWJE4BC88OP928893U" localSheetId="10" hidden="1">#REF!</definedName>
    <definedName name="BEx5LTKQ8RQWJE4BC88OP928893U" localSheetId="6" hidden="1">#REF!</definedName>
    <definedName name="BEx5LTKQ8RQWJE4BC88OP928893U" hidden="1">#REF!</definedName>
    <definedName name="BEx5MLQZM68YQSKARVWTTPINFQ2C" localSheetId="1" hidden="1">#REF!</definedName>
    <definedName name="BEx5MLQZM68YQSKARVWTTPINFQ2C" localSheetId="7" hidden="1">#REF!</definedName>
    <definedName name="BEx5MLQZM68YQSKARVWTTPINFQ2C" localSheetId="2" hidden="1">#REF!</definedName>
    <definedName name="BEx5MLQZM68YQSKARVWTTPINFQ2C" localSheetId="34" hidden="1">#REF!</definedName>
    <definedName name="BEx5MLQZM68YQSKARVWTTPINFQ2C" localSheetId="12" hidden="1">#REF!</definedName>
    <definedName name="BEx5MLQZM68YQSKARVWTTPINFQ2C" localSheetId="10" hidden="1">#REF!</definedName>
    <definedName name="BEx5MLQZM68YQSKARVWTTPINFQ2C" localSheetId="6" hidden="1">#REF!</definedName>
    <definedName name="BEx5MLQZM68YQSKARVWTTPINFQ2C" hidden="1">#REF!</definedName>
    <definedName name="BEx5NV06L5J5IMKGOMGKGJ4PBZCD" localSheetId="1" hidden="1">#REF!</definedName>
    <definedName name="BEx5NV06L5J5IMKGOMGKGJ4PBZCD" localSheetId="7" hidden="1">#REF!</definedName>
    <definedName name="BEx5NV06L5J5IMKGOMGKGJ4PBZCD" localSheetId="2" hidden="1">#REF!</definedName>
    <definedName name="BEx5NV06L5J5IMKGOMGKGJ4PBZCD" localSheetId="34" hidden="1">#REF!</definedName>
    <definedName name="BEx5NV06L5J5IMKGOMGKGJ4PBZCD" localSheetId="12" hidden="1">#REF!</definedName>
    <definedName name="BEx5NV06L5J5IMKGOMGKGJ4PBZCD" localSheetId="10" hidden="1">#REF!</definedName>
    <definedName name="BEx5NV06L5J5IMKGOMGKGJ4PBZCD" localSheetId="6" hidden="1">#REF!</definedName>
    <definedName name="BEx5NV06L5J5IMKGOMGKGJ4PBZCD" hidden="1">#REF!</definedName>
    <definedName name="BEx74W6BJ8ENO3J25WNM5H5APKA3" localSheetId="1" hidden="1">#REF!</definedName>
    <definedName name="BEx74W6BJ8ENO3J25WNM5H5APKA3" localSheetId="7" hidden="1">#REF!</definedName>
    <definedName name="BEx74W6BJ8ENO3J25WNM5H5APKA3" localSheetId="2" hidden="1">#REF!</definedName>
    <definedName name="BEx74W6BJ8ENO3J25WNM5H5APKA3" localSheetId="34" hidden="1">#REF!</definedName>
    <definedName name="BEx74W6BJ8ENO3J25WNM5H5APKA3" localSheetId="12" hidden="1">#REF!</definedName>
    <definedName name="BEx74W6BJ8ENO3J25WNM5H5APKA3" localSheetId="10" hidden="1">#REF!</definedName>
    <definedName name="BEx74W6BJ8ENO3J25WNM5H5APKA3" localSheetId="6" hidden="1">#REF!</definedName>
    <definedName name="BEx74W6BJ8ENO3J25WNM5H5APKA3" hidden="1">#REF!</definedName>
    <definedName name="BEx79YJJLBELICW9F9FRYSCQ101L" localSheetId="1" hidden="1">#REF!</definedName>
    <definedName name="BEx79YJJLBELICW9F9FRYSCQ101L" localSheetId="7" hidden="1">#REF!</definedName>
    <definedName name="BEx79YJJLBELICW9F9FRYSCQ101L" localSheetId="2" hidden="1">#REF!</definedName>
    <definedName name="BEx79YJJLBELICW9F9FRYSCQ101L" localSheetId="34" hidden="1">#REF!</definedName>
    <definedName name="BEx79YJJLBELICW9F9FRYSCQ101L" localSheetId="12" hidden="1">#REF!</definedName>
    <definedName name="BEx79YJJLBELICW9F9FRYSCQ101L" localSheetId="10" hidden="1">#REF!</definedName>
    <definedName name="BEx79YJJLBELICW9F9FRYSCQ101L" localSheetId="6" hidden="1">#REF!</definedName>
    <definedName name="BEx79YJJLBELICW9F9FRYSCQ101L" hidden="1">#REF!</definedName>
    <definedName name="BEx7A06T3RC2891FUX05G3QPRAUE" localSheetId="1" hidden="1">#REF!</definedName>
    <definedName name="BEx7A06T3RC2891FUX05G3QPRAUE" localSheetId="7" hidden="1">#REF!</definedName>
    <definedName name="BEx7A06T3RC2891FUX05G3QPRAUE" localSheetId="2" hidden="1">#REF!</definedName>
    <definedName name="BEx7A06T3RC2891FUX05G3QPRAUE" localSheetId="34" hidden="1">#REF!</definedName>
    <definedName name="BEx7A06T3RC2891FUX05G3QPRAUE" localSheetId="12" hidden="1">#REF!</definedName>
    <definedName name="BEx7A06T3RC2891FUX05G3QPRAUE" localSheetId="10" hidden="1">#REF!</definedName>
    <definedName name="BEx7A06T3RC2891FUX05G3QPRAUE" localSheetId="6" hidden="1">#REF!</definedName>
    <definedName name="BEx7A06T3RC2891FUX05G3QPRAUE" hidden="1">#REF!</definedName>
    <definedName name="BEx7ASD1I654MEDCO6GGWA95PXSC" localSheetId="1" hidden="1">#REF!</definedName>
    <definedName name="BEx7ASD1I654MEDCO6GGWA95PXSC" localSheetId="7" hidden="1">#REF!</definedName>
    <definedName name="BEx7ASD1I654MEDCO6GGWA95PXSC" localSheetId="2" hidden="1">#REF!</definedName>
    <definedName name="BEx7ASD1I654MEDCO6GGWA95PXSC" localSheetId="34" hidden="1">#REF!</definedName>
    <definedName name="BEx7ASD1I654MEDCO6GGWA95PXSC" localSheetId="12" hidden="1">#REF!</definedName>
    <definedName name="BEx7ASD1I654MEDCO6GGWA95PXSC" localSheetId="10" hidden="1">#REF!</definedName>
    <definedName name="BEx7ASD1I654MEDCO6GGWA95PXSC" localSheetId="6" hidden="1">#REF!</definedName>
    <definedName name="BEx7ASD1I654MEDCO6GGWA95PXSC" hidden="1">#REF!</definedName>
    <definedName name="BEx7AVCX9S5RJP3NSZ4QM4E6ERDT" localSheetId="1" hidden="1">#REF!</definedName>
    <definedName name="BEx7AVCX9S5RJP3NSZ4QM4E6ERDT" localSheetId="7" hidden="1">#REF!</definedName>
    <definedName name="BEx7AVCX9S5RJP3NSZ4QM4E6ERDT" localSheetId="2" hidden="1">#REF!</definedName>
    <definedName name="BEx7AVCX9S5RJP3NSZ4QM4E6ERDT" localSheetId="34" hidden="1">#REF!</definedName>
    <definedName name="BEx7AVCX9S5RJP3NSZ4QM4E6ERDT" localSheetId="12" hidden="1">#REF!</definedName>
    <definedName name="BEx7AVCX9S5RJP3NSZ4QM4E6ERDT" localSheetId="10" hidden="1">#REF!</definedName>
    <definedName name="BEx7AVCX9S5RJP3NSZ4QM4E6ERDT" localSheetId="6" hidden="1">#REF!</definedName>
    <definedName name="BEx7AVCX9S5RJP3NSZ4QM4E6ERDT" hidden="1">#REF!</definedName>
    <definedName name="BEx7CO8T2XKC7GHDSYNAWTZ9L7YR" localSheetId="1" hidden="1">#REF!</definedName>
    <definedName name="BEx7CO8T2XKC7GHDSYNAWTZ9L7YR" localSheetId="7" hidden="1">#REF!</definedName>
    <definedName name="BEx7CO8T2XKC7GHDSYNAWTZ9L7YR" localSheetId="2" hidden="1">#REF!</definedName>
    <definedName name="BEx7CO8T2XKC7GHDSYNAWTZ9L7YR" localSheetId="34" hidden="1">#REF!</definedName>
    <definedName name="BEx7CO8T2XKC7GHDSYNAWTZ9L7YR" localSheetId="12" hidden="1">#REF!</definedName>
    <definedName name="BEx7CO8T2XKC7GHDSYNAWTZ9L7YR" localSheetId="10" hidden="1">#REF!</definedName>
    <definedName name="BEx7CO8T2XKC7GHDSYNAWTZ9L7YR" localSheetId="6" hidden="1">#REF!</definedName>
    <definedName name="BEx7CO8T2XKC7GHDSYNAWTZ9L7YR" hidden="1">#REF!</definedName>
    <definedName name="BEx7E2QT2U8THYOKBPXONB1B47WH" localSheetId="1" hidden="1">#REF!</definedName>
    <definedName name="BEx7E2QT2U8THYOKBPXONB1B47WH" localSheetId="7" hidden="1">#REF!</definedName>
    <definedName name="BEx7E2QT2U8THYOKBPXONB1B47WH" localSheetId="2" hidden="1">#REF!</definedName>
    <definedName name="BEx7E2QT2U8THYOKBPXONB1B47WH" localSheetId="34" hidden="1">#REF!</definedName>
    <definedName name="BEx7E2QT2U8THYOKBPXONB1B47WH" localSheetId="12" hidden="1">#REF!</definedName>
    <definedName name="BEx7E2QT2U8THYOKBPXONB1B47WH" localSheetId="10" hidden="1">#REF!</definedName>
    <definedName name="BEx7E2QT2U8THYOKBPXONB1B47WH" localSheetId="6" hidden="1">#REF!</definedName>
    <definedName name="BEx7E2QT2U8THYOKBPXONB1B47WH" hidden="1">#REF!</definedName>
    <definedName name="BEx7EI6DL1Z6UWLFBXAKVGZTKHWJ" localSheetId="1" hidden="1">#REF!</definedName>
    <definedName name="BEx7EI6DL1Z6UWLFBXAKVGZTKHWJ" localSheetId="7" hidden="1">#REF!</definedName>
    <definedName name="BEx7EI6DL1Z6UWLFBXAKVGZTKHWJ" localSheetId="2" hidden="1">#REF!</definedName>
    <definedName name="BEx7EI6DL1Z6UWLFBXAKVGZTKHWJ" localSheetId="34" hidden="1">#REF!</definedName>
    <definedName name="BEx7EI6DL1Z6UWLFBXAKVGZTKHWJ" localSheetId="12" hidden="1">#REF!</definedName>
    <definedName name="BEx7EI6DL1Z6UWLFBXAKVGZTKHWJ" localSheetId="10" hidden="1">#REF!</definedName>
    <definedName name="BEx7EI6DL1Z6UWLFBXAKVGZTKHWJ" localSheetId="6" hidden="1">#REF!</definedName>
    <definedName name="BEx7EI6DL1Z6UWLFBXAKVGZTKHWJ" hidden="1">#REF!</definedName>
    <definedName name="BEx91QH5JRZKQP1GPN2SQMR3CKAG" localSheetId="1" hidden="1">#REF!</definedName>
    <definedName name="BEx91QH5JRZKQP1GPN2SQMR3CKAG" localSheetId="7" hidden="1">#REF!</definedName>
    <definedName name="BEx91QH5JRZKQP1GPN2SQMR3CKAG" localSheetId="2" hidden="1">#REF!</definedName>
    <definedName name="BEx91QH5JRZKQP1GPN2SQMR3CKAG" localSheetId="34" hidden="1">#REF!</definedName>
    <definedName name="BEx91QH5JRZKQP1GPN2SQMR3CKAG" localSheetId="12" hidden="1">#REF!</definedName>
    <definedName name="BEx91QH5JRZKQP1GPN2SQMR3CKAG" localSheetId="10" hidden="1">#REF!</definedName>
    <definedName name="BEx91QH5JRZKQP1GPN2SQMR3CKAG" localSheetId="6" hidden="1">#REF!</definedName>
    <definedName name="BEx91QH5JRZKQP1GPN2SQMR3CKAG" hidden="1">#REF!</definedName>
    <definedName name="BEx91ROALDNHO7FI4X8L61RH4UJE" localSheetId="1" hidden="1">#REF!</definedName>
    <definedName name="BEx91ROALDNHO7FI4X8L61RH4UJE" localSheetId="7" hidden="1">#REF!</definedName>
    <definedName name="BEx91ROALDNHO7FI4X8L61RH4UJE" localSheetId="2" hidden="1">#REF!</definedName>
    <definedName name="BEx91ROALDNHO7FI4X8L61RH4UJE" localSheetId="34" hidden="1">#REF!</definedName>
    <definedName name="BEx91ROALDNHO7FI4X8L61RH4UJE" localSheetId="12" hidden="1">#REF!</definedName>
    <definedName name="BEx91ROALDNHO7FI4X8L61RH4UJE" localSheetId="10" hidden="1">#REF!</definedName>
    <definedName name="BEx91ROALDNHO7FI4X8L61RH4UJE" localSheetId="6" hidden="1">#REF!</definedName>
    <definedName name="BEx91ROALDNHO7FI4X8L61RH4UJE" hidden="1">#REF!</definedName>
    <definedName name="BEx94CKXG92OMURH41SNU6IOHK4J" localSheetId="1" hidden="1">#REF!</definedName>
    <definedName name="BEx94CKXG92OMURH41SNU6IOHK4J" localSheetId="7" hidden="1">#REF!</definedName>
    <definedName name="BEx94CKXG92OMURH41SNU6IOHK4J" localSheetId="2" hidden="1">#REF!</definedName>
    <definedName name="BEx94CKXG92OMURH41SNU6IOHK4J" localSheetId="34" hidden="1">#REF!</definedName>
    <definedName name="BEx94CKXG92OMURH41SNU6IOHK4J" localSheetId="12" hidden="1">#REF!</definedName>
    <definedName name="BEx94CKXG92OMURH41SNU6IOHK4J" localSheetId="10" hidden="1">#REF!</definedName>
    <definedName name="BEx94CKXG92OMURH41SNU6IOHK4J" localSheetId="6" hidden="1">#REF!</definedName>
    <definedName name="BEx94CKXG92OMURH41SNU6IOHK4J" hidden="1">#REF!</definedName>
    <definedName name="BEx94GXG30CIVB6ZQN3X3IK6BZXQ" localSheetId="1" hidden="1">#REF!</definedName>
    <definedName name="BEx94GXG30CIVB6ZQN3X3IK6BZXQ" localSheetId="7" hidden="1">#REF!</definedName>
    <definedName name="BEx94GXG30CIVB6ZQN3X3IK6BZXQ" localSheetId="2" hidden="1">#REF!</definedName>
    <definedName name="BEx94GXG30CIVB6ZQN3X3IK6BZXQ" localSheetId="34" hidden="1">#REF!</definedName>
    <definedName name="BEx94GXG30CIVB6ZQN3X3IK6BZXQ" localSheetId="12" hidden="1">#REF!</definedName>
    <definedName name="BEx94GXG30CIVB6ZQN3X3IK6BZXQ" localSheetId="10" hidden="1">#REF!</definedName>
    <definedName name="BEx94GXG30CIVB6ZQN3X3IK6BZXQ" localSheetId="6" hidden="1">#REF!</definedName>
    <definedName name="BEx94GXG30CIVB6ZQN3X3IK6BZXQ" hidden="1">#REF!</definedName>
    <definedName name="BEx94HZ5LURYM9ST744ALV6ZCKYP" localSheetId="1" hidden="1">#REF!</definedName>
    <definedName name="BEx94HZ5LURYM9ST744ALV6ZCKYP" localSheetId="7" hidden="1">#REF!</definedName>
    <definedName name="BEx94HZ5LURYM9ST744ALV6ZCKYP" localSheetId="2" hidden="1">#REF!</definedName>
    <definedName name="BEx94HZ5LURYM9ST744ALV6ZCKYP" localSheetId="34" hidden="1">#REF!</definedName>
    <definedName name="BEx94HZ5LURYM9ST744ALV6ZCKYP" localSheetId="12" hidden="1">#REF!</definedName>
    <definedName name="BEx94HZ5LURYM9ST744ALV6ZCKYP" localSheetId="10" hidden="1">#REF!</definedName>
    <definedName name="BEx94HZ5LURYM9ST744ALV6ZCKYP" localSheetId="6" hidden="1">#REF!</definedName>
    <definedName name="BEx94HZ5LURYM9ST744ALV6ZCKYP" hidden="1">#REF!</definedName>
    <definedName name="BEx94IQ75E90YUMWJ9N591LR7DQQ" localSheetId="1" hidden="1">#REF!</definedName>
    <definedName name="BEx94IQ75E90YUMWJ9N591LR7DQQ" localSheetId="7" hidden="1">#REF!</definedName>
    <definedName name="BEx94IQ75E90YUMWJ9N591LR7DQQ" localSheetId="2" hidden="1">#REF!</definedName>
    <definedName name="BEx94IQ75E90YUMWJ9N591LR7DQQ" localSheetId="34" hidden="1">#REF!</definedName>
    <definedName name="BEx94IQ75E90YUMWJ9N591LR7DQQ" localSheetId="12" hidden="1">#REF!</definedName>
    <definedName name="BEx94IQ75E90YUMWJ9N591LR7DQQ" localSheetId="10" hidden="1">#REF!</definedName>
    <definedName name="BEx94IQ75E90YUMWJ9N591LR7DQQ" localSheetId="6" hidden="1">#REF!</definedName>
    <definedName name="BEx94IQ75E90YUMWJ9N591LR7DQQ" hidden="1">#REF!</definedName>
    <definedName name="BEx955NIAWX5OLAHMTV6QFUZPR30" localSheetId="1" hidden="1">#REF!</definedName>
    <definedName name="BEx955NIAWX5OLAHMTV6QFUZPR30" localSheetId="7" hidden="1">#REF!</definedName>
    <definedName name="BEx955NIAWX5OLAHMTV6QFUZPR30" localSheetId="2" hidden="1">#REF!</definedName>
    <definedName name="BEx955NIAWX5OLAHMTV6QFUZPR30" localSheetId="34" hidden="1">#REF!</definedName>
    <definedName name="BEx955NIAWX5OLAHMTV6QFUZPR30" localSheetId="12" hidden="1">#REF!</definedName>
    <definedName name="BEx955NIAWX5OLAHMTV6QFUZPR30" localSheetId="10" hidden="1">#REF!</definedName>
    <definedName name="BEx955NIAWX5OLAHMTV6QFUZPR30" localSheetId="6" hidden="1">#REF!</definedName>
    <definedName name="BEx955NIAWX5OLAHMTV6QFUZPR30" hidden="1">#REF!</definedName>
    <definedName name="BEx97NPQBACJVD9K1YXI08RTW9E2" localSheetId="1" hidden="1">#REF!</definedName>
    <definedName name="BEx97NPQBACJVD9K1YXI08RTW9E2" localSheetId="7" hidden="1">#REF!</definedName>
    <definedName name="BEx97NPQBACJVD9K1YXI08RTW9E2" localSheetId="2" hidden="1">#REF!</definedName>
    <definedName name="BEx97NPQBACJVD9K1YXI08RTW9E2" localSheetId="34" hidden="1">#REF!</definedName>
    <definedName name="BEx97NPQBACJVD9K1YXI08RTW9E2" localSheetId="12" hidden="1">#REF!</definedName>
    <definedName name="BEx97NPQBACJVD9K1YXI08RTW9E2" localSheetId="10" hidden="1">#REF!</definedName>
    <definedName name="BEx97NPQBACJVD9K1YXI08RTW9E2" localSheetId="6" hidden="1">#REF!</definedName>
    <definedName name="BEx97NPQBACJVD9K1YXI08RTW9E2" hidden="1">#REF!</definedName>
    <definedName name="BEx9B8A5186FNTQQNLIO5LK02ABI" localSheetId="1" hidden="1">#REF!</definedName>
    <definedName name="BEx9B8A5186FNTQQNLIO5LK02ABI" localSheetId="7" hidden="1">#REF!</definedName>
    <definedName name="BEx9B8A5186FNTQQNLIO5LK02ABI" localSheetId="2" hidden="1">#REF!</definedName>
    <definedName name="BEx9B8A5186FNTQQNLIO5LK02ABI" localSheetId="34" hidden="1">#REF!</definedName>
    <definedName name="BEx9B8A5186FNTQQNLIO5LK02ABI" localSheetId="12" hidden="1">#REF!</definedName>
    <definedName name="BEx9B8A5186FNTQQNLIO5LK02ABI" localSheetId="10" hidden="1">#REF!</definedName>
    <definedName name="BEx9B8A5186FNTQQNLIO5LK02ABI" localSheetId="6" hidden="1">#REF!</definedName>
    <definedName name="BEx9B8A5186FNTQQNLIO5LK02ABI" hidden="1">#REF!</definedName>
    <definedName name="BEx9IW5MFLXTVCJHVUZTUH93AXOS" localSheetId="1" hidden="1">#REF!</definedName>
    <definedName name="BEx9IW5MFLXTVCJHVUZTUH93AXOS" localSheetId="7" hidden="1">#REF!</definedName>
    <definedName name="BEx9IW5MFLXTVCJHVUZTUH93AXOS" localSheetId="2" hidden="1">#REF!</definedName>
    <definedName name="BEx9IW5MFLXTVCJHVUZTUH93AXOS" localSheetId="34" hidden="1">#REF!</definedName>
    <definedName name="BEx9IW5MFLXTVCJHVUZTUH93AXOS" localSheetId="12" hidden="1">#REF!</definedName>
    <definedName name="BEx9IW5MFLXTVCJHVUZTUH93AXOS" localSheetId="10" hidden="1">#REF!</definedName>
    <definedName name="BEx9IW5MFLXTVCJHVUZTUH93AXOS" localSheetId="6" hidden="1">#REF!</definedName>
    <definedName name="BEx9IW5MFLXTVCJHVUZTUH93AXOS" hidden="1">#REF!</definedName>
    <definedName name="BEx9J6CH5E7YZPER7HXEIOIKGPCA" localSheetId="1" hidden="1">#REF!</definedName>
    <definedName name="BEx9J6CH5E7YZPER7HXEIOIKGPCA" localSheetId="7" hidden="1">#REF!</definedName>
    <definedName name="BEx9J6CH5E7YZPER7HXEIOIKGPCA" localSheetId="2" hidden="1">#REF!</definedName>
    <definedName name="BEx9J6CH5E7YZPER7HXEIOIKGPCA" localSheetId="34" hidden="1">#REF!</definedName>
    <definedName name="BEx9J6CH5E7YZPER7HXEIOIKGPCA" localSheetId="12" hidden="1">#REF!</definedName>
    <definedName name="BEx9J6CH5E7YZPER7HXEIOIKGPCA" localSheetId="10" hidden="1">#REF!</definedName>
    <definedName name="BEx9J6CH5E7YZPER7HXEIOIKGPCA" localSheetId="6" hidden="1">#REF!</definedName>
    <definedName name="BEx9J6CH5E7YZPER7HXEIOIKGPCA" hidden="1">#REF!</definedName>
    <definedName name="BEx9JLBYK239B3F841C7YG1GT7ST" localSheetId="1" hidden="1">#REF!</definedName>
    <definedName name="BEx9JLBYK239B3F841C7YG1GT7ST" localSheetId="7" hidden="1">#REF!</definedName>
    <definedName name="BEx9JLBYK239B3F841C7YG1GT7ST" localSheetId="2" hidden="1">#REF!</definedName>
    <definedName name="BEx9JLBYK239B3F841C7YG1GT7ST" localSheetId="34" hidden="1">#REF!</definedName>
    <definedName name="BEx9JLBYK239B3F841C7YG1GT7ST" localSheetId="12" hidden="1">#REF!</definedName>
    <definedName name="BEx9JLBYK239B3F841C7YG1GT7ST" localSheetId="10" hidden="1">#REF!</definedName>
    <definedName name="BEx9JLBYK239B3F841C7YG1GT7ST" localSheetId="6" hidden="1">#REF!</definedName>
    <definedName name="BEx9JLBYK239B3F841C7YG1GT7ST" hidden="1">#REF!</definedName>
    <definedName name="BExAX410NB4F2XOB84OR2197H8M5" localSheetId="1" hidden="1">#REF!</definedName>
    <definedName name="BExAX410NB4F2XOB84OR2197H8M5" localSheetId="7" hidden="1">#REF!</definedName>
    <definedName name="BExAX410NB4F2XOB84OR2197H8M5" localSheetId="2" hidden="1">#REF!</definedName>
    <definedName name="BExAX410NB4F2XOB84OR2197H8M5" localSheetId="34" hidden="1">#REF!</definedName>
    <definedName name="BExAX410NB4F2XOB84OR2197H8M5" localSheetId="12" hidden="1">#REF!</definedName>
    <definedName name="BExAX410NB4F2XOB84OR2197H8M5" localSheetId="10" hidden="1">#REF!</definedName>
    <definedName name="BExAX410NB4F2XOB84OR2197H8M5" localSheetId="6" hidden="1">#REF!</definedName>
    <definedName name="BExAX410NB4F2XOB84OR2197H8M5" hidden="1">#REF!</definedName>
    <definedName name="BExB072HHXVMUC0VYNGG48GRSH5Q" localSheetId="1" hidden="1">#REF!</definedName>
    <definedName name="BExB072HHXVMUC0VYNGG48GRSH5Q" localSheetId="7" hidden="1">#REF!</definedName>
    <definedName name="BExB072HHXVMUC0VYNGG48GRSH5Q" localSheetId="2" hidden="1">#REF!</definedName>
    <definedName name="BExB072HHXVMUC0VYNGG48GRSH5Q" localSheetId="34" hidden="1">#REF!</definedName>
    <definedName name="BExB072HHXVMUC0VYNGG48GRSH5Q" localSheetId="12" hidden="1">#REF!</definedName>
    <definedName name="BExB072HHXVMUC0VYNGG48GRSH5Q" localSheetId="10" hidden="1">#REF!</definedName>
    <definedName name="BExB072HHXVMUC0VYNGG48GRSH5Q" localSheetId="6" hidden="1">#REF!</definedName>
    <definedName name="BExB072HHXVMUC0VYNGG48GRSH5Q" hidden="1">#REF!</definedName>
    <definedName name="BExB1FKNY2UO4W5FUGFHJOA2WFGG" localSheetId="1" hidden="1">#REF!</definedName>
    <definedName name="BExB1FKNY2UO4W5FUGFHJOA2WFGG" localSheetId="7" hidden="1">#REF!</definedName>
    <definedName name="BExB1FKNY2UO4W5FUGFHJOA2WFGG" localSheetId="2" hidden="1">#REF!</definedName>
    <definedName name="BExB1FKNY2UO4W5FUGFHJOA2WFGG" localSheetId="34" hidden="1">#REF!</definedName>
    <definedName name="BExB1FKNY2UO4W5FUGFHJOA2WFGG" localSheetId="12" hidden="1">#REF!</definedName>
    <definedName name="BExB1FKNY2UO4W5FUGFHJOA2WFGG" localSheetId="10" hidden="1">#REF!</definedName>
    <definedName name="BExB1FKNY2UO4W5FUGFHJOA2WFGG" localSheetId="6" hidden="1">#REF!</definedName>
    <definedName name="BExB1FKNY2UO4W5FUGFHJOA2WFGG" hidden="1">#REF!</definedName>
    <definedName name="BExB1GMD0PIDGTFBGQOPRWQSP9I4" localSheetId="1" hidden="1">#REF!</definedName>
    <definedName name="BExB1GMD0PIDGTFBGQOPRWQSP9I4" localSheetId="7" hidden="1">#REF!</definedName>
    <definedName name="BExB1GMD0PIDGTFBGQOPRWQSP9I4" localSheetId="2" hidden="1">#REF!</definedName>
    <definedName name="BExB1GMD0PIDGTFBGQOPRWQSP9I4" localSheetId="34" hidden="1">#REF!</definedName>
    <definedName name="BExB1GMD0PIDGTFBGQOPRWQSP9I4" localSheetId="12" hidden="1">#REF!</definedName>
    <definedName name="BExB1GMD0PIDGTFBGQOPRWQSP9I4" localSheetId="10" hidden="1">#REF!</definedName>
    <definedName name="BExB1GMD0PIDGTFBGQOPRWQSP9I4" localSheetId="6" hidden="1">#REF!</definedName>
    <definedName name="BExB1GMD0PIDGTFBGQOPRWQSP9I4" hidden="1">#REF!</definedName>
    <definedName name="BExB1WI6M8I0EEP1ANUQZCFY24EV" localSheetId="1" hidden="1">#REF!</definedName>
    <definedName name="BExB1WI6M8I0EEP1ANUQZCFY24EV" localSheetId="7" hidden="1">#REF!</definedName>
    <definedName name="BExB1WI6M8I0EEP1ANUQZCFY24EV" localSheetId="2" hidden="1">#REF!</definedName>
    <definedName name="BExB1WI6M8I0EEP1ANUQZCFY24EV" localSheetId="34" hidden="1">#REF!</definedName>
    <definedName name="BExB1WI6M8I0EEP1ANUQZCFY24EV" localSheetId="12" hidden="1">#REF!</definedName>
    <definedName name="BExB1WI6M8I0EEP1ANUQZCFY24EV" localSheetId="10" hidden="1">#REF!</definedName>
    <definedName name="BExB1WI6M8I0EEP1ANUQZCFY24EV" localSheetId="6" hidden="1">#REF!</definedName>
    <definedName name="BExB1WI6M8I0EEP1ANUQZCFY24EV" hidden="1">#REF!</definedName>
    <definedName name="BExB2Q0VJ0MU2URO3JOVUAVHEI3V" localSheetId="1" hidden="1">#REF!</definedName>
    <definedName name="BExB2Q0VJ0MU2URO3JOVUAVHEI3V" localSheetId="7" hidden="1">#REF!</definedName>
    <definedName name="BExB2Q0VJ0MU2URO3JOVUAVHEI3V" localSheetId="2" hidden="1">#REF!</definedName>
    <definedName name="BExB2Q0VJ0MU2URO3JOVUAVHEI3V" localSheetId="34" hidden="1">#REF!</definedName>
    <definedName name="BExB2Q0VJ0MU2URO3JOVUAVHEI3V" localSheetId="12" hidden="1">#REF!</definedName>
    <definedName name="BExB2Q0VJ0MU2URO3JOVUAVHEI3V" localSheetId="10" hidden="1">#REF!</definedName>
    <definedName name="BExB2Q0VJ0MU2URO3JOVUAVHEI3V" localSheetId="6" hidden="1">#REF!</definedName>
    <definedName name="BExB2Q0VJ0MU2URO3JOVUAVHEI3V" hidden="1">#REF!</definedName>
    <definedName name="BExB442RX0T3L6HUL6X5T21CENW6" localSheetId="1" hidden="1">#REF!</definedName>
    <definedName name="BExB442RX0T3L6HUL6X5T21CENW6" localSheetId="7" hidden="1">#REF!</definedName>
    <definedName name="BExB442RX0T3L6HUL6X5T21CENW6" localSheetId="2" hidden="1">#REF!</definedName>
    <definedName name="BExB442RX0T3L6HUL6X5T21CENW6" localSheetId="34" hidden="1">#REF!</definedName>
    <definedName name="BExB442RX0T3L6HUL6X5T21CENW6" localSheetId="12" hidden="1">#REF!</definedName>
    <definedName name="BExB442RX0T3L6HUL6X5T21CENW6" localSheetId="10" hidden="1">#REF!</definedName>
    <definedName name="BExB442RX0T3L6HUL6X5T21CENW6" localSheetId="6" hidden="1">#REF!</definedName>
    <definedName name="BExB442RX0T3L6HUL6X5T21CENW6" hidden="1">#REF!</definedName>
    <definedName name="BExB5833OAOJ22VK1YK47FHUSVK2" localSheetId="1" hidden="1">#REF!</definedName>
    <definedName name="BExB5833OAOJ22VK1YK47FHUSVK2" localSheetId="7" hidden="1">#REF!</definedName>
    <definedName name="BExB5833OAOJ22VK1YK47FHUSVK2" localSheetId="2" hidden="1">#REF!</definedName>
    <definedName name="BExB5833OAOJ22VK1YK47FHUSVK2" localSheetId="34" hidden="1">#REF!</definedName>
    <definedName name="BExB5833OAOJ22VK1YK47FHUSVK2" localSheetId="12" hidden="1">#REF!</definedName>
    <definedName name="BExB5833OAOJ22VK1YK47FHUSVK2" localSheetId="10" hidden="1">#REF!</definedName>
    <definedName name="BExB5833OAOJ22VK1YK47FHUSVK2" localSheetId="6" hidden="1">#REF!</definedName>
    <definedName name="BExB5833OAOJ22VK1YK47FHUSVK2" hidden="1">#REF!</definedName>
    <definedName name="BExB78RH79J0MIF7H8CAZ0CFE88Q" localSheetId="1" hidden="1">#REF!</definedName>
    <definedName name="BExB78RH79J0MIF7H8CAZ0CFE88Q" localSheetId="7" hidden="1">#REF!</definedName>
    <definedName name="BExB78RH79J0MIF7H8CAZ0CFE88Q" localSheetId="2" hidden="1">#REF!</definedName>
    <definedName name="BExB78RH79J0MIF7H8CAZ0CFE88Q" localSheetId="34" hidden="1">#REF!</definedName>
    <definedName name="BExB78RH79J0MIF7H8CAZ0CFE88Q" localSheetId="12" hidden="1">#REF!</definedName>
    <definedName name="BExB78RH79J0MIF7H8CAZ0CFE88Q" localSheetId="10" hidden="1">#REF!</definedName>
    <definedName name="BExB78RH79J0MIF7H8CAZ0CFE88Q" localSheetId="6" hidden="1">#REF!</definedName>
    <definedName name="BExB78RH79J0MIF7H8CAZ0CFE88Q" hidden="1">#REF!</definedName>
    <definedName name="BExB8U5N0D85YR8APKN3PPKG0FWP" localSheetId="1" hidden="1">#REF!</definedName>
    <definedName name="BExB8U5N0D85YR8APKN3PPKG0FWP" localSheetId="7" hidden="1">#REF!</definedName>
    <definedName name="BExB8U5N0D85YR8APKN3PPKG0FWP" localSheetId="2" hidden="1">#REF!</definedName>
    <definedName name="BExB8U5N0D85YR8APKN3PPKG0FWP" localSheetId="34" hidden="1">#REF!</definedName>
    <definedName name="BExB8U5N0D85YR8APKN3PPKG0FWP" localSheetId="12" hidden="1">#REF!</definedName>
    <definedName name="BExB8U5N0D85YR8APKN3PPKG0FWP" localSheetId="10" hidden="1">#REF!</definedName>
    <definedName name="BExB8U5N0D85YR8APKN3PPKG0FWP" localSheetId="6" hidden="1">#REF!</definedName>
    <definedName name="BExB8U5N0D85YR8APKN3PPKG0FWP" hidden="1">#REF!</definedName>
    <definedName name="BExB9Q2MZZHBGW8QQKVEYIMJBPIE" localSheetId="1" hidden="1">#REF!</definedName>
    <definedName name="BExB9Q2MZZHBGW8QQKVEYIMJBPIE" localSheetId="7" hidden="1">#REF!</definedName>
    <definedName name="BExB9Q2MZZHBGW8QQKVEYIMJBPIE" localSheetId="2" hidden="1">#REF!</definedName>
    <definedName name="BExB9Q2MZZHBGW8QQKVEYIMJBPIE" localSheetId="34" hidden="1">#REF!</definedName>
    <definedName name="BExB9Q2MZZHBGW8QQKVEYIMJBPIE" localSheetId="12" hidden="1">#REF!</definedName>
    <definedName name="BExB9Q2MZZHBGW8QQKVEYIMJBPIE" localSheetId="10" hidden="1">#REF!</definedName>
    <definedName name="BExB9Q2MZZHBGW8QQKVEYIMJBPIE" localSheetId="6" hidden="1">#REF!</definedName>
    <definedName name="BExB9Q2MZZHBGW8QQKVEYIMJBPIE" hidden="1">#REF!</definedName>
    <definedName name="BExBCLMEPAN3XXX174TU8SS0627Q" localSheetId="1" hidden="1">#REF!</definedName>
    <definedName name="BExBCLMEPAN3XXX174TU8SS0627Q" localSheetId="7" hidden="1">#REF!</definedName>
    <definedName name="BExBCLMEPAN3XXX174TU8SS0627Q" localSheetId="2" hidden="1">#REF!</definedName>
    <definedName name="BExBCLMEPAN3XXX174TU8SS0627Q" localSheetId="34" hidden="1">#REF!</definedName>
    <definedName name="BExBCLMEPAN3XXX174TU8SS0627Q" localSheetId="12" hidden="1">#REF!</definedName>
    <definedName name="BExBCLMEPAN3XXX174TU8SS0627Q" localSheetId="10" hidden="1">#REF!</definedName>
    <definedName name="BExBCLMEPAN3XXX174TU8SS0627Q" localSheetId="6" hidden="1">#REF!</definedName>
    <definedName name="BExBCLMEPAN3XXX174TU8SS0627Q" hidden="1">#REF!</definedName>
    <definedName name="BExBDJS9TUEU8Z84IV59E5V4T8K6" localSheetId="1" hidden="1">#REF!</definedName>
    <definedName name="BExBDJS9TUEU8Z84IV59E5V4T8K6" localSheetId="7" hidden="1">#REF!</definedName>
    <definedName name="BExBDJS9TUEU8Z84IV59E5V4T8K6" localSheetId="2" hidden="1">#REF!</definedName>
    <definedName name="BExBDJS9TUEU8Z84IV59E5V4T8K6" localSheetId="34" hidden="1">#REF!</definedName>
    <definedName name="BExBDJS9TUEU8Z84IV59E5V4T8K6" localSheetId="12" hidden="1">#REF!</definedName>
    <definedName name="BExBDJS9TUEU8Z84IV59E5V4T8K6" localSheetId="10" hidden="1">#REF!</definedName>
    <definedName name="BExBDJS9TUEU8Z84IV59E5V4T8K6" localSheetId="6" hidden="1">#REF!</definedName>
    <definedName name="BExBDJS9TUEU8Z84IV59E5V4T8K6" hidden="1">#REF!</definedName>
    <definedName name="BExCS7ZPMHFJ4UJDAL8CQOLSZ13B" localSheetId="1" hidden="1">#REF!</definedName>
    <definedName name="BExCS7ZPMHFJ4UJDAL8CQOLSZ13B" localSheetId="7" hidden="1">#REF!</definedName>
    <definedName name="BExCS7ZPMHFJ4UJDAL8CQOLSZ13B" localSheetId="2" hidden="1">#REF!</definedName>
    <definedName name="BExCS7ZPMHFJ4UJDAL8CQOLSZ13B" localSheetId="34" hidden="1">#REF!</definedName>
    <definedName name="BExCS7ZPMHFJ4UJDAL8CQOLSZ13B" localSheetId="12" hidden="1">#REF!</definedName>
    <definedName name="BExCS7ZPMHFJ4UJDAL8CQOLSZ13B" localSheetId="10" hidden="1">#REF!</definedName>
    <definedName name="BExCS7ZPMHFJ4UJDAL8CQOLSZ13B" localSheetId="6" hidden="1">#REF!</definedName>
    <definedName name="BExCS7ZPMHFJ4UJDAL8CQOLSZ13B" hidden="1">#REF!</definedName>
    <definedName name="BExCSSDG3TM6TPKS19E9QYJEELZ6" localSheetId="1" hidden="1">#REF!</definedName>
    <definedName name="BExCSSDG3TM6TPKS19E9QYJEELZ6" localSheetId="7" hidden="1">#REF!</definedName>
    <definedName name="BExCSSDG3TM6TPKS19E9QYJEELZ6" localSheetId="2" hidden="1">#REF!</definedName>
    <definedName name="BExCSSDG3TM6TPKS19E9QYJEELZ6" localSheetId="34" hidden="1">#REF!</definedName>
    <definedName name="BExCSSDG3TM6TPKS19E9QYJEELZ6" localSheetId="12" hidden="1">#REF!</definedName>
    <definedName name="BExCSSDG3TM6TPKS19E9QYJEELZ6" localSheetId="10" hidden="1">#REF!</definedName>
    <definedName name="BExCSSDG3TM6TPKS19E9QYJEELZ6" localSheetId="6" hidden="1">#REF!</definedName>
    <definedName name="BExCSSDG3TM6TPKS19E9QYJEELZ6" hidden="1">#REF!</definedName>
    <definedName name="BExCT4NSDT61OCH04Y2QIFIOP75H" localSheetId="1" hidden="1">#REF!</definedName>
    <definedName name="BExCT4NSDT61OCH04Y2QIFIOP75H" localSheetId="7" hidden="1">#REF!</definedName>
    <definedName name="BExCT4NSDT61OCH04Y2QIFIOP75H" localSheetId="2" hidden="1">#REF!</definedName>
    <definedName name="BExCT4NSDT61OCH04Y2QIFIOP75H" localSheetId="34" hidden="1">#REF!</definedName>
    <definedName name="BExCT4NSDT61OCH04Y2QIFIOP75H" localSheetId="12" hidden="1">#REF!</definedName>
    <definedName name="BExCT4NSDT61OCH04Y2QIFIOP75H" localSheetId="10" hidden="1">#REF!</definedName>
    <definedName name="BExCT4NSDT61OCH04Y2QIFIOP75H" localSheetId="6" hidden="1">#REF!</definedName>
    <definedName name="BExCT4NSDT61OCH04Y2QIFIOP75H" hidden="1">#REF!</definedName>
    <definedName name="BExCU0A1V6NMZQ9ASYJ8QIVQ5UR2" localSheetId="1" hidden="1">#REF!</definedName>
    <definedName name="BExCU0A1V6NMZQ9ASYJ8QIVQ5UR2" localSheetId="7" hidden="1">#REF!</definedName>
    <definedName name="BExCU0A1V6NMZQ9ASYJ8QIVQ5UR2" localSheetId="2" hidden="1">#REF!</definedName>
    <definedName name="BExCU0A1V6NMZQ9ASYJ8QIVQ5UR2" localSheetId="34" hidden="1">#REF!</definedName>
    <definedName name="BExCU0A1V6NMZQ9ASYJ8QIVQ5UR2" localSheetId="12" hidden="1">#REF!</definedName>
    <definedName name="BExCU0A1V6NMZQ9ASYJ8QIVQ5UR2" localSheetId="10" hidden="1">#REF!</definedName>
    <definedName name="BExCU0A1V6NMZQ9ASYJ8QIVQ5UR2" localSheetId="6" hidden="1">#REF!</definedName>
    <definedName name="BExCU0A1V6NMZQ9ASYJ8QIVQ5UR2" hidden="1">#REF!</definedName>
    <definedName name="BExCVZ5PN4V6MRBZ04PZJW3GEF8S" localSheetId="1" hidden="1">#REF!</definedName>
    <definedName name="BExCVZ5PN4V6MRBZ04PZJW3GEF8S" localSheetId="7" hidden="1">#REF!</definedName>
    <definedName name="BExCVZ5PN4V6MRBZ04PZJW3GEF8S" localSheetId="2" hidden="1">#REF!</definedName>
    <definedName name="BExCVZ5PN4V6MRBZ04PZJW3GEF8S" localSheetId="34" hidden="1">#REF!</definedName>
    <definedName name="BExCVZ5PN4V6MRBZ04PZJW3GEF8S" localSheetId="12" hidden="1">#REF!</definedName>
    <definedName name="BExCVZ5PN4V6MRBZ04PZJW3GEF8S" localSheetId="10" hidden="1">#REF!</definedName>
    <definedName name="BExCVZ5PN4V6MRBZ04PZJW3GEF8S" localSheetId="6" hidden="1">#REF!</definedName>
    <definedName name="BExCVZ5PN4V6MRBZ04PZJW3GEF8S" hidden="1">#REF!</definedName>
    <definedName name="BExCX2KGRZBRVLZNM8SUSIE6A0RL" localSheetId="1" hidden="1">#REF!</definedName>
    <definedName name="BExCX2KGRZBRVLZNM8SUSIE6A0RL" localSheetId="7" hidden="1">#REF!</definedName>
    <definedName name="BExCX2KGRZBRVLZNM8SUSIE6A0RL" localSheetId="2" hidden="1">#REF!</definedName>
    <definedName name="BExCX2KGRZBRVLZNM8SUSIE6A0RL" localSheetId="34" hidden="1">#REF!</definedName>
    <definedName name="BExCX2KGRZBRVLZNM8SUSIE6A0RL" localSheetId="12" hidden="1">#REF!</definedName>
    <definedName name="BExCX2KGRZBRVLZNM8SUSIE6A0RL" localSheetId="10" hidden="1">#REF!</definedName>
    <definedName name="BExCX2KGRZBRVLZNM8SUSIE6A0RL" localSheetId="6" hidden="1">#REF!</definedName>
    <definedName name="BExCX2KGRZBRVLZNM8SUSIE6A0RL" hidden="1">#REF!</definedName>
    <definedName name="BExCYUK0I3UEXZNFDW71G6Z6D8XR" localSheetId="1" hidden="1">#REF!</definedName>
    <definedName name="BExCYUK0I3UEXZNFDW71G6Z6D8XR" localSheetId="7" hidden="1">#REF!</definedName>
    <definedName name="BExCYUK0I3UEXZNFDW71G6Z6D8XR" localSheetId="2" hidden="1">#REF!</definedName>
    <definedName name="BExCYUK0I3UEXZNFDW71G6Z6D8XR" localSheetId="34" hidden="1">#REF!</definedName>
    <definedName name="BExCYUK0I3UEXZNFDW71G6Z6D8XR" localSheetId="12" hidden="1">#REF!</definedName>
    <definedName name="BExCYUK0I3UEXZNFDW71G6Z6D8XR" localSheetId="10" hidden="1">#REF!</definedName>
    <definedName name="BExCYUK0I3UEXZNFDW71G6Z6D8XR" localSheetId="6" hidden="1">#REF!</definedName>
    <definedName name="BExCYUK0I3UEXZNFDW71G6Z6D8XR" hidden="1">#REF!</definedName>
    <definedName name="BExD2CFHIRMBKN5KXE5QP4XXEWFS" localSheetId="1" hidden="1">#REF!</definedName>
    <definedName name="BExD2CFHIRMBKN5KXE5QP4XXEWFS" localSheetId="7" hidden="1">#REF!</definedName>
    <definedName name="BExD2CFHIRMBKN5KXE5QP4XXEWFS" localSheetId="2" hidden="1">#REF!</definedName>
    <definedName name="BExD2CFHIRMBKN5KXE5QP4XXEWFS" localSheetId="34" hidden="1">#REF!</definedName>
    <definedName name="BExD2CFHIRMBKN5KXE5QP4XXEWFS" localSheetId="12" hidden="1">#REF!</definedName>
    <definedName name="BExD2CFHIRMBKN5KXE5QP4XXEWFS" localSheetId="10" hidden="1">#REF!</definedName>
    <definedName name="BExD2CFHIRMBKN5KXE5QP4XXEWFS" localSheetId="6" hidden="1">#REF!</definedName>
    <definedName name="BExD2CFHIRMBKN5KXE5QP4XXEWFS" hidden="1">#REF!</definedName>
    <definedName name="BExD3F368X5S25MWSUNIV57RDB57" localSheetId="1" hidden="1">#REF!</definedName>
    <definedName name="BExD3F368X5S25MWSUNIV57RDB57" localSheetId="7" hidden="1">#REF!</definedName>
    <definedName name="BExD3F368X5S25MWSUNIV57RDB57" localSheetId="2" hidden="1">#REF!</definedName>
    <definedName name="BExD3F368X5S25MWSUNIV57RDB57" localSheetId="34" hidden="1">#REF!</definedName>
    <definedName name="BExD3F368X5S25MWSUNIV57RDB57" localSheetId="12" hidden="1">#REF!</definedName>
    <definedName name="BExD3F368X5S25MWSUNIV57RDB57" localSheetId="10" hidden="1">#REF!</definedName>
    <definedName name="BExD3F368X5S25MWSUNIV57RDB57" localSheetId="6" hidden="1">#REF!</definedName>
    <definedName name="BExD3F368X5S25MWSUNIV57RDB57" hidden="1">#REF!</definedName>
    <definedName name="BExD40O0CFTNJFOFMMM1KH0P7BUI" localSheetId="1" hidden="1">#REF!</definedName>
    <definedName name="BExD40O0CFTNJFOFMMM1KH0P7BUI" localSheetId="7" hidden="1">#REF!</definedName>
    <definedName name="BExD40O0CFTNJFOFMMM1KH0P7BUI" localSheetId="2" hidden="1">#REF!</definedName>
    <definedName name="BExD40O0CFTNJFOFMMM1KH0P7BUI" localSheetId="34" hidden="1">#REF!</definedName>
    <definedName name="BExD40O0CFTNJFOFMMM1KH0P7BUI" localSheetId="12" hidden="1">#REF!</definedName>
    <definedName name="BExD40O0CFTNJFOFMMM1KH0P7BUI" localSheetId="10" hidden="1">#REF!</definedName>
    <definedName name="BExD40O0CFTNJFOFMMM1KH0P7BUI" localSheetId="6" hidden="1">#REF!</definedName>
    <definedName name="BExD40O0CFTNJFOFMMM1KH0P7BUI" hidden="1">#REF!</definedName>
    <definedName name="BExD4H5GQWXBS6LUL3TSP36DVO38" localSheetId="1" hidden="1">#REF!</definedName>
    <definedName name="BExD4H5GQWXBS6LUL3TSP36DVO38" localSheetId="7" hidden="1">#REF!</definedName>
    <definedName name="BExD4H5GQWXBS6LUL3TSP36DVO38" localSheetId="2" hidden="1">#REF!</definedName>
    <definedName name="BExD4H5GQWXBS6LUL3TSP36DVO38" localSheetId="34" hidden="1">#REF!</definedName>
    <definedName name="BExD4H5GQWXBS6LUL3TSP36DVO38" localSheetId="12" hidden="1">#REF!</definedName>
    <definedName name="BExD4H5GQWXBS6LUL3TSP36DVO38" localSheetId="10" hidden="1">#REF!</definedName>
    <definedName name="BExD4H5GQWXBS6LUL3TSP36DVO38" localSheetId="6" hidden="1">#REF!</definedName>
    <definedName name="BExD4H5GQWXBS6LUL3TSP36DVO38" hidden="1">#REF!</definedName>
    <definedName name="BExD4JJSS3QDBLABCJCHD45SRNPI" localSheetId="1" hidden="1">#REF!</definedName>
    <definedName name="BExD4JJSS3QDBLABCJCHD45SRNPI" localSheetId="7" hidden="1">#REF!</definedName>
    <definedName name="BExD4JJSS3QDBLABCJCHD45SRNPI" localSheetId="2" hidden="1">#REF!</definedName>
    <definedName name="BExD4JJSS3QDBLABCJCHD45SRNPI" localSheetId="34" hidden="1">#REF!</definedName>
    <definedName name="BExD4JJSS3QDBLABCJCHD45SRNPI" localSheetId="12" hidden="1">#REF!</definedName>
    <definedName name="BExD4JJSS3QDBLABCJCHD45SRNPI" localSheetId="10" hidden="1">#REF!</definedName>
    <definedName name="BExD4JJSS3QDBLABCJCHD45SRNPI" localSheetId="6" hidden="1">#REF!</definedName>
    <definedName name="BExD4JJSS3QDBLABCJCHD45SRNPI" hidden="1">#REF!</definedName>
    <definedName name="BExD4R1I0MKF033I5LPUYIMTZ6E8" localSheetId="1" hidden="1">#REF!</definedName>
    <definedName name="BExD4R1I0MKF033I5LPUYIMTZ6E8" localSheetId="7" hidden="1">#REF!</definedName>
    <definedName name="BExD4R1I0MKF033I5LPUYIMTZ6E8" localSheetId="2" hidden="1">#REF!</definedName>
    <definedName name="BExD4R1I0MKF033I5LPUYIMTZ6E8" localSheetId="34" hidden="1">#REF!</definedName>
    <definedName name="BExD4R1I0MKF033I5LPUYIMTZ6E8" localSheetId="12" hidden="1">#REF!</definedName>
    <definedName name="BExD4R1I0MKF033I5LPUYIMTZ6E8" localSheetId="10" hidden="1">#REF!</definedName>
    <definedName name="BExD4R1I0MKF033I5LPUYIMTZ6E8" localSheetId="6" hidden="1">#REF!</definedName>
    <definedName name="BExD4R1I0MKF033I5LPUYIMTZ6E8" hidden="1">#REF!</definedName>
    <definedName name="BExD623C9LRX18BE0W2V6SZLQUXX" localSheetId="1" hidden="1">#REF!</definedName>
    <definedName name="BExD623C9LRX18BE0W2V6SZLQUXX" localSheetId="7" hidden="1">#REF!</definedName>
    <definedName name="BExD623C9LRX18BE0W2V6SZLQUXX" localSheetId="2" hidden="1">#REF!</definedName>
    <definedName name="BExD623C9LRX18BE0W2V6SZLQUXX" localSheetId="34" hidden="1">#REF!</definedName>
    <definedName name="BExD623C9LRX18BE0W2V6SZLQUXX" localSheetId="12" hidden="1">#REF!</definedName>
    <definedName name="BExD623C9LRX18BE0W2V6SZLQUXX" localSheetId="10" hidden="1">#REF!</definedName>
    <definedName name="BExD623C9LRX18BE0W2V6SZLQUXX" localSheetId="6" hidden="1">#REF!</definedName>
    <definedName name="BExD623C9LRX18BE0W2V6SZLQUXX" hidden="1">#REF!</definedName>
    <definedName name="BExD6GMP0LK8WKVWMIT1NNH8CHLF" localSheetId="1" hidden="1">#REF!</definedName>
    <definedName name="BExD6GMP0LK8WKVWMIT1NNH8CHLF" localSheetId="7" hidden="1">#REF!</definedName>
    <definedName name="BExD6GMP0LK8WKVWMIT1NNH8CHLF" localSheetId="2" hidden="1">#REF!</definedName>
    <definedName name="BExD6GMP0LK8WKVWMIT1NNH8CHLF" localSheetId="34" hidden="1">#REF!</definedName>
    <definedName name="BExD6GMP0LK8WKVWMIT1NNH8CHLF" localSheetId="12" hidden="1">#REF!</definedName>
    <definedName name="BExD6GMP0LK8WKVWMIT1NNH8CHLF" localSheetId="10" hidden="1">#REF!</definedName>
    <definedName name="BExD6GMP0LK8WKVWMIT1NNH8CHLF" localSheetId="6" hidden="1">#REF!</definedName>
    <definedName name="BExD6GMP0LK8WKVWMIT1NNH8CHLF" hidden="1">#REF!</definedName>
    <definedName name="BExD7GAIGULTB3YHM1OS9RBQOTEC" localSheetId="1" hidden="1">#REF!</definedName>
    <definedName name="BExD7GAIGULTB3YHM1OS9RBQOTEC" localSheetId="7" hidden="1">#REF!</definedName>
    <definedName name="BExD7GAIGULTB3YHM1OS9RBQOTEC" localSheetId="2" hidden="1">#REF!</definedName>
    <definedName name="BExD7GAIGULTB3YHM1OS9RBQOTEC" localSheetId="34" hidden="1">#REF!</definedName>
    <definedName name="BExD7GAIGULTB3YHM1OS9RBQOTEC" localSheetId="12" hidden="1">#REF!</definedName>
    <definedName name="BExD7GAIGULTB3YHM1OS9RBQOTEC" localSheetId="10" hidden="1">#REF!</definedName>
    <definedName name="BExD7GAIGULTB3YHM1OS9RBQOTEC" localSheetId="6" hidden="1">#REF!</definedName>
    <definedName name="BExD7GAIGULTB3YHM1OS9RBQOTEC" hidden="1">#REF!</definedName>
    <definedName name="BExD7JQOJ35HGL8U2OCEI2P2JT7I" localSheetId="1" hidden="1">#REF!</definedName>
    <definedName name="BExD7JQOJ35HGL8U2OCEI2P2JT7I" localSheetId="7" hidden="1">#REF!</definedName>
    <definedName name="BExD7JQOJ35HGL8U2OCEI2P2JT7I" localSheetId="2" hidden="1">#REF!</definedName>
    <definedName name="BExD7JQOJ35HGL8U2OCEI2P2JT7I" localSheetId="34" hidden="1">#REF!</definedName>
    <definedName name="BExD7JQOJ35HGL8U2OCEI2P2JT7I" localSheetId="12" hidden="1">#REF!</definedName>
    <definedName name="BExD7JQOJ35HGL8U2OCEI2P2JT7I" localSheetId="10" hidden="1">#REF!</definedName>
    <definedName name="BExD7JQOJ35HGL8U2OCEI2P2JT7I" localSheetId="6" hidden="1">#REF!</definedName>
    <definedName name="BExD7JQOJ35HGL8U2OCEI2P2JT7I" hidden="1">#REF!</definedName>
    <definedName name="BExD8OCLZMFN5K3VZYI4Q4ITVKUA" localSheetId="1" hidden="1">#REF!</definedName>
    <definedName name="BExD8OCLZMFN5K3VZYI4Q4ITVKUA" localSheetId="7" hidden="1">#REF!</definedName>
    <definedName name="BExD8OCLZMFN5K3VZYI4Q4ITVKUA" localSheetId="2" hidden="1">#REF!</definedName>
    <definedName name="BExD8OCLZMFN5K3VZYI4Q4ITVKUA" localSheetId="34" hidden="1">#REF!</definedName>
    <definedName name="BExD8OCLZMFN5K3VZYI4Q4ITVKUA" localSheetId="12" hidden="1">#REF!</definedName>
    <definedName name="BExD8OCLZMFN5K3VZYI4Q4ITVKUA" localSheetId="10" hidden="1">#REF!</definedName>
    <definedName name="BExD8OCLZMFN5K3VZYI4Q4ITVKUA" localSheetId="6" hidden="1">#REF!</definedName>
    <definedName name="BExD8OCLZMFN5K3VZYI4Q4ITVKUA" hidden="1">#REF!</definedName>
    <definedName name="BExEQB8ZWXO6IIGOEPWTLOJGE2NR" localSheetId="1" hidden="1">#REF!</definedName>
    <definedName name="BExEQB8ZWXO6IIGOEPWTLOJGE2NR" localSheetId="7" hidden="1">#REF!</definedName>
    <definedName name="BExEQB8ZWXO6IIGOEPWTLOJGE2NR" localSheetId="2" hidden="1">#REF!</definedName>
    <definedName name="BExEQB8ZWXO6IIGOEPWTLOJGE2NR" localSheetId="34" hidden="1">#REF!</definedName>
    <definedName name="BExEQB8ZWXO6IIGOEPWTLOJGE2NR" localSheetId="12" hidden="1">#REF!</definedName>
    <definedName name="BExEQB8ZWXO6IIGOEPWTLOJGE2NR" localSheetId="10" hidden="1">#REF!</definedName>
    <definedName name="BExEQB8ZWXO6IIGOEPWTLOJGE2NR" localSheetId="6" hidden="1">#REF!</definedName>
    <definedName name="BExEQB8ZWXO6IIGOEPWTLOJGE2NR" hidden="1">#REF!</definedName>
    <definedName name="BExERSANFNM1O7T65PC5MJ301YET" localSheetId="1" hidden="1">#REF!</definedName>
    <definedName name="BExERSANFNM1O7T65PC5MJ301YET" localSheetId="7" hidden="1">#REF!</definedName>
    <definedName name="BExERSANFNM1O7T65PC5MJ301YET" localSheetId="2" hidden="1">#REF!</definedName>
    <definedName name="BExERSANFNM1O7T65PC5MJ301YET" localSheetId="34" hidden="1">#REF!</definedName>
    <definedName name="BExERSANFNM1O7T65PC5MJ301YET" localSheetId="12" hidden="1">#REF!</definedName>
    <definedName name="BExERSANFNM1O7T65PC5MJ301YET" localSheetId="10" hidden="1">#REF!</definedName>
    <definedName name="BExERSANFNM1O7T65PC5MJ301YET" localSheetId="6" hidden="1">#REF!</definedName>
    <definedName name="BExERSANFNM1O7T65PC5MJ301YET" hidden="1">#REF!</definedName>
    <definedName name="BExERWCEBKQRYWRQLYJ4UCMMKTHG" localSheetId="1" hidden="1">#REF!</definedName>
    <definedName name="BExERWCEBKQRYWRQLYJ4UCMMKTHG" localSheetId="7" hidden="1">#REF!</definedName>
    <definedName name="BExERWCEBKQRYWRQLYJ4UCMMKTHG" localSheetId="2" hidden="1">#REF!</definedName>
    <definedName name="BExERWCEBKQRYWRQLYJ4UCMMKTHG" localSheetId="34" hidden="1">#REF!</definedName>
    <definedName name="BExERWCEBKQRYWRQLYJ4UCMMKTHG" localSheetId="12" hidden="1">#REF!</definedName>
    <definedName name="BExERWCEBKQRYWRQLYJ4UCMMKTHG" localSheetId="10" hidden="1">#REF!</definedName>
    <definedName name="BExERWCEBKQRYWRQLYJ4UCMMKTHG" localSheetId="6" hidden="1">#REF!</definedName>
    <definedName name="BExERWCEBKQRYWRQLYJ4UCMMKTHG" hidden="1">#REF!</definedName>
    <definedName name="BExEX9HWY2G6928ZVVVQF77QCM2C" localSheetId="1" hidden="1">#REF!</definedName>
    <definedName name="BExEX9HWY2G6928ZVVVQF77QCM2C" localSheetId="7" hidden="1">#REF!</definedName>
    <definedName name="BExEX9HWY2G6928ZVVVQF77QCM2C" localSheetId="2" hidden="1">#REF!</definedName>
    <definedName name="BExEX9HWY2G6928ZVVVQF77QCM2C" localSheetId="34" hidden="1">#REF!</definedName>
    <definedName name="BExEX9HWY2G6928ZVVVQF77QCM2C" localSheetId="12" hidden="1">#REF!</definedName>
    <definedName name="BExEX9HWY2G6928ZVVVQF77QCM2C" localSheetId="10" hidden="1">#REF!</definedName>
    <definedName name="BExEX9HWY2G6928ZVVVQF77QCM2C" localSheetId="6" hidden="1">#REF!</definedName>
    <definedName name="BExEX9HWY2G6928ZVVVQF77QCM2C" hidden="1">#REF!</definedName>
    <definedName name="BExEXRBZ0DI9E2UFLLKYWGN66B61" localSheetId="1" hidden="1">#REF!</definedName>
    <definedName name="BExEXRBZ0DI9E2UFLLKYWGN66B61" localSheetId="7" hidden="1">#REF!</definedName>
    <definedName name="BExEXRBZ0DI9E2UFLLKYWGN66B61" localSheetId="2" hidden="1">#REF!</definedName>
    <definedName name="BExEXRBZ0DI9E2UFLLKYWGN66B61" localSheetId="34" hidden="1">#REF!</definedName>
    <definedName name="BExEXRBZ0DI9E2UFLLKYWGN66B61" localSheetId="12" hidden="1">#REF!</definedName>
    <definedName name="BExEXRBZ0DI9E2UFLLKYWGN66B61" localSheetId="10" hidden="1">#REF!</definedName>
    <definedName name="BExEXRBZ0DI9E2UFLLKYWGN66B61" localSheetId="6" hidden="1">#REF!</definedName>
    <definedName name="BExEXRBZ0DI9E2UFLLKYWGN66B61" hidden="1">#REF!</definedName>
    <definedName name="BExF0ZRI7W4RSLIDLHTSM0AWXO3S" localSheetId="1" hidden="1">#REF!</definedName>
    <definedName name="BExF0ZRI7W4RSLIDLHTSM0AWXO3S" localSheetId="7" hidden="1">#REF!</definedName>
    <definedName name="BExF0ZRI7W4RSLIDLHTSM0AWXO3S" localSheetId="2" hidden="1">#REF!</definedName>
    <definedName name="BExF0ZRI7W4RSLIDLHTSM0AWXO3S" localSheetId="34" hidden="1">#REF!</definedName>
    <definedName name="BExF0ZRI7W4RSLIDLHTSM0AWXO3S" localSheetId="12" hidden="1">#REF!</definedName>
    <definedName name="BExF0ZRI7W4RSLIDLHTSM0AWXO3S" localSheetId="10" hidden="1">#REF!</definedName>
    <definedName name="BExF0ZRI7W4RSLIDLHTSM0AWXO3S" localSheetId="6" hidden="1">#REF!</definedName>
    <definedName name="BExF0ZRI7W4RSLIDLHTSM0AWXO3S" hidden="1">#REF!</definedName>
    <definedName name="BExF3NTC4BGZEM6B87TCFX277QCS" localSheetId="1" hidden="1">#REF!</definedName>
    <definedName name="BExF3NTC4BGZEM6B87TCFX277QCS" localSheetId="7" hidden="1">#REF!</definedName>
    <definedName name="BExF3NTC4BGZEM6B87TCFX277QCS" localSheetId="2" hidden="1">#REF!</definedName>
    <definedName name="BExF3NTC4BGZEM6B87TCFX277QCS" localSheetId="34" hidden="1">#REF!</definedName>
    <definedName name="BExF3NTC4BGZEM6B87TCFX277QCS" localSheetId="12" hidden="1">#REF!</definedName>
    <definedName name="BExF3NTC4BGZEM6B87TCFX277QCS" localSheetId="10" hidden="1">#REF!</definedName>
    <definedName name="BExF3NTC4BGZEM6B87TCFX277QCS" localSheetId="6" hidden="1">#REF!</definedName>
    <definedName name="BExF3NTC4BGZEM6B87TCFX277QCS" hidden="1">#REF!</definedName>
    <definedName name="BExF42SSBVPMLK2UB3B7FPEIY9TU" localSheetId="1" hidden="1">#REF!</definedName>
    <definedName name="BExF42SSBVPMLK2UB3B7FPEIY9TU" localSheetId="7" hidden="1">#REF!</definedName>
    <definedName name="BExF42SSBVPMLK2UB3B7FPEIY9TU" localSheetId="2" hidden="1">#REF!</definedName>
    <definedName name="BExF42SSBVPMLK2UB3B7FPEIY9TU" localSheetId="34" hidden="1">#REF!</definedName>
    <definedName name="BExF42SSBVPMLK2UB3B7FPEIY9TU" localSheetId="12" hidden="1">#REF!</definedName>
    <definedName name="BExF42SSBVPMLK2UB3B7FPEIY9TU" localSheetId="10" hidden="1">#REF!</definedName>
    <definedName name="BExF42SSBVPMLK2UB3B7FPEIY9TU" localSheetId="6" hidden="1">#REF!</definedName>
    <definedName name="BExF42SSBVPMLK2UB3B7FPEIY9TU" hidden="1">#REF!</definedName>
    <definedName name="BExF4PVMZYV36E8HOYY06J81AMBI" localSheetId="1" hidden="1">#REF!</definedName>
    <definedName name="BExF4PVMZYV36E8HOYY06J81AMBI" localSheetId="7" hidden="1">#REF!</definedName>
    <definedName name="BExF4PVMZYV36E8HOYY06J81AMBI" localSheetId="2" hidden="1">#REF!</definedName>
    <definedName name="BExF4PVMZYV36E8HOYY06J81AMBI" localSheetId="34" hidden="1">#REF!</definedName>
    <definedName name="BExF4PVMZYV36E8HOYY06J81AMBI" localSheetId="12" hidden="1">#REF!</definedName>
    <definedName name="BExF4PVMZYV36E8HOYY06J81AMBI" localSheetId="10" hidden="1">#REF!</definedName>
    <definedName name="BExF4PVMZYV36E8HOYY06J81AMBI" localSheetId="6" hidden="1">#REF!</definedName>
    <definedName name="BExF4PVMZYV36E8HOYY06J81AMBI" hidden="1">#REF!</definedName>
    <definedName name="BExF5ZFO2A29GHWR5ES64Z9OS16J" localSheetId="1" hidden="1">#REF!</definedName>
    <definedName name="BExF5ZFO2A29GHWR5ES64Z9OS16J" localSheetId="7" hidden="1">#REF!</definedName>
    <definedName name="BExF5ZFO2A29GHWR5ES64Z9OS16J" localSheetId="2" hidden="1">#REF!</definedName>
    <definedName name="BExF5ZFO2A29GHWR5ES64Z9OS16J" localSheetId="34" hidden="1">#REF!</definedName>
    <definedName name="BExF5ZFO2A29GHWR5ES64Z9OS16J" localSheetId="12" hidden="1">#REF!</definedName>
    <definedName name="BExF5ZFO2A29GHWR5ES64Z9OS16J" localSheetId="10" hidden="1">#REF!</definedName>
    <definedName name="BExF5ZFO2A29GHWR5ES64Z9OS16J" localSheetId="6" hidden="1">#REF!</definedName>
    <definedName name="BExF5ZFO2A29GHWR5ES64Z9OS16J" hidden="1">#REF!</definedName>
    <definedName name="BExF67O951CF8UJF3KBDNR0E83C1" localSheetId="1" hidden="1">#REF!</definedName>
    <definedName name="BExF67O951CF8UJF3KBDNR0E83C1" localSheetId="7" hidden="1">#REF!</definedName>
    <definedName name="BExF67O951CF8UJF3KBDNR0E83C1" localSheetId="2" hidden="1">#REF!</definedName>
    <definedName name="BExF67O951CF8UJF3KBDNR0E83C1" localSheetId="34" hidden="1">#REF!</definedName>
    <definedName name="BExF67O951CF8UJF3KBDNR0E83C1" localSheetId="12" hidden="1">#REF!</definedName>
    <definedName name="BExF67O951CF8UJF3KBDNR0E83C1" localSheetId="10" hidden="1">#REF!</definedName>
    <definedName name="BExF67O951CF8UJF3KBDNR0E83C1" localSheetId="6" hidden="1">#REF!</definedName>
    <definedName name="BExF67O951CF8UJF3KBDNR0E83C1" hidden="1">#REF!</definedName>
    <definedName name="BExF6GNYXWY8A0SY4PW1B6KJMMTM" localSheetId="1" hidden="1">#REF!</definedName>
    <definedName name="BExF6GNYXWY8A0SY4PW1B6KJMMTM" localSheetId="7" hidden="1">#REF!</definedName>
    <definedName name="BExF6GNYXWY8A0SY4PW1B6KJMMTM" localSheetId="2" hidden="1">#REF!</definedName>
    <definedName name="BExF6GNYXWY8A0SY4PW1B6KJMMTM" localSheetId="34" hidden="1">#REF!</definedName>
    <definedName name="BExF6GNYXWY8A0SY4PW1B6KJMMTM" localSheetId="12" hidden="1">#REF!</definedName>
    <definedName name="BExF6GNYXWY8A0SY4PW1B6KJMMTM" localSheetId="10" hidden="1">#REF!</definedName>
    <definedName name="BExF6GNYXWY8A0SY4PW1B6KJMMTM" localSheetId="6" hidden="1">#REF!</definedName>
    <definedName name="BExF6GNYXWY8A0SY4PW1B6KJMMTM" hidden="1">#REF!</definedName>
    <definedName name="BExF7K88K7ASGV6RAOAGH52G04VR" localSheetId="1" hidden="1">#REF!</definedName>
    <definedName name="BExF7K88K7ASGV6RAOAGH52G04VR" localSheetId="7" hidden="1">#REF!</definedName>
    <definedName name="BExF7K88K7ASGV6RAOAGH52G04VR" localSheetId="2" hidden="1">#REF!</definedName>
    <definedName name="BExF7K88K7ASGV6RAOAGH52G04VR" localSheetId="34" hidden="1">#REF!</definedName>
    <definedName name="BExF7K88K7ASGV6RAOAGH52G04VR" localSheetId="12" hidden="1">#REF!</definedName>
    <definedName name="BExF7K88K7ASGV6RAOAGH52G04VR" localSheetId="10" hidden="1">#REF!</definedName>
    <definedName name="BExF7K88K7ASGV6RAOAGH52G04VR" localSheetId="6" hidden="1">#REF!</definedName>
    <definedName name="BExF7K88K7ASGV6RAOAGH52G04VR" hidden="1">#REF!</definedName>
    <definedName name="BExGL97US0Y3KXXASUTVR26XLT70" localSheetId="1" hidden="1">#REF!</definedName>
    <definedName name="BExGL97US0Y3KXXASUTVR26XLT70" localSheetId="7" hidden="1">#REF!</definedName>
    <definedName name="BExGL97US0Y3KXXASUTVR26XLT70" localSheetId="2" hidden="1">#REF!</definedName>
    <definedName name="BExGL97US0Y3KXXASUTVR26XLT70" localSheetId="34" hidden="1">#REF!</definedName>
    <definedName name="BExGL97US0Y3KXXASUTVR26XLT70" localSheetId="12" hidden="1">#REF!</definedName>
    <definedName name="BExGL97US0Y3KXXASUTVR26XLT70" localSheetId="10" hidden="1">#REF!</definedName>
    <definedName name="BExGL97US0Y3KXXASUTVR26XLT70" localSheetId="6" hidden="1">#REF!</definedName>
    <definedName name="BExGL97US0Y3KXXASUTVR26XLT70" hidden="1">#REF!</definedName>
    <definedName name="BExGMJDGIH0MEPC2TUSFUCY2ROTB" localSheetId="1" hidden="1">#REF!</definedName>
    <definedName name="BExGMJDGIH0MEPC2TUSFUCY2ROTB" localSheetId="7" hidden="1">#REF!</definedName>
    <definedName name="BExGMJDGIH0MEPC2TUSFUCY2ROTB" localSheetId="2" hidden="1">#REF!</definedName>
    <definedName name="BExGMJDGIH0MEPC2TUSFUCY2ROTB" localSheetId="34" hidden="1">#REF!</definedName>
    <definedName name="BExGMJDGIH0MEPC2TUSFUCY2ROTB" localSheetId="12" hidden="1">#REF!</definedName>
    <definedName name="BExGMJDGIH0MEPC2TUSFUCY2ROTB" localSheetId="10" hidden="1">#REF!</definedName>
    <definedName name="BExGMJDGIH0MEPC2TUSFUCY2ROTB" localSheetId="6" hidden="1">#REF!</definedName>
    <definedName name="BExGMJDGIH0MEPC2TUSFUCY2ROTB" hidden="1">#REF!</definedName>
    <definedName name="BExGNDSIMTHOCXXG6QOGR6DA8SGG" localSheetId="1" hidden="1">#REF!</definedName>
    <definedName name="BExGNDSIMTHOCXXG6QOGR6DA8SGG" localSheetId="7" hidden="1">#REF!</definedName>
    <definedName name="BExGNDSIMTHOCXXG6QOGR6DA8SGG" localSheetId="2" hidden="1">#REF!</definedName>
    <definedName name="BExGNDSIMTHOCXXG6QOGR6DA8SGG" localSheetId="34" hidden="1">#REF!</definedName>
    <definedName name="BExGNDSIMTHOCXXG6QOGR6DA8SGG" localSheetId="12" hidden="1">#REF!</definedName>
    <definedName name="BExGNDSIMTHOCXXG6QOGR6DA8SGG" localSheetId="10" hidden="1">#REF!</definedName>
    <definedName name="BExGNDSIMTHOCXXG6QOGR6DA8SGG" localSheetId="6" hidden="1">#REF!</definedName>
    <definedName name="BExGNDSIMTHOCXXG6QOGR6DA8SGG" hidden="1">#REF!</definedName>
    <definedName name="BExGNN2YQ9BDAZXT2GLCSAPXKIM7" localSheetId="1" hidden="1">#REF!</definedName>
    <definedName name="BExGNN2YQ9BDAZXT2GLCSAPXKIM7" localSheetId="7" hidden="1">#REF!</definedName>
    <definedName name="BExGNN2YQ9BDAZXT2GLCSAPXKIM7" localSheetId="2" hidden="1">#REF!</definedName>
    <definedName name="BExGNN2YQ9BDAZXT2GLCSAPXKIM7" localSheetId="34" hidden="1">#REF!</definedName>
    <definedName name="BExGNN2YQ9BDAZXT2GLCSAPXKIM7" localSheetId="12" hidden="1">#REF!</definedName>
    <definedName name="BExGNN2YQ9BDAZXT2GLCSAPXKIM7" localSheetId="10" hidden="1">#REF!</definedName>
    <definedName name="BExGNN2YQ9BDAZXT2GLCSAPXKIM7" localSheetId="6" hidden="1">#REF!</definedName>
    <definedName name="BExGNN2YQ9BDAZXT2GLCSAPXKIM7" hidden="1">#REF!</definedName>
    <definedName name="BExGNZO44DEG8CGIDYSEGDUQ531R" localSheetId="1" hidden="1">#REF!</definedName>
    <definedName name="BExGNZO44DEG8CGIDYSEGDUQ531R" localSheetId="7" hidden="1">#REF!</definedName>
    <definedName name="BExGNZO44DEG8CGIDYSEGDUQ531R" localSheetId="2" hidden="1">#REF!</definedName>
    <definedName name="BExGNZO44DEG8CGIDYSEGDUQ531R" localSheetId="34" hidden="1">#REF!</definedName>
    <definedName name="BExGNZO44DEG8CGIDYSEGDUQ531R" localSheetId="12" hidden="1">#REF!</definedName>
    <definedName name="BExGNZO44DEG8CGIDYSEGDUQ531R" localSheetId="10" hidden="1">#REF!</definedName>
    <definedName name="BExGNZO44DEG8CGIDYSEGDUQ531R" localSheetId="6" hidden="1">#REF!</definedName>
    <definedName name="BExGNZO44DEG8CGIDYSEGDUQ531R" hidden="1">#REF!</definedName>
    <definedName name="BExGO2YUBOVLYHY1QSIHRE1KLAFV" localSheetId="1" hidden="1">#REF!</definedName>
    <definedName name="BExGO2YUBOVLYHY1QSIHRE1KLAFV" localSheetId="7" hidden="1">#REF!</definedName>
    <definedName name="BExGO2YUBOVLYHY1QSIHRE1KLAFV" localSheetId="2" hidden="1">#REF!</definedName>
    <definedName name="BExGO2YUBOVLYHY1QSIHRE1KLAFV" localSheetId="34" hidden="1">#REF!</definedName>
    <definedName name="BExGO2YUBOVLYHY1QSIHRE1KLAFV" localSheetId="12" hidden="1">#REF!</definedName>
    <definedName name="BExGO2YUBOVLYHY1QSIHRE1KLAFV" localSheetId="10" hidden="1">#REF!</definedName>
    <definedName name="BExGO2YUBOVLYHY1QSIHRE1KLAFV" localSheetId="6" hidden="1">#REF!</definedName>
    <definedName name="BExGO2YUBOVLYHY1QSIHRE1KLAFV" hidden="1">#REF!</definedName>
    <definedName name="BExGODAZKJ9EXMQZNQR5YDBSS525" localSheetId="1" hidden="1">#REF!</definedName>
    <definedName name="BExGODAZKJ9EXMQZNQR5YDBSS525" localSheetId="7" hidden="1">#REF!</definedName>
    <definedName name="BExGODAZKJ9EXMQZNQR5YDBSS525" localSheetId="2" hidden="1">#REF!</definedName>
    <definedName name="BExGODAZKJ9EXMQZNQR5YDBSS525" localSheetId="34" hidden="1">#REF!</definedName>
    <definedName name="BExGODAZKJ9EXMQZNQR5YDBSS525" localSheetId="12" hidden="1">#REF!</definedName>
    <definedName name="BExGODAZKJ9EXMQZNQR5YDBSS525" localSheetId="10" hidden="1">#REF!</definedName>
    <definedName name="BExGODAZKJ9EXMQZNQR5YDBSS525" localSheetId="6" hidden="1">#REF!</definedName>
    <definedName name="BExGODAZKJ9EXMQZNQR5YDBSS525" hidden="1">#REF!</definedName>
    <definedName name="BExGQ36ZOMR9GV8T05M605MMOY3Y" localSheetId="1" hidden="1">#REF!</definedName>
    <definedName name="BExGQ36ZOMR9GV8T05M605MMOY3Y" localSheetId="7" hidden="1">#REF!</definedName>
    <definedName name="BExGQ36ZOMR9GV8T05M605MMOY3Y" localSheetId="2" hidden="1">#REF!</definedName>
    <definedName name="BExGQ36ZOMR9GV8T05M605MMOY3Y" localSheetId="34" hidden="1">#REF!</definedName>
    <definedName name="BExGQ36ZOMR9GV8T05M605MMOY3Y" localSheetId="12" hidden="1">#REF!</definedName>
    <definedName name="BExGQ36ZOMR9GV8T05M605MMOY3Y" localSheetId="10" hidden="1">#REF!</definedName>
    <definedName name="BExGQ36ZOMR9GV8T05M605MMOY3Y" localSheetId="6" hidden="1">#REF!</definedName>
    <definedName name="BExGQ36ZOMR9GV8T05M605MMOY3Y" hidden="1">#REF!</definedName>
    <definedName name="BExGQX0H4EZMXBJTKJJE4ICJWN5O" localSheetId="1" hidden="1">#REF!</definedName>
    <definedName name="BExGQX0H4EZMXBJTKJJE4ICJWN5O" localSheetId="7" hidden="1">#REF!</definedName>
    <definedName name="BExGQX0H4EZMXBJTKJJE4ICJWN5O" localSheetId="2" hidden="1">#REF!</definedName>
    <definedName name="BExGQX0H4EZMXBJTKJJE4ICJWN5O" localSheetId="34" hidden="1">#REF!</definedName>
    <definedName name="BExGQX0H4EZMXBJTKJJE4ICJWN5O" localSheetId="12" hidden="1">#REF!</definedName>
    <definedName name="BExGQX0H4EZMXBJTKJJE4ICJWN5O" localSheetId="10" hidden="1">#REF!</definedName>
    <definedName name="BExGQX0H4EZMXBJTKJJE4ICJWN5O" localSheetId="6" hidden="1">#REF!</definedName>
    <definedName name="BExGQX0H4EZMXBJTKJJE4ICJWN5O" hidden="1">#REF!</definedName>
    <definedName name="BExGSQY65LH1PCKKM5WHDW83F35O" localSheetId="1" hidden="1">#REF!</definedName>
    <definedName name="BExGSQY65LH1PCKKM5WHDW83F35O" localSheetId="7" hidden="1">#REF!</definedName>
    <definedName name="BExGSQY65LH1PCKKM5WHDW83F35O" localSheetId="2" hidden="1">#REF!</definedName>
    <definedName name="BExGSQY65LH1PCKKM5WHDW83F35O" localSheetId="34" hidden="1">#REF!</definedName>
    <definedName name="BExGSQY65LH1PCKKM5WHDW83F35O" localSheetId="12" hidden="1">#REF!</definedName>
    <definedName name="BExGSQY65LH1PCKKM5WHDW83F35O" localSheetId="10" hidden="1">#REF!</definedName>
    <definedName name="BExGSQY65LH1PCKKM5WHDW83F35O" localSheetId="6" hidden="1">#REF!</definedName>
    <definedName name="BExGSQY65LH1PCKKM5WHDW83F35O" hidden="1">#REF!</definedName>
    <definedName name="BExGT0DZJB6LSF6L693UUB9EY1VQ" localSheetId="1" hidden="1">#REF!</definedName>
    <definedName name="BExGT0DZJB6LSF6L693UUB9EY1VQ" localSheetId="7" hidden="1">#REF!</definedName>
    <definedName name="BExGT0DZJB6LSF6L693UUB9EY1VQ" localSheetId="2" hidden="1">#REF!</definedName>
    <definedName name="BExGT0DZJB6LSF6L693UUB9EY1VQ" localSheetId="34" hidden="1">#REF!</definedName>
    <definedName name="BExGT0DZJB6LSF6L693UUB9EY1VQ" localSheetId="12" hidden="1">#REF!</definedName>
    <definedName name="BExGT0DZJB6LSF6L693UUB9EY1VQ" localSheetId="10" hidden="1">#REF!</definedName>
    <definedName name="BExGT0DZJB6LSF6L693UUB9EY1VQ" localSheetId="6" hidden="1">#REF!</definedName>
    <definedName name="BExGT0DZJB6LSF6L693UUB9EY1VQ" hidden="1">#REF!</definedName>
    <definedName name="BExGTIYX3OWPIINOGY1E4QQYSKHP" localSheetId="1" hidden="1">#REF!</definedName>
    <definedName name="BExGTIYX3OWPIINOGY1E4QQYSKHP" localSheetId="7" hidden="1">#REF!</definedName>
    <definedName name="BExGTIYX3OWPIINOGY1E4QQYSKHP" localSheetId="2" hidden="1">#REF!</definedName>
    <definedName name="BExGTIYX3OWPIINOGY1E4QQYSKHP" localSheetId="34" hidden="1">#REF!</definedName>
    <definedName name="BExGTIYX3OWPIINOGY1E4QQYSKHP" localSheetId="12" hidden="1">#REF!</definedName>
    <definedName name="BExGTIYX3OWPIINOGY1E4QQYSKHP" localSheetId="10" hidden="1">#REF!</definedName>
    <definedName name="BExGTIYX3OWPIINOGY1E4QQYSKHP" localSheetId="6" hidden="1">#REF!</definedName>
    <definedName name="BExGTIYX3OWPIINOGY1E4QQYSKHP" hidden="1">#REF!</definedName>
    <definedName name="BExGUDDZXFFQHAF4UZF8ZB1HO7H6" localSheetId="1" hidden="1">#REF!</definedName>
    <definedName name="BExGUDDZXFFQHAF4UZF8ZB1HO7H6" localSheetId="7" hidden="1">#REF!</definedName>
    <definedName name="BExGUDDZXFFQHAF4UZF8ZB1HO7H6" localSheetId="2" hidden="1">#REF!</definedName>
    <definedName name="BExGUDDZXFFQHAF4UZF8ZB1HO7H6" localSheetId="34" hidden="1">#REF!</definedName>
    <definedName name="BExGUDDZXFFQHAF4UZF8ZB1HO7H6" localSheetId="12" hidden="1">#REF!</definedName>
    <definedName name="BExGUDDZXFFQHAF4UZF8ZB1HO7H6" localSheetId="10" hidden="1">#REF!</definedName>
    <definedName name="BExGUDDZXFFQHAF4UZF8ZB1HO7H6" localSheetId="6" hidden="1">#REF!</definedName>
    <definedName name="BExGUDDZXFFQHAF4UZF8ZB1HO7H6" hidden="1">#REF!</definedName>
    <definedName name="BExGUM8D91UNPCOO4TKP9FGX85TF" localSheetId="1" hidden="1">#REF!</definedName>
    <definedName name="BExGUM8D91UNPCOO4TKP9FGX85TF" localSheetId="7" hidden="1">#REF!</definedName>
    <definedName name="BExGUM8D91UNPCOO4TKP9FGX85TF" localSheetId="2" hidden="1">#REF!</definedName>
    <definedName name="BExGUM8D91UNPCOO4TKP9FGX85TF" localSheetId="34" hidden="1">#REF!</definedName>
    <definedName name="BExGUM8D91UNPCOO4TKP9FGX85TF" localSheetId="12" hidden="1">#REF!</definedName>
    <definedName name="BExGUM8D91UNPCOO4TKP9FGX85TF" localSheetId="10" hidden="1">#REF!</definedName>
    <definedName name="BExGUM8D91UNPCOO4TKP9FGX85TF" localSheetId="6" hidden="1">#REF!</definedName>
    <definedName name="BExGUM8D91UNPCOO4TKP9FGX85TF" hidden="1">#REF!</definedName>
    <definedName name="BExGWEO0JDG84NYLEAV5NSOAGMJZ" localSheetId="1" hidden="1">#REF!</definedName>
    <definedName name="BExGWEO0JDG84NYLEAV5NSOAGMJZ" localSheetId="7" hidden="1">#REF!</definedName>
    <definedName name="BExGWEO0JDG84NYLEAV5NSOAGMJZ" localSheetId="2" hidden="1">#REF!</definedName>
    <definedName name="BExGWEO0JDG84NYLEAV5NSOAGMJZ" localSheetId="34" hidden="1">#REF!</definedName>
    <definedName name="BExGWEO0JDG84NYLEAV5NSOAGMJZ" localSheetId="12" hidden="1">#REF!</definedName>
    <definedName name="BExGWEO0JDG84NYLEAV5NSOAGMJZ" localSheetId="10" hidden="1">#REF!</definedName>
    <definedName name="BExGWEO0JDG84NYLEAV5NSOAGMJZ" localSheetId="6" hidden="1">#REF!</definedName>
    <definedName name="BExGWEO0JDG84NYLEAV5NSOAGMJZ" hidden="1">#REF!</definedName>
    <definedName name="BExGWNCXLCRTLBVMTXYJ5PHQI6SS" localSheetId="1" hidden="1">#REF!</definedName>
    <definedName name="BExGWNCXLCRTLBVMTXYJ5PHQI6SS" localSheetId="7" hidden="1">#REF!</definedName>
    <definedName name="BExGWNCXLCRTLBVMTXYJ5PHQI6SS" localSheetId="2" hidden="1">#REF!</definedName>
    <definedName name="BExGWNCXLCRTLBVMTXYJ5PHQI6SS" localSheetId="34" hidden="1">#REF!</definedName>
    <definedName name="BExGWNCXLCRTLBVMTXYJ5PHQI6SS" localSheetId="12" hidden="1">#REF!</definedName>
    <definedName name="BExGWNCXLCRTLBVMTXYJ5PHQI6SS" localSheetId="10" hidden="1">#REF!</definedName>
    <definedName name="BExGWNCXLCRTLBVMTXYJ5PHQI6SS" localSheetId="6" hidden="1">#REF!</definedName>
    <definedName name="BExGWNCXLCRTLBVMTXYJ5PHQI6SS" hidden="1">#REF!</definedName>
    <definedName name="BExGX7FTB1CKAT5HUW6H531FIY6I" localSheetId="1" hidden="1">#REF!</definedName>
    <definedName name="BExGX7FTB1CKAT5HUW6H531FIY6I" localSheetId="7" hidden="1">#REF!</definedName>
    <definedName name="BExGX7FTB1CKAT5HUW6H531FIY6I" localSheetId="2" hidden="1">#REF!</definedName>
    <definedName name="BExGX7FTB1CKAT5HUW6H531FIY6I" localSheetId="34" hidden="1">#REF!</definedName>
    <definedName name="BExGX7FTB1CKAT5HUW6H531FIY6I" localSheetId="12" hidden="1">#REF!</definedName>
    <definedName name="BExGX7FTB1CKAT5HUW6H531FIY6I" localSheetId="10" hidden="1">#REF!</definedName>
    <definedName name="BExGX7FTB1CKAT5HUW6H531FIY6I" localSheetId="6" hidden="1">#REF!</definedName>
    <definedName name="BExGX7FTB1CKAT5HUW6H531FIY6I" hidden="1">#REF!</definedName>
    <definedName name="BExH02ZD6VAY1KQLAQYBBI6WWIZB" localSheetId="1" hidden="1">#REF!</definedName>
    <definedName name="BExH02ZD6VAY1KQLAQYBBI6WWIZB" localSheetId="7" hidden="1">#REF!</definedName>
    <definedName name="BExH02ZD6VAY1KQLAQYBBI6WWIZB" localSheetId="2" hidden="1">#REF!</definedName>
    <definedName name="BExH02ZD6VAY1KQLAQYBBI6WWIZB" localSheetId="34" hidden="1">#REF!</definedName>
    <definedName name="BExH02ZD6VAY1KQLAQYBBI6WWIZB" localSheetId="12" hidden="1">#REF!</definedName>
    <definedName name="BExH02ZD6VAY1KQLAQYBBI6WWIZB" localSheetId="10" hidden="1">#REF!</definedName>
    <definedName name="BExH02ZD6VAY1KQLAQYBBI6WWIZB" localSheetId="6" hidden="1">#REF!</definedName>
    <definedName name="BExH02ZD6VAY1KQLAQYBBI6WWIZB" hidden="1">#REF!</definedName>
    <definedName name="BExH0WNJAKTJRCKMTX8O4KNMIIJM" localSheetId="1" hidden="1">#REF!</definedName>
    <definedName name="BExH0WNJAKTJRCKMTX8O4KNMIIJM" localSheetId="7" hidden="1">#REF!</definedName>
    <definedName name="BExH0WNJAKTJRCKMTX8O4KNMIIJM" localSheetId="2" hidden="1">#REF!</definedName>
    <definedName name="BExH0WNJAKTJRCKMTX8O4KNMIIJM" localSheetId="34" hidden="1">#REF!</definedName>
    <definedName name="BExH0WNJAKTJRCKMTX8O4KNMIIJM" localSheetId="12" hidden="1">#REF!</definedName>
    <definedName name="BExH0WNJAKTJRCKMTX8O4KNMIIJM" localSheetId="10" hidden="1">#REF!</definedName>
    <definedName name="BExH0WNJAKTJRCKMTX8O4KNMIIJM" localSheetId="6" hidden="1">#REF!</definedName>
    <definedName name="BExH0WNJAKTJRCKMTX8O4KNMIIJM" hidden="1">#REF!</definedName>
    <definedName name="BExH1FDTQXR9QQ31WDB7OPXU7MPT" localSheetId="1" hidden="1">#REF!</definedName>
    <definedName name="BExH1FDTQXR9QQ31WDB7OPXU7MPT" localSheetId="7" hidden="1">#REF!</definedName>
    <definedName name="BExH1FDTQXR9QQ31WDB7OPXU7MPT" localSheetId="2" hidden="1">#REF!</definedName>
    <definedName name="BExH1FDTQXR9QQ31WDB7OPXU7MPT" localSheetId="34" hidden="1">#REF!</definedName>
    <definedName name="BExH1FDTQXR9QQ31WDB7OPXU7MPT" localSheetId="12" hidden="1">#REF!</definedName>
    <definedName name="BExH1FDTQXR9QQ31WDB7OPXU7MPT" localSheetId="10" hidden="1">#REF!</definedName>
    <definedName name="BExH1FDTQXR9QQ31WDB7OPXU7MPT" localSheetId="6" hidden="1">#REF!</definedName>
    <definedName name="BExH1FDTQXR9QQ31WDB7OPXU7MPT" hidden="1">#REF!</definedName>
    <definedName name="BExH2ZA0SZ4SSITL50NA8LZ3OEX6" localSheetId="1" hidden="1">#REF!</definedName>
    <definedName name="BExH2ZA0SZ4SSITL50NA8LZ3OEX6" localSheetId="7" hidden="1">#REF!</definedName>
    <definedName name="BExH2ZA0SZ4SSITL50NA8LZ3OEX6" localSheetId="2" hidden="1">#REF!</definedName>
    <definedName name="BExH2ZA0SZ4SSITL50NA8LZ3OEX6" localSheetId="34" hidden="1">#REF!</definedName>
    <definedName name="BExH2ZA0SZ4SSITL50NA8LZ3OEX6" localSheetId="12" hidden="1">#REF!</definedName>
    <definedName name="BExH2ZA0SZ4SSITL50NA8LZ3OEX6" localSheetId="10" hidden="1">#REF!</definedName>
    <definedName name="BExH2ZA0SZ4SSITL50NA8LZ3OEX6" localSheetId="6" hidden="1">#REF!</definedName>
    <definedName name="BExH2ZA0SZ4SSITL50NA8LZ3OEX6" hidden="1">#REF!</definedName>
    <definedName name="BExIGWT86FPOEYTI8GXCGU5Y3KGK" localSheetId="1" hidden="1">#REF!</definedName>
    <definedName name="BExIGWT86FPOEYTI8GXCGU5Y3KGK" localSheetId="7" hidden="1">#REF!</definedName>
    <definedName name="BExIGWT86FPOEYTI8GXCGU5Y3KGK" localSheetId="2" hidden="1">#REF!</definedName>
    <definedName name="BExIGWT86FPOEYTI8GXCGU5Y3KGK" localSheetId="34" hidden="1">#REF!</definedName>
    <definedName name="BExIGWT86FPOEYTI8GXCGU5Y3KGK" localSheetId="12" hidden="1">#REF!</definedName>
    <definedName name="BExIGWT86FPOEYTI8GXCGU5Y3KGK" localSheetId="10" hidden="1">#REF!</definedName>
    <definedName name="BExIGWT86FPOEYTI8GXCGU5Y3KGK" localSheetId="6" hidden="1">#REF!</definedName>
    <definedName name="BExIGWT86FPOEYTI8GXCGU5Y3KGK" hidden="1">#REF!</definedName>
    <definedName name="BExIJFGZJ5ED9D6KAY4PGQYLELAX" localSheetId="1" hidden="1">#REF!</definedName>
    <definedName name="BExIJFGZJ5ED9D6KAY4PGQYLELAX" localSheetId="7" hidden="1">#REF!</definedName>
    <definedName name="BExIJFGZJ5ED9D6KAY4PGQYLELAX" localSheetId="2" hidden="1">#REF!</definedName>
    <definedName name="BExIJFGZJ5ED9D6KAY4PGQYLELAX" localSheetId="34" hidden="1">#REF!</definedName>
    <definedName name="BExIJFGZJ5ED9D6KAY4PGQYLELAX" localSheetId="12" hidden="1">#REF!</definedName>
    <definedName name="BExIJFGZJ5ED9D6KAY4PGQYLELAX" localSheetId="10" hidden="1">#REF!</definedName>
    <definedName name="BExIJFGZJ5ED9D6KAY4PGQYLELAX" localSheetId="6" hidden="1">#REF!</definedName>
    <definedName name="BExIJFGZJ5ED9D6KAY4PGQYLELAX" hidden="1">#REF!</definedName>
    <definedName name="BExILG5F338C0FFLMVOKMKF8X5ZP" localSheetId="1" hidden="1">#REF!</definedName>
    <definedName name="BExILG5F338C0FFLMVOKMKF8X5ZP" localSheetId="7" hidden="1">#REF!</definedName>
    <definedName name="BExILG5F338C0FFLMVOKMKF8X5ZP" localSheetId="2" hidden="1">#REF!</definedName>
    <definedName name="BExILG5F338C0FFLMVOKMKF8X5ZP" localSheetId="34" hidden="1">#REF!</definedName>
    <definedName name="BExILG5F338C0FFLMVOKMKF8X5ZP" localSheetId="12" hidden="1">#REF!</definedName>
    <definedName name="BExILG5F338C0FFLMVOKMKF8X5ZP" localSheetId="10" hidden="1">#REF!</definedName>
    <definedName name="BExILG5F338C0FFLMVOKMKF8X5ZP" localSheetId="6" hidden="1">#REF!</definedName>
    <definedName name="BExILG5F338C0FFLMVOKMKF8X5ZP" hidden="1">#REF!</definedName>
    <definedName name="BExINLX401ZKEGWU168DS4JUM2J6" localSheetId="1" hidden="1">#REF!</definedName>
    <definedName name="BExINLX401ZKEGWU168DS4JUM2J6" localSheetId="7" hidden="1">#REF!</definedName>
    <definedName name="BExINLX401ZKEGWU168DS4JUM2J6" localSheetId="2" hidden="1">#REF!</definedName>
    <definedName name="BExINLX401ZKEGWU168DS4JUM2J6" localSheetId="34" hidden="1">#REF!</definedName>
    <definedName name="BExINLX401ZKEGWU168DS4JUM2J6" localSheetId="12" hidden="1">#REF!</definedName>
    <definedName name="BExINLX401ZKEGWU168DS4JUM2J6" localSheetId="10" hidden="1">#REF!</definedName>
    <definedName name="BExINLX401ZKEGWU168DS4JUM2J6" localSheetId="6" hidden="1">#REF!</definedName>
    <definedName name="BExINLX401ZKEGWU168DS4JUM2J6" hidden="1">#REF!</definedName>
    <definedName name="BExINMYYJO1FTV1CZF6O5XCFAMQX" localSheetId="1" hidden="1">#REF!</definedName>
    <definedName name="BExINMYYJO1FTV1CZF6O5XCFAMQX" localSheetId="7" hidden="1">#REF!</definedName>
    <definedName name="BExINMYYJO1FTV1CZF6O5XCFAMQX" localSheetId="2" hidden="1">#REF!</definedName>
    <definedName name="BExINMYYJO1FTV1CZF6O5XCFAMQX" localSheetId="34" hidden="1">#REF!</definedName>
    <definedName name="BExINMYYJO1FTV1CZF6O5XCFAMQX" localSheetId="12" hidden="1">#REF!</definedName>
    <definedName name="BExINMYYJO1FTV1CZF6O5XCFAMQX" localSheetId="10" hidden="1">#REF!</definedName>
    <definedName name="BExINMYYJO1FTV1CZF6O5XCFAMQX" localSheetId="6" hidden="1">#REF!</definedName>
    <definedName name="BExINMYYJO1FTV1CZF6O5XCFAMQX" hidden="1">#REF!</definedName>
    <definedName name="BExIPDLT8JYAMGE5HTN4D1YHZF3V" localSheetId="1" hidden="1">#REF!</definedName>
    <definedName name="BExIPDLT8JYAMGE5HTN4D1YHZF3V" localSheetId="7" hidden="1">#REF!</definedName>
    <definedName name="BExIPDLT8JYAMGE5HTN4D1YHZF3V" localSheetId="2" hidden="1">#REF!</definedName>
    <definedName name="BExIPDLT8JYAMGE5HTN4D1YHZF3V" localSheetId="34" hidden="1">#REF!</definedName>
    <definedName name="BExIPDLT8JYAMGE5HTN4D1YHZF3V" localSheetId="12" hidden="1">#REF!</definedName>
    <definedName name="BExIPDLT8JYAMGE5HTN4D1YHZF3V" localSheetId="10" hidden="1">#REF!</definedName>
    <definedName name="BExIPDLT8JYAMGE5HTN4D1YHZF3V" localSheetId="6" hidden="1">#REF!</definedName>
    <definedName name="BExIPDLT8JYAMGE5HTN4D1YHZF3V" hidden="1">#REF!</definedName>
    <definedName name="BExIPYAAOZP764DQYX0K3FGLP313" localSheetId="1" hidden="1">#REF!</definedName>
    <definedName name="BExIPYAAOZP764DQYX0K3FGLP313" localSheetId="7" hidden="1">#REF!</definedName>
    <definedName name="BExIPYAAOZP764DQYX0K3FGLP313" localSheetId="2" hidden="1">#REF!</definedName>
    <definedName name="BExIPYAAOZP764DQYX0K3FGLP313" localSheetId="34" hidden="1">#REF!</definedName>
    <definedName name="BExIPYAAOZP764DQYX0K3FGLP313" localSheetId="12" hidden="1">#REF!</definedName>
    <definedName name="BExIPYAAOZP764DQYX0K3FGLP313" localSheetId="10" hidden="1">#REF!</definedName>
    <definedName name="BExIPYAAOZP764DQYX0K3FGLP313" localSheetId="6" hidden="1">#REF!</definedName>
    <definedName name="BExIPYAAOZP764DQYX0K3FGLP313" hidden="1">#REF!</definedName>
    <definedName name="BExIUUT2MHIOV6R3WHA0DPM1KBKY" localSheetId="1" hidden="1">#REF!</definedName>
    <definedName name="BExIUUT2MHIOV6R3WHA0DPM1KBKY" localSheetId="7" hidden="1">#REF!</definedName>
    <definedName name="BExIUUT2MHIOV6R3WHA0DPM1KBKY" localSheetId="2" hidden="1">#REF!</definedName>
    <definedName name="BExIUUT2MHIOV6R3WHA0DPM1KBKY" localSheetId="34" hidden="1">#REF!</definedName>
    <definedName name="BExIUUT2MHIOV6R3WHA0DPM1KBKY" localSheetId="12" hidden="1">#REF!</definedName>
    <definedName name="BExIUUT2MHIOV6R3WHA0DPM1KBKY" localSheetId="10" hidden="1">#REF!</definedName>
    <definedName name="BExIUUT2MHIOV6R3WHA0DPM1KBKY" localSheetId="6" hidden="1">#REF!</definedName>
    <definedName name="BExIUUT2MHIOV6R3WHA0DPM1KBKY" hidden="1">#REF!</definedName>
    <definedName name="BExIVYTFI35KNR2XSA6N8OJYUTUR" localSheetId="1" hidden="1">#REF!</definedName>
    <definedName name="BExIVYTFI35KNR2XSA6N8OJYUTUR" localSheetId="7" hidden="1">#REF!</definedName>
    <definedName name="BExIVYTFI35KNR2XSA6N8OJYUTUR" localSheetId="2" hidden="1">#REF!</definedName>
    <definedName name="BExIVYTFI35KNR2XSA6N8OJYUTUR" localSheetId="34" hidden="1">#REF!</definedName>
    <definedName name="BExIVYTFI35KNR2XSA6N8OJYUTUR" localSheetId="12" hidden="1">#REF!</definedName>
    <definedName name="BExIVYTFI35KNR2XSA6N8OJYUTUR" localSheetId="10" hidden="1">#REF!</definedName>
    <definedName name="BExIVYTFI35KNR2XSA6N8OJYUTUR" localSheetId="6" hidden="1">#REF!</definedName>
    <definedName name="BExIVYTFI35KNR2XSA6N8OJYUTUR" hidden="1">#REF!</definedName>
    <definedName name="BExIWG1W7XP9DFYYSZAIOSHM0QLQ" localSheetId="1" hidden="1">#REF!</definedName>
    <definedName name="BExIWG1W7XP9DFYYSZAIOSHM0QLQ" localSheetId="7" hidden="1">#REF!</definedName>
    <definedName name="BExIWG1W7XP9DFYYSZAIOSHM0QLQ" localSheetId="2" hidden="1">#REF!</definedName>
    <definedName name="BExIWG1W7XP9DFYYSZAIOSHM0QLQ" localSheetId="34" hidden="1">#REF!</definedName>
    <definedName name="BExIWG1W7XP9DFYYSZAIOSHM0QLQ" localSheetId="12" hidden="1">#REF!</definedName>
    <definedName name="BExIWG1W7XP9DFYYSZAIOSHM0QLQ" localSheetId="10" hidden="1">#REF!</definedName>
    <definedName name="BExIWG1W7XP9DFYYSZAIOSHM0QLQ" localSheetId="6" hidden="1">#REF!</definedName>
    <definedName name="BExIWG1W7XP9DFYYSZAIOSHM0QLQ" hidden="1">#REF!</definedName>
    <definedName name="BExIYI2RH0K4225XO970K2IQ1E79" localSheetId="1" hidden="1">#REF!</definedName>
    <definedName name="BExIYI2RH0K4225XO970K2IQ1E79" localSheetId="7" hidden="1">#REF!</definedName>
    <definedName name="BExIYI2RH0K4225XO970K2IQ1E79" localSheetId="2" hidden="1">#REF!</definedName>
    <definedName name="BExIYI2RH0K4225XO970K2IQ1E79" localSheetId="34" hidden="1">#REF!</definedName>
    <definedName name="BExIYI2RH0K4225XO970K2IQ1E79" localSheetId="12" hidden="1">#REF!</definedName>
    <definedName name="BExIYI2RH0K4225XO970K2IQ1E79" localSheetId="10" hidden="1">#REF!</definedName>
    <definedName name="BExIYI2RH0K4225XO970K2IQ1E79" localSheetId="6" hidden="1">#REF!</definedName>
    <definedName name="BExIYI2RH0K4225XO970K2IQ1E79" hidden="1">#REF!</definedName>
    <definedName name="BExJ08KBRR2XMWW3VZMPSQKXHZUH" localSheetId="1" hidden="1">#REF!</definedName>
    <definedName name="BExJ08KBRR2XMWW3VZMPSQKXHZUH" localSheetId="7" hidden="1">#REF!</definedName>
    <definedName name="BExJ08KBRR2XMWW3VZMPSQKXHZUH" localSheetId="2" hidden="1">#REF!</definedName>
    <definedName name="BExJ08KBRR2XMWW3VZMPSQKXHZUH" localSheetId="34" hidden="1">#REF!</definedName>
    <definedName name="BExJ08KBRR2XMWW3VZMPSQKXHZUH" localSheetId="12" hidden="1">#REF!</definedName>
    <definedName name="BExJ08KBRR2XMWW3VZMPSQKXHZUH" localSheetId="10" hidden="1">#REF!</definedName>
    <definedName name="BExJ08KBRR2XMWW3VZMPSQKXHZUH" localSheetId="6" hidden="1">#REF!</definedName>
    <definedName name="BExJ08KBRR2XMWW3VZMPSQKXHZUH" hidden="1">#REF!</definedName>
    <definedName name="BExKI4076KXCDE5KXL79KT36OKLO" localSheetId="1" hidden="1">#REF!</definedName>
    <definedName name="BExKI4076KXCDE5KXL79KT36OKLO" localSheetId="7" hidden="1">#REF!</definedName>
    <definedName name="BExKI4076KXCDE5KXL79KT36OKLO" localSheetId="2" hidden="1">#REF!</definedName>
    <definedName name="BExKI4076KXCDE5KXL79KT36OKLO" localSheetId="34" hidden="1">#REF!</definedName>
    <definedName name="BExKI4076KXCDE5KXL79KT36OKLO" localSheetId="12" hidden="1">#REF!</definedName>
    <definedName name="BExKI4076KXCDE5KXL79KT36OKLO" localSheetId="10" hidden="1">#REF!</definedName>
    <definedName name="BExKI4076KXCDE5KXL79KT36OKLO" localSheetId="6" hidden="1">#REF!</definedName>
    <definedName name="BExKI4076KXCDE5KXL79KT36OKLO" hidden="1">#REF!</definedName>
    <definedName name="BExKKQ3ZWADYV03YHMXDOAMU90EB" localSheetId="1" hidden="1">#REF!</definedName>
    <definedName name="BExKKQ3ZWADYV03YHMXDOAMU90EB" localSheetId="7" hidden="1">#REF!</definedName>
    <definedName name="BExKKQ3ZWADYV03YHMXDOAMU90EB" localSheetId="2" hidden="1">#REF!</definedName>
    <definedName name="BExKKQ3ZWADYV03YHMXDOAMU90EB" localSheetId="34" hidden="1">#REF!</definedName>
    <definedName name="BExKKQ3ZWADYV03YHMXDOAMU90EB" localSheetId="12" hidden="1">#REF!</definedName>
    <definedName name="BExKKQ3ZWADYV03YHMXDOAMU90EB" localSheetId="10" hidden="1">#REF!</definedName>
    <definedName name="BExKKQ3ZWADYV03YHMXDOAMU90EB" localSheetId="6" hidden="1">#REF!</definedName>
    <definedName name="BExKKQ3ZWADYV03YHMXDOAMU90EB" hidden="1">#REF!</definedName>
    <definedName name="BExKPLQJX0HJ8OTXBXH9IC9J2V0W" localSheetId="1" hidden="1">#REF!</definedName>
    <definedName name="BExKPLQJX0HJ8OTXBXH9IC9J2V0W" localSheetId="7" hidden="1">#REF!</definedName>
    <definedName name="BExKPLQJX0HJ8OTXBXH9IC9J2V0W" localSheetId="2" hidden="1">#REF!</definedName>
    <definedName name="BExKPLQJX0HJ8OTXBXH9IC9J2V0W" localSheetId="34" hidden="1">#REF!</definedName>
    <definedName name="BExKPLQJX0HJ8OTXBXH9IC9J2V0W" localSheetId="12" hidden="1">#REF!</definedName>
    <definedName name="BExKPLQJX0HJ8OTXBXH9IC9J2V0W" localSheetId="10" hidden="1">#REF!</definedName>
    <definedName name="BExKPLQJX0HJ8OTXBXH9IC9J2V0W" localSheetId="6" hidden="1">#REF!</definedName>
    <definedName name="BExKPLQJX0HJ8OTXBXH9IC9J2V0W" hidden="1">#REF!</definedName>
    <definedName name="BExKQJGAAWNM3NT19E9I0CQDBTU0" localSheetId="1" hidden="1">#REF!</definedName>
    <definedName name="BExKQJGAAWNM3NT19E9I0CQDBTU0" localSheetId="7" hidden="1">#REF!</definedName>
    <definedName name="BExKQJGAAWNM3NT19E9I0CQDBTU0" localSheetId="2" hidden="1">#REF!</definedName>
    <definedName name="BExKQJGAAWNM3NT19E9I0CQDBTU0" localSheetId="34" hidden="1">#REF!</definedName>
    <definedName name="BExKQJGAAWNM3NT19E9I0CQDBTU0" localSheetId="12" hidden="1">#REF!</definedName>
    <definedName name="BExKQJGAAWNM3NT19E9I0CQDBTU0" localSheetId="10" hidden="1">#REF!</definedName>
    <definedName name="BExKQJGAAWNM3NT19E9I0CQDBTU0" localSheetId="6" hidden="1">#REF!</definedName>
    <definedName name="BExKQJGAAWNM3NT19E9I0CQDBTU0" hidden="1">#REF!</definedName>
    <definedName name="BExKVFZ3ZZGIC1QI8XN6BYFWN0ZY" localSheetId="1" hidden="1">#REF!</definedName>
    <definedName name="BExKVFZ3ZZGIC1QI8XN6BYFWN0ZY" localSheetId="7" hidden="1">#REF!</definedName>
    <definedName name="BExKVFZ3ZZGIC1QI8XN6BYFWN0ZY" localSheetId="2" hidden="1">#REF!</definedName>
    <definedName name="BExKVFZ3ZZGIC1QI8XN6BYFWN0ZY" localSheetId="34" hidden="1">#REF!</definedName>
    <definedName name="BExKVFZ3ZZGIC1QI8XN6BYFWN0ZY" localSheetId="12" hidden="1">#REF!</definedName>
    <definedName name="BExKVFZ3ZZGIC1QI8XN6BYFWN0ZY" localSheetId="10" hidden="1">#REF!</definedName>
    <definedName name="BExKVFZ3ZZGIC1QI8XN6BYFWN0ZY" localSheetId="6" hidden="1">#REF!</definedName>
    <definedName name="BExKVFZ3ZZGIC1QI8XN6BYFWN0ZY" hidden="1">#REF!</definedName>
    <definedName name="BExM9OG182RP30MY23PG49LVPZ1C" localSheetId="1" hidden="1">#REF!</definedName>
    <definedName name="BExM9OG182RP30MY23PG49LVPZ1C" localSheetId="7" hidden="1">#REF!</definedName>
    <definedName name="BExM9OG182RP30MY23PG49LVPZ1C" localSheetId="2" hidden="1">#REF!</definedName>
    <definedName name="BExM9OG182RP30MY23PG49LVPZ1C" localSheetId="34" hidden="1">#REF!</definedName>
    <definedName name="BExM9OG182RP30MY23PG49LVPZ1C" localSheetId="12" hidden="1">#REF!</definedName>
    <definedName name="BExM9OG182RP30MY23PG49LVPZ1C" localSheetId="10" hidden="1">#REF!</definedName>
    <definedName name="BExM9OG182RP30MY23PG49LVPZ1C" localSheetId="6" hidden="1">#REF!</definedName>
    <definedName name="BExM9OG182RP30MY23PG49LVPZ1C" hidden="1">#REF!</definedName>
    <definedName name="BExMALEWFUEM8Y686IT03ECURUBR" localSheetId="1" hidden="1">#REF!</definedName>
    <definedName name="BExMALEWFUEM8Y686IT03ECURUBR" localSheetId="7" hidden="1">#REF!</definedName>
    <definedName name="BExMALEWFUEM8Y686IT03ECURUBR" localSheetId="2" hidden="1">#REF!</definedName>
    <definedName name="BExMALEWFUEM8Y686IT03ECURUBR" localSheetId="34" hidden="1">#REF!</definedName>
    <definedName name="BExMALEWFUEM8Y686IT03ECURUBR" localSheetId="12" hidden="1">#REF!</definedName>
    <definedName name="BExMALEWFUEM8Y686IT03ECURUBR" localSheetId="10" hidden="1">#REF!</definedName>
    <definedName name="BExMALEWFUEM8Y686IT03ECURUBR" localSheetId="6" hidden="1">#REF!</definedName>
    <definedName name="BExMALEWFUEM8Y686IT03ECURUBR" hidden="1">#REF!</definedName>
    <definedName name="BExMBYPQDG9AYDQ5E8IECVFREPO6" localSheetId="1" hidden="1">#REF!</definedName>
    <definedName name="BExMBYPQDG9AYDQ5E8IECVFREPO6" localSheetId="7" hidden="1">#REF!</definedName>
    <definedName name="BExMBYPQDG9AYDQ5E8IECVFREPO6" localSheetId="2" hidden="1">#REF!</definedName>
    <definedName name="BExMBYPQDG9AYDQ5E8IECVFREPO6" localSheetId="34" hidden="1">#REF!</definedName>
    <definedName name="BExMBYPQDG9AYDQ5E8IECVFREPO6" localSheetId="12" hidden="1">#REF!</definedName>
    <definedName name="BExMBYPQDG9AYDQ5E8IECVFREPO6" localSheetId="10" hidden="1">#REF!</definedName>
    <definedName name="BExMBYPQDG9AYDQ5E8IECVFREPO6" localSheetId="6" hidden="1">#REF!</definedName>
    <definedName name="BExMBYPQDG9AYDQ5E8IECVFREPO6" hidden="1">#REF!</definedName>
    <definedName name="BExMCA96YR10V72G2R0SCIKPZLIZ" localSheetId="1" hidden="1">#REF!</definedName>
    <definedName name="BExMCA96YR10V72G2R0SCIKPZLIZ" localSheetId="7" hidden="1">#REF!</definedName>
    <definedName name="BExMCA96YR10V72G2R0SCIKPZLIZ" localSheetId="2" hidden="1">#REF!</definedName>
    <definedName name="BExMCA96YR10V72G2R0SCIKPZLIZ" localSheetId="34" hidden="1">#REF!</definedName>
    <definedName name="BExMCA96YR10V72G2R0SCIKPZLIZ" localSheetId="12" hidden="1">#REF!</definedName>
    <definedName name="BExMCA96YR10V72G2R0SCIKPZLIZ" localSheetId="10" hidden="1">#REF!</definedName>
    <definedName name="BExMCA96YR10V72G2R0SCIKPZLIZ" localSheetId="6" hidden="1">#REF!</definedName>
    <definedName name="BExMCA96YR10V72G2R0SCIKPZLIZ" hidden="1">#REF!</definedName>
    <definedName name="BExMCFSQFSEMPY5IXDIRKZDASDBR" localSheetId="1" hidden="1">#REF!</definedName>
    <definedName name="BExMCFSQFSEMPY5IXDIRKZDASDBR" localSheetId="7" hidden="1">#REF!</definedName>
    <definedName name="BExMCFSQFSEMPY5IXDIRKZDASDBR" localSheetId="2" hidden="1">#REF!</definedName>
    <definedName name="BExMCFSQFSEMPY5IXDIRKZDASDBR" localSheetId="34" hidden="1">#REF!</definedName>
    <definedName name="BExMCFSQFSEMPY5IXDIRKZDASDBR" localSheetId="12" hidden="1">#REF!</definedName>
    <definedName name="BExMCFSQFSEMPY5IXDIRKZDASDBR" localSheetId="10" hidden="1">#REF!</definedName>
    <definedName name="BExMCFSQFSEMPY5IXDIRKZDASDBR" localSheetId="6" hidden="1">#REF!</definedName>
    <definedName name="BExMCFSQFSEMPY5IXDIRKZDASDBR" hidden="1">#REF!</definedName>
    <definedName name="BExMDGD1KQP7NNR78X2ZX4FCBQ1S" localSheetId="1" hidden="1">#REF!</definedName>
    <definedName name="BExMDGD1KQP7NNR78X2ZX4FCBQ1S" localSheetId="7" hidden="1">#REF!</definedName>
    <definedName name="BExMDGD1KQP7NNR78X2ZX4FCBQ1S" localSheetId="2" hidden="1">#REF!</definedName>
    <definedName name="BExMDGD1KQP7NNR78X2ZX4FCBQ1S" localSheetId="34" hidden="1">#REF!</definedName>
    <definedName name="BExMDGD1KQP7NNR78X2ZX4FCBQ1S" localSheetId="12" hidden="1">#REF!</definedName>
    <definedName name="BExMDGD1KQP7NNR78X2ZX4FCBQ1S" localSheetId="10" hidden="1">#REF!</definedName>
    <definedName name="BExMDGD1KQP7NNR78X2ZX4FCBQ1S" localSheetId="6" hidden="1">#REF!</definedName>
    <definedName name="BExMDGD1KQP7NNR78X2ZX4FCBQ1S" hidden="1">#REF!</definedName>
    <definedName name="BExMHOWPB34KPZ76M2KIX2C9R2VB" localSheetId="1" hidden="1">#REF!</definedName>
    <definedName name="BExMHOWPB34KPZ76M2KIX2C9R2VB" localSheetId="7" hidden="1">#REF!</definedName>
    <definedName name="BExMHOWPB34KPZ76M2KIX2C9R2VB" localSheetId="2" hidden="1">#REF!</definedName>
    <definedName name="BExMHOWPB34KPZ76M2KIX2C9R2VB" localSheetId="34" hidden="1">#REF!</definedName>
    <definedName name="BExMHOWPB34KPZ76M2KIX2C9R2VB" localSheetId="12" hidden="1">#REF!</definedName>
    <definedName name="BExMHOWPB34KPZ76M2KIX2C9R2VB" localSheetId="10" hidden="1">#REF!</definedName>
    <definedName name="BExMHOWPB34KPZ76M2KIX2C9R2VB" localSheetId="6" hidden="1">#REF!</definedName>
    <definedName name="BExMHOWPB34KPZ76M2KIX2C9R2VB" hidden="1">#REF!</definedName>
    <definedName name="BExMI3AJ9477KDL4T9DHET4LJJTW" localSheetId="1" hidden="1">#REF!</definedName>
    <definedName name="BExMI3AJ9477KDL4T9DHET4LJJTW" localSheetId="7" hidden="1">#REF!</definedName>
    <definedName name="BExMI3AJ9477KDL4T9DHET4LJJTW" localSheetId="2" hidden="1">#REF!</definedName>
    <definedName name="BExMI3AJ9477KDL4T9DHET4LJJTW" localSheetId="34" hidden="1">#REF!</definedName>
    <definedName name="BExMI3AJ9477KDL4T9DHET4LJJTW" localSheetId="12" hidden="1">#REF!</definedName>
    <definedName name="BExMI3AJ9477KDL4T9DHET4LJJTW" localSheetId="10" hidden="1">#REF!</definedName>
    <definedName name="BExMI3AJ9477KDL4T9DHET4LJJTW" localSheetId="6" hidden="1">#REF!</definedName>
    <definedName name="BExMI3AJ9477KDL4T9DHET4LJJTW" hidden="1">#REF!</definedName>
    <definedName name="BExMIBOOZU40JS3F89OMPSRCE9MM" localSheetId="1" hidden="1">#REF!</definedName>
    <definedName name="BExMIBOOZU40JS3F89OMPSRCE9MM" localSheetId="7" hidden="1">#REF!</definedName>
    <definedName name="BExMIBOOZU40JS3F89OMPSRCE9MM" localSheetId="2" hidden="1">#REF!</definedName>
    <definedName name="BExMIBOOZU40JS3F89OMPSRCE9MM" localSheetId="34" hidden="1">#REF!</definedName>
    <definedName name="BExMIBOOZU40JS3F89OMPSRCE9MM" localSheetId="12" hidden="1">#REF!</definedName>
    <definedName name="BExMIBOOZU40JS3F89OMPSRCE9MM" localSheetId="10" hidden="1">#REF!</definedName>
    <definedName name="BExMIBOOZU40JS3F89OMPSRCE9MM" localSheetId="6" hidden="1">#REF!</definedName>
    <definedName name="BExMIBOOZU40JS3F89OMPSRCE9MM" hidden="1">#REF!</definedName>
    <definedName name="BExMIV0KC8555D5E42ZGWG15Y0MO" localSheetId="1" hidden="1">#REF!</definedName>
    <definedName name="BExMIV0KC8555D5E42ZGWG15Y0MO" localSheetId="7" hidden="1">#REF!</definedName>
    <definedName name="BExMIV0KC8555D5E42ZGWG15Y0MO" localSheetId="2" hidden="1">#REF!</definedName>
    <definedName name="BExMIV0KC8555D5E42ZGWG15Y0MO" localSheetId="34" hidden="1">#REF!</definedName>
    <definedName name="BExMIV0KC8555D5E42ZGWG15Y0MO" localSheetId="12" hidden="1">#REF!</definedName>
    <definedName name="BExMIV0KC8555D5E42ZGWG15Y0MO" localSheetId="10" hidden="1">#REF!</definedName>
    <definedName name="BExMIV0KC8555D5E42ZGWG15Y0MO" localSheetId="6" hidden="1">#REF!</definedName>
    <definedName name="BExMIV0KC8555D5E42ZGWG15Y0MO" hidden="1">#REF!</definedName>
    <definedName name="BExMKUN3WPECJR2XRID2R7GZRGNX" localSheetId="1" hidden="1">#REF!</definedName>
    <definedName name="BExMKUN3WPECJR2XRID2R7GZRGNX" localSheetId="7" hidden="1">#REF!</definedName>
    <definedName name="BExMKUN3WPECJR2XRID2R7GZRGNX" localSheetId="2" hidden="1">#REF!</definedName>
    <definedName name="BExMKUN3WPECJR2XRID2R7GZRGNX" localSheetId="34" hidden="1">#REF!</definedName>
    <definedName name="BExMKUN3WPECJR2XRID2R7GZRGNX" localSheetId="12" hidden="1">#REF!</definedName>
    <definedName name="BExMKUN3WPECJR2XRID2R7GZRGNX" localSheetId="10" hidden="1">#REF!</definedName>
    <definedName name="BExMKUN3WPECJR2XRID2R7GZRGNX" localSheetId="6" hidden="1">#REF!</definedName>
    <definedName name="BExMKUN3WPECJR2XRID2R7GZRGNX" hidden="1">#REF!</definedName>
    <definedName name="BExMKZ535P011X4TNV16GCOH4H21" localSheetId="1" hidden="1">#REF!</definedName>
    <definedName name="BExMKZ535P011X4TNV16GCOH4H21" localSheetId="7" hidden="1">#REF!</definedName>
    <definedName name="BExMKZ535P011X4TNV16GCOH4H21" localSheetId="2" hidden="1">#REF!</definedName>
    <definedName name="BExMKZ535P011X4TNV16GCOH4H21" localSheetId="34" hidden="1">#REF!</definedName>
    <definedName name="BExMKZ535P011X4TNV16GCOH4H21" localSheetId="12" hidden="1">#REF!</definedName>
    <definedName name="BExMKZ535P011X4TNV16GCOH4H21" localSheetId="10" hidden="1">#REF!</definedName>
    <definedName name="BExMKZ535P011X4TNV16GCOH4H21" localSheetId="6" hidden="1">#REF!</definedName>
    <definedName name="BExMKZ535P011X4TNV16GCOH4H21" hidden="1">#REF!</definedName>
    <definedName name="BExMLVI7UORSHM9FMO8S2EI0TMTS" localSheetId="1" hidden="1">#REF!</definedName>
    <definedName name="BExMLVI7UORSHM9FMO8S2EI0TMTS" localSheetId="7" hidden="1">#REF!</definedName>
    <definedName name="BExMLVI7UORSHM9FMO8S2EI0TMTS" localSheetId="2" hidden="1">#REF!</definedName>
    <definedName name="BExMLVI7UORSHM9FMO8S2EI0TMTS" localSheetId="34" hidden="1">#REF!</definedName>
    <definedName name="BExMLVI7UORSHM9FMO8S2EI0TMTS" localSheetId="12" hidden="1">#REF!</definedName>
    <definedName name="BExMLVI7UORSHM9FMO8S2EI0TMTS" localSheetId="10" hidden="1">#REF!</definedName>
    <definedName name="BExMLVI7UORSHM9FMO8S2EI0TMTS" localSheetId="6" hidden="1">#REF!</definedName>
    <definedName name="BExMLVI7UORSHM9FMO8S2EI0TMTS" hidden="1">#REF!</definedName>
    <definedName name="BExMM5UCOT2HSSN0ZIPZW55GSOVO" localSheetId="1" hidden="1">#REF!</definedName>
    <definedName name="BExMM5UCOT2HSSN0ZIPZW55GSOVO" localSheetId="7" hidden="1">#REF!</definedName>
    <definedName name="BExMM5UCOT2HSSN0ZIPZW55GSOVO" localSheetId="2" hidden="1">#REF!</definedName>
    <definedName name="BExMM5UCOT2HSSN0ZIPZW55GSOVO" localSheetId="34" hidden="1">#REF!</definedName>
    <definedName name="BExMM5UCOT2HSSN0ZIPZW55GSOVO" localSheetId="12" hidden="1">#REF!</definedName>
    <definedName name="BExMM5UCOT2HSSN0ZIPZW55GSOVO" localSheetId="10" hidden="1">#REF!</definedName>
    <definedName name="BExMM5UCOT2HSSN0ZIPZW55GSOVO" localSheetId="6" hidden="1">#REF!</definedName>
    <definedName name="BExMM5UCOT2HSSN0ZIPZW55GSOVO" hidden="1">#REF!</definedName>
    <definedName name="BExMMNIZ2T7M22WECMUQXEF4NJ71" localSheetId="1" hidden="1">#REF!</definedName>
    <definedName name="BExMMNIZ2T7M22WECMUQXEF4NJ71" localSheetId="7" hidden="1">#REF!</definedName>
    <definedName name="BExMMNIZ2T7M22WECMUQXEF4NJ71" localSheetId="2" hidden="1">#REF!</definedName>
    <definedName name="BExMMNIZ2T7M22WECMUQXEF4NJ71" localSheetId="34" hidden="1">#REF!</definedName>
    <definedName name="BExMMNIZ2T7M22WECMUQXEF4NJ71" localSheetId="12" hidden="1">#REF!</definedName>
    <definedName name="BExMMNIZ2T7M22WECMUQXEF4NJ71" localSheetId="10" hidden="1">#REF!</definedName>
    <definedName name="BExMMNIZ2T7M22WECMUQXEF4NJ71" localSheetId="6" hidden="1">#REF!</definedName>
    <definedName name="BExMMNIZ2T7M22WECMUQXEF4NJ71" hidden="1">#REF!</definedName>
    <definedName name="BExMPSD77XQ3HA6A4FZOJK8G2JP3" localSheetId="1" hidden="1">#REF!</definedName>
    <definedName name="BExMPSD77XQ3HA6A4FZOJK8G2JP3" localSheetId="7" hidden="1">#REF!</definedName>
    <definedName name="BExMPSD77XQ3HA6A4FZOJK8G2JP3" localSheetId="2" hidden="1">#REF!</definedName>
    <definedName name="BExMPSD77XQ3HA6A4FZOJK8G2JP3" localSheetId="34" hidden="1">#REF!</definedName>
    <definedName name="BExMPSD77XQ3HA6A4FZOJK8G2JP3" localSheetId="12" hidden="1">#REF!</definedName>
    <definedName name="BExMPSD77XQ3HA6A4FZOJK8G2JP3" localSheetId="10" hidden="1">#REF!</definedName>
    <definedName name="BExMPSD77XQ3HA6A4FZOJK8G2JP3" localSheetId="6" hidden="1">#REF!</definedName>
    <definedName name="BExMPSD77XQ3HA6A4FZOJK8G2JP3" hidden="1">#REF!</definedName>
    <definedName name="BExMQ71WHW50GVX45JU951AGPLFQ" localSheetId="1" hidden="1">#REF!</definedName>
    <definedName name="BExMQ71WHW50GVX45JU951AGPLFQ" localSheetId="7" hidden="1">#REF!</definedName>
    <definedName name="BExMQ71WHW50GVX45JU951AGPLFQ" localSheetId="2" hidden="1">#REF!</definedName>
    <definedName name="BExMQ71WHW50GVX45JU951AGPLFQ" localSheetId="34" hidden="1">#REF!</definedName>
    <definedName name="BExMQ71WHW50GVX45JU951AGPLFQ" localSheetId="12" hidden="1">#REF!</definedName>
    <definedName name="BExMQ71WHW50GVX45JU951AGPLFQ" localSheetId="10" hidden="1">#REF!</definedName>
    <definedName name="BExMQ71WHW50GVX45JU951AGPLFQ" localSheetId="6" hidden="1">#REF!</definedName>
    <definedName name="BExMQ71WHW50GVX45JU951AGPLFQ" hidden="1">#REF!</definedName>
    <definedName name="BExOBP0FKQ4SVR59FB48UNLKCOR6" localSheetId="1" hidden="1">#REF!</definedName>
    <definedName name="BExOBP0FKQ4SVR59FB48UNLKCOR6" localSheetId="7" hidden="1">#REF!</definedName>
    <definedName name="BExOBP0FKQ4SVR59FB48UNLKCOR6" localSheetId="2" hidden="1">#REF!</definedName>
    <definedName name="BExOBP0FKQ4SVR59FB48UNLKCOR6" localSheetId="34" hidden="1">#REF!</definedName>
    <definedName name="BExOBP0FKQ4SVR59FB48UNLKCOR6" localSheetId="12" hidden="1">#REF!</definedName>
    <definedName name="BExOBP0FKQ4SVR59FB48UNLKCOR6" localSheetId="10" hidden="1">#REF!</definedName>
    <definedName name="BExOBP0FKQ4SVR59FB48UNLKCOR6" localSheetId="6" hidden="1">#REF!</definedName>
    <definedName name="BExOBP0FKQ4SVR59FB48UNLKCOR6" hidden="1">#REF!</definedName>
    <definedName name="BExOFVLXVD6RVHSQO8KZOOACSV24" localSheetId="1" hidden="1">#REF!</definedName>
    <definedName name="BExOFVLXVD6RVHSQO8KZOOACSV24" localSheetId="7" hidden="1">#REF!</definedName>
    <definedName name="BExOFVLXVD6RVHSQO8KZOOACSV24" localSheetId="2" hidden="1">#REF!</definedName>
    <definedName name="BExOFVLXVD6RVHSQO8KZOOACSV24" localSheetId="34" hidden="1">#REF!</definedName>
    <definedName name="BExOFVLXVD6RVHSQO8KZOOACSV24" localSheetId="12" hidden="1">#REF!</definedName>
    <definedName name="BExOFVLXVD6RVHSQO8KZOOACSV24" localSheetId="10" hidden="1">#REF!</definedName>
    <definedName name="BExOFVLXVD6RVHSQO8KZOOACSV24" localSheetId="6" hidden="1">#REF!</definedName>
    <definedName name="BExOFVLXVD6RVHSQO8KZOOACSV24" hidden="1">#REF!</definedName>
    <definedName name="BExOJXEUJJ9SYRJXKYYV2NCCDT2R" localSheetId="1" hidden="1">#REF!</definedName>
    <definedName name="BExOJXEUJJ9SYRJXKYYV2NCCDT2R" localSheetId="7" hidden="1">#REF!</definedName>
    <definedName name="BExOJXEUJJ9SYRJXKYYV2NCCDT2R" localSheetId="2" hidden="1">#REF!</definedName>
    <definedName name="BExOJXEUJJ9SYRJXKYYV2NCCDT2R" localSheetId="34" hidden="1">#REF!</definedName>
    <definedName name="BExOJXEUJJ9SYRJXKYYV2NCCDT2R" localSheetId="12" hidden="1">#REF!</definedName>
    <definedName name="BExOJXEUJJ9SYRJXKYYV2NCCDT2R" localSheetId="10" hidden="1">#REF!</definedName>
    <definedName name="BExOJXEUJJ9SYRJXKYYV2NCCDT2R" localSheetId="6" hidden="1">#REF!</definedName>
    <definedName name="BExOJXEUJJ9SYRJXKYYV2NCCDT2R" hidden="1">#REF!</definedName>
    <definedName name="BExOK0EQYM9JUMAGWOUN7QDH7VMZ" localSheetId="1" hidden="1">#REF!</definedName>
    <definedName name="BExOK0EQYM9JUMAGWOUN7QDH7VMZ" localSheetId="7" hidden="1">#REF!</definedName>
    <definedName name="BExOK0EQYM9JUMAGWOUN7QDH7VMZ" localSheetId="2" hidden="1">#REF!</definedName>
    <definedName name="BExOK0EQYM9JUMAGWOUN7QDH7VMZ" localSheetId="34" hidden="1">#REF!</definedName>
    <definedName name="BExOK0EQYM9JUMAGWOUN7QDH7VMZ" localSheetId="12" hidden="1">#REF!</definedName>
    <definedName name="BExOK0EQYM9JUMAGWOUN7QDH7VMZ" localSheetId="10" hidden="1">#REF!</definedName>
    <definedName name="BExOK0EQYM9JUMAGWOUN7QDH7VMZ" localSheetId="6" hidden="1">#REF!</definedName>
    <definedName name="BExOK0EQYM9JUMAGWOUN7QDH7VMZ" hidden="1">#REF!</definedName>
    <definedName name="BExOLICXFHJLILCJVFMJE5MGGWKR" localSheetId="1" hidden="1">#REF!</definedName>
    <definedName name="BExOLICXFHJLILCJVFMJE5MGGWKR" localSheetId="7" hidden="1">#REF!</definedName>
    <definedName name="BExOLICXFHJLILCJVFMJE5MGGWKR" localSheetId="2" hidden="1">#REF!</definedName>
    <definedName name="BExOLICXFHJLILCJVFMJE5MGGWKR" localSheetId="34" hidden="1">#REF!</definedName>
    <definedName name="BExOLICXFHJLILCJVFMJE5MGGWKR" localSheetId="12" hidden="1">#REF!</definedName>
    <definedName name="BExOLICXFHJLILCJVFMJE5MGGWKR" localSheetId="10" hidden="1">#REF!</definedName>
    <definedName name="BExOLICXFHJLILCJVFMJE5MGGWKR" localSheetId="6" hidden="1">#REF!</definedName>
    <definedName name="BExOLICXFHJLILCJVFMJE5MGGWKR" hidden="1">#REF!</definedName>
    <definedName name="BExOMU0A6XMY48SZRYL4WQZD13BI" localSheetId="1" hidden="1">#REF!</definedName>
    <definedName name="BExOMU0A6XMY48SZRYL4WQZD13BI" localSheetId="7" hidden="1">#REF!</definedName>
    <definedName name="BExOMU0A6XMY48SZRYL4WQZD13BI" localSheetId="2" hidden="1">#REF!</definedName>
    <definedName name="BExOMU0A6XMY48SZRYL4WQZD13BI" localSheetId="34" hidden="1">#REF!</definedName>
    <definedName name="BExOMU0A6XMY48SZRYL4WQZD13BI" localSheetId="12" hidden="1">#REF!</definedName>
    <definedName name="BExOMU0A6XMY48SZRYL4WQZD13BI" localSheetId="10" hidden="1">#REF!</definedName>
    <definedName name="BExOMU0A6XMY48SZRYL4WQZD13BI" localSheetId="6" hidden="1">#REF!</definedName>
    <definedName name="BExOMU0A6XMY48SZRYL4WQZD13BI" hidden="1">#REF!</definedName>
    <definedName name="BExQ2M841F5Z1BQYR8DG5FKK0LIU" localSheetId="1" hidden="1">#REF!</definedName>
    <definedName name="BExQ2M841F5Z1BQYR8DG5FKK0LIU" localSheetId="7" hidden="1">#REF!</definedName>
    <definedName name="BExQ2M841F5Z1BQYR8DG5FKK0LIU" localSheetId="2" hidden="1">#REF!</definedName>
    <definedName name="BExQ2M841F5Z1BQYR8DG5FKK0LIU" localSheetId="34" hidden="1">#REF!</definedName>
    <definedName name="BExQ2M841F5Z1BQYR8DG5FKK0LIU" localSheetId="12" hidden="1">#REF!</definedName>
    <definedName name="BExQ2M841F5Z1BQYR8DG5FKK0LIU" localSheetId="10" hidden="1">#REF!</definedName>
    <definedName name="BExQ2M841F5Z1BQYR8DG5FKK0LIU" localSheetId="6" hidden="1">#REF!</definedName>
    <definedName name="BExQ2M841F5Z1BQYR8DG5FKK0LIU" hidden="1">#REF!</definedName>
    <definedName name="BExQ300G8I8TK45A0MVHV15422EU" localSheetId="1" hidden="1">#REF!</definedName>
    <definedName name="BExQ300G8I8TK45A0MVHV15422EU" localSheetId="7" hidden="1">#REF!</definedName>
    <definedName name="BExQ300G8I8TK45A0MVHV15422EU" localSheetId="2" hidden="1">#REF!</definedName>
    <definedName name="BExQ300G8I8TK45A0MVHV15422EU" localSheetId="34" hidden="1">#REF!</definedName>
    <definedName name="BExQ300G8I8TK45A0MVHV15422EU" localSheetId="12" hidden="1">#REF!</definedName>
    <definedName name="BExQ300G8I8TK45A0MVHV15422EU" localSheetId="10" hidden="1">#REF!</definedName>
    <definedName name="BExQ300G8I8TK45A0MVHV15422EU" localSheetId="6" hidden="1">#REF!</definedName>
    <definedName name="BExQ300G8I8TK45A0MVHV15422EU" hidden="1">#REF!</definedName>
    <definedName name="BExQ39R28MXSG2SEV956F0KZ20AN" localSheetId="1" hidden="1">#REF!</definedName>
    <definedName name="BExQ39R28MXSG2SEV956F0KZ20AN" localSheetId="7" hidden="1">#REF!</definedName>
    <definedName name="BExQ39R28MXSG2SEV956F0KZ20AN" localSheetId="2" hidden="1">#REF!</definedName>
    <definedName name="BExQ39R28MXSG2SEV956F0KZ20AN" localSheetId="34" hidden="1">#REF!</definedName>
    <definedName name="BExQ39R28MXSG2SEV956F0KZ20AN" localSheetId="12" hidden="1">#REF!</definedName>
    <definedName name="BExQ39R28MXSG2SEV956F0KZ20AN" localSheetId="10" hidden="1">#REF!</definedName>
    <definedName name="BExQ39R28MXSG2SEV956F0KZ20AN" localSheetId="6" hidden="1">#REF!</definedName>
    <definedName name="BExQ39R28MXSG2SEV956F0KZ20AN" hidden="1">#REF!</definedName>
    <definedName name="BExQ3D1P3M5Z3HLMEZ17E0BLEE4U" localSheetId="1" hidden="1">#REF!</definedName>
    <definedName name="BExQ3D1P3M5Z3HLMEZ17E0BLEE4U" localSheetId="7" hidden="1">#REF!</definedName>
    <definedName name="BExQ3D1P3M5Z3HLMEZ17E0BLEE4U" localSheetId="2" hidden="1">#REF!</definedName>
    <definedName name="BExQ3D1P3M5Z3HLMEZ17E0BLEE4U" localSheetId="34" hidden="1">#REF!</definedName>
    <definedName name="BExQ3D1P3M5Z3HLMEZ17E0BLEE4U" localSheetId="12" hidden="1">#REF!</definedName>
    <definedName name="BExQ3D1P3M5Z3HLMEZ17E0BLEE4U" localSheetId="10" hidden="1">#REF!</definedName>
    <definedName name="BExQ3D1P3M5Z3HLMEZ17E0BLEE4U" localSheetId="6" hidden="1">#REF!</definedName>
    <definedName name="BExQ3D1P3M5Z3HLMEZ17E0BLEE4U" hidden="1">#REF!</definedName>
    <definedName name="BExQ42IU9MNDYLODP41DL6YTZMAR" localSheetId="1" hidden="1">#REF!</definedName>
    <definedName name="BExQ42IU9MNDYLODP41DL6YTZMAR" localSheetId="7" hidden="1">#REF!</definedName>
    <definedName name="BExQ42IU9MNDYLODP41DL6YTZMAR" localSheetId="2" hidden="1">#REF!</definedName>
    <definedName name="BExQ42IU9MNDYLODP41DL6YTZMAR" localSheetId="34" hidden="1">#REF!</definedName>
    <definedName name="BExQ42IU9MNDYLODP41DL6YTZMAR" localSheetId="12" hidden="1">#REF!</definedName>
    <definedName name="BExQ42IU9MNDYLODP41DL6YTZMAR" localSheetId="10" hidden="1">#REF!</definedName>
    <definedName name="BExQ42IU9MNDYLODP41DL6YTZMAR" localSheetId="6" hidden="1">#REF!</definedName>
    <definedName name="BExQ42IU9MNDYLODP41DL6YTZMAR" hidden="1">#REF!</definedName>
    <definedName name="BExQ63793YQ9BH7JLCNRIATIGTRG" localSheetId="1" hidden="1">#REF!</definedName>
    <definedName name="BExQ63793YQ9BH7JLCNRIATIGTRG" localSheetId="7" hidden="1">#REF!</definedName>
    <definedName name="BExQ63793YQ9BH7JLCNRIATIGTRG" localSheetId="2" hidden="1">#REF!</definedName>
    <definedName name="BExQ63793YQ9BH7JLCNRIATIGTRG" localSheetId="34" hidden="1">#REF!</definedName>
    <definedName name="BExQ63793YQ9BH7JLCNRIATIGTRG" localSheetId="12" hidden="1">#REF!</definedName>
    <definedName name="BExQ63793YQ9BH7JLCNRIATIGTRG" localSheetId="10" hidden="1">#REF!</definedName>
    <definedName name="BExQ63793YQ9BH7JLCNRIATIGTRG" localSheetId="6" hidden="1">#REF!</definedName>
    <definedName name="BExQ63793YQ9BH7JLCNRIATIGTRG" hidden="1">#REF!</definedName>
    <definedName name="BExQ7MY3U2Z1IZ71U5LJUD00VVB4" localSheetId="1" hidden="1">#REF!</definedName>
    <definedName name="BExQ7MY3U2Z1IZ71U5LJUD00VVB4" localSheetId="7" hidden="1">#REF!</definedName>
    <definedName name="BExQ7MY3U2Z1IZ71U5LJUD00VVB4" localSheetId="2" hidden="1">#REF!</definedName>
    <definedName name="BExQ7MY3U2Z1IZ71U5LJUD00VVB4" localSheetId="34" hidden="1">#REF!</definedName>
    <definedName name="BExQ7MY3U2Z1IZ71U5LJUD00VVB4" localSheetId="12" hidden="1">#REF!</definedName>
    <definedName name="BExQ7MY3U2Z1IZ71U5LJUD00VVB4" localSheetId="10" hidden="1">#REF!</definedName>
    <definedName name="BExQ7MY3U2Z1IZ71U5LJUD00VVB4" localSheetId="6" hidden="1">#REF!</definedName>
    <definedName name="BExQ7MY3U2Z1IZ71U5LJUD00VVB4" hidden="1">#REF!</definedName>
    <definedName name="BExQ7XL2Q1GVUFL1F9KK0K0EXMWG" localSheetId="1" hidden="1">#REF!</definedName>
    <definedName name="BExQ7XL2Q1GVUFL1F9KK0K0EXMWG" localSheetId="7" hidden="1">#REF!</definedName>
    <definedName name="BExQ7XL2Q1GVUFL1F9KK0K0EXMWG" localSheetId="2" hidden="1">#REF!</definedName>
    <definedName name="BExQ7XL2Q1GVUFL1F9KK0K0EXMWG" localSheetId="34" hidden="1">#REF!</definedName>
    <definedName name="BExQ7XL2Q1GVUFL1F9KK0K0EXMWG" localSheetId="12" hidden="1">#REF!</definedName>
    <definedName name="BExQ7XL2Q1GVUFL1F9KK0K0EXMWG" localSheetId="10" hidden="1">#REF!</definedName>
    <definedName name="BExQ7XL2Q1GVUFL1F9KK0K0EXMWG" localSheetId="6" hidden="1">#REF!</definedName>
    <definedName name="BExQ7XL2Q1GVUFL1F9KK0K0EXMWG" hidden="1">#REF!</definedName>
    <definedName name="BExQ8A0RPE3IMIFIZLUE7KD2N21W" localSheetId="1" hidden="1">#REF!</definedName>
    <definedName name="BExQ8A0RPE3IMIFIZLUE7KD2N21W" localSheetId="7" hidden="1">#REF!</definedName>
    <definedName name="BExQ8A0RPE3IMIFIZLUE7KD2N21W" localSheetId="2" hidden="1">#REF!</definedName>
    <definedName name="BExQ8A0RPE3IMIFIZLUE7KD2N21W" localSheetId="34" hidden="1">#REF!</definedName>
    <definedName name="BExQ8A0RPE3IMIFIZLUE7KD2N21W" localSheetId="12" hidden="1">#REF!</definedName>
    <definedName name="BExQ8A0RPE3IMIFIZLUE7KD2N21W" localSheetId="10" hidden="1">#REF!</definedName>
    <definedName name="BExQ8A0RPE3IMIFIZLUE7KD2N21W" localSheetId="6" hidden="1">#REF!</definedName>
    <definedName name="BExQ8A0RPE3IMIFIZLUE7KD2N21W" hidden="1">#REF!</definedName>
    <definedName name="BExQ8O3WEU8HNTTGKTW5T0QSKCLP" localSheetId="1" hidden="1">#REF!</definedName>
    <definedName name="BExQ8O3WEU8HNTTGKTW5T0QSKCLP" localSheetId="7" hidden="1">#REF!</definedName>
    <definedName name="BExQ8O3WEU8HNTTGKTW5T0QSKCLP" localSheetId="2" hidden="1">#REF!</definedName>
    <definedName name="BExQ8O3WEU8HNTTGKTW5T0QSKCLP" localSheetId="34" hidden="1">#REF!</definedName>
    <definedName name="BExQ8O3WEU8HNTTGKTW5T0QSKCLP" localSheetId="12" hidden="1">#REF!</definedName>
    <definedName name="BExQ8O3WEU8HNTTGKTW5T0QSKCLP" localSheetId="10" hidden="1">#REF!</definedName>
    <definedName name="BExQ8O3WEU8HNTTGKTW5T0QSKCLP" localSheetId="6" hidden="1">#REF!</definedName>
    <definedName name="BExQ8O3WEU8HNTTGKTW5T0QSKCLP" hidden="1">#REF!</definedName>
    <definedName name="BExQ9M4E2ACZOWWWP1JJIQO8AHUM" localSheetId="1" hidden="1">#REF!</definedName>
    <definedName name="BExQ9M4E2ACZOWWWP1JJIQO8AHUM" localSheetId="7" hidden="1">#REF!</definedName>
    <definedName name="BExQ9M4E2ACZOWWWP1JJIQO8AHUM" localSheetId="2" hidden="1">#REF!</definedName>
    <definedName name="BExQ9M4E2ACZOWWWP1JJIQO8AHUM" localSheetId="34" hidden="1">#REF!</definedName>
    <definedName name="BExQ9M4E2ACZOWWWP1JJIQO8AHUM" localSheetId="12" hidden="1">#REF!</definedName>
    <definedName name="BExQ9M4E2ACZOWWWP1JJIQO8AHUM" localSheetId="10" hidden="1">#REF!</definedName>
    <definedName name="BExQ9M4E2ACZOWWWP1JJIQO8AHUM" localSheetId="6" hidden="1">#REF!</definedName>
    <definedName name="BExQ9M4E2ACZOWWWP1JJIQO8AHUM" hidden="1">#REF!</definedName>
    <definedName name="BExQ9ZLYHWABXAA9NJDW8ZS0UQ9P" localSheetId="1" hidden="1">#REF!</definedName>
    <definedName name="BExQ9ZLYHWABXAA9NJDW8ZS0UQ9P" localSheetId="7" hidden="1">#REF!</definedName>
    <definedName name="BExQ9ZLYHWABXAA9NJDW8ZS0UQ9P" localSheetId="2" hidden="1">#REF!</definedName>
    <definedName name="BExQ9ZLYHWABXAA9NJDW8ZS0UQ9P" localSheetId="34" hidden="1">#REF!</definedName>
    <definedName name="BExQ9ZLYHWABXAA9NJDW8ZS0UQ9P" localSheetId="12" hidden="1">#REF!</definedName>
    <definedName name="BExQ9ZLYHWABXAA9NJDW8ZS0UQ9P" localSheetId="10" hidden="1">#REF!</definedName>
    <definedName name="BExQ9ZLYHWABXAA9NJDW8ZS0UQ9P" localSheetId="6" hidden="1">#REF!</definedName>
    <definedName name="BExQ9ZLYHWABXAA9NJDW8ZS0UQ9P" hidden="1">#REF!</definedName>
    <definedName name="BExQA324HSCK40ENJUT9CS9EC71B" localSheetId="1" hidden="1">#REF!</definedName>
    <definedName name="BExQA324HSCK40ENJUT9CS9EC71B" localSheetId="7" hidden="1">#REF!</definedName>
    <definedName name="BExQA324HSCK40ENJUT9CS9EC71B" localSheetId="2" hidden="1">#REF!</definedName>
    <definedName name="BExQA324HSCK40ENJUT9CS9EC71B" localSheetId="34" hidden="1">#REF!</definedName>
    <definedName name="BExQA324HSCK40ENJUT9CS9EC71B" localSheetId="12" hidden="1">#REF!</definedName>
    <definedName name="BExQA324HSCK40ENJUT9CS9EC71B" localSheetId="10" hidden="1">#REF!</definedName>
    <definedName name="BExQA324HSCK40ENJUT9CS9EC71B" localSheetId="6" hidden="1">#REF!</definedName>
    <definedName name="BExQA324HSCK40ENJUT9CS9EC71B" hidden="1">#REF!</definedName>
    <definedName name="BExQAX0WXHFYUMB6XDMGQ9IS2IZ3" localSheetId="1" hidden="1">#REF!</definedName>
    <definedName name="BExQAX0WXHFYUMB6XDMGQ9IS2IZ3" localSheetId="7" hidden="1">#REF!</definedName>
    <definedName name="BExQAX0WXHFYUMB6XDMGQ9IS2IZ3" localSheetId="2" hidden="1">#REF!</definedName>
    <definedName name="BExQAX0WXHFYUMB6XDMGQ9IS2IZ3" localSheetId="34" hidden="1">#REF!</definedName>
    <definedName name="BExQAX0WXHFYUMB6XDMGQ9IS2IZ3" localSheetId="12" hidden="1">#REF!</definedName>
    <definedName name="BExQAX0WXHFYUMB6XDMGQ9IS2IZ3" localSheetId="10" hidden="1">#REF!</definedName>
    <definedName name="BExQAX0WXHFYUMB6XDMGQ9IS2IZ3" localSheetId="6" hidden="1">#REF!</definedName>
    <definedName name="BExQAX0WXHFYUMB6XDMGQ9IS2IZ3" hidden="1">#REF!</definedName>
    <definedName name="BExQDE1B6U2Q9B73KBENABP71YM1" localSheetId="1" hidden="1">#REF!</definedName>
    <definedName name="BExQDE1B6U2Q9B73KBENABP71YM1" localSheetId="7" hidden="1">#REF!</definedName>
    <definedName name="BExQDE1B6U2Q9B73KBENABP71YM1" localSheetId="2" hidden="1">#REF!</definedName>
    <definedName name="BExQDE1B6U2Q9B73KBENABP71YM1" localSheetId="34" hidden="1">#REF!</definedName>
    <definedName name="BExQDE1B6U2Q9B73KBENABP71YM1" localSheetId="12" hidden="1">#REF!</definedName>
    <definedName name="BExQDE1B6U2Q9B73KBENABP71YM1" localSheetId="10" hidden="1">#REF!</definedName>
    <definedName name="BExQDE1B6U2Q9B73KBENABP71YM1" localSheetId="6" hidden="1">#REF!</definedName>
    <definedName name="BExQDE1B6U2Q9B73KBENABP71YM1" hidden="1">#REF!</definedName>
    <definedName name="BExQEMUA4HEFM4OVO8M8MA8PIAW1" localSheetId="1" hidden="1">#REF!</definedName>
    <definedName name="BExQEMUA4HEFM4OVO8M8MA8PIAW1" localSheetId="7" hidden="1">#REF!</definedName>
    <definedName name="BExQEMUA4HEFM4OVO8M8MA8PIAW1" localSheetId="2" hidden="1">#REF!</definedName>
    <definedName name="BExQEMUA4HEFM4OVO8M8MA8PIAW1" localSheetId="34" hidden="1">#REF!</definedName>
    <definedName name="BExQEMUA4HEFM4OVO8M8MA8PIAW1" localSheetId="12" hidden="1">#REF!</definedName>
    <definedName name="BExQEMUA4HEFM4OVO8M8MA8PIAW1" localSheetId="10" hidden="1">#REF!</definedName>
    <definedName name="BExQEMUA4HEFM4OVO8M8MA8PIAW1" localSheetId="6" hidden="1">#REF!</definedName>
    <definedName name="BExQEMUA4HEFM4OVO8M8MA8PIAW1" hidden="1">#REF!</definedName>
    <definedName name="BExQFEK8NUD04X2OBRA275ADPSDL" localSheetId="1" hidden="1">#REF!</definedName>
    <definedName name="BExQFEK8NUD04X2OBRA275ADPSDL" localSheetId="7" hidden="1">#REF!</definedName>
    <definedName name="BExQFEK8NUD04X2OBRA275ADPSDL" localSheetId="2" hidden="1">#REF!</definedName>
    <definedName name="BExQFEK8NUD04X2OBRA275ADPSDL" localSheetId="34" hidden="1">#REF!</definedName>
    <definedName name="BExQFEK8NUD04X2OBRA275ADPSDL" localSheetId="12" hidden="1">#REF!</definedName>
    <definedName name="BExQFEK8NUD04X2OBRA275ADPSDL" localSheetId="10" hidden="1">#REF!</definedName>
    <definedName name="BExQFEK8NUD04X2OBRA275ADPSDL" localSheetId="6" hidden="1">#REF!</definedName>
    <definedName name="BExQFEK8NUD04X2OBRA275ADPSDL" hidden="1">#REF!</definedName>
    <definedName name="BExS6ITKSZFRR01YD5B0F676SYN7" localSheetId="1" hidden="1">#REF!</definedName>
    <definedName name="BExS6ITKSZFRR01YD5B0F676SYN7" localSheetId="7" hidden="1">#REF!</definedName>
    <definedName name="BExS6ITKSZFRR01YD5B0F676SYN7" localSheetId="2" hidden="1">#REF!</definedName>
    <definedName name="BExS6ITKSZFRR01YD5B0F676SYN7" localSheetId="34" hidden="1">#REF!</definedName>
    <definedName name="BExS6ITKSZFRR01YD5B0F676SYN7" localSheetId="12" hidden="1">#REF!</definedName>
    <definedName name="BExS6ITKSZFRR01YD5B0F676SYN7" localSheetId="10" hidden="1">#REF!</definedName>
    <definedName name="BExS6ITKSZFRR01YD5B0F676SYN7" localSheetId="6" hidden="1">#REF!</definedName>
    <definedName name="BExS6ITKSZFRR01YD5B0F676SYN7" hidden="1">#REF!</definedName>
    <definedName name="BExS81TE0EY44Y3W2M4Z4MGNP5OM" localSheetId="1" hidden="1">#REF!</definedName>
    <definedName name="BExS81TE0EY44Y3W2M4Z4MGNP5OM" localSheetId="7" hidden="1">#REF!</definedName>
    <definedName name="BExS81TE0EY44Y3W2M4Z4MGNP5OM" localSheetId="2" hidden="1">#REF!</definedName>
    <definedName name="BExS81TE0EY44Y3W2M4Z4MGNP5OM" localSheetId="34" hidden="1">#REF!</definedName>
    <definedName name="BExS81TE0EY44Y3W2M4Z4MGNP5OM" localSheetId="12" hidden="1">#REF!</definedName>
    <definedName name="BExS81TE0EY44Y3W2M4Z4MGNP5OM" localSheetId="10" hidden="1">#REF!</definedName>
    <definedName name="BExS81TE0EY44Y3W2M4Z4MGNP5OM" localSheetId="6" hidden="1">#REF!</definedName>
    <definedName name="BExS81TE0EY44Y3W2M4Z4MGNP5OM" hidden="1">#REF!</definedName>
    <definedName name="BExSAY9CA9TFXQ9M9FBJRGJO9T9E" localSheetId="1" hidden="1">#REF!</definedName>
    <definedName name="BExSAY9CA9TFXQ9M9FBJRGJO9T9E" localSheetId="7" hidden="1">#REF!</definedName>
    <definedName name="BExSAY9CA9TFXQ9M9FBJRGJO9T9E" localSheetId="2" hidden="1">#REF!</definedName>
    <definedName name="BExSAY9CA9TFXQ9M9FBJRGJO9T9E" localSheetId="34" hidden="1">#REF!</definedName>
    <definedName name="BExSAY9CA9TFXQ9M9FBJRGJO9T9E" localSheetId="12" hidden="1">#REF!</definedName>
    <definedName name="BExSAY9CA9TFXQ9M9FBJRGJO9T9E" localSheetId="10" hidden="1">#REF!</definedName>
    <definedName name="BExSAY9CA9TFXQ9M9FBJRGJO9T9E" localSheetId="6" hidden="1">#REF!</definedName>
    <definedName name="BExSAY9CA9TFXQ9M9FBJRGJO9T9E" hidden="1">#REF!</definedName>
    <definedName name="BExSBMOS41ZRLWYLOU29V6Y7YORR" localSheetId="1" hidden="1">#REF!</definedName>
    <definedName name="BExSBMOS41ZRLWYLOU29V6Y7YORR" localSheetId="7" hidden="1">#REF!</definedName>
    <definedName name="BExSBMOS41ZRLWYLOU29V6Y7YORR" localSheetId="2" hidden="1">#REF!</definedName>
    <definedName name="BExSBMOS41ZRLWYLOU29V6Y7YORR" localSheetId="34" hidden="1">#REF!</definedName>
    <definedName name="BExSBMOS41ZRLWYLOU29V6Y7YORR" localSheetId="12" hidden="1">#REF!</definedName>
    <definedName name="BExSBMOS41ZRLWYLOU29V6Y7YORR" localSheetId="10" hidden="1">#REF!</definedName>
    <definedName name="BExSBMOS41ZRLWYLOU29V6Y7YORR" localSheetId="6" hidden="1">#REF!</definedName>
    <definedName name="BExSBMOS41ZRLWYLOU29V6Y7YORR" hidden="1">#REF!</definedName>
    <definedName name="BExSG9X3DU845PNXYJGGLBQY2UHG" localSheetId="1" hidden="1">#REF!</definedName>
    <definedName name="BExSG9X3DU845PNXYJGGLBQY2UHG" localSheetId="7" hidden="1">#REF!</definedName>
    <definedName name="BExSG9X3DU845PNXYJGGLBQY2UHG" localSheetId="2" hidden="1">#REF!</definedName>
    <definedName name="BExSG9X3DU845PNXYJGGLBQY2UHG" localSheetId="34" hidden="1">#REF!</definedName>
    <definedName name="BExSG9X3DU845PNXYJGGLBQY2UHG" localSheetId="12" hidden="1">#REF!</definedName>
    <definedName name="BExSG9X3DU845PNXYJGGLBQY2UHG" localSheetId="10" hidden="1">#REF!</definedName>
    <definedName name="BExSG9X3DU845PNXYJGGLBQY2UHG" localSheetId="6" hidden="1">#REF!</definedName>
    <definedName name="BExSG9X3DU845PNXYJGGLBQY2UHG" hidden="1">#REF!</definedName>
    <definedName name="BExSGOAYG73SFWOPAQV80P710GID" localSheetId="1" hidden="1">#REF!</definedName>
    <definedName name="BExSGOAYG73SFWOPAQV80P710GID" localSheetId="7" hidden="1">#REF!</definedName>
    <definedName name="BExSGOAYG73SFWOPAQV80P710GID" localSheetId="2" hidden="1">#REF!</definedName>
    <definedName name="BExSGOAYG73SFWOPAQV80P710GID" localSheetId="34" hidden="1">#REF!</definedName>
    <definedName name="BExSGOAYG73SFWOPAQV80P710GID" localSheetId="12" hidden="1">#REF!</definedName>
    <definedName name="BExSGOAYG73SFWOPAQV80P710GID" localSheetId="10" hidden="1">#REF!</definedName>
    <definedName name="BExSGOAYG73SFWOPAQV80P710GID" localSheetId="6" hidden="1">#REF!</definedName>
    <definedName name="BExSGOAYG73SFWOPAQV80P710GID" hidden="1">#REF!</definedName>
    <definedName name="BExTTZNS2PBCR93C9IUW49UZ4I6T" localSheetId="1" hidden="1">#REF!</definedName>
    <definedName name="BExTTZNS2PBCR93C9IUW49UZ4I6T" localSheetId="7" hidden="1">#REF!</definedName>
    <definedName name="BExTTZNS2PBCR93C9IUW49UZ4I6T" localSheetId="2" hidden="1">#REF!</definedName>
    <definedName name="BExTTZNS2PBCR93C9IUW49UZ4I6T" localSheetId="34" hidden="1">#REF!</definedName>
    <definedName name="BExTTZNS2PBCR93C9IUW49UZ4I6T" localSheetId="12" hidden="1">#REF!</definedName>
    <definedName name="BExTTZNS2PBCR93C9IUW49UZ4I6T" localSheetId="10" hidden="1">#REF!</definedName>
    <definedName name="BExTTZNS2PBCR93C9IUW49UZ4I6T" localSheetId="6" hidden="1">#REF!</definedName>
    <definedName name="BExTTZNS2PBCR93C9IUW49UZ4I6T" hidden="1">#REF!</definedName>
    <definedName name="BExTUY9WNSJ91GV8CP0SKJTEIV82" localSheetId="1" hidden="1">#REF!</definedName>
    <definedName name="BExTUY9WNSJ91GV8CP0SKJTEIV82" localSheetId="7" hidden="1">#REF!</definedName>
    <definedName name="BExTUY9WNSJ91GV8CP0SKJTEIV82" localSheetId="2" hidden="1">#REF!</definedName>
    <definedName name="BExTUY9WNSJ91GV8CP0SKJTEIV82" localSheetId="34" hidden="1">#REF!</definedName>
    <definedName name="BExTUY9WNSJ91GV8CP0SKJTEIV82" localSheetId="12" hidden="1">#REF!</definedName>
    <definedName name="BExTUY9WNSJ91GV8CP0SKJTEIV82" localSheetId="10" hidden="1">#REF!</definedName>
    <definedName name="BExTUY9WNSJ91GV8CP0SKJTEIV82" localSheetId="6" hidden="1">#REF!</definedName>
    <definedName name="BExTUY9WNSJ91GV8CP0SKJTEIV82" hidden="1">#REF!</definedName>
    <definedName name="BExTVELZCF2YA5L6F23BYZZR6WHF" localSheetId="1" hidden="1">#REF!</definedName>
    <definedName name="BExTVELZCF2YA5L6F23BYZZR6WHF" localSheetId="7" hidden="1">#REF!</definedName>
    <definedName name="BExTVELZCF2YA5L6F23BYZZR6WHF" localSheetId="2" hidden="1">#REF!</definedName>
    <definedName name="BExTVELZCF2YA5L6F23BYZZR6WHF" localSheetId="34" hidden="1">#REF!</definedName>
    <definedName name="BExTVELZCF2YA5L6F23BYZZR6WHF" localSheetId="12" hidden="1">#REF!</definedName>
    <definedName name="BExTVELZCF2YA5L6F23BYZZR6WHF" localSheetId="10" hidden="1">#REF!</definedName>
    <definedName name="BExTVELZCF2YA5L6F23BYZZR6WHF" localSheetId="6" hidden="1">#REF!</definedName>
    <definedName name="BExTVELZCF2YA5L6F23BYZZR6WHF" hidden="1">#REF!</definedName>
    <definedName name="BExTXJ6HBAIXMMWKZTJNFDYVZCAY" localSheetId="1" hidden="1">#REF!</definedName>
    <definedName name="BExTXJ6HBAIXMMWKZTJNFDYVZCAY" localSheetId="7" hidden="1">#REF!</definedName>
    <definedName name="BExTXJ6HBAIXMMWKZTJNFDYVZCAY" localSheetId="2" hidden="1">#REF!</definedName>
    <definedName name="BExTXJ6HBAIXMMWKZTJNFDYVZCAY" localSheetId="34" hidden="1">#REF!</definedName>
    <definedName name="BExTXJ6HBAIXMMWKZTJNFDYVZCAY" localSheetId="12" hidden="1">#REF!</definedName>
    <definedName name="BExTXJ6HBAIXMMWKZTJNFDYVZCAY" localSheetId="10" hidden="1">#REF!</definedName>
    <definedName name="BExTXJ6HBAIXMMWKZTJNFDYVZCAY" localSheetId="6" hidden="1">#REF!</definedName>
    <definedName name="BExTXJ6HBAIXMMWKZTJNFDYVZCAY" hidden="1">#REF!</definedName>
    <definedName name="BExTXT812NQT8GAEGH738U29BI0D" localSheetId="1" hidden="1">#REF!</definedName>
    <definedName name="BExTXT812NQT8GAEGH738U29BI0D" localSheetId="7" hidden="1">#REF!</definedName>
    <definedName name="BExTXT812NQT8GAEGH738U29BI0D" localSheetId="2" hidden="1">#REF!</definedName>
    <definedName name="BExTXT812NQT8GAEGH738U29BI0D" localSheetId="34" hidden="1">#REF!</definedName>
    <definedName name="BExTXT812NQT8GAEGH738U29BI0D" localSheetId="12" hidden="1">#REF!</definedName>
    <definedName name="BExTXT812NQT8GAEGH738U29BI0D" localSheetId="10" hidden="1">#REF!</definedName>
    <definedName name="BExTXT812NQT8GAEGH738U29BI0D" localSheetId="6" hidden="1">#REF!</definedName>
    <definedName name="BExTXT812NQT8GAEGH738U29BI0D" hidden="1">#REF!</definedName>
    <definedName name="BExTY5T62H651VC86QM4X7E28JVA" localSheetId="1" hidden="1">#REF!</definedName>
    <definedName name="BExTY5T62H651VC86QM4X7E28JVA" localSheetId="7" hidden="1">#REF!</definedName>
    <definedName name="BExTY5T62H651VC86QM4X7E28JVA" localSheetId="2" hidden="1">#REF!</definedName>
    <definedName name="BExTY5T62H651VC86QM4X7E28JVA" localSheetId="34" hidden="1">#REF!</definedName>
    <definedName name="BExTY5T62H651VC86QM4X7E28JVA" localSheetId="12" hidden="1">#REF!</definedName>
    <definedName name="BExTY5T62H651VC86QM4X7E28JVA" localSheetId="10" hidden="1">#REF!</definedName>
    <definedName name="BExTY5T62H651VC86QM4X7E28JVA" localSheetId="6" hidden="1">#REF!</definedName>
    <definedName name="BExTY5T62H651VC86QM4X7E28JVA" hidden="1">#REF!</definedName>
    <definedName name="BExTZO2596CBZKPI7YNA1QQNPAIJ" localSheetId="1" hidden="1">#REF!</definedName>
    <definedName name="BExTZO2596CBZKPI7YNA1QQNPAIJ" localSheetId="7" hidden="1">#REF!</definedName>
    <definedName name="BExTZO2596CBZKPI7YNA1QQNPAIJ" localSheetId="2" hidden="1">#REF!</definedName>
    <definedName name="BExTZO2596CBZKPI7YNA1QQNPAIJ" localSheetId="34" hidden="1">#REF!</definedName>
    <definedName name="BExTZO2596CBZKPI7YNA1QQNPAIJ" localSheetId="12" hidden="1">#REF!</definedName>
    <definedName name="BExTZO2596CBZKPI7YNA1QQNPAIJ" localSheetId="10" hidden="1">#REF!</definedName>
    <definedName name="BExTZO2596CBZKPI7YNA1QQNPAIJ" localSheetId="6" hidden="1">#REF!</definedName>
    <definedName name="BExTZO2596CBZKPI7YNA1QQNPAIJ" hidden="1">#REF!</definedName>
    <definedName name="BExU02QNT4LT7H9JPUC4FXTLVGZT" localSheetId="1" hidden="1">#REF!</definedName>
    <definedName name="BExU02QNT4LT7H9JPUC4FXTLVGZT" localSheetId="7" hidden="1">#REF!</definedName>
    <definedName name="BExU02QNT4LT7H9JPUC4FXTLVGZT" localSheetId="2" hidden="1">#REF!</definedName>
    <definedName name="BExU02QNT4LT7H9JPUC4FXTLVGZT" localSheetId="34" hidden="1">#REF!</definedName>
    <definedName name="BExU02QNT4LT7H9JPUC4FXTLVGZT" localSheetId="12" hidden="1">#REF!</definedName>
    <definedName name="BExU02QNT4LT7H9JPUC4FXTLVGZT" localSheetId="10" hidden="1">#REF!</definedName>
    <definedName name="BExU02QNT4LT7H9JPUC4FXTLVGZT" localSheetId="6" hidden="1">#REF!</definedName>
    <definedName name="BExU02QNT4LT7H9JPUC4FXTLVGZT" hidden="1">#REF!</definedName>
    <definedName name="BExU1IL9AOHFO85BZB6S60DK3N8H" localSheetId="1" hidden="1">#REF!</definedName>
    <definedName name="BExU1IL9AOHFO85BZB6S60DK3N8H" localSheetId="7" hidden="1">#REF!</definedName>
    <definedName name="BExU1IL9AOHFO85BZB6S60DK3N8H" localSheetId="2" hidden="1">#REF!</definedName>
    <definedName name="BExU1IL9AOHFO85BZB6S60DK3N8H" localSheetId="34" hidden="1">#REF!</definedName>
    <definedName name="BExU1IL9AOHFO85BZB6S60DK3N8H" localSheetId="12" hidden="1">#REF!</definedName>
    <definedName name="BExU1IL9AOHFO85BZB6S60DK3N8H" localSheetId="10" hidden="1">#REF!</definedName>
    <definedName name="BExU1IL9AOHFO85BZB6S60DK3N8H" localSheetId="6" hidden="1">#REF!</definedName>
    <definedName name="BExU1IL9AOHFO85BZB6S60DK3N8H" hidden="1">#REF!</definedName>
    <definedName name="BExU1NOPS09CLFZL1O31RAF9BQNQ" localSheetId="1" hidden="1">#REF!</definedName>
    <definedName name="BExU1NOPS09CLFZL1O31RAF9BQNQ" localSheetId="7" hidden="1">#REF!</definedName>
    <definedName name="BExU1NOPS09CLFZL1O31RAF9BQNQ" localSheetId="2" hidden="1">#REF!</definedName>
    <definedName name="BExU1NOPS09CLFZL1O31RAF9BQNQ" localSheetId="34" hidden="1">#REF!</definedName>
    <definedName name="BExU1NOPS09CLFZL1O31RAF9BQNQ" localSheetId="12" hidden="1">#REF!</definedName>
    <definedName name="BExU1NOPS09CLFZL1O31RAF9BQNQ" localSheetId="10" hidden="1">#REF!</definedName>
    <definedName name="BExU1NOPS09CLFZL1O31RAF9BQNQ" localSheetId="6" hidden="1">#REF!</definedName>
    <definedName name="BExU1NOPS09CLFZL1O31RAF9BQNQ" hidden="1">#REF!</definedName>
    <definedName name="BExU1VRURIWWVJ95O40WA23LMTJD" localSheetId="1" hidden="1">#REF!</definedName>
    <definedName name="BExU1VRURIWWVJ95O40WA23LMTJD" localSheetId="7" hidden="1">#REF!</definedName>
    <definedName name="BExU1VRURIWWVJ95O40WA23LMTJD" localSheetId="2" hidden="1">#REF!</definedName>
    <definedName name="BExU1VRURIWWVJ95O40WA23LMTJD" localSheetId="34" hidden="1">#REF!</definedName>
    <definedName name="BExU1VRURIWWVJ95O40WA23LMTJD" localSheetId="12" hidden="1">#REF!</definedName>
    <definedName name="BExU1VRURIWWVJ95O40WA23LMTJD" localSheetId="10" hidden="1">#REF!</definedName>
    <definedName name="BExU1VRURIWWVJ95O40WA23LMTJD" localSheetId="6" hidden="1">#REF!</definedName>
    <definedName name="BExU1VRURIWWVJ95O40WA23LMTJD" hidden="1">#REF!</definedName>
    <definedName name="BExU4GDVLPUEWBA4MRYRTQAUNO7B" localSheetId="1" hidden="1">#REF!</definedName>
    <definedName name="BExU4GDVLPUEWBA4MRYRTQAUNO7B" localSheetId="7" hidden="1">#REF!</definedName>
    <definedName name="BExU4GDVLPUEWBA4MRYRTQAUNO7B" localSheetId="2" hidden="1">#REF!</definedName>
    <definedName name="BExU4GDVLPUEWBA4MRYRTQAUNO7B" localSheetId="34" hidden="1">#REF!</definedName>
    <definedName name="BExU4GDVLPUEWBA4MRYRTQAUNO7B" localSheetId="12" hidden="1">#REF!</definedName>
    <definedName name="BExU4GDVLPUEWBA4MRYRTQAUNO7B" localSheetId="10" hidden="1">#REF!</definedName>
    <definedName name="BExU4GDVLPUEWBA4MRYRTQAUNO7B" localSheetId="6" hidden="1">#REF!</definedName>
    <definedName name="BExU4GDVLPUEWBA4MRYRTQAUNO7B" hidden="1">#REF!</definedName>
    <definedName name="BExU80I6AE5OU7P7F5V7HWIZBJ4P" localSheetId="1" hidden="1">#REF!</definedName>
    <definedName name="BExU80I6AE5OU7P7F5V7HWIZBJ4P" localSheetId="7" hidden="1">#REF!</definedName>
    <definedName name="BExU80I6AE5OU7P7F5V7HWIZBJ4P" localSheetId="2" hidden="1">#REF!</definedName>
    <definedName name="BExU80I6AE5OU7P7F5V7HWIZBJ4P" localSheetId="34" hidden="1">#REF!</definedName>
    <definedName name="BExU80I6AE5OU7P7F5V7HWIZBJ4P" localSheetId="12" hidden="1">#REF!</definedName>
    <definedName name="BExU80I6AE5OU7P7F5V7HWIZBJ4P" localSheetId="10" hidden="1">#REF!</definedName>
    <definedName name="BExU80I6AE5OU7P7F5V7HWIZBJ4P" localSheetId="6" hidden="1">#REF!</definedName>
    <definedName name="BExU80I6AE5OU7P7F5V7HWIZBJ4P" hidden="1">#REF!</definedName>
    <definedName name="BExUC623BDYEODBN0N4DO6PJQ7NU" localSheetId="1" hidden="1">#REF!</definedName>
    <definedName name="BExUC623BDYEODBN0N4DO6PJQ7NU" localSheetId="7" hidden="1">#REF!</definedName>
    <definedName name="BExUC623BDYEODBN0N4DO6PJQ7NU" localSheetId="2" hidden="1">#REF!</definedName>
    <definedName name="BExUC623BDYEODBN0N4DO6PJQ7NU" localSheetId="34" hidden="1">#REF!</definedName>
    <definedName name="BExUC623BDYEODBN0N4DO6PJQ7NU" localSheetId="12" hidden="1">#REF!</definedName>
    <definedName name="BExUC623BDYEODBN0N4DO6PJQ7NU" localSheetId="10" hidden="1">#REF!</definedName>
    <definedName name="BExUC623BDYEODBN0N4DO6PJQ7NU" localSheetId="6" hidden="1">#REF!</definedName>
    <definedName name="BExUC623BDYEODBN0N4DO6PJQ7NU" hidden="1">#REF!</definedName>
    <definedName name="BExUDEV0CYVO7Y5IQQBEJ6FUY9S6" localSheetId="1" hidden="1">#REF!</definedName>
    <definedName name="BExUDEV0CYVO7Y5IQQBEJ6FUY9S6" localSheetId="7" hidden="1">#REF!</definedName>
    <definedName name="BExUDEV0CYVO7Y5IQQBEJ6FUY9S6" localSheetId="2" hidden="1">#REF!</definedName>
    <definedName name="BExUDEV0CYVO7Y5IQQBEJ6FUY9S6" localSheetId="34" hidden="1">#REF!</definedName>
    <definedName name="BExUDEV0CYVO7Y5IQQBEJ6FUY9S6" localSheetId="12" hidden="1">#REF!</definedName>
    <definedName name="BExUDEV0CYVO7Y5IQQBEJ6FUY9S6" localSheetId="10" hidden="1">#REF!</definedName>
    <definedName name="BExUDEV0CYVO7Y5IQQBEJ6FUY9S6" localSheetId="6" hidden="1">#REF!</definedName>
    <definedName name="BExUDEV0CYVO7Y5IQQBEJ6FUY9S6" hidden="1">#REF!</definedName>
    <definedName name="BExUEJGX3OQQP5KFRJSRCZ70EI9V" localSheetId="1" hidden="1">#REF!</definedName>
    <definedName name="BExUEJGX3OQQP5KFRJSRCZ70EI9V" localSheetId="7" hidden="1">#REF!</definedName>
    <definedName name="BExUEJGX3OQQP5KFRJSRCZ70EI9V" localSheetId="2" hidden="1">#REF!</definedName>
    <definedName name="BExUEJGX3OQQP5KFRJSRCZ70EI9V" localSheetId="34" hidden="1">#REF!</definedName>
    <definedName name="BExUEJGX3OQQP5KFRJSRCZ70EI9V" localSheetId="12" hidden="1">#REF!</definedName>
    <definedName name="BExUEJGX3OQQP5KFRJSRCZ70EI9V" localSheetId="10" hidden="1">#REF!</definedName>
    <definedName name="BExUEJGX3OQQP5KFRJSRCZ70EI9V" localSheetId="6" hidden="1">#REF!</definedName>
    <definedName name="BExUEJGX3OQQP5KFRJSRCZ70EI9V" hidden="1">#REF!</definedName>
    <definedName name="BExVTCMDDEDGLUIMUU6BSFHEWTOP" localSheetId="1" hidden="1">#REF!</definedName>
    <definedName name="BExVTCMDDEDGLUIMUU6BSFHEWTOP" localSheetId="7" hidden="1">#REF!</definedName>
    <definedName name="BExVTCMDDEDGLUIMUU6BSFHEWTOP" localSheetId="2" hidden="1">#REF!</definedName>
    <definedName name="BExVTCMDDEDGLUIMUU6BSFHEWTOP" localSheetId="34" hidden="1">#REF!</definedName>
    <definedName name="BExVTCMDDEDGLUIMUU6BSFHEWTOP" localSheetId="12" hidden="1">#REF!</definedName>
    <definedName name="BExVTCMDDEDGLUIMUU6BSFHEWTOP" localSheetId="10" hidden="1">#REF!</definedName>
    <definedName name="BExVTCMDDEDGLUIMUU6BSFHEWTOP" localSheetId="6" hidden="1">#REF!</definedName>
    <definedName name="BExVTCMDDEDGLUIMUU6BSFHEWTOP" hidden="1">#REF!</definedName>
    <definedName name="BExVVPFO2J7FMSRPD36909HN4BZJ" localSheetId="1" hidden="1">#REF!</definedName>
    <definedName name="BExVVPFO2J7FMSRPD36909HN4BZJ" localSheetId="7" hidden="1">#REF!</definedName>
    <definedName name="BExVVPFO2J7FMSRPD36909HN4BZJ" localSheetId="2" hidden="1">#REF!</definedName>
    <definedName name="BExVVPFO2J7FMSRPD36909HN4BZJ" localSheetId="34" hidden="1">#REF!</definedName>
    <definedName name="BExVVPFO2J7FMSRPD36909HN4BZJ" localSheetId="12" hidden="1">#REF!</definedName>
    <definedName name="BExVVPFO2J7FMSRPD36909HN4BZJ" localSheetId="10" hidden="1">#REF!</definedName>
    <definedName name="BExVVPFO2J7FMSRPD36909HN4BZJ" localSheetId="6" hidden="1">#REF!</definedName>
    <definedName name="BExVVPFO2J7FMSRPD36909HN4BZJ" hidden="1">#REF!</definedName>
    <definedName name="BExVVQ19TAECID45CS4HXT1RD3AQ" localSheetId="1" hidden="1">#REF!</definedName>
    <definedName name="BExVVQ19TAECID45CS4HXT1RD3AQ" localSheetId="7" hidden="1">#REF!</definedName>
    <definedName name="BExVVQ19TAECID45CS4HXT1RD3AQ" localSheetId="2" hidden="1">#REF!</definedName>
    <definedName name="BExVVQ19TAECID45CS4HXT1RD3AQ" localSheetId="34" hidden="1">#REF!</definedName>
    <definedName name="BExVVQ19TAECID45CS4HXT1RD3AQ" localSheetId="12" hidden="1">#REF!</definedName>
    <definedName name="BExVVQ19TAECID45CS4HXT1RD3AQ" localSheetId="10" hidden="1">#REF!</definedName>
    <definedName name="BExVVQ19TAECID45CS4HXT1RD3AQ" localSheetId="6" hidden="1">#REF!</definedName>
    <definedName name="BExVVQ19TAECID45CS4HXT1RD3AQ" hidden="1">#REF!</definedName>
    <definedName name="BExVXLX2BZ5EF2X6R41BTKRJR1NM" localSheetId="1" hidden="1">#REF!</definedName>
    <definedName name="BExVXLX2BZ5EF2X6R41BTKRJR1NM" localSheetId="7" hidden="1">#REF!</definedName>
    <definedName name="BExVXLX2BZ5EF2X6R41BTKRJR1NM" localSheetId="2" hidden="1">#REF!</definedName>
    <definedName name="BExVXLX2BZ5EF2X6R41BTKRJR1NM" localSheetId="34" hidden="1">#REF!</definedName>
    <definedName name="BExVXLX2BZ5EF2X6R41BTKRJR1NM" localSheetId="12" hidden="1">#REF!</definedName>
    <definedName name="BExVXLX2BZ5EF2X6R41BTKRJR1NM" localSheetId="10" hidden="1">#REF!</definedName>
    <definedName name="BExVXLX2BZ5EF2X6R41BTKRJR1NM" localSheetId="6" hidden="1">#REF!</definedName>
    <definedName name="BExVXLX2BZ5EF2X6R41BTKRJR1NM" hidden="1">#REF!</definedName>
    <definedName name="BExVY1SV37DL5YU59HS4IG3VBCP4" localSheetId="1" hidden="1">#REF!</definedName>
    <definedName name="BExVY1SV37DL5YU59HS4IG3VBCP4" localSheetId="7" hidden="1">#REF!</definedName>
    <definedName name="BExVY1SV37DL5YU59HS4IG3VBCP4" localSheetId="2" hidden="1">#REF!</definedName>
    <definedName name="BExVY1SV37DL5YU59HS4IG3VBCP4" localSheetId="34" hidden="1">#REF!</definedName>
    <definedName name="BExVY1SV37DL5YU59HS4IG3VBCP4" localSheetId="12" hidden="1">#REF!</definedName>
    <definedName name="BExVY1SV37DL5YU59HS4IG3VBCP4" localSheetId="10" hidden="1">#REF!</definedName>
    <definedName name="BExVY1SV37DL5YU59HS4IG3VBCP4" localSheetId="6" hidden="1">#REF!</definedName>
    <definedName name="BExVY1SV37DL5YU59HS4IG3VBCP4" hidden="1">#REF!</definedName>
    <definedName name="BExVZJQVO5LQ0BJH5JEN5NOBIAF6" localSheetId="1" hidden="1">#REF!</definedName>
    <definedName name="BExVZJQVO5LQ0BJH5JEN5NOBIAF6" localSheetId="7" hidden="1">#REF!</definedName>
    <definedName name="BExVZJQVO5LQ0BJH5JEN5NOBIAF6" localSheetId="2" hidden="1">#REF!</definedName>
    <definedName name="BExVZJQVO5LQ0BJH5JEN5NOBIAF6" localSheetId="34" hidden="1">#REF!</definedName>
    <definedName name="BExVZJQVO5LQ0BJH5JEN5NOBIAF6" localSheetId="12" hidden="1">#REF!</definedName>
    <definedName name="BExVZJQVO5LQ0BJH5JEN5NOBIAF6" localSheetId="10" hidden="1">#REF!</definedName>
    <definedName name="BExVZJQVO5LQ0BJH5JEN5NOBIAF6" localSheetId="6" hidden="1">#REF!</definedName>
    <definedName name="BExVZJQVO5LQ0BJH5JEN5NOBIAF6" hidden="1">#REF!</definedName>
    <definedName name="BExW66LVVZK656PQY1257QMHP2AY" localSheetId="1" hidden="1">#REF!</definedName>
    <definedName name="BExW66LVVZK656PQY1257QMHP2AY" localSheetId="7" hidden="1">#REF!</definedName>
    <definedName name="BExW66LVVZK656PQY1257QMHP2AY" localSheetId="2" hidden="1">#REF!</definedName>
    <definedName name="BExW66LVVZK656PQY1257QMHP2AY" localSheetId="34" hidden="1">#REF!</definedName>
    <definedName name="BExW66LVVZK656PQY1257QMHP2AY" localSheetId="12" hidden="1">#REF!</definedName>
    <definedName name="BExW66LVVZK656PQY1257QMHP2AY" localSheetId="10" hidden="1">#REF!</definedName>
    <definedName name="BExW66LVVZK656PQY1257QMHP2AY" localSheetId="6" hidden="1">#REF!</definedName>
    <definedName name="BExW66LVVZK656PQY1257QMHP2AY" hidden="1">#REF!</definedName>
    <definedName name="BExXLDE6PN4ESWT3LXJNQCY94NE4" localSheetId="1" hidden="1">#REF!</definedName>
    <definedName name="BExXLDE6PN4ESWT3LXJNQCY94NE4" localSheetId="7" hidden="1">#REF!</definedName>
    <definedName name="BExXLDE6PN4ESWT3LXJNQCY94NE4" localSheetId="2" hidden="1">#REF!</definedName>
    <definedName name="BExXLDE6PN4ESWT3LXJNQCY94NE4" localSheetId="34" hidden="1">#REF!</definedName>
    <definedName name="BExXLDE6PN4ESWT3LXJNQCY94NE4" localSheetId="12" hidden="1">#REF!</definedName>
    <definedName name="BExXLDE6PN4ESWT3LXJNQCY94NE4" localSheetId="10" hidden="1">#REF!</definedName>
    <definedName name="BExXLDE6PN4ESWT3LXJNQCY94NE4" localSheetId="6" hidden="1">#REF!</definedName>
    <definedName name="BExXLDE6PN4ESWT3LXJNQCY94NE4" hidden="1">#REF!</definedName>
    <definedName name="BExXM065WOLYRYHGHOJE0OOFXA4M" localSheetId="1" hidden="1">#REF!</definedName>
    <definedName name="BExXM065WOLYRYHGHOJE0OOFXA4M" localSheetId="7" hidden="1">#REF!</definedName>
    <definedName name="BExXM065WOLYRYHGHOJE0OOFXA4M" localSheetId="2" hidden="1">#REF!</definedName>
    <definedName name="BExXM065WOLYRYHGHOJE0OOFXA4M" localSheetId="34" hidden="1">#REF!</definedName>
    <definedName name="BExXM065WOLYRYHGHOJE0OOFXA4M" localSheetId="12" hidden="1">#REF!</definedName>
    <definedName name="BExXM065WOLYRYHGHOJE0OOFXA4M" localSheetId="10" hidden="1">#REF!</definedName>
    <definedName name="BExXM065WOLYRYHGHOJE0OOFXA4M" localSheetId="6" hidden="1">#REF!</definedName>
    <definedName name="BExXM065WOLYRYHGHOJE0OOFXA4M" hidden="1">#REF!</definedName>
    <definedName name="BExXNWYB165VO9MHARCL5WLCHWS0" localSheetId="1" hidden="1">#REF!</definedName>
    <definedName name="BExXNWYB165VO9MHARCL5WLCHWS0" localSheetId="7" hidden="1">#REF!</definedName>
    <definedName name="BExXNWYB165VO9MHARCL5WLCHWS0" localSheetId="2" hidden="1">#REF!</definedName>
    <definedName name="BExXNWYB165VO9MHARCL5WLCHWS0" localSheetId="34" hidden="1">#REF!</definedName>
    <definedName name="BExXNWYB165VO9MHARCL5WLCHWS0" localSheetId="12" hidden="1">#REF!</definedName>
    <definedName name="BExXNWYB165VO9MHARCL5WLCHWS0" localSheetId="10" hidden="1">#REF!</definedName>
    <definedName name="BExXNWYB165VO9MHARCL5WLCHWS0" localSheetId="6" hidden="1">#REF!</definedName>
    <definedName name="BExXNWYB165VO9MHARCL5WLCHWS0" hidden="1">#REF!</definedName>
    <definedName name="BExXQH41O5HZAH8BO6HCFY8YC3TU" localSheetId="1" hidden="1">#REF!</definedName>
    <definedName name="BExXQH41O5HZAH8BO6HCFY8YC3TU" localSheetId="7" hidden="1">#REF!</definedName>
    <definedName name="BExXQH41O5HZAH8BO6HCFY8YC3TU" localSheetId="2" hidden="1">#REF!</definedName>
    <definedName name="BExXQH41O5HZAH8BO6HCFY8YC3TU" localSheetId="34" hidden="1">#REF!</definedName>
    <definedName name="BExXQH41O5HZAH8BO6HCFY8YC3TU" localSheetId="12" hidden="1">#REF!</definedName>
    <definedName name="BExXQH41O5HZAH8BO6HCFY8YC3TU" localSheetId="10" hidden="1">#REF!</definedName>
    <definedName name="BExXQH41O5HZAH8BO6HCFY8YC3TU" localSheetId="6" hidden="1">#REF!</definedName>
    <definedName name="BExXQH41O5HZAH8BO6HCFY8YC3TU" hidden="1">#REF!</definedName>
    <definedName name="BExXRD13K1S9Y3JGR7CXSONT7RJZ" localSheetId="1" hidden="1">#REF!</definedName>
    <definedName name="BExXRD13K1S9Y3JGR7CXSONT7RJZ" localSheetId="7" hidden="1">#REF!</definedName>
    <definedName name="BExXRD13K1S9Y3JGR7CXSONT7RJZ" localSheetId="2" hidden="1">#REF!</definedName>
    <definedName name="BExXRD13K1S9Y3JGR7CXSONT7RJZ" localSheetId="34" hidden="1">#REF!</definedName>
    <definedName name="BExXRD13K1S9Y3JGR7CXSONT7RJZ" localSheetId="12" hidden="1">#REF!</definedName>
    <definedName name="BExXRD13K1S9Y3JGR7CXSONT7RJZ" localSheetId="10" hidden="1">#REF!</definedName>
    <definedName name="BExXRD13K1S9Y3JGR7CXSONT7RJZ" localSheetId="6" hidden="1">#REF!</definedName>
    <definedName name="BExXRD13K1S9Y3JGR7CXSONT7RJZ" hidden="1">#REF!</definedName>
    <definedName name="BExXRO4A6VUH1F4XV8N1BRJ4896W" localSheetId="1" hidden="1">#REF!</definedName>
    <definedName name="BExXRO4A6VUH1F4XV8N1BRJ4896W" localSheetId="7" hidden="1">#REF!</definedName>
    <definedName name="BExXRO4A6VUH1F4XV8N1BRJ4896W" localSheetId="2" hidden="1">#REF!</definedName>
    <definedName name="BExXRO4A6VUH1F4XV8N1BRJ4896W" localSheetId="34" hidden="1">#REF!</definedName>
    <definedName name="BExXRO4A6VUH1F4XV8N1BRJ4896W" localSheetId="12" hidden="1">#REF!</definedName>
    <definedName name="BExXRO4A6VUH1F4XV8N1BRJ4896W" localSheetId="10" hidden="1">#REF!</definedName>
    <definedName name="BExXRO4A6VUH1F4XV8N1BRJ4896W" localSheetId="6" hidden="1">#REF!</definedName>
    <definedName name="BExXRO4A6VUH1F4XV8N1BRJ4896W" hidden="1">#REF!</definedName>
    <definedName name="BExXU8VLZA7WLPZ3RAQZGNERUD26" localSheetId="1" hidden="1">#REF!</definedName>
    <definedName name="BExXU8VLZA7WLPZ3RAQZGNERUD26" localSheetId="7" hidden="1">#REF!</definedName>
    <definedName name="BExXU8VLZA7WLPZ3RAQZGNERUD26" localSheetId="2" hidden="1">#REF!</definedName>
    <definedName name="BExXU8VLZA7WLPZ3RAQZGNERUD26" localSheetId="34" hidden="1">#REF!</definedName>
    <definedName name="BExXU8VLZA7WLPZ3RAQZGNERUD26" localSheetId="12" hidden="1">#REF!</definedName>
    <definedName name="BExXU8VLZA7WLPZ3RAQZGNERUD26" localSheetId="10" hidden="1">#REF!</definedName>
    <definedName name="BExXU8VLZA7WLPZ3RAQZGNERUD26" localSheetId="6" hidden="1">#REF!</definedName>
    <definedName name="BExXU8VLZA7WLPZ3RAQZGNERUD26" hidden="1">#REF!</definedName>
    <definedName name="BExXXBM521DL8R4ZX7NZ3DBCUOR5" localSheetId="1" hidden="1">#REF!</definedName>
    <definedName name="BExXXBM521DL8R4ZX7NZ3DBCUOR5" localSheetId="7" hidden="1">#REF!</definedName>
    <definedName name="BExXXBM521DL8R4ZX7NZ3DBCUOR5" localSheetId="2" hidden="1">#REF!</definedName>
    <definedName name="BExXXBM521DL8R4ZX7NZ3DBCUOR5" localSheetId="34" hidden="1">#REF!</definedName>
    <definedName name="BExXXBM521DL8R4ZX7NZ3DBCUOR5" localSheetId="12" hidden="1">#REF!</definedName>
    <definedName name="BExXXBM521DL8R4ZX7NZ3DBCUOR5" localSheetId="10" hidden="1">#REF!</definedName>
    <definedName name="BExXXBM521DL8R4ZX7NZ3DBCUOR5" localSheetId="6" hidden="1">#REF!</definedName>
    <definedName name="BExXXBM521DL8R4ZX7NZ3DBCUOR5" hidden="1">#REF!</definedName>
    <definedName name="BExXXZQNZY6IZI45DJXJK0MQZWA7" localSheetId="1" hidden="1">#REF!</definedName>
    <definedName name="BExXXZQNZY6IZI45DJXJK0MQZWA7" localSheetId="7" hidden="1">#REF!</definedName>
    <definedName name="BExXXZQNZY6IZI45DJXJK0MQZWA7" localSheetId="2" hidden="1">#REF!</definedName>
    <definedName name="BExXXZQNZY6IZI45DJXJK0MQZWA7" localSheetId="34" hidden="1">#REF!</definedName>
    <definedName name="BExXXZQNZY6IZI45DJXJK0MQZWA7" localSheetId="12" hidden="1">#REF!</definedName>
    <definedName name="BExXXZQNZY6IZI45DJXJK0MQZWA7" localSheetId="10" hidden="1">#REF!</definedName>
    <definedName name="BExXXZQNZY6IZI45DJXJK0MQZWA7" localSheetId="6" hidden="1">#REF!</definedName>
    <definedName name="BExXXZQNZY6IZI45DJXJK0MQZWA7" hidden="1">#REF!</definedName>
    <definedName name="BExXY7TYEBFXRYUYIFHTN65RJ8EW" localSheetId="1" hidden="1">#REF!</definedName>
    <definedName name="BExXY7TYEBFXRYUYIFHTN65RJ8EW" localSheetId="7" hidden="1">#REF!</definedName>
    <definedName name="BExXY7TYEBFXRYUYIFHTN65RJ8EW" localSheetId="2" hidden="1">#REF!</definedName>
    <definedName name="BExXY7TYEBFXRYUYIFHTN65RJ8EW" localSheetId="34" hidden="1">#REF!</definedName>
    <definedName name="BExXY7TYEBFXRYUYIFHTN65RJ8EW" localSheetId="12" hidden="1">#REF!</definedName>
    <definedName name="BExXY7TYEBFXRYUYIFHTN65RJ8EW" localSheetId="10" hidden="1">#REF!</definedName>
    <definedName name="BExXY7TYEBFXRYUYIFHTN65RJ8EW" localSheetId="6" hidden="1">#REF!</definedName>
    <definedName name="BExXY7TYEBFXRYUYIFHTN65RJ8EW" hidden="1">#REF!</definedName>
    <definedName name="BExXZOVPCEP495TQSON6PSRQ8XCY" localSheetId="1" hidden="1">#REF!</definedName>
    <definedName name="BExXZOVPCEP495TQSON6PSRQ8XCY" localSheetId="7" hidden="1">#REF!</definedName>
    <definedName name="BExXZOVPCEP495TQSON6PSRQ8XCY" localSheetId="2" hidden="1">#REF!</definedName>
    <definedName name="BExXZOVPCEP495TQSON6PSRQ8XCY" localSheetId="34" hidden="1">#REF!</definedName>
    <definedName name="BExXZOVPCEP495TQSON6PSRQ8XCY" localSheetId="12" hidden="1">#REF!</definedName>
    <definedName name="BExXZOVPCEP495TQSON6PSRQ8XCY" localSheetId="10" hidden="1">#REF!</definedName>
    <definedName name="BExXZOVPCEP495TQSON6PSRQ8XCY" localSheetId="6" hidden="1">#REF!</definedName>
    <definedName name="BExXZOVPCEP495TQSON6PSRQ8XCY" hidden="1">#REF!</definedName>
    <definedName name="BExY07WSDH5QEVM7BJXJK2ZRAI1O" localSheetId="1" hidden="1">#REF!</definedName>
    <definedName name="BExY07WSDH5QEVM7BJXJK2ZRAI1O" localSheetId="7" hidden="1">#REF!</definedName>
    <definedName name="BExY07WSDH5QEVM7BJXJK2ZRAI1O" localSheetId="2" hidden="1">#REF!</definedName>
    <definedName name="BExY07WSDH5QEVM7BJXJK2ZRAI1O" localSheetId="34" hidden="1">#REF!</definedName>
    <definedName name="BExY07WSDH5QEVM7BJXJK2ZRAI1O" localSheetId="12" hidden="1">#REF!</definedName>
    <definedName name="BExY07WSDH5QEVM7BJXJK2ZRAI1O" localSheetId="10" hidden="1">#REF!</definedName>
    <definedName name="BExY07WSDH5QEVM7BJXJK2ZRAI1O" localSheetId="6" hidden="1">#REF!</definedName>
    <definedName name="BExY07WSDH5QEVM7BJXJK2ZRAI1O" hidden="1">#REF!</definedName>
    <definedName name="BExY3HOSK7YI364K15OX70AVR6F1" localSheetId="1" hidden="1">#REF!</definedName>
    <definedName name="BExY3HOSK7YI364K15OX70AVR6F1" localSheetId="7" hidden="1">#REF!</definedName>
    <definedName name="BExY3HOSK7YI364K15OX70AVR6F1" localSheetId="2" hidden="1">#REF!</definedName>
    <definedName name="BExY3HOSK7YI364K15OX70AVR6F1" localSheetId="34" hidden="1">#REF!</definedName>
    <definedName name="BExY3HOSK7YI364K15OX70AVR6F1" localSheetId="12" hidden="1">#REF!</definedName>
    <definedName name="BExY3HOSK7YI364K15OX70AVR6F1" localSheetId="10" hidden="1">#REF!</definedName>
    <definedName name="BExY3HOSK7YI364K15OX70AVR6F1" localSheetId="6" hidden="1">#REF!</definedName>
    <definedName name="BExY3HOSK7YI364K15OX70AVR6F1" hidden="1">#REF!</definedName>
    <definedName name="BExZK3FGPHH5H771U7D5XY7XBS6E" localSheetId="1" hidden="1">#REF!</definedName>
    <definedName name="BExZK3FGPHH5H771U7D5XY7XBS6E" localSheetId="7" hidden="1">#REF!</definedName>
    <definedName name="BExZK3FGPHH5H771U7D5XY7XBS6E" localSheetId="2" hidden="1">#REF!</definedName>
    <definedName name="BExZK3FGPHH5H771U7D5XY7XBS6E" localSheetId="34" hidden="1">#REF!</definedName>
    <definedName name="BExZK3FGPHH5H771U7D5XY7XBS6E" localSheetId="12" hidden="1">#REF!</definedName>
    <definedName name="BExZK3FGPHH5H771U7D5XY7XBS6E" localSheetId="10" hidden="1">#REF!</definedName>
    <definedName name="BExZK3FGPHH5H771U7D5XY7XBS6E" localSheetId="6" hidden="1">#REF!</definedName>
    <definedName name="BExZK3FGPHH5H771U7D5XY7XBS6E" hidden="1">#REF!</definedName>
    <definedName name="BExZKHYORG3O8C772XPFHM1N8T80" localSheetId="1" hidden="1">#REF!</definedName>
    <definedName name="BExZKHYORG3O8C772XPFHM1N8T80" localSheetId="7" hidden="1">#REF!</definedName>
    <definedName name="BExZKHYORG3O8C772XPFHM1N8T80" localSheetId="2" hidden="1">#REF!</definedName>
    <definedName name="BExZKHYORG3O8C772XPFHM1N8T80" localSheetId="34" hidden="1">#REF!</definedName>
    <definedName name="BExZKHYORG3O8C772XPFHM1N8T80" localSheetId="12" hidden="1">#REF!</definedName>
    <definedName name="BExZKHYORG3O8C772XPFHM1N8T80" localSheetId="10" hidden="1">#REF!</definedName>
    <definedName name="BExZKHYORG3O8C772XPFHM1N8T80" localSheetId="6" hidden="1">#REF!</definedName>
    <definedName name="BExZKHYORG3O8C772XPFHM1N8T80" hidden="1">#REF!</definedName>
    <definedName name="BExZL6E4YVXRUN7ZGF2BIGIXFR8K" localSheetId="1" hidden="1">#REF!</definedName>
    <definedName name="BExZL6E4YVXRUN7ZGF2BIGIXFR8K" localSheetId="7" hidden="1">#REF!</definedName>
    <definedName name="BExZL6E4YVXRUN7ZGF2BIGIXFR8K" localSheetId="2" hidden="1">#REF!</definedName>
    <definedName name="BExZL6E4YVXRUN7ZGF2BIGIXFR8K" localSheetId="34" hidden="1">#REF!</definedName>
    <definedName name="BExZL6E4YVXRUN7ZGF2BIGIXFR8K" localSheetId="12" hidden="1">#REF!</definedName>
    <definedName name="BExZL6E4YVXRUN7ZGF2BIGIXFR8K" localSheetId="10" hidden="1">#REF!</definedName>
    <definedName name="BExZL6E4YVXRUN7ZGF2BIGIXFR8K" localSheetId="6" hidden="1">#REF!</definedName>
    <definedName name="BExZL6E4YVXRUN7ZGF2BIGIXFR8K" hidden="1">#REF!</definedName>
    <definedName name="BExZQIHTGHK7OOI2Y2PN3JYBY82I" localSheetId="1" hidden="1">#REF!</definedName>
    <definedName name="BExZQIHTGHK7OOI2Y2PN3JYBY82I" localSheetId="7" hidden="1">#REF!</definedName>
    <definedName name="BExZQIHTGHK7OOI2Y2PN3JYBY82I" localSheetId="2" hidden="1">#REF!</definedName>
    <definedName name="BExZQIHTGHK7OOI2Y2PN3JYBY82I" localSheetId="34" hidden="1">#REF!</definedName>
    <definedName name="BExZQIHTGHK7OOI2Y2PN3JYBY82I" localSheetId="12" hidden="1">#REF!</definedName>
    <definedName name="BExZQIHTGHK7OOI2Y2PN3JYBY82I" localSheetId="10" hidden="1">#REF!</definedName>
    <definedName name="BExZQIHTGHK7OOI2Y2PN3JYBY82I" localSheetId="6" hidden="1">#REF!</definedName>
    <definedName name="BExZQIHTGHK7OOI2Y2PN3JYBY82I" hidden="1">#REF!</definedName>
    <definedName name="BExZQJJMGU5MHQOILGXGJPAQI5XI" localSheetId="1" hidden="1">#REF!</definedName>
    <definedName name="BExZQJJMGU5MHQOILGXGJPAQI5XI" localSheetId="7" hidden="1">#REF!</definedName>
    <definedName name="BExZQJJMGU5MHQOILGXGJPAQI5XI" localSheetId="2" hidden="1">#REF!</definedName>
    <definedName name="BExZQJJMGU5MHQOILGXGJPAQI5XI" localSheetId="34" hidden="1">#REF!</definedName>
    <definedName name="BExZQJJMGU5MHQOILGXGJPAQI5XI" localSheetId="12" hidden="1">#REF!</definedName>
    <definedName name="BExZQJJMGU5MHQOILGXGJPAQI5XI" localSheetId="10" hidden="1">#REF!</definedName>
    <definedName name="BExZQJJMGU5MHQOILGXGJPAQI5XI" localSheetId="6" hidden="1">#REF!</definedName>
    <definedName name="BExZQJJMGU5MHQOILGXGJPAQI5XI" hidden="1">#REF!</definedName>
    <definedName name="BExZQZKT146WEN8FTVZ7Y5TSB8L5" localSheetId="1" hidden="1">#REF!</definedName>
    <definedName name="BExZQZKT146WEN8FTVZ7Y5TSB8L5" localSheetId="7" hidden="1">#REF!</definedName>
    <definedName name="BExZQZKT146WEN8FTVZ7Y5TSB8L5" localSheetId="2" hidden="1">#REF!</definedName>
    <definedName name="BExZQZKT146WEN8FTVZ7Y5TSB8L5" localSheetId="34" hidden="1">#REF!</definedName>
    <definedName name="BExZQZKT146WEN8FTVZ7Y5TSB8L5" localSheetId="12" hidden="1">#REF!</definedName>
    <definedName name="BExZQZKT146WEN8FTVZ7Y5TSB8L5" localSheetId="10" hidden="1">#REF!</definedName>
    <definedName name="BExZQZKT146WEN8FTVZ7Y5TSB8L5" localSheetId="6" hidden="1">#REF!</definedName>
    <definedName name="BExZQZKT146WEN8FTVZ7Y5TSB8L5" hidden="1">#REF!</definedName>
    <definedName name="BExZRP1X6UVLN1UOLHH5VF4STP1O" localSheetId="1" hidden="1">#REF!</definedName>
    <definedName name="BExZRP1X6UVLN1UOLHH5VF4STP1O" localSheetId="7" hidden="1">#REF!</definedName>
    <definedName name="BExZRP1X6UVLN1UOLHH5VF4STP1O" localSheetId="2" hidden="1">#REF!</definedName>
    <definedName name="BExZRP1X6UVLN1UOLHH5VF4STP1O" localSheetId="34" hidden="1">#REF!</definedName>
    <definedName name="BExZRP1X6UVLN1UOLHH5VF4STP1O" localSheetId="12" hidden="1">#REF!</definedName>
    <definedName name="BExZRP1X6UVLN1UOLHH5VF4STP1O" localSheetId="10" hidden="1">#REF!</definedName>
    <definedName name="BExZRP1X6UVLN1UOLHH5VF4STP1O" localSheetId="6" hidden="1">#REF!</definedName>
    <definedName name="BExZRP1X6UVLN1UOLHH5VF4STP1O" hidden="1">#REF!</definedName>
    <definedName name="BExZRW8W514W8OZ72YBONYJ64GXF" localSheetId="1" hidden="1">#REF!</definedName>
    <definedName name="BExZRW8W514W8OZ72YBONYJ64GXF" localSheetId="7" hidden="1">#REF!</definedName>
    <definedName name="BExZRW8W514W8OZ72YBONYJ64GXF" localSheetId="2" hidden="1">#REF!</definedName>
    <definedName name="BExZRW8W514W8OZ72YBONYJ64GXF" localSheetId="34" hidden="1">#REF!</definedName>
    <definedName name="BExZRW8W514W8OZ72YBONYJ64GXF" localSheetId="12" hidden="1">#REF!</definedName>
    <definedName name="BExZRW8W514W8OZ72YBONYJ64GXF" localSheetId="10" hidden="1">#REF!</definedName>
    <definedName name="BExZRW8W514W8OZ72YBONYJ64GXF" localSheetId="6" hidden="1">#REF!</definedName>
    <definedName name="BExZRW8W514W8OZ72YBONYJ64GXF" hidden="1">#REF!</definedName>
    <definedName name="BExZTAQV2QVSZY5Y3VCCWUBSBW9P" localSheetId="1" hidden="1">#REF!</definedName>
    <definedName name="BExZTAQV2QVSZY5Y3VCCWUBSBW9P" localSheetId="7" hidden="1">#REF!</definedName>
    <definedName name="BExZTAQV2QVSZY5Y3VCCWUBSBW9P" localSheetId="2" hidden="1">#REF!</definedName>
    <definedName name="BExZTAQV2QVSZY5Y3VCCWUBSBW9P" localSheetId="34" hidden="1">#REF!</definedName>
    <definedName name="BExZTAQV2QVSZY5Y3VCCWUBSBW9P" localSheetId="12" hidden="1">#REF!</definedName>
    <definedName name="BExZTAQV2QVSZY5Y3VCCWUBSBW9P" localSheetId="10" hidden="1">#REF!</definedName>
    <definedName name="BExZTAQV2QVSZY5Y3VCCWUBSBW9P" localSheetId="6" hidden="1">#REF!</definedName>
    <definedName name="BExZTAQV2QVSZY5Y3VCCWUBSBW9P" hidden="1">#REF!</definedName>
    <definedName name="BExZTT6J3X0TOX0ZY6YPLUVMCW9X" localSheetId="1" hidden="1">#REF!</definedName>
    <definedName name="BExZTT6J3X0TOX0ZY6YPLUVMCW9X" localSheetId="7" hidden="1">#REF!</definedName>
    <definedName name="BExZTT6J3X0TOX0ZY6YPLUVMCW9X" localSheetId="2" hidden="1">#REF!</definedName>
    <definedName name="BExZTT6J3X0TOX0ZY6YPLUVMCW9X" localSheetId="34" hidden="1">#REF!</definedName>
    <definedName name="BExZTT6J3X0TOX0ZY6YPLUVMCW9X" localSheetId="12" hidden="1">#REF!</definedName>
    <definedName name="BExZTT6J3X0TOX0ZY6YPLUVMCW9X" localSheetId="10" hidden="1">#REF!</definedName>
    <definedName name="BExZTT6J3X0TOX0ZY6YPLUVMCW9X" localSheetId="6" hidden="1">#REF!</definedName>
    <definedName name="BExZTT6J3X0TOX0ZY6YPLUVMCW9X" hidden="1">#REF!</definedName>
    <definedName name="BExZY02V77YJBMODJSWZOYCMPS5X" localSheetId="1" hidden="1">#REF!</definedName>
    <definedName name="BExZY02V77YJBMODJSWZOYCMPS5X" localSheetId="7" hidden="1">#REF!</definedName>
    <definedName name="BExZY02V77YJBMODJSWZOYCMPS5X" localSheetId="2" hidden="1">#REF!</definedName>
    <definedName name="BExZY02V77YJBMODJSWZOYCMPS5X" localSheetId="34" hidden="1">#REF!</definedName>
    <definedName name="BExZY02V77YJBMODJSWZOYCMPS5X" localSheetId="12" hidden="1">#REF!</definedName>
    <definedName name="BExZY02V77YJBMODJSWZOYCMPS5X" localSheetId="10" hidden="1">#REF!</definedName>
    <definedName name="BExZY02V77YJBMODJSWZOYCMPS5X" localSheetId="6" hidden="1">#REF!</definedName>
    <definedName name="BExZY02V77YJBMODJSWZOYCMPS5X" hidden="1">#REF!</definedName>
    <definedName name="BExZZTK54OTLF2YB68BHGOS27GEN" localSheetId="1" hidden="1">#REF!</definedName>
    <definedName name="BExZZTK54OTLF2YB68BHGOS27GEN" localSheetId="7" hidden="1">#REF!</definedName>
    <definedName name="BExZZTK54OTLF2YB68BHGOS27GEN" localSheetId="2" hidden="1">#REF!</definedName>
    <definedName name="BExZZTK54OTLF2YB68BHGOS27GEN" localSheetId="34" hidden="1">#REF!</definedName>
    <definedName name="BExZZTK54OTLF2YB68BHGOS27GEN" localSheetId="12" hidden="1">#REF!</definedName>
    <definedName name="BExZZTK54OTLF2YB68BHGOS27GEN" localSheetId="10" hidden="1">#REF!</definedName>
    <definedName name="BExZZTK54OTLF2YB68BHGOS27GEN" localSheetId="6" hidden="1">#REF!</definedName>
    <definedName name="BExZZTK54OTLF2YB68BHGOS27GEN" hidden="1">#REF!</definedName>
    <definedName name="BExZZZEMIIFKMLLV4DJKX5TB9R5V" localSheetId="1" hidden="1">#REF!</definedName>
    <definedName name="BExZZZEMIIFKMLLV4DJKX5TB9R5V" localSheetId="7" hidden="1">#REF!</definedName>
    <definedName name="BExZZZEMIIFKMLLV4DJKX5TB9R5V" localSheetId="2" hidden="1">#REF!</definedName>
    <definedName name="BExZZZEMIIFKMLLV4DJKX5TB9R5V" localSheetId="34" hidden="1">#REF!</definedName>
    <definedName name="BExZZZEMIIFKMLLV4DJKX5TB9R5V" localSheetId="12" hidden="1">#REF!</definedName>
    <definedName name="BExZZZEMIIFKMLLV4DJKX5TB9R5V" localSheetId="10" hidden="1">#REF!</definedName>
    <definedName name="BExZZZEMIIFKMLLV4DJKX5TB9R5V" localSheetId="6" hidden="1">#REF!</definedName>
    <definedName name="BExZZZEMIIFKMLLV4DJKX5TB9R5V" hidden="1">#REF!</definedName>
    <definedName name="bg" localSheetId="1" hidden="1">#REF!</definedName>
    <definedName name="bg" localSheetId="15" hidden="1">#REF!</definedName>
    <definedName name="bg" localSheetId="7" hidden="1">#REF!</definedName>
    <definedName name="bg" localSheetId="14" hidden="1">#REF!</definedName>
    <definedName name="bg" localSheetId="2" hidden="1">#REF!</definedName>
    <definedName name="bg" localSheetId="34" hidden="1">#REF!</definedName>
    <definedName name="bg" localSheetId="39" hidden="1">#REF!</definedName>
    <definedName name="bg" localSheetId="12" hidden="1">#REF!</definedName>
    <definedName name="bg" localSheetId="10" hidden="1">#REF!</definedName>
    <definedName name="bg" localSheetId="11" hidden="1">#REF!</definedName>
    <definedName name="bg" localSheetId="6" hidden="1">#REF!</definedName>
    <definedName name="bg" hidden="1">#REF!</definedName>
    <definedName name="BG_Del" hidden="1">15</definedName>
    <definedName name="BG_Ins" hidden="1">4</definedName>
    <definedName name="BG_Mod" hidden="1">6</definedName>
    <definedName name="bloqueio">#REF!</definedName>
    <definedName name="BLPH1" localSheetId="1" hidden="1">#REF!</definedName>
    <definedName name="BLPH1" localSheetId="15" hidden="1">#REF!</definedName>
    <definedName name="BLPH1" localSheetId="7" hidden="1">#REF!</definedName>
    <definedName name="BLPH1" localSheetId="14" hidden="1">#REF!</definedName>
    <definedName name="BLPH1" localSheetId="2" hidden="1">#REF!</definedName>
    <definedName name="BLPH1" localSheetId="34" hidden="1">#REF!</definedName>
    <definedName name="BLPH1" localSheetId="39" hidden="1">#REF!</definedName>
    <definedName name="BLPH1" localSheetId="12" hidden="1">#REF!</definedName>
    <definedName name="BLPH1" localSheetId="10" hidden="1">#REF!</definedName>
    <definedName name="BLPH1" localSheetId="11" hidden="1">#REF!</definedName>
    <definedName name="BLPH1" localSheetId="6" hidden="1">#REF!</definedName>
    <definedName name="BLPH1" hidden="1">#REF!</definedName>
    <definedName name="BLPH100" hidden="1">#REF!</definedName>
    <definedName name="BLPH101" hidden="1">#REF!</definedName>
    <definedName name="BLPH102" hidden="1">#REF!</definedName>
    <definedName name="BLPH103" hidden="1">#REF!</definedName>
    <definedName name="BLPH104" hidden="1">#REF!</definedName>
    <definedName name="BLPH107" localSheetId="1" hidden="1">#REF!</definedName>
    <definedName name="BLPH107" localSheetId="7" hidden="1">#REF!</definedName>
    <definedName name="BLPH107" localSheetId="2" hidden="1">#REF!</definedName>
    <definedName name="BLPH107" localSheetId="34" hidden="1">#REF!</definedName>
    <definedName name="BLPH107" localSheetId="12" hidden="1">#REF!</definedName>
    <definedName name="BLPH107" localSheetId="10" hidden="1">#REF!</definedName>
    <definedName name="BLPH107" localSheetId="6" hidden="1">#REF!</definedName>
    <definedName name="BLPH107" hidden="1">#REF!</definedName>
    <definedName name="BLPH2" localSheetId="1" hidden="1">#REF!</definedName>
    <definedName name="BLPH2" localSheetId="15" hidden="1">#REF!</definedName>
    <definedName name="BLPH2" localSheetId="7" hidden="1">#REF!</definedName>
    <definedName name="BLPH2" localSheetId="14" hidden="1">#REF!</definedName>
    <definedName name="BLPH2" localSheetId="2" hidden="1">#REF!</definedName>
    <definedName name="BLPH2" localSheetId="34" hidden="1">#REF!</definedName>
    <definedName name="BLPH2" localSheetId="39" hidden="1">#REF!</definedName>
    <definedName name="BLPH2" localSheetId="12" hidden="1">#REF!</definedName>
    <definedName name="BLPH2" localSheetId="10" hidden="1">#REF!</definedName>
    <definedName name="BLPH2" localSheetId="11" hidden="1">#REF!</definedName>
    <definedName name="BLPH2" localSheetId="6" hidden="1">#REF!</definedName>
    <definedName name="BLPH2" hidden="1">#REF!</definedName>
    <definedName name="BLPH3" localSheetId="1" hidden="1">#REF!</definedName>
    <definedName name="BLPH3" localSheetId="15" hidden="1">#REF!</definedName>
    <definedName name="BLPH3" localSheetId="7" hidden="1">#REF!</definedName>
    <definedName name="BLPH3" localSheetId="14" hidden="1">#REF!</definedName>
    <definedName name="BLPH3" localSheetId="2" hidden="1">#REF!</definedName>
    <definedName name="BLPH3" localSheetId="34" hidden="1">#REF!</definedName>
    <definedName name="BLPH3" localSheetId="39" hidden="1">#REF!</definedName>
    <definedName name="BLPH3" localSheetId="12" hidden="1">#REF!</definedName>
    <definedName name="BLPH3" localSheetId="10" hidden="1">#REF!</definedName>
    <definedName name="BLPH3" localSheetId="11" hidden="1">#REF!</definedName>
    <definedName name="BLPH3" localSheetId="6" hidden="1">#REF!</definedName>
    <definedName name="BLPH3" hidden="1">#REF!</definedName>
    <definedName name="BLPH4" localSheetId="1" hidden="1">#REF!</definedName>
    <definedName name="BLPH4" localSheetId="15" hidden="1">#REF!</definedName>
    <definedName name="BLPH4" localSheetId="7" hidden="1">#REF!</definedName>
    <definedName name="BLPH4" localSheetId="14" hidden="1">#REF!</definedName>
    <definedName name="BLPH4" localSheetId="2" hidden="1">#REF!</definedName>
    <definedName name="BLPH4" localSheetId="34" hidden="1">#REF!</definedName>
    <definedName name="BLPH4" localSheetId="39" hidden="1">#REF!</definedName>
    <definedName name="BLPH4" localSheetId="12" hidden="1">#REF!</definedName>
    <definedName name="BLPH4" localSheetId="10" hidden="1">#REF!</definedName>
    <definedName name="BLPH4" localSheetId="11" hidden="1">#REF!</definedName>
    <definedName name="BLPH4" localSheetId="6" hidden="1">#REF!</definedName>
    <definedName name="BLPH4" hidden="1">#REF!</definedName>
    <definedName name="BLPH5" localSheetId="1" hidden="1">#REF!</definedName>
    <definedName name="BLPH5" localSheetId="15" hidden="1">#REF!</definedName>
    <definedName name="BLPH5" localSheetId="7" hidden="1">#REF!</definedName>
    <definedName name="BLPH5" localSheetId="14" hidden="1">#REF!</definedName>
    <definedName name="BLPH5" localSheetId="2" hidden="1">#REF!</definedName>
    <definedName name="BLPH5" localSheetId="34" hidden="1">#REF!</definedName>
    <definedName name="BLPH5" localSheetId="39" hidden="1">#REF!</definedName>
    <definedName name="BLPH5" localSheetId="12" hidden="1">#REF!</definedName>
    <definedName name="BLPH5" localSheetId="10" hidden="1">#REF!</definedName>
    <definedName name="BLPH5" localSheetId="11" hidden="1">#REF!</definedName>
    <definedName name="BLPH5" localSheetId="6" hidden="1">#REF!</definedName>
    <definedName name="BLPH5" hidden="1">#REF!</definedName>
    <definedName name="BLPH6" localSheetId="1" hidden="1">#REF!</definedName>
    <definedName name="BLPH6" localSheetId="15" hidden="1">#REF!</definedName>
    <definedName name="BLPH6" localSheetId="7" hidden="1">#REF!</definedName>
    <definedName name="BLPH6" localSheetId="14" hidden="1">#REF!</definedName>
    <definedName name="BLPH6" localSheetId="2" hidden="1">#REF!</definedName>
    <definedName name="BLPH6" localSheetId="34" hidden="1">#REF!</definedName>
    <definedName name="BLPH6" localSheetId="39" hidden="1">#REF!</definedName>
    <definedName name="BLPH6" localSheetId="12" hidden="1">#REF!</definedName>
    <definedName name="BLPH6" localSheetId="10" hidden="1">#REF!</definedName>
    <definedName name="BLPH6" localSheetId="11" hidden="1">#REF!</definedName>
    <definedName name="BLPH6" localSheetId="6" hidden="1">#REF!</definedName>
    <definedName name="BLPH6" hidden="1">#REF!</definedName>
    <definedName name="BLPH7" localSheetId="1" hidden="1">#REF!</definedName>
    <definedName name="BLPH7" localSheetId="15" hidden="1">#REF!</definedName>
    <definedName name="BLPH7" localSheetId="7" hidden="1">#REF!</definedName>
    <definedName name="BLPH7" localSheetId="14" hidden="1">#REF!</definedName>
    <definedName name="BLPH7" localSheetId="2" hidden="1">#REF!</definedName>
    <definedName name="BLPH7" localSheetId="34" hidden="1">#REF!</definedName>
    <definedName name="BLPH7" localSheetId="39" hidden="1">#REF!</definedName>
    <definedName name="BLPH7" localSheetId="12" hidden="1">#REF!</definedName>
    <definedName name="BLPH7" localSheetId="10" hidden="1">#REF!</definedName>
    <definedName name="BLPH7" localSheetId="11" hidden="1">#REF!</definedName>
    <definedName name="BLPH7" localSheetId="6" hidden="1">#REF!</definedName>
    <definedName name="BLPH7" hidden="1">#REF!</definedName>
    <definedName name="BLPH8" localSheetId="1" hidden="1">#REF!</definedName>
    <definedName name="BLPH8" localSheetId="15" hidden="1">#REF!</definedName>
    <definedName name="BLPH8" localSheetId="7" hidden="1">#REF!</definedName>
    <definedName name="BLPH8" localSheetId="14" hidden="1">#REF!</definedName>
    <definedName name="BLPH8" localSheetId="2" hidden="1">#REF!</definedName>
    <definedName name="BLPH8" localSheetId="34" hidden="1">#REF!</definedName>
    <definedName name="BLPH8" localSheetId="39" hidden="1">#REF!</definedName>
    <definedName name="BLPH8" localSheetId="12" hidden="1">#REF!</definedName>
    <definedName name="BLPH8" localSheetId="10" hidden="1">#REF!</definedName>
    <definedName name="BLPH8" localSheetId="11" hidden="1">#REF!</definedName>
    <definedName name="BLPH8" localSheetId="6" hidden="1">#REF!</definedName>
    <definedName name="BLPH8" hidden="1">#REF!</definedName>
    <definedName name="BLPH96" hidden="1">#REF!</definedName>
    <definedName name="BLPH97" hidden="1">#REF!</definedName>
    <definedName name="BLPH98" hidden="1">#REF!</definedName>
    <definedName name="BLPH99" hidden="1">#REF!</definedName>
    <definedName name="bnkj" localSheetId="15" hidden="1">{#N/A,#N/A,FALSE,"output";#N/A,#N/A,FALSE,"contrib";#N/A,#N/A,FALSE,"profile";#N/A,#N/A,FALSE,"comps"}</definedName>
    <definedName name="bnkj" localSheetId="14" hidden="1">{#N/A,#N/A,FALSE,"output";#N/A,#N/A,FALSE,"contrib";#N/A,#N/A,FALSE,"profile";#N/A,#N/A,FALSE,"comps"}</definedName>
    <definedName name="bnkj" localSheetId="2" hidden="1">{#N/A,#N/A,FALSE,"output";#N/A,#N/A,FALSE,"contrib";#N/A,#N/A,FALSE,"profile";#N/A,#N/A,FALSE,"comps"}</definedName>
    <definedName name="bnkj" localSheetId="34" hidden="1">{#N/A,#N/A,FALSE,"output";#N/A,#N/A,FALSE,"contrib";#N/A,#N/A,FALSE,"profile";#N/A,#N/A,FALSE,"comps"}</definedName>
    <definedName name="bnkj" localSheetId="39" hidden="1">{#N/A,#N/A,FALSE,"output";#N/A,#N/A,FALSE,"contrib";#N/A,#N/A,FALSE,"profile";#N/A,#N/A,FALSE,"comps"}</definedName>
    <definedName name="bnkj" localSheetId="8" hidden="1">{#N/A,#N/A,FALSE,"output";#N/A,#N/A,FALSE,"contrib";#N/A,#N/A,FALSE,"profile";#N/A,#N/A,FALSE,"comps"}</definedName>
    <definedName name="bnkj" localSheetId="12" hidden="1">{#N/A,#N/A,FALSE,"output";#N/A,#N/A,FALSE,"contrib";#N/A,#N/A,FALSE,"profile";#N/A,#N/A,FALSE,"comps"}</definedName>
    <definedName name="bnkj" localSheetId="13" hidden="1">{#N/A,#N/A,FALSE,"output";#N/A,#N/A,FALSE,"contrib";#N/A,#N/A,FALSE,"profile";#N/A,#N/A,FALSE,"comps"}</definedName>
    <definedName name="bnkj" localSheetId="11" hidden="1">{#N/A,#N/A,FALSE,"output";#N/A,#N/A,FALSE,"contrib";#N/A,#N/A,FALSE,"profile";#N/A,#N/A,FALSE,"comps"}</definedName>
    <definedName name="bnkj" localSheetId="31" hidden="1">{#N/A,#N/A,FALSE,"output";#N/A,#N/A,FALSE,"contrib";#N/A,#N/A,FALSE,"profile";#N/A,#N/A,FALSE,"comps"}</definedName>
    <definedName name="bnkj" hidden="1">{#N/A,#N/A,FALSE,"output";#N/A,#N/A,FALSE,"contrib";#N/A,#N/A,FALSE,"profile";#N/A,#N/A,FALSE,"comps"}</definedName>
    <definedName name="BookJan" localSheetId="2">#REF!</definedName>
    <definedName name="BookJan">#REF!</definedName>
    <definedName name="boston" localSheetId="15" hidden="1">{"TotalGeralDespesasPorArea",#N/A,FALSE,"VinculosAccessEfetivo"}</definedName>
    <definedName name="boston" localSheetId="14" hidden="1">{"TotalGeralDespesasPorArea",#N/A,FALSE,"VinculosAccessEfetivo"}</definedName>
    <definedName name="boston" localSheetId="2" hidden="1">{"TotalGeralDespesasPorArea",#N/A,FALSE,"VinculosAccessEfetivo"}</definedName>
    <definedName name="boston" localSheetId="34" hidden="1">{"TotalGeralDespesasPorArea",#N/A,FALSE,"VinculosAccessEfetivo"}</definedName>
    <definedName name="boston" localSheetId="39" hidden="1">{"TotalGeralDespesasPorArea",#N/A,FALSE,"VinculosAccessEfetivo"}</definedName>
    <definedName name="boston" localSheetId="8" hidden="1">{"TotalGeralDespesasPorArea",#N/A,FALSE,"VinculosAccessEfetivo"}</definedName>
    <definedName name="boston" localSheetId="12" hidden="1">{"TotalGeralDespesasPorArea",#N/A,FALSE,"VinculosAccessEfetivo"}</definedName>
    <definedName name="boston" localSheetId="13" hidden="1">{"TotalGeralDespesasPorArea",#N/A,FALSE,"VinculosAccessEfetivo"}</definedName>
    <definedName name="boston" localSheetId="11" hidden="1">{"TotalGeralDespesasPorArea",#N/A,FALSE,"VinculosAccessEfetivo"}</definedName>
    <definedName name="boston" localSheetId="31" hidden="1">{"TotalGeralDespesasPorArea",#N/A,FALSE,"VinculosAccessEfetivo"}</definedName>
    <definedName name="boston" hidden="1">{"TotalGeralDespesasPorArea",#N/A,FALSE,"VinculosAccessEfetivo"}</definedName>
    <definedName name="boston_1" localSheetId="15" hidden="1">{"TotalGeralDespesasPorArea",#N/A,FALSE,"VinculosAccessEfetivo"}</definedName>
    <definedName name="boston_1" localSheetId="14" hidden="1">{"TotalGeralDespesasPorArea",#N/A,FALSE,"VinculosAccessEfetivo"}</definedName>
    <definedName name="boston_1" localSheetId="2" hidden="1">{"TotalGeralDespesasPorArea",#N/A,FALSE,"VinculosAccessEfetivo"}</definedName>
    <definedName name="boston_1" localSheetId="34" hidden="1">{"TotalGeralDespesasPorArea",#N/A,FALSE,"VinculosAccessEfetivo"}</definedName>
    <definedName name="boston_1" localSheetId="39" hidden="1">{"TotalGeralDespesasPorArea",#N/A,FALSE,"VinculosAccessEfetivo"}</definedName>
    <definedName name="boston_1" localSheetId="8" hidden="1">{"TotalGeralDespesasPorArea",#N/A,FALSE,"VinculosAccessEfetivo"}</definedName>
    <definedName name="boston_1" localSheetId="12" hidden="1">{"TotalGeralDespesasPorArea",#N/A,FALSE,"VinculosAccessEfetivo"}</definedName>
    <definedName name="boston_1" localSheetId="13" hidden="1">{"TotalGeralDespesasPorArea",#N/A,FALSE,"VinculosAccessEfetivo"}</definedName>
    <definedName name="boston_1" localSheetId="11" hidden="1">{"TotalGeralDespesasPorArea",#N/A,FALSE,"VinculosAccessEfetivo"}</definedName>
    <definedName name="boston_1" localSheetId="31" hidden="1">{"TotalGeralDespesasPorArea",#N/A,FALSE,"VinculosAccessEfetivo"}</definedName>
    <definedName name="boston_1" hidden="1">{"TotalGeralDespesasPorArea",#N/A,FALSE,"VinculosAccessEfetivo"}</definedName>
    <definedName name="CAIXA" localSheetId="2">#REF!</definedName>
    <definedName name="CAIXA">#REF!</definedName>
    <definedName name="Carburante" localSheetId="2">#REF!</definedName>
    <definedName name="Carburante">#REF!</definedName>
    <definedName name="CARREFOUR">#REF!</definedName>
    <definedName name="CARTA" localSheetId="2">#REF!</definedName>
    <definedName name="CARTA">#REF!</definedName>
    <definedName name="cc" localSheetId="15" hidden="1">{"Fecha_Outubro",#N/A,FALSE,"FECHAMENTO-2002 ";"Defer_Outubro",#N/A,FALSE,"DIFERIDO";"Pis_Outubro",#N/A,FALSE,"PIS COFINS";"Iss_Outubro",#N/A,FALSE,"ISS"}</definedName>
    <definedName name="cc" localSheetId="14" hidden="1">{"Fecha_Outubro",#N/A,FALSE,"FECHAMENTO-2002 ";"Defer_Outubro",#N/A,FALSE,"DIFERIDO";"Pis_Outubro",#N/A,FALSE,"PIS COFINS";"Iss_Outubro",#N/A,FALSE,"ISS"}</definedName>
    <definedName name="cc" localSheetId="2" hidden="1">{"Fecha_Outubro",#N/A,FALSE,"FECHAMENTO-2002 ";"Defer_Outubro",#N/A,FALSE,"DIFERIDO";"Pis_Outubro",#N/A,FALSE,"PIS COFINS";"Iss_Outubro",#N/A,FALSE,"ISS"}</definedName>
    <definedName name="cc" localSheetId="34" hidden="1">{"Fecha_Outubro",#N/A,FALSE,"FECHAMENTO-2002 ";"Defer_Outubro",#N/A,FALSE,"DIFERIDO";"Pis_Outubro",#N/A,FALSE,"PIS COFINS";"Iss_Outubro",#N/A,FALSE,"ISS"}</definedName>
    <definedName name="cc" localSheetId="39" hidden="1">{"Fecha_Outubro",#N/A,FALSE,"FECHAMENTO-2002 ";"Defer_Outubro",#N/A,FALSE,"DIFERIDO";"Pis_Outubro",#N/A,FALSE,"PIS COFINS";"Iss_Outubro",#N/A,FALSE,"ISS"}</definedName>
    <definedName name="cc" localSheetId="8" hidden="1">{"Fecha_Outubro",#N/A,FALSE,"FECHAMENTO-2002 ";"Defer_Outubro",#N/A,FALSE,"DIFERIDO";"Pis_Outubro",#N/A,FALSE,"PIS COFINS";"Iss_Outubro",#N/A,FALSE,"ISS"}</definedName>
    <definedName name="cc" localSheetId="12" hidden="1">{"Fecha_Outubro",#N/A,FALSE,"FECHAMENTO-2002 ";"Defer_Outubro",#N/A,FALSE,"DIFERIDO";"Pis_Outubro",#N/A,FALSE,"PIS COFINS";"Iss_Outubro",#N/A,FALSE,"ISS"}</definedName>
    <definedName name="cc" localSheetId="13" hidden="1">{"Fecha_Outubro",#N/A,FALSE,"FECHAMENTO-2002 ";"Defer_Outubro",#N/A,FALSE,"DIFERIDO";"Pis_Outubro",#N/A,FALSE,"PIS COFINS";"Iss_Outubro",#N/A,FALSE,"ISS"}</definedName>
    <definedName name="cc" localSheetId="11" hidden="1">{"Fecha_Outubro",#N/A,FALSE,"FECHAMENTO-2002 ";"Defer_Outubro",#N/A,FALSE,"DIFERIDO";"Pis_Outubro",#N/A,FALSE,"PIS COFINS";"Iss_Outubro",#N/A,FALSE,"ISS"}</definedName>
    <definedName name="cc" localSheetId="31" hidden="1">{"Fecha_Outubro",#N/A,FALSE,"FECHAMENTO-2002 ";"Defer_Outubro",#N/A,FALSE,"DIFERIDO";"Pis_Outubro",#N/A,FALSE,"PIS COFINS";"Iss_Outubro",#N/A,FALSE,"ISS"}</definedName>
    <definedName name="cc" hidden="1">{"Fecha_Outubro",#N/A,FALSE,"FECHAMENTO-2002 ";"Defer_Outubro",#N/A,FALSE,"DIFERIDO";"Pis_Outubro",#N/A,FALSE,"PIS COFINS";"Iss_Outubro",#N/A,FALSE,"ISS"}</definedName>
    <definedName name="cc_1" localSheetId="15" hidden="1">{"Fecha_Outubro",#N/A,FALSE,"FECHAMENTO-2002 ";"Defer_Outubro",#N/A,FALSE,"DIFERIDO";"Pis_Outubro",#N/A,FALSE,"PIS COFINS";"Iss_Outubro",#N/A,FALSE,"ISS"}</definedName>
    <definedName name="cc_1" localSheetId="14" hidden="1">{"Fecha_Outubro",#N/A,FALSE,"FECHAMENTO-2002 ";"Defer_Outubro",#N/A,FALSE,"DIFERIDO";"Pis_Outubro",#N/A,FALSE,"PIS COFINS";"Iss_Outubro",#N/A,FALSE,"ISS"}</definedName>
    <definedName name="cc_1" localSheetId="2" hidden="1">{"Fecha_Outubro",#N/A,FALSE,"FECHAMENTO-2002 ";"Defer_Outubro",#N/A,FALSE,"DIFERIDO";"Pis_Outubro",#N/A,FALSE,"PIS COFINS";"Iss_Outubro",#N/A,FALSE,"ISS"}</definedName>
    <definedName name="cc_1" localSheetId="34" hidden="1">{"Fecha_Outubro",#N/A,FALSE,"FECHAMENTO-2002 ";"Defer_Outubro",#N/A,FALSE,"DIFERIDO";"Pis_Outubro",#N/A,FALSE,"PIS COFINS";"Iss_Outubro",#N/A,FALSE,"ISS"}</definedName>
    <definedName name="cc_1" localSheetId="39" hidden="1">{"Fecha_Outubro",#N/A,FALSE,"FECHAMENTO-2002 ";"Defer_Outubro",#N/A,FALSE,"DIFERIDO";"Pis_Outubro",#N/A,FALSE,"PIS COFINS";"Iss_Outubro",#N/A,FALSE,"ISS"}</definedName>
    <definedName name="cc_1" localSheetId="8" hidden="1">{"Fecha_Outubro",#N/A,FALSE,"FECHAMENTO-2002 ";"Defer_Outubro",#N/A,FALSE,"DIFERIDO";"Pis_Outubro",#N/A,FALSE,"PIS COFINS";"Iss_Outubro",#N/A,FALSE,"ISS"}</definedName>
    <definedName name="cc_1" localSheetId="12" hidden="1">{"Fecha_Outubro",#N/A,FALSE,"FECHAMENTO-2002 ";"Defer_Outubro",#N/A,FALSE,"DIFERIDO";"Pis_Outubro",#N/A,FALSE,"PIS COFINS";"Iss_Outubro",#N/A,FALSE,"ISS"}</definedName>
    <definedName name="cc_1" localSheetId="13" hidden="1">{"Fecha_Outubro",#N/A,FALSE,"FECHAMENTO-2002 ";"Defer_Outubro",#N/A,FALSE,"DIFERIDO";"Pis_Outubro",#N/A,FALSE,"PIS COFINS";"Iss_Outubro",#N/A,FALSE,"ISS"}</definedName>
    <definedName name="cc_1" localSheetId="11" hidden="1">{"Fecha_Outubro",#N/A,FALSE,"FECHAMENTO-2002 ";"Defer_Outubro",#N/A,FALSE,"DIFERIDO";"Pis_Outubro",#N/A,FALSE,"PIS COFINS";"Iss_Outubro",#N/A,FALSE,"ISS"}</definedName>
    <definedName name="cc_1" localSheetId="31" hidden="1">{"Fecha_Outubro",#N/A,FALSE,"FECHAMENTO-2002 ";"Defer_Outubro",#N/A,FALSE,"DIFERIDO";"Pis_Outubro",#N/A,FALSE,"PIS COFINS";"Iss_Outubro",#N/A,FALSE,"ISS"}</definedName>
    <definedName name="cc_1" hidden="1">{"Fecha_Outubro",#N/A,FALSE,"FECHAMENTO-2002 ";"Defer_Outubro",#N/A,FALSE,"DIFERIDO";"Pis_Outubro",#N/A,FALSE,"PIS COFINS";"Iss_Outubro",#N/A,FALSE,"ISS"}</definedName>
    <definedName name="ccc" localSheetId="15" hidden="1">{#N/A,#N/A,FALSE,"HONORÁRIOS"}</definedName>
    <definedName name="ccc" localSheetId="14" hidden="1">{#N/A,#N/A,FALSE,"HONORÁRIOS"}</definedName>
    <definedName name="ccc" localSheetId="2" hidden="1">{#N/A,#N/A,FALSE,"HONORÁRIOS"}</definedName>
    <definedName name="ccc" localSheetId="34" hidden="1">{#N/A,#N/A,FALSE,"HONORÁRIOS"}</definedName>
    <definedName name="ccc" localSheetId="39" hidden="1">{#N/A,#N/A,FALSE,"HONORÁRIOS"}</definedName>
    <definedName name="ccc" localSheetId="8" hidden="1">{#N/A,#N/A,FALSE,"HONORÁRIOS"}</definedName>
    <definedName name="ccc" localSheetId="12" hidden="1">{#N/A,#N/A,FALSE,"HONORÁRIOS"}</definedName>
    <definedName name="ccc" localSheetId="13" hidden="1">{#N/A,#N/A,FALSE,"HONORÁRIOS"}</definedName>
    <definedName name="ccc" localSheetId="11" hidden="1">{#N/A,#N/A,FALSE,"HONORÁRIOS"}</definedName>
    <definedName name="ccc" localSheetId="31" hidden="1">{#N/A,#N/A,FALSE,"HONORÁRIOS"}</definedName>
    <definedName name="ccc" hidden="1">{#N/A,#N/A,FALSE,"HONORÁRIOS"}</definedName>
    <definedName name="ccc_1" localSheetId="15" hidden="1">{#N/A,#N/A,FALSE,"HONORÁRIOS"}</definedName>
    <definedName name="ccc_1" localSheetId="14" hidden="1">{#N/A,#N/A,FALSE,"HONORÁRIOS"}</definedName>
    <definedName name="ccc_1" localSheetId="2" hidden="1">{#N/A,#N/A,FALSE,"HONORÁRIOS"}</definedName>
    <definedName name="ccc_1" localSheetId="34" hidden="1">{#N/A,#N/A,FALSE,"HONORÁRIOS"}</definedName>
    <definedName name="ccc_1" localSheetId="39" hidden="1">{#N/A,#N/A,FALSE,"HONORÁRIOS"}</definedName>
    <definedName name="ccc_1" localSheetId="8" hidden="1">{#N/A,#N/A,FALSE,"HONORÁRIOS"}</definedName>
    <definedName name="ccc_1" localSheetId="12" hidden="1">{#N/A,#N/A,FALSE,"HONORÁRIOS"}</definedName>
    <definedName name="ccc_1" localSheetId="13" hidden="1">{#N/A,#N/A,FALSE,"HONORÁRIOS"}</definedName>
    <definedName name="ccc_1" localSheetId="11" hidden="1">{#N/A,#N/A,FALSE,"HONORÁRIOS"}</definedName>
    <definedName name="ccc_1" localSheetId="31" hidden="1">{#N/A,#N/A,FALSE,"HONORÁRIOS"}</definedName>
    <definedName name="ccc_1" hidden="1">{#N/A,#N/A,FALSE,"HONORÁRIOS"}</definedName>
    <definedName name="cdsc" localSheetId="15" hidden="1">{#N/A,#N/A,FALSE,"FFCXOUT3"}</definedName>
    <definedName name="cdsc" localSheetId="14" hidden="1">{#N/A,#N/A,FALSE,"FFCXOUT3"}</definedName>
    <definedName name="cdsc" localSheetId="2" hidden="1">{#N/A,#N/A,FALSE,"FFCXOUT3"}</definedName>
    <definedName name="cdsc" localSheetId="34" hidden="1">{#N/A,#N/A,FALSE,"FFCXOUT3"}</definedName>
    <definedName name="cdsc" localSheetId="39" hidden="1">{#N/A,#N/A,FALSE,"FFCXOUT3"}</definedName>
    <definedName name="cdsc" localSheetId="8" hidden="1">{#N/A,#N/A,FALSE,"FFCXOUT3"}</definedName>
    <definedName name="cdsc" localSheetId="12" hidden="1">{#N/A,#N/A,FALSE,"FFCXOUT3"}</definedName>
    <definedName name="cdsc" localSheetId="13" hidden="1">{#N/A,#N/A,FALSE,"FFCXOUT3"}</definedName>
    <definedName name="cdsc" localSheetId="11" hidden="1">{#N/A,#N/A,FALSE,"FFCXOUT3"}</definedName>
    <definedName name="cdsc" localSheetId="31" hidden="1">{#N/A,#N/A,FALSE,"FFCXOUT3"}</definedName>
    <definedName name="cdsc" hidden="1">{#N/A,#N/A,FALSE,"FFCXOUT3"}</definedName>
    <definedName name="cesar" localSheetId="15" hidden="1">{"Fecha_Novembro",#N/A,FALSE,"FECHAMENTO-2002 ";"Defer_Novembro",#N/A,FALSE,"DIFERIDO";"Pis_Novembro",#N/A,FALSE,"PIS COFINS";"Iss_Novembro",#N/A,FALSE,"ISS"}</definedName>
    <definedName name="cesar" localSheetId="14" hidden="1">{"Fecha_Novembro",#N/A,FALSE,"FECHAMENTO-2002 ";"Defer_Novembro",#N/A,FALSE,"DIFERIDO";"Pis_Novembro",#N/A,FALSE,"PIS COFINS";"Iss_Novembro",#N/A,FALSE,"ISS"}</definedName>
    <definedName name="cesar" localSheetId="2" hidden="1">{"Fecha_Novembro",#N/A,FALSE,"FECHAMENTO-2002 ";"Defer_Novembro",#N/A,FALSE,"DIFERIDO";"Pis_Novembro",#N/A,FALSE,"PIS COFINS";"Iss_Novembro",#N/A,FALSE,"ISS"}</definedName>
    <definedName name="cesar" localSheetId="34" hidden="1">{"Fecha_Novembro",#N/A,FALSE,"FECHAMENTO-2002 ";"Defer_Novembro",#N/A,FALSE,"DIFERIDO";"Pis_Novembro",#N/A,FALSE,"PIS COFINS";"Iss_Novembro",#N/A,FALSE,"ISS"}</definedName>
    <definedName name="cesar" localSheetId="39" hidden="1">{"Fecha_Novembro",#N/A,FALSE,"FECHAMENTO-2002 ";"Defer_Novembro",#N/A,FALSE,"DIFERIDO";"Pis_Novembro",#N/A,FALSE,"PIS COFINS";"Iss_Novembro",#N/A,FALSE,"ISS"}</definedName>
    <definedName name="cesar" localSheetId="8" hidden="1">{"Fecha_Novembro",#N/A,FALSE,"FECHAMENTO-2002 ";"Defer_Novembro",#N/A,FALSE,"DIFERIDO";"Pis_Novembro",#N/A,FALSE,"PIS COFINS";"Iss_Novembro",#N/A,FALSE,"ISS"}</definedName>
    <definedName name="cesar" localSheetId="12" hidden="1">{"Fecha_Novembro",#N/A,FALSE,"FECHAMENTO-2002 ";"Defer_Novembro",#N/A,FALSE,"DIFERIDO";"Pis_Novembro",#N/A,FALSE,"PIS COFINS";"Iss_Novembro",#N/A,FALSE,"ISS"}</definedName>
    <definedName name="cesar" localSheetId="13" hidden="1">{"Fecha_Novembro",#N/A,FALSE,"FECHAMENTO-2002 ";"Defer_Novembro",#N/A,FALSE,"DIFERIDO";"Pis_Novembro",#N/A,FALSE,"PIS COFINS";"Iss_Novembro",#N/A,FALSE,"ISS"}</definedName>
    <definedName name="cesar" localSheetId="11" hidden="1">{"Fecha_Novembro",#N/A,FALSE,"FECHAMENTO-2002 ";"Defer_Novembro",#N/A,FALSE,"DIFERIDO";"Pis_Novembro",#N/A,FALSE,"PIS COFINS";"Iss_Novembro",#N/A,FALSE,"ISS"}</definedName>
    <definedName name="cesar" localSheetId="31" hidden="1">{"Fecha_Novembro",#N/A,FALSE,"FECHAMENTO-2002 ";"Defer_Novembro",#N/A,FALSE,"DIFERIDO";"Pis_Novembro",#N/A,FALSE,"PIS COFINS";"Iss_Novembro",#N/A,FALSE,"ISS"}</definedName>
    <definedName name="cesar" hidden="1">{"Fecha_Novembro",#N/A,FALSE,"FECHAMENTO-2002 ";"Defer_Novembro",#N/A,FALSE,"DIFERIDO";"Pis_Novembro",#N/A,FALSE,"PIS COFINS";"Iss_Novembro",#N/A,FALSE,"ISS"}</definedName>
    <definedName name="cliente" localSheetId="1" hidden="1">#REF!</definedName>
    <definedName name="cliente" localSheetId="15" hidden="1">#REF!</definedName>
    <definedName name="cliente" localSheetId="7" hidden="1">#REF!</definedName>
    <definedName name="cliente" localSheetId="14" hidden="1">#REF!</definedName>
    <definedName name="cliente" localSheetId="2" hidden="1">#REF!</definedName>
    <definedName name="cliente" localSheetId="34" hidden="1">#REF!</definedName>
    <definedName name="cliente" localSheetId="39" hidden="1">#REF!</definedName>
    <definedName name="cliente" localSheetId="12" hidden="1">#REF!</definedName>
    <definedName name="cliente" localSheetId="10" hidden="1">#REF!</definedName>
    <definedName name="cliente" localSheetId="6" hidden="1">#REF!</definedName>
    <definedName name="cliente" hidden="1">#REF!</definedName>
    <definedName name="cnh" localSheetId="2">#REF!</definedName>
    <definedName name="cnh">#REF!</definedName>
    <definedName name="CODREAL" localSheetId="2">#REF!</definedName>
    <definedName name="CODREAL">#REF!</definedName>
    <definedName name="coelho"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FINS" localSheetId="15" hidden="1">{"Fecha_Dezembro",#N/A,FALSE,"FECHAMENTO-2002 ";"Defer_Dezermbro",#N/A,FALSE,"DIFERIDO";"Pis_Dezembro",#N/A,FALSE,"PIS COFINS";"Iss_Dezembro",#N/A,FALSE,"ISS"}</definedName>
    <definedName name="COFINS" localSheetId="14" hidden="1">{"Fecha_Dezembro",#N/A,FALSE,"FECHAMENTO-2002 ";"Defer_Dezermbro",#N/A,FALSE,"DIFERIDO";"Pis_Dezembro",#N/A,FALSE,"PIS COFINS";"Iss_Dezembro",#N/A,FALSE,"ISS"}</definedName>
    <definedName name="COFINS" localSheetId="2" hidden="1">{"Fecha_Dezembro",#N/A,FALSE,"FECHAMENTO-2002 ";"Defer_Dezermbro",#N/A,FALSE,"DIFERIDO";"Pis_Dezembro",#N/A,FALSE,"PIS COFINS";"Iss_Dezembro",#N/A,FALSE,"ISS"}</definedName>
    <definedName name="COFINS" localSheetId="34" hidden="1">{"Fecha_Dezembro",#N/A,FALSE,"FECHAMENTO-2002 ";"Defer_Dezermbro",#N/A,FALSE,"DIFERIDO";"Pis_Dezembro",#N/A,FALSE,"PIS COFINS";"Iss_Dezembro",#N/A,FALSE,"ISS"}</definedName>
    <definedName name="COFINS" localSheetId="39" hidden="1">{"Fecha_Dezembro",#N/A,FALSE,"FECHAMENTO-2002 ";"Defer_Dezermbro",#N/A,FALSE,"DIFERIDO";"Pis_Dezembro",#N/A,FALSE,"PIS COFINS";"Iss_Dezembro",#N/A,FALSE,"ISS"}</definedName>
    <definedName name="COFINS" localSheetId="8" hidden="1">{"Fecha_Dezembro",#N/A,FALSE,"FECHAMENTO-2002 ";"Defer_Dezermbro",#N/A,FALSE,"DIFERIDO";"Pis_Dezembro",#N/A,FALSE,"PIS COFINS";"Iss_Dezembro",#N/A,FALSE,"ISS"}</definedName>
    <definedName name="COFINS" localSheetId="12" hidden="1">{"Fecha_Dezembro",#N/A,FALSE,"FECHAMENTO-2002 ";"Defer_Dezermbro",#N/A,FALSE,"DIFERIDO";"Pis_Dezembro",#N/A,FALSE,"PIS COFINS";"Iss_Dezembro",#N/A,FALSE,"ISS"}</definedName>
    <definedName name="COFINS" localSheetId="13" hidden="1">{"Fecha_Dezembro",#N/A,FALSE,"FECHAMENTO-2002 ";"Defer_Dezermbro",#N/A,FALSE,"DIFERIDO";"Pis_Dezembro",#N/A,FALSE,"PIS COFINS";"Iss_Dezembro",#N/A,FALSE,"ISS"}</definedName>
    <definedName name="COFINS" localSheetId="11" hidden="1">{"Fecha_Dezembro",#N/A,FALSE,"FECHAMENTO-2002 ";"Defer_Dezermbro",#N/A,FALSE,"DIFERIDO";"Pis_Dezembro",#N/A,FALSE,"PIS COFINS";"Iss_Dezembro",#N/A,FALSE,"ISS"}</definedName>
    <definedName name="COFINS" localSheetId="31" hidden="1">{"Fecha_Dezembro",#N/A,FALSE,"FECHAMENTO-2002 ";"Defer_Dezermbro",#N/A,FALSE,"DIFERIDO";"Pis_Dezembro",#N/A,FALSE,"PIS COFINS";"Iss_Dezembro",#N/A,FALSE,"ISS"}</definedName>
    <definedName name="COFINS" hidden="1">{"Fecha_Dezembro",#N/A,FALSE,"FECHAMENTO-2002 ";"Defer_Dezermbro",#N/A,FALSE,"DIFERIDO";"Pis_Dezembro",#N/A,FALSE,"PIS COFINS";"Iss_Dezembro",#N/A,FALSE,"ISS"}</definedName>
    <definedName name="COFINS_1" localSheetId="15" hidden="1">{"Fecha_Dezembro",#N/A,FALSE,"FECHAMENTO-2002 ";"Defer_Dezermbro",#N/A,FALSE,"DIFERIDO";"Pis_Dezembro",#N/A,FALSE,"PIS COFINS";"Iss_Dezembro",#N/A,FALSE,"ISS"}</definedName>
    <definedName name="COFINS_1" localSheetId="14" hidden="1">{"Fecha_Dezembro",#N/A,FALSE,"FECHAMENTO-2002 ";"Defer_Dezermbro",#N/A,FALSE,"DIFERIDO";"Pis_Dezembro",#N/A,FALSE,"PIS COFINS";"Iss_Dezembro",#N/A,FALSE,"ISS"}</definedName>
    <definedName name="COFINS_1" localSheetId="2" hidden="1">{"Fecha_Dezembro",#N/A,FALSE,"FECHAMENTO-2002 ";"Defer_Dezermbro",#N/A,FALSE,"DIFERIDO";"Pis_Dezembro",#N/A,FALSE,"PIS COFINS";"Iss_Dezembro",#N/A,FALSE,"ISS"}</definedName>
    <definedName name="COFINS_1" localSheetId="34" hidden="1">{"Fecha_Dezembro",#N/A,FALSE,"FECHAMENTO-2002 ";"Defer_Dezermbro",#N/A,FALSE,"DIFERIDO";"Pis_Dezembro",#N/A,FALSE,"PIS COFINS";"Iss_Dezembro",#N/A,FALSE,"ISS"}</definedName>
    <definedName name="COFINS_1" localSheetId="39" hidden="1">{"Fecha_Dezembro",#N/A,FALSE,"FECHAMENTO-2002 ";"Defer_Dezermbro",#N/A,FALSE,"DIFERIDO";"Pis_Dezembro",#N/A,FALSE,"PIS COFINS";"Iss_Dezembro",#N/A,FALSE,"ISS"}</definedName>
    <definedName name="COFINS_1" localSheetId="8" hidden="1">{"Fecha_Dezembro",#N/A,FALSE,"FECHAMENTO-2002 ";"Defer_Dezermbro",#N/A,FALSE,"DIFERIDO";"Pis_Dezembro",#N/A,FALSE,"PIS COFINS";"Iss_Dezembro",#N/A,FALSE,"ISS"}</definedName>
    <definedName name="COFINS_1" localSheetId="12" hidden="1">{"Fecha_Dezembro",#N/A,FALSE,"FECHAMENTO-2002 ";"Defer_Dezermbro",#N/A,FALSE,"DIFERIDO";"Pis_Dezembro",#N/A,FALSE,"PIS COFINS";"Iss_Dezembro",#N/A,FALSE,"ISS"}</definedName>
    <definedName name="COFINS_1" localSheetId="13" hidden="1">{"Fecha_Dezembro",#N/A,FALSE,"FECHAMENTO-2002 ";"Defer_Dezermbro",#N/A,FALSE,"DIFERIDO";"Pis_Dezembro",#N/A,FALSE,"PIS COFINS";"Iss_Dezembro",#N/A,FALSE,"ISS"}</definedName>
    <definedName name="COFINS_1" localSheetId="11" hidden="1">{"Fecha_Dezembro",#N/A,FALSE,"FECHAMENTO-2002 ";"Defer_Dezermbro",#N/A,FALSE,"DIFERIDO";"Pis_Dezembro",#N/A,FALSE,"PIS COFINS";"Iss_Dezembro",#N/A,FALSE,"ISS"}</definedName>
    <definedName name="COFINS_1" localSheetId="31" hidden="1">{"Fecha_Dezembro",#N/A,FALSE,"FECHAMENTO-2002 ";"Defer_Dezermbro",#N/A,FALSE,"DIFERIDO";"Pis_Dezembro",#N/A,FALSE,"PIS COFINS";"Iss_Dezembro",#N/A,FALSE,"ISS"}</definedName>
    <definedName name="COFINS_1" hidden="1">{"Fecha_Dezembro",#N/A,FALSE,"FECHAMENTO-2002 ";"Defer_Dezermbro",#N/A,FALSE,"DIFERIDO";"Pis_Dezembro",#N/A,FALSE,"PIS COFINS";"Iss_Dezembro",#N/A,FALSE,"ISS"}</definedName>
    <definedName name="cofins1" localSheetId="15" hidden="1">{"Fecha_Outubro",#N/A,FALSE,"FECHAMENTO-2002 ";"Defer_Outubro",#N/A,FALSE,"DIFERIDO";"Pis_Outubro",#N/A,FALSE,"PIS COFINS";"Iss_Outubro",#N/A,FALSE,"ISS"}</definedName>
    <definedName name="cofins1" localSheetId="14" hidden="1">{"Fecha_Outubro",#N/A,FALSE,"FECHAMENTO-2002 ";"Defer_Outubro",#N/A,FALSE,"DIFERIDO";"Pis_Outubro",#N/A,FALSE,"PIS COFINS";"Iss_Outubro",#N/A,FALSE,"ISS"}</definedName>
    <definedName name="cofins1" localSheetId="2" hidden="1">{"Fecha_Outubro",#N/A,FALSE,"FECHAMENTO-2002 ";"Defer_Outubro",#N/A,FALSE,"DIFERIDO";"Pis_Outubro",#N/A,FALSE,"PIS COFINS";"Iss_Outubro",#N/A,FALSE,"ISS"}</definedName>
    <definedName name="cofins1" localSheetId="34" hidden="1">{"Fecha_Outubro",#N/A,FALSE,"FECHAMENTO-2002 ";"Defer_Outubro",#N/A,FALSE,"DIFERIDO";"Pis_Outubro",#N/A,FALSE,"PIS COFINS";"Iss_Outubro",#N/A,FALSE,"ISS"}</definedName>
    <definedName name="cofins1" localSheetId="39" hidden="1">{"Fecha_Outubro",#N/A,FALSE,"FECHAMENTO-2002 ";"Defer_Outubro",#N/A,FALSE,"DIFERIDO";"Pis_Outubro",#N/A,FALSE,"PIS COFINS";"Iss_Outubro",#N/A,FALSE,"ISS"}</definedName>
    <definedName name="cofins1" localSheetId="8" hidden="1">{"Fecha_Outubro",#N/A,FALSE,"FECHAMENTO-2002 ";"Defer_Outubro",#N/A,FALSE,"DIFERIDO";"Pis_Outubro",#N/A,FALSE,"PIS COFINS";"Iss_Outubro",#N/A,FALSE,"ISS"}</definedName>
    <definedName name="cofins1" localSheetId="12" hidden="1">{"Fecha_Outubro",#N/A,FALSE,"FECHAMENTO-2002 ";"Defer_Outubro",#N/A,FALSE,"DIFERIDO";"Pis_Outubro",#N/A,FALSE,"PIS COFINS";"Iss_Outubro",#N/A,FALSE,"ISS"}</definedName>
    <definedName name="cofins1" localSheetId="13" hidden="1">{"Fecha_Outubro",#N/A,FALSE,"FECHAMENTO-2002 ";"Defer_Outubro",#N/A,FALSE,"DIFERIDO";"Pis_Outubro",#N/A,FALSE,"PIS COFINS";"Iss_Outubro",#N/A,FALSE,"ISS"}</definedName>
    <definedName name="cofins1" localSheetId="11" hidden="1">{"Fecha_Outubro",#N/A,FALSE,"FECHAMENTO-2002 ";"Defer_Outubro",#N/A,FALSE,"DIFERIDO";"Pis_Outubro",#N/A,FALSE,"PIS COFINS";"Iss_Outubro",#N/A,FALSE,"ISS"}</definedName>
    <definedName name="cofins1" localSheetId="31" hidden="1">{"Fecha_Outubro",#N/A,FALSE,"FECHAMENTO-2002 ";"Defer_Outubro",#N/A,FALSE,"DIFERIDO";"Pis_Outubro",#N/A,FALSE,"PIS COFINS";"Iss_Outubro",#N/A,FALSE,"ISS"}</definedName>
    <definedName name="cofins1" hidden="1">{"Fecha_Outubro",#N/A,FALSE,"FECHAMENTO-2002 ";"Defer_Outubro",#N/A,FALSE,"DIFERIDO";"Pis_Outubro",#N/A,FALSE,"PIS COFINS";"Iss_Outubro",#N/A,FALSE,"ISS"}</definedName>
    <definedName name="cofins1_1" localSheetId="15" hidden="1">{"Fecha_Outubro",#N/A,FALSE,"FECHAMENTO-2002 ";"Defer_Outubro",#N/A,FALSE,"DIFERIDO";"Pis_Outubro",#N/A,FALSE,"PIS COFINS";"Iss_Outubro",#N/A,FALSE,"ISS"}</definedName>
    <definedName name="cofins1_1" localSheetId="14" hidden="1">{"Fecha_Outubro",#N/A,FALSE,"FECHAMENTO-2002 ";"Defer_Outubro",#N/A,FALSE,"DIFERIDO";"Pis_Outubro",#N/A,FALSE,"PIS COFINS";"Iss_Outubro",#N/A,FALSE,"ISS"}</definedName>
    <definedName name="cofins1_1" localSheetId="2" hidden="1">{"Fecha_Outubro",#N/A,FALSE,"FECHAMENTO-2002 ";"Defer_Outubro",#N/A,FALSE,"DIFERIDO";"Pis_Outubro",#N/A,FALSE,"PIS COFINS";"Iss_Outubro",#N/A,FALSE,"ISS"}</definedName>
    <definedName name="cofins1_1" localSheetId="34" hidden="1">{"Fecha_Outubro",#N/A,FALSE,"FECHAMENTO-2002 ";"Defer_Outubro",#N/A,FALSE,"DIFERIDO";"Pis_Outubro",#N/A,FALSE,"PIS COFINS";"Iss_Outubro",#N/A,FALSE,"ISS"}</definedName>
    <definedName name="cofins1_1" localSheetId="39" hidden="1">{"Fecha_Outubro",#N/A,FALSE,"FECHAMENTO-2002 ";"Defer_Outubro",#N/A,FALSE,"DIFERIDO";"Pis_Outubro",#N/A,FALSE,"PIS COFINS";"Iss_Outubro",#N/A,FALSE,"ISS"}</definedName>
    <definedName name="cofins1_1" localSheetId="8" hidden="1">{"Fecha_Outubro",#N/A,FALSE,"FECHAMENTO-2002 ";"Defer_Outubro",#N/A,FALSE,"DIFERIDO";"Pis_Outubro",#N/A,FALSE,"PIS COFINS";"Iss_Outubro",#N/A,FALSE,"ISS"}</definedName>
    <definedName name="cofins1_1" localSheetId="12" hidden="1">{"Fecha_Outubro",#N/A,FALSE,"FECHAMENTO-2002 ";"Defer_Outubro",#N/A,FALSE,"DIFERIDO";"Pis_Outubro",#N/A,FALSE,"PIS COFINS";"Iss_Outubro",#N/A,FALSE,"ISS"}</definedName>
    <definedName name="cofins1_1" localSheetId="13" hidden="1">{"Fecha_Outubro",#N/A,FALSE,"FECHAMENTO-2002 ";"Defer_Outubro",#N/A,FALSE,"DIFERIDO";"Pis_Outubro",#N/A,FALSE,"PIS COFINS";"Iss_Outubro",#N/A,FALSE,"ISS"}</definedName>
    <definedName name="cofins1_1" localSheetId="11" hidden="1">{"Fecha_Outubro",#N/A,FALSE,"FECHAMENTO-2002 ";"Defer_Outubro",#N/A,FALSE,"DIFERIDO";"Pis_Outubro",#N/A,FALSE,"PIS COFINS";"Iss_Outubro",#N/A,FALSE,"ISS"}</definedName>
    <definedName name="cofins1_1" localSheetId="31" hidden="1">{"Fecha_Outubro",#N/A,FALSE,"FECHAMENTO-2002 ";"Defer_Outubro",#N/A,FALSE,"DIFERIDO";"Pis_Outubro",#N/A,FALSE,"PIS COFINS";"Iss_Outubro",#N/A,FALSE,"ISS"}</definedName>
    <definedName name="cofins1_1" hidden="1">{"Fecha_Outubro",#N/A,FALSE,"FECHAMENTO-2002 ";"Defer_Outubro",#N/A,FALSE,"DIFERIDO";"Pis_Outubro",#N/A,FALSE,"PIS COFINS";"Iss_Outubro",#N/A,FALSE,"ISS"}</definedName>
    <definedName name="COMPAR" localSheetId="2">#REF!</definedName>
    <definedName name="COMPAR">#REF!</definedName>
    <definedName name="COMPARSF" localSheetId="2">#REF!</definedName>
    <definedName name="COMPARSF">#REF!</definedName>
    <definedName name="ConsolidadoGeral" localSheetId="2">#REF!</definedName>
    <definedName name="ConsolidadoGeral">#REF!</definedName>
    <definedName name="CONTAD" localSheetId="2">#REF!</definedName>
    <definedName name="CONTAD">#REF!</definedName>
    <definedName name="CONTAD1" localSheetId="2">#REF!</definedName>
    <definedName name="CONTAD1">#REF!</definedName>
    <definedName name="CONTAD2" localSheetId="2">#REF!</definedName>
    <definedName name="CONTAD2">#REF!</definedName>
    <definedName name="CONTAD3" localSheetId="2">#REF!</definedName>
    <definedName name="CONTAD3">#REF!</definedName>
    <definedName name="CONTPD" localSheetId="2">#REF!</definedName>
    <definedName name="CONTPD">#REF!</definedName>
    <definedName name="CONTUN" localSheetId="2">#REF!</definedName>
    <definedName name="CONTUN">#REF!</definedName>
    <definedName name="CONTUN1" localSheetId="2">#REF!</definedName>
    <definedName name="CONTUN1">#REF!</definedName>
    <definedName name="CONTUN2" localSheetId="2">#REF!</definedName>
    <definedName name="CONTUN2">#REF!</definedName>
    <definedName name="CONTUN3" localSheetId="2">#REF!</definedName>
    <definedName name="CONTUN3">#REF!</definedName>
    <definedName name="CRED1" localSheetId="2">#REF!</definedName>
    <definedName name="CRED1">#REF!</definedName>
    <definedName name="CRED2" localSheetId="2">#REF!</definedName>
    <definedName name="CRED2">#REF!</definedName>
    <definedName name="CRED3" localSheetId="2">#REF!</definedName>
    <definedName name="CRED3">#REF!</definedName>
    <definedName name="CRED4" localSheetId="2">#REF!</definedName>
    <definedName name="CRED4">#REF!</definedName>
    <definedName name="CRED6" localSheetId="2">#REF!</definedName>
    <definedName name="CRED6">#REF!</definedName>
    <definedName name="CS" localSheetId="2">#REF!</definedName>
    <definedName name="CS">#REF!</definedName>
    <definedName name="CTCpve" localSheetId="2">#REF!</definedName>
    <definedName name="CTCpve">#REF!</definedName>
    <definedName name="CTCpvu" localSheetId="2">#REF!</definedName>
    <definedName name="CTCpvu">#REF!</definedName>
    <definedName name="custo" localSheetId="2">#REF!</definedName>
    <definedName name="custo">#REF!</definedName>
    <definedName name="custo2" localSheetId="2">#REF!</definedName>
    <definedName name="custo2">#REF!</definedName>
    <definedName name="Custos">#REF!</definedName>
    <definedName name="d" localSheetId="0" hidden="1">{"Bradesco 1",#N/A,TRUE,"Bradesco acc_dil";"Bradesco2",#N/A,TRUE,"Bradesco acc_dil";"Bradesco3",#N/A,TRUE,"Bradesco's RWA analysis";"Unibanco1",#N/A,TRUE,"Unibanco acc_dil ";"Unibanco2",#N/A,TRUE,"Unibanco acc_dil ";"Unibanco3",#N/A,TRUE,"Unibanco's RWA analysis"}</definedName>
    <definedName name="d_1" localSheetId="15" hidden="1">{"Fecha_Novembro",#N/A,FALSE,"FECHAMENTO-2002 ";"Defer_Novembro",#N/A,FALSE,"DIFERIDO";"Pis_Novembro",#N/A,FALSE,"PIS COFINS";"Iss_Novembro",#N/A,FALSE,"ISS"}</definedName>
    <definedName name="d_1" localSheetId="14" hidden="1">{"Fecha_Novembro",#N/A,FALSE,"FECHAMENTO-2002 ";"Defer_Novembro",#N/A,FALSE,"DIFERIDO";"Pis_Novembro",#N/A,FALSE,"PIS COFINS";"Iss_Novembro",#N/A,FALSE,"ISS"}</definedName>
    <definedName name="d_1" localSheetId="2" hidden="1">{"Fecha_Novembro",#N/A,FALSE,"FECHAMENTO-2002 ";"Defer_Novembro",#N/A,FALSE,"DIFERIDO";"Pis_Novembro",#N/A,FALSE,"PIS COFINS";"Iss_Novembro",#N/A,FALSE,"ISS"}</definedName>
    <definedName name="d_1" localSheetId="34" hidden="1">{"Fecha_Novembro",#N/A,FALSE,"FECHAMENTO-2002 ";"Defer_Novembro",#N/A,FALSE,"DIFERIDO";"Pis_Novembro",#N/A,FALSE,"PIS COFINS";"Iss_Novembro",#N/A,FALSE,"ISS"}</definedName>
    <definedName name="d_1" localSheetId="39" hidden="1">{"Fecha_Novembro",#N/A,FALSE,"FECHAMENTO-2002 ";"Defer_Novembro",#N/A,FALSE,"DIFERIDO";"Pis_Novembro",#N/A,FALSE,"PIS COFINS";"Iss_Novembro",#N/A,FALSE,"ISS"}</definedName>
    <definedName name="d_1" localSheetId="8" hidden="1">{"Fecha_Novembro",#N/A,FALSE,"FECHAMENTO-2002 ";"Defer_Novembro",#N/A,FALSE,"DIFERIDO";"Pis_Novembro",#N/A,FALSE,"PIS COFINS";"Iss_Novembro",#N/A,FALSE,"ISS"}</definedName>
    <definedName name="d_1" localSheetId="12" hidden="1">{"Fecha_Novembro",#N/A,FALSE,"FECHAMENTO-2002 ";"Defer_Novembro",#N/A,FALSE,"DIFERIDO";"Pis_Novembro",#N/A,FALSE,"PIS COFINS";"Iss_Novembro",#N/A,FALSE,"ISS"}</definedName>
    <definedName name="d_1" localSheetId="13" hidden="1">{"Fecha_Novembro",#N/A,FALSE,"FECHAMENTO-2002 ";"Defer_Novembro",#N/A,FALSE,"DIFERIDO";"Pis_Novembro",#N/A,FALSE,"PIS COFINS";"Iss_Novembro",#N/A,FALSE,"ISS"}</definedName>
    <definedName name="d_1" localSheetId="11" hidden="1">{"Fecha_Novembro",#N/A,FALSE,"FECHAMENTO-2002 ";"Defer_Novembro",#N/A,FALSE,"DIFERIDO";"Pis_Novembro",#N/A,FALSE,"PIS COFINS";"Iss_Novembro",#N/A,FALSE,"ISS"}</definedName>
    <definedName name="d_1" localSheetId="31" hidden="1">{"Fecha_Novembro",#N/A,FALSE,"FECHAMENTO-2002 ";"Defer_Novembro",#N/A,FALSE,"DIFERIDO";"Pis_Novembro",#N/A,FALSE,"PIS COFINS";"Iss_Novembro",#N/A,FALSE,"ISS"}</definedName>
    <definedName name="d_1" hidden="1">{"Fecha_Novembro",#N/A,FALSE,"FECHAMENTO-2002 ";"Defer_Novembro",#N/A,FALSE,"DIFERIDO";"Pis_Novembro",#N/A,FALSE,"PIS COFINS";"Iss_Novembro",#N/A,FALSE,"ISS"}</definedName>
    <definedName name="DATASUL">#REF!</definedName>
    <definedName name="DATASULPMR" localSheetId="2">#REF!</definedName>
    <definedName name="DATASULPMR">#REF!</definedName>
    <definedName name="DATASULZZ" localSheetId="2">#REF!</definedName>
    <definedName name="DATASULZZ">#REF!</definedName>
    <definedName name="DB">#REF!</definedName>
    <definedName name="DD" localSheetId="15" hidden="1">{"consolidated",#N/A,FALSE,"Sheet1";"cms",#N/A,FALSE,"Sheet1";"fse",#N/A,FALSE,"Sheet1"}</definedName>
    <definedName name="DD" localSheetId="14" hidden="1">{"consolidated",#N/A,FALSE,"Sheet1";"cms",#N/A,FALSE,"Sheet1";"fse",#N/A,FALSE,"Sheet1"}</definedName>
    <definedName name="DD" localSheetId="2" hidden="1">{"consolidated",#N/A,FALSE,"Sheet1";"cms",#N/A,FALSE,"Sheet1";"fse",#N/A,FALSE,"Sheet1"}</definedName>
    <definedName name="DD" localSheetId="34" hidden="1">{"consolidated",#N/A,FALSE,"Sheet1";"cms",#N/A,FALSE,"Sheet1";"fse",#N/A,FALSE,"Sheet1"}</definedName>
    <definedName name="DD" localSheetId="39" hidden="1">{"consolidated",#N/A,FALSE,"Sheet1";"cms",#N/A,FALSE,"Sheet1";"fse",#N/A,FALSE,"Sheet1"}</definedName>
    <definedName name="DD" localSheetId="8" hidden="1">{"consolidated",#N/A,FALSE,"Sheet1";"cms",#N/A,FALSE,"Sheet1";"fse",#N/A,FALSE,"Sheet1"}</definedName>
    <definedName name="DD" localSheetId="12" hidden="1">{"consolidated",#N/A,FALSE,"Sheet1";"cms",#N/A,FALSE,"Sheet1";"fse",#N/A,FALSE,"Sheet1"}</definedName>
    <definedName name="DD" localSheetId="13" hidden="1">{"consolidated",#N/A,FALSE,"Sheet1";"cms",#N/A,FALSE,"Sheet1";"fse",#N/A,FALSE,"Sheet1"}</definedName>
    <definedName name="DD" localSheetId="11" hidden="1">{"consolidated",#N/A,FALSE,"Sheet1";"cms",#N/A,FALSE,"Sheet1";"fse",#N/A,FALSE,"Sheet1"}</definedName>
    <definedName name="DD" localSheetId="31" hidden="1">{"consolidated",#N/A,FALSE,"Sheet1";"cms",#N/A,FALSE,"Sheet1";"fse",#N/A,FALSE,"Sheet1"}</definedName>
    <definedName name="DD" hidden="1">{"consolidated",#N/A,FALSE,"Sheet1";"cms",#N/A,FALSE,"Sheet1";"fse",#N/A,FALSE,"Sheet1"}</definedName>
    <definedName name="dddddddddddd" localSheetId="15" hidden="1">{0,#N/A,FALSE,0;0,#N/A,FALSE,0;0,#N/A,FALSE,0;0,#N/A,FALSE,0}</definedName>
    <definedName name="dddddddddddd" localSheetId="14" hidden="1">{0,#N/A,FALSE,0;0,#N/A,FALSE,0;0,#N/A,FALSE,0;0,#N/A,FALSE,0}</definedName>
    <definedName name="dddddddddddd" localSheetId="2" hidden="1">{0,#N/A,FALSE,0;0,#N/A,FALSE,0;0,#N/A,FALSE,0;0,#N/A,FALSE,0}</definedName>
    <definedName name="dddddddddddd" localSheetId="34" hidden="1">{0,#N/A,FALSE,0;0,#N/A,FALSE,0;0,#N/A,FALSE,0;0,#N/A,FALSE,0}</definedName>
    <definedName name="dddddddddddd" localSheetId="39" hidden="1">{0,#N/A,FALSE,0;0,#N/A,FALSE,0;0,#N/A,FALSE,0;0,#N/A,FALSE,0}</definedName>
    <definedName name="dddddddddddd" localSheetId="8" hidden="1">{0,#N/A,FALSE,0;0,#N/A,FALSE,0;0,#N/A,FALSE,0;0,#N/A,FALSE,0}</definedName>
    <definedName name="dddddddddddd" localSheetId="12" hidden="1">{0,#N/A,FALSE,0;0,#N/A,FALSE,0;0,#N/A,FALSE,0;0,#N/A,FALSE,0}</definedName>
    <definedName name="dddddddddddd" localSheetId="13" hidden="1">{0,#N/A,FALSE,0;0,#N/A,FALSE,0;0,#N/A,FALSE,0;0,#N/A,FALSE,0}</definedName>
    <definedName name="dddddddddddd" localSheetId="11" hidden="1">{0,#N/A,FALSE,0;0,#N/A,FALSE,0;0,#N/A,FALSE,0;0,#N/A,FALSE,0}</definedName>
    <definedName name="dddddddddddd" localSheetId="31" hidden="1">{0,#N/A,FALSE,0;0,#N/A,FALSE,0;0,#N/A,FALSE,0;0,#N/A,FALSE,0}</definedName>
    <definedName name="dddddddddddd" hidden="1">{0,#N/A,FALSE,0;0,#N/A,FALSE,0;0,#N/A,FALSE,0;0,#N/A,FALSE,0}</definedName>
    <definedName name="dddddddddddd_1" localSheetId="15" hidden="1">{0,#N/A,FALSE,0;0,#N/A,FALSE,0;0,#N/A,FALSE,0;0,#N/A,FALSE,0}</definedName>
    <definedName name="dddddddddddd_1" localSheetId="14" hidden="1">{0,#N/A,FALSE,0;0,#N/A,FALSE,0;0,#N/A,FALSE,0;0,#N/A,FALSE,0}</definedName>
    <definedName name="dddddddddddd_1" localSheetId="2" hidden="1">{0,#N/A,FALSE,0;0,#N/A,FALSE,0;0,#N/A,FALSE,0;0,#N/A,FALSE,0}</definedName>
    <definedName name="dddddddddddd_1" localSheetId="34" hidden="1">{0,#N/A,FALSE,0;0,#N/A,FALSE,0;0,#N/A,FALSE,0;0,#N/A,FALSE,0}</definedName>
    <definedName name="dddddddddddd_1" localSheetId="39" hidden="1">{0,#N/A,FALSE,0;0,#N/A,FALSE,0;0,#N/A,FALSE,0;0,#N/A,FALSE,0}</definedName>
    <definedName name="dddddddddddd_1" localSheetId="8" hidden="1">{0,#N/A,FALSE,0;0,#N/A,FALSE,0;0,#N/A,FALSE,0;0,#N/A,FALSE,0}</definedName>
    <definedName name="dddddddddddd_1" localSheetId="12" hidden="1">{0,#N/A,FALSE,0;0,#N/A,FALSE,0;0,#N/A,FALSE,0;0,#N/A,FALSE,0}</definedName>
    <definedName name="dddddddddddd_1" localSheetId="13" hidden="1">{0,#N/A,FALSE,0;0,#N/A,FALSE,0;0,#N/A,FALSE,0;0,#N/A,FALSE,0}</definedName>
    <definedName name="dddddddddddd_1" localSheetId="11" hidden="1">{0,#N/A,FALSE,0;0,#N/A,FALSE,0;0,#N/A,FALSE,0;0,#N/A,FALSE,0}</definedName>
    <definedName name="dddddddddddd_1" localSheetId="31" hidden="1">{0,#N/A,FALSE,0;0,#N/A,FALSE,0;0,#N/A,FALSE,0;0,#N/A,FALSE,0}</definedName>
    <definedName name="dddddddddddd_1" hidden="1">{0,#N/A,FALSE,0;0,#N/A,FALSE,0;0,#N/A,FALSE,0;0,#N/A,FALSE,0}</definedName>
    <definedName name="de" localSheetId="15" hidden="1">{"Fecha_Dezembro",#N/A,FALSE,"FECHAMENTO-2002 ";"Defer_Dezermbro",#N/A,FALSE,"DIFERIDO";"Pis_Dezembro",#N/A,FALSE,"PIS COFINS";"Iss_Dezembro",#N/A,FALSE,"ISS"}</definedName>
    <definedName name="de" localSheetId="14" hidden="1">{"Fecha_Dezembro",#N/A,FALSE,"FECHAMENTO-2002 ";"Defer_Dezermbro",#N/A,FALSE,"DIFERIDO";"Pis_Dezembro",#N/A,FALSE,"PIS COFINS";"Iss_Dezembro",#N/A,FALSE,"ISS"}</definedName>
    <definedName name="de" localSheetId="2" hidden="1">{"Fecha_Dezembro",#N/A,FALSE,"FECHAMENTO-2002 ";"Defer_Dezermbro",#N/A,FALSE,"DIFERIDO";"Pis_Dezembro",#N/A,FALSE,"PIS COFINS";"Iss_Dezembro",#N/A,FALSE,"ISS"}</definedName>
    <definedName name="de" localSheetId="34" hidden="1">{"Fecha_Dezembro",#N/A,FALSE,"FECHAMENTO-2002 ";"Defer_Dezermbro",#N/A,FALSE,"DIFERIDO";"Pis_Dezembro",#N/A,FALSE,"PIS COFINS";"Iss_Dezembro",#N/A,FALSE,"ISS"}</definedName>
    <definedName name="de" localSheetId="39" hidden="1">{"Fecha_Dezembro",#N/A,FALSE,"FECHAMENTO-2002 ";"Defer_Dezermbro",#N/A,FALSE,"DIFERIDO";"Pis_Dezembro",#N/A,FALSE,"PIS COFINS";"Iss_Dezembro",#N/A,FALSE,"ISS"}</definedName>
    <definedName name="de" localSheetId="8" hidden="1">{"Fecha_Dezembro",#N/A,FALSE,"FECHAMENTO-2002 ";"Defer_Dezermbro",#N/A,FALSE,"DIFERIDO";"Pis_Dezembro",#N/A,FALSE,"PIS COFINS";"Iss_Dezembro",#N/A,FALSE,"ISS"}</definedName>
    <definedName name="de" localSheetId="12" hidden="1">{"Fecha_Dezembro",#N/A,FALSE,"FECHAMENTO-2002 ";"Defer_Dezermbro",#N/A,FALSE,"DIFERIDO";"Pis_Dezembro",#N/A,FALSE,"PIS COFINS";"Iss_Dezembro",#N/A,FALSE,"ISS"}</definedName>
    <definedName name="de" localSheetId="13" hidden="1">{"Fecha_Dezembro",#N/A,FALSE,"FECHAMENTO-2002 ";"Defer_Dezermbro",#N/A,FALSE,"DIFERIDO";"Pis_Dezembro",#N/A,FALSE,"PIS COFINS";"Iss_Dezembro",#N/A,FALSE,"ISS"}</definedName>
    <definedName name="de" localSheetId="11" hidden="1">{"Fecha_Dezembro",#N/A,FALSE,"FECHAMENTO-2002 ";"Defer_Dezermbro",#N/A,FALSE,"DIFERIDO";"Pis_Dezembro",#N/A,FALSE,"PIS COFINS";"Iss_Dezembro",#N/A,FALSE,"ISS"}</definedName>
    <definedName name="de" localSheetId="31" hidden="1">{"Fecha_Dezembro",#N/A,FALSE,"FECHAMENTO-2002 ";"Defer_Dezermbro",#N/A,FALSE,"DIFERIDO";"Pis_Dezembro",#N/A,FALSE,"PIS COFINS";"Iss_Dezembro",#N/A,FALSE,"ISS"}</definedName>
    <definedName name="de" hidden="1">{"Fecha_Dezembro",#N/A,FALSE,"FECHAMENTO-2002 ";"Defer_Dezermbro",#N/A,FALSE,"DIFERIDO";"Pis_Dezembro",#N/A,FALSE,"PIS COFINS";"Iss_Dezembro",#N/A,FALSE,"ISS"}</definedName>
    <definedName name="de_1" localSheetId="15" hidden="1">{"Fecha_Dezembro",#N/A,FALSE,"FECHAMENTO-2002 ";"Defer_Dezermbro",#N/A,FALSE,"DIFERIDO";"Pis_Dezembro",#N/A,FALSE,"PIS COFINS";"Iss_Dezembro",#N/A,FALSE,"ISS"}</definedName>
    <definedName name="de_1" localSheetId="14" hidden="1">{"Fecha_Dezembro",#N/A,FALSE,"FECHAMENTO-2002 ";"Defer_Dezermbro",#N/A,FALSE,"DIFERIDO";"Pis_Dezembro",#N/A,FALSE,"PIS COFINS";"Iss_Dezembro",#N/A,FALSE,"ISS"}</definedName>
    <definedName name="de_1" localSheetId="2" hidden="1">{"Fecha_Dezembro",#N/A,FALSE,"FECHAMENTO-2002 ";"Defer_Dezermbro",#N/A,FALSE,"DIFERIDO";"Pis_Dezembro",#N/A,FALSE,"PIS COFINS";"Iss_Dezembro",#N/A,FALSE,"ISS"}</definedName>
    <definedName name="de_1" localSheetId="34" hidden="1">{"Fecha_Dezembro",#N/A,FALSE,"FECHAMENTO-2002 ";"Defer_Dezermbro",#N/A,FALSE,"DIFERIDO";"Pis_Dezembro",#N/A,FALSE,"PIS COFINS";"Iss_Dezembro",#N/A,FALSE,"ISS"}</definedName>
    <definedName name="de_1" localSheetId="39" hidden="1">{"Fecha_Dezembro",#N/A,FALSE,"FECHAMENTO-2002 ";"Defer_Dezermbro",#N/A,FALSE,"DIFERIDO";"Pis_Dezembro",#N/A,FALSE,"PIS COFINS";"Iss_Dezembro",#N/A,FALSE,"ISS"}</definedName>
    <definedName name="de_1" localSheetId="8" hidden="1">{"Fecha_Dezembro",#N/A,FALSE,"FECHAMENTO-2002 ";"Defer_Dezermbro",#N/A,FALSE,"DIFERIDO";"Pis_Dezembro",#N/A,FALSE,"PIS COFINS";"Iss_Dezembro",#N/A,FALSE,"ISS"}</definedName>
    <definedName name="de_1" localSheetId="12" hidden="1">{"Fecha_Dezembro",#N/A,FALSE,"FECHAMENTO-2002 ";"Defer_Dezermbro",#N/A,FALSE,"DIFERIDO";"Pis_Dezembro",#N/A,FALSE,"PIS COFINS";"Iss_Dezembro",#N/A,FALSE,"ISS"}</definedName>
    <definedName name="de_1" localSheetId="13" hidden="1">{"Fecha_Dezembro",#N/A,FALSE,"FECHAMENTO-2002 ";"Defer_Dezermbro",#N/A,FALSE,"DIFERIDO";"Pis_Dezembro",#N/A,FALSE,"PIS COFINS";"Iss_Dezembro",#N/A,FALSE,"ISS"}</definedName>
    <definedName name="de_1" localSheetId="11" hidden="1">{"Fecha_Dezembro",#N/A,FALSE,"FECHAMENTO-2002 ";"Defer_Dezermbro",#N/A,FALSE,"DIFERIDO";"Pis_Dezembro",#N/A,FALSE,"PIS COFINS";"Iss_Dezembro",#N/A,FALSE,"ISS"}</definedName>
    <definedName name="de_1" localSheetId="31" hidden="1">{"Fecha_Dezembro",#N/A,FALSE,"FECHAMENTO-2002 ";"Defer_Dezermbro",#N/A,FALSE,"DIFERIDO";"Pis_Dezembro",#N/A,FALSE,"PIS COFINS";"Iss_Dezembro",#N/A,FALSE,"ISS"}</definedName>
    <definedName name="de_1" hidden="1">{"Fecha_Dezembro",#N/A,FALSE,"FECHAMENTO-2002 ";"Defer_Dezermbro",#N/A,FALSE,"DIFERIDO";"Pis_Dezembro",#N/A,FALSE,"PIS COFINS";"Iss_Dezembro",#N/A,FALSE,"ISS"}</definedName>
    <definedName name="Dec" localSheetId="2">#REF!</definedName>
    <definedName name="Dec">#REF!</definedName>
    <definedName name="DEDD" localSheetId="15" hidden="1">{"comp1",#N/A,FALSE,"COMPS";"footnotes",#N/A,FALSE,"COMPS"}</definedName>
    <definedName name="DEDD" localSheetId="14" hidden="1">{"comp1",#N/A,FALSE,"COMPS";"footnotes",#N/A,FALSE,"COMPS"}</definedName>
    <definedName name="DEDD" localSheetId="2" hidden="1">{"comp1",#N/A,FALSE,"COMPS";"footnotes",#N/A,FALSE,"COMPS"}</definedName>
    <definedName name="DEDD" localSheetId="34" hidden="1">{"comp1",#N/A,FALSE,"COMPS";"footnotes",#N/A,FALSE,"COMPS"}</definedName>
    <definedName name="DEDD" localSheetId="39" hidden="1">{"comp1",#N/A,FALSE,"COMPS";"footnotes",#N/A,FALSE,"COMPS"}</definedName>
    <definedName name="DEDD" localSheetId="8" hidden="1">{"comp1",#N/A,FALSE,"COMPS";"footnotes",#N/A,FALSE,"COMPS"}</definedName>
    <definedName name="DEDD" localSheetId="12" hidden="1">{"comp1",#N/A,FALSE,"COMPS";"footnotes",#N/A,FALSE,"COMPS"}</definedName>
    <definedName name="DEDD" localSheetId="13" hidden="1">{"comp1",#N/A,FALSE,"COMPS";"footnotes",#N/A,FALSE,"COMPS"}</definedName>
    <definedName name="DEDD" localSheetId="11" hidden="1">{"comp1",#N/A,FALSE,"COMPS";"footnotes",#N/A,FALSE,"COMPS"}</definedName>
    <definedName name="DEDD" localSheetId="31" hidden="1">{"comp1",#N/A,FALSE,"COMPS";"footnotes",#N/A,FALSE,"COMPS"}</definedName>
    <definedName name="DEDD" hidden="1">{"comp1",#N/A,FALSE,"COMPS";"footnotes",#N/A,FALSE,"COMPS"}</definedName>
    <definedName name="DEDEWFEW" localSheetId="15" hidden="1">{"Fecha_Outubro",#N/A,FALSE,"FECHAMENTO-2002 ";"Defer_Outubro",#N/A,FALSE,"DIFERIDO";"Pis_Outubro",#N/A,FALSE,"PIS COFINS";"Iss_Outubro",#N/A,FALSE,"ISS"}</definedName>
    <definedName name="DEDEWFEW" localSheetId="14" hidden="1">{"Fecha_Outubro",#N/A,FALSE,"FECHAMENTO-2002 ";"Defer_Outubro",#N/A,FALSE,"DIFERIDO";"Pis_Outubro",#N/A,FALSE,"PIS COFINS";"Iss_Outubro",#N/A,FALSE,"ISS"}</definedName>
    <definedName name="DEDEWFEW" localSheetId="2" hidden="1">{"Fecha_Outubro",#N/A,FALSE,"FECHAMENTO-2002 ";"Defer_Outubro",#N/A,FALSE,"DIFERIDO";"Pis_Outubro",#N/A,FALSE,"PIS COFINS";"Iss_Outubro",#N/A,FALSE,"ISS"}</definedName>
    <definedName name="DEDEWFEW" localSheetId="34" hidden="1">{"Fecha_Outubro",#N/A,FALSE,"FECHAMENTO-2002 ";"Defer_Outubro",#N/A,FALSE,"DIFERIDO";"Pis_Outubro",#N/A,FALSE,"PIS COFINS";"Iss_Outubro",#N/A,FALSE,"ISS"}</definedName>
    <definedName name="DEDEWFEW" localSheetId="39" hidden="1">{"Fecha_Outubro",#N/A,FALSE,"FECHAMENTO-2002 ";"Defer_Outubro",#N/A,FALSE,"DIFERIDO";"Pis_Outubro",#N/A,FALSE,"PIS COFINS";"Iss_Outubro",#N/A,FALSE,"ISS"}</definedName>
    <definedName name="DEDEWFEW" localSheetId="8" hidden="1">{"Fecha_Outubro",#N/A,FALSE,"FECHAMENTO-2002 ";"Defer_Outubro",#N/A,FALSE,"DIFERIDO";"Pis_Outubro",#N/A,FALSE,"PIS COFINS";"Iss_Outubro",#N/A,FALSE,"ISS"}</definedName>
    <definedName name="DEDEWFEW" localSheetId="12" hidden="1">{"Fecha_Outubro",#N/A,FALSE,"FECHAMENTO-2002 ";"Defer_Outubro",#N/A,FALSE,"DIFERIDO";"Pis_Outubro",#N/A,FALSE,"PIS COFINS";"Iss_Outubro",#N/A,FALSE,"ISS"}</definedName>
    <definedName name="DEDEWFEW" localSheetId="13" hidden="1">{"Fecha_Outubro",#N/A,FALSE,"FECHAMENTO-2002 ";"Defer_Outubro",#N/A,FALSE,"DIFERIDO";"Pis_Outubro",#N/A,FALSE,"PIS COFINS";"Iss_Outubro",#N/A,FALSE,"ISS"}</definedName>
    <definedName name="DEDEWFEW" localSheetId="11" hidden="1">{"Fecha_Outubro",#N/A,FALSE,"FECHAMENTO-2002 ";"Defer_Outubro",#N/A,FALSE,"DIFERIDO";"Pis_Outubro",#N/A,FALSE,"PIS COFINS";"Iss_Outubro",#N/A,FALSE,"ISS"}</definedName>
    <definedName name="DEDEWFEW" localSheetId="31" hidden="1">{"Fecha_Outubro",#N/A,FALSE,"FECHAMENTO-2002 ";"Defer_Outubro",#N/A,FALSE,"DIFERIDO";"Pis_Outubro",#N/A,FALSE,"PIS COFINS";"Iss_Outubro",#N/A,FALSE,"ISS"}</definedName>
    <definedName name="DEDEWFEW" hidden="1">{"Fecha_Outubro",#N/A,FALSE,"FECHAMENTO-2002 ";"Defer_Outubro",#N/A,FALSE,"DIFERIDO";"Pis_Outubro",#N/A,FALSE,"PIS COFINS";"Iss_Outubro",#N/A,FALSE,"ISS"}</definedName>
    <definedName name="deee" localSheetId="15" hidden="1">{"Fecha_Setembro",#N/A,FALSE,"FECHAMENTO-2002 ";"Defer_Setembro",#N/A,FALSE,"DIFERIDO";"Pis_Setembro",#N/A,FALSE,"PIS COFINS";"Iss_Setembro",#N/A,FALSE,"ISS"}</definedName>
    <definedName name="deee" localSheetId="14" hidden="1">{"Fecha_Setembro",#N/A,FALSE,"FECHAMENTO-2002 ";"Defer_Setembro",#N/A,FALSE,"DIFERIDO";"Pis_Setembro",#N/A,FALSE,"PIS COFINS";"Iss_Setembro",#N/A,FALSE,"ISS"}</definedName>
    <definedName name="deee" localSheetId="2" hidden="1">{"Fecha_Setembro",#N/A,FALSE,"FECHAMENTO-2002 ";"Defer_Setembro",#N/A,FALSE,"DIFERIDO";"Pis_Setembro",#N/A,FALSE,"PIS COFINS";"Iss_Setembro",#N/A,FALSE,"ISS"}</definedName>
    <definedName name="deee" localSheetId="34" hidden="1">{"Fecha_Setembro",#N/A,FALSE,"FECHAMENTO-2002 ";"Defer_Setembro",#N/A,FALSE,"DIFERIDO";"Pis_Setembro",#N/A,FALSE,"PIS COFINS";"Iss_Setembro",#N/A,FALSE,"ISS"}</definedName>
    <definedName name="deee" localSheetId="39" hidden="1">{"Fecha_Setembro",#N/A,FALSE,"FECHAMENTO-2002 ";"Defer_Setembro",#N/A,FALSE,"DIFERIDO";"Pis_Setembro",#N/A,FALSE,"PIS COFINS";"Iss_Setembro",#N/A,FALSE,"ISS"}</definedName>
    <definedName name="deee" localSheetId="8" hidden="1">{"Fecha_Setembro",#N/A,FALSE,"FECHAMENTO-2002 ";"Defer_Setembro",#N/A,FALSE,"DIFERIDO";"Pis_Setembro",#N/A,FALSE,"PIS COFINS";"Iss_Setembro",#N/A,FALSE,"ISS"}</definedName>
    <definedName name="deee" localSheetId="12" hidden="1">{"Fecha_Setembro",#N/A,FALSE,"FECHAMENTO-2002 ";"Defer_Setembro",#N/A,FALSE,"DIFERIDO";"Pis_Setembro",#N/A,FALSE,"PIS COFINS";"Iss_Setembro",#N/A,FALSE,"ISS"}</definedName>
    <definedName name="deee" localSheetId="13" hidden="1">{"Fecha_Setembro",#N/A,FALSE,"FECHAMENTO-2002 ";"Defer_Setembro",#N/A,FALSE,"DIFERIDO";"Pis_Setembro",#N/A,FALSE,"PIS COFINS";"Iss_Setembro",#N/A,FALSE,"ISS"}</definedName>
    <definedName name="deee" localSheetId="11" hidden="1">{"Fecha_Setembro",#N/A,FALSE,"FECHAMENTO-2002 ";"Defer_Setembro",#N/A,FALSE,"DIFERIDO";"Pis_Setembro",#N/A,FALSE,"PIS COFINS";"Iss_Setembro",#N/A,FALSE,"ISS"}</definedName>
    <definedName name="deee" localSheetId="31" hidden="1">{"Fecha_Setembro",#N/A,FALSE,"FECHAMENTO-2002 ";"Defer_Setembro",#N/A,FALSE,"DIFERIDO";"Pis_Setembro",#N/A,FALSE,"PIS COFINS";"Iss_Setembro",#N/A,FALSE,"ISS"}</definedName>
    <definedName name="deee" hidden="1">{"Fecha_Setembro",#N/A,FALSE,"FECHAMENTO-2002 ";"Defer_Setembro",#N/A,FALSE,"DIFERIDO";"Pis_Setembro",#N/A,FALSE,"PIS COFINS";"Iss_Setembro",#N/A,FALSE,"ISS"}</definedName>
    <definedName name="deee_1" localSheetId="15" hidden="1">{"Fecha_Setembro",#N/A,FALSE,"FECHAMENTO-2002 ";"Defer_Setembro",#N/A,FALSE,"DIFERIDO";"Pis_Setembro",#N/A,FALSE,"PIS COFINS";"Iss_Setembro",#N/A,FALSE,"ISS"}</definedName>
    <definedName name="deee_1" localSheetId="14" hidden="1">{"Fecha_Setembro",#N/A,FALSE,"FECHAMENTO-2002 ";"Defer_Setembro",#N/A,FALSE,"DIFERIDO";"Pis_Setembro",#N/A,FALSE,"PIS COFINS";"Iss_Setembro",#N/A,FALSE,"ISS"}</definedName>
    <definedName name="deee_1" localSheetId="2" hidden="1">{"Fecha_Setembro",#N/A,FALSE,"FECHAMENTO-2002 ";"Defer_Setembro",#N/A,FALSE,"DIFERIDO";"Pis_Setembro",#N/A,FALSE,"PIS COFINS";"Iss_Setembro",#N/A,FALSE,"ISS"}</definedName>
    <definedName name="deee_1" localSheetId="34" hidden="1">{"Fecha_Setembro",#N/A,FALSE,"FECHAMENTO-2002 ";"Defer_Setembro",#N/A,FALSE,"DIFERIDO";"Pis_Setembro",#N/A,FALSE,"PIS COFINS";"Iss_Setembro",#N/A,FALSE,"ISS"}</definedName>
    <definedName name="deee_1" localSheetId="39" hidden="1">{"Fecha_Setembro",#N/A,FALSE,"FECHAMENTO-2002 ";"Defer_Setembro",#N/A,FALSE,"DIFERIDO";"Pis_Setembro",#N/A,FALSE,"PIS COFINS";"Iss_Setembro",#N/A,FALSE,"ISS"}</definedName>
    <definedName name="deee_1" localSheetId="8" hidden="1">{"Fecha_Setembro",#N/A,FALSE,"FECHAMENTO-2002 ";"Defer_Setembro",#N/A,FALSE,"DIFERIDO";"Pis_Setembro",#N/A,FALSE,"PIS COFINS";"Iss_Setembro",#N/A,FALSE,"ISS"}</definedName>
    <definedName name="deee_1" localSheetId="12" hidden="1">{"Fecha_Setembro",#N/A,FALSE,"FECHAMENTO-2002 ";"Defer_Setembro",#N/A,FALSE,"DIFERIDO";"Pis_Setembro",#N/A,FALSE,"PIS COFINS";"Iss_Setembro",#N/A,FALSE,"ISS"}</definedName>
    <definedName name="deee_1" localSheetId="13" hidden="1">{"Fecha_Setembro",#N/A,FALSE,"FECHAMENTO-2002 ";"Defer_Setembro",#N/A,FALSE,"DIFERIDO";"Pis_Setembro",#N/A,FALSE,"PIS COFINS";"Iss_Setembro",#N/A,FALSE,"ISS"}</definedName>
    <definedName name="deee_1" localSheetId="11" hidden="1">{"Fecha_Setembro",#N/A,FALSE,"FECHAMENTO-2002 ";"Defer_Setembro",#N/A,FALSE,"DIFERIDO";"Pis_Setembro",#N/A,FALSE,"PIS COFINS";"Iss_Setembro",#N/A,FALSE,"ISS"}</definedName>
    <definedName name="deee_1" localSheetId="31" hidden="1">{"Fecha_Setembro",#N/A,FALSE,"FECHAMENTO-2002 ";"Defer_Setembro",#N/A,FALSE,"DIFERIDO";"Pis_Setembro",#N/A,FALSE,"PIS COFINS";"Iss_Setembro",#N/A,FALSE,"ISS"}</definedName>
    <definedName name="deee_1" hidden="1">{"Fecha_Setembro",#N/A,FALSE,"FECHAMENTO-2002 ";"Defer_Setembro",#N/A,FALSE,"DIFERIDO";"Pis_Setembro",#N/A,FALSE,"PIS COFINS";"Iss_Setembro",#N/A,FALSE,"ISS"}</definedName>
    <definedName name="Demerara" localSheetId="2">#REF!</definedName>
    <definedName name="Demerara">#REF!</definedName>
    <definedName name="DemResult" localSheetId="2">#REF!</definedName>
    <definedName name="DemResult">#REF!</definedName>
    <definedName name="DER" localSheetId="2">#REF!</definedName>
    <definedName name="DER">#REF!</definedName>
    <definedName name="DERE" localSheetId="2">#REF!</definedName>
    <definedName name="DERE">#REF!</definedName>
    <definedName name="Desp2" localSheetId="15" hidden="1">{"Bradesco 1",#N/A,TRUE,"Bradesco acc_dil";"Bradesco2",#N/A,TRUE,"Bradesco acc_dil";"Bradesco3",#N/A,TRUE,"Bradesco's RWA analysis";"Unibanco1",#N/A,TRUE,"Unibanco acc_dil ";"Unibanco2",#N/A,TRUE,"Unibanco acc_dil ";"Unibanco3",#N/A,TRUE,"Unibanco's RWA analysis"}</definedName>
    <definedName name="Desp2" localSheetId="14"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localSheetId="39" hidden="1">{"Bradesco 1",#N/A,TRUE,"Bradesco acc_dil";"Bradesco2",#N/A,TRUE,"Bradesco acc_dil";"Bradesco3",#N/A,TRUE,"Bradesco's RWA analysis";"Unibanco1",#N/A,TRUE,"Unibanco acc_dil ";"Unibanco2",#N/A,TRUE,"Unibanco acc_dil ";"Unibanco3",#N/A,TRUE,"Unibanco's RWA analysis"}</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espesas1">#REF!</definedName>
    <definedName name="Despesas2">#REF!</definedName>
    <definedName name="Det_Ativo" localSheetId="2">#REF!</definedName>
    <definedName name="Det_Ativo">#REF!</definedName>
    <definedName name="Det_Custos" localSheetId="2">#REF!</definedName>
    <definedName name="Det_Custos">#REF!</definedName>
    <definedName name="Det_DespFin" localSheetId="2">#REF!</definedName>
    <definedName name="Det_DespFin">#REF!</definedName>
    <definedName name="Det_DespOper" localSheetId="2">#REF!</definedName>
    <definedName name="Det_DespOper">#REF!</definedName>
    <definedName name="Det_LucroBr" localSheetId="2">#REF!</definedName>
    <definedName name="Det_LucroBr">#REF!</definedName>
    <definedName name="Det_Passivo" localSheetId="2">#REF!</definedName>
    <definedName name="Det_Passivo">#REF!</definedName>
    <definedName name="DETPASSIVO" localSheetId="2">#REF!</definedName>
    <definedName name="DETPASSIVO">#REF!</definedName>
    <definedName name="DEZ" localSheetId="2">#REF!</definedName>
    <definedName name="DEZ">#REF!</definedName>
    <definedName name="dEZEMBRO" hidden="1">#REF!</definedName>
    <definedName name="DIFSERVD" localSheetId="2">#REF!</definedName>
    <definedName name="DIFSERVD">#REF!</definedName>
    <definedName name="DIFSERVO" localSheetId="2">#REF!</definedName>
    <definedName name="DIFSERVO">#REF!</definedName>
    <definedName name="DÍVIDA" localSheetId="15" hidden="1">{"comps",#N/A,FALSE,"HANDPACK";"footnotes",#N/A,FALSE,"HANDPACK"}</definedName>
    <definedName name="DÍVIDA" localSheetId="14" hidden="1">{"comps",#N/A,FALSE,"HANDPACK";"footnotes",#N/A,FALSE,"HANDPACK"}</definedName>
    <definedName name="DÍVIDA" localSheetId="2" hidden="1">{"comps",#N/A,FALSE,"HANDPACK";"footnotes",#N/A,FALSE,"HANDPACK"}</definedName>
    <definedName name="DÍVIDA" localSheetId="34" hidden="1">{"comps",#N/A,FALSE,"HANDPACK";"footnotes",#N/A,FALSE,"HANDPACK"}</definedName>
    <definedName name="DÍVIDA" localSheetId="39" hidden="1">{"comps",#N/A,FALSE,"HANDPACK";"footnotes",#N/A,FALSE,"HANDPACK"}</definedName>
    <definedName name="DÍVIDA" localSheetId="8" hidden="1">{"comps",#N/A,FALSE,"HANDPACK";"footnotes",#N/A,FALSE,"HANDPACK"}</definedName>
    <definedName name="DÍVIDA" localSheetId="12" hidden="1">{"comps",#N/A,FALSE,"HANDPACK";"footnotes",#N/A,FALSE,"HANDPACK"}</definedName>
    <definedName name="DÍVIDA" localSheetId="13" hidden="1">{"comps",#N/A,FALSE,"HANDPACK";"footnotes",#N/A,FALSE,"HANDPACK"}</definedName>
    <definedName name="DÍVIDA" localSheetId="11" hidden="1">{"comps",#N/A,FALSE,"HANDPACK";"footnotes",#N/A,FALSE,"HANDPACK"}</definedName>
    <definedName name="DÍVIDA" localSheetId="31" hidden="1">{"comps",#N/A,FALSE,"HANDPACK";"footnotes",#N/A,FALSE,"HANDPACK"}</definedName>
    <definedName name="DÍVIDA" hidden="1">{"comps",#N/A,FALSE,"HANDPACK";"footnotes",#N/A,FALSE,"HANDPACK"}</definedName>
    <definedName name="DNFIDFDFDSHUFV" localSheetId="15" hidden="1">{"TotalGeralDespesasPorArea",#N/A,FALSE,"VinculosAccessEfetivo"}</definedName>
    <definedName name="DNFIDFDFDSHUFV" localSheetId="14" hidden="1">{"TotalGeralDespesasPorArea",#N/A,FALSE,"VinculosAccessEfetivo"}</definedName>
    <definedName name="DNFIDFDFDSHUFV" localSheetId="2" hidden="1">{"TotalGeralDespesasPorArea",#N/A,FALSE,"VinculosAccessEfetivo"}</definedName>
    <definedName name="DNFIDFDFDSHUFV" localSheetId="34" hidden="1">{"TotalGeralDespesasPorArea",#N/A,FALSE,"VinculosAccessEfetivo"}</definedName>
    <definedName name="DNFIDFDFDSHUFV" localSheetId="39" hidden="1">{"TotalGeralDespesasPorArea",#N/A,FALSE,"VinculosAccessEfetivo"}</definedName>
    <definedName name="DNFIDFDFDSHUFV" localSheetId="8" hidden="1">{"TotalGeralDespesasPorArea",#N/A,FALSE,"VinculosAccessEfetivo"}</definedName>
    <definedName name="DNFIDFDFDSHUFV" localSheetId="12" hidden="1">{"TotalGeralDespesasPorArea",#N/A,FALSE,"VinculosAccessEfetivo"}</definedName>
    <definedName name="DNFIDFDFDSHUFV" localSheetId="13" hidden="1">{"TotalGeralDespesasPorArea",#N/A,FALSE,"VinculosAccessEfetivo"}</definedName>
    <definedName name="DNFIDFDFDSHUFV" localSheetId="11" hidden="1">{"TotalGeralDespesasPorArea",#N/A,FALSE,"VinculosAccessEfetivo"}</definedName>
    <definedName name="DNFIDFDFDSHUFV" localSheetId="31" hidden="1">{"TotalGeralDespesasPorArea",#N/A,FALSE,"VinculosAccessEfetivo"}</definedName>
    <definedName name="DNFIDFDFDSHUFV" hidden="1">{"TotalGeralDespesasPorArea",#N/A,FALSE,"VinculosAccessEfetivo"}</definedName>
    <definedName name="DOAR" localSheetId="2">#REF!</definedName>
    <definedName name="DOAR">#REF!</definedName>
    <definedName name="DOAT" localSheetId="2">#REF!</definedName>
    <definedName name="DOAT">#REF!</definedName>
    <definedName name="DOLAR" localSheetId="2">#REF!</definedName>
    <definedName name="DOLAR">#REF!</definedName>
    <definedName name="DREevol" localSheetId="2">#REF!</definedName>
    <definedName name="DREevol">#REF!</definedName>
    <definedName name="DREevolperc" localSheetId="2">#REF!</definedName>
    <definedName name="DREevolperc">#REF!</definedName>
    <definedName name="DREm1tri" localSheetId="2">#REF!</definedName>
    <definedName name="DREm1tri">#REF!</definedName>
    <definedName name="DREm2tri" localSheetId="2">#REF!</definedName>
    <definedName name="DREm2tri">#REF!</definedName>
    <definedName name="dsd" hidden="1">"CAVD7SCWJ2AXAA0RJGKFLUFZV"</definedName>
    <definedName name="Duplicatas">#REF!</definedName>
    <definedName name="DVFDVD" localSheetId="15" hidden="1">{"Fecha_Novembro",#N/A,FALSE,"FECHAMENTO-2002 ";"Defer_Novembro",#N/A,FALSE,"DIFERIDO";"Pis_Novembro",#N/A,FALSE,"PIS COFINS";"Iss_Novembro",#N/A,FALSE,"ISS"}</definedName>
    <definedName name="DVFDVD" localSheetId="14" hidden="1">{"Fecha_Novembro",#N/A,FALSE,"FECHAMENTO-2002 ";"Defer_Novembro",#N/A,FALSE,"DIFERIDO";"Pis_Novembro",#N/A,FALSE,"PIS COFINS";"Iss_Novembro",#N/A,FALSE,"ISS"}</definedName>
    <definedName name="DVFDVD" localSheetId="2" hidden="1">{"Fecha_Novembro",#N/A,FALSE,"FECHAMENTO-2002 ";"Defer_Novembro",#N/A,FALSE,"DIFERIDO";"Pis_Novembro",#N/A,FALSE,"PIS COFINS";"Iss_Novembro",#N/A,FALSE,"ISS"}</definedName>
    <definedName name="DVFDVD" localSheetId="34" hidden="1">{"Fecha_Novembro",#N/A,FALSE,"FECHAMENTO-2002 ";"Defer_Novembro",#N/A,FALSE,"DIFERIDO";"Pis_Novembro",#N/A,FALSE,"PIS COFINS";"Iss_Novembro",#N/A,FALSE,"ISS"}</definedName>
    <definedName name="DVFDVD" localSheetId="39" hidden="1">{"Fecha_Novembro",#N/A,FALSE,"FECHAMENTO-2002 ";"Defer_Novembro",#N/A,FALSE,"DIFERIDO";"Pis_Novembro",#N/A,FALSE,"PIS COFINS";"Iss_Novembro",#N/A,FALSE,"ISS"}</definedName>
    <definedName name="DVFDVD" localSheetId="8" hidden="1">{"Fecha_Novembro",#N/A,FALSE,"FECHAMENTO-2002 ";"Defer_Novembro",#N/A,FALSE,"DIFERIDO";"Pis_Novembro",#N/A,FALSE,"PIS COFINS";"Iss_Novembro",#N/A,FALSE,"ISS"}</definedName>
    <definedName name="DVFDVD" localSheetId="12" hidden="1">{"Fecha_Novembro",#N/A,FALSE,"FECHAMENTO-2002 ";"Defer_Novembro",#N/A,FALSE,"DIFERIDO";"Pis_Novembro",#N/A,FALSE,"PIS COFINS";"Iss_Novembro",#N/A,FALSE,"ISS"}</definedName>
    <definedName name="DVFDVD" localSheetId="13" hidden="1">{"Fecha_Novembro",#N/A,FALSE,"FECHAMENTO-2002 ";"Defer_Novembro",#N/A,FALSE,"DIFERIDO";"Pis_Novembro",#N/A,FALSE,"PIS COFINS";"Iss_Novembro",#N/A,FALSE,"ISS"}</definedName>
    <definedName name="DVFDVD" localSheetId="11" hidden="1">{"Fecha_Novembro",#N/A,FALSE,"FECHAMENTO-2002 ";"Defer_Novembro",#N/A,FALSE,"DIFERIDO";"Pis_Novembro",#N/A,FALSE,"PIS COFINS";"Iss_Novembro",#N/A,FALSE,"ISS"}</definedName>
    <definedName name="DVFDVD" localSheetId="31" hidden="1">{"Fecha_Novembro",#N/A,FALSE,"FECHAMENTO-2002 ";"Defer_Novembro",#N/A,FALSE,"DIFERIDO";"Pis_Novembro",#N/A,FALSE,"PIS COFINS";"Iss_Novembro",#N/A,FALSE,"ISS"}</definedName>
    <definedName name="DVFDVD" hidden="1">{"Fecha_Novembro",#N/A,FALSE,"FECHAMENTO-2002 ";"Defer_Novembro",#N/A,FALSE,"DIFERIDO";"Pis_Novembro",#N/A,FALSE,"PIS COFINS";"Iss_Novembro",#N/A,FALSE,"ISS"}</definedName>
    <definedName name="e" localSheetId="0" hidden="1">{"Bradesco 1",#N/A,TRUE,"Bradesco acc_dil";"Bradesco2",#N/A,TRUE,"Bradesco acc_dil";"Bradesco3",#N/A,TRUE,"Bradesco's RWA analysis";"Unibanco1",#N/A,TRUE,"Unibanco acc_dil ";"Unibanco2",#N/A,TRUE,"Unibanco acc_dil ";"Unibanco3",#N/A,TRUE,"Unibanco's RWA analysis"}</definedName>
    <definedName name="EBITDAAAno" localSheetId="31">INDIRECT("$b$"&amp;#REF!)</definedName>
    <definedName name="EBITDAAAno">INDIRECT("$b$"&amp;#REF!)</definedName>
    <definedName name="EBITDAAAUTOTri">INDIRECT("$b$"&amp;#REF!)</definedName>
    <definedName name="EBITDAALITri">INDIRECT("$b$"&amp;#REF!)</definedName>
    <definedName name="EBITDAAno">INDIRECT("$b$"&amp;#REF!)</definedName>
    <definedName name="EBITDAATri">INDIRECT("$b$"&amp;#REF!)</definedName>
    <definedName name="EBITDAAUTOAno">INDIRECT("$b$"&amp;#REF!)</definedName>
    <definedName name="EBITDAAUTOTri">INDIRECT("$b$"&amp;#REF!)</definedName>
    <definedName name="EBITDALITri">INDIRECT("$b$"&amp;#REF!)</definedName>
    <definedName name="EBITDATri">INDIRECT("$b$"&amp;#REF!)</definedName>
    <definedName name="ECNOFIBRAS" localSheetId="15" hidden="1">{"'PXR_6500'!$A$1:$I$124"}</definedName>
    <definedName name="ECNOFIBRAS" localSheetId="14" hidden="1">{"'PXR_6500'!$A$1:$I$124"}</definedName>
    <definedName name="ECNOFIBRAS" localSheetId="2" hidden="1">{"'PXR_6500'!$A$1:$I$124"}</definedName>
    <definedName name="ECNOFIBRAS" localSheetId="34" hidden="1">{"'PXR_6500'!$A$1:$I$124"}</definedName>
    <definedName name="ECNOFIBRAS" localSheetId="39" hidden="1">{"'PXR_6500'!$A$1:$I$124"}</definedName>
    <definedName name="ECNOFIBRAS" localSheetId="8" hidden="1">{"'PXR_6500'!$A$1:$I$124"}</definedName>
    <definedName name="ECNOFIBRAS" localSheetId="12" hidden="1">{"'PXR_6500'!$A$1:$I$124"}</definedName>
    <definedName name="ECNOFIBRAS" localSheetId="13" hidden="1">{"'PXR_6500'!$A$1:$I$124"}</definedName>
    <definedName name="ECNOFIBRAS" localSheetId="11" hidden="1">{"'PXR_6500'!$A$1:$I$124"}</definedName>
    <definedName name="ECNOFIBRAS" localSheetId="31" hidden="1">{"'PXR_6500'!$A$1:$I$124"}</definedName>
    <definedName name="ECNOFIBRAS" hidden="1">{"'PXR_6500'!$A$1:$I$124"}</definedName>
    <definedName name="ECNOFIBRAS2" localSheetId="15" hidden="1">{"'PXR_6500'!$A$1:$I$124"}</definedName>
    <definedName name="ECNOFIBRAS2" localSheetId="14" hidden="1">{"'PXR_6500'!$A$1:$I$124"}</definedName>
    <definedName name="ECNOFIBRAS2" localSheetId="2" hidden="1">{"'PXR_6500'!$A$1:$I$124"}</definedName>
    <definedName name="ECNOFIBRAS2" localSheetId="34" hidden="1">{"'PXR_6500'!$A$1:$I$124"}</definedName>
    <definedName name="ECNOFIBRAS2" localSheetId="39" hidden="1">{"'PXR_6500'!$A$1:$I$124"}</definedName>
    <definedName name="ECNOFIBRAS2" localSheetId="8" hidden="1">{"'PXR_6500'!$A$1:$I$124"}</definedName>
    <definedName name="ECNOFIBRAS2" localSheetId="12" hidden="1">{"'PXR_6500'!$A$1:$I$124"}</definedName>
    <definedName name="ECNOFIBRAS2" localSheetId="13" hidden="1">{"'PXR_6500'!$A$1:$I$124"}</definedName>
    <definedName name="ECNOFIBRAS2" localSheetId="11" hidden="1">{"'PXR_6500'!$A$1:$I$124"}</definedName>
    <definedName name="ECNOFIBRAS2" localSheetId="31" hidden="1">{"'PXR_6500'!$A$1:$I$124"}</definedName>
    <definedName name="ECNOFIBRAS2" hidden="1">{"'PXR_6500'!$A$1:$I$124"}</definedName>
    <definedName name="edp" localSheetId="15" hidden="1">{"assumption 50 50",#N/A,TRUE,"Merger";"has gets cash",#N/A,TRUE,"Merger";"accretion dilution",#N/A,TRUE,"Merger";"comparison credit stats",#N/A,TRUE,"Merger";"pf credit stats",#N/A,TRUE,"Merger";"pf sheets",#N/A,TRUE,"Merger"}</definedName>
    <definedName name="edp" localSheetId="14" hidden="1">{"assumption 50 50",#N/A,TRUE,"Merger";"has gets cash",#N/A,TRUE,"Merger";"accretion dilution",#N/A,TRUE,"Merger";"comparison credit stats",#N/A,TRUE,"Merger";"pf credit stats",#N/A,TRUE,"Merger";"pf sheets",#N/A,TRUE,"Merger"}</definedName>
    <definedName name="edp" localSheetId="2" hidden="1">{"assumption 50 50",#N/A,TRUE,"Merger";"has gets cash",#N/A,TRUE,"Merger";"accretion dilution",#N/A,TRUE,"Merger";"comparison credit stats",#N/A,TRUE,"Merger";"pf credit stats",#N/A,TRUE,"Merger";"pf sheets",#N/A,TRUE,"Merger"}</definedName>
    <definedName name="edp" localSheetId="34" hidden="1">{"assumption 50 50",#N/A,TRUE,"Merger";"has gets cash",#N/A,TRUE,"Merger";"accretion dilution",#N/A,TRUE,"Merger";"comparison credit stats",#N/A,TRUE,"Merger";"pf credit stats",#N/A,TRUE,"Merger";"pf sheets",#N/A,TRUE,"Merger"}</definedName>
    <definedName name="edp" localSheetId="39" hidden="1">{"assumption 50 50",#N/A,TRUE,"Merger";"has gets cash",#N/A,TRUE,"Merger";"accretion dilution",#N/A,TRUE,"Merger";"comparison credit stats",#N/A,TRUE,"Merger";"pf credit stats",#N/A,TRUE,"Merger";"pf sheets",#N/A,TRUE,"Merger"}</definedName>
    <definedName name="edp" localSheetId="8" hidden="1">{"assumption 50 50",#N/A,TRUE,"Merger";"has gets cash",#N/A,TRUE,"Merger";"accretion dilution",#N/A,TRUE,"Merger";"comparison credit stats",#N/A,TRUE,"Merger";"pf credit stats",#N/A,TRUE,"Merger";"pf sheets",#N/A,TRUE,"Merger"}</definedName>
    <definedName name="edp" localSheetId="12" hidden="1">{"assumption 50 50",#N/A,TRUE,"Merger";"has gets cash",#N/A,TRUE,"Merger";"accretion dilution",#N/A,TRUE,"Merger";"comparison credit stats",#N/A,TRUE,"Merger";"pf credit stats",#N/A,TRUE,"Merger";"pf sheets",#N/A,TRUE,"Merger"}</definedName>
    <definedName name="edp" localSheetId="13" hidden="1">{"assumption 50 50",#N/A,TRUE,"Merger";"has gets cash",#N/A,TRUE,"Merger";"accretion dilution",#N/A,TRUE,"Merger";"comparison credit stats",#N/A,TRUE,"Merger";"pf credit stats",#N/A,TRUE,"Merger";"pf sheets",#N/A,TRUE,"Merger"}</definedName>
    <definedName name="edp" localSheetId="11" hidden="1">{"assumption 50 50",#N/A,TRUE,"Merger";"has gets cash",#N/A,TRUE,"Merger";"accretion dilution",#N/A,TRUE,"Merger";"comparison credit stats",#N/A,TRUE,"Merger";"pf credit stats",#N/A,TRUE,"Merger";"pf sheets",#N/A,TRUE,"Merger"}</definedName>
    <definedName name="edp" localSheetId="31"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eee" localSheetId="1" hidden="1">#REF!</definedName>
    <definedName name="eeee" localSheetId="7" hidden="1">#REF!</definedName>
    <definedName name="eeee" localSheetId="2" hidden="1">#REF!</definedName>
    <definedName name="eeee" localSheetId="34" hidden="1">#REF!</definedName>
    <definedName name="eeee" localSheetId="12" hidden="1">#REF!</definedName>
    <definedName name="eeee" localSheetId="10" hidden="1">#REF!</definedName>
    <definedName name="eeee" localSheetId="6" hidden="1">#REF!</definedName>
    <definedName name="eeee" hidden="1">#REF!</definedName>
    <definedName name="eeeee" localSheetId="1" hidden="1">#REF!</definedName>
    <definedName name="eeeee" localSheetId="7" hidden="1">#REF!</definedName>
    <definedName name="eeeee" localSheetId="2" hidden="1">#REF!</definedName>
    <definedName name="eeeee" localSheetId="34" hidden="1">#REF!</definedName>
    <definedName name="eeeee" localSheetId="12" hidden="1">#REF!</definedName>
    <definedName name="eeeee" localSheetId="10" hidden="1">#REF!</definedName>
    <definedName name="eeeee" localSheetId="6" hidden="1">#REF!</definedName>
    <definedName name="eeeee" hidden="1">#REF!</definedName>
    <definedName name="emily" localSheetId="15" hidden="1">{#N/A,#N/A,FALSE,"Calc";#N/A,#N/A,FALSE,"Sensitivity";#N/A,#N/A,FALSE,"LT Earn.Dil.";#N/A,#N/A,FALSE,"Dil. AVP"}</definedName>
    <definedName name="emily" localSheetId="14" hidden="1">{#N/A,#N/A,FALSE,"Calc";#N/A,#N/A,FALSE,"Sensitivity";#N/A,#N/A,FALSE,"LT Earn.Dil.";#N/A,#N/A,FALSE,"Dil. AVP"}</definedName>
    <definedName name="emily" localSheetId="2" hidden="1">{#N/A,#N/A,FALSE,"Calc";#N/A,#N/A,FALSE,"Sensitivity";#N/A,#N/A,FALSE,"LT Earn.Dil.";#N/A,#N/A,FALSE,"Dil. AVP"}</definedName>
    <definedName name="emily" localSheetId="34" hidden="1">{#N/A,#N/A,FALSE,"Calc";#N/A,#N/A,FALSE,"Sensitivity";#N/A,#N/A,FALSE,"LT Earn.Dil.";#N/A,#N/A,FALSE,"Dil. AVP"}</definedName>
    <definedName name="emily" localSheetId="39" hidden="1">{#N/A,#N/A,FALSE,"Calc";#N/A,#N/A,FALSE,"Sensitivity";#N/A,#N/A,FALSE,"LT Earn.Dil.";#N/A,#N/A,FALSE,"Dil. AVP"}</definedName>
    <definedName name="emily" localSheetId="8" hidden="1">{#N/A,#N/A,FALSE,"Calc";#N/A,#N/A,FALSE,"Sensitivity";#N/A,#N/A,FALSE,"LT Earn.Dil.";#N/A,#N/A,FALSE,"Dil. AVP"}</definedName>
    <definedName name="emily" localSheetId="12" hidden="1">{#N/A,#N/A,FALSE,"Calc";#N/A,#N/A,FALSE,"Sensitivity";#N/A,#N/A,FALSE,"LT Earn.Dil.";#N/A,#N/A,FALSE,"Dil. AVP"}</definedName>
    <definedName name="emily" localSheetId="13" hidden="1">{#N/A,#N/A,FALSE,"Calc";#N/A,#N/A,FALSE,"Sensitivity";#N/A,#N/A,FALSE,"LT Earn.Dil.";#N/A,#N/A,FALSE,"Dil. AVP"}</definedName>
    <definedName name="emily" localSheetId="11" hidden="1">{#N/A,#N/A,FALSE,"Calc";#N/A,#N/A,FALSE,"Sensitivity";#N/A,#N/A,FALSE,"LT Earn.Dil.";#N/A,#N/A,FALSE,"Dil. AVP"}</definedName>
    <definedName name="emily" localSheetId="31" hidden="1">{#N/A,#N/A,FALSE,"Calc";#N/A,#N/A,FALSE,"Sensitivity";#N/A,#N/A,FALSE,"LT Earn.Dil.";#N/A,#N/A,FALSE,"Dil. AVP"}</definedName>
    <definedName name="emily" hidden="1">{#N/A,#N/A,FALSE,"Calc";#N/A,#N/A,FALSE,"Sensitivity";#N/A,#N/A,FALSE,"LT Earn.Dil.";#N/A,#N/A,FALSE,"Dil. AVP"}</definedName>
    <definedName name="Engarrafado" localSheetId="2">#REF!</definedName>
    <definedName name="Engarrafado">#REF!</definedName>
    <definedName name="ERFDFD" localSheetId="15" hidden="1">{0,#N/A,FALSE,0;0,#N/A,FALSE,0;0,#N/A,FALSE,0;0,#N/A,FALSE,0}</definedName>
    <definedName name="ERFDFD" localSheetId="14" hidden="1">{0,#N/A,FALSE,0;0,#N/A,FALSE,0;0,#N/A,FALSE,0;0,#N/A,FALSE,0}</definedName>
    <definedName name="ERFDFD" localSheetId="2" hidden="1">{0,#N/A,FALSE,0;0,#N/A,FALSE,0;0,#N/A,FALSE,0;0,#N/A,FALSE,0}</definedName>
    <definedName name="ERFDFD" localSheetId="34" hidden="1">{0,#N/A,FALSE,0;0,#N/A,FALSE,0;0,#N/A,FALSE,0;0,#N/A,FALSE,0}</definedName>
    <definedName name="ERFDFD" localSheetId="39" hidden="1">{0,#N/A,FALSE,0;0,#N/A,FALSE,0;0,#N/A,FALSE,0;0,#N/A,FALSE,0}</definedName>
    <definedName name="ERFDFD" localSheetId="8" hidden="1">{0,#N/A,FALSE,0;0,#N/A,FALSE,0;0,#N/A,FALSE,0;0,#N/A,FALSE,0}</definedName>
    <definedName name="ERFDFD" localSheetId="12" hidden="1">{0,#N/A,FALSE,0;0,#N/A,FALSE,0;0,#N/A,FALSE,0;0,#N/A,FALSE,0}</definedName>
    <definedName name="ERFDFD" localSheetId="13" hidden="1">{0,#N/A,FALSE,0;0,#N/A,FALSE,0;0,#N/A,FALSE,0;0,#N/A,FALSE,0}</definedName>
    <definedName name="ERFDFD" localSheetId="11" hidden="1">{0,#N/A,FALSE,0;0,#N/A,FALSE,0;0,#N/A,FALSE,0;0,#N/A,FALSE,0}</definedName>
    <definedName name="ERFDFD" localSheetId="31" hidden="1">{0,#N/A,FALSE,0;0,#N/A,FALSE,0;0,#N/A,FALSE,0;0,#N/A,FALSE,0}</definedName>
    <definedName name="ERFDFD" hidden="1">{0,#N/A,FALSE,0;0,#N/A,FALSE,0;0,#N/A,FALSE,0;0,#N/A,FALSE,0}</definedName>
    <definedName name="Especial" localSheetId="2">#REF!</definedName>
    <definedName name="Especial">#REF!</definedName>
    <definedName name="EspecialExtra" localSheetId="2">#REF!</definedName>
    <definedName name="EspecialExtra">#REF!</definedName>
    <definedName name="EXT" localSheetId="2">#REF!</definedName>
    <definedName name="EXT">#REF!</definedName>
    <definedName name="eyr" localSheetId="15" hidden="1">{"hiden",#N/A,FALSE,"14";"hidden",#N/A,FALSE,"16";"hidden",#N/A,FALSE,"18";"hidden",#N/A,FALSE,"20"}</definedName>
    <definedName name="eyr" localSheetId="14" hidden="1">{"hiden",#N/A,FALSE,"14";"hidden",#N/A,FALSE,"16";"hidden",#N/A,FALSE,"18";"hidden",#N/A,FALSE,"20"}</definedName>
    <definedName name="eyr" localSheetId="2" hidden="1">{"hiden",#N/A,FALSE,"14";"hidden",#N/A,FALSE,"16";"hidden",#N/A,FALSE,"18";"hidden",#N/A,FALSE,"20"}</definedName>
    <definedName name="eyr" localSheetId="34" hidden="1">{"hiden",#N/A,FALSE,"14";"hidden",#N/A,FALSE,"16";"hidden",#N/A,FALSE,"18";"hidden",#N/A,FALSE,"20"}</definedName>
    <definedName name="eyr" localSheetId="39" hidden="1">{"hiden",#N/A,FALSE,"14";"hidden",#N/A,FALSE,"16";"hidden",#N/A,FALSE,"18";"hidden",#N/A,FALSE,"20"}</definedName>
    <definedName name="eyr" localSheetId="8" hidden="1">{"hiden",#N/A,FALSE,"14";"hidden",#N/A,FALSE,"16";"hidden",#N/A,FALSE,"18";"hidden",#N/A,FALSE,"20"}</definedName>
    <definedName name="eyr" localSheetId="12" hidden="1">{"hiden",#N/A,FALSE,"14";"hidden",#N/A,FALSE,"16";"hidden",#N/A,FALSE,"18";"hidden",#N/A,FALSE,"20"}</definedName>
    <definedName name="eyr" localSheetId="13" hidden="1">{"hiden",#N/A,FALSE,"14";"hidden",#N/A,FALSE,"16";"hidden",#N/A,FALSE,"18";"hidden",#N/A,FALSE,"20"}</definedName>
    <definedName name="eyr" localSheetId="11" hidden="1">{"hiden",#N/A,FALSE,"14";"hidden",#N/A,FALSE,"16";"hidden",#N/A,FALSE,"18";"hidden",#N/A,FALSE,"20"}</definedName>
    <definedName name="eyr" localSheetId="31" hidden="1">{"hiden",#N/A,FALSE,"14";"hidden",#N/A,FALSE,"16";"hidden",#N/A,FALSE,"18";"hidden",#N/A,FALSE,"20"}</definedName>
    <definedName name="eyr" hidden="1">{"hiden",#N/A,FALSE,"14";"hidden",#N/A,FALSE,"16";"hidden",#N/A,FALSE,"18";"hidden",#N/A,FALSE,"20"}</definedName>
    <definedName name="f" localSheetId="15" hidden="1">{"assumption cash",#N/A,TRUE,"Merger";"has gets cash",#N/A,TRUE,"Merger";"accretion dilution",#N/A,TRUE,"Merger";"comparison credit stats",#N/A,TRUE,"Merger";"pf credit stats",#N/A,TRUE,"Merger";"pf sheets",#N/A,TRUE,"Merger"}</definedName>
    <definedName name="f" localSheetId="14" hidden="1">{"assumption cash",#N/A,TRUE,"Merger";"has gets cash",#N/A,TRUE,"Merger";"accretion dilution",#N/A,TRUE,"Merger";"comparison credit stats",#N/A,TRUE,"Merger";"pf credit stats",#N/A,TRUE,"Merger";"pf sheets",#N/A,TRUE,"Merger"}</definedName>
    <definedName name="f" localSheetId="2" hidden="1">{"assumption cash",#N/A,TRUE,"Merger";"has gets cash",#N/A,TRUE,"Merger";"accretion dilution",#N/A,TRUE,"Merger";"comparison credit stats",#N/A,TRUE,"Merger";"pf credit stats",#N/A,TRUE,"Merger";"pf sheets",#N/A,TRUE,"Merger"}</definedName>
    <definedName name="f" localSheetId="34" hidden="1">{"assumption cash",#N/A,TRUE,"Merger";"has gets cash",#N/A,TRUE,"Merger";"accretion dilution",#N/A,TRUE,"Merger";"comparison credit stats",#N/A,TRUE,"Merger";"pf credit stats",#N/A,TRUE,"Merger";"pf sheets",#N/A,TRUE,"Merger"}</definedName>
    <definedName name="f" localSheetId="39" hidden="1">{"assumption cash",#N/A,TRUE,"Merger";"has gets cash",#N/A,TRUE,"Merger";"accretion dilution",#N/A,TRUE,"Merger";"comparison credit stats",#N/A,TRUE,"Merger";"pf credit stats",#N/A,TRUE,"Merger";"pf sheets",#N/A,TRUE,"Merger"}</definedName>
    <definedName name="f" localSheetId="8" hidden="1">{"assumption cash",#N/A,TRUE,"Merger";"has gets cash",#N/A,TRUE,"Merger";"accretion dilution",#N/A,TRUE,"Merger";"comparison credit stats",#N/A,TRUE,"Merger";"pf credit stats",#N/A,TRUE,"Merger";"pf sheets",#N/A,TRUE,"Merger"}</definedName>
    <definedName name="f" localSheetId="12" hidden="1">{"assumption cash",#N/A,TRUE,"Merger";"has gets cash",#N/A,TRUE,"Merger";"accretion dilution",#N/A,TRUE,"Merger";"comparison credit stats",#N/A,TRUE,"Merger";"pf credit stats",#N/A,TRUE,"Merger";"pf sheets",#N/A,TRUE,"Merger"}</definedName>
    <definedName name="f" localSheetId="13" hidden="1">{"assumption cash",#N/A,TRUE,"Merger";"has gets cash",#N/A,TRUE,"Merger";"accretion dilution",#N/A,TRUE,"Merger";"comparison credit stats",#N/A,TRUE,"Merger";"pf credit stats",#N/A,TRUE,"Merger";"pf sheets",#N/A,TRUE,"Merger"}</definedName>
    <definedName name="f" localSheetId="11" hidden="1">{"assumption cash",#N/A,TRUE,"Merger";"has gets cash",#N/A,TRUE,"Merger";"accretion dilution",#N/A,TRUE,"Merger";"comparison credit stats",#N/A,TRUE,"Merger";"pf credit stats",#N/A,TRUE,"Merger";"pf sheets",#N/A,TRUE,"Merger"}</definedName>
    <definedName name="f" localSheetId="31" hidden="1">{"assumption cash",#N/A,TRUE,"Merger";"has gets cash",#N/A,TRUE,"Merger";"accretion dilution",#N/A,TRUE,"Merger";"comparison credit stats",#N/A,TRUE,"Merger";"pf credit stats",#N/A,TRUE,"Merger";"pf sheets",#N/A,TRUE,"Merger"}</definedName>
    <definedName name="f" hidden="1">{"assumption cash",#N/A,TRUE,"Merger";"has gets cash",#N/A,TRUE,"Merger";"accretion dilution",#N/A,TRUE,"Merger";"comparison credit stats",#N/A,TRUE,"Merger";"pf credit stats",#N/A,TRUE,"Merger";"pf sheets",#N/A,TRUE,"Merger"}</definedName>
    <definedName name="FatCli" localSheetId="2">#REF!</definedName>
    <definedName name="FatCli">#REF!</definedName>
    <definedName name="fds" localSheetId="15" hidden="1">{"comps",#N/A,FALSE,"comps";"notes",#N/A,FALSE,"comps"}</definedName>
    <definedName name="fds" localSheetId="14" hidden="1">{"comps",#N/A,FALSE,"comps";"notes",#N/A,FALSE,"comps"}</definedName>
    <definedName name="fds" localSheetId="2" hidden="1">{"comps",#N/A,FALSE,"comps";"notes",#N/A,FALSE,"comps"}</definedName>
    <definedName name="fds" localSheetId="34" hidden="1">{"comps",#N/A,FALSE,"comps";"notes",#N/A,FALSE,"comps"}</definedName>
    <definedName name="fds" localSheetId="39" hidden="1">{"comps",#N/A,FALSE,"comps";"notes",#N/A,FALSE,"comps"}</definedName>
    <definedName name="fds" localSheetId="8" hidden="1">{"comps",#N/A,FALSE,"comps";"notes",#N/A,FALSE,"comps"}</definedName>
    <definedName name="fds" localSheetId="12" hidden="1">{"comps",#N/A,FALSE,"comps";"notes",#N/A,FALSE,"comps"}</definedName>
    <definedName name="fds" localSheetId="13" hidden="1">{"comps",#N/A,FALSE,"comps";"notes",#N/A,FALSE,"comps"}</definedName>
    <definedName name="fds" localSheetId="11" hidden="1">{"comps",#N/A,FALSE,"comps";"notes",#N/A,FALSE,"comps"}</definedName>
    <definedName name="fds" localSheetId="31" hidden="1">{"comps",#N/A,FALSE,"comps";"notes",#N/A,FALSE,"comps"}</definedName>
    <definedName name="fds" hidden="1">{"comps",#N/A,FALSE,"comps";"notes",#N/A,FALSE,"comps"}</definedName>
    <definedName name="fdsf" localSheetId="15" hidden="1">{"general",#N/A,FALSE,"Assumptions"}</definedName>
    <definedName name="fdsf" localSheetId="14" hidden="1">{"general",#N/A,FALSE,"Assumptions"}</definedName>
    <definedName name="fdsf" localSheetId="2" hidden="1">{"general",#N/A,FALSE,"Assumptions"}</definedName>
    <definedName name="fdsf" localSheetId="34" hidden="1">{"general",#N/A,FALSE,"Assumptions"}</definedName>
    <definedName name="fdsf" localSheetId="39" hidden="1">{"general",#N/A,FALSE,"Assumptions"}</definedName>
    <definedName name="fdsf" localSheetId="8" hidden="1">{"general",#N/A,FALSE,"Assumptions"}</definedName>
    <definedName name="fdsf" localSheetId="12" hidden="1">{"general",#N/A,FALSE,"Assumptions"}</definedName>
    <definedName name="fdsf" localSheetId="13" hidden="1">{"general",#N/A,FALSE,"Assumptions"}</definedName>
    <definedName name="fdsf" localSheetId="11" hidden="1">{"general",#N/A,FALSE,"Assumptions"}</definedName>
    <definedName name="fdsf" localSheetId="31" hidden="1">{"general",#N/A,FALSE,"Assumptions"}</definedName>
    <definedName name="fdsf" hidden="1">{"general",#N/A,FALSE,"Assumptions"}</definedName>
    <definedName name="Feriado">#REF!</definedName>
    <definedName name="FILIAL" localSheetId="2">#REF!</definedName>
    <definedName name="FILIAL">#REF!</definedName>
    <definedName name="FILIALP" localSheetId="2">#REF!</definedName>
    <definedName name="FILIALP">#REF!</definedName>
    <definedName name="FILIALP1" localSheetId="2">#REF!</definedName>
    <definedName name="FILIALP1">#REF!</definedName>
    <definedName name="FILIALP2" localSheetId="2">#REF!</definedName>
    <definedName name="FILIALP2">#REF!</definedName>
    <definedName name="FILIALP3" localSheetId="2">#REF!</definedName>
    <definedName name="FILIALP3">#REF!</definedName>
    <definedName name="fins1" localSheetId="15" hidden="1">{#N/A,#N/A,FALSE,"Calc";#N/A,#N/A,FALSE,"Sensitivity";#N/A,#N/A,FALSE,"LT Earn.Dil.";#N/A,#N/A,FALSE,"Dil. AVP"}</definedName>
    <definedName name="fins1" localSheetId="14" hidden="1">{#N/A,#N/A,FALSE,"Calc";#N/A,#N/A,FALSE,"Sensitivity";#N/A,#N/A,FALSE,"LT Earn.Dil.";#N/A,#N/A,FALSE,"Dil. AVP"}</definedName>
    <definedName name="fins1" localSheetId="2" hidden="1">{#N/A,#N/A,FALSE,"Calc";#N/A,#N/A,FALSE,"Sensitivity";#N/A,#N/A,FALSE,"LT Earn.Dil.";#N/A,#N/A,FALSE,"Dil. AVP"}</definedName>
    <definedName name="fins1" localSheetId="34" hidden="1">{#N/A,#N/A,FALSE,"Calc";#N/A,#N/A,FALSE,"Sensitivity";#N/A,#N/A,FALSE,"LT Earn.Dil.";#N/A,#N/A,FALSE,"Dil. AVP"}</definedName>
    <definedName name="fins1" localSheetId="39" hidden="1">{#N/A,#N/A,FALSE,"Calc";#N/A,#N/A,FALSE,"Sensitivity";#N/A,#N/A,FALSE,"LT Earn.Dil.";#N/A,#N/A,FALSE,"Dil. AVP"}</definedName>
    <definedName name="fins1" localSheetId="8" hidden="1">{#N/A,#N/A,FALSE,"Calc";#N/A,#N/A,FALSE,"Sensitivity";#N/A,#N/A,FALSE,"LT Earn.Dil.";#N/A,#N/A,FALSE,"Dil. AVP"}</definedName>
    <definedName name="fins1" localSheetId="12" hidden="1">{#N/A,#N/A,FALSE,"Calc";#N/A,#N/A,FALSE,"Sensitivity";#N/A,#N/A,FALSE,"LT Earn.Dil.";#N/A,#N/A,FALSE,"Dil. AVP"}</definedName>
    <definedName name="fins1" localSheetId="13" hidden="1">{#N/A,#N/A,FALSE,"Calc";#N/A,#N/A,FALSE,"Sensitivity";#N/A,#N/A,FALSE,"LT Earn.Dil.";#N/A,#N/A,FALSE,"Dil. AVP"}</definedName>
    <definedName name="fins1" localSheetId="11" hidden="1">{#N/A,#N/A,FALSE,"Calc";#N/A,#N/A,FALSE,"Sensitivity";#N/A,#N/A,FALSE,"LT Earn.Dil.";#N/A,#N/A,FALSE,"Dil. AVP"}</definedName>
    <definedName name="fins1" localSheetId="31" hidden="1">{#N/A,#N/A,FALSE,"Calc";#N/A,#N/A,FALSE,"Sensitivity";#N/A,#N/A,FALSE,"LT Earn.Dil.";#N/A,#N/A,FALSE,"Dil. AVP"}</definedName>
    <definedName name="fins1" hidden="1">{#N/A,#N/A,FALSE,"Calc";#N/A,#N/A,FALSE,"Sensitivity";#N/A,#N/A,FALSE,"LT Earn.Dil.";#N/A,#N/A,FALSE,"Dil. AVP"}</definedName>
    <definedName name="FIPEQUADMER" localSheetId="1" hidden="1">#REF!</definedName>
    <definedName name="FIPEQUADMER" localSheetId="3" hidden="1">#REF!</definedName>
    <definedName name="FIPEQUADMER" localSheetId="7" hidden="1">#REF!</definedName>
    <definedName name="FIPEQUADMER" localSheetId="2" hidden="1">#REF!</definedName>
    <definedName name="FIPEQUADMER" localSheetId="34" hidden="1">#REF!</definedName>
    <definedName name="FIPEQUADMER" localSheetId="12" hidden="1">#REF!</definedName>
    <definedName name="FIPEQUADMER" localSheetId="10" hidden="1">#REF!</definedName>
    <definedName name="FIPEQUADMER" localSheetId="6" hidden="1">#REF!</definedName>
    <definedName name="FIPEQUADMER" hidden="1">#REF!</definedName>
    <definedName name="Fornecedores">#REF!</definedName>
    <definedName name="g" localSheetId="0" hidden="1">{"assumptions and inputs",#N/A,FALSE,"valuation";"intermediate calculations",#N/A,FALSE,"valuation";"dollar conversion",#N/A,FALSE,"valuation";"analysis at various prices",#N/A,FALSE,"valuation"}</definedName>
    <definedName name="GERAL">#REF!</definedName>
    <definedName name="gg" localSheetId="15" hidden="1">{"Fecha_Outubro",#N/A,FALSE,"FECHAMENTO-2002 ";"Defer_Outubro",#N/A,FALSE,"DIFERIDO";"Pis_Outubro",#N/A,FALSE,"PIS COFINS";"Iss_Outubro",#N/A,FALSE,"ISS"}</definedName>
    <definedName name="gg" localSheetId="14" hidden="1">{"Fecha_Outubro",#N/A,FALSE,"FECHAMENTO-2002 ";"Defer_Outubro",#N/A,FALSE,"DIFERIDO";"Pis_Outubro",#N/A,FALSE,"PIS COFINS";"Iss_Outubro",#N/A,FALSE,"ISS"}</definedName>
    <definedName name="gg" localSheetId="2" hidden="1">{"Fecha_Outubro",#N/A,FALSE,"FECHAMENTO-2002 ";"Defer_Outubro",#N/A,FALSE,"DIFERIDO";"Pis_Outubro",#N/A,FALSE,"PIS COFINS";"Iss_Outubro",#N/A,FALSE,"ISS"}</definedName>
    <definedName name="gg" localSheetId="34" hidden="1">{"Fecha_Outubro",#N/A,FALSE,"FECHAMENTO-2002 ";"Defer_Outubro",#N/A,FALSE,"DIFERIDO";"Pis_Outubro",#N/A,FALSE,"PIS COFINS";"Iss_Outubro",#N/A,FALSE,"ISS"}</definedName>
    <definedName name="gg" localSheetId="39" hidden="1">{"Fecha_Outubro",#N/A,FALSE,"FECHAMENTO-2002 ";"Defer_Outubro",#N/A,FALSE,"DIFERIDO";"Pis_Outubro",#N/A,FALSE,"PIS COFINS";"Iss_Outubro",#N/A,FALSE,"ISS"}</definedName>
    <definedName name="gg" localSheetId="8" hidden="1">{"Fecha_Outubro",#N/A,FALSE,"FECHAMENTO-2002 ";"Defer_Outubro",#N/A,FALSE,"DIFERIDO";"Pis_Outubro",#N/A,FALSE,"PIS COFINS";"Iss_Outubro",#N/A,FALSE,"ISS"}</definedName>
    <definedName name="gg" localSheetId="12" hidden="1">{"Fecha_Outubro",#N/A,FALSE,"FECHAMENTO-2002 ";"Defer_Outubro",#N/A,FALSE,"DIFERIDO";"Pis_Outubro",#N/A,FALSE,"PIS COFINS";"Iss_Outubro",#N/A,FALSE,"ISS"}</definedName>
    <definedName name="gg" localSheetId="13" hidden="1">{"Fecha_Outubro",#N/A,FALSE,"FECHAMENTO-2002 ";"Defer_Outubro",#N/A,FALSE,"DIFERIDO";"Pis_Outubro",#N/A,FALSE,"PIS COFINS";"Iss_Outubro",#N/A,FALSE,"ISS"}</definedName>
    <definedName name="gg" localSheetId="11" hidden="1">{"Fecha_Outubro",#N/A,FALSE,"FECHAMENTO-2002 ";"Defer_Outubro",#N/A,FALSE,"DIFERIDO";"Pis_Outubro",#N/A,FALSE,"PIS COFINS";"Iss_Outubro",#N/A,FALSE,"ISS"}</definedName>
    <definedName name="gg" localSheetId="31" hidden="1">{"Fecha_Outubro",#N/A,FALSE,"FECHAMENTO-2002 ";"Defer_Outubro",#N/A,FALSE,"DIFERIDO";"Pis_Outubro",#N/A,FALSE,"PIS COFINS";"Iss_Outubro",#N/A,FALSE,"ISS"}</definedName>
    <definedName name="gg" hidden="1">{"Fecha_Outubro",#N/A,FALSE,"FECHAMENTO-2002 ";"Defer_Outubro",#N/A,FALSE,"DIFERIDO";"Pis_Outubro",#N/A,FALSE,"PIS COFINS";"Iss_Outubro",#N/A,FALSE,"ISS"}</definedName>
    <definedName name="gg_1" localSheetId="15" hidden="1">{"Fecha_Outubro",#N/A,FALSE,"FECHAMENTO-2002 ";"Defer_Outubro",#N/A,FALSE,"DIFERIDO";"Pis_Outubro",#N/A,FALSE,"PIS COFINS";"Iss_Outubro",#N/A,FALSE,"ISS"}</definedName>
    <definedName name="gg_1" localSheetId="14" hidden="1">{"Fecha_Outubro",#N/A,FALSE,"FECHAMENTO-2002 ";"Defer_Outubro",#N/A,FALSE,"DIFERIDO";"Pis_Outubro",#N/A,FALSE,"PIS COFINS";"Iss_Outubro",#N/A,FALSE,"ISS"}</definedName>
    <definedName name="gg_1" localSheetId="2" hidden="1">{"Fecha_Outubro",#N/A,FALSE,"FECHAMENTO-2002 ";"Defer_Outubro",#N/A,FALSE,"DIFERIDO";"Pis_Outubro",#N/A,FALSE,"PIS COFINS";"Iss_Outubro",#N/A,FALSE,"ISS"}</definedName>
    <definedName name="gg_1" localSheetId="34" hidden="1">{"Fecha_Outubro",#N/A,FALSE,"FECHAMENTO-2002 ";"Defer_Outubro",#N/A,FALSE,"DIFERIDO";"Pis_Outubro",#N/A,FALSE,"PIS COFINS";"Iss_Outubro",#N/A,FALSE,"ISS"}</definedName>
    <definedName name="gg_1" localSheetId="39" hidden="1">{"Fecha_Outubro",#N/A,FALSE,"FECHAMENTO-2002 ";"Defer_Outubro",#N/A,FALSE,"DIFERIDO";"Pis_Outubro",#N/A,FALSE,"PIS COFINS";"Iss_Outubro",#N/A,FALSE,"ISS"}</definedName>
    <definedName name="gg_1" localSheetId="8" hidden="1">{"Fecha_Outubro",#N/A,FALSE,"FECHAMENTO-2002 ";"Defer_Outubro",#N/A,FALSE,"DIFERIDO";"Pis_Outubro",#N/A,FALSE,"PIS COFINS";"Iss_Outubro",#N/A,FALSE,"ISS"}</definedName>
    <definedName name="gg_1" localSheetId="12" hidden="1">{"Fecha_Outubro",#N/A,FALSE,"FECHAMENTO-2002 ";"Defer_Outubro",#N/A,FALSE,"DIFERIDO";"Pis_Outubro",#N/A,FALSE,"PIS COFINS";"Iss_Outubro",#N/A,FALSE,"ISS"}</definedName>
    <definedName name="gg_1" localSheetId="13" hidden="1">{"Fecha_Outubro",#N/A,FALSE,"FECHAMENTO-2002 ";"Defer_Outubro",#N/A,FALSE,"DIFERIDO";"Pis_Outubro",#N/A,FALSE,"PIS COFINS";"Iss_Outubro",#N/A,FALSE,"ISS"}</definedName>
    <definedName name="gg_1" localSheetId="11" hidden="1">{"Fecha_Outubro",#N/A,FALSE,"FECHAMENTO-2002 ";"Defer_Outubro",#N/A,FALSE,"DIFERIDO";"Pis_Outubro",#N/A,FALSE,"PIS COFINS";"Iss_Outubro",#N/A,FALSE,"ISS"}</definedName>
    <definedName name="gg_1" localSheetId="31" hidden="1">{"Fecha_Outubro",#N/A,FALSE,"FECHAMENTO-2002 ";"Defer_Outubro",#N/A,FALSE,"DIFERIDO";"Pis_Outubro",#N/A,FALSE,"PIS COFINS";"Iss_Outubro",#N/A,FALSE,"ISS"}</definedName>
    <definedName name="gg_1" hidden="1">{"Fecha_Outubro",#N/A,FALSE,"FECHAMENTO-2002 ";"Defer_Outubro",#N/A,FALSE,"DIFERIDO";"Pis_Outubro",#N/A,FALSE,"PIS COFINS";"Iss_Outubro",#N/A,FALSE,"ISS"}</definedName>
    <definedName name="ggf" localSheetId="15" hidden="1">{"comps",#N/A,FALSE,"comps";"notes",#N/A,FALSE,"comps"}</definedName>
    <definedName name="ggf" localSheetId="14" hidden="1">{"comps",#N/A,FALSE,"comps";"notes",#N/A,FALSE,"comps"}</definedName>
    <definedName name="ggf" localSheetId="2" hidden="1">{"comps",#N/A,FALSE,"comps";"notes",#N/A,FALSE,"comps"}</definedName>
    <definedName name="ggf" localSheetId="34" hidden="1">{"comps",#N/A,FALSE,"comps";"notes",#N/A,FALSE,"comps"}</definedName>
    <definedName name="ggf" localSheetId="39" hidden="1">{"comps",#N/A,FALSE,"comps";"notes",#N/A,FALSE,"comps"}</definedName>
    <definedName name="ggf" localSheetId="8" hidden="1">{"comps",#N/A,FALSE,"comps";"notes",#N/A,FALSE,"comps"}</definedName>
    <definedName name="ggf" localSheetId="12" hidden="1">{"comps",#N/A,FALSE,"comps";"notes",#N/A,FALSE,"comps"}</definedName>
    <definedName name="ggf" localSheetId="13" hidden="1">{"comps",#N/A,FALSE,"comps";"notes",#N/A,FALSE,"comps"}</definedName>
    <definedName name="ggf" localSheetId="11" hidden="1">{"comps",#N/A,FALSE,"comps";"notes",#N/A,FALSE,"comps"}</definedName>
    <definedName name="ggf" localSheetId="31" hidden="1">{"comps",#N/A,FALSE,"comps";"notes",#N/A,FALSE,"comps"}</definedName>
    <definedName name="ggf" hidden="1">{"comps",#N/A,FALSE,"comps";"notes",#N/A,FALSE,"comps"}</definedName>
    <definedName name="Granulado" localSheetId="2">#REF!</definedName>
    <definedName name="Granulado">#REF!</definedName>
    <definedName name="GrpAcct1" hidden="1">"Blank (325)"</definedName>
    <definedName name="GrpLevel" hidden="1">2</definedName>
    <definedName name="GUIAS_XEROX">#REF!</definedName>
    <definedName name="hhhsdf" localSheetId="15" hidden="1">{"up stand alones",#N/A,FALSE,"Acquiror"}</definedName>
    <definedName name="hhhsdf" localSheetId="14" hidden="1">{"up stand alones",#N/A,FALSE,"Acquiror"}</definedName>
    <definedName name="hhhsdf" localSheetId="2" hidden="1">{"up stand alones",#N/A,FALSE,"Acquiror"}</definedName>
    <definedName name="hhhsdf" localSheetId="34" hidden="1">{"up stand alones",#N/A,FALSE,"Acquiror"}</definedName>
    <definedName name="hhhsdf" localSheetId="39" hidden="1">{"up stand alones",#N/A,FALSE,"Acquiror"}</definedName>
    <definedName name="hhhsdf" localSheetId="8" hidden="1">{"up stand alones",#N/A,FALSE,"Acquiror"}</definedName>
    <definedName name="hhhsdf" localSheetId="12" hidden="1">{"up stand alones",#N/A,FALSE,"Acquiror"}</definedName>
    <definedName name="hhhsdf" localSheetId="13" hidden="1">{"up stand alones",#N/A,FALSE,"Acquiror"}</definedName>
    <definedName name="hhhsdf" localSheetId="11" hidden="1">{"up stand alones",#N/A,FALSE,"Acquiror"}</definedName>
    <definedName name="hhhsdf" localSheetId="31" hidden="1">{"up stand alones",#N/A,FALSE,"Acquiror"}</definedName>
    <definedName name="hhhsdf" hidden="1">{"up stand alones",#N/A,FALSE,"Acquiror"}</definedName>
    <definedName name="hidratmi">#REF!</definedName>
    <definedName name="HTML" localSheetId="15" hidden="1">{"'PXR_6500'!$A$1:$I$124"}</definedName>
    <definedName name="HTML" localSheetId="14" hidden="1">{"'PXR_6500'!$A$1:$I$124"}</definedName>
    <definedName name="HTML" localSheetId="2" hidden="1">{"'PXR_6500'!$A$1:$I$124"}</definedName>
    <definedName name="HTML" localSheetId="34" hidden="1">{"'PXR_6500'!$A$1:$I$124"}</definedName>
    <definedName name="HTML" localSheetId="39" hidden="1">{"'PXR_6500'!$A$1:$I$124"}</definedName>
    <definedName name="HTML" localSheetId="8" hidden="1">{"'PXR_6500'!$A$1:$I$124"}</definedName>
    <definedName name="HTML" localSheetId="12" hidden="1">{"'PXR_6500'!$A$1:$I$124"}</definedName>
    <definedName name="HTML" localSheetId="13" hidden="1">{"'PXR_6500'!$A$1:$I$124"}</definedName>
    <definedName name="HTML" localSheetId="11" hidden="1">{"'PXR_6500'!$A$1:$I$124"}</definedName>
    <definedName name="HTML" localSheetId="31" hidden="1">{"'PXR_6500'!$A$1:$I$124"}</definedName>
    <definedName name="HTML" hidden="1">{"'PXR_6500'!$A$1:$I$124"}</definedName>
    <definedName name="HTML_CodePage" hidden="1">1252</definedName>
    <definedName name="HTML_Control" localSheetId="15" hidden="1">{"'TG'!$A$1:$L$37"}</definedName>
    <definedName name="HTML_Control" localSheetId="14" hidden="1">{"'TG'!$A$1:$L$37"}</definedName>
    <definedName name="HTML_Control" localSheetId="2" hidden="1">{"'TG'!$A$1:$L$37"}</definedName>
    <definedName name="HTML_Control" localSheetId="34" hidden="1">{"'TG'!$A$1:$L$37"}</definedName>
    <definedName name="HTML_Control" localSheetId="39" hidden="1">{"'TG'!$A$1:$L$37"}</definedName>
    <definedName name="HTML_Control" localSheetId="8" hidden="1">{"'TG'!$A$1:$L$37"}</definedName>
    <definedName name="HTML_Control" localSheetId="12" hidden="1">{"'TG'!$A$1:$L$37"}</definedName>
    <definedName name="HTML_Control" localSheetId="13" hidden="1">{"'TG'!$A$1:$L$37"}</definedName>
    <definedName name="HTML_Control" localSheetId="11" hidden="1">{"'TG'!$A$1:$L$37"}</definedName>
    <definedName name="HTML_Control" localSheetId="31" hidden="1">{"'TG'!$A$1:$L$37"}</definedName>
    <definedName name="HTML_Control" localSheetId="0" hidden="1">{"'ec X reg'!$C$27:$F$31","'ec X reg'!$C$27:$F$31","'cobert reg(-)ant'!$B$8:$D$20","'ec X reg'!$C$27:$F$31"}</definedName>
    <definedName name="HTML_Control" hidden="1">{"'TG'!$A$1:$L$37"}</definedName>
    <definedName name="HTML_Description" hidden="1">""</definedName>
    <definedName name="HTML_Email" localSheetId="0" hidden="1">"rogerio.lelis@unibanco.com.br"</definedName>
    <definedName name="HTML_Email" hidden="1">""</definedName>
    <definedName name="HTML_Header" localSheetId="0" hidden="1">"março de 2001"</definedName>
    <definedName name="HTML_Header" hidden="1">""</definedName>
    <definedName name="HTML_LastUpdate" localSheetId="0" hidden="1">"13/07/01"</definedName>
    <definedName name="HTML_LastUpdate" hidden="1">"16/06/98"</definedName>
    <definedName name="HTML_LineAfter" localSheetId="0" hidden="1">TRUE</definedName>
    <definedName name="HTML_LineAfter" hidden="1">FALSE</definedName>
    <definedName name="HTML_LineBefore" localSheetId="0" hidden="1">TRUE</definedName>
    <definedName name="HTML_LineBefore" hidden="1">FALSE</definedName>
    <definedName name="HTML_Name" localSheetId="0" hidden="1">"Global Risk Management"</definedName>
    <definedName name="HTML_Name" hidden="1">"Setor de Custos"</definedName>
    <definedName name="HTML_OBDlg2" hidden="1">TRUE</definedName>
    <definedName name="HTML_OBDlg3" hidden="1">TRUE</definedName>
    <definedName name="HTML_OBDlg4" hidden="1">TRUE</definedName>
    <definedName name="HTML_OS" hidden="1">0</definedName>
    <definedName name="HTML_PathFile" localSheetId="0" hidden="1">"C:\Rogério\Alocação\01_03\UBB\Consolidado\Alocação_mar01.htm"</definedName>
    <definedName name="HTML_PathFile" hidden="1">"D:\FIX\Mai98\PXR6500.htm"</definedName>
    <definedName name="HTML_PathTemplate" hidden="1">"C:\Rogério\Alocação\01_03\UBB\Consolidado\alocação_0103.htm"</definedName>
    <definedName name="HTML_Title" localSheetId="0" hidden="1">"Alocação de Capital"</definedName>
    <definedName name="HTML_Title" hidden="1">""</definedName>
    <definedName name="HTML1_1" hidden="1">"[APU97.XLS]INTRA!$A$1:$B$93"</definedName>
    <definedName name="HTML1_10" hidden="1">""</definedName>
    <definedName name="HTML1_11" hidden="1">1</definedName>
    <definedName name="HTML1_12" hidden="1">"\\NT_ECON\InetPub\wwwroot\Fiscal\Impostos\CSIRADI.htm"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"08/08/97"</definedName>
    <definedName name="HTML1_9" hidden="1">"MARCELO H. VIOLA CANDIDO"</definedName>
    <definedName name="HTML2_1" hidden="1">"[APU97.XLS]INTRA!$A$1:$B$92"</definedName>
    <definedName name="HTML2_10" hidden="1">""</definedName>
    <definedName name="HTML2_11" hidden="1">1</definedName>
    <definedName name="HTML2_12" hidden="1">"\\NT_ECON\InetPub\wwwroot\Fiscal\Impostos\CSIRADI.htm"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"08/08/97"</definedName>
    <definedName name="HTML2_9" hidden="1">""</definedName>
    <definedName name="HTML3_1" hidden="1">"[APU97.XLS]INTRA!$A$2:$B$92"</definedName>
    <definedName name="HTML3_10" hidden="1">""</definedName>
    <definedName name="HTML3_11" hidden="1">1</definedName>
    <definedName name="HTML3_12" hidden="1">"C:\Meus Documentos\IR1997\csiradi.htm"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"21/08/97"</definedName>
    <definedName name="HTML3_9" hidden="1">""</definedName>
    <definedName name="HTML4_1" hidden="1">"[APU97.XLS]INTRA!$A$1:$B$91"</definedName>
    <definedName name="HTML4_10" hidden="1">""</definedName>
    <definedName name="HTML4_11" hidden="1">1</definedName>
    <definedName name="HTML4_12" hidden="1">"\\NT_ECON\InetPub\wwwroot\Fiscal\Impostos\CSIRADI.htm"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"08/08/97"</definedName>
    <definedName name="HTML4_9" hidden="1">""</definedName>
    <definedName name="HTML5_1" hidden="1">"[APU97.XLS]INTRA!$D$2:$E$92"</definedName>
    <definedName name="HTML5_10" hidden="1">""</definedName>
    <definedName name="HTML5_11" hidden="1">1</definedName>
    <definedName name="HTML5_12" hidden="1">"C:\Meus Documentos\IR1997\csirinfo.htm"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"21/08/97"</definedName>
    <definedName name="HTML5_9" hidden="1">""</definedName>
    <definedName name="HTML6_1" hidden="1">"[APU97.XLS]INTRA!$G$2:$H$92"</definedName>
    <definedName name="HTML6_10" hidden="1">""</definedName>
    <definedName name="HTML6_11" hidden="1">1</definedName>
    <definedName name="HTML6_12" hidden="1">"C:\Meus Documentos\IR1997\csiritph.htm"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"21/08/97"</definedName>
    <definedName name="HTML6_9" hidden="1">""</definedName>
    <definedName name="HTML7_1" hidden="1">"[APU97.XLS]INTRA!$J$2:$K$92"</definedName>
    <definedName name="HTML7_10" hidden="1">""</definedName>
    <definedName name="HTML7_11" hidden="1">1</definedName>
    <definedName name="HTML7_12" hidden="1">"C:\Meus Documentos\IR1997\csircom.htm"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"21/08/97"</definedName>
    <definedName name="HTML7_9" hidden="1">""</definedName>
    <definedName name="HTML8_1" hidden="1">"[APU97.XLS]INTRA!$M$2:$N$92"</definedName>
    <definedName name="HTML8_10" hidden="1">""</definedName>
    <definedName name="HTML8_11" hidden="1">1</definedName>
    <definedName name="HTML8_12" hidden="1">"C:\Meus Documentos\IR1997\csiripp.htm"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"21/08/97"</definedName>
    <definedName name="HTML8_9" hidden="1">""</definedName>
    <definedName name="HTMLCount" hidden="1">8</definedName>
    <definedName name="ik" localSheetId="15" hidden="1">{"casespecific",#N/A,FALSE,"Assumptions"}</definedName>
    <definedName name="ik" localSheetId="14" hidden="1">{"casespecific",#N/A,FALSE,"Assumptions"}</definedName>
    <definedName name="ik" localSheetId="2" hidden="1">{"casespecific",#N/A,FALSE,"Assumptions"}</definedName>
    <definedName name="ik" localSheetId="34" hidden="1">{"casespecific",#N/A,FALSE,"Assumptions"}</definedName>
    <definedName name="ik" localSheetId="39" hidden="1">{"casespecific",#N/A,FALSE,"Assumptions"}</definedName>
    <definedName name="ik" localSheetId="8" hidden="1">{"casespecific",#N/A,FALSE,"Assumptions"}</definedName>
    <definedName name="ik" localSheetId="12" hidden="1">{"casespecific",#N/A,FALSE,"Assumptions"}</definedName>
    <definedName name="ik" localSheetId="13" hidden="1">{"casespecific",#N/A,FALSE,"Assumptions"}</definedName>
    <definedName name="ik" localSheetId="11" hidden="1">{"casespecific",#N/A,FALSE,"Assumptions"}</definedName>
    <definedName name="ik" localSheetId="31" hidden="1">{"casespecific",#N/A,FALSE,"Assumptions"}</definedName>
    <definedName name="ik"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{"casespecific",#N/A,FALSE,"Assumptions"}</definedName>
    <definedName name="Importado" localSheetId="2">#REF!</definedName>
    <definedName name="Importado">#REF!</definedName>
    <definedName name="incmes" localSheetId="2">#REF!</definedName>
    <definedName name="incmes">#REF!</definedName>
    <definedName name="ind">#REF!</definedName>
    <definedName name="INDEN" localSheetId="2">#REF!</definedName>
    <definedName name="INDEN">#REF!</definedName>
    <definedName name="INDENIZAÇÕES" localSheetId="2">#REF!</definedName>
    <definedName name="INDENIZAÇÕES">#REF!</definedName>
    <definedName name="Indicadores" localSheetId="2">#REF!</definedName>
    <definedName name="Indicadores">#REF!</definedName>
    <definedName name="Industrial" localSheetId="2">#REF!</definedName>
    <definedName name="Industrial">#REF!</definedName>
    <definedName name="INPC" localSheetId="2">#REF!</definedName>
    <definedName name="INPC">#REF!</definedName>
    <definedName name="Insumos" localSheetId="2">#REF!</definedName>
    <definedName name="Insumos">#REF!</definedName>
    <definedName name="IPIRECUP">#REF!</definedName>
    <definedName name="IPISUB">#REF!</definedName>
    <definedName name="IPIUNIALCOOL">#REF!</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MES_REVISION_DATE_" hidden="1">40315.7747337963</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R" localSheetId="2">#REF!</definedName>
    <definedName name="IR">#REF!</definedName>
    <definedName name="kkkkk" localSheetId="15" hidden="1">{"TotalGeralDespesasPorArea",#N/A,FALSE,"VinculosAccessEfetivo"}</definedName>
    <definedName name="kkkkk" localSheetId="14" hidden="1">{"TotalGeralDespesasPorArea",#N/A,FALSE,"VinculosAccessEfetivo"}</definedName>
    <definedName name="kkkkk" localSheetId="2" hidden="1">{"TotalGeralDespesasPorArea",#N/A,FALSE,"VinculosAccessEfetivo"}</definedName>
    <definedName name="kkkkk" localSheetId="34" hidden="1">{"TotalGeralDespesasPorArea",#N/A,FALSE,"VinculosAccessEfetivo"}</definedName>
    <definedName name="kkkkk" localSheetId="39" hidden="1">{"TotalGeralDespesasPorArea",#N/A,FALSE,"VinculosAccessEfetivo"}</definedName>
    <definedName name="kkkkk" localSheetId="8" hidden="1">{"TotalGeralDespesasPorArea",#N/A,FALSE,"VinculosAccessEfetivo"}</definedName>
    <definedName name="kkkkk" localSheetId="12" hidden="1">{"TotalGeralDespesasPorArea",#N/A,FALSE,"VinculosAccessEfetivo"}</definedName>
    <definedName name="kkkkk" localSheetId="13" hidden="1">{"TotalGeralDespesasPorArea",#N/A,FALSE,"VinculosAccessEfetivo"}</definedName>
    <definedName name="kkkkk" localSheetId="11" hidden="1">{"TotalGeralDespesasPorArea",#N/A,FALSE,"VinculosAccessEfetivo"}</definedName>
    <definedName name="kkkkk" localSheetId="31" hidden="1">{"TotalGeralDespesasPorArea",#N/A,FALSE,"VinculosAccessEfetivo"}</definedName>
    <definedName name="kkkkk" hidden="1">{"TotalGeralDespesasPorArea",#N/A,FALSE,"VinculosAccessEfetivo"}</definedName>
    <definedName name="kkkkk_1" localSheetId="15" hidden="1">{"TotalGeralDespesasPorArea",#N/A,FALSE,"VinculosAccessEfetivo"}</definedName>
    <definedName name="kkkkk_1" localSheetId="14" hidden="1">{"TotalGeralDespesasPorArea",#N/A,FALSE,"VinculosAccessEfetivo"}</definedName>
    <definedName name="kkkkk_1" localSheetId="2" hidden="1">{"TotalGeralDespesasPorArea",#N/A,FALSE,"VinculosAccessEfetivo"}</definedName>
    <definedName name="kkkkk_1" localSheetId="34" hidden="1">{"TotalGeralDespesasPorArea",#N/A,FALSE,"VinculosAccessEfetivo"}</definedName>
    <definedName name="kkkkk_1" localSheetId="39" hidden="1">{"TotalGeralDespesasPorArea",#N/A,FALSE,"VinculosAccessEfetivo"}</definedName>
    <definedName name="kkkkk_1" localSheetId="8" hidden="1">{"TotalGeralDespesasPorArea",#N/A,FALSE,"VinculosAccessEfetivo"}</definedName>
    <definedName name="kkkkk_1" localSheetId="12" hidden="1">{"TotalGeralDespesasPorArea",#N/A,FALSE,"VinculosAccessEfetivo"}</definedName>
    <definedName name="kkkkk_1" localSheetId="13" hidden="1">{"TotalGeralDespesasPorArea",#N/A,FALSE,"VinculosAccessEfetivo"}</definedName>
    <definedName name="kkkkk_1" localSheetId="11" hidden="1">{"TotalGeralDespesasPorArea",#N/A,FALSE,"VinculosAccessEfetivo"}</definedName>
    <definedName name="kkkkk_1" localSheetId="31" hidden="1">{"TotalGeralDespesasPorArea",#N/A,FALSE,"VinculosAccessEfetivo"}</definedName>
    <definedName name="kkkkk_1" hidden="1">{"TotalGeralDespesasPorArea",#N/A,FALSE,"VinculosAccessEfetivo"}</definedName>
    <definedName name="kol" localSheetId="15" hidden="1">{"away stand alones",#N/A,FALSE,"Target"}</definedName>
    <definedName name="kol" localSheetId="14" hidden="1">{"away stand alones",#N/A,FALSE,"Target"}</definedName>
    <definedName name="kol" localSheetId="2" hidden="1">{"away stand alones",#N/A,FALSE,"Target"}</definedName>
    <definedName name="kol" localSheetId="34" hidden="1">{"away stand alones",#N/A,FALSE,"Target"}</definedName>
    <definedName name="kol" localSheetId="39" hidden="1">{"away stand alones",#N/A,FALSE,"Target"}</definedName>
    <definedName name="kol" localSheetId="8" hidden="1">{"away stand alones",#N/A,FALSE,"Target"}</definedName>
    <definedName name="kol" localSheetId="12" hidden="1">{"away stand alones",#N/A,FALSE,"Target"}</definedName>
    <definedName name="kol" localSheetId="13" hidden="1">{"away stand alones",#N/A,FALSE,"Target"}</definedName>
    <definedName name="kol" localSheetId="11" hidden="1">{"away stand alones",#N/A,FALSE,"Target"}</definedName>
    <definedName name="kol" localSheetId="31" hidden="1">{"away stand alones",#N/A,FALSE,"Target"}</definedName>
    <definedName name="kol" hidden="1">{"away stand alones",#N/A,FALSE,"Target"}</definedName>
    <definedName name="LANCTO_CUSTEIO" localSheetId="2">#REF!</definedName>
    <definedName name="LANCTO_CUSTEIO">#REF!</definedName>
    <definedName name="LANCTO_KARDEX" localSheetId="2">#REF!</definedName>
    <definedName name="LANCTO_KARDEX">#REF!</definedName>
    <definedName name="LANCTOKARDEX" localSheetId="2">#REF!</definedName>
    <definedName name="LANCTOKARDEX">#REF!</definedName>
    <definedName name="LCIPIOUTR" localSheetId="2">#REF!</definedName>
    <definedName name="LCIPIOUTR">#REF!</definedName>
    <definedName name="LE" localSheetId="2">#REF!</definedName>
    <definedName name="LE">#REF!</definedName>
    <definedName name="li" localSheetId="1" hidden="1">#REF!</definedName>
    <definedName name="li" localSheetId="7" hidden="1">#REF!</definedName>
    <definedName name="li" localSheetId="2" hidden="1">#REF!</definedName>
    <definedName name="li" localSheetId="34" hidden="1">#REF!</definedName>
    <definedName name="li" localSheetId="12" hidden="1">#REF!</definedName>
    <definedName name="li" localSheetId="10" hidden="1">#REF!</definedName>
    <definedName name="li" localSheetId="6" hidden="1">#REF!</definedName>
    <definedName name="li" hidden="1">#REF!</definedName>
    <definedName name="limcount" localSheetId="0" hidden="1">1</definedName>
    <definedName name="limcount" hidden="1">3</definedName>
    <definedName name="LIMVAR" localSheetId="2">#REF!</definedName>
    <definedName name="LIMVAR">#REF!</definedName>
    <definedName name="list2" localSheetId="15" hidden="1">{"'Welcome'!$A$1:$J$27"}</definedName>
    <definedName name="list2" localSheetId="14" hidden="1">{"'Welcome'!$A$1:$J$27"}</definedName>
    <definedName name="list2" localSheetId="2" hidden="1">{"'Welcome'!$A$1:$J$27"}</definedName>
    <definedName name="list2" localSheetId="34" hidden="1">{"'Welcome'!$A$1:$J$27"}</definedName>
    <definedName name="list2" localSheetId="39" hidden="1">{"'Welcome'!$A$1:$J$27"}</definedName>
    <definedName name="list2" localSheetId="8" hidden="1">{"'Welcome'!$A$1:$J$27"}</definedName>
    <definedName name="list2" localSheetId="12" hidden="1">{"'Welcome'!$A$1:$J$27"}</definedName>
    <definedName name="list2" localSheetId="13" hidden="1">{"'Welcome'!$A$1:$J$27"}</definedName>
    <definedName name="list2" localSheetId="31" hidden="1">{"'Welcome'!$A$1:$J$27"}</definedName>
    <definedName name="list2" hidden="1">{"'Welcome'!$A$1:$J$27"}</definedName>
    <definedName name="Lista_Centros">#REF!</definedName>
    <definedName name="ll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AAno" localSheetId="31">INDIRECT("$b$"&amp;#REF!)</definedName>
    <definedName name="LLAAno">INDIRECT("$b$"&amp;#REF!)</definedName>
    <definedName name="LLAno">INDIRECT("$b$"&amp;#REF!)</definedName>
    <definedName name="LLATri">INDIRECT("$b$"&amp;#REF!)</definedName>
    <definedName name="lll" localSheetId="15" hidden="1">{"Fecha_Novembro",#N/A,FALSE,"FECHAMENTO-2002 ";"Defer_Novembro",#N/A,FALSE,"DIFERIDO";"Pis_Novembro",#N/A,FALSE,"PIS COFINS";"Iss_Novembro",#N/A,FALSE,"ISS"}</definedName>
    <definedName name="lll" localSheetId="14" hidden="1">{"Fecha_Novembro",#N/A,FALSE,"FECHAMENTO-2002 ";"Defer_Novembro",#N/A,FALSE,"DIFERIDO";"Pis_Novembro",#N/A,FALSE,"PIS COFINS";"Iss_Novembro",#N/A,FALSE,"ISS"}</definedName>
    <definedName name="lll" localSheetId="2" hidden="1">{"Fecha_Novembro",#N/A,FALSE,"FECHAMENTO-2002 ";"Defer_Novembro",#N/A,FALSE,"DIFERIDO";"Pis_Novembro",#N/A,FALSE,"PIS COFINS";"Iss_Novembro",#N/A,FALSE,"ISS"}</definedName>
    <definedName name="lll" localSheetId="34" hidden="1">{"Fecha_Novembro",#N/A,FALSE,"FECHAMENTO-2002 ";"Defer_Novembro",#N/A,FALSE,"DIFERIDO";"Pis_Novembro",#N/A,FALSE,"PIS COFINS";"Iss_Novembro",#N/A,FALSE,"ISS"}</definedName>
    <definedName name="lll" localSheetId="39" hidden="1">{"Fecha_Novembro",#N/A,FALSE,"FECHAMENTO-2002 ";"Defer_Novembro",#N/A,FALSE,"DIFERIDO";"Pis_Novembro",#N/A,FALSE,"PIS COFINS";"Iss_Novembro",#N/A,FALSE,"ISS"}</definedName>
    <definedName name="lll" localSheetId="8" hidden="1">{"Fecha_Novembro",#N/A,FALSE,"FECHAMENTO-2002 ";"Defer_Novembro",#N/A,FALSE,"DIFERIDO";"Pis_Novembro",#N/A,FALSE,"PIS COFINS";"Iss_Novembro",#N/A,FALSE,"ISS"}</definedName>
    <definedName name="lll" localSheetId="12" hidden="1">{"Fecha_Novembro",#N/A,FALSE,"FECHAMENTO-2002 ";"Defer_Novembro",#N/A,FALSE,"DIFERIDO";"Pis_Novembro",#N/A,FALSE,"PIS COFINS";"Iss_Novembro",#N/A,FALSE,"ISS"}</definedName>
    <definedName name="lll" localSheetId="13" hidden="1">{"Fecha_Novembro",#N/A,FALSE,"FECHAMENTO-2002 ";"Defer_Novembro",#N/A,FALSE,"DIFERIDO";"Pis_Novembro",#N/A,FALSE,"PIS COFINS";"Iss_Novembro",#N/A,FALSE,"ISS"}</definedName>
    <definedName name="lll" localSheetId="11" hidden="1">{"Fecha_Novembro",#N/A,FALSE,"FECHAMENTO-2002 ";"Defer_Novembro",#N/A,FALSE,"DIFERIDO";"Pis_Novembro",#N/A,FALSE,"PIS COFINS";"Iss_Novembro",#N/A,FALSE,"ISS"}</definedName>
    <definedName name="lll" localSheetId="31" hidden="1">{"Fecha_Novembro",#N/A,FALSE,"FECHAMENTO-2002 ";"Defer_Novembro",#N/A,FALSE,"DIFERIDO";"Pis_Novembro",#N/A,FALSE,"PIS COFINS";"Iss_Novembro",#N/A,FALSE,"ISS"}</definedName>
    <definedName name="lll" hidden="1">{"Fecha_Novembro",#N/A,FALSE,"FECHAMENTO-2002 ";"Defer_Novembro",#N/A,FALSE,"DIFERIDO";"Pis_Novembro",#N/A,FALSE,"PIS COFINS";"Iss_Novembro",#N/A,FALSE,"ISS"}</definedName>
    <definedName name="lll_1" localSheetId="15" hidden="1">{"Fecha_Novembro",#N/A,FALSE,"FECHAMENTO-2002 ";"Defer_Novembro",#N/A,FALSE,"DIFERIDO";"Pis_Novembro",#N/A,FALSE,"PIS COFINS";"Iss_Novembro",#N/A,FALSE,"ISS"}</definedName>
    <definedName name="lll_1" localSheetId="14" hidden="1">{"Fecha_Novembro",#N/A,FALSE,"FECHAMENTO-2002 ";"Defer_Novembro",#N/A,FALSE,"DIFERIDO";"Pis_Novembro",#N/A,FALSE,"PIS COFINS";"Iss_Novembro",#N/A,FALSE,"ISS"}</definedName>
    <definedName name="lll_1" localSheetId="2" hidden="1">{"Fecha_Novembro",#N/A,FALSE,"FECHAMENTO-2002 ";"Defer_Novembro",#N/A,FALSE,"DIFERIDO";"Pis_Novembro",#N/A,FALSE,"PIS COFINS";"Iss_Novembro",#N/A,FALSE,"ISS"}</definedName>
    <definedName name="lll_1" localSheetId="34" hidden="1">{"Fecha_Novembro",#N/A,FALSE,"FECHAMENTO-2002 ";"Defer_Novembro",#N/A,FALSE,"DIFERIDO";"Pis_Novembro",#N/A,FALSE,"PIS COFINS";"Iss_Novembro",#N/A,FALSE,"ISS"}</definedName>
    <definedName name="lll_1" localSheetId="39" hidden="1">{"Fecha_Novembro",#N/A,FALSE,"FECHAMENTO-2002 ";"Defer_Novembro",#N/A,FALSE,"DIFERIDO";"Pis_Novembro",#N/A,FALSE,"PIS COFINS";"Iss_Novembro",#N/A,FALSE,"ISS"}</definedName>
    <definedName name="lll_1" localSheetId="8" hidden="1">{"Fecha_Novembro",#N/A,FALSE,"FECHAMENTO-2002 ";"Defer_Novembro",#N/A,FALSE,"DIFERIDO";"Pis_Novembro",#N/A,FALSE,"PIS COFINS";"Iss_Novembro",#N/A,FALSE,"ISS"}</definedName>
    <definedName name="lll_1" localSheetId="12" hidden="1">{"Fecha_Novembro",#N/A,FALSE,"FECHAMENTO-2002 ";"Defer_Novembro",#N/A,FALSE,"DIFERIDO";"Pis_Novembro",#N/A,FALSE,"PIS COFINS";"Iss_Novembro",#N/A,FALSE,"ISS"}</definedName>
    <definedName name="lll_1" localSheetId="13" hidden="1">{"Fecha_Novembro",#N/A,FALSE,"FECHAMENTO-2002 ";"Defer_Novembro",#N/A,FALSE,"DIFERIDO";"Pis_Novembro",#N/A,FALSE,"PIS COFINS";"Iss_Novembro",#N/A,FALSE,"ISS"}</definedName>
    <definedName name="lll_1" localSheetId="11" hidden="1">{"Fecha_Novembro",#N/A,FALSE,"FECHAMENTO-2002 ";"Defer_Novembro",#N/A,FALSE,"DIFERIDO";"Pis_Novembro",#N/A,FALSE,"PIS COFINS";"Iss_Novembro",#N/A,FALSE,"ISS"}</definedName>
    <definedName name="lll_1" localSheetId="31" hidden="1">{"Fecha_Novembro",#N/A,FALSE,"FECHAMENTO-2002 ";"Defer_Novembro",#N/A,FALSE,"DIFERIDO";"Pis_Novembro",#N/A,FALSE,"PIS COFINS";"Iss_Novembro",#N/A,FALSE,"ISS"}</definedName>
    <definedName name="lll_1" hidden="1">{"Fecha_Novembro",#N/A,FALSE,"FECHAMENTO-2002 ";"Defer_Novembro",#N/A,FALSE,"DIFERIDO";"Pis_Novembro",#N/A,FALSE,"PIS COFINS";"Iss_Novembro",#N/A,FALSE,"ISS"}</definedName>
    <definedName name="LLTri" localSheetId="31">INDIRECT("$b$"&amp;#REF!)</definedName>
    <definedName name="LLTri">INDIRECT("$b$"&amp;#REF!)</definedName>
    <definedName name="Localizar">#REF!</definedName>
    <definedName name="lote1" localSheetId="2">#REF!</definedName>
    <definedName name="lote1">#REF!</definedName>
    <definedName name="lote2" localSheetId="2">#REF!</definedName>
    <definedName name="lote2">#REF!</definedName>
    <definedName name="m" localSheetId="15" hidden="1">#REF!</definedName>
    <definedName name="m" localSheetId="14" hidden="1">{"Bradesco 1",#N/A,TRUE,"Bradesco acc_dil";"Bradesco2",#N/A,TRUE,"Bradesco acc_dil";"Bradesco3",#N/A,TRUE,"Bradesco's RWA analysis";"Unibanco1",#N/A,TRUE,"Unibanco acc_dil ";"Unibanco2",#N/A,TRUE,"Unibanco acc_dil ";"Unibanco3",#N/A,TRUE,"Unibanco's RWA analysis"}</definedName>
    <definedName name="m" localSheetId="2" hidden="1">{"Bradesco 1",#N/A,TRUE,"Bradesco acc_dil";"Bradesco2",#N/A,TRUE,"Bradesco acc_dil";"Bradesco3",#N/A,TRUE,"Bradesco's RWA analysis";"Unibanco1",#N/A,TRUE,"Unibanco acc_dil ";"Unibanco2",#N/A,TRUE,"Unibanco acc_dil ";"Unibanco3",#N/A,TRUE,"Unibanco's RWA analysis"}</definedName>
    <definedName name="m" localSheetId="34" hidden="1">{"Bradesco 1",#N/A,TRUE,"Bradesco acc_dil";"Bradesco2",#N/A,TRUE,"Bradesco acc_dil";"Bradesco3",#N/A,TRUE,"Bradesco's RWA analysis";"Unibanco1",#N/A,TRUE,"Unibanco acc_dil ";"Unibanco2",#N/A,TRUE,"Unibanco acc_dil ";"Unibanco3",#N/A,TRUE,"Unibanco's RWA analysis"}</definedName>
    <definedName name="m" localSheetId="39" hidden="1">{"Bradesco 1",#N/A,TRUE,"Bradesco acc_dil";"Bradesco2",#N/A,TRUE,"Bradesco acc_dil";"Bradesco3",#N/A,TRUE,"Bradesco's RWA analysis";"Unibanco1",#N/A,TRUE,"Unibanco acc_dil ";"Unibanco2",#N/A,TRUE,"Unibanco acc_dil ";"Unibanco3",#N/A,TRUE,"Unibanco's RWA analysis"}</definedName>
    <definedName name="m" localSheetId="8" hidden="1">{"Bradesco 1",#N/A,TRUE,"Bradesco acc_dil";"Bradesco2",#N/A,TRUE,"Bradesco acc_dil";"Bradesco3",#N/A,TRUE,"Bradesco's RWA analysis";"Unibanco1",#N/A,TRUE,"Unibanco acc_dil ";"Unibanco2",#N/A,TRUE,"Unibanco acc_dil ";"Unibanco3",#N/A,TRUE,"Unibanco's RWA analysis"}</definedName>
    <definedName name="m" localSheetId="12" hidden="1">{"Bradesco 1",#N/A,TRUE,"Bradesco acc_dil";"Bradesco2",#N/A,TRUE,"Bradesco acc_dil";"Bradesco3",#N/A,TRUE,"Bradesco's RWA analysis";"Unibanco1",#N/A,TRUE,"Unibanco acc_dil ";"Unibanco2",#N/A,TRUE,"Unibanco acc_dil ";"Unibanco3",#N/A,TRUE,"Unibanco's RWA analysis"}</definedName>
    <definedName name="m" localSheetId="13" hidden="1">{"Bradesco 1",#N/A,TRUE,"Bradesco acc_dil";"Bradesco2",#N/A,TRUE,"Bradesco acc_dil";"Bradesco3",#N/A,TRUE,"Bradesco's RWA analysis";"Unibanco1",#N/A,TRUE,"Unibanco acc_dil ";"Unibanco2",#N/A,TRUE,"Unibanco acc_dil ";"Unibanco3",#N/A,TRUE,"Unibanco's RWA analysis"}</definedName>
    <definedName name="m" localSheetId="11" hidden="1">{"Bradesco 1",#N/A,TRUE,"Bradesco acc_dil";"Bradesco2",#N/A,TRUE,"Bradesco acc_dil";"Bradesco3",#N/A,TRUE,"Bradesco's RWA analysis";"Unibanco1",#N/A,TRUE,"Unibanco acc_dil ";"Unibanco2",#N/A,TRUE,"Unibanco acc_dil ";"Unibanco3",#N/A,TRUE,"Unibanco's RWA analysis"}</definedName>
    <definedName name="m" localSheetId="31" hidden="1">{"Bradesco 1",#N/A,TRUE,"Bradesco acc_dil";"Bradesco2",#N/A,TRUE,"Bradesco acc_dil";"Bradesco3",#N/A,TRUE,"Bradesco's RWA analysis";"Unibanco1",#N/A,TRUE,"Unibanco acc_dil ";"Unibanco2",#N/A,TRUE,"Unibanco acc_dil ";"Unibanco3",#N/A,TRUE,"Unibanco's RWA analysis"}</definedName>
    <definedName name="m" hidden="1">{"Bradesco 1",#N/A,TRUE,"Bradesco acc_dil";"Bradesco2",#N/A,TRUE,"Bradesco acc_dil";"Bradesco3",#N/A,TRUE,"Bradesco's RWA analysis";"Unibanco1",#N/A,TRUE,"Unibanco acc_dil ";"Unibanco2",#N/A,TRUE,"Unibanco acc_dil ";"Unibanco3",#N/A,TRUE,"Unibanco's RWA analysis"}</definedName>
    <definedName name="MAIO" localSheetId="2">#REF!</definedName>
    <definedName name="MAIO">#REF!</definedName>
    <definedName name="MARGEM" localSheetId="2">#REF!</definedName>
    <definedName name="MARGEM">#REF!</definedName>
    <definedName name="marzo" localSheetId="15" hidden="1">{#N/A,#N/A,FALSE,"Acum Julio - 00"}</definedName>
    <definedName name="marzo" localSheetId="3" hidden="1">{#N/A,#N/A,FALSE,"Acum Julio - 00"}</definedName>
    <definedName name="marzo" localSheetId="14" hidden="1">{#N/A,#N/A,FALSE,"Acum Julio - 00"}</definedName>
    <definedName name="marzo" localSheetId="2" hidden="1">{#N/A,#N/A,FALSE,"Acum Julio - 00"}</definedName>
    <definedName name="marzo" localSheetId="34" hidden="1">{#N/A,#N/A,FALSE,"Acum Julio - 00"}</definedName>
    <definedName name="marzo" localSheetId="39" hidden="1">{#N/A,#N/A,FALSE,"Acum Julio - 00"}</definedName>
    <definedName name="marzo" localSheetId="8" hidden="1">{#N/A,#N/A,FALSE,"Acum Julio - 00"}</definedName>
    <definedName name="marzo" localSheetId="12" hidden="1">{#N/A,#N/A,FALSE,"Acum Julio - 00"}</definedName>
    <definedName name="marzo" localSheetId="13" hidden="1">{#N/A,#N/A,FALSE,"Acum Julio - 00"}</definedName>
    <definedName name="marzo" localSheetId="11" hidden="1">{#N/A,#N/A,FALSE,"Acum Julio - 00"}</definedName>
    <definedName name="marzo" localSheetId="31" hidden="1">{#N/A,#N/A,FALSE,"Acum Julio - 00"}</definedName>
    <definedName name="marzo" hidden="1">{#N/A,#N/A,FALSE,"Acum Julio - 00"}</definedName>
    <definedName name="marzo1" localSheetId="15" hidden="1">{#N/A,#N/A,FALSE,"Acum Julio - 00"}</definedName>
    <definedName name="marzo1" localSheetId="3" hidden="1">{#N/A,#N/A,FALSE,"Acum Julio - 00"}</definedName>
    <definedName name="marzo1" localSheetId="14" hidden="1">{#N/A,#N/A,FALSE,"Acum Julio - 00"}</definedName>
    <definedName name="marzo1" localSheetId="2" hidden="1">{#N/A,#N/A,FALSE,"Acum Julio - 00"}</definedName>
    <definedName name="marzo1" localSheetId="34" hidden="1">{#N/A,#N/A,FALSE,"Acum Julio - 00"}</definedName>
    <definedName name="marzo1" localSheetId="39" hidden="1">{#N/A,#N/A,FALSE,"Acum Julio - 00"}</definedName>
    <definedName name="marzo1" localSheetId="8" hidden="1">{#N/A,#N/A,FALSE,"Acum Julio - 00"}</definedName>
    <definedName name="marzo1" localSheetId="12" hidden="1">{#N/A,#N/A,FALSE,"Acum Julio - 00"}</definedName>
    <definedName name="marzo1" localSheetId="13" hidden="1">{#N/A,#N/A,FALSE,"Acum Julio - 00"}</definedName>
    <definedName name="marzo1" localSheetId="11" hidden="1">{#N/A,#N/A,FALSE,"Acum Julio - 00"}</definedName>
    <definedName name="marzo1" localSheetId="31" hidden="1">{#N/A,#N/A,FALSE,"Acum Julio - 00"}</definedName>
    <definedName name="marzo1" hidden="1">{#N/A,#N/A,FALSE,"Acum Julio - 00"}</definedName>
    <definedName name="MELADQANT" localSheetId="2">#REF!</definedName>
    <definedName name="MELADQANT">#REF!</definedName>
    <definedName name="MELADQATU" localSheetId="2">#REF!</definedName>
    <definedName name="MELADQATU">#REF!</definedName>
    <definedName name="MELANT" localSheetId="2">#REF!</definedName>
    <definedName name="MELANT">#REF!</definedName>
    <definedName name="MELATU" localSheetId="2">#REF!</definedName>
    <definedName name="MELATU">#REF!</definedName>
    <definedName name="MES">#REF!</definedName>
    <definedName name="Mês" localSheetId="2">#REF!</definedName>
    <definedName name="Mês">#REF!</definedName>
    <definedName name="MESES" localSheetId="2">#REF!</definedName>
    <definedName name="MESES">#REF!</definedName>
    <definedName name="MESREAL">#REF!</definedName>
    <definedName name="mtk" localSheetId="1" hidden="1">{"Fecha_Novembro",#N/A,FALSE,"FECHAMENTO-2002 ";"Defer_Novembro",#N/A,FALSE,"DIFERIDO";"Pis_Novembro",#N/A,FALSE,"PIS COFINS";"Iss_Novembro",#N/A,FALSE,"ISS"}</definedName>
    <definedName name="mtk" localSheetId="2" hidden="1">{"Fecha_Novembro",#N/A,FALSE,"FECHAMENTO-2002 ";"Defer_Novembro",#N/A,FALSE,"DIFERIDO";"Pis_Novembro",#N/A,FALSE,"PIS COFINS";"Iss_Novembro",#N/A,FALSE,"ISS"}</definedName>
    <definedName name="mtk" localSheetId="31" hidden="1">{"Fecha_Novembro",#N/A,FALSE,"FECHAMENTO-2002 ";"Defer_Novembro",#N/A,FALSE,"DIFERIDO";"Pis_Novembro",#N/A,FALSE,"PIS COFINS";"Iss_Novembro",#N/A,FALSE,"ISS"}</definedName>
    <definedName name="mtk" hidden="1">{"Fecha_Novembro",#N/A,FALSE,"FECHAMENTO-2002 ";"Defer_Novembro",#N/A,FALSE,"DIFERIDO";"Pis_Novembro",#N/A,FALSE,"PIS COFINS";"Iss_Novembro",#N/A,FALSE,"ISS"}</definedName>
    <definedName name="NEWWW" localSheetId="15" hidden="1">{"'PXR_6500'!$A$1:$I$124"}</definedName>
    <definedName name="NEWWW" localSheetId="14" hidden="1">{"'PXR_6500'!$A$1:$I$124"}</definedName>
    <definedName name="NEWWW" localSheetId="2" hidden="1">{"'PXR_6500'!$A$1:$I$124"}</definedName>
    <definedName name="NEWWW" localSheetId="34" hidden="1">{"'PXR_6500'!$A$1:$I$124"}</definedName>
    <definedName name="NEWWW" localSheetId="39" hidden="1">{"'PXR_6500'!$A$1:$I$124"}</definedName>
    <definedName name="NEWWW" localSheetId="8" hidden="1">{"'PXR_6500'!$A$1:$I$124"}</definedName>
    <definedName name="NEWWW" localSheetId="12" hidden="1">{"'PXR_6500'!$A$1:$I$124"}</definedName>
    <definedName name="NEWWW" localSheetId="13" hidden="1">{"'PXR_6500'!$A$1:$I$124"}</definedName>
    <definedName name="NEWWW" localSheetId="11" hidden="1">{"'PXR_6500'!$A$1:$I$124"}</definedName>
    <definedName name="NEWWW" localSheetId="31" hidden="1">{"'PXR_6500'!$A$1:$I$124"}</definedName>
    <definedName name="NEWWW" hidden="1">{"'PXR_6500'!$A$1:$I$124"}</definedName>
    <definedName name="noidea" localSheetId="15" hidden="1">{#N/A,#N/A,FALSE,"Calc";#N/A,#N/A,FALSE,"Sensitivity";#N/A,#N/A,FALSE,"LT Earn.Dil.";#N/A,#N/A,FALSE,"Dil. AVP"}</definedName>
    <definedName name="noidea" localSheetId="14" hidden="1">{#N/A,#N/A,FALSE,"Calc";#N/A,#N/A,FALSE,"Sensitivity";#N/A,#N/A,FALSE,"LT Earn.Dil.";#N/A,#N/A,FALSE,"Dil. AVP"}</definedName>
    <definedName name="noidea" localSheetId="2" hidden="1">{#N/A,#N/A,FALSE,"Calc";#N/A,#N/A,FALSE,"Sensitivity";#N/A,#N/A,FALSE,"LT Earn.Dil.";#N/A,#N/A,FALSE,"Dil. AVP"}</definedName>
    <definedName name="noidea" localSheetId="34" hidden="1">{#N/A,#N/A,FALSE,"Calc";#N/A,#N/A,FALSE,"Sensitivity";#N/A,#N/A,FALSE,"LT Earn.Dil.";#N/A,#N/A,FALSE,"Dil. AVP"}</definedName>
    <definedName name="noidea" localSheetId="39" hidden="1">{#N/A,#N/A,FALSE,"Calc";#N/A,#N/A,FALSE,"Sensitivity";#N/A,#N/A,FALSE,"LT Earn.Dil.";#N/A,#N/A,FALSE,"Dil. AVP"}</definedName>
    <definedName name="noidea" localSheetId="8" hidden="1">{#N/A,#N/A,FALSE,"Calc";#N/A,#N/A,FALSE,"Sensitivity";#N/A,#N/A,FALSE,"LT Earn.Dil.";#N/A,#N/A,FALSE,"Dil. AVP"}</definedName>
    <definedName name="noidea" localSheetId="12" hidden="1">{#N/A,#N/A,FALSE,"Calc";#N/A,#N/A,FALSE,"Sensitivity";#N/A,#N/A,FALSE,"LT Earn.Dil.";#N/A,#N/A,FALSE,"Dil. AVP"}</definedName>
    <definedName name="noidea" localSheetId="13" hidden="1">{#N/A,#N/A,FALSE,"Calc";#N/A,#N/A,FALSE,"Sensitivity";#N/A,#N/A,FALSE,"LT Earn.Dil.";#N/A,#N/A,FALSE,"Dil. AVP"}</definedName>
    <definedName name="noidea" localSheetId="11" hidden="1">{#N/A,#N/A,FALSE,"Calc";#N/A,#N/A,FALSE,"Sensitivity";#N/A,#N/A,FALSE,"LT Earn.Dil.";#N/A,#N/A,FALSE,"Dil. AVP"}</definedName>
    <definedName name="noidea" localSheetId="31" hidden="1">{#N/A,#N/A,FALSE,"Calc";#N/A,#N/A,FALSE,"Sensitivity";#N/A,#N/A,FALSE,"LT Earn.Dil.";#N/A,#N/A,FALSE,"Dil. AVP"}</definedName>
    <definedName name="noidea" hidden="1">{#N/A,#N/A,FALSE,"Calc";#N/A,#N/A,FALSE,"Sensitivity";#N/A,#N/A,FALSE,"LT Earn.Dil.";#N/A,#N/A,FALSE,"Dil. AVP"}</definedName>
    <definedName name="NOIDEA2" localSheetId="15" hidden="1">{#N/A,#N/A,FALSE,"Calc";#N/A,#N/A,FALSE,"Sensitivity";#N/A,#N/A,FALSE,"LT Earn.Dil.";#N/A,#N/A,FALSE,"Dil. AVP"}</definedName>
    <definedName name="NOIDEA2" localSheetId="14" hidden="1">{#N/A,#N/A,FALSE,"Calc";#N/A,#N/A,FALSE,"Sensitivity";#N/A,#N/A,FALSE,"LT Earn.Dil.";#N/A,#N/A,FALSE,"Dil. AVP"}</definedName>
    <definedName name="NOIDEA2" localSheetId="2" hidden="1">{#N/A,#N/A,FALSE,"Calc";#N/A,#N/A,FALSE,"Sensitivity";#N/A,#N/A,FALSE,"LT Earn.Dil.";#N/A,#N/A,FALSE,"Dil. AVP"}</definedName>
    <definedName name="NOIDEA2" localSheetId="34" hidden="1">{#N/A,#N/A,FALSE,"Calc";#N/A,#N/A,FALSE,"Sensitivity";#N/A,#N/A,FALSE,"LT Earn.Dil.";#N/A,#N/A,FALSE,"Dil. AVP"}</definedName>
    <definedName name="NOIDEA2" localSheetId="39" hidden="1">{#N/A,#N/A,FALSE,"Calc";#N/A,#N/A,FALSE,"Sensitivity";#N/A,#N/A,FALSE,"LT Earn.Dil.";#N/A,#N/A,FALSE,"Dil. AVP"}</definedName>
    <definedName name="NOIDEA2" localSheetId="8" hidden="1">{#N/A,#N/A,FALSE,"Calc";#N/A,#N/A,FALSE,"Sensitivity";#N/A,#N/A,FALSE,"LT Earn.Dil.";#N/A,#N/A,FALSE,"Dil. AVP"}</definedName>
    <definedName name="NOIDEA2" localSheetId="12" hidden="1">{#N/A,#N/A,FALSE,"Calc";#N/A,#N/A,FALSE,"Sensitivity";#N/A,#N/A,FALSE,"LT Earn.Dil.";#N/A,#N/A,FALSE,"Dil. AVP"}</definedName>
    <definedName name="NOIDEA2" localSheetId="13" hidden="1">{#N/A,#N/A,FALSE,"Calc";#N/A,#N/A,FALSE,"Sensitivity";#N/A,#N/A,FALSE,"LT Earn.Dil.";#N/A,#N/A,FALSE,"Dil. AVP"}</definedName>
    <definedName name="NOIDEA2" localSheetId="11" hidden="1">{#N/A,#N/A,FALSE,"Calc";#N/A,#N/A,FALSE,"Sensitivity";#N/A,#N/A,FALSE,"LT Earn.Dil.";#N/A,#N/A,FALSE,"Dil. AVP"}</definedName>
    <definedName name="NOIDEA2" localSheetId="31" hidden="1">{#N/A,#N/A,FALSE,"Calc";#N/A,#N/A,FALSE,"Sensitivity";#N/A,#N/A,FALSE,"LT Earn.Dil.";#N/A,#N/A,FALSE,"Dil. AVP"}</definedName>
    <definedName name="NOIDEA2" hidden="1">{#N/A,#N/A,FALSE,"Calc";#N/A,#N/A,FALSE,"Sensitivity";#N/A,#N/A,FALSE,"LT Earn.Dil.";#N/A,#N/A,FALSE,"Dil. AVP"}</definedName>
    <definedName name="NOVA">#REF!</definedName>
    <definedName name="novo" localSheetId="2">#REF!</definedName>
    <definedName name="novo">#REF!</definedName>
    <definedName name="NUMREL" localSheetId="2">#REF!</definedName>
    <definedName name="NUMREL">#REF!</definedName>
    <definedName name="oi" localSheetId="15" hidden="1">{"'Welcome'!$A$1:$J$27"}</definedName>
    <definedName name="oi" localSheetId="14" hidden="1">{"'Welcome'!$A$1:$J$27"}</definedName>
    <definedName name="oi" localSheetId="2" hidden="1">{"'Welcome'!$A$1:$J$27"}</definedName>
    <definedName name="oi" localSheetId="34" hidden="1">{"'Welcome'!$A$1:$J$27"}</definedName>
    <definedName name="oi" localSheetId="39" hidden="1">{"'Welcome'!$A$1:$J$27"}</definedName>
    <definedName name="oi" localSheetId="8" hidden="1">{"'Welcome'!$A$1:$J$27"}</definedName>
    <definedName name="oi" localSheetId="12" hidden="1">{"'Welcome'!$A$1:$J$27"}</definedName>
    <definedName name="oi" localSheetId="13" hidden="1">{"'Welcome'!$A$1:$J$27"}</definedName>
    <definedName name="oi" localSheetId="31" hidden="1">{"'Welcome'!$A$1:$J$27"}</definedName>
    <definedName name="oi" hidden="1">{"'Welcome'!$A$1:$J$27"}</definedName>
    <definedName name="ok" localSheetId="15" hidden="1">{#N/A,#N/A,FALSE,"Calc";#N/A,#N/A,FALSE,"Sensitivity";#N/A,#N/A,FALSE,"LT Earn.Dil.";#N/A,#N/A,FALSE,"Dil. AVP"}</definedName>
    <definedName name="ok" localSheetId="14" hidden="1">{#N/A,#N/A,FALSE,"Calc";#N/A,#N/A,FALSE,"Sensitivity";#N/A,#N/A,FALSE,"LT Earn.Dil.";#N/A,#N/A,FALSE,"Dil. AVP"}</definedName>
    <definedName name="ok" localSheetId="2" hidden="1">{#N/A,#N/A,FALSE,"Calc";#N/A,#N/A,FALSE,"Sensitivity";#N/A,#N/A,FALSE,"LT Earn.Dil.";#N/A,#N/A,FALSE,"Dil. AVP"}</definedName>
    <definedName name="ok" localSheetId="34" hidden="1">{#N/A,#N/A,FALSE,"Calc";#N/A,#N/A,FALSE,"Sensitivity";#N/A,#N/A,FALSE,"LT Earn.Dil.";#N/A,#N/A,FALSE,"Dil. AVP"}</definedName>
    <definedName name="ok" localSheetId="39" hidden="1">{#N/A,#N/A,FALSE,"Calc";#N/A,#N/A,FALSE,"Sensitivity";#N/A,#N/A,FALSE,"LT Earn.Dil.";#N/A,#N/A,FALSE,"Dil. AVP"}</definedName>
    <definedName name="ok" localSheetId="8" hidden="1">{#N/A,#N/A,FALSE,"Calc";#N/A,#N/A,FALSE,"Sensitivity";#N/A,#N/A,FALSE,"LT Earn.Dil.";#N/A,#N/A,FALSE,"Dil. AVP"}</definedName>
    <definedName name="ok" localSheetId="12" hidden="1">{#N/A,#N/A,FALSE,"Calc";#N/A,#N/A,FALSE,"Sensitivity";#N/A,#N/A,FALSE,"LT Earn.Dil.";#N/A,#N/A,FALSE,"Dil. AVP"}</definedName>
    <definedName name="ok" localSheetId="13" hidden="1">{#N/A,#N/A,FALSE,"Calc";#N/A,#N/A,FALSE,"Sensitivity";#N/A,#N/A,FALSE,"LT Earn.Dil.";#N/A,#N/A,FALSE,"Dil. AVP"}</definedName>
    <definedName name="ok" localSheetId="11" hidden="1">{#N/A,#N/A,FALSE,"Calc";#N/A,#N/A,FALSE,"Sensitivity";#N/A,#N/A,FALSE,"LT Earn.Dil.";#N/A,#N/A,FALSE,"Dil. AVP"}</definedName>
    <definedName name="ok" localSheetId="31" hidden="1">{#N/A,#N/A,FALSE,"Calc";#N/A,#N/A,FALSE,"Sensitivity";#N/A,#N/A,FALSE,"LT Earn.Dil.";#N/A,#N/A,FALSE,"Dil. AVP"}</definedName>
    <definedName name="ok" hidden="1">{#N/A,#N/A,FALSE,"Calc";#N/A,#N/A,FALSE,"Sensitivity";#N/A,#N/A,FALSE,"LT Earn.Dil.";#N/A,#N/A,FALSE,"Dil. AVP"}</definedName>
    <definedName name="oku" localSheetId="15" hidden="1">{"equity comps",#N/A,FALSE,"CS Comps";"equity comps",#N/A,FALSE,"PS Comps";"equity comps",#N/A,FALSE,"GIC_Comps";"equity comps",#N/A,FALSE,"GIC2_Comps";"debt comps",#N/A,FALSE,"CS Comps";"debt comps",#N/A,FALSE,"PS Comps";"debt comps",#N/A,FALSE,"GIC_Comps";"debt comps",#N/A,FALSE,"GIC2_Comps"}</definedName>
    <definedName name="oku" localSheetId="14" hidden="1">{"equity comps",#N/A,FALSE,"CS Comps";"equity comps",#N/A,FALSE,"PS Comps";"equity comps",#N/A,FALSE,"GIC_Comps";"equity comps",#N/A,FALSE,"GIC2_Comps";"debt comps",#N/A,FALSE,"CS Comps";"debt comps",#N/A,FALSE,"PS Comps";"debt comps",#N/A,FALSE,"GIC_Comps";"debt comps",#N/A,FALSE,"GIC2_Comps"}</definedName>
    <definedName name="oku" localSheetId="2" hidden="1">{"equity comps",#N/A,FALSE,"CS Comps";"equity comps",#N/A,FALSE,"PS Comps";"equity comps",#N/A,FALSE,"GIC_Comps";"equity comps",#N/A,FALSE,"GIC2_Comps";"debt comps",#N/A,FALSE,"CS Comps";"debt comps",#N/A,FALSE,"PS Comps";"debt comps",#N/A,FALSE,"GIC_Comps";"debt comps",#N/A,FALSE,"GIC2_Comps"}</definedName>
    <definedName name="oku" localSheetId="34" hidden="1">{"equity comps",#N/A,FALSE,"CS Comps";"equity comps",#N/A,FALSE,"PS Comps";"equity comps",#N/A,FALSE,"GIC_Comps";"equity comps",#N/A,FALSE,"GIC2_Comps";"debt comps",#N/A,FALSE,"CS Comps";"debt comps",#N/A,FALSE,"PS Comps";"debt comps",#N/A,FALSE,"GIC_Comps";"debt comps",#N/A,FALSE,"GIC2_Comps"}</definedName>
    <definedName name="oku" localSheetId="39" hidden="1">{"equity comps",#N/A,FALSE,"CS Comps";"equity comps",#N/A,FALSE,"PS Comps";"equity comps",#N/A,FALSE,"GIC_Comps";"equity comps",#N/A,FALSE,"GIC2_Comps";"debt comps",#N/A,FALSE,"CS Comps";"debt comps",#N/A,FALSE,"PS Comps";"debt comps",#N/A,FALSE,"GIC_Comps";"debt comps",#N/A,FALSE,"GIC2_Comps"}</definedName>
    <definedName name="oku" localSheetId="8" hidden="1">{"equity comps",#N/A,FALSE,"CS Comps";"equity comps",#N/A,FALSE,"PS Comps";"equity comps",#N/A,FALSE,"GIC_Comps";"equity comps",#N/A,FALSE,"GIC2_Comps";"debt comps",#N/A,FALSE,"CS Comps";"debt comps",#N/A,FALSE,"PS Comps";"debt comps",#N/A,FALSE,"GIC_Comps";"debt comps",#N/A,FALSE,"GIC2_Comps"}</definedName>
    <definedName name="oku" localSheetId="12" hidden="1">{"equity comps",#N/A,FALSE,"CS Comps";"equity comps",#N/A,FALSE,"PS Comps";"equity comps",#N/A,FALSE,"GIC_Comps";"equity comps",#N/A,FALSE,"GIC2_Comps";"debt comps",#N/A,FALSE,"CS Comps";"debt comps",#N/A,FALSE,"PS Comps";"debt comps",#N/A,FALSE,"GIC_Comps";"debt comps",#N/A,FALSE,"GIC2_Comps"}</definedName>
    <definedName name="oku" localSheetId="13" hidden="1">{"equity comps",#N/A,FALSE,"CS Comps";"equity comps",#N/A,FALSE,"PS Comps";"equity comps",#N/A,FALSE,"GIC_Comps";"equity comps",#N/A,FALSE,"GIC2_Comps";"debt comps",#N/A,FALSE,"CS Comps";"debt comps",#N/A,FALSE,"PS Comps";"debt comps",#N/A,FALSE,"GIC_Comps";"debt comps",#N/A,FALSE,"GIC2_Comps"}</definedName>
    <definedName name="oku" localSheetId="11" hidden="1">{"equity comps",#N/A,FALSE,"CS Comps";"equity comps",#N/A,FALSE,"PS Comps";"equity comps",#N/A,FALSE,"GIC_Comps";"equity comps",#N/A,FALSE,"GIC2_Comps";"debt comps",#N/A,FALSE,"CS Comps";"debt comps",#N/A,FALSE,"PS Comps";"debt comps",#N/A,FALSE,"GIC_Comps";"debt comps",#N/A,FALSE,"GIC2_Comps"}</definedName>
    <definedName name="oku" localSheetId="31" hidden="1">{"equity comps",#N/A,FALSE,"CS Comps";"equity comps",#N/A,FALSE,"PS Comps";"equity comps",#N/A,FALSE,"GIC_Comps";"equity comps",#N/A,FALSE,"GIC2_Comps";"debt comps",#N/A,FALSE,"CS Comps";"debt comps",#N/A,FALSE,"PS Comps";"debt comps",#N/A,FALSE,"GIC_Comps";"debt comps",#N/A,FALSE,"GIC2_Comps"}</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psMin">MIN(#REF!)</definedName>
    <definedName name="OUTRO" localSheetId="15" hidden="1">{"'PXR_6500'!$A$1:$I$124"}</definedName>
    <definedName name="OUTRO" localSheetId="14" hidden="1">{"'PXR_6500'!$A$1:$I$124"}</definedName>
    <definedName name="OUTRO" localSheetId="2" hidden="1">{"'PXR_6500'!$A$1:$I$124"}</definedName>
    <definedName name="OUTRO" localSheetId="34" hidden="1">{"'PXR_6500'!$A$1:$I$124"}</definedName>
    <definedName name="OUTRO" localSheetId="39" hidden="1">{"'PXR_6500'!$A$1:$I$124"}</definedName>
    <definedName name="OUTRO" localSheetId="8" hidden="1">{"'PXR_6500'!$A$1:$I$124"}</definedName>
    <definedName name="OUTRO" localSheetId="12" hidden="1">{"'PXR_6500'!$A$1:$I$124"}</definedName>
    <definedName name="OUTRO" localSheetId="13" hidden="1">{"'PXR_6500'!$A$1:$I$124"}</definedName>
    <definedName name="OUTRO" localSheetId="11" hidden="1">{"'PXR_6500'!$A$1:$I$124"}</definedName>
    <definedName name="OUTRO" localSheetId="31" hidden="1">{"'PXR_6500'!$A$1:$I$124"}</definedName>
    <definedName name="OUTRO" hidden="1">{"'PXR_6500'!$A$1:$I$124"}</definedName>
    <definedName name="Outros" localSheetId="2">#REF!</definedName>
    <definedName name="Outros">#REF!</definedName>
    <definedName name="P" localSheetId="0" hidden="1">{"assumptions and inputs",#N/A,FALSE,"valuation";"intermediate calculations",#N/A,FALSE,"valuation";"dollar conversion",#N/A,FALSE,"valuation";"analysis at various prices",#N/A,FALSE,"valuation"}</definedName>
    <definedName name="pagos">#REF!</definedName>
    <definedName name="Passivo">#REF!</definedName>
    <definedName name="Password" localSheetId="2">#REF!</definedName>
    <definedName name="Password">#REF!</definedName>
    <definedName name="PDC" localSheetId="1" hidden="1">#REF!</definedName>
    <definedName name="PDC" localSheetId="15" hidden="1">#REF!</definedName>
    <definedName name="PDC" localSheetId="7" hidden="1">#REF!</definedName>
    <definedName name="PDC" localSheetId="14" hidden="1">#REF!</definedName>
    <definedName name="PDC" localSheetId="2" hidden="1">#REF!</definedName>
    <definedName name="PDC" localSheetId="34" hidden="1">#REF!</definedName>
    <definedName name="PDC" localSheetId="39" hidden="1">#REF!</definedName>
    <definedName name="PDC" localSheetId="12" hidden="1">#REF!</definedName>
    <definedName name="PDC" localSheetId="10" hidden="1">#REF!</definedName>
    <definedName name="PDC" localSheetId="6" hidden="1">#REF!</definedName>
    <definedName name="PDC" hidden="1">#REF!</definedName>
    <definedName name="pdd" localSheetId="2">#REF!</definedName>
    <definedName name="pdd">#REF!</definedName>
    <definedName name="pdddez" localSheetId="2">#REF!</definedName>
    <definedName name="pdddez">#REF!</definedName>
    <definedName name="pddjunho" localSheetId="2">#REF!</definedName>
    <definedName name="pddjunho">#REF!</definedName>
    <definedName name="peneirado" localSheetId="2">#REF!</definedName>
    <definedName name="peneirado">#REF!</definedName>
    <definedName name="Período" localSheetId="2">#REF!</definedName>
    <definedName name="Período">#REF!</definedName>
    <definedName name="Piasf" localSheetId="2">#REF!</definedName>
    <definedName name="Piasf">#REF!</definedName>
    <definedName name="pinco" localSheetId="1" hidden="1">#REF!</definedName>
    <definedName name="pinco" localSheetId="15" hidden="1">#REF!</definedName>
    <definedName name="pinco" localSheetId="7" hidden="1">#REF!</definedName>
    <definedName name="pinco" localSheetId="2" hidden="1">#REF!</definedName>
    <definedName name="pinco" localSheetId="34" hidden="1">#REF!</definedName>
    <definedName name="pinco" localSheetId="12" hidden="1">#REF!</definedName>
    <definedName name="pinco" localSheetId="10" hidden="1">#REF!</definedName>
    <definedName name="pinco" localSheetId="6" hidden="1">#REF!</definedName>
    <definedName name="pinco" hidden="1">#REF!</definedName>
    <definedName name="pippo" localSheetId="1" hidden="1">#REF!</definedName>
    <definedName name="pippo" localSheetId="7" hidden="1">#REF!</definedName>
    <definedName name="pippo" localSheetId="2" hidden="1">#REF!</definedName>
    <definedName name="pippo" localSheetId="34" hidden="1">#REF!</definedName>
    <definedName name="pippo" localSheetId="12" hidden="1">#REF!</definedName>
    <definedName name="pippo" localSheetId="10" hidden="1">#REF!</definedName>
    <definedName name="pippo" localSheetId="6" hidden="1">#REF!</definedName>
    <definedName name="pippo" hidden="1">#REF!</definedName>
    <definedName name="PIS">#REF!</definedName>
    <definedName name="po" localSheetId="15" hidden="1">{#N/A,#N/A,FALSE,"Calc";#N/A,#N/A,FALSE,"Sensitivity";#N/A,#N/A,FALSE,"LT Earn.Dil.";#N/A,#N/A,FALSE,"Dil. AVP"}</definedName>
    <definedName name="po" localSheetId="14" hidden="1">{#N/A,#N/A,FALSE,"Calc";#N/A,#N/A,FALSE,"Sensitivity";#N/A,#N/A,FALSE,"LT Earn.Dil.";#N/A,#N/A,FALSE,"Dil. AVP"}</definedName>
    <definedName name="po" localSheetId="2" hidden="1">{#N/A,#N/A,FALSE,"Calc";#N/A,#N/A,FALSE,"Sensitivity";#N/A,#N/A,FALSE,"LT Earn.Dil.";#N/A,#N/A,FALSE,"Dil. AVP"}</definedName>
    <definedName name="po" localSheetId="34" hidden="1">{#N/A,#N/A,FALSE,"Calc";#N/A,#N/A,FALSE,"Sensitivity";#N/A,#N/A,FALSE,"LT Earn.Dil.";#N/A,#N/A,FALSE,"Dil. AVP"}</definedName>
    <definedName name="po" localSheetId="39" hidden="1">{#N/A,#N/A,FALSE,"Calc";#N/A,#N/A,FALSE,"Sensitivity";#N/A,#N/A,FALSE,"LT Earn.Dil.";#N/A,#N/A,FALSE,"Dil. AVP"}</definedName>
    <definedName name="po" localSheetId="8" hidden="1">{#N/A,#N/A,FALSE,"Calc";#N/A,#N/A,FALSE,"Sensitivity";#N/A,#N/A,FALSE,"LT Earn.Dil.";#N/A,#N/A,FALSE,"Dil. AVP"}</definedName>
    <definedName name="po" localSheetId="12" hidden="1">{#N/A,#N/A,FALSE,"Calc";#N/A,#N/A,FALSE,"Sensitivity";#N/A,#N/A,FALSE,"LT Earn.Dil.";#N/A,#N/A,FALSE,"Dil. AVP"}</definedName>
    <definedName name="po" localSheetId="13" hidden="1">{#N/A,#N/A,FALSE,"Calc";#N/A,#N/A,FALSE,"Sensitivity";#N/A,#N/A,FALSE,"LT Earn.Dil.";#N/A,#N/A,FALSE,"Dil. AVP"}</definedName>
    <definedName name="po" localSheetId="11" hidden="1">{#N/A,#N/A,FALSE,"Calc";#N/A,#N/A,FALSE,"Sensitivity";#N/A,#N/A,FALSE,"LT Earn.Dil.";#N/A,#N/A,FALSE,"Dil. AVP"}</definedName>
    <definedName name="po" localSheetId="31" hidden="1">{#N/A,#N/A,FALSE,"Calc";#N/A,#N/A,FALSE,"Sensitivity";#N/A,#N/A,FALSE,"LT Earn.Dil.";#N/A,#N/A,FALSE,"Dil. AVP"}</definedName>
    <definedName name="po" hidden="1">{#N/A,#N/A,FALSE,"Calc";#N/A,#N/A,FALSE,"Sensitivity";#N/A,#N/A,FALSE,"LT Earn.Dil.";#N/A,#N/A,FALSE,"Dil. AVP"}</definedName>
    <definedName name="poi" localSheetId="15" hidden="1">{"assumption 50 50",#N/A,TRUE,"Merger";"has gets cash",#N/A,TRUE,"Merger";"accretion dilution",#N/A,TRUE,"Merger";"comparison credit stats",#N/A,TRUE,"Merger";"pf credit stats",#N/A,TRUE,"Merger";"pf sheets",#N/A,TRUE,"Merger"}</definedName>
    <definedName name="poi" localSheetId="14" hidden="1">{"assumption 50 50",#N/A,TRUE,"Merger";"has gets cash",#N/A,TRUE,"Merger";"accretion dilution",#N/A,TRUE,"Merger";"comparison credit stats",#N/A,TRUE,"Merger";"pf credit stats",#N/A,TRUE,"Merger";"pf sheets",#N/A,TRUE,"Merger"}</definedName>
    <definedName name="poi" localSheetId="2" hidden="1">{"assumption 50 50",#N/A,TRUE,"Merger";"has gets cash",#N/A,TRUE,"Merger";"accretion dilution",#N/A,TRUE,"Merger";"comparison credit stats",#N/A,TRUE,"Merger";"pf credit stats",#N/A,TRUE,"Merger";"pf sheets",#N/A,TRUE,"Merger"}</definedName>
    <definedName name="poi" localSheetId="34" hidden="1">{"assumption 50 50",#N/A,TRUE,"Merger";"has gets cash",#N/A,TRUE,"Merger";"accretion dilution",#N/A,TRUE,"Merger";"comparison credit stats",#N/A,TRUE,"Merger";"pf credit stats",#N/A,TRUE,"Merger";"pf sheets",#N/A,TRUE,"Merger"}</definedName>
    <definedName name="poi" localSheetId="39" hidden="1">{"assumption 50 50",#N/A,TRUE,"Merger";"has gets cash",#N/A,TRUE,"Merger";"accretion dilution",#N/A,TRUE,"Merger";"comparison credit stats",#N/A,TRUE,"Merger";"pf credit stats",#N/A,TRUE,"Merger";"pf sheets",#N/A,TRUE,"Merger"}</definedName>
    <definedName name="poi" localSheetId="8" hidden="1">{"assumption 50 50",#N/A,TRUE,"Merger";"has gets cash",#N/A,TRUE,"Merger";"accretion dilution",#N/A,TRUE,"Merger";"comparison credit stats",#N/A,TRUE,"Merger";"pf credit stats",#N/A,TRUE,"Merger";"pf sheets",#N/A,TRUE,"Merger"}</definedName>
    <definedName name="poi" localSheetId="12" hidden="1">{"assumption 50 50",#N/A,TRUE,"Merger";"has gets cash",#N/A,TRUE,"Merger";"accretion dilution",#N/A,TRUE,"Merger";"comparison credit stats",#N/A,TRUE,"Merger";"pf credit stats",#N/A,TRUE,"Merger";"pf sheets",#N/A,TRUE,"Merger"}</definedName>
    <definedName name="poi" localSheetId="13" hidden="1">{"assumption 50 50",#N/A,TRUE,"Merger";"has gets cash",#N/A,TRUE,"Merger";"accretion dilution",#N/A,TRUE,"Merger";"comparison credit stats",#N/A,TRUE,"Merger";"pf credit stats",#N/A,TRUE,"Merger";"pf sheets",#N/A,TRUE,"Merger"}</definedName>
    <definedName name="poi" localSheetId="11" hidden="1">{"assumption 50 50",#N/A,TRUE,"Merger";"has gets cash",#N/A,TRUE,"Merger";"accretion dilution",#N/A,TRUE,"Merger";"comparison credit stats",#N/A,TRUE,"Merger";"pf credit stats",#N/A,TRUE,"Merger";"pf sheets",#N/A,TRUE,"Merger"}</definedName>
    <definedName name="poi" localSheetId="31" hidden="1">{"assumption 50 50",#N/A,TRUE,"Merger";"has gets cash",#N/A,TRUE,"Merger";"accretion dilution",#N/A,TRUE,"Merger";"comparison credit stats",#N/A,TRUE,"Merger";"pf credit stats",#N/A,TRUE,"Merger";"pf sheets",#N/A,TRUE,"Merger"}</definedName>
    <definedName name="poi" hidden="1">{"assumption 50 50",#N/A,TRUE,"Merger";"has gets cash",#N/A,TRUE,"Merger";"accretion dilution",#N/A,TRUE,"Merger";"comparison credit stats",#N/A,TRUE,"Merger";"pf credit stats",#N/A,TRUE,"Merger";"pf sheets",#N/A,TRUE,"Merger"}</definedName>
    <definedName name="pppp"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9"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9"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REMISSA" localSheetId="2">#REF!</definedName>
    <definedName name="PREMISSA">#REF!</definedName>
    <definedName name="Premissas" localSheetId="15" hidden="1">{"summary1",#N/A,TRUE,"Comps";"summary2",#N/A,TRUE,"Comps";"summary3",#N/A,TRUE,"Comps"}</definedName>
    <definedName name="Premissas" localSheetId="14" hidden="1">{"summary1",#N/A,TRUE,"Comps";"summary2",#N/A,TRUE,"Comps";"summary3",#N/A,TRUE,"Comps"}</definedName>
    <definedName name="Premissas" localSheetId="2" hidden="1">{"summary1",#N/A,TRUE,"Comps";"summary2",#N/A,TRUE,"Comps";"summary3",#N/A,TRUE,"Comps"}</definedName>
    <definedName name="Premissas" localSheetId="34" hidden="1">{"summary1",#N/A,TRUE,"Comps";"summary2",#N/A,TRUE,"Comps";"summary3",#N/A,TRUE,"Comps"}</definedName>
    <definedName name="Premissas" localSheetId="39" hidden="1">{"summary1",#N/A,TRUE,"Comps";"summary2",#N/A,TRUE,"Comps";"summary3",#N/A,TRUE,"Comps"}</definedName>
    <definedName name="Premissas" localSheetId="8" hidden="1">{"summary1",#N/A,TRUE,"Comps";"summary2",#N/A,TRUE,"Comps";"summary3",#N/A,TRUE,"Comps"}</definedName>
    <definedName name="Premissas" localSheetId="12" hidden="1">{"summary1",#N/A,TRUE,"Comps";"summary2",#N/A,TRUE,"Comps";"summary3",#N/A,TRUE,"Comps"}</definedName>
    <definedName name="Premissas" localSheetId="13" hidden="1">{"summary1",#N/A,TRUE,"Comps";"summary2",#N/A,TRUE,"Comps";"summary3",#N/A,TRUE,"Comps"}</definedName>
    <definedName name="Premissas" localSheetId="11" hidden="1">{"summary1",#N/A,TRUE,"Comps";"summary2",#N/A,TRUE,"Comps";"summary3",#N/A,TRUE,"Comps"}</definedName>
    <definedName name="Premissas" localSheetId="31" hidden="1">{"summary1",#N/A,TRUE,"Comps";"summary2",#N/A,TRUE,"Comps";"summary3",#N/A,TRUE,"Comps"}</definedName>
    <definedName name="Premissas" hidden="1">{"summary1",#N/A,TRUE,"Comps";"summary2",#N/A,TRUE,"Comps";"summary3",#N/A,TRUE,"Comps"}</definedName>
    <definedName name="PREV1" localSheetId="2">#REF!</definedName>
    <definedName name="PREV1">#REF!</definedName>
    <definedName name="PREV2" localSheetId="2">#REF!</definedName>
    <definedName name="PREV2">#REF!</definedName>
    <definedName name="Processar_2001" localSheetId="2">#REF!</definedName>
    <definedName name="Processar_2001">#REF!</definedName>
    <definedName name="PROD" localSheetId="2">#REF!</definedName>
    <definedName name="PROD">#REF!</definedName>
    <definedName name="prout" localSheetId="15" hidden="1">{"comp1",#N/A,FALSE,"COMPS";"footnotes",#N/A,FALSE,"COMPS"}</definedName>
    <definedName name="prout" localSheetId="14" hidden="1">{"comp1",#N/A,FALSE,"COMPS";"footnotes",#N/A,FALSE,"COMPS"}</definedName>
    <definedName name="prout" localSheetId="2" hidden="1">{"comp1",#N/A,FALSE,"COMPS";"footnotes",#N/A,FALSE,"COMPS"}</definedName>
    <definedName name="prout" localSheetId="34" hidden="1">{"comp1",#N/A,FALSE,"COMPS";"footnotes",#N/A,FALSE,"COMPS"}</definedName>
    <definedName name="prout" localSheetId="39" hidden="1">{"comp1",#N/A,FALSE,"COMPS";"footnotes",#N/A,FALSE,"COMPS"}</definedName>
    <definedName name="prout" localSheetId="8" hidden="1">{"comp1",#N/A,FALSE,"COMPS";"footnotes",#N/A,FALSE,"COMPS"}</definedName>
    <definedName name="prout" localSheetId="12" hidden="1">{"comp1",#N/A,FALSE,"COMPS";"footnotes",#N/A,FALSE,"COMPS"}</definedName>
    <definedName name="prout" localSheetId="13" hidden="1">{"comp1",#N/A,FALSE,"COMPS";"footnotes",#N/A,FALSE,"COMPS"}</definedName>
    <definedName name="prout" localSheetId="11" hidden="1">{"comp1",#N/A,FALSE,"COMPS";"footnotes",#N/A,FALSE,"COMPS"}</definedName>
    <definedName name="prout" localSheetId="31" hidden="1">{"comp1",#N/A,FALSE,"COMPS";"footnotes",#N/A,FALSE,"COMPS"}</definedName>
    <definedName name="prout" hidden="1">{"comp1",#N/A,FALSE,"COMPS";"footnotes",#N/A,FALSE,"COMPS"}</definedName>
    <definedName name="prsMin" localSheetId="2">MIN(#REF!)</definedName>
    <definedName name="prsMin">MIN(#REF!)</definedName>
    <definedName name="q_1" localSheetId="15" hidden="1">{"Fecha_Setembro",#N/A,FALSE,"FECHAMENTO-2002 ";"Defer_Setembro",#N/A,FALSE,"DIFERIDO";"Pis_Setembro",#N/A,FALSE,"PIS COFINS";"Iss_Setembro",#N/A,FALSE,"ISS"}</definedName>
    <definedName name="q_1" localSheetId="14" hidden="1">{"Fecha_Setembro",#N/A,FALSE,"FECHAMENTO-2002 ";"Defer_Setembro",#N/A,FALSE,"DIFERIDO";"Pis_Setembro",#N/A,FALSE,"PIS COFINS";"Iss_Setembro",#N/A,FALSE,"ISS"}</definedName>
    <definedName name="q_1" localSheetId="2" hidden="1">{"Fecha_Setembro",#N/A,FALSE,"FECHAMENTO-2002 ";"Defer_Setembro",#N/A,FALSE,"DIFERIDO";"Pis_Setembro",#N/A,FALSE,"PIS COFINS";"Iss_Setembro",#N/A,FALSE,"ISS"}</definedName>
    <definedName name="q_1" localSheetId="34" hidden="1">{"Fecha_Setembro",#N/A,FALSE,"FECHAMENTO-2002 ";"Defer_Setembro",#N/A,FALSE,"DIFERIDO";"Pis_Setembro",#N/A,FALSE,"PIS COFINS";"Iss_Setembro",#N/A,FALSE,"ISS"}</definedName>
    <definedName name="q_1" localSheetId="39" hidden="1">{"Fecha_Setembro",#N/A,FALSE,"FECHAMENTO-2002 ";"Defer_Setembro",#N/A,FALSE,"DIFERIDO";"Pis_Setembro",#N/A,FALSE,"PIS COFINS";"Iss_Setembro",#N/A,FALSE,"ISS"}</definedName>
    <definedName name="q_1" localSheetId="8" hidden="1">{"Fecha_Setembro",#N/A,FALSE,"FECHAMENTO-2002 ";"Defer_Setembro",#N/A,FALSE,"DIFERIDO";"Pis_Setembro",#N/A,FALSE,"PIS COFINS";"Iss_Setembro",#N/A,FALSE,"ISS"}</definedName>
    <definedName name="q_1" localSheetId="12" hidden="1">{"Fecha_Setembro",#N/A,FALSE,"FECHAMENTO-2002 ";"Defer_Setembro",#N/A,FALSE,"DIFERIDO";"Pis_Setembro",#N/A,FALSE,"PIS COFINS";"Iss_Setembro",#N/A,FALSE,"ISS"}</definedName>
    <definedName name="q_1" localSheetId="13" hidden="1">{"Fecha_Setembro",#N/A,FALSE,"FECHAMENTO-2002 ";"Defer_Setembro",#N/A,FALSE,"DIFERIDO";"Pis_Setembro",#N/A,FALSE,"PIS COFINS";"Iss_Setembro",#N/A,FALSE,"ISS"}</definedName>
    <definedName name="q_1" localSheetId="11" hidden="1">{"Fecha_Setembro",#N/A,FALSE,"FECHAMENTO-2002 ";"Defer_Setembro",#N/A,FALSE,"DIFERIDO";"Pis_Setembro",#N/A,FALSE,"PIS COFINS";"Iss_Setembro",#N/A,FALSE,"ISS"}</definedName>
    <definedName name="q_1" localSheetId="31" hidden="1">{"Fecha_Setembro",#N/A,FALSE,"FECHAMENTO-2002 ";"Defer_Setembro",#N/A,FALSE,"DIFERIDO";"Pis_Setembro",#N/A,FALSE,"PIS COFINS";"Iss_Setembro",#N/A,FALSE,"ISS"}</definedName>
    <definedName name="q_1" hidden="1">{"Fecha_Setembro",#N/A,FALSE,"FECHAMENTO-2002 ";"Defer_Setembro",#N/A,FALSE,"DIFERIDO";"Pis_Setembro",#N/A,FALSE,"PIS COFINS";"Iss_Setembro",#N/A,FALSE,"ISS"}</definedName>
    <definedName name="QQQQ"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9"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atios_2" localSheetId="15" hidden="1">{"'TG'!$A$1:$L$37"}</definedName>
    <definedName name="Ratios_2" localSheetId="14" hidden="1">{"'TG'!$A$1:$L$37"}</definedName>
    <definedName name="Ratios_2" localSheetId="2" hidden="1">{"'TG'!$A$1:$L$37"}</definedName>
    <definedName name="Ratios_2" localSheetId="34" hidden="1">{"'TG'!$A$1:$L$37"}</definedName>
    <definedName name="Ratios_2" localSheetId="39" hidden="1">{"'TG'!$A$1:$L$37"}</definedName>
    <definedName name="Ratios_2" localSheetId="8" hidden="1">{"'TG'!$A$1:$L$37"}</definedName>
    <definedName name="Ratios_2" localSheetId="12" hidden="1">{"'TG'!$A$1:$L$37"}</definedName>
    <definedName name="Ratios_2" localSheetId="13" hidden="1">{"'TG'!$A$1:$L$37"}</definedName>
    <definedName name="Ratios_2" localSheetId="11" hidden="1">{"'TG'!$A$1:$L$37"}</definedName>
    <definedName name="Ratios_2" localSheetId="31" hidden="1">{"'TG'!$A$1:$L$37"}</definedName>
    <definedName name="Ratios_2" hidden="1">{"'TG'!$A$1:$L$37"}</definedName>
    <definedName name="re" localSheetId="15" hidden="1">{"assumptions and inputs",#N/A,FALSE,"valuation";"intermediate calculations",#N/A,FALSE,"valuation";"dollar conversion",#N/A,FALSE,"valuation";"analysis at various prices",#N/A,FALSE,"valuation"}</definedName>
    <definedName name="re" localSheetId="14" hidden="1">{"assumptions and inputs",#N/A,FALSE,"valuation";"intermediate calculations",#N/A,FALSE,"valuation";"dollar conversion",#N/A,FALSE,"valuation";"analysis at various prices",#N/A,FALSE,"valuation"}</definedName>
    <definedName name="re" localSheetId="2" hidden="1">{"assumptions and inputs",#N/A,FALSE,"valuation";"intermediate calculations",#N/A,FALSE,"valuation";"dollar conversion",#N/A,FALSE,"valuation";"analysis at various prices",#N/A,FALSE,"valuation"}</definedName>
    <definedName name="re" localSheetId="34" hidden="1">{"assumptions and inputs",#N/A,FALSE,"valuation";"intermediate calculations",#N/A,FALSE,"valuation";"dollar conversion",#N/A,FALSE,"valuation";"analysis at various prices",#N/A,FALSE,"valuation"}</definedName>
    <definedName name="re" localSheetId="39" hidden="1">{"assumptions and inputs",#N/A,FALSE,"valuation";"intermediate calculations",#N/A,FALSE,"valuation";"dollar conversion",#N/A,FALSE,"valuation";"analysis at various prices",#N/A,FALSE,"valuation"}</definedName>
    <definedName name="re" localSheetId="8" hidden="1">{"assumptions and inputs",#N/A,FALSE,"valuation";"intermediate calculations",#N/A,FALSE,"valuation";"dollar conversion",#N/A,FALSE,"valuation";"analysis at various prices",#N/A,FALSE,"valuation"}</definedName>
    <definedName name="re" localSheetId="12" hidden="1">{"assumptions and inputs",#N/A,FALSE,"valuation";"intermediate calculations",#N/A,FALSE,"valuation";"dollar conversion",#N/A,FALSE,"valuation";"analysis at various prices",#N/A,FALSE,"valuation"}</definedName>
    <definedName name="re" localSheetId="13" hidden="1">{"assumptions and inputs",#N/A,FALSE,"valuation";"intermediate calculations",#N/A,FALSE,"valuation";"dollar conversion",#N/A,FALSE,"valuation";"analysis at various prices",#N/A,FALSE,"valuation"}</definedName>
    <definedName name="re" localSheetId="11" hidden="1">{"assumptions and inputs",#N/A,FALSE,"valuation";"intermediate calculations",#N/A,FALSE,"valuation";"dollar conversion",#N/A,FALSE,"valuation";"analysis at various prices",#N/A,FALSE,"valuation"}</definedName>
    <definedName name="re" localSheetId="31" hidden="1">{"assumptions and inputs",#N/A,FALSE,"valuation";"intermediate calculations",#N/A,FALSE,"valuation";"dollar conversion",#N/A,FALSE,"valuation";"analysis at various prices",#N/A,FALSE,"valuation"}</definedName>
    <definedName name="re" hidden="1">{"assumptions and inputs",#N/A,FALSE,"valuation";"intermediate calculations",#N/A,FALSE,"valuation";"dollar conversion",#N/A,FALSE,"valuation";"analysis at various prices",#N/A,FALSE,"valuation"}</definedName>
    <definedName name="REL_AD" localSheetId="2">#REF!</definedName>
    <definedName name="REL_AD">#REF!</definedName>
    <definedName name="REL_PAR" localSheetId="2">#REF!</definedName>
    <definedName name="REL_PAR">#REF!</definedName>
    <definedName name="Remanescente" localSheetId="2">#REF!</definedName>
    <definedName name="Remanescente">#REF!</definedName>
    <definedName name="renata"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SULTADO1" localSheetId="2">#REF!</definedName>
    <definedName name="RESULTADO1">#REF!</definedName>
    <definedName name="RESULTADO2" localSheetId="2">#REF!</definedName>
    <definedName name="RESULTADO2">#REF!</definedName>
    <definedName name="Roger" hidden="1">"                                                                                                                                                                                                                                                            38"</definedName>
    <definedName name="ROLAno">INDIRECT("$b$"&amp;#REF!)</definedName>
    <definedName name="ROLAUTOAno">INDIRECT("$b$"&amp;#REF!)</definedName>
    <definedName name="ROLAUTOTri">INDIRECT("$b$"&amp;#REF!)</definedName>
    <definedName name="ROLLITri">INDIRECT("$b$"&amp;#REF!)</definedName>
    <definedName name="ROLTri">INDIRECT("$b$"&amp;#REF!)</definedName>
    <definedName name="RRRR"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9"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ty" localSheetId="15" hidden="1">{#N/A,#N/A,TRUE,"Pro Forma";#N/A,#N/A,TRUE,"PF_Bal";#N/A,#N/A,TRUE,"PF_INC";#N/A,#N/A,TRUE,"CBE";#N/A,#N/A,TRUE,"SWK"}</definedName>
    <definedName name="rty" localSheetId="14" hidden="1">{#N/A,#N/A,TRUE,"Pro Forma";#N/A,#N/A,TRUE,"PF_Bal";#N/A,#N/A,TRUE,"PF_INC";#N/A,#N/A,TRUE,"CBE";#N/A,#N/A,TRUE,"SWK"}</definedName>
    <definedName name="rty" localSheetId="2" hidden="1">{#N/A,#N/A,TRUE,"Pro Forma";#N/A,#N/A,TRUE,"PF_Bal";#N/A,#N/A,TRUE,"PF_INC";#N/A,#N/A,TRUE,"CBE";#N/A,#N/A,TRUE,"SWK"}</definedName>
    <definedName name="rty" localSheetId="34" hidden="1">{#N/A,#N/A,TRUE,"Pro Forma";#N/A,#N/A,TRUE,"PF_Bal";#N/A,#N/A,TRUE,"PF_INC";#N/A,#N/A,TRUE,"CBE";#N/A,#N/A,TRUE,"SWK"}</definedName>
    <definedName name="rty" localSheetId="39" hidden="1">{#N/A,#N/A,TRUE,"Pro Forma";#N/A,#N/A,TRUE,"PF_Bal";#N/A,#N/A,TRUE,"PF_INC";#N/A,#N/A,TRUE,"CBE";#N/A,#N/A,TRUE,"SWK"}</definedName>
    <definedName name="rty" localSheetId="8" hidden="1">{#N/A,#N/A,TRUE,"Pro Forma";#N/A,#N/A,TRUE,"PF_Bal";#N/A,#N/A,TRUE,"PF_INC";#N/A,#N/A,TRUE,"CBE";#N/A,#N/A,TRUE,"SWK"}</definedName>
    <definedName name="rty" localSheetId="12" hidden="1">{#N/A,#N/A,TRUE,"Pro Forma";#N/A,#N/A,TRUE,"PF_Bal";#N/A,#N/A,TRUE,"PF_INC";#N/A,#N/A,TRUE,"CBE";#N/A,#N/A,TRUE,"SWK"}</definedName>
    <definedName name="rty" localSheetId="13" hidden="1">{#N/A,#N/A,TRUE,"Pro Forma";#N/A,#N/A,TRUE,"PF_Bal";#N/A,#N/A,TRUE,"PF_INC";#N/A,#N/A,TRUE,"CBE";#N/A,#N/A,TRUE,"SWK"}</definedName>
    <definedName name="rty" localSheetId="11" hidden="1">{#N/A,#N/A,TRUE,"Pro Forma";#N/A,#N/A,TRUE,"PF_Bal";#N/A,#N/A,TRUE,"PF_INC";#N/A,#N/A,TRUE,"CBE";#N/A,#N/A,TRUE,"SWK"}</definedName>
    <definedName name="rty" localSheetId="31" hidden="1">{#N/A,#N/A,TRUE,"Pro Forma";#N/A,#N/A,TRUE,"PF_Bal";#N/A,#N/A,TRUE,"PF_INC";#N/A,#N/A,TRUE,"CBE";#N/A,#N/A,TRUE,"SWK"}</definedName>
    <definedName name="rty" hidden="1">{#N/A,#N/A,TRUE,"Pro Forma";#N/A,#N/A,TRUE,"PF_Bal";#N/A,#N/A,TRUE,"PF_INC";#N/A,#N/A,TRUE,"CBE";#N/A,#N/A,TRUE,"SWK"}</definedName>
    <definedName name="SAFRA" localSheetId="2">#REF!</definedName>
    <definedName name="SAFRA">#REF!</definedName>
    <definedName name="SaldoAtivo">#REF!</definedName>
    <definedName name="SaldoPassivo">#REF!</definedName>
    <definedName name="SAPBEXhrIndnt" hidden="1">"Wide"</definedName>
    <definedName name="SAPBEXrevision" hidden="1">14</definedName>
    <definedName name="SAPBEXsysID" hidden="1">"BIP"</definedName>
    <definedName name="SAPBEXwbID" hidden="1">"3SO04G3IWYENSZLK6QOKKYLB2"</definedName>
    <definedName name="SAPsysID" hidden="1">"708C5W7SBKP804JT78WJ0JNKI"</definedName>
    <definedName name="SAPwbID" hidden="1">"ARS"</definedName>
    <definedName name="sdf" localSheetId="15" hidden="1">{#N/A,#N/A,FALSE,"Calc";#N/A,#N/A,FALSE,"Sensitivity";#N/A,#N/A,FALSE,"LT Earn.Dil.";#N/A,#N/A,FALSE,"Dil. AVP"}</definedName>
    <definedName name="sdf" localSheetId="14" hidden="1">{#N/A,#N/A,FALSE,"Calc";#N/A,#N/A,FALSE,"Sensitivity";#N/A,#N/A,FALSE,"LT Earn.Dil.";#N/A,#N/A,FALSE,"Dil. AVP"}</definedName>
    <definedName name="sdf" localSheetId="2" hidden="1">{#N/A,#N/A,FALSE,"Calc";#N/A,#N/A,FALSE,"Sensitivity";#N/A,#N/A,FALSE,"LT Earn.Dil.";#N/A,#N/A,FALSE,"Dil. AVP"}</definedName>
    <definedName name="sdf" localSheetId="34" hidden="1">{#N/A,#N/A,FALSE,"Calc";#N/A,#N/A,FALSE,"Sensitivity";#N/A,#N/A,FALSE,"LT Earn.Dil.";#N/A,#N/A,FALSE,"Dil. AVP"}</definedName>
    <definedName name="sdf" localSheetId="39" hidden="1">{#N/A,#N/A,FALSE,"Calc";#N/A,#N/A,FALSE,"Sensitivity";#N/A,#N/A,FALSE,"LT Earn.Dil.";#N/A,#N/A,FALSE,"Dil. AVP"}</definedName>
    <definedName name="sdf" localSheetId="8" hidden="1">{#N/A,#N/A,FALSE,"Calc";#N/A,#N/A,FALSE,"Sensitivity";#N/A,#N/A,FALSE,"LT Earn.Dil.";#N/A,#N/A,FALSE,"Dil. AVP"}</definedName>
    <definedName name="sdf" localSheetId="12" hidden="1">{#N/A,#N/A,FALSE,"Calc";#N/A,#N/A,FALSE,"Sensitivity";#N/A,#N/A,FALSE,"LT Earn.Dil.";#N/A,#N/A,FALSE,"Dil. AVP"}</definedName>
    <definedName name="sdf" localSheetId="13" hidden="1">{#N/A,#N/A,FALSE,"Calc";#N/A,#N/A,FALSE,"Sensitivity";#N/A,#N/A,FALSE,"LT Earn.Dil.";#N/A,#N/A,FALSE,"Dil. AVP"}</definedName>
    <definedName name="sdf" localSheetId="11" hidden="1">{#N/A,#N/A,FALSE,"Calc";#N/A,#N/A,FALSE,"Sensitivity";#N/A,#N/A,FALSE,"LT Earn.Dil.";#N/A,#N/A,FALSE,"Dil. AVP"}</definedName>
    <definedName name="sdf" localSheetId="31" hidden="1">{#N/A,#N/A,FALSE,"Calc";#N/A,#N/A,FALSE,"Sensitivity";#N/A,#N/A,FALSE,"LT Earn.Dil.";#N/A,#N/A,FALSE,"Dil. AVP"}</definedName>
    <definedName name="sdf" hidden="1">{#N/A,#N/A,FALSE,"Calc";#N/A,#N/A,FALSE,"Sensitivity";#N/A,#N/A,FALSE,"LT Earn.Dil.";#N/A,#N/A,FALSE,"Dil. AVP"}</definedName>
    <definedName name="sdgdfghfhgfjhgfjhjjjg" localSheetId="15" hidden="1">{"general",#N/A,FALSE,"Assumptions"}</definedName>
    <definedName name="sdgdfghfhgfjhgfjhjjjg" localSheetId="14" hidden="1">{"general",#N/A,FALSE,"Assumptions"}</definedName>
    <definedName name="sdgdfghfhgfjhgfjhjjjg" localSheetId="2" hidden="1">{"general",#N/A,FALSE,"Assumptions"}</definedName>
    <definedName name="sdgdfghfhgfjhgfjhjjjg" localSheetId="34" hidden="1">{"general",#N/A,FALSE,"Assumptions"}</definedName>
    <definedName name="sdgdfghfhgfjhgfjhjjjg" localSheetId="39" hidden="1">{"general",#N/A,FALSE,"Assumptions"}</definedName>
    <definedName name="sdgdfghfhgfjhgfjhjjjg" localSheetId="8" hidden="1">{"general",#N/A,FALSE,"Assumptions"}</definedName>
    <definedName name="sdgdfghfhgfjhgfjhjjjg" localSheetId="12" hidden="1">{"general",#N/A,FALSE,"Assumptions"}</definedName>
    <definedName name="sdgdfghfhgfjhgfjhjjjg" localSheetId="13" hidden="1">{"general",#N/A,FALSE,"Assumptions"}</definedName>
    <definedName name="sdgdfghfhgfjhgfjhjjjg" localSheetId="11" hidden="1">{"general",#N/A,FALSE,"Assumptions"}</definedName>
    <definedName name="sdgdfghfhgfjhgfjhjjjg" localSheetId="31" hidden="1">{"general",#N/A,FALSE,"Assumptions"}</definedName>
    <definedName name="sdgdfghfhgfjhgfjhjjjg" hidden="1">{"general",#N/A,FALSE,"Assumptions"}</definedName>
    <definedName name="SDXSSDXSDX" localSheetId="15" hidden="1">{"Fecha_Outubro",#N/A,FALSE,"FECHAMENTO-2002 ";"Defer_Outubro",#N/A,FALSE,"DIFERIDO";"Pis_Outubro",#N/A,FALSE,"PIS COFINS";"Iss_Outubro",#N/A,FALSE,"ISS"}</definedName>
    <definedName name="SDXSSDXSDX" localSheetId="14" hidden="1">{"Fecha_Outubro",#N/A,FALSE,"FECHAMENTO-2002 ";"Defer_Outubro",#N/A,FALSE,"DIFERIDO";"Pis_Outubro",#N/A,FALSE,"PIS COFINS";"Iss_Outubro",#N/A,FALSE,"ISS"}</definedName>
    <definedName name="SDXSSDXSDX" localSheetId="2" hidden="1">{"Fecha_Outubro",#N/A,FALSE,"FECHAMENTO-2002 ";"Defer_Outubro",#N/A,FALSE,"DIFERIDO";"Pis_Outubro",#N/A,FALSE,"PIS COFINS";"Iss_Outubro",#N/A,FALSE,"ISS"}</definedName>
    <definedName name="SDXSSDXSDX" localSheetId="34" hidden="1">{"Fecha_Outubro",#N/A,FALSE,"FECHAMENTO-2002 ";"Defer_Outubro",#N/A,FALSE,"DIFERIDO";"Pis_Outubro",#N/A,FALSE,"PIS COFINS";"Iss_Outubro",#N/A,FALSE,"ISS"}</definedName>
    <definedName name="SDXSSDXSDX" localSheetId="39" hidden="1">{"Fecha_Outubro",#N/A,FALSE,"FECHAMENTO-2002 ";"Defer_Outubro",#N/A,FALSE,"DIFERIDO";"Pis_Outubro",#N/A,FALSE,"PIS COFINS";"Iss_Outubro",#N/A,FALSE,"ISS"}</definedName>
    <definedName name="SDXSSDXSDX" localSheetId="8" hidden="1">{"Fecha_Outubro",#N/A,FALSE,"FECHAMENTO-2002 ";"Defer_Outubro",#N/A,FALSE,"DIFERIDO";"Pis_Outubro",#N/A,FALSE,"PIS COFINS";"Iss_Outubro",#N/A,FALSE,"ISS"}</definedName>
    <definedName name="SDXSSDXSDX" localSheetId="12" hidden="1">{"Fecha_Outubro",#N/A,FALSE,"FECHAMENTO-2002 ";"Defer_Outubro",#N/A,FALSE,"DIFERIDO";"Pis_Outubro",#N/A,FALSE,"PIS COFINS";"Iss_Outubro",#N/A,FALSE,"ISS"}</definedName>
    <definedName name="SDXSSDXSDX" localSheetId="13" hidden="1">{"Fecha_Outubro",#N/A,FALSE,"FECHAMENTO-2002 ";"Defer_Outubro",#N/A,FALSE,"DIFERIDO";"Pis_Outubro",#N/A,FALSE,"PIS COFINS";"Iss_Outubro",#N/A,FALSE,"ISS"}</definedName>
    <definedName name="SDXSSDXSDX" localSheetId="11" hidden="1">{"Fecha_Outubro",#N/A,FALSE,"FECHAMENTO-2002 ";"Defer_Outubro",#N/A,FALSE,"DIFERIDO";"Pis_Outubro",#N/A,FALSE,"PIS COFINS";"Iss_Outubro",#N/A,FALSE,"ISS"}</definedName>
    <definedName name="SDXSSDXSDX" localSheetId="31" hidden="1">{"Fecha_Outubro",#N/A,FALSE,"FECHAMENTO-2002 ";"Defer_Outubro",#N/A,FALSE,"DIFERIDO";"Pis_Outubro",#N/A,FALSE,"PIS COFINS";"Iss_Outubro",#N/A,FALSE,"ISS"}</definedName>
    <definedName name="SDXSSDXSDX" hidden="1">{"Fecha_Outubro",#N/A,FALSE,"FECHAMENTO-2002 ";"Defer_Outubro",#N/A,FALSE,"DIFERIDO";"Pis_Outubro",#N/A,FALSE,"PIS COFINS";"Iss_Outubro",#N/A,FALSE,"ISS"}</definedName>
    <definedName name="se" localSheetId="15" hidden="1">{"consolidated",#N/A,FALSE,"Sheet1";"cms",#N/A,FALSE,"Sheet1";"fse",#N/A,FALSE,"Sheet1"}</definedName>
    <definedName name="se" localSheetId="14" hidden="1">{"consolidated",#N/A,FALSE,"Sheet1";"cms",#N/A,FALSE,"Sheet1";"fse",#N/A,FALSE,"Sheet1"}</definedName>
    <definedName name="se" localSheetId="2" hidden="1">{"consolidated",#N/A,FALSE,"Sheet1";"cms",#N/A,FALSE,"Sheet1";"fse",#N/A,FALSE,"Sheet1"}</definedName>
    <definedName name="se" localSheetId="34" hidden="1">{"consolidated",#N/A,FALSE,"Sheet1";"cms",#N/A,FALSE,"Sheet1";"fse",#N/A,FALSE,"Sheet1"}</definedName>
    <definedName name="se" localSheetId="39" hidden="1">{"consolidated",#N/A,FALSE,"Sheet1";"cms",#N/A,FALSE,"Sheet1";"fse",#N/A,FALSE,"Sheet1"}</definedName>
    <definedName name="se" localSheetId="8" hidden="1">{"consolidated",#N/A,FALSE,"Sheet1";"cms",#N/A,FALSE,"Sheet1";"fse",#N/A,FALSE,"Sheet1"}</definedName>
    <definedName name="se" localSheetId="12" hidden="1">{"consolidated",#N/A,FALSE,"Sheet1";"cms",#N/A,FALSE,"Sheet1";"fse",#N/A,FALSE,"Sheet1"}</definedName>
    <definedName name="se" localSheetId="13" hidden="1">{"consolidated",#N/A,FALSE,"Sheet1";"cms",#N/A,FALSE,"Sheet1";"fse",#N/A,FALSE,"Sheet1"}</definedName>
    <definedName name="se" localSheetId="11" hidden="1">{"consolidated",#N/A,FALSE,"Sheet1";"cms",#N/A,FALSE,"Sheet1";"fse",#N/A,FALSE,"Sheet1"}</definedName>
    <definedName name="se" localSheetId="31" hidden="1">{"consolidated",#N/A,FALSE,"Sheet1";"cms",#N/A,FALSE,"Sheet1";"fse",#N/A,FALSE,"Sheet1"}</definedName>
    <definedName name="se" hidden="1">{"consolidated",#N/A,FALSE,"Sheet1";"cms",#N/A,FALSE,"Sheet1";"fse",#N/A,FALSE,"Sheet1"}</definedName>
    <definedName name="sencount" hidden="1">1</definedName>
    <definedName name="Serviços" localSheetId="2">#REF!</definedName>
    <definedName name="Serviços">#REF!</definedName>
    <definedName name="solver_adj" localSheetId="1" hidden="1">#REF!,#REF!</definedName>
    <definedName name="solver_adj" localSheetId="15" hidden="1">#REF!,#REF!</definedName>
    <definedName name="solver_adj" localSheetId="7" hidden="1">#REF!,#REF!</definedName>
    <definedName name="solver_adj" localSheetId="14" hidden="1">#REF!,#REF!</definedName>
    <definedName name="solver_adj" localSheetId="2" hidden="1">#REF!,#REF!</definedName>
    <definedName name="solver_adj" localSheetId="34" hidden="1">#REF!,#REF!</definedName>
    <definedName name="solver_adj" localSheetId="39" hidden="1">#REF!,#REF!</definedName>
    <definedName name="solver_adj" localSheetId="12" hidden="1">#REF!,#REF!</definedName>
    <definedName name="solver_adj" localSheetId="10" hidden="1">#REF!,#REF!</definedName>
    <definedName name="solver_adj" localSheetId="11" hidden="1">#REF!,#REF!</definedName>
    <definedName name="solver_adj" localSheetId="6" hidden="1">#REF!,#REF!</definedName>
    <definedName name="solver_adj" hidden="1">#REF!,#REF!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localSheetId="1" hidden="1">#REF!</definedName>
    <definedName name="solver_opt" localSheetId="15" hidden="1">#REF!</definedName>
    <definedName name="solver_opt" localSheetId="7" hidden="1">#REF!</definedName>
    <definedName name="solver_opt" localSheetId="14" hidden="1">#REF!</definedName>
    <definedName name="solver_opt" localSheetId="2" hidden="1">#REF!</definedName>
    <definedName name="solver_opt" localSheetId="34" hidden="1">#REF!</definedName>
    <definedName name="solver_opt" localSheetId="39" hidden="1">#REF!</definedName>
    <definedName name="solver_opt" localSheetId="12" hidden="1">#REF!</definedName>
    <definedName name="solver_opt" localSheetId="10" hidden="1">#REF!</definedName>
    <definedName name="solver_opt" localSheetId="11" hidden="1">#REF!</definedName>
    <definedName name="solver_opt" localSheetId="6"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s_1" localSheetId="15" hidden="1">{"Fecha_Setembro",#N/A,FALSE,"FECHAMENTO-2002 ";"Defer_Setembro",#N/A,FALSE,"DIFERIDO";"Pis_Setembro",#N/A,FALSE,"PIS COFINS";"Iss_Setembro",#N/A,FALSE,"ISS"}</definedName>
    <definedName name="ss_1" localSheetId="14" hidden="1">{"Fecha_Setembro",#N/A,FALSE,"FECHAMENTO-2002 ";"Defer_Setembro",#N/A,FALSE,"DIFERIDO";"Pis_Setembro",#N/A,FALSE,"PIS COFINS";"Iss_Setembro",#N/A,FALSE,"ISS"}</definedName>
    <definedName name="ss_1" localSheetId="2" hidden="1">{"Fecha_Setembro",#N/A,FALSE,"FECHAMENTO-2002 ";"Defer_Setembro",#N/A,FALSE,"DIFERIDO";"Pis_Setembro",#N/A,FALSE,"PIS COFINS";"Iss_Setembro",#N/A,FALSE,"ISS"}</definedName>
    <definedName name="ss_1" localSheetId="34" hidden="1">{"Fecha_Setembro",#N/A,FALSE,"FECHAMENTO-2002 ";"Defer_Setembro",#N/A,FALSE,"DIFERIDO";"Pis_Setembro",#N/A,FALSE,"PIS COFINS";"Iss_Setembro",#N/A,FALSE,"ISS"}</definedName>
    <definedName name="ss_1" localSheetId="39" hidden="1">{"Fecha_Setembro",#N/A,FALSE,"FECHAMENTO-2002 ";"Defer_Setembro",#N/A,FALSE,"DIFERIDO";"Pis_Setembro",#N/A,FALSE,"PIS COFINS";"Iss_Setembro",#N/A,FALSE,"ISS"}</definedName>
    <definedName name="ss_1" localSheetId="8" hidden="1">{"Fecha_Setembro",#N/A,FALSE,"FECHAMENTO-2002 ";"Defer_Setembro",#N/A,FALSE,"DIFERIDO";"Pis_Setembro",#N/A,FALSE,"PIS COFINS";"Iss_Setembro",#N/A,FALSE,"ISS"}</definedName>
    <definedName name="ss_1" localSheetId="12" hidden="1">{"Fecha_Setembro",#N/A,FALSE,"FECHAMENTO-2002 ";"Defer_Setembro",#N/A,FALSE,"DIFERIDO";"Pis_Setembro",#N/A,FALSE,"PIS COFINS";"Iss_Setembro",#N/A,FALSE,"ISS"}</definedName>
    <definedName name="ss_1" localSheetId="13" hidden="1">{"Fecha_Setembro",#N/A,FALSE,"FECHAMENTO-2002 ";"Defer_Setembro",#N/A,FALSE,"DIFERIDO";"Pis_Setembro",#N/A,FALSE,"PIS COFINS";"Iss_Setembro",#N/A,FALSE,"ISS"}</definedName>
    <definedName name="ss_1" localSheetId="11" hidden="1">{"Fecha_Setembro",#N/A,FALSE,"FECHAMENTO-2002 ";"Defer_Setembro",#N/A,FALSE,"DIFERIDO";"Pis_Setembro",#N/A,FALSE,"PIS COFINS";"Iss_Setembro",#N/A,FALSE,"ISS"}</definedName>
    <definedName name="ss_1" localSheetId="31" hidden="1">{"Fecha_Setembro",#N/A,FALSE,"FECHAMENTO-2002 ";"Defer_Setembro",#N/A,FALSE,"DIFERIDO";"Pis_Setembro",#N/A,FALSE,"PIS COFINS";"Iss_Setembro",#N/A,FALSE,"ISS"}</definedName>
    <definedName name="ss_1" hidden="1">{"Fecha_Setembro",#N/A,FALSE,"FECHAMENTO-2002 ";"Defer_Setembro",#N/A,FALSE,"DIFERIDO";"Pis_Setembro",#N/A,FALSE,"PIS COFINS";"Iss_Setembro",#N/A,FALSE,"ISS"}</definedName>
    <definedName name="sss" localSheetId="15" hidden="1">{#N/A,#N/A,FALSE,"HONORÁRIOS"}</definedName>
    <definedName name="sss" localSheetId="14" hidden="1">{#N/A,#N/A,FALSE,"HONORÁRIOS"}</definedName>
    <definedName name="sss" localSheetId="2" hidden="1">{#N/A,#N/A,FALSE,"HONORÁRIOS"}</definedName>
    <definedName name="sss" localSheetId="34" hidden="1">{#N/A,#N/A,FALSE,"HONORÁRIOS"}</definedName>
    <definedName name="sss" localSheetId="39" hidden="1">{#N/A,#N/A,FALSE,"HONORÁRIOS"}</definedName>
    <definedName name="sss" localSheetId="8" hidden="1">{#N/A,#N/A,FALSE,"HONORÁRIOS"}</definedName>
    <definedName name="sss" localSheetId="12" hidden="1">{#N/A,#N/A,FALSE,"HONORÁRIOS"}</definedName>
    <definedName name="sss" localSheetId="13" hidden="1">{#N/A,#N/A,FALSE,"HONORÁRIOS"}</definedName>
    <definedName name="sss" localSheetId="11" hidden="1">{#N/A,#N/A,FALSE,"HONORÁRIOS"}</definedName>
    <definedName name="sss" localSheetId="31" hidden="1">{#N/A,#N/A,FALSE,"HONORÁRIOS"}</definedName>
    <definedName name="sss" hidden="1">{#N/A,#N/A,FALSE,"HONORÁRIOS"}</definedName>
    <definedName name="sss_1" localSheetId="15" hidden="1">{#N/A,#N/A,FALSE,"HONORÁRIOS"}</definedName>
    <definedName name="sss_1" localSheetId="14" hidden="1">{#N/A,#N/A,FALSE,"HONORÁRIOS"}</definedName>
    <definedName name="sss_1" localSheetId="2" hidden="1">{#N/A,#N/A,FALSE,"HONORÁRIOS"}</definedName>
    <definedName name="sss_1" localSheetId="34" hidden="1">{#N/A,#N/A,FALSE,"HONORÁRIOS"}</definedName>
    <definedName name="sss_1" localSheetId="39" hidden="1">{#N/A,#N/A,FALSE,"HONORÁRIOS"}</definedName>
    <definedName name="sss_1" localSheetId="8" hidden="1">{#N/A,#N/A,FALSE,"HONORÁRIOS"}</definedName>
    <definedName name="sss_1" localSheetId="12" hidden="1">{#N/A,#N/A,FALSE,"HONORÁRIOS"}</definedName>
    <definedName name="sss_1" localSheetId="13" hidden="1">{#N/A,#N/A,FALSE,"HONORÁRIOS"}</definedName>
    <definedName name="sss_1" localSheetId="11" hidden="1">{#N/A,#N/A,FALSE,"HONORÁRIOS"}</definedName>
    <definedName name="sss_1" localSheetId="31" hidden="1">{#N/A,#N/A,FALSE,"HONORÁRIOS"}</definedName>
    <definedName name="sss_1" hidden="1">{#N/A,#N/A,FALSE,"HONORÁRIOS"}</definedName>
    <definedName name="ssss" localSheetId="15" hidden="1">{"Fecha_Dezembro",#N/A,FALSE,"FECHAMENTO-2002 ";"Defer_Dezermbro",#N/A,FALSE,"DIFERIDO";"Pis_Dezembro",#N/A,FALSE,"PIS COFINS";"Iss_Dezembro",#N/A,FALSE,"ISS"}</definedName>
    <definedName name="ssss" localSheetId="14" hidden="1">{"Fecha_Dezembro",#N/A,FALSE,"FECHAMENTO-2002 ";"Defer_Dezermbro",#N/A,FALSE,"DIFERIDO";"Pis_Dezembro",#N/A,FALSE,"PIS COFINS";"Iss_Dezembro",#N/A,FALSE,"ISS"}</definedName>
    <definedName name="ssss" localSheetId="2" hidden="1">{"Fecha_Dezembro",#N/A,FALSE,"FECHAMENTO-2002 ";"Defer_Dezermbro",#N/A,FALSE,"DIFERIDO";"Pis_Dezembro",#N/A,FALSE,"PIS COFINS";"Iss_Dezembro",#N/A,FALSE,"ISS"}</definedName>
    <definedName name="ssss" localSheetId="34" hidden="1">{"Fecha_Dezembro",#N/A,FALSE,"FECHAMENTO-2002 ";"Defer_Dezermbro",#N/A,FALSE,"DIFERIDO";"Pis_Dezembro",#N/A,FALSE,"PIS COFINS";"Iss_Dezembro",#N/A,FALSE,"ISS"}</definedName>
    <definedName name="ssss" localSheetId="39" hidden="1">{"Fecha_Dezembro",#N/A,FALSE,"FECHAMENTO-2002 ";"Defer_Dezermbro",#N/A,FALSE,"DIFERIDO";"Pis_Dezembro",#N/A,FALSE,"PIS COFINS";"Iss_Dezembro",#N/A,FALSE,"ISS"}</definedName>
    <definedName name="ssss" localSheetId="8" hidden="1">{"Fecha_Dezembro",#N/A,FALSE,"FECHAMENTO-2002 ";"Defer_Dezermbro",#N/A,FALSE,"DIFERIDO";"Pis_Dezembro",#N/A,FALSE,"PIS COFINS";"Iss_Dezembro",#N/A,FALSE,"ISS"}</definedName>
    <definedName name="ssss" localSheetId="12" hidden="1">{"Fecha_Dezembro",#N/A,FALSE,"FECHAMENTO-2002 ";"Defer_Dezermbro",#N/A,FALSE,"DIFERIDO";"Pis_Dezembro",#N/A,FALSE,"PIS COFINS";"Iss_Dezembro",#N/A,FALSE,"ISS"}</definedName>
    <definedName name="ssss" localSheetId="13" hidden="1">{"Fecha_Dezembro",#N/A,FALSE,"FECHAMENTO-2002 ";"Defer_Dezermbro",#N/A,FALSE,"DIFERIDO";"Pis_Dezembro",#N/A,FALSE,"PIS COFINS";"Iss_Dezembro",#N/A,FALSE,"ISS"}</definedName>
    <definedName name="ssss" localSheetId="11" hidden="1">{"Fecha_Dezembro",#N/A,FALSE,"FECHAMENTO-2002 ";"Defer_Dezermbro",#N/A,FALSE,"DIFERIDO";"Pis_Dezembro",#N/A,FALSE,"PIS COFINS";"Iss_Dezembro",#N/A,FALSE,"ISS"}</definedName>
    <definedName name="ssss" localSheetId="31" hidden="1">{"Fecha_Dezembro",#N/A,FALSE,"FECHAMENTO-2002 ";"Defer_Dezermbro",#N/A,FALSE,"DIFERIDO";"Pis_Dezembro",#N/A,FALSE,"PIS COFINS";"Iss_Dezembro",#N/A,FALSE,"ISS"}</definedName>
    <definedName name="ssss" hidden="1">{"Fecha_Dezembro",#N/A,FALSE,"FECHAMENTO-2002 ";"Defer_Dezermbro",#N/A,FALSE,"DIFERIDO";"Pis_Dezembro",#N/A,FALSE,"PIS COFINS";"Iss_Dezembro",#N/A,FALSE,"ISS"}</definedName>
    <definedName name="ssss_1" localSheetId="15" hidden="1">{"Fecha_Dezembro",#N/A,FALSE,"FECHAMENTO-2002 ";"Defer_Dezermbro",#N/A,FALSE,"DIFERIDO";"Pis_Dezembro",#N/A,FALSE,"PIS COFINS";"Iss_Dezembro",#N/A,FALSE,"ISS"}</definedName>
    <definedName name="ssss_1" localSheetId="14" hidden="1">{"Fecha_Dezembro",#N/A,FALSE,"FECHAMENTO-2002 ";"Defer_Dezermbro",#N/A,FALSE,"DIFERIDO";"Pis_Dezembro",#N/A,FALSE,"PIS COFINS";"Iss_Dezembro",#N/A,FALSE,"ISS"}</definedName>
    <definedName name="ssss_1" localSheetId="2" hidden="1">{"Fecha_Dezembro",#N/A,FALSE,"FECHAMENTO-2002 ";"Defer_Dezermbro",#N/A,FALSE,"DIFERIDO";"Pis_Dezembro",#N/A,FALSE,"PIS COFINS";"Iss_Dezembro",#N/A,FALSE,"ISS"}</definedName>
    <definedName name="ssss_1" localSheetId="34" hidden="1">{"Fecha_Dezembro",#N/A,FALSE,"FECHAMENTO-2002 ";"Defer_Dezermbro",#N/A,FALSE,"DIFERIDO";"Pis_Dezembro",#N/A,FALSE,"PIS COFINS";"Iss_Dezembro",#N/A,FALSE,"ISS"}</definedName>
    <definedName name="ssss_1" localSheetId="39" hidden="1">{"Fecha_Dezembro",#N/A,FALSE,"FECHAMENTO-2002 ";"Defer_Dezermbro",#N/A,FALSE,"DIFERIDO";"Pis_Dezembro",#N/A,FALSE,"PIS COFINS";"Iss_Dezembro",#N/A,FALSE,"ISS"}</definedName>
    <definedName name="ssss_1" localSheetId="8" hidden="1">{"Fecha_Dezembro",#N/A,FALSE,"FECHAMENTO-2002 ";"Defer_Dezermbro",#N/A,FALSE,"DIFERIDO";"Pis_Dezembro",#N/A,FALSE,"PIS COFINS";"Iss_Dezembro",#N/A,FALSE,"ISS"}</definedName>
    <definedName name="ssss_1" localSheetId="12" hidden="1">{"Fecha_Dezembro",#N/A,FALSE,"FECHAMENTO-2002 ";"Defer_Dezermbro",#N/A,FALSE,"DIFERIDO";"Pis_Dezembro",#N/A,FALSE,"PIS COFINS";"Iss_Dezembro",#N/A,FALSE,"ISS"}</definedName>
    <definedName name="ssss_1" localSheetId="13" hidden="1">{"Fecha_Dezembro",#N/A,FALSE,"FECHAMENTO-2002 ";"Defer_Dezermbro",#N/A,FALSE,"DIFERIDO";"Pis_Dezembro",#N/A,FALSE,"PIS COFINS";"Iss_Dezembro",#N/A,FALSE,"ISS"}</definedName>
    <definedName name="ssss_1" localSheetId="11" hidden="1">{"Fecha_Dezembro",#N/A,FALSE,"FECHAMENTO-2002 ";"Defer_Dezermbro",#N/A,FALSE,"DIFERIDO";"Pis_Dezembro",#N/A,FALSE,"PIS COFINS";"Iss_Dezembro",#N/A,FALSE,"ISS"}</definedName>
    <definedName name="ssss_1" localSheetId="31" hidden="1">{"Fecha_Dezembro",#N/A,FALSE,"FECHAMENTO-2002 ";"Defer_Dezermbro",#N/A,FALSE,"DIFERIDO";"Pis_Dezembro",#N/A,FALSE,"PIS COFINS";"Iss_Dezembro",#N/A,FALSE,"ISS"}</definedName>
    <definedName name="ssss_1" hidden="1">{"Fecha_Dezembro",#N/A,FALSE,"FECHAMENTO-2002 ";"Defer_Dezermbro",#N/A,FALSE,"DIFERIDO";"Pis_Dezembro",#N/A,FALSE,"PIS COFINS";"Iss_Dezembro",#N/A,FALSE,"ISS"}</definedName>
    <definedName name="sssss" localSheetId="15" hidden="1">{"Fecha_Dezembro",#N/A,FALSE,"FECHAMENTO-2002 ";"Defer_Dezermbro",#N/A,FALSE,"DIFERIDO";"Pis_Dezembro",#N/A,FALSE,"PIS COFINS";"Iss_Dezembro",#N/A,FALSE,"ISS"}</definedName>
    <definedName name="sssss" localSheetId="14" hidden="1">{"Fecha_Dezembro",#N/A,FALSE,"FECHAMENTO-2002 ";"Defer_Dezermbro",#N/A,FALSE,"DIFERIDO";"Pis_Dezembro",#N/A,FALSE,"PIS COFINS";"Iss_Dezembro",#N/A,FALSE,"ISS"}</definedName>
    <definedName name="sssss" localSheetId="2" hidden="1">{"Fecha_Dezembro",#N/A,FALSE,"FECHAMENTO-2002 ";"Defer_Dezermbro",#N/A,FALSE,"DIFERIDO";"Pis_Dezembro",#N/A,FALSE,"PIS COFINS";"Iss_Dezembro",#N/A,FALSE,"ISS"}</definedName>
    <definedName name="sssss" localSheetId="34" hidden="1">{"Fecha_Dezembro",#N/A,FALSE,"FECHAMENTO-2002 ";"Defer_Dezermbro",#N/A,FALSE,"DIFERIDO";"Pis_Dezembro",#N/A,FALSE,"PIS COFINS";"Iss_Dezembro",#N/A,FALSE,"ISS"}</definedName>
    <definedName name="sssss" localSheetId="39" hidden="1">{"Fecha_Dezembro",#N/A,FALSE,"FECHAMENTO-2002 ";"Defer_Dezermbro",#N/A,FALSE,"DIFERIDO";"Pis_Dezembro",#N/A,FALSE,"PIS COFINS";"Iss_Dezembro",#N/A,FALSE,"ISS"}</definedName>
    <definedName name="sssss" localSheetId="8" hidden="1">{"Fecha_Dezembro",#N/A,FALSE,"FECHAMENTO-2002 ";"Defer_Dezermbro",#N/A,FALSE,"DIFERIDO";"Pis_Dezembro",#N/A,FALSE,"PIS COFINS";"Iss_Dezembro",#N/A,FALSE,"ISS"}</definedName>
    <definedName name="sssss" localSheetId="12" hidden="1">{"Fecha_Dezembro",#N/A,FALSE,"FECHAMENTO-2002 ";"Defer_Dezermbro",#N/A,FALSE,"DIFERIDO";"Pis_Dezembro",#N/A,FALSE,"PIS COFINS";"Iss_Dezembro",#N/A,FALSE,"ISS"}</definedName>
    <definedName name="sssss" localSheetId="13" hidden="1">{"Fecha_Dezembro",#N/A,FALSE,"FECHAMENTO-2002 ";"Defer_Dezermbro",#N/A,FALSE,"DIFERIDO";"Pis_Dezembro",#N/A,FALSE,"PIS COFINS";"Iss_Dezembro",#N/A,FALSE,"ISS"}</definedName>
    <definedName name="sssss" localSheetId="11" hidden="1">{"Fecha_Dezembro",#N/A,FALSE,"FECHAMENTO-2002 ";"Defer_Dezermbro",#N/A,FALSE,"DIFERIDO";"Pis_Dezembro",#N/A,FALSE,"PIS COFINS";"Iss_Dezembro",#N/A,FALSE,"ISS"}</definedName>
    <definedName name="sssss" localSheetId="31"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_1" localSheetId="15" hidden="1">{"Fecha_Dezembro",#N/A,FALSE,"FECHAMENTO-2002 ";"Defer_Dezermbro",#N/A,FALSE,"DIFERIDO";"Pis_Dezembro",#N/A,FALSE,"PIS COFINS";"Iss_Dezembro",#N/A,FALSE,"ISS"}</definedName>
    <definedName name="sssss_1" localSheetId="14" hidden="1">{"Fecha_Dezembro",#N/A,FALSE,"FECHAMENTO-2002 ";"Defer_Dezermbro",#N/A,FALSE,"DIFERIDO";"Pis_Dezembro",#N/A,FALSE,"PIS COFINS";"Iss_Dezembro",#N/A,FALSE,"ISS"}</definedName>
    <definedName name="sssss_1" localSheetId="2" hidden="1">{"Fecha_Dezembro",#N/A,FALSE,"FECHAMENTO-2002 ";"Defer_Dezermbro",#N/A,FALSE,"DIFERIDO";"Pis_Dezembro",#N/A,FALSE,"PIS COFINS";"Iss_Dezembro",#N/A,FALSE,"ISS"}</definedName>
    <definedName name="sssss_1" localSheetId="34" hidden="1">{"Fecha_Dezembro",#N/A,FALSE,"FECHAMENTO-2002 ";"Defer_Dezermbro",#N/A,FALSE,"DIFERIDO";"Pis_Dezembro",#N/A,FALSE,"PIS COFINS";"Iss_Dezembro",#N/A,FALSE,"ISS"}</definedName>
    <definedName name="sssss_1" localSheetId="39" hidden="1">{"Fecha_Dezembro",#N/A,FALSE,"FECHAMENTO-2002 ";"Defer_Dezermbro",#N/A,FALSE,"DIFERIDO";"Pis_Dezembro",#N/A,FALSE,"PIS COFINS";"Iss_Dezembro",#N/A,FALSE,"ISS"}</definedName>
    <definedName name="sssss_1" localSheetId="8" hidden="1">{"Fecha_Dezembro",#N/A,FALSE,"FECHAMENTO-2002 ";"Defer_Dezermbro",#N/A,FALSE,"DIFERIDO";"Pis_Dezembro",#N/A,FALSE,"PIS COFINS";"Iss_Dezembro",#N/A,FALSE,"ISS"}</definedName>
    <definedName name="sssss_1" localSheetId="12" hidden="1">{"Fecha_Dezembro",#N/A,FALSE,"FECHAMENTO-2002 ";"Defer_Dezermbro",#N/A,FALSE,"DIFERIDO";"Pis_Dezembro",#N/A,FALSE,"PIS COFINS";"Iss_Dezembro",#N/A,FALSE,"ISS"}</definedName>
    <definedName name="sssss_1" localSheetId="13" hidden="1">{"Fecha_Dezembro",#N/A,FALSE,"FECHAMENTO-2002 ";"Defer_Dezermbro",#N/A,FALSE,"DIFERIDO";"Pis_Dezembro",#N/A,FALSE,"PIS COFINS";"Iss_Dezembro",#N/A,FALSE,"ISS"}</definedName>
    <definedName name="sssss_1" localSheetId="11" hidden="1">{"Fecha_Dezembro",#N/A,FALSE,"FECHAMENTO-2002 ";"Defer_Dezermbro",#N/A,FALSE,"DIFERIDO";"Pis_Dezembro",#N/A,FALSE,"PIS COFINS";"Iss_Dezembro",#N/A,FALSE,"ISS"}</definedName>
    <definedName name="sssss_1" localSheetId="31" hidden="1">{"Fecha_Dezembro",#N/A,FALSE,"FECHAMENTO-2002 ";"Defer_Dezermbro",#N/A,FALSE,"DIFERIDO";"Pis_Dezembro",#N/A,FALSE,"PIS COFINS";"Iss_Dezembro",#N/A,FALSE,"ISS"}</definedName>
    <definedName name="sssss_1" hidden="1">{"Fecha_Dezembro",#N/A,FALSE,"FECHAMENTO-2002 ";"Defer_Dezermbro",#N/A,FALSE,"DIFERIDO";"Pis_Dezembro",#N/A,FALSE,"PIS COFINS";"Iss_Dezembro",#N/A,FALSE,"ISS"}</definedName>
    <definedName name="sssssss" localSheetId="15" hidden="1">{"Fecha_Dezembro",#N/A,FALSE,"FECHAMENTO-2002 ";"Defer_Dezermbro",#N/A,FALSE,"DIFERIDO";"Pis_Dezembro",#N/A,FALSE,"PIS COFINS";"Iss_Dezembro",#N/A,FALSE,"ISS"}</definedName>
    <definedName name="sssssss" localSheetId="14" hidden="1">{"Fecha_Dezembro",#N/A,FALSE,"FECHAMENTO-2002 ";"Defer_Dezermbro",#N/A,FALSE,"DIFERIDO";"Pis_Dezembro",#N/A,FALSE,"PIS COFINS";"Iss_Dezembro",#N/A,FALSE,"ISS"}</definedName>
    <definedName name="sssssss" localSheetId="2" hidden="1">{"Fecha_Dezembro",#N/A,FALSE,"FECHAMENTO-2002 ";"Defer_Dezermbro",#N/A,FALSE,"DIFERIDO";"Pis_Dezembro",#N/A,FALSE,"PIS COFINS";"Iss_Dezembro",#N/A,FALSE,"ISS"}</definedName>
    <definedName name="sssssss" localSheetId="34" hidden="1">{"Fecha_Dezembro",#N/A,FALSE,"FECHAMENTO-2002 ";"Defer_Dezermbro",#N/A,FALSE,"DIFERIDO";"Pis_Dezembro",#N/A,FALSE,"PIS COFINS";"Iss_Dezembro",#N/A,FALSE,"ISS"}</definedName>
    <definedName name="sssssss" localSheetId="39" hidden="1">{"Fecha_Dezembro",#N/A,FALSE,"FECHAMENTO-2002 ";"Defer_Dezermbro",#N/A,FALSE,"DIFERIDO";"Pis_Dezembro",#N/A,FALSE,"PIS COFINS";"Iss_Dezembro",#N/A,FALSE,"ISS"}</definedName>
    <definedName name="sssssss" localSheetId="8" hidden="1">{"Fecha_Dezembro",#N/A,FALSE,"FECHAMENTO-2002 ";"Defer_Dezermbro",#N/A,FALSE,"DIFERIDO";"Pis_Dezembro",#N/A,FALSE,"PIS COFINS";"Iss_Dezembro",#N/A,FALSE,"ISS"}</definedName>
    <definedName name="sssssss" localSheetId="12" hidden="1">{"Fecha_Dezembro",#N/A,FALSE,"FECHAMENTO-2002 ";"Defer_Dezermbro",#N/A,FALSE,"DIFERIDO";"Pis_Dezembro",#N/A,FALSE,"PIS COFINS";"Iss_Dezembro",#N/A,FALSE,"ISS"}</definedName>
    <definedName name="sssssss" localSheetId="13" hidden="1">{"Fecha_Dezembro",#N/A,FALSE,"FECHAMENTO-2002 ";"Defer_Dezermbro",#N/A,FALSE,"DIFERIDO";"Pis_Dezembro",#N/A,FALSE,"PIS COFINS";"Iss_Dezembro",#N/A,FALSE,"ISS"}</definedName>
    <definedName name="sssssss" localSheetId="11" hidden="1">{"Fecha_Dezembro",#N/A,FALSE,"FECHAMENTO-2002 ";"Defer_Dezermbro",#N/A,FALSE,"DIFERIDO";"Pis_Dezembro",#N/A,FALSE,"PIS COFINS";"Iss_Dezembro",#N/A,FALSE,"ISS"}</definedName>
    <definedName name="sssssss" localSheetId="31"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ssssss_1" localSheetId="15" hidden="1">{"Fecha_Dezembro",#N/A,FALSE,"FECHAMENTO-2002 ";"Defer_Dezermbro",#N/A,FALSE,"DIFERIDO";"Pis_Dezembro",#N/A,FALSE,"PIS COFINS";"Iss_Dezembro",#N/A,FALSE,"ISS"}</definedName>
    <definedName name="sssssss_1" localSheetId="14" hidden="1">{"Fecha_Dezembro",#N/A,FALSE,"FECHAMENTO-2002 ";"Defer_Dezermbro",#N/A,FALSE,"DIFERIDO";"Pis_Dezembro",#N/A,FALSE,"PIS COFINS";"Iss_Dezembro",#N/A,FALSE,"ISS"}</definedName>
    <definedName name="sssssss_1" localSheetId="2" hidden="1">{"Fecha_Dezembro",#N/A,FALSE,"FECHAMENTO-2002 ";"Defer_Dezermbro",#N/A,FALSE,"DIFERIDO";"Pis_Dezembro",#N/A,FALSE,"PIS COFINS";"Iss_Dezembro",#N/A,FALSE,"ISS"}</definedName>
    <definedName name="sssssss_1" localSheetId="34" hidden="1">{"Fecha_Dezembro",#N/A,FALSE,"FECHAMENTO-2002 ";"Defer_Dezermbro",#N/A,FALSE,"DIFERIDO";"Pis_Dezembro",#N/A,FALSE,"PIS COFINS";"Iss_Dezembro",#N/A,FALSE,"ISS"}</definedName>
    <definedName name="sssssss_1" localSheetId="39" hidden="1">{"Fecha_Dezembro",#N/A,FALSE,"FECHAMENTO-2002 ";"Defer_Dezermbro",#N/A,FALSE,"DIFERIDO";"Pis_Dezembro",#N/A,FALSE,"PIS COFINS";"Iss_Dezembro",#N/A,FALSE,"ISS"}</definedName>
    <definedName name="sssssss_1" localSheetId="8" hidden="1">{"Fecha_Dezembro",#N/A,FALSE,"FECHAMENTO-2002 ";"Defer_Dezermbro",#N/A,FALSE,"DIFERIDO";"Pis_Dezembro",#N/A,FALSE,"PIS COFINS";"Iss_Dezembro",#N/A,FALSE,"ISS"}</definedName>
    <definedName name="sssssss_1" localSheetId="12" hidden="1">{"Fecha_Dezembro",#N/A,FALSE,"FECHAMENTO-2002 ";"Defer_Dezermbro",#N/A,FALSE,"DIFERIDO";"Pis_Dezembro",#N/A,FALSE,"PIS COFINS";"Iss_Dezembro",#N/A,FALSE,"ISS"}</definedName>
    <definedName name="sssssss_1" localSheetId="13" hidden="1">{"Fecha_Dezembro",#N/A,FALSE,"FECHAMENTO-2002 ";"Defer_Dezermbro",#N/A,FALSE,"DIFERIDO";"Pis_Dezembro",#N/A,FALSE,"PIS COFINS";"Iss_Dezembro",#N/A,FALSE,"ISS"}</definedName>
    <definedName name="sssssss_1" localSheetId="11" hidden="1">{"Fecha_Dezembro",#N/A,FALSE,"FECHAMENTO-2002 ";"Defer_Dezermbro",#N/A,FALSE,"DIFERIDO";"Pis_Dezembro",#N/A,FALSE,"PIS COFINS";"Iss_Dezembro",#N/A,FALSE,"ISS"}</definedName>
    <definedName name="sssssss_1" localSheetId="31" hidden="1">{"Fecha_Dezembro",#N/A,FALSE,"FECHAMENTO-2002 ";"Defer_Dezermbro",#N/A,FALSE,"DIFERIDO";"Pis_Dezembro",#N/A,FALSE,"PIS COFINS";"Iss_Dezembro",#N/A,FALSE,"ISS"}</definedName>
    <definedName name="sssssss_1" hidden="1">{"Fecha_Dezembro",#N/A,FALSE,"FECHAMENTO-2002 ";"Defer_Dezermbro",#N/A,FALSE,"DIFERIDO";"Pis_Dezembro",#N/A,FALSE,"PIS COFINS";"Iss_Dezembro",#N/A,FALSE,"ISS"}</definedName>
    <definedName name="Standard" localSheetId="2">#REF!</definedName>
    <definedName name="Standard">#REF!</definedName>
    <definedName name="status_24">#REF!</definedName>
    <definedName name="Superior" localSheetId="2">#REF!</definedName>
    <definedName name="Superior">#REF!</definedName>
    <definedName name="t" localSheetId="15" hidden="1">{"'TG'!$A$1:$L$37"}</definedName>
    <definedName name="t" localSheetId="14" hidden="1">{"'TG'!$A$1:$L$37"}</definedName>
    <definedName name="t" localSheetId="2" hidden="1">{"'TG'!$A$1:$L$37"}</definedName>
    <definedName name="t" localSheetId="34" hidden="1">{"'TG'!$A$1:$L$37"}</definedName>
    <definedName name="t" localSheetId="39" hidden="1">{"'TG'!$A$1:$L$37"}</definedName>
    <definedName name="t" localSheetId="8" hidden="1">{"'TG'!$A$1:$L$37"}</definedName>
    <definedName name="t" localSheetId="12" hidden="1">{"'TG'!$A$1:$L$37"}</definedName>
    <definedName name="t" localSheetId="13" hidden="1">{"'TG'!$A$1:$L$37"}</definedName>
    <definedName name="t" localSheetId="11" hidden="1">{"'TG'!$A$1:$L$37"}</definedName>
    <definedName name="t" localSheetId="31" hidden="1">{"'TG'!$A$1:$L$37"}</definedName>
    <definedName name="t" hidden="1">{"'TG'!$A$1:$L$37"}</definedName>
    <definedName name="TABABASTEC">#REF!</definedName>
    <definedName name="TABADMID">#REF!</definedName>
    <definedName name="TABADMNID">#REF!</definedName>
    <definedName name="TABAGUA">#REF!</definedName>
    <definedName name="TABCAPGIRO">#REF!</definedName>
    <definedName name="TABCOMISSAO">#REF!</definedName>
    <definedName name="TABDEPECON">#REF!</definedName>
    <definedName name="TABDEPRFISCAL">#REF!</definedName>
    <definedName name="TABDESCONTOS">#REF!</definedName>
    <definedName name="TABDISTRIB">#REF!</definedName>
    <definedName name="TABEMBALAGEM">#REF!</definedName>
    <definedName name="TABENERGIA">#REF!</definedName>
    <definedName name="TABESTOQMP">#REF!</definedName>
    <definedName name="TABESTOQPA">#REF!</definedName>
    <definedName name="TABFAMILIA">#REF!</definedName>
    <definedName name="TABICMS">#REF!</definedName>
    <definedName name="TABINCENTIVO">#REF!</definedName>
    <definedName name="TABINDID">#REF!</definedName>
    <definedName name="TABINDNID">#REF!</definedName>
    <definedName name="TABLINHA">#REF!</definedName>
    <definedName name="TABLOGID">#REF!</definedName>
    <definedName name="TABLOGNID">#REF!</definedName>
    <definedName name="TABMANUT">#REF!</definedName>
    <definedName name="TABMARCA">#REF!</definedName>
    <definedName name="TABMATAUXILIAR">#REF!</definedName>
    <definedName name="TABMATPRIMA">#REF!</definedName>
    <definedName name="TABMOBRA">#REF!</definedName>
    <definedName name="TABPERDA">#REF!</definedName>
    <definedName name="TABPRAZO">#REF!</definedName>
    <definedName name="TABPRECOS">#REF!</definedName>
    <definedName name="TABPROID">#REF!</definedName>
    <definedName name="TABPRONID">#REF!</definedName>
    <definedName name="TABQUANTIDADE">#REF!</definedName>
    <definedName name="TABTIPO">#REF!</definedName>
    <definedName name="TABTRANSF">#REF!</definedName>
    <definedName name="TABUNICOP">#REF!</definedName>
    <definedName name="TABUTILFIXA">#REF!</definedName>
    <definedName name="TABUTILIDADES">#REF!</definedName>
    <definedName name="TABVDAID">#REF!</definedName>
    <definedName name="TABVDANID">#REF!</definedName>
    <definedName name="TAçúcar" localSheetId="2">#REF!</definedName>
    <definedName name="TAçúcar">#REF!</definedName>
    <definedName name="TÁlcool" localSheetId="2">#REF!</definedName>
    <definedName name="TÁlcool">#REF!</definedName>
    <definedName name="TApoio" localSheetId="2">#REF!</definedName>
    <definedName name="TApoio">#REF!</definedName>
    <definedName name="TECNOFIBRAS" localSheetId="15" hidden="1">{"'PXR_6500'!$A$1:$I$124"}</definedName>
    <definedName name="TECNOFIBRAS" localSheetId="14" hidden="1">{"'PXR_6500'!$A$1:$I$124"}</definedName>
    <definedName name="TECNOFIBRAS" localSheetId="2" hidden="1">{"'PXR_6500'!$A$1:$I$124"}</definedName>
    <definedName name="TECNOFIBRAS" localSheetId="34" hidden="1">{"'PXR_6500'!$A$1:$I$124"}</definedName>
    <definedName name="TECNOFIBRAS" localSheetId="39" hidden="1">{"'PXR_6500'!$A$1:$I$124"}</definedName>
    <definedName name="TECNOFIBRAS" localSheetId="8" hidden="1">{"'PXR_6500'!$A$1:$I$124"}</definedName>
    <definedName name="TECNOFIBRAS" localSheetId="12" hidden="1">{"'PXR_6500'!$A$1:$I$124"}</definedName>
    <definedName name="TECNOFIBRAS" localSheetId="13" hidden="1">{"'PXR_6500'!$A$1:$I$124"}</definedName>
    <definedName name="TECNOFIBRAS" localSheetId="11" hidden="1">{"'PXR_6500'!$A$1:$I$124"}</definedName>
    <definedName name="TECNOFIBRAS" localSheetId="31" hidden="1">{"'PXR_6500'!$A$1:$I$124"}</definedName>
    <definedName name="TECNOFIBRAS" hidden="1">{"'PXR_6500'!$A$1:$I$124"}</definedName>
    <definedName name="TECNOFIBRAS2" localSheetId="15" hidden="1">{"'PXR_6500'!$A$1:$I$124"}</definedName>
    <definedName name="TECNOFIBRAS2" localSheetId="14" hidden="1">{"'PXR_6500'!$A$1:$I$124"}</definedName>
    <definedName name="TECNOFIBRAS2" localSheetId="2" hidden="1">{"'PXR_6500'!$A$1:$I$124"}</definedName>
    <definedName name="TECNOFIBRAS2" localSheetId="34" hidden="1">{"'PXR_6500'!$A$1:$I$124"}</definedName>
    <definedName name="TECNOFIBRAS2" localSheetId="39" hidden="1">{"'PXR_6500'!$A$1:$I$124"}</definedName>
    <definedName name="TECNOFIBRAS2" localSheetId="8" hidden="1">{"'PXR_6500'!$A$1:$I$124"}</definedName>
    <definedName name="TECNOFIBRAS2" localSheetId="12" hidden="1">{"'PXR_6500'!$A$1:$I$124"}</definedName>
    <definedName name="TECNOFIBRAS2" localSheetId="13" hidden="1">{"'PXR_6500'!$A$1:$I$124"}</definedName>
    <definedName name="TECNOFIBRAS2" localSheetId="11" hidden="1">{"'PXR_6500'!$A$1:$I$124"}</definedName>
    <definedName name="TECNOFIBRAS2" localSheetId="31" hidden="1">{"'PXR_6500'!$A$1:$I$124"}</definedName>
    <definedName name="TECNOFIBRAS2" hidden="1">{"'PXR_6500'!$A$1:$I$124"}</definedName>
    <definedName name="test" localSheetId="15" hidden="1">{"'PXR_6500'!$A$1:$I$124"}</definedName>
    <definedName name="test" localSheetId="14" hidden="1">{"'PXR_6500'!$A$1:$I$124"}</definedName>
    <definedName name="test" localSheetId="2" hidden="1">{"'PXR_6500'!$A$1:$I$124"}</definedName>
    <definedName name="test" localSheetId="34" hidden="1">{"'PXR_6500'!$A$1:$I$124"}</definedName>
    <definedName name="test" localSheetId="39" hidden="1">{"'PXR_6500'!$A$1:$I$124"}</definedName>
    <definedName name="test" localSheetId="8" hidden="1">{"'PXR_6500'!$A$1:$I$124"}</definedName>
    <definedName name="test" localSheetId="12" hidden="1">{"'PXR_6500'!$A$1:$I$124"}</definedName>
    <definedName name="test" localSheetId="13" hidden="1">{"'PXR_6500'!$A$1:$I$124"}</definedName>
    <definedName name="test" localSheetId="11" hidden="1">{"'PXR_6500'!$A$1:$I$124"}</definedName>
    <definedName name="test" localSheetId="31" hidden="1">{"'PXR_6500'!$A$1:$I$124"}</definedName>
    <definedName name="test" hidden="1">{"'PXR_6500'!$A$1:$I$124"}</definedName>
    <definedName name="teste_1" localSheetId="15" hidden="1">{"Fecha_Dezembro",#N/A,FALSE,"FECHAMENTO-2002 ";"Defer_Dezermbro",#N/A,FALSE,"DIFERIDO";"Pis_Dezembro",#N/A,FALSE,"PIS COFINS";"Iss_Dezembro",#N/A,FALSE,"ISS"}</definedName>
    <definedName name="teste_1" localSheetId="14" hidden="1">{"Fecha_Dezembro",#N/A,FALSE,"FECHAMENTO-2002 ";"Defer_Dezermbro",#N/A,FALSE,"DIFERIDO";"Pis_Dezembro",#N/A,FALSE,"PIS COFINS";"Iss_Dezembro",#N/A,FALSE,"ISS"}</definedName>
    <definedName name="teste_1" localSheetId="2" hidden="1">{"Fecha_Dezembro",#N/A,FALSE,"FECHAMENTO-2002 ";"Defer_Dezermbro",#N/A,FALSE,"DIFERIDO";"Pis_Dezembro",#N/A,FALSE,"PIS COFINS";"Iss_Dezembro",#N/A,FALSE,"ISS"}</definedName>
    <definedName name="teste_1" localSheetId="34" hidden="1">{"Fecha_Dezembro",#N/A,FALSE,"FECHAMENTO-2002 ";"Defer_Dezermbro",#N/A,FALSE,"DIFERIDO";"Pis_Dezembro",#N/A,FALSE,"PIS COFINS";"Iss_Dezembro",#N/A,FALSE,"ISS"}</definedName>
    <definedName name="teste_1" localSheetId="39" hidden="1">{"Fecha_Dezembro",#N/A,FALSE,"FECHAMENTO-2002 ";"Defer_Dezermbro",#N/A,FALSE,"DIFERIDO";"Pis_Dezembro",#N/A,FALSE,"PIS COFINS";"Iss_Dezembro",#N/A,FALSE,"ISS"}</definedName>
    <definedName name="teste_1" localSheetId="8" hidden="1">{"Fecha_Dezembro",#N/A,FALSE,"FECHAMENTO-2002 ";"Defer_Dezermbro",#N/A,FALSE,"DIFERIDO";"Pis_Dezembro",#N/A,FALSE,"PIS COFINS";"Iss_Dezembro",#N/A,FALSE,"ISS"}</definedName>
    <definedName name="teste_1" localSheetId="12" hidden="1">{"Fecha_Dezembro",#N/A,FALSE,"FECHAMENTO-2002 ";"Defer_Dezermbro",#N/A,FALSE,"DIFERIDO";"Pis_Dezembro",#N/A,FALSE,"PIS COFINS";"Iss_Dezembro",#N/A,FALSE,"ISS"}</definedName>
    <definedName name="teste_1" localSheetId="13" hidden="1">{"Fecha_Dezembro",#N/A,FALSE,"FECHAMENTO-2002 ";"Defer_Dezermbro",#N/A,FALSE,"DIFERIDO";"Pis_Dezembro",#N/A,FALSE,"PIS COFINS";"Iss_Dezembro",#N/A,FALSE,"ISS"}</definedName>
    <definedName name="teste_1" localSheetId="11" hidden="1">{"Fecha_Dezembro",#N/A,FALSE,"FECHAMENTO-2002 ";"Defer_Dezermbro",#N/A,FALSE,"DIFERIDO";"Pis_Dezembro",#N/A,FALSE,"PIS COFINS";"Iss_Dezembro",#N/A,FALSE,"ISS"}</definedName>
    <definedName name="teste_1" localSheetId="31" hidden="1">{"Fecha_Dezembro",#N/A,FALSE,"FECHAMENTO-2002 ";"Defer_Dezermbro",#N/A,FALSE,"DIFERIDO";"Pis_Dezembro",#N/A,FALSE,"PIS COFINS";"Iss_Dezembro",#N/A,FALSE,"ISS"}</definedName>
    <definedName name="teste_1" hidden="1">{"Fecha_Dezembro",#N/A,FALSE,"FECHAMENTO-2002 ";"Defer_Dezermbro",#N/A,FALSE,"DIFERIDO";"Pis_Dezembro",#N/A,FALSE,"PIS COFINS";"Iss_Dezembro",#N/A,FALSE,"ISS"}</definedName>
    <definedName name="teste2" localSheetId="15" hidden="1">{"Fecha_Novembro",#N/A,FALSE,"FECHAMENTO-2002 ";"Defer_Novembro",#N/A,FALSE,"DIFERIDO";"Pis_Novembro",#N/A,FALSE,"PIS COFINS";"Iss_Novembro",#N/A,FALSE,"ISS"}</definedName>
    <definedName name="teste2" localSheetId="14" hidden="1">{"Fecha_Novembro",#N/A,FALSE,"FECHAMENTO-2002 ";"Defer_Novembro",#N/A,FALSE,"DIFERIDO";"Pis_Novembro",#N/A,FALSE,"PIS COFINS";"Iss_Novembro",#N/A,FALSE,"ISS"}</definedName>
    <definedName name="teste2" localSheetId="2" hidden="1">{"Fecha_Novembro",#N/A,FALSE,"FECHAMENTO-2002 ";"Defer_Novembro",#N/A,FALSE,"DIFERIDO";"Pis_Novembro",#N/A,FALSE,"PIS COFINS";"Iss_Novembro",#N/A,FALSE,"ISS"}</definedName>
    <definedName name="teste2" localSheetId="34" hidden="1">{"Fecha_Novembro",#N/A,FALSE,"FECHAMENTO-2002 ";"Defer_Novembro",#N/A,FALSE,"DIFERIDO";"Pis_Novembro",#N/A,FALSE,"PIS COFINS";"Iss_Novembro",#N/A,FALSE,"ISS"}</definedName>
    <definedName name="teste2" localSheetId="39" hidden="1">{"Fecha_Novembro",#N/A,FALSE,"FECHAMENTO-2002 ";"Defer_Novembro",#N/A,FALSE,"DIFERIDO";"Pis_Novembro",#N/A,FALSE,"PIS COFINS";"Iss_Novembro",#N/A,FALSE,"ISS"}</definedName>
    <definedName name="teste2" localSheetId="8" hidden="1">{"Fecha_Novembro",#N/A,FALSE,"FECHAMENTO-2002 ";"Defer_Novembro",#N/A,FALSE,"DIFERIDO";"Pis_Novembro",#N/A,FALSE,"PIS COFINS";"Iss_Novembro",#N/A,FALSE,"ISS"}</definedName>
    <definedName name="teste2" localSheetId="12" hidden="1">{"Fecha_Novembro",#N/A,FALSE,"FECHAMENTO-2002 ";"Defer_Novembro",#N/A,FALSE,"DIFERIDO";"Pis_Novembro",#N/A,FALSE,"PIS COFINS";"Iss_Novembro",#N/A,FALSE,"ISS"}</definedName>
    <definedName name="teste2" localSheetId="13" hidden="1">{"Fecha_Novembro",#N/A,FALSE,"FECHAMENTO-2002 ";"Defer_Novembro",#N/A,FALSE,"DIFERIDO";"Pis_Novembro",#N/A,FALSE,"PIS COFINS";"Iss_Novembro",#N/A,FALSE,"ISS"}</definedName>
    <definedName name="teste2" localSheetId="11" hidden="1">{"Fecha_Novembro",#N/A,FALSE,"FECHAMENTO-2002 ";"Defer_Novembro",#N/A,FALSE,"DIFERIDO";"Pis_Novembro",#N/A,FALSE,"PIS COFINS";"Iss_Novembro",#N/A,FALSE,"ISS"}</definedName>
    <definedName name="teste2" localSheetId="31" hidden="1">{"Fecha_Novembro",#N/A,FALSE,"FECHAMENTO-2002 ";"Defer_Novembro",#N/A,FALSE,"DIFERIDO";"Pis_Novembro",#N/A,FALSE,"PIS COFINS";"Iss_Novembro",#N/A,FALSE,"ISS"}</definedName>
    <definedName name="teste2" hidden="1">{"Fecha_Novembro",#N/A,FALSE,"FECHAMENTO-2002 ";"Defer_Novembro",#N/A,FALSE,"DIFERIDO";"Pis_Novembro",#N/A,FALSE,"PIS COFINS";"Iss_Novembro",#N/A,FALSE,"ISS"}</definedName>
    <definedName name="teste2_1" localSheetId="15" hidden="1">{"Fecha_Novembro",#N/A,FALSE,"FECHAMENTO-2002 ";"Defer_Novembro",#N/A,FALSE,"DIFERIDO";"Pis_Novembro",#N/A,FALSE,"PIS COFINS";"Iss_Novembro",#N/A,FALSE,"ISS"}</definedName>
    <definedName name="teste2_1" localSheetId="14" hidden="1">{"Fecha_Novembro",#N/A,FALSE,"FECHAMENTO-2002 ";"Defer_Novembro",#N/A,FALSE,"DIFERIDO";"Pis_Novembro",#N/A,FALSE,"PIS COFINS";"Iss_Novembro",#N/A,FALSE,"ISS"}</definedName>
    <definedName name="teste2_1" localSheetId="2" hidden="1">{"Fecha_Novembro",#N/A,FALSE,"FECHAMENTO-2002 ";"Defer_Novembro",#N/A,FALSE,"DIFERIDO";"Pis_Novembro",#N/A,FALSE,"PIS COFINS";"Iss_Novembro",#N/A,FALSE,"ISS"}</definedName>
    <definedName name="teste2_1" localSheetId="34" hidden="1">{"Fecha_Novembro",#N/A,FALSE,"FECHAMENTO-2002 ";"Defer_Novembro",#N/A,FALSE,"DIFERIDO";"Pis_Novembro",#N/A,FALSE,"PIS COFINS";"Iss_Novembro",#N/A,FALSE,"ISS"}</definedName>
    <definedName name="teste2_1" localSheetId="39" hidden="1">{"Fecha_Novembro",#N/A,FALSE,"FECHAMENTO-2002 ";"Defer_Novembro",#N/A,FALSE,"DIFERIDO";"Pis_Novembro",#N/A,FALSE,"PIS COFINS";"Iss_Novembro",#N/A,FALSE,"ISS"}</definedName>
    <definedName name="teste2_1" localSheetId="8" hidden="1">{"Fecha_Novembro",#N/A,FALSE,"FECHAMENTO-2002 ";"Defer_Novembro",#N/A,FALSE,"DIFERIDO";"Pis_Novembro",#N/A,FALSE,"PIS COFINS";"Iss_Novembro",#N/A,FALSE,"ISS"}</definedName>
    <definedName name="teste2_1" localSheetId="12" hidden="1">{"Fecha_Novembro",#N/A,FALSE,"FECHAMENTO-2002 ";"Defer_Novembro",#N/A,FALSE,"DIFERIDO";"Pis_Novembro",#N/A,FALSE,"PIS COFINS";"Iss_Novembro",#N/A,FALSE,"ISS"}</definedName>
    <definedName name="teste2_1" localSheetId="13" hidden="1">{"Fecha_Novembro",#N/A,FALSE,"FECHAMENTO-2002 ";"Defer_Novembro",#N/A,FALSE,"DIFERIDO";"Pis_Novembro",#N/A,FALSE,"PIS COFINS";"Iss_Novembro",#N/A,FALSE,"ISS"}</definedName>
    <definedName name="teste2_1" localSheetId="11" hidden="1">{"Fecha_Novembro",#N/A,FALSE,"FECHAMENTO-2002 ";"Defer_Novembro",#N/A,FALSE,"DIFERIDO";"Pis_Novembro",#N/A,FALSE,"PIS COFINS";"Iss_Novembro",#N/A,FALSE,"ISS"}</definedName>
    <definedName name="teste2_1" localSheetId="31" hidden="1">{"Fecha_Novembro",#N/A,FALSE,"FECHAMENTO-2002 ";"Defer_Novembro",#N/A,FALSE,"DIFERIDO";"Pis_Novembro",#N/A,FALSE,"PIS COFINS";"Iss_Novembro",#N/A,FALSE,"ISS"}</definedName>
    <definedName name="teste2_1" hidden="1">{"Fecha_Novembro",#N/A,FALSE,"FECHAMENTO-2002 ";"Defer_Novembro",#N/A,FALSE,"DIFERIDO";"Pis_Novembro",#N/A,FALSE,"PIS COFINS";"Iss_Novembro",#N/A,FALSE,"ISS"}</definedName>
    <definedName name="teste3" localSheetId="15" hidden="1">{"Fecha_Outubro",#N/A,FALSE,"FECHAMENTO-2002 ";"Defer_Outubro",#N/A,FALSE,"DIFERIDO";"Pis_Outubro",#N/A,FALSE,"PIS COFINS";"Iss_Outubro",#N/A,FALSE,"ISS"}</definedName>
    <definedName name="teste3" localSheetId="14" hidden="1">{"Fecha_Outubro",#N/A,FALSE,"FECHAMENTO-2002 ";"Defer_Outubro",#N/A,FALSE,"DIFERIDO";"Pis_Outubro",#N/A,FALSE,"PIS COFINS";"Iss_Outubro",#N/A,FALSE,"ISS"}</definedName>
    <definedName name="teste3" localSheetId="2" hidden="1">{"Fecha_Outubro",#N/A,FALSE,"FECHAMENTO-2002 ";"Defer_Outubro",#N/A,FALSE,"DIFERIDO";"Pis_Outubro",#N/A,FALSE,"PIS COFINS";"Iss_Outubro",#N/A,FALSE,"ISS"}</definedName>
    <definedName name="teste3" localSheetId="34" hidden="1">{"Fecha_Outubro",#N/A,FALSE,"FECHAMENTO-2002 ";"Defer_Outubro",#N/A,FALSE,"DIFERIDO";"Pis_Outubro",#N/A,FALSE,"PIS COFINS";"Iss_Outubro",#N/A,FALSE,"ISS"}</definedName>
    <definedName name="teste3" localSheetId="39" hidden="1">{"Fecha_Outubro",#N/A,FALSE,"FECHAMENTO-2002 ";"Defer_Outubro",#N/A,FALSE,"DIFERIDO";"Pis_Outubro",#N/A,FALSE,"PIS COFINS";"Iss_Outubro",#N/A,FALSE,"ISS"}</definedName>
    <definedName name="teste3" localSheetId="8" hidden="1">{"Fecha_Outubro",#N/A,FALSE,"FECHAMENTO-2002 ";"Defer_Outubro",#N/A,FALSE,"DIFERIDO";"Pis_Outubro",#N/A,FALSE,"PIS COFINS";"Iss_Outubro",#N/A,FALSE,"ISS"}</definedName>
    <definedName name="teste3" localSheetId="12" hidden="1">{"Fecha_Outubro",#N/A,FALSE,"FECHAMENTO-2002 ";"Defer_Outubro",#N/A,FALSE,"DIFERIDO";"Pis_Outubro",#N/A,FALSE,"PIS COFINS";"Iss_Outubro",#N/A,FALSE,"ISS"}</definedName>
    <definedName name="teste3" localSheetId="13" hidden="1">{"Fecha_Outubro",#N/A,FALSE,"FECHAMENTO-2002 ";"Defer_Outubro",#N/A,FALSE,"DIFERIDO";"Pis_Outubro",#N/A,FALSE,"PIS COFINS";"Iss_Outubro",#N/A,FALSE,"ISS"}</definedName>
    <definedName name="teste3" localSheetId="11" hidden="1">{"Fecha_Outubro",#N/A,FALSE,"FECHAMENTO-2002 ";"Defer_Outubro",#N/A,FALSE,"DIFERIDO";"Pis_Outubro",#N/A,FALSE,"PIS COFINS";"Iss_Outubro",#N/A,FALSE,"ISS"}</definedName>
    <definedName name="teste3" localSheetId="31" hidden="1">{"Fecha_Outubro",#N/A,FALSE,"FECHAMENTO-2002 ";"Defer_Outubro",#N/A,FALSE,"DIFERIDO";"Pis_Outubro",#N/A,FALSE,"PIS COFINS";"Iss_Outubro",#N/A,FALSE,"ISS"}</definedName>
    <definedName name="teste3" hidden="1">{"Fecha_Outubro",#N/A,FALSE,"FECHAMENTO-2002 ";"Defer_Outubro",#N/A,FALSE,"DIFERIDO";"Pis_Outubro",#N/A,FALSE,"PIS COFINS";"Iss_Outubro",#N/A,FALSE,"ISS"}</definedName>
    <definedName name="teste3_1" localSheetId="15" hidden="1">{"Fecha_Outubro",#N/A,FALSE,"FECHAMENTO-2002 ";"Defer_Outubro",#N/A,FALSE,"DIFERIDO";"Pis_Outubro",#N/A,FALSE,"PIS COFINS";"Iss_Outubro",#N/A,FALSE,"ISS"}</definedName>
    <definedName name="teste3_1" localSheetId="14" hidden="1">{"Fecha_Outubro",#N/A,FALSE,"FECHAMENTO-2002 ";"Defer_Outubro",#N/A,FALSE,"DIFERIDO";"Pis_Outubro",#N/A,FALSE,"PIS COFINS";"Iss_Outubro",#N/A,FALSE,"ISS"}</definedName>
    <definedName name="teste3_1" localSheetId="2" hidden="1">{"Fecha_Outubro",#N/A,FALSE,"FECHAMENTO-2002 ";"Defer_Outubro",#N/A,FALSE,"DIFERIDO";"Pis_Outubro",#N/A,FALSE,"PIS COFINS";"Iss_Outubro",#N/A,FALSE,"ISS"}</definedName>
    <definedName name="teste3_1" localSheetId="34" hidden="1">{"Fecha_Outubro",#N/A,FALSE,"FECHAMENTO-2002 ";"Defer_Outubro",#N/A,FALSE,"DIFERIDO";"Pis_Outubro",#N/A,FALSE,"PIS COFINS";"Iss_Outubro",#N/A,FALSE,"ISS"}</definedName>
    <definedName name="teste3_1" localSheetId="39" hidden="1">{"Fecha_Outubro",#N/A,FALSE,"FECHAMENTO-2002 ";"Defer_Outubro",#N/A,FALSE,"DIFERIDO";"Pis_Outubro",#N/A,FALSE,"PIS COFINS";"Iss_Outubro",#N/A,FALSE,"ISS"}</definedName>
    <definedName name="teste3_1" localSheetId="8" hidden="1">{"Fecha_Outubro",#N/A,FALSE,"FECHAMENTO-2002 ";"Defer_Outubro",#N/A,FALSE,"DIFERIDO";"Pis_Outubro",#N/A,FALSE,"PIS COFINS";"Iss_Outubro",#N/A,FALSE,"ISS"}</definedName>
    <definedName name="teste3_1" localSheetId="12" hidden="1">{"Fecha_Outubro",#N/A,FALSE,"FECHAMENTO-2002 ";"Defer_Outubro",#N/A,FALSE,"DIFERIDO";"Pis_Outubro",#N/A,FALSE,"PIS COFINS";"Iss_Outubro",#N/A,FALSE,"ISS"}</definedName>
    <definedName name="teste3_1" localSheetId="13" hidden="1">{"Fecha_Outubro",#N/A,FALSE,"FECHAMENTO-2002 ";"Defer_Outubro",#N/A,FALSE,"DIFERIDO";"Pis_Outubro",#N/A,FALSE,"PIS COFINS";"Iss_Outubro",#N/A,FALSE,"ISS"}</definedName>
    <definedName name="teste3_1" localSheetId="11" hidden="1">{"Fecha_Outubro",#N/A,FALSE,"FECHAMENTO-2002 ";"Defer_Outubro",#N/A,FALSE,"DIFERIDO";"Pis_Outubro",#N/A,FALSE,"PIS COFINS";"Iss_Outubro",#N/A,FALSE,"ISS"}</definedName>
    <definedName name="teste3_1" localSheetId="31" hidden="1">{"Fecha_Outubro",#N/A,FALSE,"FECHAMENTO-2002 ";"Defer_Outubro",#N/A,FALSE,"DIFERIDO";"Pis_Outubro",#N/A,FALSE,"PIS COFINS";"Iss_Outubro",#N/A,FALSE,"ISS"}</definedName>
    <definedName name="teste3_1" hidden="1">{"Fecha_Outubro",#N/A,FALSE,"FECHAMENTO-2002 ";"Defer_Outubro",#N/A,FALSE,"DIFERIDO";"Pis_Outubro",#N/A,FALSE,"PIS COFINS";"Iss_Outubro",#N/A,FALSE,"ISS"}</definedName>
    <definedName name="teste4" localSheetId="15" hidden="1">{#N/A,#N/A,FALSE,"HONORÁRIOS"}</definedName>
    <definedName name="teste4" localSheetId="14" hidden="1">{#N/A,#N/A,FALSE,"HONORÁRIOS"}</definedName>
    <definedName name="teste4" localSheetId="2" hidden="1">{#N/A,#N/A,FALSE,"HONORÁRIOS"}</definedName>
    <definedName name="teste4" localSheetId="34" hidden="1">{#N/A,#N/A,FALSE,"HONORÁRIOS"}</definedName>
    <definedName name="teste4" localSheetId="39" hidden="1">{#N/A,#N/A,FALSE,"HONORÁRIOS"}</definedName>
    <definedName name="teste4" localSheetId="8" hidden="1">{#N/A,#N/A,FALSE,"HONORÁRIOS"}</definedName>
    <definedName name="teste4" localSheetId="12" hidden="1">{#N/A,#N/A,FALSE,"HONORÁRIOS"}</definedName>
    <definedName name="teste4" localSheetId="13" hidden="1">{#N/A,#N/A,FALSE,"HONORÁRIOS"}</definedName>
    <definedName name="teste4" localSheetId="11" hidden="1">{#N/A,#N/A,FALSE,"HONORÁRIOS"}</definedName>
    <definedName name="teste4" localSheetId="31" hidden="1">{#N/A,#N/A,FALSE,"HONORÁRIOS"}</definedName>
    <definedName name="teste4" hidden="1">{#N/A,#N/A,FALSE,"HONORÁRIOS"}</definedName>
    <definedName name="teste4_1" localSheetId="15" hidden="1">{#N/A,#N/A,FALSE,"HONORÁRIOS"}</definedName>
    <definedName name="teste4_1" localSheetId="14" hidden="1">{#N/A,#N/A,FALSE,"HONORÁRIOS"}</definedName>
    <definedName name="teste4_1" localSheetId="2" hidden="1">{#N/A,#N/A,FALSE,"HONORÁRIOS"}</definedName>
    <definedName name="teste4_1" localSheetId="34" hidden="1">{#N/A,#N/A,FALSE,"HONORÁRIOS"}</definedName>
    <definedName name="teste4_1" localSheetId="39" hidden="1">{#N/A,#N/A,FALSE,"HONORÁRIOS"}</definedName>
    <definedName name="teste4_1" localSheetId="8" hidden="1">{#N/A,#N/A,FALSE,"HONORÁRIOS"}</definedName>
    <definedName name="teste4_1" localSheetId="12" hidden="1">{#N/A,#N/A,FALSE,"HONORÁRIOS"}</definedName>
    <definedName name="teste4_1" localSheetId="13" hidden="1">{#N/A,#N/A,FALSE,"HONORÁRIOS"}</definedName>
    <definedName name="teste4_1" localSheetId="11" hidden="1">{#N/A,#N/A,FALSE,"HONORÁRIOS"}</definedName>
    <definedName name="teste4_1" localSheetId="31" hidden="1">{#N/A,#N/A,FALSE,"HONORÁRIOS"}</definedName>
    <definedName name="teste4_1" hidden="1">{#N/A,#N/A,FALSE,"HONORÁRIOS"}</definedName>
    <definedName name="teste5" localSheetId="15" hidden="1">{"Fecha_Setembro",#N/A,FALSE,"FECHAMENTO-2002 ";"Defer_Setembro",#N/A,FALSE,"DIFERIDO";"Pis_Setembro",#N/A,FALSE,"PIS COFINS";"Iss_Setembro",#N/A,FALSE,"ISS"}</definedName>
    <definedName name="teste5" localSheetId="14" hidden="1">{"Fecha_Setembro",#N/A,FALSE,"FECHAMENTO-2002 ";"Defer_Setembro",#N/A,FALSE,"DIFERIDO";"Pis_Setembro",#N/A,FALSE,"PIS COFINS";"Iss_Setembro",#N/A,FALSE,"ISS"}</definedName>
    <definedName name="teste5" localSheetId="2" hidden="1">{"Fecha_Setembro",#N/A,FALSE,"FECHAMENTO-2002 ";"Defer_Setembro",#N/A,FALSE,"DIFERIDO";"Pis_Setembro",#N/A,FALSE,"PIS COFINS";"Iss_Setembro",#N/A,FALSE,"ISS"}</definedName>
    <definedName name="teste5" localSheetId="34" hidden="1">{"Fecha_Setembro",#N/A,FALSE,"FECHAMENTO-2002 ";"Defer_Setembro",#N/A,FALSE,"DIFERIDO";"Pis_Setembro",#N/A,FALSE,"PIS COFINS";"Iss_Setembro",#N/A,FALSE,"ISS"}</definedName>
    <definedName name="teste5" localSheetId="39" hidden="1">{"Fecha_Setembro",#N/A,FALSE,"FECHAMENTO-2002 ";"Defer_Setembro",#N/A,FALSE,"DIFERIDO";"Pis_Setembro",#N/A,FALSE,"PIS COFINS";"Iss_Setembro",#N/A,FALSE,"ISS"}</definedName>
    <definedName name="teste5" localSheetId="8" hidden="1">{"Fecha_Setembro",#N/A,FALSE,"FECHAMENTO-2002 ";"Defer_Setembro",#N/A,FALSE,"DIFERIDO";"Pis_Setembro",#N/A,FALSE,"PIS COFINS";"Iss_Setembro",#N/A,FALSE,"ISS"}</definedName>
    <definedName name="teste5" localSheetId="12" hidden="1">{"Fecha_Setembro",#N/A,FALSE,"FECHAMENTO-2002 ";"Defer_Setembro",#N/A,FALSE,"DIFERIDO";"Pis_Setembro",#N/A,FALSE,"PIS COFINS";"Iss_Setembro",#N/A,FALSE,"ISS"}</definedName>
    <definedName name="teste5" localSheetId="13" hidden="1">{"Fecha_Setembro",#N/A,FALSE,"FECHAMENTO-2002 ";"Defer_Setembro",#N/A,FALSE,"DIFERIDO";"Pis_Setembro",#N/A,FALSE,"PIS COFINS";"Iss_Setembro",#N/A,FALSE,"ISS"}</definedName>
    <definedName name="teste5" localSheetId="11" hidden="1">{"Fecha_Setembro",#N/A,FALSE,"FECHAMENTO-2002 ";"Defer_Setembro",#N/A,FALSE,"DIFERIDO";"Pis_Setembro",#N/A,FALSE,"PIS COFINS";"Iss_Setembro",#N/A,FALSE,"ISS"}</definedName>
    <definedName name="teste5" localSheetId="31" hidden="1">{"Fecha_Setembro",#N/A,FALSE,"FECHAMENTO-2002 ";"Defer_Setembro",#N/A,FALSE,"DIFERIDO";"Pis_Setembro",#N/A,FALSE,"PIS COFINS";"Iss_Setembro",#N/A,FALSE,"ISS"}</definedName>
    <definedName name="teste5" hidden="1">{"Fecha_Setembro",#N/A,FALSE,"FECHAMENTO-2002 ";"Defer_Setembro",#N/A,FALSE,"DIFERIDO";"Pis_Setembro",#N/A,FALSE,"PIS COFINS";"Iss_Setembro",#N/A,FALSE,"ISS"}</definedName>
    <definedName name="teste5_1" localSheetId="15" hidden="1">{"Fecha_Setembro",#N/A,FALSE,"FECHAMENTO-2002 ";"Defer_Setembro",#N/A,FALSE,"DIFERIDO";"Pis_Setembro",#N/A,FALSE,"PIS COFINS";"Iss_Setembro",#N/A,FALSE,"ISS"}</definedName>
    <definedName name="teste5_1" localSheetId="14" hidden="1">{"Fecha_Setembro",#N/A,FALSE,"FECHAMENTO-2002 ";"Defer_Setembro",#N/A,FALSE,"DIFERIDO";"Pis_Setembro",#N/A,FALSE,"PIS COFINS";"Iss_Setembro",#N/A,FALSE,"ISS"}</definedName>
    <definedName name="teste5_1" localSheetId="2" hidden="1">{"Fecha_Setembro",#N/A,FALSE,"FECHAMENTO-2002 ";"Defer_Setembro",#N/A,FALSE,"DIFERIDO";"Pis_Setembro",#N/A,FALSE,"PIS COFINS";"Iss_Setembro",#N/A,FALSE,"ISS"}</definedName>
    <definedName name="teste5_1" localSheetId="34" hidden="1">{"Fecha_Setembro",#N/A,FALSE,"FECHAMENTO-2002 ";"Defer_Setembro",#N/A,FALSE,"DIFERIDO";"Pis_Setembro",#N/A,FALSE,"PIS COFINS";"Iss_Setembro",#N/A,FALSE,"ISS"}</definedName>
    <definedName name="teste5_1" localSheetId="39" hidden="1">{"Fecha_Setembro",#N/A,FALSE,"FECHAMENTO-2002 ";"Defer_Setembro",#N/A,FALSE,"DIFERIDO";"Pis_Setembro",#N/A,FALSE,"PIS COFINS";"Iss_Setembro",#N/A,FALSE,"ISS"}</definedName>
    <definedName name="teste5_1" localSheetId="8" hidden="1">{"Fecha_Setembro",#N/A,FALSE,"FECHAMENTO-2002 ";"Defer_Setembro",#N/A,FALSE,"DIFERIDO";"Pis_Setembro",#N/A,FALSE,"PIS COFINS";"Iss_Setembro",#N/A,FALSE,"ISS"}</definedName>
    <definedName name="teste5_1" localSheetId="12" hidden="1">{"Fecha_Setembro",#N/A,FALSE,"FECHAMENTO-2002 ";"Defer_Setembro",#N/A,FALSE,"DIFERIDO";"Pis_Setembro",#N/A,FALSE,"PIS COFINS";"Iss_Setembro",#N/A,FALSE,"ISS"}</definedName>
    <definedName name="teste5_1" localSheetId="13" hidden="1">{"Fecha_Setembro",#N/A,FALSE,"FECHAMENTO-2002 ";"Defer_Setembro",#N/A,FALSE,"DIFERIDO";"Pis_Setembro",#N/A,FALSE,"PIS COFINS";"Iss_Setembro",#N/A,FALSE,"ISS"}</definedName>
    <definedName name="teste5_1" localSheetId="11" hidden="1">{"Fecha_Setembro",#N/A,FALSE,"FECHAMENTO-2002 ";"Defer_Setembro",#N/A,FALSE,"DIFERIDO";"Pis_Setembro",#N/A,FALSE,"PIS COFINS";"Iss_Setembro",#N/A,FALSE,"ISS"}</definedName>
    <definedName name="teste5_1" localSheetId="31" hidden="1">{"Fecha_Setembro",#N/A,FALSE,"FECHAMENTO-2002 ";"Defer_Setembro",#N/A,FALSE,"DIFERIDO";"Pis_Setembro",#N/A,FALSE,"PIS COFINS";"Iss_Setembro",#N/A,FALSE,"ISS"}</definedName>
    <definedName name="teste5_1" hidden="1">{"Fecha_Setembro",#N/A,FALSE,"FECHAMENTO-2002 ";"Defer_Setembro",#N/A,FALSE,"DIFERIDO";"Pis_Setembro",#N/A,FALSE,"PIS COFINS";"Iss_Setembro",#N/A,FALSE,"ISS"}</definedName>
    <definedName name="TextRefCopyRangeCount" hidden="1">15</definedName>
    <definedName name="TImportado" localSheetId="2">#REF!</definedName>
    <definedName name="TImportado">#REF!</definedName>
    <definedName name="TMapa" localSheetId="2">#REF!</definedName>
    <definedName name="TMapa">#REF!</definedName>
    <definedName name="TOTAD" localSheetId="2">#REF!</definedName>
    <definedName name="TOTAD">#REF!</definedName>
    <definedName name="TotalAçúcar" localSheetId="2">#REF!</definedName>
    <definedName name="TotalAçúcar">#REF!</definedName>
    <definedName name="TOTPAR" localSheetId="2">#REF!</definedName>
    <definedName name="TOTPAR">#REF!</definedName>
    <definedName name="TOTPAR1" localSheetId="2">#REF!</definedName>
    <definedName name="TOTPAR1">#REF!</definedName>
    <definedName name="TOTPAR2" localSheetId="2">#REF!</definedName>
    <definedName name="TOTPAR2">#REF!</definedName>
    <definedName name="TOTUN" localSheetId="2">#REF!</definedName>
    <definedName name="TOTUN">#REF!</definedName>
    <definedName name="TOutros" localSheetId="2">#REF!</definedName>
    <definedName name="TOutros">#REF!</definedName>
    <definedName name="TTTTTTT" localSheetId="15" hidden="1">{"Bradesco 1",#N/A,TRUE,"Bradesco acc_dil";"Bradesco2",#N/A,TRUE,"Bradesco acc_dil";"Bradesco3",#N/A,TRUE,"Bradesco's RWA analysis";"Unibanco1",#N/A,TRUE,"Unibanco acc_dil ";"Unibanco2",#N/A,TRUE,"Unibanco acc_dil ";"Unibanco3",#N/A,TRUE,"Unibanco's RWA analysis"}</definedName>
    <definedName name="TTTTTTT" localSheetId="14"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localSheetId="39" hidden="1">{"Bradesco 1",#N/A,TRUE,"Bradesco acc_dil";"Bradesco2",#N/A,TRUE,"Bradesco acc_dil";"Bradesco3",#N/A,TRUE,"Bradesco's RWA analysis";"Unibanco1",#N/A,TRUE,"Unibanco acc_dil ";"Unibanco2",#N/A,TRUE,"Unibanco acc_dil ";"Unibanco3",#N/A,TRUE,"Unibanco's RWA analysis"}</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UGEFRYGDFYGYRG" localSheetId="15" hidden="1">{"TotalGeralDespesasPorArea",#N/A,FALSE,"VinculosAccessEfetivo"}</definedName>
    <definedName name="UGEFRYGDFYGYRG" localSheetId="14" hidden="1">{"TotalGeralDespesasPorArea",#N/A,FALSE,"VinculosAccessEfetivo"}</definedName>
    <definedName name="UGEFRYGDFYGYRG" localSheetId="2" hidden="1">{"TotalGeralDespesasPorArea",#N/A,FALSE,"VinculosAccessEfetivo"}</definedName>
    <definedName name="UGEFRYGDFYGYRG" localSheetId="34" hidden="1">{"TotalGeralDespesasPorArea",#N/A,FALSE,"VinculosAccessEfetivo"}</definedName>
    <definedName name="UGEFRYGDFYGYRG" localSheetId="39" hidden="1">{"TotalGeralDespesasPorArea",#N/A,FALSE,"VinculosAccessEfetivo"}</definedName>
    <definedName name="UGEFRYGDFYGYRG" localSheetId="8" hidden="1">{"TotalGeralDespesasPorArea",#N/A,FALSE,"VinculosAccessEfetivo"}</definedName>
    <definedName name="UGEFRYGDFYGYRG" localSheetId="12" hidden="1">{"TotalGeralDespesasPorArea",#N/A,FALSE,"VinculosAccessEfetivo"}</definedName>
    <definedName name="UGEFRYGDFYGYRG" localSheetId="13" hidden="1">{"TotalGeralDespesasPorArea",#N/A,FALSE,"VinculosAccessEfetivo"}</definedName>
    <definedName name="UGEFRYGDFYGYRG" localSheetId="11" hidden="1">{"TotalGeralDespesasPorArea",#N/A,FALSE,"VinculosAccessEfetivo"}</definedName>
    <definedName name="UGEFRYGDFYGYRG" localSheetId="31" hidden="1">{"TotalGeralDespesasPorArea",#N/A,FALSE,"VinculosAccessEfetivo"}</definedName>
    <definedName name="UGEFRYGDFYGYRG" hidden="1">{"TotalGeralDespesasPorArea",#N/A,FALSE,"VinculosAccessEfetivo"}</definedName>
    <definedName name="UNIC" localSheetId="2">#REF!</definedName>
    <definedName name="UNIC">#REF!</definedName>
    <definedName name="UNICOP" localSheetId="2">#REF!</definedName>
    <definedName name="UNICOP">#REF!</definedName>
    <definedName name="UNICOP1" localSheetId="2">#REF!</definedName>
    <definedName name="UNICOP1">#REF!</definedName>
    <definedName name="UNICOP2" localSheetId="2">#REF!</definedName>
    <definedName name="UNICOP2">#REF!</definedName>
    <definedName name="UNICOP3" localSheetId="2">#REF!</definedName>
    <definedName name="UNICOP3">#REF!</definedName>
    <definedName name="Unimodal" localSheetId="2">#REF!</definedName>
    <definedName name="Unimodal">#REF!</definedName>
    <definedName name="ush">#REF!</definedName>
    <definedName name="VALOR" localSheetId="2">#REF!</definedName>
    <definedName name="VALOR">#REF!</definedName>
    <definedName name="VALOR1" localSheetId="2">#REF!</definedName>
    <definedName name="VALOR1">#REF!</definedName>
    <definedName name="VALOR2" localSheetId="2">#REF!</definedName>
    <definedName name="VALOR2">#REF!</definedName>
    <definedName name="VALOR3" localSheetId="2">#REF!</definedName>
    <definedName name="VALOR3">#REF!</definedName>
    <definedName name="ver">#REF!</definedName>
    <definedName name="vf" localSheetId="15" hidden="1">{"Bradesco 1",#N/A,TRUE,"Bradesco acc_dil";"Bradesco2",#N/A,TRUE,"Bradesco acc_dil";"Bradesco3",#N/A,TRUE,"Bradesco's RWA analysis";"Unibanco1",#N/A,TRUE,"Unibanco acc_dil ";"Unibanco2",#N/A,TRUE,"Unibanco acc_dil ";"Unibanco3",#N/A,TRUE,"Unibanco's RWA analysis"}</definedName>
    <definedName name="vf" localSheetId="14"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localSheetId="39" hidden="1">{"Bradesco 1",#N/A,TRUE,"Bradesco acc_dil";"Bradesco2",#N/A,TRUE,"Bradesco acc_dil";"Bradesco3",#N/A,TRUE,"Bradesco's RWA analysis";"Unibanco1",#N/A,TRUE,"Unibanco acc_dil ";"Unibanco2",#N/A,TRUE,"Unibanco acc_dil ";"Unibanco3",#N/A,TRUE,"Unibanco's RWA analysis"}</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VolxPreço" localSheetId="2">#REF!</definedName>
    <definedName name="VolxPreço">#REF!</definedName>
    <definedName name="wef"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L" localSheetId="2">#REF!</definedName>
    <definedName name="WEL">#REF!</definedName>
    <definedName name="WEWE" localSheetId="15" hidden="1">{"Fecha_Novembro",#N/A,FALSE,"FECHAMENTO-2002 ";"Defer_Novembro",#N/A,FALSE,"DIFERIDO";"Pis_Novembro",#N/A,FALSE,"PIS COFINS";"Iss_Novembro",#N/A,FALSE,"ISS"}</definedName>
    <definedName name="WEWE" localSheetId="14" hidden="1">{"Fecha_Novembro",#N/A,FALSE,"FECHAMENTO-2002 ";"Defer_Novembro",#N/A,FALSE,"DIFERIDO";"Pis_Novembro",#N/A,FALSE,"PIS COFINS";"Iss_Novembro",#N/A,FALSE,"ISS"}</definedName>
    <definedName name="WEWE" localSheetId="2" hidden="1">{"Fecha_Novembro",#N/A,FALSE,"FECHAMENTO-2002 ";"Defer_Novembro",#N/A,FALSE,"DIFERIDO";"Pis_Novembro",#N/A,FALSE,"PIS COFINS";"Iss_Novembro",#N/A,FALSE,"ISS"}</definedName>
    <definedName name="WEWE" localSheetId="34" hidden="1">{"Fecha_Novembro",#N/A,FALSE,"FECHAMENTO-2002 ";"Defer_Novembro",#N/A,FALSE,"DIFERIDO";"Pis_Novembro",#N/A,FALSE,"PIS COFINS";"Iss_Novembro",#N/A,FALSE,"ISS"}</definedName>
    <definedName name="WEWE" localSheetId="39" hidden="1">{"Fecha_Novembro",#N/A,FALSE,"FECHAMENTO-2002 ";"Defer_Novembro",#N/A,FALSE,"DIFERIDO";"Pis_Novembro",#N/A,FALSE,"PIS COFINS";"Iss_Novembro",#N/A,FALSE,"ISS"}</definedName>
    <definedName name="WEWE" localSheetId="8" hidden="1">{"Fecha_Novembro",#N/A,FALSE,"FECHAMENTO-2002 ";"Defer_Novembro",#N/A,FALSE,"DIFERIDO";"Pis_Novembro",#N/A,FALSE,"PIS COFINS";"Iss_Novembro",#N/A,FALSE,"ISS"}</definedName>
    <definedName name="WEWE" localSheetId="12" hidden="1">{"Fecha_Novembro",#N/A,FALSE,"FECHAMENTO-2002 ";"Defer_Novembro",#N/A,FALSE,"DIFERIDO";"Pis_Novembro",#N/A,FALSE,"PIS COFINS";"Iss_Novembro",#N/A,FALSE,"ISS"}</definedName>
    <definedName name="WEWE" localSheetId="13" hidden="1">{"Fecha_Novembro",#N/A,FALSE,"FECHAMENTO-2002 ";"Defer_Novembro",#N/A,FALSE,"DIFERIDO";"Pis_Novembro",#N/A,FALSE,"PIS COFINS";"Iss_Novembro",#N/A,FALSE,"ISS"}</definedName>
    <definedName name="WEWE" localSheetId="11" hidden="1">{"Fecha_Novembro",#N/A,FALSE,"FECHAMENTO-2002 ";"Defer_Novembro",#N/A,FALSE,"DIFERIDO";"Pis_Novembro",#N/A,FALSE,"PIS COFINS";"Iss_Novembro",#N/A,FALSE,"ISS"}</definedName>
    <definedName name="WEWE" localSheetId="31" hidden="1">{"Fecha_Novembro",#N/A,FALSE,"FECHAMENTO-2002 ";"Defer_Novembro",#N/A,FALSE,"DIFERIDO";"Pis_Novembro",#N/A,FALSE,"PIS COFINS";"Iss_Novembro",#N/A,FALSE,"ISS"}</definedName>
    <definedName name="WEWE" hidden="1">{"Fecha_Novembro",#N/A,FALSE,"FECHAMENTO-2002 ";"Defer_Novembro",#N/A,FALSE,"DIFERIDO";"Pis_Novembro",#N/A,FALSE,"PIS COFINS";"Iss_Novembro",#N/A,FALSE,"ISS"}</definedName>
    <definedName name="wq" localSheetId="15" hidden="1">{"'PXR_6500'!$A$1:$I$124"}</definedName>
    <definedName name="wq" localSheetId="14" hidden="1">{"'PXR_6500'!$A$1:$I$124"}</definedName>
    <definedName name="wq" localSheetId="2" hidden="1">{"'PXR_6500'!$A$1:$I$124"}</definedName>
    <definedName name="wq" localSheetId="34" hidden="1">{"'PXR_6500'!$A$1:$I$124"}</definedName>
    <definedName name="wq" localSheetId="39" hidden="1">{"'PXR_6500'!$A$1:$I$124"}</definedName>
    <definedName name="wq" localSheetId="8" hidden="1">{"'PXR_6500'!$A$1:$I$124"}</definedName>
    <definedName name="wq" localSheetId="12" hidden="1">{"'PXR_6500'!$A$1:$I$124"}</definedName>
    <definedName name="wq" localSheetId="13" hidden="1">{"'PXR_6500'!$A$1:$I$124"}</definedName>
    <definedName name="wq" localSheetId="11" hidden="1">{"'PXR_6500'!$A$1:$I$124"}</definedName>
    <definedName name="wq" localSheetId="31" hidden="1">{"'PXR_6500'!$A$1:$I$124"}</definedName>
    <definedName name="wq" hidden="1">{"'PXR_6500'!$A$1:$I$124"}</definedName>
    <definedName name="wrn.1." localSheetId="15" hidden="1">{#N/A,#N/A,FALSE,"Calc";#N/A,#N/A,FALSE,"Sensitivity";#N/A,#N/A,FALSE,"LT Earn.Dil.";#N/A,#N/A,FALSE,"Dil. AVP"}</definedName>
    <definedName name="wrn.1." localSheetId="14" hidden="1">{#N/A,#N/A,FALSE,"Calc";#N/A,#N/A,FALSE,"Sensitivity";#N/A,#N/A,FALSE,"LT Earn.Dil.";#N/A,#N/A,FALSE,"Dil. AVP"}</definedName>
    <definedName name="wrn.1." localSheetId="2" hidden="1">{#N/A,#N/A,FALSE,"Calc";#N/A,#N/A,FALSE,"Sensitivity";#N/A,#N/A,FALSE,"LT Earn.Dil.";#N/A,#N/A,FALSE,"Dil. AVP"}</definedName>
    <definedName name="wrn.1." localSheetId="34" hidden="1">{#N/A,#N/A,FALSE,"Calc";#N/A,#N/A,FALSE,"Sensitivity";#N/A,#N/A,FALSE,"LT Earn.Dil.";#N/A,#N/A,FALSE,"Dil. AVP"}</definedName>
    <definedName name="wrn.1." localSheetId="39" hidden="1">{#N/A,#N/A,FALSE,"Calc";#N/A,#N/A,FALSE,"Sensitivity";#N/A,#N/A,FALSE,"LT Earn.Dil.";#N/A,#N/A,FALSE,"Dil. AVP"}</definedName>
    <definedName name="wrn.1." localSheetId="8" hidden="1">{#N/A,#N/A,FALSE,"Calc";#N/A,#N/A,FALSE,"Sensitivity";#N/A,#N/A,FALSE,"LT Earn.Dil.";#N/A,#N/A,FALSE,"Dil. AVP"}</definedName>
    <definedName name="wrn.1." localSheetId="12" hidden="1">{#N/A,#N/A,FALSE,"Calc";#N/A,#N/A,FALSE,"Sensitivity";#N/A,#N/A,FALSE,"LT Earn.Dil.";#N/A,#N/A,FALSE,"Dil. AVP"}</definedName>
    <definedName name="wrn.1." localSheetId="13" hidden="1">{#N/A,#N/A,FALSE,"Calc";#N/A,#N/A,FALSE,"Sensitivity";#N/A,#N/A,FALSE,"LT Earn.Dil.";#N/A,#N/A,FALSE,"Dil. AVP"}</definedName>
    <definedName name="wrn.1." localSheetId="11" hidden="1">{#N/A,#N/A,FALSE,"Calc";#N/A,#N/A,FALSE,"Sensitivity";#N/A,#N/A,FALSE,"LT Earn.Dil.";#N/A,#N/A,FALSE,"Dil. AVP"}</definedName>
    <definedName name="wrn.1." localSheetId="31" hidden="1">{#N/A,#N/A,FALSE,"Calc";#N/A,#N/A,FALSE,"Sensitivity";#N/A,#N/A,FALSE,"LT Earn.Dil.";#N/A,#N/A,FALSE,"Dil. AVP"}</definedName>
    <definedName name="wrn.1." hidden="1">{#N/A,#N/A,FALSE,"Calc";#N/A,#N/A,FALSE,"Sensitivity";#N/A,#N/A,FALSE,"LT Earn.Dil.";#N/A,#N/A,FALSE,"Dil. AVP"}</definedName>
    <definedName name="WRN.2." localSheetId="15" hidden="1">{#N/A,#N/A,FALSE,"Calc";#N/A,#N/A,FALSE,"Sensitivity";#N/A,#N/A,FALSE,"LT Earn.Dil.";#N/A,#N/A,FALSE,"Dil. AVP"}</definedName>
    <definedName name="WRN.2." localSheetId="14" hidden="1">{#N/A,#N/A,FALSE,"Calc";#N/A,#N/A,FALSE,"Sensitivity";#N/A,#N/A,FALSE,"LT Earn.Dil.";#N/A,#N/A,FALSE,"Dil. AVP"}</definedName>
    <definedName name="WRN.2." localSheetId="2" hidden="1">{#N/A,#N/A,FALSE,"Calc";#N/A,#N/A,FALSE,"Sensitivity";#N/A,#N/A,FALSE,"LT Earn.Dil.";#N/A,#N/A,FALSE,"Dil. AVP"}</definedName>
    <definedName name="WRN.2." localSheetId="34" hidden="1">{#N/A,#N/A,FALSE,"Calc";#N/A,#N/A,FALSE,"Sensitivity";#N/A,#N/A,FALSE,"LT Earn.Dil.";#N/A,#N/A,FALSE,"Dil. AVP"}</definedName>
    <definedName name="WRN.2." localSheetId="39" hidden="1">{#N/A,#N/A,FALSE,"Calc";#N/A,#N/A,FALSE,"Sensitivity";#N/A,#N/A,FALSE,"LT Earn.Dil.";#N/A,#N/A,FALSE,"Dil. AVP"}</definedName>
    <definedName name="WRN.2." localSheetId="8" hidden="1">{#N/A,#N/A,FALSE,"Calc";#N/A,#N/A,FALSE,"Sensitivity";#N/A,#N/A,FALSE,"LT Earn.Dil.";#N/A,#N/A,FALSE,"Dil. AVP"}</definedName>
    <definedName name="WRN.2." localSheetId="12" hidden="1">{#N/A,#N/A,FALSE,"Calc";#N/A,#N/A,FALSE,"Sensitivity";#N/A,#N/A,FALSE,"LT Earn.Dil.";#N/A,#N/A,FALSE,"Dil. AVP"}</definedName>
    <definedName name="WRN.2." localSheetId="13" hidden="1">{#N/A,#N/A,FALSE,"Calc";#N/A,#N/A,FALSE,"Sensitivity";#N/A,#N/A,FALSE,"LT Earn.Dil.";#N/A,#N/A,FALSE,"Dil. AVP"}</definedName>
    <definedName name="WRN.2." localSheetId="11" hidden="1">{#N/A,#N/A,FALSE,"Calc";#N/A,#N/A,FALSE,"Sensitivity";#N/A,#N/A,FALSE,"LT Earn.Dil.";#N/A,#N/A,FALSE,"Dil. AVP"}</definedName>
    <definedName name="WRN.2." localSheetId="31" hidden="1">{#N/A,#N/A,FALSE,"Calc";#N/A,#N/A,FALSE,"Sensitivity";#N/A,#N/A,FALSE,"LT Earn.Dil.";#N/A,#N/A,FALSE,"Dil. AVP"}</definedName>
    <definedName name="WRN.2." hidden="1">{#N/A,#N/A,FALSE,"Calc";#N/A,#N/A,FALSE,"Sensitivity";#N/A,#N/A,FALSE,"LT Earn.Dil.";#N/A,#N/A,FALSE,"Dil. AVP"}</definedName>
    <definedName name="wrn.50._.50." localSheetId="15" hidden="1">{"assumption 50 50",#N/A,TRUE,"Merger";"has gets cash",#N/A,TRUE,"Merger";"accretion dilution",#N/A,TRUE,"Merger";"comparison credit stats",#N/A,TRUE,"Merger";"pf credit stats",#N/A,TRUE,"Merger";"pf sheets",#N/A,TRUE,"Merger"}</definedName>
    <definedName name="wrn.50._.50." localSheetId="14" hidden="1">{"assumption 50 50",#N/A,TRUE,"Merger";"has gets cash",#N/A,TRUE,"Merger";"accretion dilution",#N/A,TRUE,"Merger";"comparison credit stats",#N/A,TRUE,"Merger";"pf credit stats",#N/A,TRUE,"Merger";"pf sheets",#N/A,TRUE,"Merger"}</definedName>
    <definedName name="wrn.50._.50." localSheetId="2" hidden="1">{"assumption 50 50",#N/A,TRUE,"Merger";"has gets cash",#N/A,TRUE,"Merger";"accretion dilution",#N/A,TRUE,"Merger";"comparison credit stats",#N/A,TRUE,"Merger";"pf credit stats",#N/A,TRUE,"Merger";"pf sheets",#N/A,TRUE,"Merger"}</definedName>
    <definedName name="wrn.50._.50." localSheetId="34" hidden="1">{"assumption 50 50",#N/A,TRUE,"Merger";"has gets cash",#N/A,TRUE,"Merger";"accretion dilution",#N/A,TRUE,"Merger";"comparison credit stats",#N/A,TRUE,"Merger";"pf credit stats",#N/A,TRUE,"Merger";"pf sheets",#N/A,TRUE,"Merger"}</definedName>
    <definedName name="wrn.50._.50." localSheetId="39" hidden="1">{"assumption 50 50",#N/A,TRUE,"Merger";"has gets cash",#N/A,TRUE,"Merger";"accretion dilution",#N/A,TRUE,"Merger";"comparison credit stats",#N/A,TRUE,"Merger";"pf credit stats",#N/A,TRUE,"Merger";"pf sheets",#N/A,TRUE,"Merger"}</definedName>
    <definedName name="wrn.50._.50." localSheetId="8" hidden="1">{"assumption 50 50",#N/A,TRUE,"Merger";"has gets cash",#N/A,TRUE,"Merger";"accretion dilution",#N/A,TRUE,"Merger";"comparison credit stats",#N/A,TRUE,"Merger";"pf credit stats",#N/A,TRUE,"Merger";"pf sheets",#N/A,TRUE,"Merger"}</definedName>
    <definedName name="wrn.50._.50." localSheetId="12" hidden="1">{"assumption 50 50",#N/A,TRUE,"Merger";"has gets cash",#N/A,TRUE,"Merger";"accretion dilution",#N/A,TRUE,"Merger";"comparison credit stats",#N/A,TRUE,"Merger";"pf credit stats",#N/A,TRUE,"Merger";"pf sheets",#N/A,TRUE,"Merger"}</definedName>
    <definedName name="wrn.50._.50." localSheetId="13" hidden="1">{"assumption 50 50",#N/A,TRUE,"Merger";"has gets cash",#N/A,TRUE,"Merger";"accretion dilution",#N/A,TRUE,"Merger";"comparison credit stats",#N/A,TRUE,"Merger";"pf credit stats",#N/A,TRUE,"Merger";"pf sheets",#N/A,TRUE,"Merger"}</definedName>
    <definedName name="wrn.50._.50." localSheetId="11" hidden="1">{"assumption 50 50",#N/A,TRUE,"Merger";"has gets cash",#N/A,TRUE,"Merger";"accretion dilution",#N/A,TRUE,"Merger";"comparison credit stats",#N/A,TRUE,"Merger";"pf credit stats",#N/A,TRUE,"Merger";"pf sheets",#N/A,TRUE,"Merger"}</definedName>
    <definedName name="wrn.50._.50." localSheetId="31"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administracion." localSheetId="15" hidden="1">{#N/A,#N/A,FALSE,"CARATULA GENERAL";#N/A,#N/A,FALSE,"GSxDIRECCION";#N/A,#N/A,FALSE,"Caratula";#N/A,#N/A,FALSE,"GSxCTRO";#N/A,#N/A,FALSE,"GsAdm.Centr";#N/A,#N/A,FALSE,"Dir.Gral";#N/A,#N/A,FALSE,"AdmyFzas";#N/A,#N/A,FALSE,"Sistemas";#N/A,#N/A,FALSE,"RRHH"}</definedName>
    <definedName name="wrn.administracion." localSheetId="14" hidden="1">{#N/A,#N/A,FALSE,"CARATULA GENERAL";#N/A,#N/A,FALSE,"GSxDIRECCION";#N/A,#N/A,FALSE,"Caratula";#N/A,#N/A,FALSE,"GSxCTRO";#N/A,#N/A,FALSE,"GsAdm.Centr";#N/A,#N/A,FALSE,"Dir.Gral";#N/A,#N/A,FALSE,"AdmyFzas";#N/A,#N/A,FALSE,"Sistemas";#N/A,#N/A,FALSE,"RRHH"}</definedName>
    <definedName name="wrn.administracion." localSheetId="2" hidden="1">{#N/A,#N/A,FALSE,"CARATULA GENERAL";#N/A,#N/A,FALSE,"GSxDIRECCION";#N/A,#N/A,FALSE,"Caratula";#N/A,#N/A,FALSE,"GSxCTRO";#N/A,#N/A,FALSE,"GsAdm.Centr";#N/A,#N/A,FALSE,"Dir.Gral";#N/A,#N/A,FALSE,"AdmyFzas";#N/A,#N/A,FALSE,"Sistemas";#N/A,#N/A,FALSE,"RRHH"}</definedName>
    <definedName name="wrn.administracion." localSheetId="34" hidden="1">{#N/A,#N/A,FALSE,"CARATULA GENERAL";#N/A,#N/A,FALSE,"GSxDIRECCION";#N/A,#N/A,FALSE,"Caratula";#N/A,#N/A,FALSE,"GSxCTRO";#N/A,#N/A,FALSE,"GsAdm.Centr";#N/A,#N/A,FALSE,"Dir.Gral";#N/A,#N/A,FALSE,"AdmyFzas";#N/A,#N/A,FALSE,"Sistemas";#N/A,#N/A,FALSE,"RRHH"}</definedName>
    <definedName name="wrn.administracion." localSheetId="39" hidden="1">{#N/A,#N/A,FALSE,"CARATULA GENERAL";#N/A,#N/A,FALSE,"GSxDIRECCION";#N/A,#N/A,FALSE,"Caratula";#N/A,#N/A,FALSE,"GSxCTRO";#N/A,#N/A,FALSE,"GsAdm.Centr";#N/A,#N/A,FALSE,"Dir.Gral";#N/A,#N/A,FALSE,"AdmyFzas";#N/A,#N/A,FALSE,"Sistemas";#N/A,#N/A,FALSE,"RRHH"}</definedName>
    <definedName name="wrn.administracion." localSheetId="8" hidden="1">{#N/A,#N/A,FALSE,"CARATULA GENERAL";#N/A,#N/A,FALSE,"GSxDIRECCION";#N/A,#N/A,FALSE,"Caratula";#N/A,#N/A,FALSE,"GSxCTRO";#N/A,#N/A,FALSE,"GsAdm.Centr";#N/A,#N/A,FALSE,"Dir.Gral";#N/A,#N/A,FALSE,"AdmyFzas";#N/A,#N/A,FALSE,"Sistemas";#N/A,#N/A,FALSE,"RRHH"}</definedName>
    <definedName name="wrn.administracion." localSheetId="12" hidden="1">{#N/A,#N/A,FALSE,"CARATULA GENERAL";#N/A,#N/A,FALSE,"GSxDIRECCION";#N/A,#N/A,FALSE,"Caratula";#N/A,#N/A,FALSE,"GSxCTRO";#N/A,#N/A,FALSE,"GsAdm.Centr";#N/A,#N/A,FALSE,"Dir.Gral";#N/A,#N/A,FALSE,"AdmyFzas";#N/A,#N/A,FALSE,"Sistemas";#N/A,#N/A,FALSE,"RRHH"}</definedName>
    <definedName name="wrn.administracion." localSheetId="13" hidden="1">{#N/A,#N/A,FALSE,"CARATULA GENERAL";#N/A,#N/A,FALSE,"GSxDIRECCION";#N/A,#N/A,FALSE,"Caratula";#N/A,#N/A,FALSE,"GSxCTRO";#N/A,#N/A,FALSE,"GsAdm.Centr";#N/A,#N/A,FALSE,"Dir.Gral";#N/A,#N/A,FALSE,"AdmyFzas";#N/A,#N/A,FALSE,"Sistemas";#N/A,#N/A,FALSE,"RRHH"}</definedName>
    <definedName name="wrn.administracion." localSheetId="11" hidden="1">{#N/A,#N/A,FALSE,"CARATULA GENERAL";#N/A,#N/A,FALSE,"GSxDIRECCION";#N/A,#N/A,FALSE,"Caratula";#N/A,#N/A,FALSE,"GSxCTRO";#N/A,#N/A,FALSE,"GsAdm.Centr";#N/A,#N/A,FALSE,"Dir.Gral";#N/A,#N/A,FALSE,"AdmyFzas";#N/A,#N/A,FALSE,"Sistemas";#N/A,#N/A,FALSE,"RRHH"}</definedName>
    <definedName name="wrn.administracion." localSheetId="31" hidden="1">{#N/A,#N/A,FALSE,"CARATULA GENERAL";#N/A,#N/A,FALSE,"GSxDIRECCION";#N/A,#N/A,FALSE,"Caratula";#N/A,#N/A,FALSE,"GSxCTRO";#N/A,#N/A,FALSE,"GsAdm.Centr";#N/A,#N/A,FALSE,"Dir.Gral";#N/A,#N/A,FALSE,"AdmyFzas";#N/A,#N/A,FALSE,"Sistemas";#N/A,#N/A,FALSE,"RRHH"}</definedName>
    <definedName name="wrn.administracion." hidden="1">{#N/A,#N/A,FALSE,"CARATULA GENERAL";#N/A,#N/A,FALSE,"GSxDIRECCION";#N/A,#N/A,FALSE,"Caratula";#N/A,#N/A,FALSE,"GSxCTRO";#N/A,#N/A,FALSE,"GsAdm.Centr";#N/A,#N/A,FALSE,"Dir.Gral";#N/A,#N/A,FALSE,"AdmyFzas";#N/A,#N/A,FALSE,"Sistemas";#N/A,#N/A,FALSE,"RRHH"}</definedName>
    <definedName name="wrn.Advertising._.Acum._.Julio._.00." localSheetId="15" hidden="1">{#N/A,#N/A,FALSE,"Acum Julio - 00"}</definedName>
    <definedName name="wrn.Advertising._.Acum._.Julio._.00." localSheetId="3" hidden="1">{#N/A,#N/A,FALSE,"Acum Julio - 00"}</definedName>
    <definedName name="wrn.Advertising._.Acum._.Julio._.00." localSheetId="14" hidden="1">{#N/A,#N/A,FALSE,"Acum Julio - 00"}</definedName>
    <definedName name="wrn.Advertising._.Acum._.Julio._.00." localSheetId="2" hidden="1">{#N/A,#N/A,FALSE,"Acum Julio - 00"}</definedName>
    <definedName name="wrn.Advertising._.Acum._.Julio._.00." localSheetId="34" hidden="1">{#N/A,#N/A,FALSE,"Acum Julio - 00"}</definedName>
    <definedName name="wrn.Advertising._.Acum._.Julio._.00." localSheetId="39" hidden="1">{#N/A,#N/A,FALSE,"Acum Julio - 00"}</definedName>
    <definedName name="wrn.Advertising._.Acum._.Julio._.00." localSheetId="8" hidden="1">{#N/A,#N/A,FALSE,"Acum Julio - 00"}</definedName>
    <definedName name="wrn.Advertising._.Acum._.Julio._.00." localSheetId="12" hidden="1">{#N/A,#N/A,FALSE,"Acum Julio - 00"}</definedName>
    <definedName name="wrn.Advertising._.Acum._.Julio._.00." localSheetId="13" hidden="1">{#N/A,#N/A,FALSE,"Acum Julio - 00"}</definedName>
    <definedName name="wrn.Advertising._.Acum._.Julio._.00." localSheetId="11" hidden="1">{#N/A,#N/A,FALSE,"Acum Julio - 00"}</definedName>
    <definedName name="wrn.Advertising._.Acum._.Julio._.00." localSheetId="31" hidden="1">{#N/A,#N/A,FALSE,"Acum Julio - 00"}</definedName>
    <definedName name="wrn.Advertising._.Acum._.Julio._.00." hidden="1">{#N/A,#N/A,FALSE,"Acum Julio - 00"}</definedName>
    <definedName name="wrn.Aging._.and._.Trend._.Analysis." localSheetId="15"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34" hidden="1">{#N/A,#N/A,FALSE,"Aging Summary";#N/A,#N/A,FALSE,"Ratio Analysis";#N/A,#N/A,FALSE,"Test 120 Day Accts";#N/A,#N/A,FALSE,"Tickmarks"}</definedName>
    <definedName name="wrn.Aging._.and._.Trend._.Analysis." localSheetId="39"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localSheetId="3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5" hidden="1">{#N/A,#N/A,FALSE,"Aging Summary";#N/A,#N/A,FALSE,"Ratio Analysis";#N/A,#N/A,FALSE,"Test 120 Day Accts";#N/A,#N/A,FALSE,"Tickmarks"}</definedName>
    <definedName name="wrn.Aging._.and._.Trend._.Analysis._1" localSheetId="14" hidden="1">{#N/A,#N/A,FALSE,"Aging Summary";#N/A,#N/A,FALSE,"Ratio Analysis";#N/A,#N/A,FALSE,"Test 120 Day Accts";#N/A,#N/A,FALSE,"Tickmarks"}</definedName>
    <definedName name="wrn.Aging._.and._.Trend._.Analysis._1" localSheetId="2" hidden="1">{#N/A,#N/A,FALSE,"Aging Summary";#N/A,#N/A,FALSE,"Ratio Analysis";#N/A,#N/A,FALSE,"Test 120 Day Accts";#N/A,#N/A,FALSE,"Tickmarks"}</definedName>
    <definedName name="wrn.Aging._.and._.Trend._.Analysis._1" localSheetId="34" hidden="1">{#N/A,#N/A,FALSE,"Aging Summary";#N/A,#N/A,FALSE,"Ratio Analysis";#N/A,#N/A,FALSE,"Test 120 Day Accts";#N/A,#N/A,FALSE,"Tickmarks"}</definedName>
    <definedName name="wrn.Aging._.and._.Trend._.Analysis._1" localSheetId="39" hidden="1">{#N/A,#N/A,FALSE,"Aging Summary";#N/A,#N/A,FALSE,"Ratio Analysis";#N/A,#N/A,FALSE,"Test 120 Day Accts";#N/A,#N/A,FALSE,"Tickmarks"}</definedName>
    <definedName name="wrn.Aging._.and._.Trend._.Analysis._1" localSheetId="8" hidden="1">{#N/A,#N/A,FALSE,"Aging Summary";#N/A,#N/A,FALSE,"Ratio Analysis";#N/A,#N/A,FALSE,"Test 120 Day Accts";#N/A,#N/A,FALSE,"Tickmarks"}</definedName>
    <definedName name="wrn.Aging._.and._.Trend._.Analysis._1" localSheetId="12" hidden="1">{#N/A,#N/A,FALSE,"Aging Summary";#N/A,#N/A,FALSE,"Ratio Analysis";#N/A,#N/A,FALSE,"Test 120 Day Accts";#N/A,#N/A,FALSE,"Tickmarks"}</definedName>
    <definedName name="wrn.Aging._.and._.Trend._.Analysis._1" localSheetId="13" hidden="1">{#N/A,#N/A,FALSE,"Aging Summary";#N/A,#N/A,FALSE,"Ratio Analysis";#N/A,#N/A,FALSE,"Test 120 Day Accts";#N/A,#N/A,FALSE,"Tickmarks"}</definedName>
    <definedName name="wrn.Aging._.and._.Trend._.Analysis._1" localSheetId="11" hidden="1">{#N/A,#N/A,FALSE,"Aging Summary";#N/A,#N/A,FALSE,"Ratio Analysis";#N/A,#N/A,FALSE,"Test 120 Day Accts";#N/A,#N/A,FALSE,"Tickmarks"}</definedName>
    <definedName name="wrn.Aging._.and._.Trend._.Analysis._1" localSheetId="31"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_.comps." localSheetId="15" hidden="1">{"equity comps",#N/A,FALSE,"CS Comps";"equity comps",#N/A,FALSE,"PS Comps";"equity comps",#N/A,FALSE,"GIC_Comps";"equity comps",#N/A,FALSE,"GIC2_Comps";"debt comps",#N/A,FALSE,"CS Comps";"debt comps",#N/A,FALSE,"PS Comps";"debt comps",#N/A,FALSE,"GIC_Comps";"debt comps",#N/A,FALSE,"GIC2_Comps"}</definedName>
    <definedName name="wrn.all._.comps." localSheetId="14" hidden="1">{"equity comps",#N/A,FALSE,"CS Comps";"equity comps",#N/A,FALSE,"PS Comps";"equity comps",#N/A,FALSE,"GIC_Comps";"equity comps",#N/A,FALSE,"GIC2_Comps";"debt comps",#N/A,FALSE,"CS Comps";"debt comps",#N/A,FALSE,"PS Comps";"debt comps",#N/A,FALSE,"GIC_Comps";"debt comps",#N/A,FALSE,"GIC2_Comps"}</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34" hidden="1">{"equity comps",#N/A,FALSE,"CS Comps";"equity comps",#N/A,FALSE,"PS Comps";"equity comps",#N/A,FALSE,"GIC_Comps";"equity comps",#N/A,FALSE,"GIC2_Comps";"debt comps",#N/A,FALSE,"CS Comps";"debt comps",#N/A,FALSE,"PS Comps";"debt comps",#N/A,FALSE,"GIC_Comps";"debt comps",#N/A,FALSE,"GIC2_Comps"}</definedName>
    <definedName name="wrn.all._.comps." localSheetId="39" hidden="1">{"equity comps",#N/A,FALSE,"CS Comps";"equity comps",#N/A,FALSE,"PS Comps";"equity comps",#N/A,FALSE,"GIC_Comps";"equity comps",#N/A,FALSE,"GIC2_Comps";"debt comps",#N/A,FALSE,"CS Comps";"debt comps",#N/A,FALSE,"PS Comps";"debt comps",#N/A,FALSE,"GIC_Comps";"debt comps",#N/A,FALSE,"GIC2_Comps"}</definedName>
    <definedName name="wrn.all._.comps." localSheetId="8" hidden="1">{"equity comps",#N/A,FALSE,"CS Comps";"equity comps",#N/A,FALSE,"PS Comps";"equity comps",#N/A,FALSE,"GIC_Comps";"equity comps",#N/A,FALSE,"GIC2_Comps";"debt comps",#N/A,FALSE,"CS Comps";"debt comps",#N/A,FALSE,"PS Comps";"debt comps",#N/A,FALSE,"GIC_Comps";"debt comps",#N/A,FALSE,"GIC2_Comps"}</definedName>
    <definedName name="wrn.all._.comps." localSheetId="12" hidden="1">{"equity comps",#N/A,FALSE,"CS Comps";"equity comps",#N/A,FALSE,"PS Comps";"equity comps",#N/A,FALSE,"GIC_Comps";"equity comps",#N/A,FALSE,"GIC2_Comps";"debt comps",#N/A,FALSE,"CS Comps";"debt comps",#N/A,FALSE,"PS Comps";"debt comps",#N/A,FALSE,"GIC_Comps";"debt comps",#N/A,FALSE,"GIC2_Comps"}</definedName>
    <definedName name="wrn.all._.comps." localSheetId="13" hidden="1">{"equity comps",#N/A,FALSE,"CS Comps";"equity comps",#N/A,FALSE,"PS Comps";"equity comps",#N/A,FALSE,"GIC_Comps";"equity comps",#N/A,FALSE,"GIC2_Comps";"debt comps",#N/A,FALSE,"CS Comps";"debt comps",#N/A,FALSE,"PS Comps";"debt comps",#N/A,FALSE,"GIC_Comps";"debt comps",#N/A,FALSE,"GIC2_Comps"}</definedName>
    <definedName name="wrn.all._.comps." localSheetId="11" hidden="1">{"equity comps",#N/A,FALSE,"CS Comps";"equity comps",#N/A,FALSE,"PS Comps";"equity comps",#N/A,FALSE,"GIC_Comps";"equity comps",#N/A,FALSE,"GIC2_Comps";"debt comps",#N/A,FALSE,"CS Comps";"debt comps",#N/A,FALSE,"PS Comps";"debt comps",#N/A,FALSE,"GIC_Comps";"debt comps",#N/A,FALSE,"GIC2_Comps"}</definedName>
    <definedName name="wrn.all._.comps." localSheetId="31"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NALISIS._.SENSIBILIDAD." localSheetId="15" hidden="1">{#N/A,#N/A,FALSE,"BALANCE";#N/A,#N/A,FALSE,"CUENTA DE PYG";#N/A,#N/A,FALSE,"RATIOS"}</definedName>
    <definedName name="wrn.ANALISIS._.SENSIBILIDAD." localSheetId="14" hidden="1">{#N/A,#N/A,FALSE,"BALANCE";#N/A,#N/A,FALSE,"CUENTA DE PYG";#N/A,#N/A,FALSE,"RATIOS"}</definedName>
    <definedName name="wrn.ANALISIS._.SENSIBILIDAD." localSheetId="2" hidden="1">{#N/A,#N/A,FALSE,"BALANCE";#N/A,#N/A,FALSE,"CUENTA DE PYG";#N/A,#N/A,FALSE,"RATIOS"}</definedName>
    <definedName name="wrn.ANALISIS._.SENSIBILIDAD." localSheetId="34" hidden="1">{#N/A,#N/A,FALSE,"BALANCE";#N/A,#N/A,FALSE,"CUENTA DE PYG";#N/A,#N/A,FALSE,"RATIOS"}</definedName>
    <definedName name="wrn.ANALISIS._.SENSIBILIDAD." localSheetId="39" hidden="1">{#N/A,#N/A,FALSE,"BALANCE";#N/A,#N/A,FALSE,"CUENTA DE PYG";#N/A,#N/A,FALSE,"RATIOS"}</definedName>
    <definedName name="wrn.ANALISIS._.SENSIBILIDAD." localSheetId="8" hidden="1">{#N/A,#N/A,FALSE,"BALANCE";#N/A,#N/A,FALSE,"CUENTA DE PYG";#N/A,#N/A,FALSE,"RATIOS"}</definedName>
    <definedName name="wrn.ANALISIS._.SENSIBILIDAD." localSheetId="12" hidden="1">{#N/A,#N/A,FALSE,"BALANCE";#N/A,#N/A,FALSE,"CUENTA DE PYG";#N/A,#N/A,FALSE,"RATIOS"}</definedName>
    <definedName name="wrn.ANALISIS._.SENSIBILIDAD." localSheetId="13" hidden="1">{#N/A,#N/A,FALSE,"BALANCE";#N/A,#N/A,FALSE,"CUENTA DE PYG";#N/A,#N/A,FALSE,"RATIOS"}</definedName>
    <definedName name="wrn.ANALISIS._.SENSIBILIDAD." localSheetId="11" hidden="1">{#N/A,#N/A,FALSE,"BALANCE";#N/A,#N/A,FALSE,"CUENTA DE PYG";#N/A,#N/A,FALSE,"RATIOS"}</definedName>
    <definedName name="wrn.ANALISIS._.SENSIBILIDAD." localSheetId="31" hidden="1">{#N/A,#N/A,FALSE,"BALANCE";#N/A,#N/A,FALSE,"CUENTA DE PYG";#N/A,#N/A,FALSE,"RATIOS"}</definedName>
    <definedName name="wrn.ANALISIS._.SENSIBILIDAD." hidden="1">{#N/A,#N/A,FALSE,"BALANCE";#N/A,#N/A,FALSE,"CUENTA DE PYG";#N/A,#N/A,FALSE,"RATIOS"}</definedName>
    <definedName name="wrn.assumptions." localSheetId="15" hidden="1">{"casespecific",#N/A,FALSE,"Assumptions"}</definedName>
    <definedName name="wrn.assumptions." localSheetId="14" hidden="1">{"casespecific",#N/A,FALSE,"Assumptions"}</definedName>
    <definedName name="wrn.assumptions." localSheetId="2" hidden="1">{"casespecific",#N/A,FALSE,"Assumptions"}</definedName>
    <definedName name="wrn.assumptions." localSheetId="34" hidden="1">{"casespecific",#N/A,FALSE,"Assumptions"}</definedName>
    <definedName name="wrn.assumptions." localSheetId="39" hidden="1">{"casespecific",#N/A,FALSE,"Assumptions"}</definedName>
    <definedName name="wrn.assumptions." localSheetId="8" hidden="1">{"casespecific",#N/A,FALSE,"Assumptions"}</definedName>
    <definedName name="wrn.assumptions." localSheetId="12" hidden="1">{"casespecific",#N/A,FALSE,"Assumptions"}</definedName>
    <definedName name="wrn.assumptions." localSheetId="13" hidden="1">{"casespecific",#N/A,FALSE,"Assumptions"}</definedName>
    <definedName name="wrn.assumptions." localSheetId="11" hidden="1">{"casespecific",#N/A,FALSE,"Assumptions"}</definedName>
    <definedName name="wrn.assumptions." localSheetId="31" hidden="1">{"casespecific",#N/A,FALSE,"Assumptions"}</definedName>
    <definedName name="wrn.assumptions." hidden="1">{"casespecific",#N/A,FALSE,"Assumptions"}</definedName>
    <definedName name="wrn.away." localSheetId="15" hidden="1">{"away stand alones",#N/A,FALSE,"Target"}</definedName>
    <definedName name="wrn.away." localSheetId="14" hidden="1">{"away stand alones",#N/A,FALSE,"Target"}</definedName>
    <definedName name="wrn.away." localSheetId="2" hidden="1">{"away stand alones",#N/A,FALSE,"Target"}</definedName>
    <definedName name="wrn.away." localSheetId="34" hidden="1">{"away stand alones",#N/A,FALSE,"Target"}</definedName>
    <definedName name="wrn.away." localSheetId="39" hidden="1">{"away stand alones",#N/A,FALSE,"Target"}</definedName>
    <definedName name="wrn.away." localSheetId="8" hidden="1">{"away stand alones",#N/A,FALSE,"Target"}</definedName>
    <definedName name="wrn.away." localSheetId="12" hidden="1">{"away stand alones",#N/A,FALSE,"Target"}</definedName>
    <definedName name="wrn.away." localSheetId="13" hidden="1">{"away stand alones",#N/A,FALSE,"Target"}</definedName>
    <definedName name="wrn.away." localSheetId="11" hidden="1">{"away stand alones",#N/A,FALSE,"Target"}</definedName>
    <definedName name="wrn.away." localSheetId="31" hidden="1">{"away stand alones",#N/A,FALSE,"Target"}</definedName>
    <definedName name="wrn.away." hidden="1">{"away stand alones",#N/A,FALSE,"Target"}</definedName>
    <definedName name="wrn.B._.P._.TDS."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rian." localSheetId="15" hidden="1">{#N/A,#N/A,FALSE,"output";#N/A,#N/A,FALSE,"contrib";#N/A,#N/A,FALSE,"profile";#N/A,#N/A,FALSE,"comps"}</definedName>
    <definedName name="wrn.brian." localSheetId="14" hidden="1">{#N/A,#N/A,FALSE,"output";#N/A,#N/A,FALSE,"contrib";#N/A,#N/A,FALSE,"profile";#N/A,#N/A,FALSE,"comps"}</definedName>
    <definedName name="wrn.brian." localSheetId="2" hidden="1">{#N/A,#N/A,FALSE,"output";#N/A,#N/A,FALSE,"contrib";#N/A,#N/A,FALSE,"profile";#N/A,#N/A,FALSE,"comps"}</definedName>
    <definedName name="wrn.brian." localSheetId="34" hidden="1">{#N/A,#N/A,FALSE,"output";#N/A,#N/A,FALSE,"contrib";#N/A,#N/A,FALSE,"profile";#N/A,#N/A,FALSE,"comps"}</definedName>
    <definedName name="wrn.brian." localSheetId="39" hidden="1">{#N/A,#N/A,FALSE,"output";#N/A,#N/A,FALSE,"contrib";#N/A,#N/A,FALSE,"profile";#N/A,#N/A,FALSE,"comps"}</definedName>
    <definedName name="wrn.brian." localSheetId="8" hidden="1">{#N/A,#N/A,FALSE,"output";#N/A,#N/A,FALSE,"contrib";#N/A,#N/A,FALSE,"profile";#N/A,#N/A,FALSE,"comps"}</definedName>
    <definedName name="wrn.brian." localSheetId="12" hidden="1">{#N/A,#N/A,FALSE,"output";#N/A,#N/A,FALSE,"contrib";#N/A,#N/A,FALSE,"profile";#N/A,#N/A,FALSE,"comps"}</definedName>
    <definedName name="wrn.brian." localSheetId="13" hidden="1">{#N/A,#N/A,FALSE,"output";#N/A,#N/A,FALSE,"contrib";#N/A,#N/A,FALSE,"profile";#N/A,#N/A,FALSE,"comps"}</definedName>
    <definedName name="wrn.brian." localSheetId="11" hidden="1">{#N/A,#N/A,FALSE,"output";#N/A,#N/A,FALSE,"contrib";#N/A,#N/A,FALSE,"profile";#N/A,#N/A,FALSE,"comps"}</definedName>
    <definedName name="wrn.brian." localSheetId="31" hidden="1">{#N/A,#N/A,FALSE,"output";#N/A,#N/A,FALSE,"contrib";#N/A,#N/A,FALSE,"profile";#N/A,#N/A,FALSE,"comps"}</definedName>
    <definedName name="wrn.brian." hidden="1">{#N/A,#N/A,FALSE,"output";#N/A,#N/A,FALSE,"contrib";#N/A,#N/A,FALSE,"profile";#N/A,#N/A,FALSE,"comps"}</definedName>
    <definedName name="wrn.Buyers._.analysis." localSheetId="15" hidden="1">{"Bradesco 1",#N/A,TRUE,"Bradesco acc_dil";"Bradesco2",#N/A,TRUE,"Bradesco acc_dil";"Bradesco3",#N/A,TRUE,"Bradesco's RWA analysis";"Unibanco1",#N/A,TRUE,"Unibanco acc_dil ";"Unibanco2",#N/A,TRUE,"Unibanco acc_dil ";"Unibanco3",#N/A,TRUE,"Unibanco's RWA analysis"}</definedName>
    <definedName name="wrn.Buyers._.analysis." localSheetId="14"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localSheetId="39" hidden="1">{"Bradesco 1",#N/A,TRUE,"Bradesco acc_dil";"Bradesco2",#N/A,TRUE,"Bradesco acc_dil";"Bradesco3",#N/A,TRUE,"Bradesco's RWA analysis";"Unibanco1",#N/A,TRUE,"Unibanco acc_dil ";"Unibanco2",#N/A,TRUE,"Unibanco acc_dil ";"Unibanco3",#N/A,TRUE,"Unibanco's RWA analysis"}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ash." localSheetId="15" hidden="1">{"assumption cash",#N/A,TRUE,"Merger";"has gets cash",#N/A,TRUE,"Merger";"accretion dilution",#N/A,TRUE,"Merger";"comparison credit stats",#N/A,TRUE,"Merger";"pf credit stats",#N/A,TRUE,"Merger";"pf sheets",#N/A,TRUE,"Merger"}</definedName>
    <definedName name="wrn.cash." localSheetId="14" hidden="1">{"assumption cash",#N/A,TRUE,"Merger";"has gets cash",#N/A,TRUE,"Merger";"accretion dilution",#N/A,TRUE,"Merger";"comparison credit stats",#N/A,TRUE,"Merger";"pf credit stats",#N/A,TRUE,"Merger";"pf sheets",#N/A,TRUE,"Merger"}</definedName>
    <definedName name="wrn.cash." localSheetId="2" hidden="1">{"assumption cash",#N/A,TRUE,"Merger";"has gets cash",#N/A,TRUE,"Merger";"accretion dilution",#N/A,TRUE,"Merger";"comparison credit stats",#N/A,TRUE,"Merger";"pf credit stats",#N/A,TRUE,"Merger";"pf sheets",#N/A,TRUE,"Merger"}</definedName>
    <definedName name="wrn.cash." localSheetId="34" hidden="1">{"assumption cash",#N/A,TRUE,"Merger";"has gets cash",#N/A,TRUE,"Merger";"accretion dilution",#N/A,TRUE,"Merger";"comparison credit stats",#N/A,TRUE,"Merger";"pf credit stats",#N/A,TRUE,"Merger";"pf sheets",#N/A,TRUE,"Merger"}</definedName>
    <definedName name="wrn.cash." localSheetId="39" hidden="1">{"assumption cash",#N/A,TRUE,"Merger";"has gets cash",#N/A,TRUE,"Merger";"accretion dilution",#N/A,TRUE,"Merger";"comparison credit stats",#N/A,TRUE,"Merger";"pf credit stats",#N/A,TRUE,"Merger";"pf sheets",#N/A,TRUE,"Merger"}</definedName>
    <definedName name="wrn.cash." localSheetId="8" hidden="1">{"assumption cash",#N/A,TRUE,"Merger";"has gets cash",#N/A,TRUE,"Merger";"accretion dilution",#N/A,TRUE,"Merger";"comparison credit stats",#N/A,TRUE,"Merger";"pf credit stats",#N/A,TRUE,"Merger";"pf sheets",#N/A,TRUE,"Merger"}</definedName>
    <definedName name="wrn.cash." localSheetId="12" hidden="1">{"assumption cash",#N/A,TRUE,"Merger";"has gets cash",#N/A,TRUE,"Merger";"accretion dilution",#N/A,TRUE,"Merger";"comparison credit stats",#N/A,TRUE,"Merger";"pf credit stats",#N/A,TRUE,"Merger";"pf sheets",#N/A,TRUE,"Merger"}</definedName>
    <definedName name="wrn.cash." localSheetId="13" hidden="1">{"assumption cash",#N/A,TRUE,"Merger";"has gets cash",#N/A,TRUE,"Merger";"accretion dilution",#N/A,TRUE,"Merger";"comparison credit stats",#N/A,TRUE,"Merger";"pf credit stats",#N/A,TRUE,"Merger";"pf sheets",#N/A,TRUE,"Merger"}</definedName>
    <definedName name="wrn.cash." localSheetId="11" hidden="1">{"assumption cash",#N/A,TRUE,"Merger";"has gets cash",#N/A,TRUE,"Merger";"accretion dilution",#N/A,TRUE,"Merger";"comparison credit stats",#N/A,TRUE,"Merger";"pf credit stats",#N/A,TRUE,"Merger";"pf sheets",#N/A,TRUE,"Merger"}</definedName>
    <definedName name="wrn.cash." localSheetId="31"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omps." localSheetId="15" hidden="1">{"comps",#N/A,FALSE,"comps";"notes",#N/A,FALSE,"comps"}</definedName>
    <definedName name="wrn.comps." localSheetId="14" hidden="1">{"comps",#N/A,FALSE,"comps";"notes",#N/A,FALSE,"comps"}</definedName>
    <definedName name="wrn.comps." localSheetId="2" hidden="1">{"comps",#N/A,FALSE,"comps";"notes",#N/A,FALSE,"comps"}</definedName>
    <definedName name="wrn.comps." localSheetId="34" hidden="1">{"comps",#N/A,FALSE,"comps";"notes",#N/A,FALSE,"comps"}</definedName>
    <definedName name="wrn.comps." localSheetId="39" hidden="1">{"comps",#N/A,FALSE,"comps";"notes",#N/A,FALSE,"comps"}</definedName>
    <definedName name="wrn.comps." localSheetId="8" hidden="1">{"comps",#N/A,FALSE,"comps";"notes",#N/A,FALSE,"comps"}</definedName>
    <definedName name="wrn.comps." localSheetId="12" hidden="1">{"comps",#N/A,FALSE,"comps";"notes",#N/A,FALSE,"comps"}</definedName>
    <definedName name="wrn.comps." localSheetId="13" hidden="1">{"comps",#N/A,FALSE,"comps";"notes",#N/A,FALSE,"comps"}</definedName>
    <definedName name="wrn.comps." localSheetId="11" hidden="1">{"comps",#N/A,FALSE,"comps";"notes",#N/A,FALSE,"comps"}</definedName>
    <definedName name="wrn.comps." localSheetId="31" hidden="1">{"comps",#N/A,FALSE,"comps";"notes",#N/A,FALSE,"comps"}</definedName>
    <definedName name="wrn.comps." hidden="1">{"comps",#N/A,FALSE,"comps";"notes",#N/A,FALSE,"comps"}</definedName>
    <definedName name="wrn.cooper." localSheetId="15" hidden="1">{#N/A,#N/A,TRUE,"Pro Forma";#N/A,#N/A,TRUE,"PF_Bal";#N/A,#N/A,TRUE,"PF_INC";#N/A,#N/A,TRUE,"CBE";#N/A,#N/A,TRUE,"SWK"}</definedName>
    <definedName name="wrn.cooper." localSheetId="14" hidden="1">{#N/A,#N/A,TRUE,"Pro Forma";#N/A,#N/A,TRUE,"PF_Bal";#N/A,#N/A,TRUE,"PF_INC";#N/A,#N/A,TRUE,"CBE";#N/A,#N/A,TRUE,"SWK"}</definedName>
    <definedName name="wrn.cooper." localSheetId="2" hidden="1">{#N/A,#N/A,TRUE,"Pro Forma";#N/A,#N/A,TRUE,"PF_Bal";#N/A,#N/A,TRUE,"PF_INC";#N/A,#N/A,TRUE,"CBE";#N/A,#N/A,TRUE,"SWK"}</definedName>
    <definedName name="wrn.cooper." localSheetId="34" hidden="1">{#N/A,#N/A,TRUE,"Pro Forma";#N/A,#N/A,TRUE,"PF_Bal";#N/A,#N/A,TRUE,"PF_INC";#N/A,#N/A,TRUE,"CBE";#N/A,#N/A,TRUE,"SWK"}</definedName>
    <definedName name="wrn.cooper." localSheetId="39" hidden="1">{#N/A,#N/A,TRUE,"Pro Forma";#N/A,#N/A,TRUE,"PF_Bal";#N/A,#N/A,TRUE,"PF_INC";#N/A,#N/A,TRUE,"CBE";#N/A,#N/A,TRUE,"SWK"}</definedName>
    <definedName name="wrn.cooper." localSheetId="8" hidden="1">{#N/A,#N/A,TRUE,"Pro Forma";#N/A,#N/A,TRUE,"PF_Bal";#N/A,#N/A,TRUE,"PF_INC";#N/A,#N/A,TRUE,"CBE";#N/A,#N/A,TRUE,"SWK"}</definedName>
    <definedName name="wrn.cooper." localSheetId="12" hidden="1">{#N/A,#N/A,TRUE,"Pro Forma";#N/A,#N/A,TRUE,"PF_Bal";#N/A,#N/A,TRUE,"PF_INC";#N/A,#N/A,TRUE,"CBE";#N/A,#N/A,TRUE,"SWK"}</definedName>
    <definedName name="wrn.cooper." localSheetId="13" hidden="1">{#N/A,#N/A,TRUE,"Pro Forma";#N/A,#N/A,TRUE,"PF_Bal";#N/A,#N/A,TRUE,"PF_INC";#N/A,#N/A,TRUE,"CBE";#N/A,#N/A,TRUE,"SWK"}</definedName>
    <definedName name="wrn.cooper." localSheetId="11" hidden="1">{#N/A,#N/A,TRUE,"Pro Forma";#N/A,#N/A,TRUE,"PF_Bal";#N/A,#N/A,TRUE,"PF_INC";#N/A,#N/A,TRUE,"CBE";#N/A,#N/A,TRUE,"SWK"}</definedName>
    <definedName name="wrn.cooper." localSheetId="31" hidden="1">{#N/A,#N/A,TRUE,"Pro Forma";#N/A,#N/A,TRUE,"PF_Bal";#N/A,#N/A,TRUE,"PF_INC";#N/A,#N/A,TRUE,"CBE";#N/A,#N/A,TRUE,"SWK"}</definedName>
    <definedName name="wrn.cooper." hidden="1">{#N/A,#N/A,TRUE,"Pro Forma";#N/A,#N/A,TRUE,"PF_Bal";#N/A,#N/A,TRUE,"PF_INC";#N/A,#N/A,TRUE,"CBE";#N/A,#N/A,TRUE,"SWK"}</definedName>
    <definedName name="wrn.CotaçõesDiáriasAGO95." localSheetId="15" hidden="1">{"CotaçõesDiáriasAGO95",#N/A,FALSE,"CotaçõesDiáriasJUL95"}</definedName>
    <definedName name="wrn.CotaçõesDiáriasAGO95." localSheetId="3" hidden="1">{"CotaçõesDiáriasAGO95",#N/A,FALSE,"CotaçõesDiáriasJUL95"}</definedName>
    <definedName name="wrn.CotaçõesDiáriasAGO95." localSheetId="14" hidden="1">{"CotaçõesDiáriasAGO95",#N/A,FALSE,"CotaçõesDiáriasJUL95"}</definedName>
    <definedName name="wrn.CotaçõesDiáriasAGO95." localSheetId="2" hidden="1">{"CotaçõesDiáriasAGO95",#N/A,FALSE,"CotaçõesDiáriasJUL95"}</definedName>
    <definedName name="wrn.CotaçõesDiáriasAGO95." localSheetId="34" hidden="1">{"CotaçõesDiáriasAGO95",#N/A,FALSE,"CotaçõesDiáriasJUL95"}</definedName>
    <definedName name="wrn.CotaçõesDiáriasAGO95." localSheetId="39" hidden="1">{"CotaçõesDiáriasAGO95",#N/A,FALSE,"CotaçõesDiáriasJUL95"}</definedName>
    <definedName name="wrn.CotaçõesDiáriasAGO95." localSheetId="8" hidden="1">{"CotaçõesDiáriasAGO95",#N/A,FALSE,"CotaçõesDiáriasJUL95"}</definedName>
    <definedName name="wrn.CotaçõesDiáriasAGO95." localSheetId="12" hidden="1">{"CotaçõesDiáriasAGO95",#N/A,FALSE,"CotaçõesDiáriasJUL95"}</definedName>
    <definedName name="wrn.CotaçõesDiáriasAGO95." localSheetId="13" hidden="1">{"CotaçõesDiáriasAGO95",#N/A,FALSE,"CotaçõesDiáriasJUL95"}</definedName>
    <definedName name="wrn.CotaçõesDiáriasAGO95." localSheetId="11" hidden="1">{"CotaçõesDiáriasAGO95",#N/A,FALSE,"CotaçõesDiáriasJUL95"}</definedName>
    <definedName name="wrn.CotaçõesDiáriasAGO95." localSheetId="31" hidden="1">{"CotaçõesDiáriasAGO95",#N/A,FALSE,"CotaçõesDiáriasJUL95"}</definedName>
    <definedName name="wrn.CotaçõesDiáriasAGO95." hidden="1">{"CotaçõesDiáriasAGO95",#N/A,FALSE,"CotaçõesDiáriasJUL95"}</definedName>
    <definedName name="wrn.CotaçõesDiáriasJUL95." localSheetId="15" hidden="1">{"COTAÇÕESDIÁRIASJUL95",#N/A,FALSE,"CotaçõesDiáriasJUL95"}</definedName>
    <definedName name="wrn.CotaçõesDiáriasJUL95." localSheetId="3" hidden="1">{"COTAÇÕESDIÁRIASJUL95",#N/A,FALSE,"CotaçõesDiáriasJUL95"}</definedName>
    <definedName name="wrn.CotaçõesDiáriasJUL95." localSheetId="14" hidden="1">{"COTAÇÕESDIÁRIASJUL95",#N/A,FALSE,"CotaçõesDiáriasJUL95"}</definedName>
    <definedName name="wrn.CotaçõesDiáriasJUL95." localSheetId="2" hidden="1">{"COTAÇÕESDIÁRIASJUL95",#N/A,FALSE,"CotaçõesDiáriasJUL95"}</definedName>
    <definedName name="wrn.CotaçõesDiáriasJUL95." localSheetId="34" hidden="1">{"COTAÇÕESDIÁRIASJUL95",#N/A,FALSE,"CotaçõesDiáriasJUL95"}</definedName>
    <definedName name="wrn.CotaçõesDiáriasJUL95." localSheetId="39" hidden="1">{"COTAÇÕESDIÁRIASJUL95",#N/A,FALSE,"CotaçõesDiáriasJUL95"}</definedName>
    <definedName name="wrn.CotaçõesDiáriasJUL95." localSheetId="8" hidden="1">{"COTAÇÕESDIÁRIASJUL95",#N/A,FALSE,"CotaçõesDiáriasJUL95"}</definedName>
    <definedName name="wrn.CotaçõesDiáriasJUL95." localSheetId="12" hidden="1">{"COTAÇÕESDIÁRIASJUL95",#N/A,FALSE,"CotaçõesDiáriasJUL95"}</definedName>
    <definedName name="wrn.CotaçõesDiáriasJUL95." localSheetId="13" hidden="1">{"COTAÇÕESDIÁRIASJUL95",#N/A,FALSE,"CotaçõesDiáriasJUL95"}</definedName>
    <definedName name="wrn.CotaçõesDiáriasJUL95." localSheetId="11" hidden="1">{"COTAÇÕESDIÁRIASJUL95",#N/A,FALSE,"CotaçõesDiáriasJUL95"}</definedName>
    <definedName name="wrn.CotaçõesDiáriasJUL95." localSheetId="31" hidden="1">{"COTAÇÕESDIÁRIASJUL95",#N/A,FALSE,"CotaçõesDiáriasJUL95"}</definedName>
    <definedName name="wrn.CotaçõesDiáriasJUL95." hidden="1">{"COTAÇÕESDIÁRIASJUL95",#N/A,FALSE,"CotaçõesDiáriasJUL95"}</definedName>
    <definedName name="wrn.cxdia." localSheetId="15" hidden="1">{#N/A,#N/A,FALSE,"FFCXOUT3"}</definedName>
    <definedName name="wrn.cxdia." localSheetId="14" hidden="1">{#N/A,#N/A,FALSE,"FFCXOUT3"}</definedName>
    <definedName name="wrn.cxdia." localSheetId="2" hidden="1">{#N/A,#N/A,FALSE,"FFCXOUT3"}</definedName>
    <definedName name="wrn.cxdia." localSheetId="34" hidden="1">{#N/A,#N/A,FALSE,"FFCXOUT3"}</definedName>
    <definedName name="wrn.cxdia." localSheetId="39" hidden="1">{#N/A,#N/A,FALSE,"FFCXOUT3"}</definedName>
    <definedName name="wrn.cxdia." localSheetId="8" hidden="1">{#N/A,#N/A,FALSE,"FFCXOUT3"}</definedName>
    <definedName name="wrn.cxdia." localSheetId="12" hidden="1">{#N/A,#N/A,FALSE,"FFCXOUT3"}</definedName>
    <definedName name="wrn.cxdia." localSheetId="13" hidden="1">{#N/A,#N/A,FALSE,"FFCXOUT3"}</definedName>
    <definedName name="wrn.cxdia." localSheetId="11" hidden="1">{#N/A,#N/A,FALSE,"FFCXOUT3"}</definedName>
    <definedName name="wrn.cxdia." localSheetId="31" hidden="1">{#N/A,#N/A,FALSE,"FFCXOUT3"}</definedName>
    <definedName name="wrn.cxdia." hidden="1">{#N/A,#N/A,FALSE,"FFCXOUT3"}</definedName>
    <definedName name="wrn.cxdiager." localSheetId="15" hidden="1">{#N/A,#N/A,FALSE,"FFCXOUT3"}</definedName>
    <definedName name="wrn.cxdiager." localSheetId="14" hidden="1">{#N/A,#N/A,FALSE,"FFCXOUT3"}</definedName>
    <definedName name="wrn.cxdiager." localSheetId="2" hidden="1">{#N/A,#N/A,FALSE,"FFCXOUT3"}</definedName>
    <definedName name="wrn.cxdiager." localSheetId="34" hidden="1">{#N/A,#N/A,FALSE,"FFCXOUT3"}</definedName>
    <definedName name="wrn.cxdiager." localSheetId="39" hidden="1">{#N/A,#N/A,FALSE,"FFCXOUT3"}</definedName>
    <definedName name="wrn.cxdiager." localSheetId="8" hidden="1">{#N/A,#N/A,FALSE,"FFCXOUT3"}</definedName>
    <definedName name="wrn.cxdiager." localSheetId="12" hidden="1">{#N/A,#N/A,FALSE,"FFCXOUT3"}</definedName>
    <definedName name="wrn.cxdiager." localSheetId="13" hidden="1">{#N/A,#N/A,FALSE,"FFCXOUT3"}</definedName>
    <definedName name="wrn.cxdiager." localSheetId="11" hidden="1">{#N/A,#N/A,FALSE,"FFCXOUT3"}</definedName>
    <definedName name="wrn.cxdiager." localSheetId="31" hidden="1">{#N/A,#N/A,FALSE,"FFCXOUT3"}</definedName>
    <definedName name="wrn.cxdiager." hidden="1">{#N/A,#N/A,FALSE,"FFCXOUT3"}</definedName>
    <definedName name="wrn.DespesasPorArea." localSheetId="15" hidden="1">{"TotalGeralDespesasPorArea",#N/A,FALSE,"VinculosAccessEfetivo"}</definedName>
    <definedName name="wrn.DespesasPorArea." localSheetId="14" hidden="1">{"TotalGeralDespesasPorArea",#N/A,FALSE,"VinculosAccessEfetivo"}</definedName>
    <definedName name="wrn.DespesasPorArea." localSheetId="2" hidden="1">{"TotalGeralDespesasPorArea",#N/A,FALSE,"VinculosAccessEfetivo"}</definedName>
    <definedName name="wrn.DespesasPorArea." localSheetId="34" hidden="1">{"TotalGeralDespesasPorArea",#N/A,FALSE,"VinculosAccessEfetivo"}</definedName>
    <definedName name="wrn.DespesasPorArea." localSheetId="39" hidden="1">{"TotalGeralDespesasPorArea",#N/A,FALSE,"VinculosAccessEfetivo"}</definedName>
    <definedName name="wrn.DespesasPorArea." localSheetId="8" hidden="1">{"TotalGeralDespesasPorArea",#N/A,FALSE,"VinculosAccessEfetivo"}</definedName>
    <definedName name="wrn.DespesasPorArea." localSheetId="12" hidden="1">{"TotalGeralDespesasPorArea",#N/A,FALSE,"VinculosAccessEfetivo"}</definedName>
    <definedName name="wrn.DespesasPorArea." localSheetId="13" hidden="1">{"TotalGeralDespesasPorArea",#N/A,FALSE,"VinculosAccessEfetivo"}</definedName>
    <definedName name="wrn.DespesasPorArea." localSheetId="11" hidden="1">{"TotalGeralDespesasPorArea",#N/A,FALSE,"VinculosAccessEfetivo"}</definedName>
    <definedName name="wrn.DespesasPorArea." localSheetId="31" hidden="1">{"TotalGeralDespesasPorArea",#N/A,FALSE,"VinculosAccessEfetivo"}</definedName>
    <definedName name="wrn.DespesasPorArea." hidden="1">{"TotalGeralDespesasPorArea",#N/A,FALSE,"VinculosAccessEfetivo"}</definedName>
    <definedName name="wrn.DespesasPorArea._1" localSheetId="15" hidden="1">{"TotalGeralDespesasPorArea",#N/A,FALSE,"VinculosAccessEfetivo"}</definedName>
    <definedName name="wrn.DespesasPorArea._1" localSheetId="14" hidden="1">{"TotalGeralDespesasPorArea",#N/A,FALSE,"VinculosAccessEfetivo"}</definedName>
    <definedName name="wrn.DespesasPorArea._1" localSheetId="2" hidden="1">{"TotalGeralDespesasPorArea",#N/A,FALSE,"VinculosAccessEfetivo"}</definedName>
    <definedName name="wrn.DespesasPorArea._1" localSheetId="34" hidden="1">{"TotalGeralDespesasPorArea",#N/A,FALSE,"VinculosAccessEfetivo"}</definedName>
    <definedName name="wrn.DespesasPorArea._1" localSheetId="39" hidden="1">{"TotalGeralDespesasPorArea",#N/A,FALSE,"VinculosAccessEfetivo"}</definedName>
    <definedName name="wrn.DespesasPorArea._1" localSheetId="8" hidden="1">{"TotalGeralDespesasPorArea",#N/A,FALSE,"VinculosAccessEfetivo"}</definedName>
    <definedName name="wrn.DespesasPorArea._1" localSheetId="12" hidden="1">{"TotalGeralDespesasPorArea",#N/A,FALSE,"VinculosAccessEfetivo"}</definedName>
    <definedName name="wrn.DespesasPorArea._1" localSheetId="13" hidden="1">{"TotalGeralDespesasPorArea",#N/A,FALSE,"VinculosAccessEfetivo"}</definedName>
    <definedName name="wrn.DespesasPorArea._1" localSheetId="11" hidden="1">{"TotalGeralDespesasPorArea",#N/A,FALSE,"VinculosAccessEfetivo"}</definedName>
    <definedName name="wrn.DespesasPorArea._1" localSheetId="31" hidden="1">{"TotalGeralDespesasPorArea",#N/A,FALSE,"VinculosAccessEfetivo"}</definedName>
    <definedName name="wrn.DespesasPorArea._1" hidden="1">{"TotalGeralDespesasPorArea",#N/A,FALSE,"VinculosAccessEfetivo"}</definedName>
    <definedName name="wrn.Dezembro." localSheetId="15" hidden="1">{"Fecha_Dezembro",#N/A,FALSE,"FECHAMENTO-2002 ";"Defer_Dezermbro",#N/A,FALSE,"DIFERIDO";"Pis_Dezembro",#N/A,FALSE,"PIS COFINS";"Iss_Dezembro",#N/A,FALSE,"ISS"}</definedName>
    <definedName name="wrn.Dezembro." localSheetId="14" hidden="1">{"Fecha_Dezembro",#N/A,FALSE,"FECHAMENTO-2002 ";"Defer_Dezermbro",#N/A,FALSE,"DIFERIDO";"Pis_Dezembro",#N/A,FALSE,"PIS COFINS";"Iss_Dezembro",#N/A,FALSE,"ISS"}</definedName>
    <definedName name="wrn.Dezembro." localSheetId="2" hidden="1">{"Fecha_Dezembro",#N/A,FALSE,"FECHAMENTO-2002 ";"Defer_Dezermbro",#N/A,FALSE,"DIFERIDO";"Pis_Dezembro",#N/A,FALSE,"PIS COFINS";"Iss_Dezembro",#N/A,FALSE,"ISS"}</definedName>
    <definedName name="wrn.Dezembro." localSheetId="34" hidden="1">{"Fecha_Dezembro",#N/A,FALSE,"FECHAMENTO-2002 ";"Defer_Dezermbro",#N/A,FALSE,"DIFERIDO";"Pis_Dezembro",#N/A,FALSE,"PIS COFINS";"Iss_Dezembro",#N/A,FALSE,"ISS"}</definedName>
    <definedName name="wrn.Dezembro." localSheetId="39" hidden="1">{"Fecha_Dezembro",#N/A,FALSE,"FECHAMENTO-2002 ";"Defer_Dezermbro",#N/A,FALSE,"DIFERIDO";"Pis_Dezembro",#N/A,FALSE,"PIS COFINS";"Iss_Dezembro",#N/A,FALSE,"ISS"}</definedName>
    <definedName name="wrn.Dezembro." localSheetId="8" hidden="1">{"Fecha_Dezembro",#N/A,FALSE,"FECHAMENTO-2002 ";"Defer_Dezermbro",#N/A,FALSE,"DIFERIDO";"Pis_Dezembro",#N/A,FALSE,"PIS COFINS";"Iss_Dezembro",#N/A,FALSE,"ISS"}</definedName>
    <definedName name="wrn.Dezembro." localSheetId="12" hidden="1">{"Fecha_Dezembro",#N/A,FALSE,"FECHAMENTO-2002 ";"Defer_Dezermbro",#N/A,FALSE,"DIFERIDO";"Pis_Dezembro",#N/A,FALSE,"PIS COFINS";"Iss_Dezembro",#N/A,FALSE,"ISS"}</definedName>
    <definedName name="wrn.Dezembro." localSheetId="13" hidden="1">{"Fecha_Dezembro",#N/A,FALSE,"FECHAMENTO-2002 ";"Defer_Dezermbro",#N/A,FALSE,"DIFERIDO";"Pis_Dezembro",#N/A,FALSE,"PIS COFINS";"Iss_Dezembro",#N/A,FALSE,"ISS"}</definedName>
    <definedName name="wrn.Dezembro." localSheetId="11" hidden="1">{"Fecha_Dezembro",#N/A,FALSE,"FECHAMENTO-2002 ";"Defer_Dezermbro",#N/A,FALSE,"DIFERIDO";"Pis_Dezembro",#N/A,FALSE,"PIS COFINS";"Iss_Dezembro",#N/A,FALSE,"ISS"}</definedName>
    <definedName name="wrn.Dezembro." localSheetId="31" hidden="1">{"Fecha_Dezembro",#N/A,FALSE,"FECHAMENTO-2002 ";"Defer_Dezermbro",#N/A,FALSE,"DIFERIDO";"Pis_Dezembro",#N/A,FALSE,"PIS COFINS";"Iss_Dezembro",#N/A,FALSE,"ISS"}</definedName>
    <definedName name="wrn.Dezembro." hidden="1">{"Fecha_Dezembro",#N/A,FALSE,"FECHAMENTO-2002 ";"Defer_Dezermbro",#N/A,FALSE,"DIFERIDO";"Pis_Dezembro",#N/A,FALSE,"PIS COFINS";"Iss_Dezembro",#N/A,FALSE,"ISS"}</definedName>
    <definedName name="wrn.Dezembro._1" localSheetId="15" hidden="1">{"Fecha_Dezembro",#N/A,FALSE,"FECHAMENTO-2002 ";"Defer_Dezermbro",#N/A,FALSE,"DIFERIDO";"Pis_Dezembro",#N/A,FALSE,"PIS COFINS";"Iss_Dezembro",#N/A,FALSE,"ISS"}</definedName>
    <definedName name="wrn.Dezembro._1" localSheetId="14" hidden="1">{"Fecha_Dezembro",#N/A,FALSE,"FECHAMENTO-2002 ";"Defer_Dezermbro",#N/A,FALSE,"DIFERIDO";"Pis_Dezembro",#N/A,FALSE,"PIS COFINS";"Iss_Dezembro",#N/A,FALSE,"ISS"}</definedName>
    <definedName name="wrn.Dezembro._1" localSheetId="2" hidden="1">{"Fecha_Dezembro",#N/A,FALSE,"FECHAMENTO-2002 ";"Defer_Dezermbro",#N/A,FALSE,"DIFERIDO";"Pis_Dezembro",#N/A,FALSE,"PIS COFINS";"Iss_Dezembro",#N/A,FALSE,"ISS"}</definedName>
    <definedName name="wrn.Dezembro._1" localSheetId="34" hidden="1">{"Fecha_Dezembro",#N/A,FALSE,"FECHAMENTO-2002 ";"Defer_Dezermbro",#N/A,FALSE,"DIFERIDO";"Pis_Dezembro",#N/A,FALSE,"PIS COFINS";"Iss_Dezembro",#N/A,FALSE,"ISS"}</definedName>
    <definedName name="wrn.Dezembro._1" localSheetId="39" hidden="1">{"Fecha_Dezembro",#N/A,FALSE,"FECHAMENTO-2002 ";"Defer_Dezermbro",#N/A,FALSE,"DIFERIDO";"Pis_Dezembro",#N/A,FALSE,"PIS COFINS";"Iss_Dezembro",#N/A,FALSE,"ISS"}</definedName>
    <definedName name="wrn.Dezembro._1" localSheetId="8" hidden="1">{"Fecha_Dezembro",#N/A,FALSE,"FECHAMENTO-2002 ";"Defer_Dezermbro",#N/A,FALSE,"DIFERIDO";"Pis_Dezembro",#N/A,FALSE,"PIS COFINS";"Iss_Dezembro",#N/A,FALSE,"ISS"}</definedName>
    <definedName name="wrn.Dezembro._1" localSheetId="12" hidden="1">{"Fecha_Dezembro",#N/A,FALSE,"FECHAMENTO-2002 ";"Defer_Dezermbro",#N/A,FALSE,"DIFERIDO";"Pis_Dezembro",#N/A,FALSE,"PIS COFINS";"Iss_Dezembro",#N/A,FALSE,"ISS"}</definedName>
    <definedName name="wrn.Dezembro._1" localSheetId="13" hidden="1">{"Fecha_Dezembro",#N/A,FALSE,"FECHAMENTO-2002 ";"Defer_Dezermbro",#N/A,FALSE,"DIFERIDO";"Pis_Dezembro",#N/A,FALSE,"PIS COFINS";"Iss_Dezembro",#N/A,FALSE,"ISS"}</definedName>
    <definedName name="wrn.Dezembro._1" localSheetId="11" hidden="1">{"Fecha_Dezembro",#N/A,FALSE,"FECHAMENTO-2002 ";"Defer_Dezermbro",#N/A,FALSE,"DIFERIDO";"Pis_Dezembro",#N/A,FALSE,"PIS COFINS";"Iss_Dezembro",#N/A,FALSE,"ISS"}</definedName>
    <definedName name="wrn.Dezembro._1" localSheetId="31" hidden="1">{"Fecha_Dezembro",#N/A,FALSE,"FECHAMENTO-2002 ";"Defer_Dezermbro",#N/A,FALSE,"DIFERIDO";"Pis_Dezembro",#N/A,FALSE,"PIS COFINS";"Iss_Dezembro",#N/A,FALSE,"ISS"}</definedName>
    <definedName name="wrn.Dezembro._1" hidden="1">{"Fecha_Dezembro",#N/A,FALSE,"FECHAMENTO-2002 ";"Defer_Dezermbro",#N/A,FALSE,"DIFERIDO";"Pis_Dezembro",#N/A,FALSE,"PIS COFINS";"Iss_Dezembro",#N/A,FALSE,"ISS"}</definedName>
    <definedName name="wrn.dil_anal." localSheetId="15" hidden="1">{"hiden",#N/A,FALSE,"14";"hidden",#N/A,FALSE,"16";"hidden",#N/A,FALSE,"18";"hidden",#N/A,FALSE,"20"}</definedName>
    <definedName name="wrn.dil_anal." localSheetId="14" hidden="1">{"hiden",#N/A,FALSE,"14";"hidden",#N/A,FALSE,"16";"hidden",#N/A,FALSE,"18";"hidden",#N/A,FALSE,"20"}</definedName>
    <definedName name="wrn.dil_anal." localSheetId="2" hidden="1">{"hiden",#N/A,FALSE,"14";"hidden",#N/A,FALSE,"16";"hidden",#N/A,FALSE,"18";"hidden",#N/A,FALSE,"20"}</definedName>
    <definedName name="wrn.dil_anal." localSheetId="34" hidden="1">{"hiden",#N/A,FALSE,"14";"hidden",#N/A,FALSE,"16";"hidden",#N/A,FALSE,"18";"hidden",#N/A,FALSE,"20"}</definedName>
    <definedName name="wrn.dil_anal." localSheetId="39" hidden="1">{"hiden",#N/A,FALSE,"14";"hidden",#N/A,FALSE,"16";"hidden",#N/A,FALSE,"18";"hidden",#N/A,FALSE,"20"}</definedName>
    <definedName name="wrn.dil_anal." localSheetId="8" hidden="1">{"hiden",#N/A,FALSE,"14";"hidden",#N/A,FALSE,"16";"hidden",#N/A,FALSE,"18";"hidden",#N/A,FALSE,"20"}</definedName>
    <definedName name="wrn.dil_anal." localSheetId="12" hidden="1">{"hiden",#N/A,FALSE,"14";"hidden",#N/A,FALSE,"16";"hidden",#N/A,FALSE,"18";"hidden",#N/A,FALSE,"20"}</definedName>
    <definedName name="wrn.dil_anal." localSheetId="13" hidden="1">{"hiden",#N/A,FALSE,"14";"hidden",#N/A,FALSE,"16";"hidden",#N/A,FALSE,"18";"hidden",#N/A,FALSE,"20"}</definedName>
    <definedName name="wrn.dil_anal." localSheetId="11" hidden="1">{"hiden",#N/A,FALSE,"14";"hidden",#N/A,FALSE,"16";"hidden",#N/A,FALSE,"18";"hidden",#N/A,FALSE,"20"}</definedName>
    <definedName name="wrn.dil_anal." localSheetId="31" hidden="1">{"hiden",#N/A,FALSE,"14";"hidden",#N/A,FALSE,"16";"hidden",#N/A,FALSE,"18";"hidden",#N/A,FALSE,"20"}</definedName>
    <definedName name="wrn.dil_anal." hidden="1">{"hiden",#N/A,FALSE,"14";"hidden",#N/A,FALSE,"16";"hidden",#N/A,FALSE,"18";"hidden",#N/A,FALSE,"20"}</definedName>
    <definedName name="wrn.document." localSheetId="15" hidden="1">{"consolidated",#N/A,FALSE,"Sheet1";"cms",#N/A,FALSE,"Sheet1";"fse",#N/A,FALSE,"Sheet1"}</definedName>
    <definedName name="wrn.document." localSheetId="14" hidden="1">{"consolidated",#N/A,FALSE,"Sheet1";"cms",#N/A,FALSE,"Sheet1";"fse",#N/A,FALSE,"Sheet1"}</definedName>
    <definedName name="wrn.document." localSheetId="2" hidden="1">{"consolidated",#N/A,FALSE,"Sheet1";"cms",#N/A,FALSE,"Sheet1";"fse",#N/A,FALSE,"Sheet1"}</definedName>
    <definedName name="wrn.document." localSheetId="34" hidden="1">{"consolidated",#N/A,FALSE,"Sheet1";"cms",#N/A,FALSE,"Sheet1";"fse",#N/A,FALSE,"Sheet1"}</definedName>
    <definedName name="wrn.document." localSheetId="39" hidden="1">{"consolidated",#N/A,FALSE,"Sheet1";"cms",#N/A,FALSE,"Sheet1";"fse",#N/A,FALSE,"Sheet1"}</definedName>
    <definedName name="wrn.document." localSheetId="8" hidden="1">{"consolidated",#N/A,FALSE,"Sheet1";"cms",#N/A,FALSE,"Sheet1";"fse",#N/A,FALSE,"Sheet1"}</definedName>
    <definedName name="wrn.document." localSheetId="12" hidden="1">{"consolidated",#N/A,FALSE,"Sheet1";"cms",#N/A,FALSE,"Sheet1";"fse",#N/A,FALSE,"Sheet1"}</definedName>
    <definedName name="wrn.document." localSheetId="13" hidden="1">{"consolidated",#N/A,FALSE,"Sheet1";"cms",#N/A,FALSE,"Sheet1";"fse",#N/A,FALSE,"Sheet1"}</definedName>
    <definedName name="wrn.document." localSheetId="11" hidden="1">{"consolidated",#N/A,FALSE,"Sheet1";"cms",#N/A,FALSE,"Sheet1";"fse",#N/A,FALSE,"Sheet1"}</definedName>
    <definedName name="wrn.document." localSheetId="31" hidden="1">{"consolidated",#N/A,FALSE,"Sheet1";"cms",#N/A,FALSE,"Sheet1";"fse",#N/A,FALSE,"Sheet1"}</definedName>
    <definedName name="wrn.document." hidden="1">{"consolidated",#N/A,FALSE,"Sheet1";"cms",#N/A,FALSE,"Sheet1";"fse",#N/A,FALSE,"Sheet1"}</definedName>
    <definedName name="wrn.documentaero." localSheetId="15" hidden="1">{"comps2",#N/A,FALSE,"AERO";"footnotes",#N/A,FALSE,"AERO"}</definedName>
    <definedName name="wrn.documentaero." localSheetId="14" hidden="1">{"comps2",#N/A,FALSE,"AERO";"footnotes",#N/A,FALSE,"AERO"}</definedName>
    <definedName name="wrn.documentaero." localSheetId="2" hidden="1">{"comps2",#N/A,FALSE,"AERO";"footnotes",#N/A,FALSE,"AERO"}</definedName>
    <definedName name="wrn.documentaero." localSheetId="34" hidden="1">{"comps2",#N/A,FALSE,"AERO";"footnotes",#N/A,FALSE,"AERO"}</definedName>
    <definedName name="wrn.documentaero." localSheetId="39" hidden="1">{"comps2",#N/A,FALSE,"AERO";"footnotes",#N/A,FALSE,"AERO"}</definedName>
    <definedName name="wrn.documentaero." localSheetId="8" hidden="1">{"comps2",#N/A,FALSE,"AERO";"footnotes",#N/A,FALSE,"AERO"}</definedName>
    <definedName name="wrn.documentaero." localSheetId="12" hidden="1">{"comps2",#N/A,FALSE,"AERO";"footnotes",#N/A,FALSE,"AERO"}</definedName>
    <definedName name="wrn.documentaero." localSheetId="13" hidden="1">{"comps2",#N/A,FALSE,"AERO";"footnotes",#N/A,FALSE,"AERO"}</definedName>
    <definedName name="wrn.documentaero." localSheetId="11" hidden="1">{"comps2",#N/A,FALSE,"AERO";"footnotes",#N/A,FALSE,"AERO"}</definedName>
    <definedName name="wrn.documentaero." localSheetId="31" hidden="1">{"comps2",#N/A,FALSE,"AERO";"footnotes",#N/A,FALSE,"AERO"}</definedName>
    <definedName name="wrn.documentaero." hidden="1">{"comps2",#N/A,FALSE,"AERO";"footnotes",#N/A,FALSE,"AERO"}</definedName>
    <definedName name="wrn.documenthand." localSheetId="15" hidden="1">{"comps",#N/A,FALSE,"HANDPACK";"footnotes",#N/A,FALSE,"HANDPACK"}</definedName>
    <definedName name="wrn.documenthand." localSheetId="14" hidden="1">{"comps",#N/A,FALSE,"HANDPACK";"footnotes",#N/A,FALSE,"HANDPACK"}</definedName>
    <definedName name="wrn.documenthand." localSheetId="2" hidden="1">{"comps",#N/A,FALSE,"HANDPACK";"footnotes",#N/A,FALSE,"HANDPACK"}</definedName>
    <definedName name="wrn.documenthand." localSheetId="34" hidden="1">{"comps",#N/A,FALSE,"HANDPACK";"footnotes",#N/A,FALSE,"HANDPACK"}</definedName>
    <definedName name="wrn.documenthand." localSheetId="39" hidden="1">{"comps",#N/A,FALSE,"HANDPACK";"footnotes",#N/A,FALSE,"HANDPACK"}</definedName>
    <definedName name="wrn.documenthand." localSheetId="8" hidden="1">{"comps",#N/A,FALSE,"HANDPACK";"footnotes",#N/A,FALSE,"HANDPACK"}</definedName>
    <definedName name="wrn.documenthand." localSheetId="12" hidden="1">{"comps",#N/A,FALSE,"HANDPACK";"footnotes",#N/A,FALSE,"HANDPACK"}</definedName>
    <definedName name="wrn.documenthand." localSheetId="13" hidden="1">{"comps",#N/A,FALSE,"HANDPACK";"footnotes",#N/A,FALSE,"HANDPACK"}</definedName>
    <definedName name="wrn.documenthand." localSheetId="11" hidden="1">{"comps",#N/A,FALSE,"HANDPACK";"footnotes",#N/A,FALSE,"HANDPACK"}</definedName>
    <definedName name="wrn.documenthand." localSheetId="31" hidden="1">{"comps",#N/A,FALSE,"HANDPACK";"footnotes",#N/A,FALSE,"HANDPACK"}</definedName>
    <definedName name="wrn.documenthand." hidden="1">{"comps",#N/A,FALSE,"HANDPACK";"footnotes",#N/A,FALSE,"HANDPACK"}</definedName>
    <definedName name="wrn.equity._.comps." localSheetId="15" hidden="1">{"equity comps",#N/A,FALSE,"CS Comps";"equity comps",#N/A,FALSE,"PS Comps";"equity comps",#N/A,FALSE,"GIC_Comps";"equity comps",#N/A,FALSE,"GIC2_Comps"}</definedName>
    <definedName name="wrn.equity._.comps." localSheetId="14" hidden="1">{"equity comps",#N/A,FALSE,"CS Comps";"equity comps",#N/A,FALSE,"PS Comps";"equity comps",#N/A,FALSE,"GIC_Comps";"equity comps",#N/A,FALSE,"GIC2_Comps"}</definedName>
    <definedName name="wrn.equity._.comps." localSheetId="2" hidden="1">{"equity comps",#N/A,FALSE,"CS Comps";"equity comps",#N/A,FALSE,"PS Comps";"equity comps",#N/A,FALSE,"GIC_Comps";"equity comps",#N/A,FALSE,"GIC2_Comps"}</definedName>
    <definedName name="wrn.equity._.comps." localSheetId="34" hidden="1">{"equity comps",#N/A,FALSE,"CS Comps";"equity comps",#N/A,FALSE,"PS Comps";"equity comps",#N/A,FALSE,"GIC_Comps";"equity comps",#N/A,FALSE,"GIC2_Comps"}</definedName>
    <definedName name="wrn.equity._.comps." localSheetId="39" hidden="1">{"equity comps",#N/A,FALSE,"CS Comps";"equity comps",#N/A,FALSE,"PS Comps";"equity comps",#N/A,FALSE,"GIC_Comps";"equity comps",#N/A,FALSE,"GIC2_Comps"}</definedName>
    <definedName name="wrn.equity._.comps." localSheetId="8" hidden="1">{"equity comps",#N/A,FALSE,"CS Comps";"equity comps",#N/A,FALSE,"PS Comps";"equity comps",#N/A,FALSE,"GIC_Comps";"equity comps",#N/A,FALSE,"GIC2_Comps"}</definedName>
    <definedName name="wrn.equity._.comps." localSheetId="12" hidden="1">{"equity comps",#N/A,FALSE,"CS Comps";"equity comps",#N/A,FALSE,"PS Comps";"equity comps",#N/A,FALSE,"GIC_Comps";"equity comps",#N/A,FALSE,"GIC2_Comps"}</definedName>
    <definedName name="wrn.equity._.comps." localSheetId="13" hidden="1">{"equity comps",#N/A,FALSE,"CS Comps";"equity comps",#N/A,FALSE,"PS Comps";"equity comps",#N/A,FALSE,"GIC_Comps";"equity comps",#N/A,FALSE,"GIC2_Comps"}</definedName>
    <definedName name="wrn.equity._.comps." localSheetId="11" hidden="1">{"equity comps",#N/A,FALSE,"CS Comps";"equity comps",#N/A,FALSE,"PS Comps";"equity comps",#N/A,FALSE,"GIC_Comps";"equity comps",#N/A,FALSE,"GIC2_Comps"}</definedName>
    <definedName name="wrn.equity._.comps." localSheetId="31"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forecast." localSheetId="15" hidden="1">{#N/A,#N/A,FALSE,"model"}</definedName>
    <definedName name="wrn.forecast." localSheetId="14" hidden="1">{#N/A,#N/A,FALSE,"model"}</definedName>
    <definedName name="wrn.forecast." localSheetId="2" hidden="1">{#N/A,#N/A,FALSE,"model"}</definedName>
    <definedName name="wrn.forecast." localSheetId="34" hidden="1">{#N/A,#N/A,FALSE,"model"}</definedName>
    <definedName name="wrn.forecast." localSheetId="39" hidden="1">{#N/A,#N/A,FALSE,"model"}</definedName>
    <definedName name="wrn.forecast." localSheetId="8" hidden="1">{#N/A,#N/A,FALSE,"model"}</definedName>
    <definedName name="wrn.forecast." localSheetId="12" hidden="1">{#N/A,#N/A,FALSE,"model"}</definedName>
    <definedName name="wrn.forecast." localSheetId="13" hidden="1">{#N/A,#N/A,FALSE,"model"}</definedName>
    <definedName name="wrn.forecast." localSheetId="11" hidden="1">{#N/A,#N/A,FALSE,"model"}</definedName>
    <definedName name="wrn.forecast." localSheetId="31" hidden="1">{#N/A,#N/A,FALSE,"model"}</definedName>
    <definedName name="wrn.forecast." hidden="1">{#N/A,#N/A,FALSE,"model"}</definedName>
    <definedName name="wrn.forecast2" localSheetId="15" hidden="1">{#N/A,#N/A,FALSE,"model"}</definedName>
    <definedName name="wrn.forecast2" localSheetId="14" hidden="1">{#N/A,#N/A,FALSE,"model"}</definedName>
    <definedName name="wrn.forecast2" localSheetId="2" hidden="1">{#N/A,#N/A,FALSE,"model"}</definedName>
    <definedName name="wrn.forecast2" localSheetId="34" hidden="1">{#N/A,#N/A,FALSE,"model"}</definedName>
    <definedName name="wrn.forecast2" localSheetId="39" hidden="1">{#N/A,#N/A,FALSE,"model"}</definedName>
    <definedName name="wrn.forecast2" localSheetId="8" hidden="1">{#N/A,#N/A,FALSE,"model"}</definedName>
    <definedName name="wrn.forecast2" localSheetId="12" hidden="1">{#N/A,#N/A,FALSE,"model"}</definedName>
    <definedName name="wrn.forecast2" localSheetId="13" hidden="1">{#N/A,#N/A,FALSE,"model"}</definedName>
    <definedName name="wrn.forecast2" localSheetId="11" hidden="1">{#N/A,#N/A,FALSE,"model"}</definedName>
    <definedName name="wrn.forecast2" localSheetId="31" hidden="1">{#N/A,#N/A,FALSE,"model"}</definedName>
    <definedName name="wrn.forecast2" hidden="1">{#N/A,#N/A,FALSE,"model"}</definedName>
    <definedName name="wrn.forecastassumptions." localSheetId="15" hidden="1">{#N/A,#N/A,FALSE,"model"}</definedName>
    <definedName name="wrn.forecastassumptions." localSheetId="14" hidden="1">{#N/A,#N/A,FALSE,"model"}</definedName>
    <definedName name="wrn.forecastassumptions." localSheetId="2" hidden="1">{#N/A,#N/A,FALSE,"model"}</definedName>
    <definedName name="wrn.forecastassumptions." localSheetId="34" hidden="1">{#N/A,#N/A,FALSE,"model"}</definedName>
    <definedName name="wrn.forecastassumptions." localSheetId="39" hidden="1">{#N/A,#N/A,FALSE,"model"}</definedName>
    <definedName name="wrn.forecastassumptions." localSheetId="8" hidden="1">{#N/A,#N/A,FALSE,"model"}</definedName>
    <definedName name="wrn.forecastassumptions." localSheetId="12" hidden="1">{#N/A,#N/A,FALSE,"model"}</definedName>
    <definedName name="wrn.forecastassumptions." localSheetId="13" hidden="1">{#N/A,#N/A,FALSE,"model"}</definedName>
    <definedName name="wrn.forecastassumptions." localSheetId="11" hidden="1">{#N/A,#N/A,FALSE,"model"}</definedName>
    <definedName name="wrn.forecastassumptions." localSheetId="31" hidden="1">{#N/A,#N/A,FALSE,"model"}</definedName>
    <definedName name="wrn.forecastassumptions." hidden="1">{#N/A,#N/A,FALSE,"model"}</definedName>
    <definedName name="wrn.forecastassumptions2" localSheetId="15" hidden="1">{#N/A,#N/A,FALSE,"model"}</definedName>
    <definedName name="wrn.forecastassumptions2" localSheetId="14" hidden="1">{#N/A,#N/A,FALSE,"model"}</definedName>
    <definedName name="wrn.forecastassumptions2" localSheetId="2" hidden="1">{#N/A,#N/A,FALSE,"model"}</definedName>
    <definedName name="wrn.forecastassumptions2" localSheetId="34" hidden="1">{#N/A,#N/A,FALSE,"model"}</definedName>
    <definedName name="wrn.forecastassumptions2" localSheetId="39" hidden="1">{#N/A,#N/A,FALSE,"model"}</definedName>
    <definedName name="wrn.forecastassumptions2" localSheetId="8" hidden="1">{#N/A,#N/A,FALSE,"model"}</definedName>
    <definedName name="wrn.forecastassumptions2" localSheetId="12" hidden="1">{#N/A,#N/A,FALSE,"model"}</definedName>
    <definedName name="wrn.forecastassumptions2" localSheetId="13" hidden="1">{#N/A,#N/A,FALSE,"model"}</definedName>
    <definedName name="wrn.forecastassumptions2" localSheetId="11" hidden="1">{#N/A,#N/A,FALSE,"model"}</definedName>
    <definedName name="wrn.forecastassumptions2" localSheetId="31" hidden="1">{#N/A,#N/A,FALSE,"model"}</definedName>
    <definedName name="wrn.forecastassumptions2" hidden="1">{#N/A,#N/A,FALSE,"model"}</definedName>
    <definedName name="wrn.forecastROIC." localSheetId="15" hidden="1">{#N/A,#N/A,FALSE,"model"}</definedName>
    <definedName name="wrn.forecastROIC." localSheetId="14" hidden="1">{#N/A,#N/A,FALSE,"model"}</definedName>
    <definedName name="wrn.forecastROIC." localSheetId="2" hidden="1">{#N/A,#N/A,FALSE,"model"}</definedName>
    <definedName name="wrn.forecastROIC." localSheetId="34" hidden="1">{#N/A,#N/A,FALSE,"model"}</definedName>
    <definedName name="wrn.forecastROIC." localSheetId="39" hidden="1">{#N/A,#N/A,FALSE,"model"}</definedName>
    <definedName name="wrn.forecastROIC." localSheetId="8" hidden="1">{#N/A,#N/A,FALSE,"model"}</definedName>
    <definedName name="wrn.forecastROIC." localSheetId="12" hidden="1">{#N/A,#N/A,FALSE,"model"}</definedName>
    <definedName name="wrn.forecastROIC." localSheetId="13" hidden="1">{#N/A,#N/A,FALSE,"model"}</definedName>
    <definedName name="wrn.forecastROIC." localSheetId="11" hidden="1">{#N/A,#N/A,FALSE,"model"}</definedName>
    <definedName name="wrn.forecastROIC." localSheetId="31" hidden="1">{#N/A,#N/A,FALSE,"model"}</definedName>
    <definedName name="wrn.forecastROIC." hidden="1">{#N/A,#N/A,FALSE,"model"}</definedName>
    <definedName name="wrn.forecastROIC2" localSheetId="15" hidden="1">{#N/A,#N/A,FALSE,"model"}</definedName>
    <definedName name="wrn.forecastROIC2" localSheetId="14" hidden="1">{#N/A,#N/A,FALSE,"model"}</definedName>
    <definedName name="wrn.forecastROIC2" localSheetId="2" hidden="1">{#N/A,#N/A,FALSE,"model"}</definedName>
    <definedName name="wrn.forecastROIC2" localSheetId="34" hidden="1">{#N/A,#N/A,FALSE,"model"}</definedName>
    <definedName name="wrn.forecastROIC2" localSheetId="39" hidden="1">{#N/A,#N/A,FALSE,"model"}</definedName>
    <definedName name="wrn.forecastROIC2" localSheetId="8" hidden="1">{#N/A,#N/A,FALSE,"model"}</definedName>
    <definedName name="wrn.forecastROIC2" localSheetId="12" hidden="1">{#N/A,#N/A,FALSE,"model"}</definedName>
    <definedName name="wrn.forecastROIC2" localSheetId="13" hidden="1">{#N/A,#N/A,FALSE,"model"}</definedName>
    <definedName name="wrn.forecastROIC2" localSheetId="11" hidden="1">{#N/A,#N/A,FALSE,"model"}</definedName>
    <definedName name="wrn.forecastROIC2" localSheetId="31" hidden="1">{#N/A,#N/A,FALSE,"model"}</definedName>
    <definedName name="wrn.forecastROIC2" hidden="1">{#N/A,#N/A,FALSE,"model"}</definedName>
    <definedName name="wrn.history." localSheetId="15" hidden="1">{#N/A,#N/A,FALSE,"model"}</definedName>
    <definedName name="wrn.history." localSheetId="14" hidden="1">{#N/A,#N/A,FALSE,"model"}</definedName>
    <definedName name="wrn.history." localSheetId="2" hidden="1">{#N/A,#N/A,FALSE,"model"}</definedName>
    <definedName name="wrn.history." localSheetId="34" hidden="1">{#N/A,#N/A,FALSE,"model"}</definedName>
    <definedName name="wrn.history." localSheetId="39" hidden="1">{#N/A,#N/A,FALSE,"model"}</definedName>
    <definedName name="wrn.history." localSheetId="8" hidden="1">{#N/A,#N/A,FALSE,"model"}</definedName>
    <definedName name="wrn.history." localSheetId="12" hidden="1">{#N/A,#N/A,FALSE,"model"}</definedName>
    <definedName name="wrn.history." localSheetId="13" hidden="1">{#N/A,#N/A,FALSE,"model"}</definedName>
    <definedName name="wrn.history." localSheetId="11" hidden="1">{#N/A,#N/A,FALSE,"model"}</definedName>
    <definedName name="wrn.history." localSheetId="31" hidden="1">{#N/A,#N/A,FALSE,"model"}</definedName>
    <definedName name="wrn.history." hidden="1">{#N/A,#N/A,FALSE,"model"}</definedName>
    <definedName name="wrn.history2" localSheetId="15" hidden="1">{#N/A,#N/A,FALSE,"model"}</definedName>
    <definedName name="wrn.history2" localSheetId="14" hidden="1">{#N/A,#N/A,FALSE,"model"}</definedName>
    <definedName name="wrn.history2" localSheetId="2" hidden="1">{#N/A,#N/A,FALSE,"model"}</definedName>
    <definedName name="wrn.history2" localSheetId="34" hidden="1">{#N/A,#N/A,FALSE,"model"}</definedName>
    <definedName name="wrn.history2" localSheetId="39" hidden="1">{#N/A,#N/A,FALSE,"model"}</definedName>
    <definedName name="wrn.history2" localSheetId="8" hidden="1">{#N/A,#N/A,FALSE,"model"}</definedName>
    <definedName name="wrn.history2" localSheetId="12" hidden="1">{#N/A,#N/A,FALSE,"model"}</definedName>
    <definedName name="wrn.history2" localSheetId="13" hidden="1">{#N/A,#N/A,FALSE,"model"}</definedName>
    <definedName name="wrn.history2" localSheetId="11" hidden="1">{#N/A,#N/A,FALSE,"model"}</definedName>
    <definedName name="wrn.history2" localSheetId="31" hidden="1">{#N/A,#N/A,FALSE,"model"}</definedName>
    <definedName name="wrn.history2" hidden="1">{#N/A,#N/A,FALSE,"model"}</definedName>
    <definedName name="wrn.histROIC." localSheetId="15" hidden="1">{#N/A,#N/A,FALSE,"model"}</definedName>
    <definedName name="wrn.histROIC." localSheetId="14" hidden="1">{#N/A,#N/A,FALSE,"model"}</definedName>
    <definedName name="wrn.histROIC." localSheetId="2" hidden="1">{#N/A,#N/A,FALSE,"model"}</definedName>
    <definedName name="wrn.histROIC." localSheetId="34" hidden="1">{#N/A,#N/A,FALSE,"model"}</definedName>
    <definedName name="wrn.histROIC." localSheetId="39" hidden="1">{#N/A,#N/A,FALSE,"model"}</definedName>
    <definedName name="wrn.histROIC." localSheetId="8" hidden="1">{#N/A,#N/A,FALSE,"model"}</definedName>
    <definedName name="wrn.histROIC." localSheetId="12" hidden="1">{#N/A,#N/A,FALSE,"model"}</definedName>
    <definedName name="wrn.histROIC." localSheetId="13" hidden="1">{#N/A,#N/A,FALSE,"model"}</definedName>
    <definedName name="wrn.histROIC." localSheetId="11" hidden="1">{#N/A,#N/A,FALSE,"model"}</definedName>
    <definedName name="wrn.histROIC." localSheetId="31" hidden="1">{#N/A,#N/A,FALSE,"model"}</definedName>
    <definedName name="wrn.histROIC." hidden="1">{#N/A,#N/A,FALSE,"model"}</definedName>
    <definedName name="wrn.histROIC2" localSheetId="15" hidden="1">{#N/A,#N/A,FALSE,"model"}</definedName>
    <definedName name="wrn.histROIC2" localSheetId="14" hidden="1">{#N/A,#N/A,FALSE,"model"}</definedName>
    <definedName name="wrn.histROIC2" localSheetId="2" hidden="1">{#N/A,#N/A,FALSE,"model"}</definedName>
    <definedName name="wrn.histROIC2" localSheetId="34" hidden="1">{#N/A,#N/A,FALSE,"model"}</definedName>
    <definedName name="wrn.histROIC2" localSheetId="39" hidden="1">{#N/A,#N/A,FALSE,"model"}</definedName>
    <definedName name="wrn.histROIC2" localSheetId="8" hidden="1">{#N/A,#N/A,FALSE,"model"}</definedName>
    <definedName name="wrn.histROIC2" localSheetId="12" hidden="1">{#N/A,#N/A,FALSE,"model"}</definedName>
    <definedName name="wrn.histROIC2" localSheetId="13" hidden="1">{#N/A,#N/A,FALSE,"model"}</definedName>
    <definedName name="wrn.histROIC2" localSheetId="11" hidden="1">{#N/A,#N/A,FALSE,"model"}</definedName>
    <definedName name="wrn.histROIC2" localSheetId="31" hidden="1">{#N/A,#N/A,FALSE,"model"}</definedName>
    <definedName name="wrn.histROIC2" hidden="1">{#N/A,#N/A,FALSE,"model"}</definedName>
    <definedName name="wrn.imp_flx." localSheetId="15" hidden="1">{#N/A,#N/A,FALSE,"CONSOLID";#N/A,#N/A,FALSE,"CIMENTO";#N/A,#N/A,FALSE,"METALURGIA";#N/A,#N/A,FALSE,"PAPEL";#N/A,#N/A,FALSE,"QUÍMICA";#N/A,#N/A,FALSE,"AGROINDL";#N/A,#N/A,FALSE,"OUTROS";#N/A,#N/A,FALSE,"REAL_ORCADO"}</definedName>
    <definedName name="wrn.imp_flx." localSheetId="14" hidden="1">{#N/A,#N/A,FALSE,"CONSOLID";#N/A,#N/A,FALSE,"CIMENTO";#N/A,#N/A,FALSE,"METALURGIA";#N/A,#N/A,FALSE,"PAPEL";#N/A,#N/A,FALSE,"QUÍMICA";#N/A,#N/A,FALSE,"AGROINDL";#N/A,#N/A,FALSE,"OUTROS";#N/A,#N/A,FALSE,"REAL_ORCADO"}</definedName>
    <definedName name="wrn.imp_flx." localSheetId="2" hidden="1">{#N/A,#N/A,FALSE,"CONSOLID";#N/A,#N/A,FALSE,"CIMENTO";#N/A,#N/A,FALSE,"METALURGIA";#N/A,#N/A,FALSE,"PAPEL";#N/A,#N/A,FALSE,"QUÍMICA";#N/A,#N/A,FALSE,"AGROINDL";#N/A,#N/A,FALSE,"OUTROS";#N/A,#N/A,FALSE,"REAL_ORCADO"}</definedName>
    <definedName name="wrn.imp_flx." localSheetId="34" hidden="1">{#N/A,#N/A,FALSE,"CONSOLID";#N/A,#N/A,FALSE,"CIMENTO";#N/A,#N/A,FALSE,"METALURGIA";#N/A,#N/A,FALSE,"PAPEL";#N/A,#N/A,FALSE,"QUÍMICA";#N/A,#N/A,FALSE,"AGROINDL";#N/A,#N/A,FALSE,"OUTROS";#N/A,#N/A,FALSE,"REAL_ORCADO"}</definedName>
    <definedName name="wrn.imp_flx." localSheetId="39" hidden="1">{#N/A,#N/A,FALSE,"CONSOLID";#N/A,#N/A,FALSE,"CIMENTO";#N/A,#N/A,FALSE,"METALURGIA";#N/A,#N/A,FALSE,"PAPEL";#N/A,#N/A,FALSE,"QUÍMICA";#N/A,#N/A,FALSE,"AGROINDL";#N/A,#N/A,FALSE,"OUTROS";#N/A,#N/A,FALSE,"REAL_ORCADO"}</definedName>
    <definedName name="wrn.imp_flx." localSheetId="8" hidden="1">{#N/A,#N/A,FALSE,"CONSOLID";#N/A,#N/A,FALSE,"CIMENTO";#N/A,#N/A,FALSE,"METALURGIA";#N/A,#N/A,FALSE,"PAPEL";#N/A,#N/A,FALSE,"QUÍMICA";#N/A,#N/A,FALSE,"AGROINDL";#N/A,#N/A,FALSE,"OUTROS";#N/A,#N/A,FALSE,"REAL_ORCADO"}</definedName>
    <definedName name="wrn.imp_flx." localSheetId="12" hidden="1">{#N/A,#N/A,FALSE,"CONSOLID";#N/A,#N/A,FALSE,"CIMENTO";#N/A,#N/A,FALSE,"METALURGIA";#N/A,#N/A,FALSE,"PAPEL";#N/A,#N/A,FALSE,"QUÍMICA";#N/A,#N/A,FALSE,"AGROINDL";#N/A,#N/A,FALSE,"OUTROS";#N/A,#N/A,FALSE,"REAL_ORCADO"}</definedName>
    <definedName name="wrn.imp_flx." localSheetId="13" hidden="1">{#N/A,#N/A,FALSE,"CONSOLID";#N/A,#N/A,FALSE,"CIMENTO";#N/A,#N/A,FALSE,"METALURGIA";#N/A,#N/A,FALSE,"PAPEL";#N/A,#N/A,FALSE,"QUÍMICA";#N/A,#N/A,FALSE,"AGROINDL";#N/A,#N/A,FALSE,"OUTROS";#N/A,#N/A,FALSE,"REAL_ORCADO"}</definedName>
    <definedName name="wrn.imp_flx." localSheetId="11" hidden="1">{#N/A,#N/A,FALSE,"CONSOLID";#N/A,#N/A,FALSE,"CIMENTO";#N/A,#N/A,FALSE,"METALURGIA";#N/A,#N/A,FALSE,"PAPEL";#N/A,#N/A,FALSE,"QUÍMICA";#N/A,#N/A,FALSE,"AGROINDL";#N/A,#N/A,FALSE,"OUTROS";#N/A,#N/A,FALSE,"REAL_ORCADO"}</definedName>
    <definedName name="wrn.imp_flx." localSheetId="31" hidden="1">{#N/A,#N/A,FALSE,"CONSOLID";#N/A,#N/A,FALSE,"CIMENTO";#N/A,#N/A,FALSE,"METALURGIA";#N/A,#N/A,FALSE,"PAPEL";#N/A,#N/A,FALSE,"QUÍMICA";#N/A,#N/A,FALSE,"AGROINDL";#N/A,#N/A,FALSE,"OUTROS";#N/A,#N/A,FALSE,"REAL_ORCADO"}</definedName>
    <definedName name="wrn.imp_flx." hidden="1">{#N/A,#N/A,FALSE,"CONSOLID";#N/A,#N/A,FALSE,"CIMENTO";#N/A,#N/A,FALSE,"METALURGIA";#N/A,#N/A,FALSE,"PAPEL";#N/A,#N/A,FALSE,"QUÍMICA";#N/A,#N/A,FALSE,"AGROINDL";#N/A,#N/A,FALSE,"OUTROS";#N/A,#N/A,FALSE,"REAL_ORCADO"}</definedName>
    <definedName name="wrn.Informe._.Mensual." localSheetId="15"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4"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2"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4"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9"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8"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2"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3"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1"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1"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NOVIEMBRE." localSheetId="15"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4"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2"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4"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9"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8"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2"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3"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1"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1"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JOGO_CONSOLIDADO." localSheetId="15" hidden="1">{#N/A,#N/A,TRUE,"Consolidado";#N/A,#N/A,TRUE,"Laticínios";#N/A,#N/A,TRUE,"Frangos";#N/A,#N/A,TRUE,"Suínos";#N/A,#N/A,TRUE,"Peru";#N/A,#N/A,TRUE,"Carnes";#N/A,#N/A,TRUE,"Suco";#N/A,#N/A,TRUE,"Batata"}</definedName>
    <definedName name="wrn.JOGO_CONSOLIDADO." localSheetId="14" hidden="1">{#N/A,#N/A,TRUE,"Consolidado";#N/A,#N/A,TRUE,"Laticínios";#N/A,#N/A,TRUE,"Frangos";#N/A,#N/A,TRUE,"Suínos";#N/A,#N/A,TRUE,"Peru";#N/A,#N/A,TRUE,"Carnes";#N/A,#N/A,TRUE,"Suco";#N/A,#N/A,TRUE,"Batata"}</definedName>
    <definedName name="wrn.JOGO_CONSOLIDADO." localSheetId="2" hidden="1">{#N/A,#N/A,TRUE,"Consolidado";#N/A,#N/A,TRUE,"Laticínios";#N/A,#N/A,TRUE,"Frangos";#N/A,#N/A,TRUE,"Suínos";#N/A,#N/A,TRUE,"Peru";#N/A,#N/A,TRUE,"Carnes";#N/A,#N/A,TRUE,"Suco";#N/A,#N/A,TRUE,"Batata"}</definedName>
    <definedName name="wrn.JOGO_CONSOLIDADO." localSheetId="34" hidden="1">{#N/A,#N/A,TRUE,"Consolidado";#N/A,#N/A,TRUE,"Laticínios";#N/A,#N/A,TRUE,"Frangos";#N/A,#N/A,TRUE,"Suínos";#N/A,#N/A,TRUE,"Peru";#N/A,#N/A,TRUE,"Carnes";#N/A,#N/A,TRUE,"Suco";#N/A,#N/A,TRUE,"Batata"}</definedName>
    <definedName name="wrn.JOGO_CONSOLIDADO." localSheetId="39" hidden="1">{#N/A,#N/A,TRUE,"Consolidado";#N/A,#N/A,TRUE,"Laticínios";#N/A,#N/A,TRUE,"Frangos";#N/A,#N/A,TRUE,"Suínos";#N/A,#N/A,TRUE,"Peru";#N/A,#N/A,TRUE,"Carnes";#N/A,#N/A,TRUE,"Suco";#N/A,#N/A,TRUE,"Batata"}</definedName>
    <definedName name="wrn.JOGO_CONSOLIDADO." localSheetId="8" hidden="1">{#N/A,#N/A,TRUE,"Consolidado";#N/A,#N/A,TRUE,"Laticínios";#N/A,#N/A,TRUE,"Frangos";#N/A,#N/A,TRUE,"Suínos";#N/A,#N/A,TRUE,"Peru";#N/A,#N/A,TRUE,"Carnes";#N/A,#N/A,TRUE,"Suco";#N/A,#N/A,TRUE,"Batata"}</definedName>
    <definedName name="wrn.JOGO_CONSOLIDADO." localSheetId="12" hidden="1">{#N/A,#N/A,TRUE,"Consolidado";#N/A,#N/A,TRUE,"Laticínios";#N/A,#N/A,TRUE,"Frangos";#N/A,#N/A,TRUE,"Suínos";#N/A,#N/A,TRUE,"Peru";#N/A,#N/A,TRUE,"Carnes";#N/A,#N/A,TRUE,"Suco";#N/A,#N/A,TRUE,"Batata"}</definedName>
    <definedName name="wrn.JOGO_CONSOLIDADO." localSheetId="13" hidden="1">{#N/A,#N/A,TRUE,"Consolidado";#N/A,#N/A,TRUE,"Laticínios";#N/A,#N/A,TRUE,"Frangos";#N/A,#N/A,TRUE,"Suínos";#N/A,#N/A,TRUE,"Peru";#N/A,#N/A,TRUE,"Carnes";#N/A,#N/A,TRUE,"Suco";#N/A,#N/A,TRUE,"Batata"}</definedName>
    <definedName name="wrn.JOGO_CONSOLIDADO." localSheetId="11" hidden="1">{#N/A,#N/A,TRUE,"Consolidado";#N/A,#N/A,TRUE,"Laticínios";#N/A,#N/A,TRUE,"Frangos";#N/A,#N/A,TRUE,"Suínos";#N/A,#N/A,TRUE,"Peru";#N/A,#N/A,TRUE,"Carnes";#N/A,#N/A,TRUE,"Suco";#N/A,#N/A,TRUE,"Batata"}</definedName>
    <definedName name="wrn.JOGO_CONSOLIDADO." localSheetId="31" hidden="1">{#N/A,#N/A,TRUE,"Consolidado";#N/A,#N/A,TRUE,"Laticínios";#N/A,#N/A,TRUE,"Frangos";#N/A,#N/A,TRUE,"Suínos";#N/A,#N/A,TRUE,"Peru";#N/A,#N/A,TRUE,"Carnes";#N/A,#N/A,TRUE,"Suco";#N/A,#N/A,TRUE,"Batata"}</definedName>
    <definedName name="wrn.JOGO_CONSOLIDADO." hidden="1">{#N/A,#N/A,TRUE,"Consolidado";#N/A,#N/A,TRUE,"Laticínios";#N/A,#N/A,TRUE,"Frangos";#N/A,#N/A,TRUE,"Suínos";#N/A,#N/A,TRUE,"Peru";#N/A,#N/A,TRUE,"Carnes";#N/A,#N/A,TRUE,"Suco";#N/A,#N/A,TRUE,"Batata"}</definedName>
    <definedName name="wrn.memo." localSheetId="15" hidden="1">{#N/A,#N/A,TRUE,"financial";#N/A,#N/A,TRUE,"plants"}</definedName>
    <definedName name="wrn.memo." localSheetId="14" hidden="1">{#N/A,#N/A,TRUE,"financial";#N/A,#N/A,TRUE,"plants"}</definedName>
    <definedName name="wrn.memo." localSheetId="2" hidden="1">{#N/A,#N/A,TRUE,"financial";#N/A,#N/A,TRUE,"plants"}</definedName>
    <definedName name="wrn.memo." localSheetId="34" hidden="1">{#N/A,#N/A,TRUE,"financial";#N/A,#N/A,TRUE,"plants"}</definedName>
    <definedName name="wrn.memo." localSheetId="39" hidden="1">{#N/A,#N/A,TRUE,"financial";#N/A,#N/A,TRUE,"plants"}</definedName>
    <definedName name="wrn.memo." localSheetId="8" hidden="1">{#N/A,#N/A,TRUE,"financial";#N/A,#N/A,TRUE,"plants"}</definedName>
    <definedName name="wrn.memo." localSheetId="12" hidden="1">{#N/A,#N/A,TRUE,"financial";#N/A,#N/A,TRUE,"plants"}</definedName>
    <definedName name="wrn.memo." localSheetId="13" hidden="1">{#N/A,#N/A,TRUE,"financial";#N/A,#N/A,TRUE,"plants"}</definedName>
    <definedName name="wrn.memo." localSheetId="11" hidden="1">{#N/A,#N/A,TRUE,"financial";#N/A,#N/A,TRUE,"plants"}</definedName>
    <definedName name="wrn.memo." localSheetId="31" hidden="1">{#N/A,#N/A,TRUE,"financial";#N/A,#N/A,TRUE,"plants"}</definedName>
    <definedName name="wrn.memo." hidden="1">{#N/A,#N/A,TRUE,"financial";#N/A,#N/A,TRUE,"plants"}</definedName>
    <definedName name="wrn.Memoria97."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9"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TESA." localSheetId="15"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4"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2"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4"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9"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8"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2"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3"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1"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1"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rger." localSheetId="1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9"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3"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Novembro." localSheetId="15" hidden="1">{"Fecha_Novembro",#N/A,FALSE,"FECHAMENTO-2002 ";"Defer_Novembro",#N/A,FALSE,"DIFERIDO";"Pis_Novembro",#N/A,FALSE,"PIS COFINS";"Iss_Novembro",#N/A,FALSE,"ISS"}</definedName>
    <definedName name="wrn.Novembro." localSheetId="14" hidden="1">{"Fecha_Novembro",#N/A,FALSE,"FECHAMENTO-2002 ";"Defer_Novembro",#N/A,FALSE,"DIFERIDO";"Pis_Novembro",#N/A,FALSE,"PIS COFINS";"Iss_Novembro",#N/A,FALSE,"ISS"}</definedName>
    <definedName name="wrn.Novembro." localSheetId="2" hidden="1">{"Fecha_Novembro",#N/A,FALSE,"FECHAMENTO-2002 ";"Defer_Novembro",#N/A,FALSE,"DIFERIDO";"Pis_Novembro",#N/A,FALSE,"PIS COFINS";"Iss_Novembro",#N/A,FALSE,"ISS"}</definedName>
    <definedName name="wrn.Novembro." localSheetId="34" hidden="1">{"Fecha_Novembro",#N/A,FALSE,"FECHAMENTO-2002 ";"Defer_Novembro",#N/A,FALSE,"DIFERIDO";"Pis_Novembro",#N/A,FALSE,"PIS COFINS";"Iss_Novembro",#N/A,FALSE,"ISS"}</definedName>
    <definedName name="wrn.Novembro." localSheetId="39" hidden="1">{"Fecha_Novembro",#N/A,FALSE,"FECHAMENTO-2002 ";"Defer_Novembro",#N/A,FALSE,"DIFERIDO";"Pis_Novembro",#N/A,FALSE,"PIS COFINS";"Iss_Novembro",#N/A,FALSE,"ISS"}</definedName>
    <definedName name="wrn.Novembro." localSheetId="8" hidden="1">{"Fecha_Novembro",#N/A,FALSE,"FECHAMENTO-2002 ";"Defer_Novembro",#N/A,FALSE,"DIFERIDO";"Pis_Novembro",#N/A,FALSE,"PIS COFINS";"Iss_Novembro",#N/A,FALSE,"ISS"}</definedName>
    <definedName name="wrn.Novembro." localSheetId="12" hidden="1">{"Fecha_Novembro",#N/A,FALSE,"FECHAMENTO-2002 ";"Defer_Novembro",#N/A,FALSE,"DIFERIDO";"Pis_Novembro",#N/A,FALSE,"PIS COFINS";"Iss_Novembro",#N/A,FALSE,"ISS"}</definedName>
    <definedName name="wrn.Novembro." localSheetId="13" hidden="1">{"Fecha_Novembro",#N/A,FALSE,"FECHAMENTO-2002 ";"Defer_Novembro",#N/A,FALSE,"DIFERIDO";"Pis_Novembro",#N/A,FALSE,"PIS COFINS";"Iss_Novembro",#N/A,FALSE,"ISS"}</definedName>
    <definedName name="wrn.Novembro." localSheetId="11" hidden="1">{"Fecha_Novembro",#N/A,FALSE,"FECHAMENTO-2002 ";"Defer_Novembro",#N/A,FALSE,"DIFERIDO";"Pis_Novembro",#N/A,FALSE,"PIS COFINS";"Iss_Novembro",#N/A,FALSE,"ISS"}</definedName>
    <definedName name="wrn.Novembro." localSheetId="31" hidden="1">{"Fecha_Novembro",#N/A,FALSE,"FECHAMENTO-2002 ";"Defer_Novembro",#N/A,FALSE,"DIFERIDO";"Pis_Novembro",#N/A,FALSE,"PIS COFINS";"Iss_Novembro",#N/A,FALSE,"ISS"}</definedName>
    <definedName name="wrn.Novembro." hidden="1">{"Fecha_Novembro",#N/A,FALSE,"FECHAMENTO-2002 ";"Defer_Novembro",#N/A,FALSE,"DIFERIDO";"Pis_Novembro",#N/A,FALSE,"PIS COFINS";"Iss_Novembro",#N/A,FALSE,"ISS"}</definedName>
    <definedName name="wrn.Novembro._1" localSheetId="15" hidden="1">{"Fecha_Novembro",#N/A,FALSE,"FECHAMENTO-2002 ";"Defer_Novembro",#N/A,FALSE,"DIFERIDO";"Pis_Novembro",#N/A,FALSE,"PIS COFINS";"Iss_Novembro",#N/A,FALSE,"ISS"}</definedName>
    <definedName name="wrn.Novembro._1" localSheetId="14" hidden="1">{"Fecha_Novembro",#N/A,FALSE,"FECHAMENTO-2002 ";"Defer_Novembro",#N/A,FALSE,"DIFERIDO";"Pis_Novembro",#N/A,FALSE,"PIS COFINS";"Iss_Novembro",#N/A,FALSE,"ISS"}</definedName>
    <definedName name="wrn.Novembro._1" localSheetId="2" hidden="1">{"Fecha_Novembro",#N/A,FALSE,"FECHAMENTO-2002 ";"Defer_Novembro",#N/A,FALSE,"DIFERIDO";"Pis_Novembro",#N/A,FALSE,"PIS COFINS";"Iss_Novembro",#N/A,FALSE,"ISS"}</definedName>
    <definedName name="wrn.Novembro._1" localSheetId="34" hidden="1">{"Fecha_Novembro",#N/A,FALSE,"FECHAMENTO-2002 ";"Defer_Novembro",#N/A,FALSE,"DIFERIDO";"Pis_Novembro",#N/A,FALSE,"PIS COFINS";"Iss_Novembro",#N/A,FALSE,"ISS"}</definedName>
    <definedName name="wrn.Novembro._1" localSheetId="39" hidden="1">{"Fecha_Novembro",#N/A,FALSE,"FECHAMENTO-2002 ";"Defer_Novembro",#N/A,FALSE,"DIFERIDO";"Pis_Novembro",#N/A,FALSE,"PIS COFINS";"Iss_Novembro",#N/A,FALSE,"ISS"}</definedName>
    <definedName name="wrn.Novembro._1" localSheetId="8" hidden="1">{"Fecha_Novembro",#N/A,FALSE,"FECHAMENTO-2002 ";"Defer_Novembro",#N/A,FALSE,"DIFERIDO";"Pis_Novembro",#N/A,FALSE,"PIS COFINS";"Iss_Novembro",#N/A,FALSE,"ISS"}</definedName>
    <definedName name="wrn.Novembro._1" localSheetId="12" hidden="1">{"Fecha_Novembro",#N/A,FALSE,"FECHAMENTO-2002 ";"Defer_Novembro",#N/A,FALSE,"DIFERIDO";"Pis_Novembro",#N/A,FALSE,"PIS COFINS";"Iss_Novembro",#N/A,FALSE,"ISS"}</definedName>
    <definedName name="wrn.Novembro._1" localSheetId="13" hidden="1">{"Fecha_Novembro",#N/A,FALSE,"FECHAMENTO-2002 ";"Defer_Novembro",#N/A,FALSE,"DIFERIDO";"Pis_Novembro",#N/A,FALSE,"PIS COFINS";"Iss_Novembro",#N/A,FALSE,"ISS"}</definedName>
    <definedName name="wrn.Novembro._1" localSheetId="11" hidden="1">{"Fecha_Novembro",#N/A,FALSE,"FECHAMENTO-2002 ";"Defer_Novembro",#N/A,FALSE,"DIFERIDO";"Pis_Novembro",#N/A,FALSE,"PIS COFINS";"Iss_Novembro",#N/A,FALSE,"ISS"}</definedName>
    <definedName name="wrn.Novembro._1" localSheetId="31" hidden="1">{"Fecha_Novembro",#N/A,FALSE,"FECHAMENTO-2002 ";"Defer_Novembro",#N/A,FALSE,"DIFERIDO";"Pis_Novembro",#N/A,FALSE,"PIS COFINS";"Iss_Novembro",#N/A,FALSE,"ISS"}</definedName>
    <definedName name="wrn.Novembro._1" hidden="1">{"Fecha_Novembro",#N/A,FALSE,"FECHAMENTO-2002 ";"Defer_Novembro",#N/A,FALSE,"DIFERIDO";"Pis_Novembro",#N/A,FALSE,"PIS COFINS";"Iss_Novembro",#N/A,FALSE,"ISS"}</definedName>
    <definedName name="wrn.output." localSheetId="15" hidden="1">{"assumptions and inputs",#N/A,FALSE,"valuation";"intermediate calculations",#N/A,FALSE,"valuation";"dollar conversion",#N/A,FALSE,"valuation";"analysis at various prices",#N/A,FALSE,"valuation"}</definedName>
    <definedName name="wrn.output." localSheetId="14"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localSheetId="39" hidden="1">{"assumptions and inputs",#N/A,FALSE,"valuation";"intermediate calculations",#N/A,FALSE,"valuation";"dollar conversion",#N/A,FALSE,"valuation";"analysis at various prices",#N/A,FALSE,"valuation"}</definedName>
    <definedName name="wrn.output." localSheetId="8"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Outubro." localSheetId="15" hidden="1">{"Fecha_Outubro",#N/A,FALSE,"FECHAMENTO-2002 ";"Defer_Outubro",#N/A,FALSE,"DIFERIDO";"Pis_Outubro",#N/A,FALSE,"PIS COFINS";"Iss_Outubro",#N/A,FALSE,"ISS"}</definedName>
    <definedName name="wrn.Outubro." localSheetId="14" hidden="1">{"Fecha_Outubro",#N/A,FALSE,"FECHAMENTO-2002 ";"Defer_Outubro",#N/A,FALSE,"DIFERIDO";"Pis_Outubro",#N/A,FALSE,"PIS COFINS";"Iss_Outubro",#N/A,FALSE,"ISS"}</definedName>
    <definedName name="wrn.Outubro." localSheetId="2" hidden="1">{"Fecha_Outubro",#N/A,FALSE,"FECHAMENTO-2002 ";"Defer_Outubro",#N/A,FALSE,"DIFERIDO";"Pis_Outubro",#N/A,FALSE,"PIS COFINS";"Iss_Outubro",#N/A,FALSE,"ISS"}</definedName>
    <definedName name="wrn.Outubro." localSheetId="34" hidden="1">{"Fecha_Outubro",#N/A,FALSE,"FECHAMENTO-2002 ";"Defer_Outubro",#N/A,FALSE,"DIFERIDO";"Pis_Outubro",#N/A,FALSE,"PIS COFINS";"Iss_Outubro",#N/A,FALSE,"ISS"}</definedName>
    <definedName name="wrn.Outubro." localSheetId="39" hidden="1">{"Fecha_Outubro",#N/A,FALSE,"FECHAMENTO-2002 ";"Defer_Outubro",#N/A,FALSE,"DIFERIDO";"Pis_Outubro",#N/A,FALSE,"PIS COFINS";"Iss_Outubro",#N/A,FALSE,"ISS"}</definedName>
    <definedName name="wrn.Outubro." localSheetId="8" hidden="1">{"Fecha_Outubro",#N/A,FALSE,"FECHAMENTO-2002 ";"Defer_Outubro",#N/A,FALSE,"DIFERIDO";"Pis_Outubro",#N/A,FALSE,"PIS COFINS";"Iss_Outubro",#N/A,FALSE,"ISS"}</definedName>
    <definedName name="wrn.Outubro." localSheetId="12" hidden="1">{"Fecha_Outubro",#N/A,FALSE,"FECHAMENTO-2002 ";"Defer_Outubro",#N/A,FALSE,"DIFERIDO";"Pis_Outubro",#N/A,FALSE,"PIS COFINS";"Iss_Outubro",#N/A,FALSE,"ISS"}</definedName>
    <definedName name="wrn.Outubro." localSheetId="13" hidden="1">{"Fecha_Outubro",#N/A,FALSE,"FECHAMENTO-2002 ";"Defer_Outubro",#N/A,FALSE,"DIFERIDO";"Pis_Outubro",#N/A,FALSE,"PIS COFINS";"Iss_Outubro",#N/A,FALSE,"ISS"}</definedName>
    <definedName name="wrn.Outubro." localSheetId="11" hidden="1">{"Fecha_Outubro",#N/A,FALSE,"FECHAMENTO-2002 ";"Defer_Outubro",#N/A,FALSE,"DIFERIDO";"Pis_Outubro",#N/A,FALSE,"PIS COFINS";"Iss_Outubro",#N/A,FALSE,"ISS"}</definedName>
    <definedName name="wrn.Outubro." localSheetId="31" hidden="1">{"Fecha_Outubro",#N/A,FALSE,"FECHAMENTO-2002 ";"Defer_Outubro",#N/A,FALSE,"DIFERIDO";"Pis_Outubro",#N/A,FALSE,"PIS COFINS";"Iss_Outubro",#N/A,FALSE,"ISS"}</definedName>
    <definedName name="wrn.Outubro." hidden="1">{"Fecha_Outubro",#N/A,FALSE,"FECHAMENTO-2002 ";"Defer_Outubro",#N/A,FALSE,"DIFERIDO";"Pis_Outubro",#N/A,FALSE,"PIS COFINS";"Iss_Outubro",#N/A,FALSE,"ISS"}</definedName>
    <definedName name="wrn.Outubro._1" localSheetId="15" hidden="1">{"Fecha_Outubro",#N/A,FALSE,"FECHAMENTO-2002 ";"Defer_Outubro",#N/A,FALSE,"DIFERIDO";"Pis_Outubro",#N/A,FALSE,"PIS COFINS";"Iss_Outubro",#N/A,FALSE,"ISS"}</definedName>
    <definedName name="wrn.Outubro._1" localSheetId="14" hidden="1">{"Fecha_Outubro",#N/A,FALSE,"FECHAMENTO-2002 ";"Defer_Outubro",#N/A,FALSE,"DIFERIDO";"Pis_Outubro",#N/A,FALSE,"PIS COFINS";"Iss_Outubro",#N/A,FALSE,"ISS"}</definedName>
    <definedName name="wrn.Outubro._1" localSheetId="2" hidden="1">{"Fecha_Outubro",#N/A,FALSE,"FECHAMENTO-2002 ";"Defer_Outubro",#N/A,FALSE,"DIFERIDO";"Pis_Outubro",#N/A,FALSE,"PIS COFINS";"Iss_Outubro",#N/A,FALSE,"ISS"}</definedName>
    <definedName name="wrn.Outubro._1" localSheetId="34" hidden="1">{"Fecha_Outubro",#N/A,FALSE,"FECHAMENTO-2002 ";"Defer_Outubro",#N/A,FALSE,"DIFERIDO";"Pis_Outubro",#N/A,FALSE,"PIS COFINS";"Iss_Outubro",#N/A,FALSE,"ISS"}</definedName>
    <definedName name="wrn.Outubro._1" localSheetId="39" hidden="1">{"Fecha_Outubro",#N/A,FALSE,"FECHAMENTO-2002 ";"Defer_Outubro",#N/A,FALSE,"DIFERIDO";"Pis_Outubro",#N/A,FALSE,"PIS COFINS";"Iss_Outubro",#N/A,FALSE,"ISS"}</definedName>
    <definedName name="wrn.Outubro._1" localSheetId="8" hidden="1">{"Fecha_Outubro",#N/A,FALSE,"FECHAMENTO-2002 ";"Defer_Outubro",#N/A,FALSE,"DIFERIDO";"Pis_Outubro",#N/A,FALSE,"PIS COFINS";"Iss_Outubro",#N/A,FALSE,"ISS"}</definedName>
    <definedName name="wrn.Outubro._1" localSheetId="12" hidden="1">{"Fecha_Outubro",#N/A,FALSE,"FECHAMENTO-2002 ";"Defer_Outubro",#N/A,FALSE,"DIFERIDO";"Pis_Outubro",#N/A,FALSE,"PIS COFINS";"Iss_Outubro",#N/A,FALSE,"ISS"}</definedName>
    <definedName name="wrn.Outubro._1" localSheetId="13" hidden="1">{"Fecha_Outubro",#N/A,FALSE,"FECHAMENTO-2002 ";"Defer_Outubro",#N/A,FALSE,"DIFERIDO";"Pis_Outubro",#N/A,FALSE,"PIS COFINS";"Iss_Outubro",#N/A,FALSE,"ISS"}</definedName>
    <definedName name="wrn.Outubro._1" localSheetId="11" hidden="1">{"Fecha_Outubro",#N/A,FALSE,"FECHAMENTO-2002 ";"Defer_Outubro",#N/A,FALSE,"DIFERIDO";"Pis_Outubro",#N/A,FALSE,"PIS COFINS";"Iss_Outubro",#N/A,FALSE,"ISS"}</definedName>
    <definedName name="wrn.Outubro._1" localSheetId="31" hidden="1">{"Fecha_Outubro",#N/A,FALSE,"FECHAMENTO-2002 ";"Defer_Outubro",#N/A,FALSE,"DIFERIDO";"Pis_Outubro",#N/A,FALSE,"PIS COFINS";"Iss_Outubro",#N/A,FALSE,"ISS"}</definedName>
    <definedName name="wrn.Outubro._1" hidden="1">{"Fecha_Outubro",#N/A,FALSE,"FECHAMENTO-2002 ";"Defer_Outubro",#N/A,FALSE,"DIFERIDO";"Pis_Outubro",#N/A,FALSE,"PIS COFINS";"Iss_Outubro",#N/A,FALSE,"ISS"}</definedName>
    <definedName name="wrn.print._.graphs." localSheetId="15" hidden="1">{"cap_structure",#N/A,FALSE,"Graph-Mkt Cap";"price",#N/A,FALSE,"Graph-Price";"ebit",#N/A,FALSE,"Graph-EBITDA";"ebitda",#N/A,FALSE,"Graph-EBITDA"}</definedName>
    <definedName name="wrn.print._.graphs." localSheetId="14" hidden="1">{"cap_structure",#N/A,FALSE,"Graph-Mkt Cap";"price",#N/A,FALSE,"Graph-Price";"ebit",#N/A,FALSE,"Graph-EBITDA";"ebitda",#N/A,FALSE,"Graph-EBITDA"}</definedName>
    <definedName name="wrn.print._.graphs." localSheetId="2" hidden="1">{"cap_structure",#N/A,FALSE,"Graph-Mkt Cap";"price",#N/A,FALSE,"Graph-Price";"ebit",#N/A,FALSE,"Graph-EBITDA";"ebitda",#N/A,FALSE,"Graph-EBITDA"}</definedName>
    <definedName name="wrn.print._.graphs." localSheetId="34" hidden="1">{"cap_structure",#N/A,FALSE,"Graph-Mkt Cap";"price",#N/A,FALSE,"Graph-Price";"ebit",#N/A,FALSE,"Graph-EBITDA";"ebitda",#N/A,FALSE,"Graph-EBITDA"}</definedName>
    <definedName name="wrn.print._.graphs." localSheetId="39"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localSheetId="12" hidden="1">{"cap_structure",#N/A,FALSE,"Graph-Mkt Cap";"price",#N/A,FALSE,"Graph-Price";"ebit",#N/A,FALSE,"Graph-EBITDA";"ebitda",#N/A,FALSE,"Graph-EBITDA"}</definedName>
    <definedName name="wrn.print._.graphs." localSheetId="13" hidden="1">{"cap_structure",#N/A,FALSE,"Graph-Mkt Cap";"price",#N/A,FALSE,"Graph-Price";"ebit",#N/A,FALSE,"Graph-EBITDA";"ebitda",#N/A,FALSE,"Graph-EBITDA"}</definedName>
    <definedName name="wrn.print._.graphs." localSheetId="11" hidden="1">{"cap_structure",#N/A,FALSE,"Graph-Mkt Cap";"price",#N/A,FALSE,"Graph-Price";"ebit",#N/A,FALSE,"Graph-EBITDA";"ebitda",#N/A,FALSE,"Graph-EBITDA"}</definedName>
    <definedName name="wrn.print._.graphs." localSheetId="31"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5" hidden="1">{"inputs raw data",#N/A,TRUE,"INPUT"}</definedName>
    <definedName name="wrn.print._.raw._.data._.entry." localSheetId="14" hidden="1">{"inputs raw data",#N/A,TRUE,"INPUT"}</definedName>
    <definedName name="wrn.print._.raw._.data._.entry." localSheetId="2" hidden="1">{"inputs raw data",#N/A,TRUE,"INPUT"}</definedName>
    <definedName name="wrn.print._.raw._.data._.entry." localSheetId="34" hidden="1">{"inputs raw data",#N/A,TRUE,"INPUT"}</definedName>
    <definedName name="wrn.print._.raw._.data._.entry." localSheetId="39" hidden="1">{"inputs raw data",#N/A,TRUE,"INPUT"}</definedName>
    <definedName name="wrn.print._.raw._.data._.entry." localSheetId="8" hidden="1">{"inputs raw data",#N/A,TRUE,"INPUT"}</definedName>
    <definedName name="wrn.print._.raw._.data._.entry." localSheetId="12" hidden="1">{"inputs raw data",#N/A,TRUE,"INPUT"}</definedName>
    <definedName name="wrn.print._.raw._.data._.entry." localSheetId="13" hidden="1">{"inputs raw data",#N/A,TRUE,"INPUT"}</definedName>
    <definedName name="wrn.print._.raw._.data._.entry." localSheetId="11" hidden="1">{"inputs raw data",#N/A,TRUE,"INPUT"}</definedName>
    <definedName name="wrn.print._.raw._.data._.entry." localSheetId="31" hidden="1">{"inputs raw data",#N/A,TRUE,"INPUT"}</definedName>
    <definedName name="wrn.print._.raw._.data._.entry." hidden="1">{"inputs raw data",#N/A,TRUE,"INPUT"}</definedName>
    <definedName name="wrn.print._.summary._.sheets." localSheetId="15" hidden="1">{"summary1",#N/A,TRUE,"Comps";"summary2",#N/A,TRUE,"Comps";"summary3",#N/A,TRUE,"Comps"}</definedName>
    <definedName name="wrn.print._.summary._.sheets." localSheetId="14" hidden="1">{"summary1",#N/A,TRUE,"Comps";"summary2",#N/A,TRUE,"Comps";"summary3",#N/A,TRUE,"Comps"}</definedName>
    <definedName name="wrn.print._.summary._.sheets." localSheetId="2" hidden="1">{"summary1",#N/A,TRUE,"Comps";"summary2",#N/A,TRUE,"Comps";"summary3",#N/A,TRUE,"Comps"}</definedName>
    <definedName name="wrn.print._.summary._.sheets." localSheetId="34" hidden="1">{"summary1",#N/A,TRUE,"Comps";"summary2",#N/A,TRUE,"Comps";"summary3",#N/A,TRUE,"Comps"}</definedName>
    <definedName name="wrn.print._.summary._.sheets." localSheetId="39" hidden="1">{"summary1",#N/A,TRUE,"Comps";"summary2",#N/A,TRUE,"Comps";"summary3",#N/A,TRUE,"Comps"}</definedName>
    <definedName name="wrn.print._.summary._.sheets." localSheetId="8" hidden="1">{"summary1",#N/A,TRUE,"Comps";"summary2",#N/A,TRUE,"Comps";"summary3",#N/A,TRUE,"Comps"}</definedName>
    <definedName name="wrn.print._.summary._.sheets." localSheetId="12" hidden="1">{"summary1",#N/A,TRUE,"Comps";"summary2",#N/A,TRUE,"Comps";"summary3",#N/A,TRUE,"Comps"}</definedName>
    <definedName name="wrn.print._.summary._.sheets." localSheetId="13" hidden="1">{"summary1",#N/A,TRUE,"Comps";"summary2",#N/A,TRUE,"Comps";"summary3",#N/A,TRUE,"Comps"}</definedName>
    <definedName name="wrn.print._.summary._.sheets." localSheetId="11" hidden="1">{"summary1",#N/A,TRUE,"Comps";"summary2",#N/A,TRUE,"Comps";"summary3",#N/A,TRUE,"Comps"}</definedName>
    <definedName name="wrn.print._.summary._.sheets." localSheetId="31" hidden="1">{"summary1",#N/A,TRUE,"Comps";"summary2",#N/A,TRUE,"Comps";"summary3",#N/A,TRUE,"Comps"}</definedName>
    <definedName name="wrn.print._.summary._.sheets." hidden="1">{"summary1",#N/A,TRUE,"Comps";"summary2",#N/A,TRUE,"Comps";"summary3",#N/A,TRUE,"Comps"}</definedName>
    <definedName name="wrn.Project._.Banespa1."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RESUMO." localSheetId="15" hidden="1">{#N/A,#N/A,FALSE,"HONORÁRIOS"}</definedName>
    <definedName name="wrn.RESUMO." localSheetId="14" hidden="1">{#N/A,#N/A,FALSE,"HONORÁRIOS"}</definedName>
    <definedName name="wrn.RESUMO." localSheetId="2" hidden="1">{#N/A,#N/A,FALSE,"HONORÁRIOS"}</definedName>
    <definedName name="wrn.RESUMO." localSheetId="34" hidden="1">{#N/A,#N/A,FALSE,"HONORÁRIOS"}</definedName>
    <definedName name="wrn.RESUMO." localSheetId="39" hidden="1">{#N/A,#N/A,FALSE,"HONORÁRIOS"}</definedName>
    <definedName name="wrn.RESUMO." localSheetId="8" hidden="1">{#N/A,#N/A,FALSE,"HONORÁRIOS"}</definedName>
    <definedName name="wrn.RESUMO." localSheetId="12" hidden="1">{#N/A,#N/A,FALSE,"HONORÁRIOS"}</definedName>
    <definedName name="wrn.RESUMO." localSheetId="13" hidden="1">{#N/A,#N/A,FALSE,"HONORÁRIOS"}</definedName>
    <definedName name="wrn.RESUMO." localSheetId="11" hidden="1">{#N/A,#N/A,FALSE,"HONORÁRIOS"}</definedName>
    <definedName name="wrn.RESUMO." localSheetId="31" hidden="1">{#N/A,#N/A,FALSE,"HONORÁRIOS"}</definedName>
    <definedName name="wrn.RESUMO." hidden="1">{#N/A,#N/A,FALSE,"HONORÁRIOS"}</definedName>
    <definedName name="wrn.RESUMO._1" localSheetId="15" hidden="1">{#N/A,#N/A,FALSE,"HONORÁRIOS"}</definedName>
    <definedName name="wrn.RESUMO._1" localSheetId="14" hidden="1">{#N/A,#N/A,FALSE,"HONORÁRIOS"}</definedName>
    <definedName name="wrn.RESUMO._1" localSheetId="2" hidden="1">{#N/A,#N/A,FALSE,"HONORÁRIOS"}</definedName>
    <definedName name="wrn.RESUMO._1" localSheetId="34" hidden="1">{#N/A,#N/A,FALSE,"HONORÁRIOS"}</definedName>
    <definedName name="wrn.RESUMO._1" localSheetId="39" hidden="1">{#N/A,#N/A,FALSE,"HONORÁRIOS"}</definedName>
    <definedName name="wrn.RESUMO._1" localSheetId="8" hidden="1">{#N/A,#N/A,FALSE,"HONORÁRIOS"}</definedName>
    <definedName name="wrn.RESUMO._1" localSheetId="12" hidden="1">{#N/A,#N/A,FALSE,"HONORÁRIOS"}</definedName>
    <definedName name="wrn.RESUMO._1" localSheetId="13" hidden="1">{#N/A,#N/A,FALSE,"HONORÁRIOS"}</definedName>
    <definedName name="wrn.RESUMO._1" localSheetId="11" hidden="1">{#N/A,#N/A,FALSE,"HONORÁRIOS"}</definedName>
    <definedName name="wrn.RESUMO._1" localSheetId="31" hidden="1">{#N/A,#N/A,FALSE,"HONORÁRIOS"}</definedName>
    <definedName name="wrn.RESUMO._1" hidden="1">{#N/A,#N/A,FALSE,"HONORÁRIOS"}</definedName>
    <definedName name="wrn.sensitivity._.analyses." localSheetId="15" hidden="1">{"general",#N/A,FALSE,"Assumptions"}</definedName>
    <definedName name="wrn.sensitivity._.analyses." localSheetId="14" hidden="1">{"general",#N/A,FALSE,"Assumptions"}</definedName>
    <definedName name="wrn.sensitivity._.analyses." localSheetId="2" hidden="1">{"general",#N/A,FALSE,"Assumptions"}</definedName>
    <definedName name="wrn.sensitivity._.analyses." localSheetId="34" hidden="1">{"general",#N/A,FALSE,"Assumptions"}</definedName>
    <definedName name="wrn.sensitivity._.analyses." localSheetId="39" hidden="1">{"general",#N/A,FALSE,"Assumptions"}</definedName>
    <definedName name="wrn.sensitivity._.analyses." localSheetId="8" hidden="1">{"general",#N/A,FALSE,"Assumptions"}</definedName>
    <definedName name="wrn.sensitivity._.analyses." localSheetId="12" hidden="1">{"general",#N/A,FALSE,"Assumptions"}</definedName>
    <definedName name="wrn.sensitivity._.analyses." localSheetId="13" hidden="1">{"general",#N/A,FALSE,"Assumptions"}</definedName>
    <definedName name="wrn.sensitivity._.analyses." localSheetId="11" hidden="1">{"general",#N/A,FALSE,"Assumptions"}</definedName>
    <definedName name="wrn.sensitivity._.analyses." localSheetId="31" hidden="1">{"general",#N/A,FALSE,"Assumptions"}</definedName>
    <definedName name="wrn.sensitivity._.analyses." hidden="1">{"general",#N/A,FALSE,"Assumptions"}</definedName>
    <definedName name="wrn.Setembro." localSheetId="15" hidden="1">{"Fecha_Setembro",#N/A,FALSE,"FECHAMENTO-2002 ";"Defer_Setembro",#N/A,FALSE,"DIFERIDO";"Pis_Setembro",#N/A,FALSE,"PIS COFINS";"Iss_Setembro",#N/A,FALSE,"ISS"}</definedName>
    <definedName name="wrn.Setembro." localSheetId="14" hidden="1">{"Fecha_Setembro",#N/A,FALSE,"FECHAMENTO-2002 ";"Defer_Setembro",#N/A,FALSE,"DIFERIDO";"Pis_Setembro",#N/A,FALSE,"PIS COFINS";"Iss_Setembro",#N/A,FALSE,"ISS"}</definedName>
    <definedName name="wrn.Setembro." localSheetId="2" hidden="1">{"Fecha_Setembro",#N/A,FALSE,"FECHAMENTO-2002 ";"Defer_Setembro",#N/A,FALSE,"DIFERIDO";"Pis_Setembro",#N/A,FALSE,"PIS COFINS";"Iss_Setembro",#N/A,FALSE,"ISS"}</definedName>
    <definedName name="wrn.Setembro." localSheetId="34" hidden="1">{"Fecha_Setembro",#N/A,FALSE,"FECHAMENTO-2002 ";"Defer_Setembro",#N/A,FALSE,"DIFERIDO";"Pis_Setembro",#N/A,FALSE,"PIS COFINS";"Iss_Setembro",#N/A,FALSE,"ISS"}</definedName>
    <definedName name="wrn.Setembro." localSheetId="39" hidden="1">{"Fecha_Setembro",#N/A,FALSE,"FECHAMENTO-2002 ";"Defer_Setembro",#N/A,FALSE,"DIFERIDO";"Pis_Setembro",#N/A,FALSE,"PIS COFINS";"Iss_Setembro",#N/A,FALSE,"ISS"}</definedName>
    <definedName name="wrn.Setembro." localSheetId="8" hidden="1">{"Fecha_Setembro",#N/A,FALSE,"FECHAMENTO-2002 ";"Defer_Setembro",#N/A,FALSE,"DIFERIDO";"Pis_Setembro",#N/A,FALSE,"PIS COFINS";"Iss_Setembro",#N/A,FALSE,"ISS"}</definedName>
    <definedName name="wrn.Setembro." localSheetId="12" hidden="1">{"Fecha_Setembro",#N/A,FALSE,"FECHAMENTO-2002 ";"Defer_Setembro",#N/A,FALSE,"DIFERIDO";"Pis_Setembro",#N/A,FALSE,"PIS COFINS";"Iss_Setembro",#N/A,FALSE,"ISS"}</definedName>
    <definedName name="wrn.Setembro." localSheetId="13" hidden="1">{"Fecha_Setembro",#N/A,FALSE,"FECHAMENTO-2002 ";"Defer_Setembro",#N/A,FALSE,"DIFERIDO";"Pis_Setembro",#N/A,FALSE,"PIS COFINS";"Iss_Setembro",#N/A,FALSE,"ISS"}</definedName>
    <definedName name="wrn.Setembro." localSheetId="11" hidden="1">{"Fecha_Setembro",#N/A,FALSE,"FECHAMENTO-2002 ";"Defer_Setembro",#N/A,FALSE,"DIFERIDO";"Pis_Setembro",#N/A,FALSE,"PIS COFINS";"Iss_Setembro",#N/A,FALSE,"ISS"}</definedName>
    <definedName name="wrn.Setembro." localSheetId="31" hidden="1">{"Fecha_Setembro",#N/A,FALSE,"FECHAMENTO-2002 ";"Defer_Setembro",#N/A,FALSE,"DIFERIDO";"Pis_Setembro",#N/A,FALSE,"PIS COFINS";"Iss_Setembro",#N/A,FALSE,"ISS"}</definedName>
    <definedName name="wrn.Setembro." hidden="1">{"Fecha_Setembro",#N/A,FALSE,"FECHAMENTO-2002 ";"Defer_Setembro",#N/A,FALSE,"DIFERIDO";"Pis_Setembro",#N/A,FALSE,"PIS COFINS";"Iss_Setembro",#N/A,FALSE,"ISS"}</definedName>
    <definedName name="wrn.Setembro._1" localSheetId="15" hidden="1">{"Fecha_Setembro",#N/A,FALSE,"FECHAMENTO-2002 ";"Defer_Setembro",#N/A,FALSE,"DIFERIDO";"Pis_Setembro",#N/A,FALSE,"PIS COFINS";"Iss_Setembro",#N/A,FALSE,"ISS"}</definedName>
    <definedName name="wrn.Setembro._1" localSheetId="14" hidden="1">{"Fecha_Setembro",#N/A,FALSE,"FECHAMENTO-2002 ";"Defer_Setembro",#N/A,FALSE,"DIFERIDO";"Pis_Setembro",#N/A,FALSE,"PIS COFINS";"Iss_Setembro",#N/A,FALSE,"ISS"}</definedName>
    <definedName name="wrn.Setembro._1" localSheetId="2" hidden="1">{"Fecha_Setembro",#N/A,FALSE,"FECHAMENTO-2002 ";"Defer_Setembro",#N/A,FALSE,"DIFERIDO";"Pis_Setembro",#N/A,FALSE,"PIS COFINS";"Iss_Setembro",#N/A,FALSE,"ISS"}</definedName>
    <definedName name="wrn.Setembro._1" localSheetId="34" hidden="1">{"Fecha_Setembro",#N/A,FALSE,"FECHAMENTO-2002 ";"Defer_Setembro",#N/A,FALSE,"DIFERIDO";"Pis_Setembro",#N/A,FALSE,"PIS COFINS";"Iss_Setembro",#N/A,FALSE,"ISS"}</definedName>
    <definedName name="wrn.Setembro._1" localSheetId="39" hidden="1">{"Fecha_Setembro",#N/A,FALSE,"FECHAMENTO-2002 ";"Defer_Setembro",#N/A,FALSE,"DIFERIDO";"Pis_Setembro",#N/A,FALSE,"PIS COFINS";"Iss_Setembro",#N/A,FALSE,"ISS"}</definedName>
    <definedName name="wrn.Setembro._1" localSheetId="8" hidden="1">{"Fecha_Setembro",#N/A,FALSE,"FECHAMENTO-2002 ";"Defer_Setembro",#N/A,FALSE,"DIFERIDO";"Pis_Setembro",#N/A,FALSE,"PIS COFINS";"Iss_Setembro",#N/A,FALSE,"ISS"}</definedName>
    <definedName name="wrn.Setembro._1" localSheetId="12" hidden="1">{"Fecha_Setembro",#N/A,FALSE,"FECHAMENTO-2002 ";"Defer_Setembro",#N/A,FALSE,"DIFERIDO";"Pis_Setembro",#N/A,FALSE,"PIS COFINS";"Iss_Setembro",#N/A,FALSE,"ISS"}</definedName>
    <definedName name="wrn.Setembro._1" localSheetId="13" hidden="1">{"Fecha_Setembro",#N/A,FALSE,"FECHAMENTO-2002 ";"Defer_Setembro",#N/A,FALSE,"DIFERIDO";"Pis_Setembro",#N/A,FALSE,"PIS COFINS";"Iss_Setembro",#N/A,FALSE,"ISS"}</definedName>
    <definedName name="wrn.Setembro._1" localSheetId="11" hidden="1">{"Fecha_Setembro",#N/A,FALSE,"FECHAMENTO-2002 ";"Defer_Setembro",#N/A,FALSE,"DIFERIDO";"Pis_Setembro",#N/A,FALSE,"PIS COFINS";"Iss_Setembro",#N/A,FALSE,"ISS"}</definedName>
    <definedName name="wrn.Setembro._1" localSheetId="31" hidden="1">{"Fecha_Setembro",#N/A,FALSE,"FECHAMENTO-2002 ";"Defer_Setembro",#N/A,FALSE,"DIFERIDO";"Pis_Setembro",#N/A,FALSE,"PIS COFINS";"Iss_Setembro",#N/A,FALSE,"ISS"}</definedName>
    <definedName name="wrn.Setembro._1" hidden="1">{"Fecha_Setembro",#N/A,FALSE,"FECHAMENTO-2002 ";"Defer_Setembro",#N/A,FALSE,"DIFERIDO";"Pis_Setembro",#N/A,FALSE,"PIS COFINS";"Iss_Setembro",#N/A,FALSE,"ISS"}</definedName>
    <definedName name="wrn.stand_alone." localSheetId="15" hidden="1">{#N/A,#N/A,FALSE,"CBE";#N/A,#N/A,FALSE,"SWK"}</definedName>
    <definedName name="wrn.stand_alone." localSheetId="14" hidden="1">{#N/A,#N/A,FALSE,"CBE";#N/A,#N/A,FALSE,"SWK"}</definedName>
    <definedName name="wrn.stand_alone." localSheetId="2" hidden="1">{#N/A,#N/A,FALSE,"CBE";#N/A,#N/A,FALSE,"SWK"}</definedName>
    <definedName name="wrn.stand_alone." localSheetId="34" hidden="1">{#N/A,#N/A,FALSE,"CBE";#N/A,#N/A,FALSE,"SWK"}</definedName>
    <definedName name="wrn.stand_alone." localSheetId="39" hidden="1">{#N/A,#N/A,FALSE,"CBE";#N/A,#N/A,FALSE,"SWK"}</definedName>
    <definedName name="wrn.stand_alone." localSheetId="8" hidden="1">{#N/A,#N/A,FALSE,"CBE";#N/A,#N/A,FALSE,"SWK"}</definedName>
    <definedName name="wrn.stand_alone." localSheetId="12" hidden="1">{#N/A,#N/A,FALSE,"CBE";#N/A,#N/A,FALSE,"SWK"}</definedName>
    <definedName name="wrn.stand_alone." localSheetId="13" hidden="1">{#N/A,#N/A,FALSE,"CBE";#N/A,#N/A,FALSE,"SWK"}</definedName>
    <definedName name="wrn.stand_alone." localSheetId="11" hidden="1">{#N/A,#N/A,FALSE,"CBE";#N/A,#N/A,FALSE,"SWK"}</definedName>
    <definedName name="wrn.stand_alone." localSheetId="31" hidden="1">{#N/A,#N/A,FALSE,"CBE";#N/A,#N/A,FALSE,"SWK"}</definedName>
    <definedName name="wrn.stand_alone." hidden="1">{#N/A,#N/A,FALSE,"CBE";#N/A,#N/A,FALSE,"SWK"}</definedName>
    <definedName name="wrn.TODO." localSheetId="15" hidden="1">{#N/A,#N/A,FALSE,"RESUMEN";#N/A,#N/A,FALSE,"PARQ_C";#N/A,#N/A,FALSE,"PARQ_P";#N/A,#N/A,FALSE,"MIN_S_C";#N/A,#N/A,FALSE,"MIN_S_P";#N/A,#N/A,FALSE,"MIN_E_M_M";#N/A,#N/A,FALSE,"MIN_E_FIJA";#N/A,#N/A,FALSE,"SUPUESTOS"}</definedName>
    <definedName name="wrn.TODO." localSheetId="14" hidden="1">{#N/A,#N/A,FALSE,"RESUMEN";#N/A,#N/A,FALSE,"PARQ_C";#N/A,#N/A,FALSE,"PARQ_P";#N/A,#N/A,FALSE,"MIN_S_C";#N/A,#N/A,FALSE,"MIN_S_P";#N/A,#N/A,FALSE,"MIN_E_M_M";#N/A,#N/A,FALSE,"MIN_E_FIJA";#N/A,#N/A,FALSE,"SUPUESTOS"}</definedName>
    <definedName name="wrn.TODO." localSheetId="2" hidden="1">{#N/A,#N/A,FALSE,"RESUMEN";#N/A,#N/A,FALSE,"PARQ_C";#N/A,#N/A,FALSE,"PARQ_P";#N/A,#N/A,FALSE,"MIN_S_C";#N/A,#N/A,FALSE,"MIN_S_P";#N/A,#N/A,FALSE,"MIN_E_M_M";#N/A,#N/A,FALSE,"MIN_E_FIJA";#N/A,#N/A,FALSE,"SUPUESTOS"}</definedName>
    <definedName name="wrn.TODO." localSheetId="34" hidden="1">{#N/A,#N/A,FALSE,"RESUMEN";#N/A,#N/A,FALSE,"PARQ_C";#N/A,#N/A,FALSE,"PARQ_P";#N/A,#N/A,FALSE,"MIN_S_C";#N/A,#N/A,FALSE,"MIN_S_P";#N/A,#N/A,FALSE,"MIN_E_M_M";#N/A,#N/A,FALSE,"MIN_E_FIJA";#N/A,#N/A,FALSE,"SUPUESTOS"}</definedName>
    <definedName name="wrn.TODO." localSheetId="39" hidden="1">{#N/A,#N/A,FALSE,"RESUMEN";#N/A,#N/A,FALSE,"PARQ_C";#N/A,#N/A,FALSE,"PARQ_P";#N/A,#N/A,FALSE,"MIN_S_C";#N/A,#N/A,FALSE,"MIN_S_P";#N/A,#N/A,FALSE,"MIN_E_M_M";#N/A,#N/A,FALSE,"MIN_E_FIJA";#N/A,#N/A,FALSE,"SUPUESTOS"}</definedName>
    <definedName name="wrn.TODO." localSheetId="8" hidden="1">{#N/A,#N/A,FALSE,"RESUMEN";#N/A,#N/A,FALSE,"PARQ_C";#N/A,#N/A,FALSE,"PARQ_P";#N/A,#N/A,FALSE,"MIN_S_C";#N/A,#N/A,FALSE,"MIN_S_P";#N/A,#N/A,FALSE,"MIN_E_M_M";#N/A,#N/A,FALSE,"MIN_E_FIJA";#N/A,#N/A,FALSE,"SUPUESTOS"}</definedName>
    <definedName name="wrn.TODO." localSheetId="12" hidden="1">{#N/A,#N/A,FALSE,"RESUMEN";#N/A,#N/A,FALSE,"PARQ_C";#N/A,#N/A,FALSE,"PARQ_P";#N/A,#N/A,FALSE,"MIN_S_C";#N/A,#N/A,FALSE,"MIN_S_P";#N/A,#N/A,FALSE,"MIN_E_M_M";#N/A,#N/A,FALSE,"MIN_E_FIJA";#N/A,#N/A,FALSE,"SUPUESTOS"}</definedName>
    <definedName name="wrn.TODO." localSheetId="13" hidden="1">{#N/A,#N/A,FALSE,"RESUMEN";#N/A,#N/A,FALSE,"PARQ_C";#N/A,#N/A,FALSE,"PARQ_P";#N/A,#N/A,FALSE,"MIN_S_C";#N/A,#N/A,FALSE,"MIN_S_P";#N/A,#N/A,FALSE,"MIN_E_M_M";#N/A,#N/A,FALSE,"MIN_E_FIJA";#N/A,#N/A,FALSE,"SUPUESTOS"}</definedName>
    <definedName name="wrn.TODO." localSheetId="11" hidden="1">{#N/A,#N/A,FALSE,"RESUMEN";#N/A,#N/A,FALSE,"PARQ_C";#N/A,#N/A,FALSE,"PARQ_P";#N/A,#N/A,FALSE,"MIN_S_C";#N/A,#N/A,FALSE,"MIN_S_P";#N/A,#N/A,FALSE,"MIN_E_M_M";#N/A,#N/A,FALSE,"MIN_E_FIJA";#N/A,#N/A,FALSE,"SUPUESTOS"}</definedName>
    <definedName name="wrn.TODO." localSheetId="31" hidden="1">{#N/A,#N/A,FALSE,"RESUMEN";#N/A,#N/A,FALSE,"PARQ_C";#N/A,#N/A,FALSE,"PARQ_P";#N/A,#N/A,FALSE,"MIN_S_C";#N/A,#N/A,FALSE,"MIN_S_P";#N/A,#N/A,FALSE,"MIN_E_M_M";#N/A,#N/A,FALSE,"MIN_E_FIJA";#N/A,#N/A,FALSE,"SUPUESTOS"}</definedName>
    <definedName name="wrn.TODO." hidden="1">{#N/A,#N/A,FALSE,"RESUMEN";#N/A,#N/A,FALSE,"PARQ_C";#N/A,#N/A,FALSE,"PARQ_P";#N/A,#N/A,FALSE,"MIN_S_C";#N/A,#N/A,FALSE,"MIN_S_P";#N/A,#N/A,FALSE,"MIN_E_M_M";#N/A,#N/A,FALSE,"MIN_E_FIJA";#N/A,#N/A,FALSE,"SUPUESTOS"}</definedName>
    <definedName name="wrn.TOTAL." localSheetId="15" hidden="1">{#N/A,#N/A,FALSE,"INVERSIONES Y AMORTIZ";#N/A,#N/A,FALSE,"BALANCE";#N/A,#N/A,FALSE,"CUENTA DE PYG";#N/A,#N/A,FALSE,"CUENTA DE PYG (2)";#N/A,#N/A,FALSE,"RATIOS";#N/A,#N/A,FALSE,"G. PERSONAL";#N/A,#N/A,FALSE,"G. SOCIALES";#N/A,#N/A,FALSE,"G. GENERALES";#N/A,#N/A,FALSE,"LINEAS DE PRODUCTOS"}</definedName>
    <definedName name="wrn.TOTAL." localSheetId="14" hidden="1">{#N/A,#N/A,FALSE,"INVERSIONES Y AMORTIZ";#N/A,#N/A,FALSE,"BALANCE";#N/A,#N/A,FALSE,"CUENTA DE PYG";#N/A,#N/A,FALSE,"CUENTA DE PYG (2)";#N/A,#N/A,FALSE,"RATIOS";#N/A,#N/A,FALSE,"G. PERSONAL";#N/A,#N/A,FALSE,"G. SOCIALES";#N/A,#N/A,FALSE,"G. GENERALES";#N/A,#N/A,FALSE,"LINEAS DE PRODUCTOS"}</definedName>
    <definedName name="wrn.TOTAL." localSheetId="2" hidden="1">{#N/A,#N/A,FALSE,"INVERSIONES Y AMORTIZ";#N/A,#N/A,FALSE,"BALANCE";#N/A,#N/A,FALSE,"CUENTA DE PYG";#N/A,#N/A,FALSE,"CUENTA DE PYG (2)";#N/A,#N/A,FALSE,"RATIOS";#N/A,#N/A,FALSE,"G. PERSONAL";#N/A,#N/A,FALSE,"G. SOCIALES";#N/A,#N/A,FALSE,"G. GENERALES";#N/A,#N/A,FALSE,"LINEAS DE PRODUCTOS"}</definedName>
    <definedName name="wrn.TOTAL." localSheetId="34" hidden="1">{#N/A,#N/A,FALSE,"INVERSIONES Y AMORTIZ";#N/A,#N/A,FALSE,"BALANCE";#N/A,#N/A,FALSE,"CUENTA DE PYG";#N/A,#N/A,FALSE,"CUENTA DE PYG (2)";#N/A,#N/A,FALSE,"RATIOS";#N/A,#N/A,FALSE,"G. PERSONAL";#N/A,#N/A,FALSE,"G. SOCIALES";#N/A,#N/A,FALSE,"G. GENERALES";#N/A,#N/A,FALSE,"LINEAS DE PRODUCTOS"}</definedName>
    <definedName name="wrn.TOTAL." localSheetId="39" hidden="1">{#N/A,#N/A,FALSE,"INVERSIONES Y AMORTIZ";#N/A,#N/A,FALSE,"BALANCE";#N/A,#N/A,FALSE,"CUENTA DE PYG";#N/A,#N/A,FALSE,"CUENTA DE PYG (2)";#N/A,#N/A,FALSE,"RATIOS";#N/A,#N/A,FALSE,"G. PERSONAL";#N/A,#N/A,FALSE,"G. SOCIALES";#N/A,#N/A,FALSE,"G. GENERALES";#N/A,#N/A,FALSE,"LINEAS DE PRODUCTOS"}</definedName>
    <definedName name="wrn.TOTAL." localSheetId="8" hidden="1">{#N/A,#N/A,FALSE,"INVERSIONES Y AMORTIZ";#N/A,#N/A,FALSE,"BALANCE";#N/A,#N/A,FALSE,"CUENTA DE PYG";#N/A,#N/A,FALSE,"CUENTA DE PYG (2)";#N/A,#N/A,FALSE,"RATIOS";#N/A,#N/A,FALSE,"G. PERSONAL";#N/A,#N/A,FALSE,"G. SOCIALES";#N/A,#N/A,FALSE,"G. GENERALES";#N/A,#N/A,FALSE,"LINEAS DE PRODUCTOS"}</definedName>
    <definedName name="wrn.TOTAL." localSheetId="12" hidden="1">{#N/A,#N/A,FALSE,"INVERSIONES Y AMORTIZ";#N/A,#N/A,FALSE,"BALANCE";#N/A,#N/A,FALSE,"CUENTA DE PYG";#N/A,#N/A,FALSE,"CUENTA DE PYG (2)";#N/A,#N/A,FALSE,"RATIOS";#N/A,#N/A,FALSE,"G. PERSONAL";#N/A,#N/A,FALSE,"G. SOCIALES";#N/A,#N/A,FALSE,"G. GENERALES";#N/A,#N/A,FALSE,"LINEAS DE PRODUCTOS"}</definedName>
    <definedName name="wrn.TOTAL." localSheetId="13" hidden="1">{#N/A,#N/A,FALSE,"INVERSIONES Y AMORTIZ";#N/A,#N/A,FALSE,"BALANCE";#N/A,#N/A,FALSE,"CUENTA DE PYG";#N/A,#N/A,FALSE,"CUENTA DE PYG (2)";#N/A,#N/A,FALSE,"RATIOS";#N/A,#N/A,FALSE,"G. PERSONAL";#N/A,#N/A,FALSE,"G. SOCIALES";#N/A,#N/A,FALSE,"G. GENERALES";#N/A,#N/A,FALSE,"LINEAS DE PRODUCTOS"}</definedName>
    <definedName name="wrn.TOTAL." localSheetId="11" hidden="1">{#N/A,#N/A,FALSE,"INVERSIONES Y AMORTIZ";#N/A,#N/A,FALSE,"BALANCE";#N/A,#N/A,FALSE,"CUENTA DE PYG";#N/A,#N/A,FALSE,"CUENTA DE PYG (2)";#N/A,#N/A,FALSE,"RATIOS";#N/A,#N/A,FALSE,"G. PERSONAL";#N/A,#N/A,FALSE,"G. SOCIALES";#N/A,#N/A,FALSE,"G. GENERALES";#N/A,#N/A,FALSE,"LINEAS DE PRODUCTOS"}</definedName>
    <definedName name="wrn.TOTAL." localSheetId="31" hidden="1">{#N/A,#N/A,FALSE,"INVERSIONES Y AMORTIZ";#N/A,#N/A,FALSE,"BALANCE";#N/A,#N/A,FALSE,"CUENTA DE PYG";#N/A,#N/A,FALSE,"CUENTA DE PYG (2)";#N/A,#N/A,FALSE,"RATIOS";#N/A,#N/A,FALSE,"G. PERSONAL";#N/A,#N/A,FALSE,"G. SOCIALES";#N/A,#N/A,FALSE,"G. GENERALES";#N/A,#N/A,FALSE,"LINEAS DE PRODUCTOS"}</definedName>
    <definedName name="wrn.TOTAL." hidden="1">{#N/A,#N/A,FALSE,"INVERSIONES Y AMORTIZ";#N/A,#N/A,FALSE,"BALANCE";#N/A,#N/A,FALSE,"CUENTA DE PYG";#N/A,#N/A,FALSE,"CUENTA DE PYG (2)";#N/A,#N/A,FALSE,"RATIOS";#N/A,#N/A,FALSE,"G. PERSONAL";#N/A,#N/A,FALSE,"G. SOCIALES";#N/A,#N/A,FALSE,"G. GENERALES";#N/A,#N/A,FALSE,"LINEAS DE PRODUCTOS"}</definedName>
    <definedName name="wrn.totalcomp." localSheetId="15" hidden="1">{"comp1",#N/A,FALSE,"COMPS";"footnotes",#N/A,FALSE,"COMPS"}</definedName>
    <definedName name="wrn.totalcomp." localSheetId="14" hidden="1">{"comp1",#N/A,FALSE,"COMPS";"footnotes",#N/A,FALSE,"COMPS"}</definedName>
    <definedName name="wrn.totalcomp." localSheetId="2" hidden="1">{"comp1",#N/A,FALSE,"COMPS";"footnotes",#N/A,FALSE,"COMPS"}</definedName>
    <definedName name="wrn.totalcomp." localSheetId="34" hidden="1">{"comp1",#N/A,FALSE,"COMPS";"footnotes",#N/A,FALSE,"COMPS"}</definedName>
    <definedName name="wrn.totalcomp." localSheetId="39" hidden="1">{"comp1",#N/A,FALSE,"COMPS";"footnotes",#N/A,FALSE,"COMPS"}</definedName>
    <definedName name="wrn.totalcomp." localSheetId="8" hidden="1">{"comp1",#N/A,FALSE,"COMPS";"footnotes",#N/A,FALSE,"COMPS"}</definedName>
    <definedName name="wrn.totalcomp." localSheetId="12" hidden="1">{"comp1",#N/A,FALSE,"COMPS";"footnotes",#N/A,FALSE,"COMPS"}</definedName>
    <definedName name="wrn.totalcomp." localSheetId="13" hidden="1">{"comp1",#N/A,FALSE,"COMPS";"footnotes",#N/A,FALSE,"COMPS"}</definedName>
    <definedName name="wrn.totalcomp." localSheetId="11" hidden="1">{"comp1",#N/A,FALSE,"COMPS";"footnotes",#N/A,FALSE,"COMPS"}</definedName>
    <definedName name="wrn.totalcomp." localSheetId="31" hidden="1">{"comp1",#N/A,FALSE,"COMPS";"footnotes",#N/A,FALSE,"COMPS"}</definedName>
    <definedName name="wrn.totalcomp." hidden="1">{"comp1",#N/A,FALSE,"COMPS";"footnotes",#N/A,FALSE,"COMPS"}</definedName>
    <definedName name="wrn.trans._.sum." localSheetId="15" hidden="1">{"trans assumptions",#N/A,FALSE,"Merger";"trans accretion",#N/A,FALSE,"Merger"}</definedName>
    <definedName name="wrn.trans._.sum." localSheetId="14" hidden="1">{"trans assumptions",#N/A,FALSE,"Merger";"trans accretion",#N/A,FALSE,"Merger"}</definedName>
    <definedName name="wrn.trans._.sum." localSheetId="2" hidden="1">{"trans assumptions",#N/A,FALSE,"Merger";"trans accretion",#N/A,FALSE,"Merger"}</definedName>
    <definedName name="wrn.trans._.sum." localSheetId="34" hidden="1">{"trans assumptions",#N/A,FALSE,"Merger";"trans accretion",#N/A,FALSE,"Merger"}</definedName>
    <definedName name="wrn.trans._.sum." localSheetId="39" hidden="1">{"trans assumptions",#N/A,FALSE,"Merger";"trans accretion",#N/A,FALSE,"Merger"}</definedName>
    <definedName name="wrn.trans._.sum." localSheetId="8" hidden="1">{"trans assumptions",#N/A,FALSE,"Merger";"trans accretion",#N/A,FALSE,"Merger"}</definedName>
    <definedName name="wrn.trans._.sum." localSheetId="12" hidden="1">{"trans assumptions",#N/A,FALSE,"Merger";"trans accretion",#N/A,FALSE,"Merger"}</definedName>
    <definedName name="wrn.trans._.sum." localSheetId="13" hidden="1">{"trans assumptions",#N/A,FALSE,"Merger";"trans accretion",#N/A,FALSE,"Merger"}</definedName>
    <definedName name="wrn.trans._.sum." localSheetId="11" hidden="1">{"trans assumptions",#N/A,FALSE,"Merger";"trans accretion",#N/A,FALSE,"Merger"}</definedName>
    <definedName name="wrn.trans._.sum." localSheetId="31" hidden="1">{"trans assumptions",#N/A,FALSE,"Merger";"trans accretion",#N/A,FALSE,"Merger"}</definedName>
    <definedName name="wrn.trans._.sum." hidden="1">{"trans assumptions",#N/A,FALSE,"Merger";"trans accretion",#N/A,FALSE,"Merger"}</definedName>
    <definedName name="wrn.up." localSheetId="15" hidden="1">{"up stand alones",#N/A,FALSE,"Acquiror"}</definedName>
    <definedName name="wrn.up." localSheetId="14" hidden="1">{"up stand alones",#N/A,FALSE,"Acquiror"}</definedName>
    <definedName name="wrn.up." localSheetId="2" hidden="1">{"up stand alones",#N/A,FALSE,"Acquiror"}</definedName>
    <definedName name="wrn.up." localSheetId="34" hidden="1">{"up stand alones",#N/A,FALSE,"Acquiror"}</definedName>
    <definedName name="wrn.up." localSheetId="39" hidden="1">{"up stand alones",#N/A,FALSE,"Acquiror"}</definedName>
    <definedName name="wrn.up." localSheetId="8" hidden="1">{"up stand alones",#N/A,FALSE,"Acquiror"}</definedName>
    <definedName name="wrn.up." localSheetId="12" hidden="1">{"up stand alones",#N/A,FALSE,"Acquiror"}</definedName>
    <definedName name="wrn.up." localSheetId="13" hidden="1">{"up stand alones",#N/A,FALSE,"Acquiror"}</definedName>
    <definedName name="wrn.up." localSheetId="11" hidden="1">{"up stand alones",#N/A,FALSE,"Acquiror"}</definedName>
    <definedName name="wrn.up." localSheetId="31" hidden="1">{"up stand alones",#N/A,FALSE,"Acquiror"}</definedName>
    <definedName name="wrn.up." hidden="1">{"up stand alones",#N/A,FALSE,"Acquiror"}</definedName>
    <definedName name="wrn.Wacc." localSheetId="15" hidden="1">{"Area1",#N/A,FALSE,"OREWACC";"Area2",#N/A,FALSE,"OREWACC"}</definedName>
    <definedName name="wrn.Wacc." localSheetId="14" hidden="1">{"Area1",#N/A,FALSE,"OREWACC";"Area2",#N/A,FALSE,"OREWACC"}</definedName>
    <definedName name="wrn.Wacc." localSheetId="2" hidden="1">{"Area1",#N/A,FALSE,"OREWACC";"Area2",#N/A,FALSE,"OREWACC"}</definedName>
    <definedName name="wrn.Wacc." localSheetId="34" hidden="1">{"Area1",#N/A,FALSE,"OREWACC";"Area2",#N/A,FALSE,"OREWACC"}</definedName>
    <definedName name="wrn.Wacc." localSheetId="39" hidden="1">{"Area1",#N/A,FALSE,"OREWACC";"Area2",#N/A,FALSE,"OREWACC"}</definedName>
    <definedName name="wrn.Wacc." localSheetId="8" hidden="1">{"Area1",#N/A,FALSE,"OREWACC";"Area2",#N/A,FALSE,"OREWACC"}</definedName>
    <definedName name="wrn.Wacc." localSheetId="12" hidden="1">{"Area1",#N/A,FALSE,"OREWACC";"Area2",#N/A,FALSE,"OREWACC"}</definedName>
    <definedName name="wrn.Wacc." localSheetId="13" hidden="1">{"Area1",#N/A,FALSE,"OREWACC";"Area2",#N/A,FALSE,"OREWACC"}</definedName>
    <definedName name="wrn.Wacc." localSheetId="11" hidden="1">{"Area1",#N/A,FALSE,"OREWACC";"Area2",#N/A,FALSE,"OREWACC"}</definedName>
    <definedName name="wrn.Wacc." localSheetId="31" hidden="1">{"Area1",#N/A,FALSE,"OREWACC";"Area2",#N/A,FALSE,"OREWACC"}</definedName>
    <definedName name="wrn.Wacc." hidden="1">{"Area1",#N/A,FALSE,"OREWACC";"Area2",#N/A,FALSE,"OREWACC"}</definedName>
    <definedName name="wrn1.history" localSheetId="15" hidden="1">{#N/A,#N/A,FALSE,"model"}</definedName>
    <definedName name="wrn1.history" localSheetId="14" hidden="1">{#N/A,#N/A,FALSE,"model"}</definedName>
    <definedName name="wrn1.history" localSheetId="2" hidden="1">{#N/A,#N/A,FALSE,"model"}</definedName>
    <definedName name="wrn1.history" localSheetId="34" hidden="1">{#N/A,#N/A,FALSE,"model"}</definedName>
    <definedName name="wrn1.history" localSheetId="39" hidden="1">{#N/A,#N/A,FALSE,"model"}</definedName>
    <definedName name="wrn1.history" localSheetId="8" hidden="1">{#N/A,#N/A,FALSE,"model"}</definedName>
    <definedName name="wrn1.history" localSheetId="12" hidden="1">{#N/A,#N/A,FALSE,"model"}</definedName>
    <definedName name="wrn1.history" localSheetId="13" hidden="1">{#N/A,#N/A,FALSE,"model"}</definedName>
    <definedName name="wrn1.history" localSheetId="11" hidden="1">{#N/A,#N/A,FALSE,"model"}</definedName>
    <definedName name="wrn1.history" localSheetId="31" hidden="1">{#N/A,#N/A,FALSE,"model"}</definedName>
    <definedName name="wrn1.history" hidden="1">{#N/A,#N/A,FALSE,"model"}</definedName>
    <definedName name="wrn1.output" localSheetId="15" hidden="1">{"assumptions and inputs",#N/A,FALSE,"valuation";"intermediate calculations",#N/A,FALSE,"valuation";"dollar conversion",#N/A,FALSE,"valuation";"analysis at various prices",#N/A,FALSE,"valuation"}</definedName>
    <definedName name="wrn1.output" localSheetId="14"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localSheetId="39"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RN2.Document" localSheetId="15" hidden="1">{"consolidated",#N/A,FALSE,"Sheet1";"cms",#N/A,FALSE,"Sheet1";"fse",#N/A,FALSE,"Sheet1"}</definedName>
    <definedName name="WRN2.Document" localSheetId="14" hidden="1">{"consolidated",#N/A,FALSE,"Sheet1";"cms",#N/A,FALSE,"Sheet1";"fse",#N/A,FALSE,"Sheet1"}</definedName>
    <definedName name="WRN2.Document" localSheetId="2" hidden="1">{"consolidated",#N/A,FALSE,"Sheet1";"cms",#N/A,FALSE,"Sheet1";"fse",#N/A,FALSE,"Sheet1"}</definedName>
    <definedName name="WRN2.Document" localSheetId="34" hidden="1">{"consolidated",#N/A,FALSE,"Sheet1";"cms",#N/A,FALSE,"Sheet1";"fse",#N/A,FALSE,"Sheet1"}</definedName>
    <definedName name="WRN2.Document" localSheetId="39" hidden="1">{"consolidated",#N/A,FALSE,"Sheet1";"cms",#N/A,FALSE,"Sheet1";"fse",#N/A,FALSE,"Sheet1"}</definedName>
    <definedName name="WRN2.Document" localSheetId="8" hidden="1">{"consolidated",#N/A,FALSE,"Sheet1";"cms",#N/A,FALSE,"Sheet1";"fse",#N/A,FALSE,"Sheet1"}</definedName>
    <definedName name="WRN2.Document" localSheetId="12" hidden="1">{"consolidated",#N/A,FALSE,"Sheet1";"cms",#N/A,FALSE,"Sheet1";"fse",#N/A,FALSE,"Sheet1"}</definedName>
    <definedName name="WRN2.Document" localSheetId="13" hidden="1">{"consolidated",#N/A,FALSE,"Sheet1";"cms",#N/A,FALSE,"Sheet1";"fse",#N/A,FALSE,"Sheet1"}</definedName>
    <definedName name="WRN2.Document" localSheetId="11" hidden="1">{"consolidated",#N/A,FALSE,"Sheet1";"cms",#N/A,FALSE,"Sheet1";"fse",#N/A,FALSE,"Sheet1"}</definedName>
    <definedName name="WRN2.Document" localSheetId="31" hidden="1">{"consolidated",#N/A,FALSE,"Sheet1";"cms",#N/A,FALSE,"Sheet1";"fse",#N/A,FALSE,"Sheet1"}</definedName>
    <definedName name="WRN2.Document" hidden="1">{"consolidated",#N/A,FALSE,"Sheet1";"cms",#N/A,FALSE,"Sheet1";"fse",#N/A,FALSE,"Sheet1"}</definedName>
    <definedName name="wrn3.histroic" localSheetId="15" hidden="1">{#N/A,#N/A,FALSE,"model"}</definedName>
    <definedName name="wrn3.histroic" localSheetId="14" hidden="1">{#N/A,#N/A,FALSE,"model"}</definedName>
    <definedName name="wrn3.histroic" localSheetId="2" hidden="1">{#N/A,#N/A,FALSE,"model"}</definedName>
    <definedName name="wrn3.histroic" localSheetId="34" hidden="1">{#N/A,#N/A,FALSE,"model"}</definedName>
    <definedName name="wrn3.histroic" localSheetId="39" hidden="1">{#N/A,#N/A,FALSE,"model"}</definedName>
    <definedName name="wrn3.histroic" localSheetId="8" hidden="1">{#N/A,#N/A,FALSE,"model"}</definedName>
    <definedName name="wrn3.histroic" localSheetId="12" hidden="1">{#N/A,#N/A,FALSE,"model"}</definedName>
    <definedName name="wrn3.histroic" localSheetId="13" hidden="1">{#N/A,#N/A,FALSE,"model"}</definedName>
    <definedName name="wrn3.histroic" localSheetId="11" hidden="1">{#N/A,#N/A,FALSE,"model"}</definedName>
    <definedName name="wrn3.histroic" localSheetId="31" hidden="1">{#N/A,#N/A,FALSE,"model"}</definedName>
    <definedName name="wrn3.histroic" hidden="1">{#N/A,#N/A,FALSE,"model"}</definedName>
    <definedName name="wvu.inputs._.raw._.data."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 localSheetId="2">#REF!</definedName>
    <definedName name="x">#REF!</definedName>
    <definedName name="XREF_COLUMN_1" localSheetId="1" hidden="1">#REF!</definedName>
    <definedName name="XREF_COLUMN_1" localSheetId="15" hidden="1">#REF!</definedName>
    <definedName name="XREF_COLUMN_1" localSheetId="7" hidden="1">#REF!</definedName>
    <definedName name="XREF_COLUMN_1" localSheetId="14" hidden="1">#REF!</definedName>
    <definedName name="XREF_COLUMN_1" localSheetId="2" hidden="1">#REF!</definedName>
    <definedName name="XREF_COLUMN_1" localSheetId="34" hidden="1">#REF!</definedName>
    <definedName name="XREF_COLUMN_1" localSheetId="39" hidden="1">#REF!</definedName>
    <definedName name="XREF_COLUMN_1" localSheetId="12" hidden="1">#REF!</definedName>
    <definedName name="XREF_COLUMN_1" localSheetId="10" hidden="1">#REF!</definedName>
    <definedName name="XREF_COLUMN_1" localSheetId="6" hidden="1">#REF!</definedName>
    <definedName name="XREF_COLUMN_1" hidden="1">#REF!</definedName>
    <definedName name="XREF_COLUMN_10" localSheetId="1" hidden="1">#REF!</definedName>
    <definedName name="XREF_COLUMN_10" localSheetId="15" hidden="1">#REF!</definedName>
    <definedName name="XREF_COLUMN_10" localSheetId="7" hidden="1">#REF!</definedName>
    <definedName name="XREF_COLUMN_10" localSheetId="2" hidden="1">#REF!</definedName>
    <definedName name="XREF_COLUMN_10" localSheetId="34" hidden="1">#REF!</definedName>
    <definedName name="XREF_COLUMN_10" localSheetId="12" hidden="1">#REF!</definedName>
    <definedName name="XREF_COLUMN_10" localSheetId="10" hidden="1">#REF!</definedName>
    <definedName name="XREF_COLUMN_10" localSheetId="6" hidden="1">#REF!</definedName>
    <definedName name="XREF_COLUMN_10" hidden="1">#REF!</definedName>
    <definedName name="XREF_COLUMN_13" localSheetId="1" hidden="1">#REF!</definedName>
    <definedName name="XREF_COLUMN_13" localSheetId="15" hidden="1">#REF!</definedName>
    <definedName name="XREF_COLUMN_13" localSheetId="7" hidden="1">#REF!</definedName>
    <definedName name="XREF_COLUMN_13" localSheetId="14" hidden="1">#REF!</definedName>
    <definedName name="XREF_COLUMN_13" localSheetId="2" hidden="1">#REF!</definedName>
    <definedName name="XREF_COLUMN_13" localSheetId="34" hidden="1">#REF!</definedName>
    <definedName name="XREF_COLUMN_13" localSheetId="39" hidden="1">#REF!</definedName>
    <definedName name="XREF_COLUMN_13" localSheetId="12" hidden="1">#REF!</definedName>
    <definedName name="XREF_COLUMN_13" localSheetId="10" hidden="1">#REF!</definedName>
    <definedName name="XREF_COLUMN_13" localSheetId="11" hidden="1">#REF!</definedName>
    <definedName name="XREF_COLUMN_13" localSheetId="6" hidden="1">#REF!</definedName>
    <definedName name="XREF_COLUMN_13" hidden="1">#REF!</definedName>
    <definedName name="XREF_COLUMN_14" localSheetId="1" hidden="1">#REF!</definedName>
    <definedName name="XREF_COLUMN_14" localSheetId="15" hidden="1">#REF!</definedName>
    <definedName name="XREF_COLUMN_14" localSheetId="7" hidden="1">#REF!</definedName>
    <definedName name="XREF_COLUMN_14" localSheetId="14" hidden="1">#REF!</definedName>
    <definedName name="XREF_COLUMN_14" localSheetId="2" hidden="1">#REF!</definedName>
    <definedName name="XREF_COLUMN_14" localSheetId="34" hidden="1">#REF!</definedName>
    <definedName name="XREF_COLUMN_14" localSheetId="39" hidden="1">#REF!</definedName>
    <definedName name="XREF_COLUMN_14" localSheetId="12" hidden="1">#REF!</definedName>
    <definedName name="XREF_COLUMN_14" localSheetId="10" hidden="1">#REF!</definedName>
    <definedName name="XREF_COLUMN_14" localSheetId="11" hidden="1">#REF!</definedName>
    <definedName name="XREF_COLUMN_14" localSheetId="6" hidden="1">#REF!</definedName>
    <definedName name="XREF_COLUMN_14" hidden="1">#REF!</definedName>
    <definedName name="XREF_COLUMN_15" localSheetId="1" hidden="1">#REF!</definedName>
    <definedName name="XREF_COLUMN_15" localSheetId="15" hidden="1">#REF!</definedName>
    <definedName name="XREF_COLUMN_15" localSheetId="7" hidden="1">#REF!</definedName>
    <definedName name="XREF_COLUMN_15" localSheetId="2" hidden="1">#REF!</definedName>
    <definedName name="XREF_COLUMN_15" localSheetId="34" hidden="1">#REF!</definedName>
    <definedName name="XREF_COLUMN_15" localSheetId="39" hidden="1">#REF!</definedName>
    <definedName name="XREF_COLUMN_15" localSheetId="12" hidden="1">#REF!</definedName>
    <definedName name="XREF_COLUMN_15" localSheetId="10" hidden="1">#REF!</definedName>
    <definedName name="XREF_COLUMN_15" localSheetId="11" hidden="1">#REF!</definedName>
    <definedName name="XREF_COLUMN_15" localSheetId="6" hidden="1">#REF!</definedName>
    <definedName name="XREF_COLUMN_15" hidden="1">#REF!</definedName>
    <definedName name="XREF_COLUMN_16" localSheetId="1" hidden="1">#REF!</definedName>
    <definedName name="XREF_COLUMN_16" localSheetId="15" hidden="1">#REF!</definedName>
    <definedName name="XREF_COLUMN_16" localSheetId="7" hidden="1">#REF!</definedName>
    <definedName name="XREF_COLUMN_16" localSheetId="14" hidden="1">#REF!</definedName>
    <definedName name="XREF_COLUMN_16" localSheetId="2" hidden="1">#REF!</definedName>
    <definedName name="XREF_COLUMN_16" localSheetId="34" hidden="1">#REF!</definedName>
    <definedName name="XREF_COLUMN_16" localSheetId="39" hidden="1">#REF!</definedName>
    <definedName name="XREF_COLUMN_16" localSheetId="12" hidden="1">#REF!</definedName>
    <definedName name="XREF_COLUMN_16" localSheetId="10" hidden="1">#REF!</definedName>
    <definedName name="XREF_COLUMN_16" localSheetId="6" hidden="1">#REF!</definedName>
    <definedName name="XREF_COLUMN_16" hidden="1">#REF!</definedName>
    <definedName name="XREF_COLUMN_17" localSheetId="1" hidden="1">#REF!</definedName>
    <definedName name="XREF_COLUMN_17" localSheetId="15" hidden="1">#REF!</definedName>
    <definedName name="XREF_COLUMN_17" localSheetId="7" hidden="1">#REF!</definedName>
    <definedName name="XREF_COLUMN_17" localSheetId="14" hidden="1">#REF!</definedName>
    <definedName name="XREF_COLUMN_17" localSheetId="2" hidden="1">#REF!</definedName>
    <definedName name="XREF_COLUMN_17" localSheetId="34" hidden="1">#REF!</definedName>
    <definedName name="XREF_COLUMN_17" localSheetId="39" hidden="1">#REF!</definedName>
    <definedName name="XREF_COLUMN_17" localSheetId="12" hidden="1">#REF!</definedName>
    <definedName name="XREF_COLUMN_17" localSheetId="10" hidden="1">#REF!</definedName>
    <definedName name="XREF_COLUMN_17" localSheetId="6" hidden="1">#REF!</definedName>
    <definedName name="XREF_COLUMN_17" hidden="1">#REF!</definedName>
    <definedName name="XREF_COLUMN_19" localSheetId="1" hidden="1">#REF!</definedName>
    <definedName name="XREF_COLUMN_19" localSheetId="15" hidden="1">#REF!</definedName>
    <definedName name="XREF_COLUMN_19" localSheetId="7" hidden="1">#REF!</definedName>
    <definedName name="XREF_COLUMN_19" localSheetId="2" hidden="1">#REF!</definedName>
    <definedName name="XREF_COLUMN_19" localSheetId="34" hidden="1">#REF!</definedName>
    <definedName name="XREF_COLUMN_19" localSheetId="39" hidden="1">#REF!</definedName>
    <definedName name="XREF_COLUMN_19" localSheetId="12" hidden="1">#REF!</definedName>
    <definedName name="XREF_COLUMN_19" localSheetId="10" hidden="1">#REF!</definedName>
    <definedName name="XREF_COLUMN_19" localSheetId="11" hidden="1">#REF!</definedName>
    <definedName name="XREF_COLUMN_19" localSheetId="6" hidden="1">#REF!</definedName>
    <definedName name="XREF_COLUMN_19" hidden="1">#REF!</definedName>
    <definedName name="XREF_COLUMN_2" localSheetId="1" hidden="1">#REF!</definedName>
    <definedName name="XREF_COLUMN_2" localSheetId="7" hidden="1">#REF!</definedName>
    <definedName name="XREF_COLUMN_2" localSheetId="2" hidden="1">#REF!</definedName>
    <definedName name="XREF_COLUMN_2" localSheetId="34" hidden="1">#REF!</definedName>
    <definedName name="XREF_COLUMN_2" localSheetId="39" hidden="1">#REF!</definedName>
    <definedName name="XREF_COLUMN_2" localSheetId="12" hidden="1">#REF!</definedName>
    <definedName name="XREF_COLUMN_2" localSheetId="10" hidden="1">#REF!</definedName>
    <definedName name="XREF_COLUMN_2" localSheetId="11" hidden="1">#REF!</definedName>
    <definedName name="XREF_COLUMN_2" localSheetId="6" hidden="1">#REF!</definedName>
    <definedName name="XREF_COLUMN_2" hidden="1">#REF!</definedName>
    <definedName name="XREF_COLUMN_20" localSheetId="1" hidden="1">#REF!</definedName>
    <definedName name="XREF_COLUMN_20" localSheetId="15" hidden="1">#REF!</definedName>
    <definedName name="XREF_COLUMN_20" localSheetId="7" hidden="1">#REF!</definedName>
    <definedName name="XREF_COLUMN_20" localSheetId="14" hidden="1">#REF!</definedName>
    <definedName name="XREF_COLUMN_20" localSheetId="2" hidden="1">#REF!</definedName>
    <definedName name="XREF_COLUMN_20" localSheetId="34" hidden="1">#REF!</definedName>
    <definedName name="XREF_COLUMN_20" localSheetId="39" hidden="1">#REF!</definedName>
    <definedName name="XREF_COLUMN_20" localSheetId="12" hidden="1">#REF!</definedName>
    <definedName name="XREF_COLUMN_20" localSheetId="10" hidden="1">#REF!</definedName>
    <definedName name="XREF_COLUMN_20" localSheetId="11" hidden="1">#REF!</definedName>
    <definedName name="XREF_COLUMN_20" localSheetId="6" hidden="1">#REF!</definedName>
    <definedName name="XREF_COLUMN_20" hidden="1">#REF!</definedName>
    <definedName name="XREF_COLUMN_21" localSheetId="1" hidden="1">#REF!</definedName>
    <definedName name="XREF_COLUMN_21" localSheetId="15" hidden="1">#REF!</definedName>
    <definedName name="XREF_COLUMN_21" localSheetId="7" hidden="1">#REF!</definedName>
    <definedName name="XREF_COLUMN_21" localSheetId="2" hidden="1">#REF!</definedName>
    <definedName name="XREF_COLUMN_21" localSheetId="34" hidden="1">#REF!</definedName>
    <definedName name="XREF_COLUMN_21" localSheetId="39" hidden="1">#REF!</definedName>
    <definedName name="XREF_COLUMN_21" localSheetId="12" hidden="1">#REF!</definedName>
    <definedName name="XREF_COLUMN_21" localSheetId="10" hidden="1">#REF!</definedName>
    <definedName name="XREF_COLUMN_21" localSheetId="11" hidden="1">#REF!</definedName>
    <definedName name="XREF_COLUMN_21" localSheetId="6" hidden="1">#REF!</definedName>
    <definedName name="XREF_COLUMN_21" hidden="1">#REF!</definedName>
    <definedName name="XREF_COLUMN_22" localSheetId="1" hidden="1">#REF!</definedName>
    <definedName name="XREF_COLUMN_22" localSheetId="15" hidden="1">#REF!</definedName>
    <definedName name="XREF_COLUMN_22" localSheetId="7" hidden="1">#REF!</definedName>
    <definedName name="XREF_COLUMN_22" localSheetId="14" hidden="1">#REF!</definedName>
    <definedName name="XREF_COLUMN_22" localSheetId="2" hidden="1">#REF!</definedName>
    <definedName name="XREF_COLUMN_22" localSheetId="34" hidden="1">#REF!</definedName>
    <definedName name="XREF_COLUMN_22" localSheetId="39" hidden="1">#REF!</definedName>
    <definedName name="XREF_COLUMN_22" localSheetId="12" hidden="1">#REF!</definedName>
    <definedName name="XREF_COLUMN_22" localSheetId="10" hidden="1">#REF!</definedName>
    <definedName name="XREF_COLUMN_22" localSheetId="11" hidden="1">#REF!</definedName>
    <definedName name="XREF_COLUMN_22" localSheetId="6" hidden="1">#REF!</definedName>
    <definedName name="XREF_COLUMN_22" hidden="1">#REF!</definedName>
    <definedName name="XREF_COLUMN_23" localSheetId="1" hidden="1">#REF!</definedName>
    <definedName name="XREF_COLUMN_23" localSheetId="15" hidden="1">#REF!</definedName>
    <definedName name="XREF_COLUMN_23" localSheetId="7" hidden="1">#REF!</definedName>
    <definedName name="XREF_COLUMN_23" localSheetId="14" hidden="1">#REF!</definedName>
    <definedName name="XREF_COLUMN_23" localSheetId="2" hidden="1">#REF!</definedName>
    <definedName name="XREF_COLUMN_23" localSheetId="34" hidden="1">#REF!</definedName>
    <definedName name="XREF_COLUMN_23" localSheetId="39" hidden="1">#REF!</definedName>
    <definedName name="XREF_COLUMN_23" localSheetId="12" hidden="1">#REF!</definedName>
    <definedName name="XREF_COLUMN_23" localSheetId="10" hidden="1">#REF!</definedName>
    <definedName name="XREF_COLUMN_23" localSheetId="6" hidden="1">#REF!</definedName>
    <definedName name="XREF_COLUMN_23" hidden="1">#REF!</definedName>
    <definedName name="XREF_COLUMN_24" localSheetId="1" hidden="1">#REF!</definedName>
    <definedName name="XREF_COLUMN_24" localSheetId="15" hidden="1">#REF!</definedName>
    <definedName name="XREF_COLUMN_24" localSheetId="7" hidden="1">#REF!</definedName>
    <definedName name="XREF_COLUMN_24" localSheetId="14" hidden="1">#REF!</definedName>
    <definedName name="XREF_COLUMN_24" localSheetId="2" hidden="1">#REF!</definedName>
    <definedName name="XREF_COLUMN_24" localSheetId="34" hidden="1">#REF!</definedName>
    <definedName name="XREF_COLUMN_24" localSheetId="39" hidden="1">#REF!</definedName>
    <definedName name="XREF_COLUMN_24" localSheetId="12" hidden="1">#REF!</definedName>
    <definedName name="XREF_COLUMN_24" localSheetId="10" hidden="1">#REF!</definedName>
    <definedName name="XREF_COLUMN_24" localSheetId="6" hidden="1">#REF!</definedName>
    <definedName name="XREF_COLUMN_24" hidden="1">#REF!</definedName>
    <definedName name="XREF_COLUMN_26" localSheetId="1" hidden="1">#REF!</definedName>
    <definedName name="XREF_COLUMN_26" localSheetId="15" hidden="1">#REF!</definedName>
    <definedName name="XREF_COLUMN_26" localSheetId="7" hidden="1">#REF!</definedName>
    <definedName name="XREF_COLUMN_26" localSheetId="14" hidden="1">#REF!</definedName>
    <definedName name="XREF_COLUMN_26" localSheetId="2" hidden="1">#REF!</definedName>
    <definedName name="XREF_COLUMN_26" localSheetId="34" hidden="1">#REF!</definedName>
    <definedName name="XREF_COLUMN_26" localSheetId="39" hidden="1">#REF!</definedName>
    <definedName name="XREF_COLUMN_26" localSheetId="12" hidden="1">#REF!</definedName>
    <definedName name="XREF_COLUMN_26" localSheetId="10" hidden="1">#REF!</definedName>
    <definedName name="XREF_COLUMN_26" localSheetId="6" hidden="1">#REF!</definedName>
    <definedName name="XREF_COLUMN_26" hidden="1">#REF!</definedName>
    <definedName name="XREF_COLUMN_27" localSheetId="1" hidden="1">#REF!</definedName>
    <definedName name="XREF_COLUMN_27" localSheetId="15" hidden="1">#REF!</definedName>
    <definedName name="XREF_COLUMN_27" localSheetId="7" hidden="1">#REF!</definedName>
    <definedName name="XREF_COLUMN_27" localSheetId="14" hidden="1">#REF!</definedName>
    <definedName name="XREF_COLUMN_27" localSheetId="2" hidden="1">#REF!</definedName>
    <definedName name="XREF_COLUMN_27" localSheetId="34" hidden="1">#REF!</definedName>
    <definedName name="XREF_COLUMN_27" localSheetId="39" hidden="1">#REF!</definedName>
    <definedName name="XREF_COLUMN_27" localSheetId="12" hidden="1">#REF!</definedName>
    <definedName name="XREF_COLUMN_27" localSheetId="10" hidden="1">#REF!</definedName>
    <definedName name="XREF_COLUMN_27" localSheetId="6" hidden="1">#REF!</definedName>
    <definedName name="XREF_COLUMN_27" hidden="1">#REF!</definedName>
    <definedName name="XREF_COLUMN_28" localSheetId="1" hidden="1">#REF!</definedName>
    <definedName name="XREF_COLUMN_28" localSheetId="15" hidden="1">#REF!</definedName>
    <definedName name="XREF_COLUMN_28" localSheetId="7" hidden="1">#REF!</definedName>
    <definedName name="XREF_COLUMN_28" localSheetId="2" hidden="1">#REF!</definedName>
    <definedName name="XREF_COLUMN_28" localSheetId="34" hidden="1">#REF!</definedName>
    <definedName name="XREF_COLUMN_28" localSheetId="39" hidden="1">#REF!</definedName>
    <definedName name="XREF_COLUMN_28" localSheetId="12" hidden="1">#REF!</definedName>
    <definedName name="XREF_COLUMN_28" localSheetId="10" hidden="1">#REF!</definedName>
    <definedName name="XREF_COLUMN_28" localSheetId="6" hidden="1">#REF!</definedName>
    <definedName name="XREF_COLUMN_28" hidden="1">#REF!</definedName>
    <definedName name="XREF_COLUMN_3" localSheetId="1" hidden="1">#REF!</definedName>
    <definedName name="XREF_COLUMN_3" localSheetId="15" hidden="1">#REF!</definedName>
    <definedName name="XREF_COLUMN_3" localSheetId="7" hidden="1">#REF!</definedName>
    <definedName name="XREF_COLUMN_3" localSheetId="14" hidden="1">#REF!</definedName>
    <definedName name="XREF_COLUMN_3" localSheetId="2" hidden="1">#REF!</definedName>
    <definedName name="XREF_COLUMN_3" localSheetId="34" hidden="1">#REF!</definedName>
    <definedName name="XREF_COLUMN_3" localSheetId="39" hidden="1">#REF!</definedName>
    <definedName name="XREF_COLUMN_3" localSheetId="12" hidden="1">#REF!</definedName>
    <definedName name="XREF_COLUMN_3" localSheetId="10" hidden="1">#REF!</definedName>
    <definedName name="XREF_COLUMN_3" localSheetId="11" hidden="1">#REF!</definedName>
    <definedName name="XREF_COLUMN_3" localSheetId="6" hidden="1">#REF!</definedName>
    <definedName name="XREF_COLUMN_3" hidden="1">#REF!</definedName>
    <definedName name="XREF_COLUMN_4" localSheetId="1" hidden="1">#REF!</definedName>
    <definedName name="XREF_COLUMN_4" localSheetId="15" hidden="1">#REF!</definedName>
    <definedName name="XREF_COLUMN_4" localSheetId="7" hidden="1">#REF!</definedName>
    <definedName name="XREF_COLUMN_4" localSheetId="14" hidden="1">#REF!</definedName>
    <definedName name="XREF_COLUMN_4" localSheetId="2" hidden="1">#REF!</definedName>
    <definedName name="XREF_COLUMN_4" localSheetId="34" hidden="1">#REF!</definedName>
    <definedName name="XREF_COLUMN_4" localSheetId="39" hidden="1">#REF!</definedName>
    <definedName name="XREF_COLUMN_4" localSheetId="12" hidden="1">#REF!</definedName>
    <definedName name="XREF_COLUMN_4" localSheetId="10" hidden="1">#REF!</definedName>
    <definedName name="XREF_COLUMN_4" localSheetId="11" hidden="1">#REF!</definedName>
    <definedName name="XREF_COLUMN_4" localSheetId="6" hidden="1">#REF!</definedName>
    <definedName name="XREF_COLUMN_4" hidden="1">#REF!</definedName>
    <definedName name="XREF_COLUMN_5" localSheetId="1" hidden="1">#REF!</definedName>
    <definedName name="XREF_COLUMN_5" localSheetId="15" hidden="1">#REF!</definedName>
    <definedName name="XREF_COLUMN_5" localSheetId="7" hidden="1">#REF!</definedName>
    <definedName name="XREF_COLUMN_5" localSheetId="14" hidden="1">#REF!</definedName>
    <definedName name="XREF_COLUMN_5" localSheetId="2" hidden="1">#REF!</definedName>
    <definedName name="XREF_COLUMN_5" localSheetId="34" hidden="1">#REF!</definedName>
    <definedName name="XREF_COLUMN_5" localSheetId="39" hidden="1">#REF!</definedName>
    <definedName name="XREF_COLUMN_5" localSheetId="12" hidden="1">#REF!</definedName>
    <definedName name="XREF_COLUMN_5" localSheetId="10" hidden="1">#REF!</definedName>
    <definedName name="XREF_COLUMN_5" localSheetId="11" hidden="1">#REF!</definedName>
    <definedName name="XREF_COLUMN_5" localSheetId="6" hidden="1">#REF!</definedName>
    <definedName name="XREF_COLUMN_5" hidden="1">#REF!</definedName>
    <definedName name="XREF_COLUMN_6" localSheetId="1" hidden="1">#REF!</definedName>
    <definedName name="XREF_COLUMN_6" localSheetId="15" hidden="1">#REF!</definedName>
    <definedName name="XREF_COLUMN_6" localSheetId="7" hidden="1">#REF!</definedName>
    <definedName name="XREF_COLUMN_6" localSheetId="2" hidden="1">#REF!</definedName>
    <definedName name="XREF_COLUMN_6" localSheetId="34" hidden="1">#REF!</definedName>
    <definedName name="XREF_COLUMN_6" localSheetId="39" hidden="1">#REF!</definedName>
    <definedName name="XREF_COLUMN_6" localSheetId="12" hidden="1">#REF!</definedName>
    <definedName name="XREF_COLUMN_6" localSheetId="10" hidden="1">#REF!</definedName>
    <definedName name="XREF_COLUMN_6" localSheetId="11" hidden="1">#REF!</definedName>
    <definedName name="XREF_COLUMN_6" localSheetId="6" hidden="1">#REF!</definedName>
    <definedName name="XREF_COLUMN_6" hidden="1">#REF!</definedName>
    <definedName name="XREF_COLUMN_7" localSheetId="1" hidden="1">#REF!</definedName>
    <definedName name="XREF_COLUMN_7" localSheetId="15" hidden="1">#REF!</definedName>
    <definedName name="XREF_COLUMN_7" localSheetId="7" hidden="1">#REF!</definedName>
    <definedName name="XREF_COLUMN_7" localSheetId="14" hidden="1">#REF!</definedName>
    <definedName name="XREF_COLUMN_7" localSheetId="2" hidden="1">#REF!</definedName>
    <definedName name="XREF_COLUMN_7" localSheetId="34" hidden="1">#REF!</definedName>
    <definedName name="XREF_COLUMN_7" localSheetId="39" hidden="1">#REF!</definedName>
    <definedName name="XREF_COLUMN_7" localSheetId="12" hidden="1">#REF!</definedName>
    <definedName name="XREF_COLUMN_7" localSheetId="10" hidden="1">#REF!</definedName>
    <definedName name="XREF_COLUMN_7" localSheetId="11" hidden="1">#REF!</definedName>
    <definedName name="XREF_COLUMN_7" localSheetId="6" hidden="1">#REF!</definedName>
    <definedName name="XREF_COLUMN_7" hidden="1">#REF!</definedName>
    <definedName name="XREF_COLUMN_8" localSheetId="1" hidden="1">#REF!</definedName>
    <definedName name="XREF_COLUMN_8" localSheetId="15" hidden="1">#REF!</definedName>
    <definedName name="XREF_COLUMN_8" localSheetId="7" hidden="1">#REF!</definedName>
    <definedName name="XREF_COLUMN_8" localSheetId="2" hidden="1">#REF!</definedName>
    <definedName name="XREF_COLUMN_8" localSheetId="34" hidden="1">#REF!</definedName>
    <definedName name="XREF_COLUMN_8" localSheetId="39" hidden="1">#REF!</definedName>
    <definedName name="XREF_COLUMN_8" localSheetId="12" hidden="1">#REF!</definedName>
    <definedName name="XREF_COLUMN_8" localSheetId="10" hidden="1">#REF!</definedName>
    <definedName name="XREF_COLUMN_8" localSheetId="11" hidden="1">#REF!</definedName>
    <definedName name="XREF_COLUMN_8" localSheetId="6" hidden="1">#REF!</definedName>
    <definedName name="XREF_COLUMN_8" hidden="1">#REF!</definedName>
    <definedName name="XREF_COLUMN_9" localSheetId="1" hidden="1">#REF!</definedName>
    <definedName name="XREF_COLUMN_9" localSheetId="15" hidden="1">#REF!</definedName>
    <definedName name="XREF_COLUMN_9" localSheetId="7" hidden="1">#REF!</definedName>
    <definedName name="XREF_COLUMN_9" localSheetId="14" hidden="1">#REF!</definedName>
    <definedName name="XREF_COLUMN_9" localSheetId="2" hidden="1">#REF!</definedName>
    <definedName name="XREF_COLUMN_9" localSheetId="34" hidden="1">#REF!</definedName>
    <definedName name="XREF_COLUMN_9" localSheetId="39" hidden="1">#REF!</definedName>
    <definedName name="XREF_COLUMN_9" localSheetId="12" hidden="1">#REF!</definedName>
    <definedName name="XREF_COLUMN_9" localSheetId="10" hidden="1">#REF!</definedName>
    <definedName name="XREF_COLUMN_9" localSheetId="6" hidden="1">#REF!</definedName>
    <definedName name="XREF_COLUMN_9" hidden="1">#REF!</definedName>
    <definedName name="XRefColumnsCount" hidden="1">2</definedName>
    <definedName name="XRefCopy1" localSheetId="1" hidden="1">#REF!</definedName>
    <definedName name="XRefCopy1" localSheetId="15" hidden="1">#REF!</definedName>
    <definedName name="XRefCopy1" localSheetId="7" hidden="1">#REF!</definedName>
    <definedName name="XRefCopy1" localSheetId="14" hidden="1">#REF!</definedName>
    <definedName name="XRefCopy1" localSheetId="2" hidden="1">#REF!</definedName>
    <definedName name="XRefCopy1" localSheetId="34" hidden="1">#REF!</definedName>
    <definedName name="XRefCopy1" localSheetId="39" hidden="1">#REF!</definedName>
    <definedName name="XRefCopy1" localSheetId="12" hidden="1">#REF!</definedName>
    <definedName name="XRefCopy1" localSheetId="10" hidden="1">#REF!</definedName>
    <definedName name="XRefCopy1" localSheetId="11" hidden="1">#REF!</definedName>
    <definedName name="XRefCopy1" localSheetId="6" hidden="1">#REF!</definedName>
    <definedName name="XRefCopy1" hidden="1">#REF!</definedName>
    <definedName name="XRefCopy10" localSheetId="1" hidden="1">#REF!</definedName>
    <definedName name="XRefCopy10" localSheetId="15" hidden="1">#REF!</definedName>
    <definedName name="XRefCopy10" localSheetId="7" hidden="1">#REF!</definedName>
    <definedName name="XRefCopy10" localSheetId="14" hidden="1">#REF!</definedName>
    <definedName name="XRefCopy10" localSheetId="2" hidden="1">#REF!</definedName>
    <definedName name="XRefCopy10" localSheetId="34" hidden="1">#REF!</definedName>
    <definedName name="XRefCopy10" localSheetId="39" hidden="1">#REF!</definedName>
    <definedName name="XRefCopy10" localSheetId="12" hidden="1">#REF!</definedName>
    <definedName name="XRefCopy10" localSheetId="10" hidden="1">#REF!</definedName>
    <definedName name="XRefCopy10" localSheetId="6" hidden="1">#REF!</definedName>
    <definedName name="XRefCopy10" hidden="1">#REF!</definedName>
    <definedName name="XRefCopy10Row" localSheetId="1" hidden="1">#REF!</definedName>
    <definedName name="XRefCopy10Row" localSheetId="15" hidden="1">#REF!</definedName>
    <definedName name="XRefCopy10Row" localSheetId="7" hidden="1">#REF!</definedName>
    <definedName name="XRefCopy10Row" localSheetId="14" hidden="1">#REF!</definedName>
    <definedName name="XRefCopy10Row" localSheetId="2" hidden="1">#REF!</definedName>
    <definedName name="XRefCopy10Row" localSheetId="34" hidden="1">#REF!</definedName>
    <definedName name="XRefCopy10Row" localSheetId="39" hidden="1">#REF!</definedName>
    <definedName name="XRefCopy10Row" localSheetId="12" hidden="1">#REF!</definedName>
    <definedName name="XRefCopy10Row" localSheetId="10" hidden="1">#REF!</definedName>
    <definedName name="XRefCopy10Row" localSheetId="11" hidden="1">#REF!</definedName>
    <definedName name="XRefCopy10Row" localSheetId="6" hidden="1">#REF!</definedName>
    <definedName name="XRefCopy10Row" hidden="1">#REF!</definedName>
    <definedName name="XRefCopy11" localSheetId="1" hidden="1">#REF!</definedName>
    <definedName name="XRefCopy11" localSheetId="15" hidden="1">#REF!</definedName>
    <definedName name="XRefCopy11" localSheetId="7" hidden="1">#REF!</definedName>
    <definedName name="XRefCopy11" localSheetId="14" hidden="1">#REF!</definedName>
    <definedName name="XRefCopy11" localSheetId="2" hidden="1">#REF!</definedName>
    <definedName name="XRefCopy11" localSheetId="34" hidden="1">#REF!</definedName>
    <definedName name="XRefCopy11" localSheetId="39" hidden="1">#REF!</definedName>
    <definedName name="XRefCopy11" localSheetId="12" hidden="1">#REF!</definedName>
    <definedName name="XRefCopy11" localSheetId="10" hidden="1">#REF!</definedName>
    <definedName name="XRefCopy11" localSheetId="6" hidden="1">#REF!</definedName>
    <definedName name="XRefCopy11" hidden="1">#REF!</definedName>
    <definedName name="XRefCopy11Row" localSheetId="1" hidden="1">#REF!</definedName>
    <definedName name="XRefCopy11Row" localSheetId="15" hidden="1">#REF!</definedName>
    <definedName name="XRefCopy11Row" localSheetId="7" hidden="1">#REF!</definedName>
    <definedName name="XRefCopy11Row" localSheetId="14" hidden="1">#REF!</definedName>
    <definedName name="XRefCopy11Row" localSheetId="2" hidden="1">#REF!</definedName>
    <definedName name="XRefCopy11Row" localSheetId="34" hidden="1">#REF!</definedName>
    <definedName name="XRefCopy11Row" localSheetId="39" hidden="1">#REF!</definedName>
    <definedName name="XRefCopy11Row" localSheetId="12" hidden="1">#REF!</definedName>
    <definedName name="XRefCopy11Row" localSheetId="10" hidden="1">#REF!</definedName>
    <definedName name="XRefCopy11Row" localSheetId="11" hidden="1">#REF!</definedName>
    <definedName name="XRefCopy11Row" localSheetId="6" hidden="1">#REF!</definedName>
    <definedName name="XRefCopy11Row" hidden="1">#REF!</definedName>
    <definedName name="XRefCopy12" localSheetId="1" hidden="1">#REF!</definedName>
    <definedName name="XRefCopy12" localSheetId="15" hidden="1">#REF!</definedName>
    <definedName name="XRefCopy12" localSheetId="7" hidden="1">#REF!</definedName>
    <definedName name="XRefCopy12" localSheetId="14" hidden="1">#REF!</definedName>
    <definedName name="XRefCopy12" localSheetId="2" hidden="1">#REF!</definedName>
    <definedName name="XRefCopy12" localSheetId="34" hidden="1">#REF!</definedName>
    <definedName name="XRefCopy12" localSheetId="39" hidden="1">#REF!</definedName>
    <definedName name="XRefCopy12" localSheetId="12" hidden="1">#REF!</definedName>
    <definedName name="XRefCopy12" localSheetId="10" hidden="1">#REF!</definedName>
    <definedName name="XRefCopy12" localSheetId="11" hidden="1">#REF!</definedName>
    <definedName name="XRefCopy12" localSheetId="6" hidden="1">#REF!</definedName>
    <definedName name="XRefCopy12" hidden="1">#REF!</definedName>
    <definedName name="XRefCopy12Row" localSheetId="1" hidden="1">#REF!</definedName>
    <definedName name="XRefCopy12Row" localSheetId="15" hidden="1">#REF!</definedName>
    <definedName name="XRefCopy12Row" localSheetId="7" hidden="1">#REF!</definedName>
    <definedName name="XRefCopy12Row" localSheetId="14" hidden="1">#REF!</definedName>
    <definedName name="XRefCopy12Row" localSheetId="2" hidden="1">#REF!</definedName>
    <definedName name="XRefCopy12Row" localSheetId="34" hidden="1">#REF!</definedName>
    <definedName name="XRefCopy12Row" localSheetId="39" hidden="1">#REF!</definedName>
    <definedName name="XRefCopy12Row" localSheetId="12" hidden="1">#REF!</definedName>
    <definedName name="XRefCopy12Row" localSheetId="10" hidden="1">#REF!</definedName>
    <definedName name="XRefCopy12Row" localSheetId="11" hidden="1">#REF!</definedName>
    <definedName name="XRefCopy12Row" localSheetId="6" hidden="1">#REF!</definedName>
    <definedName name="XRefCopy12Row" hidden="1">#REF!</definedName>
    <definedName name="XRefCopy13" localSheetId="1" hidden="1">#REF!</definedName>
    <definedName name="XRefCopy13" localSheetId="15" hidden="1">#REF!</definedName>
    <definedName name="XRefCopy13" localSheetId="7" hidden="1">#REF!</definedName>
    <definedName name="XRefCopy13" localSheetId="14" hidden="1">#REF!</definedName>
    <definedName name="XRefCopy13" localSheetId="2" hidden="1">#REF!</definedName>
    <definedName name="XRefCopy13" localSheetId="34" hidden="1">#REF!</definedName>
    <definedName name="XRefCopy13" localSheetId="39" hidden="1">#REF!</definedName>
    <definedName name="XRefCopy13" localSheetId="12" hidden="1">#REF!</definedName>
    <definedName name="XRefCopy13" localSheetId="10" hidden="1">#REF!</definedName>
    <definedName name="XRefCopy13" localSheetId="11" hidden="1">#REF!</definedName>
    <definedName name="XRefCopy13" localSheetId="6" hidden="1">#REF!</definedName>
    <definedName name="XRefCopy13" hidden="1">#REF!</definedName>
    <definedName name="XRefCopy13Row" localSheetId="1" hidden="1">#REF!</definedName>
    <definedName name="XRefCopy13Row" localSheetId="15" hidden="1">#REF!</definedName>
    <definedName name="XRefCopy13Row" localSheetId="7" hidden="1">#REF!</definedName>
    <definedName name="XRefCopy13Row" localSheetId="14" hidden="1">#REF!</definedName>
    <definedName name="XRefCopy13Row" localSheetId="2" hidden="1">#REF!</definedName>
    <definedName name="XRefCopy13Row" localSheetId="34" hidden="1">#REF!</definedName>
    <definedName name="XRefCopy13Row" localSheetId="39" hidden="1">#REF!</definedName>
    <definedName name="XRefCopy13Row" localSheetId="12" hidden="1">#REF!</definedName>
    <definedName name="XRefCopy13Row" localSheetId="10" hidden="1">#REF!</definedName>
    <definedName name="XRefCopy13Row" localSheetId="11" hidden="1">#REF!</definedName>
    <definedName name="XRefCopy13Row" localSheetId="6" hidden="1">#REF!</definedName>
    <definedName name="XRefCopy13Row" hidden="1">#REF!</definedName>
    <definedName name="XRefCopy14" localSheetId="1" hidden="1">#REF!</definedName>
    <definedName name="XRefCopy14" localSheetId="15" hidden="1">#REF!</definedName>
    <definedName name="XRefCopy14" localSheetId="7" hidden="1">#REF!</definedName>
    <definedName name="XRefCopy14" localSheetId="14" hidden="1">#REF!</definedName>
    <definedName name="XRefCopy14" localSheetId="2" hidden="1">#REF!</definedName>
    <definedName name="XRefCopy14" localSheetId="34" hidden="1">#REF!</definedName>
    <definedName name="XRefCopy14" localSheetId="39" hidden="1">#REF!</definedName>
    <definedName name="XRefCopy14" localSheetId="12" hidden="1">#REF!</definedName>
    <definedName name="XRefCopy14" localSheetId="10" hidden="1">#REF!</definedName>
    <definedName name="XRefCopy14" localSheetId="11" hidden="1">#REF!</definedName>
    <definedName name="XRefCopy14" localSheetId="6" hidden="1">#REF!</definedName>
    <definedName name="XRefCopy14" hidden="1">#REF!</definedName>
    <definedName name="XRefCopy14Row" localSheetId="1" hidden="1">#REF!</definedName>
    <definedName name="XRefCopy14Row" localSheetId="15" hidden="1">#REF!</definedName>
    <definedName name="XRefCopy14Row" localSheetId="7" hidden="1">#REF!</definedName>
    <definedName name="XRefCopy14Row" localSheetId="14" hidden="1">#REF!</definedName>
    <definedName name="XRefCopy14Row" localSheetId="2" hidden="1">#REF!</definedName>
    <definedName name="XRefCopy14Row" localSheetId="34" hidden="1">#REF!</definedName>
    <definedName name="XRefCopy14Row" localSheetId="39" hidden="1">#REF!</definedName>
    <definedName name="XRefCopy14Row" localSheetId="12" hidden="1">#REF!</definedName>
    <definedName name="XRefCopy14Row" localSheetId="10" hidden="1">#REF!</definedName>
    <definedName name="XRefCopy14Row" localSheetId="11" hidden="1">#REF!</definedName>
    <definedName name="XRefCopy14Row" localSheetId="6" hidden="1">#REF!</definedName>
    <definedName name="XRefCopy14Row" hidden="1">#REF!</definedName>
    <definedName name="XRefCopy15" localSheetId="1" hidden="1">#REF!</definedName>
    <definedName name="XRefCopy15" localSheetId="15" hidden="1">#REF!</definedName>
    <definedName name="XRefCopy15" localSheetId="7" hidden="1">#REF!</definedName>
    <definedName name="XRefCopy15" localSheetId="14" hidden="1">#REF!</definedName>
    <definedName name="XRefCopy15" localSheetId="2" hidden="1">#REF!</definedName>
    <definedName name="XRefCopy15" localSheetId="34" hidden="1">#REF!</definedName>
    <definedName name="XRefCopy15" localSheetId="39" hidden="1">#REF!</definedName>
    <definedName name="XRefCopy15" localSheetId="12" hidden="1">#REF!</definedName>
    <definedName name="XRefCopy15" localSheetId="10" hidden="1">#REF!</definedName>
    <definedName name="XRefCopy15" localSheetId="11" hidden="1">#REF!</definedName>
    <definedName name="XRefCopy15" localSheetId="6" hidden="1">#REF!</definedName>
    <definedName name="XRefCopy15" hidden="1">#REF!</definedName>
    <definedName name="XRefCopy15Row" localSheetId="1" hidden="1">#REF!</definedName>
    <definedName name="XRefCopy15Row" localSheetId="15" hidden="1">#REF!</definedName>
    <definedName name="XRefCopy15Row" localSheetId="7" hidden="1">#REF!</definedName>
    <definedName name="XRefCopy15Row" localSheetId="14" hidden="1">#REF!</definedName>
    <definedName name="XRefCopy15Row" localSheetId="2" hidden="1">#REF!</definedName>
    <definedName name="XRefCopy15Row" localSheetId="34" hidden="1">#REF!</definedName>
    <definedName name="XRefCopy15Row" localSheetId="39" hidden="1">#REF!</definedName>
    <definedName name="XRefCopy15Row" localSheetId="12" hidden="1">#REF!</definedName>
    <definedName name="XRefCopy15Row" localSheetId="10" hidden="1">#REF!</definedName>
    <definedName name="XRefCopy15Row" localSheetId="11" hidden="1">#REF!</definedName>
    <definedName name="XRefCopy15Row" localSheetId="6" hidden="1">#REF!</definedName>
    <definedName name="XRefCopy15Row" hidden="1">#REF!</definedName>
    <definedName name="XRefCopy16" localSheetId="1" hidden="1">#REF!</definedName>
    <definedName name="XRefCopy16" localSheetId="15" hidden="1">#REF!</definedName>
    <definedName name="XRefCopy16" localSheetId="7" hidden="1">#REF!</definedName>
    <definedName name="XRefCopy16" localSheetId="14" hidden="1">#REF!</definedName>
    <definedName name="XRefCopy16" localSheetId="2" hidden="1">#REF!</definedName>
    <definedName name="XRefCopy16" localSheetId="34" hidden="1">#REF!</definedName>
    <definedName name="XRefCopy16" localSheetId="39" hidden="1">#REF!</definedName>
    <definedName name="XRefCopy16" localSheetId="12" hidden="1">#REF!</definedName>
    <definedName name="XRefCopy16" localSheetId="10" hidden="1">#REF!</definedName>
    <definedName name="XRefCopy16" localSheetId="11" hidden="1">#REF!</definedName>
    <definedName name="XRefCopy16" localSheetId="6" hidden="1">#REF!</definedName>
    <definedName name="XRefCopy16" hidden="1">#REF!</definedName>
    <definedName name="XRefCopy16Row" localSheetId="1" hidden="1">#REF!</definedName>
    <definedName name="XRefCopy16Row" localSheetId="15" hidden="1">#REF!</definedName>
    <definedName name="XRefCopy16Row" localSheetId="7" hidden="1">#REF!</definedName>
    <definedName name="XRefCopy16Row" localSheetId="14" hidden="1">#REF!</definedName>
    <definedName name="XRefCopy16Row" localSheetId="2" hidden="1">#REF!</definedName>
    <definedName name="XRefCopy16Row" localSheetId="34" hidden="1">#REF!</definedName>
    <definedName name="XRefCopy16Row" localSheetId="39" hidden="1">#REF!</definedName>
    <definedName name="XRefCopy16Row" localSheetId="12" hidden="1">#REF!</definedName>
    <definedName name="XRefCopy16Row" localSheetId="10" hidden="1">#REF!</definedName>
    <definedName name="XRefCopy16Row" localSheetId="11" hidden="1">#REF!</definedName>
    <definedName name="XRefCopy16Row" localSheetId="6" hidden="1">#REF!</definedName>
    <definedName name="XRefCopy16Row" hidden="1">#REF!</definedName>
    <definedName name="XRefCopy17" localSheetId="1" hidden="1">#REF!</definedName>
    <definedName name="XRefCopy17" localSheetId="15" hidden="1">#REF!</definedName>
    <definedName name="XRefCopy17" localSheetId="7" hidden="1">#REF!</definedName>
    <definedName name="XRefCopy17" localSheetId="14" hidden="1">#REF!</definedName>
    <definedName name="XRefCopy17" localSheetId="2" hidden="1">#REF!</definedName>
    <definedName name="XRefCopy17" localSheetId="34" hidden="1">#REF!</definedName>
    <definedName name="XRefCopy17" localSheetId="39" hidden="1">#REF!</definedName>
    <definedName name="XRefCopy17" localSheetId="12" hidden="1">#REF!</definedName>
    <definedName name="XRefCopy17" localSheetId="10" hidden="1">#REF!</definedName>
    <definedName name="XRefCopy17" localSheetId="6" hidden="1">#REF!</definedName>
    <definedName name="XRefCopy17" hidden="1">#REF!</definedName>
    <definedName name="XRefCopy17Row" localSheetId="1" hidden="1">#REF!</definedName>
    <definedName name="XRefCopy17Row" localSheetId="15" hidden="1">#REF!</definedName>
    <definedName name="XRefCopy17Row" localSheetId="7" hidden="1">#REF!</definedName>
    <definedName name="XRefCopy17Row" localSheetId="14" hidden="1">#REF!</definedName>
    <definedName name="XRefCopy17Row" localSheetId="2" hidden="1">#REF!</definedName>
    <definedName name="XRefCopy17Row" localSheetId="34" hidden="1">#REF!</definedName>
    <definedName name="XRefCopy17Row" localSheetId="39" hidden="1">#REF!</definedName>
    <definedName name="XRefCopy17Row" localSheetId="12" hidden="1">#REF!</definedName>
    <definedName name="XRefCopy17Row" localSheetId="10" hidden="1">#REF!</definedName>
    <definedName name="XRefCopy17Row" localSheetId="11" hidden="1">#REF!</definedName>
    <definedName name="XRefCopy17Row" localSheetId="6" hidden="1">#REF!</definedName>
    <definedName name="XRefCopy17Row" hidden="1">#REF!</definedName>
    <definedName name="XRefCopy18" localSheetId="1" hidden="1">#REF!</definedName>
    <definedName name="XRefCopy18" localSheetId="15" hidden="1">#REF!</definedName>
    <definedName name="XRefCopy18" localSheetId="7" hidden="1">#REF!</definedName>
    <definedName name="XRefCopy18" localSheetId="14" hidden="1">#REF!</definedName>
    <definedName name="XRefCopy18" localSheetId="2" hidden="1">#REF!</definedName>
    <definedName name="XRefCopy18" localSheetId="34" hidden="1">#REF!</definedName>
    <definedName name="XRefCopy18" localSheetId="39" hidden="1">#REF!</definedName>
    <definedName name="XRefCopy18" localSheetId="12" hidden="1">#REF!</definedName>
    <definedName name="XRefCopy18" localSheetId="10" hidden="1">#REF!</definedName>
    <definedName name="XRefCopy18" localSheetId="11" hidden="1">#REF!</definedName>
    <definedName name="XRefCopy18" localSheetId="6" hidden="1">#REF!</definedName>
    <definedName name="XRefCopy18" hidden="1">#REF!</definedName>
    <definedName name="XRefCopy18Row" localSheetId="1" hidden="1">#REF!</definedName>
    <definedName name="XRefCopy18Row" localSheetId="15" hidden="1">#REF!</definedName>
    <definedName name="XRefCopy18Row" localSheetId="7" hidden="1">#REF!</definedName>
    <definedName name="XRefCopy18Row" localSheetId="2" hidden="1">#REF!</definedName>
    <definedName name="XRefCopy18Row" localSheetId="34" hidden="1">#REF!</definedName>
    <definedName name="XRefCopy18Row" localSheetId="39" hidden="1">#REF!</definedName>
    <definedName name="XRefCopy18Row" localSheetId="12" hidden="1">#REF!</definedName>
    <definedName name="XRefCopy18Row" localSheetId="10" hidden="1">#REF!</definedName>
    <definedName name="XRefCopy18Row" localSheetId="6" hidden="1">#REF!</definedName>
    <definedName name="XRefCopy18Row" hidden="1">#REF!</definedName>
    <definedName name="XRefCopy19" localSheetId="1" hidden="1">#REF!</definedName>
    <definedName name="XRefCopy19" localSheetId="15" hidden="1">#REF!</definedName>
    <definedName name="XRefCopy19" localSheetId="7" hidden="1">#REF!</definedName>
    <definedName name="XRefCopy19" localSheetId="14" hidden="1">#REF!</definedName>
    <definedName name="XRefCopy19" localSheetId="2" hidden="1">#REF!</definedName>
    <definedName name="XRefCopy19" localSheetId="34" hidden="1">#REF!</definedName>
    <definedName name="XRefCopy19" localSheetId="39" hidden="1">#REF!</definedName>
    <definedName name="XRefCopy19" localSheetId="12" hidden="1">#REF!</definedName>
    <definedName name="XRefCopy19" localSheetId="10" hidden="1">#REF!</definedName>
    <definedName name="XRefCopy19" localSheetId="6" hidden="1">#REF!</definedName>
    <definedName name="XRefCopy19" hidden="1">#REF!</definedName>
    <definedName name="XRefCopy19Row" localSheetId="1" hidden="1">#REF!</definedName>
    <definedName name="XRefCopy19Row" localSheetId="15" hidden="1">#REF!</definedName>
    <definedName name="XRefCopy19Row" localSheetId="7" hidden="1">#REF!</definedName>
    <definedName name="XRefCopy19Row" localSheetId="14" hidden="1">#REF!</definedName>
    <definedName name="XRefCopy19Row" localSheetId="2" hidden="1">#REF!</definedName>
    <definedName name="XRefCopy19Row" localSheetId="34" hidden="1">#REF!</definedName>
    <definedName name="XRefCopy19Row" localSheetId="39" hidden="1">#REF!</definedName>
    <definedName name="XRefCopy19Row" localSheetId="12" hidden="1">#REF!</definedName>
    <definedName name="XRefCopy19Row" localSheetId="10" hidden="1">#REF!</definedName>
    <definedName name="XRefCopy19Row" localSheetId="6" hidden="1">#REF!</definedName>
    <definedName name="XRefCopy19Row" hidden="1">#REF!</definedName>
    <definedName name="XRefCopy1Row" localSheetId="1" hidden="1">#REF!</definedName>
    <definedName name="XRefCopy1Row" localSheetId="15" hidden="1">#REF!</definedName>
    <definedName name="XRefCopy1Row" localSheetId="7" hidden="1">#REF!</definedName>
    <definedName name="XRefCopy1Row" localSheetId="14" hidden="1">#REF!</definedName>
    <definedName name="XRefCopy1Row" localSheetId="2" hidden="1">#REF!</definedName>
    <definedName name="XRefCopy1Row" localSheetId="34" hidden="1">#REF!</definedName>
    <definedName name="XRefCopy1Row" localSheetId="39" hidden="1">#REF!</definedName>
    <definedName name="XRefCopy1Row" localSheetId="12" hidden="1">#REF!</definedName>
    <definedName name="XRefCopy1Row" localSheetId="10" hidden="1">#REF!</definedName>
    <definedName name="XRefCopy1Row" localSheetId="11" hidden="1">#REF!</definedName>
    <definedName name="XRefCopy1Row" localSheetId="6" hidden="1">#REF!</definedName>
    <definedName name="XRefCopy1Row" hidden="1">#REF!</definedName>
    <definedName name="XRefCopy2" localSheetId="1" hidden="1">#REF!</definedName>
    <definedName name="XRefCopy2" localSheetId="15" hidden="1">#REF!</definedName>
    <definedName name="XRefCopy2" localSheetId="7" hidden="1">#REF!</definedName>
    <definedName name="XRefCopy2" localSheetId="2" hidden="1">#REF!</definedName>
    <definedName name="XRefCopy2" localSheetId="34" hidden="1">#REF!</definedName>
    <definedName name="XRefCopy2" localSheetId="39" hidden="1">#REF!</definedName>
    <definedName name="XRefCopy2" localSheetId="12" hidden="1">#REF!</definedName>
    <definedName name="XRefCopy2" localSheetId="10" hidden="1">#REF!</definedName>
    <definedName name="XRefCopy2" localSheetId="11" hidden="1">#REF!</definedName>
    <definedName name="XRefCopy2" localSheetId="6" hidden="1">#REF!</definedName>
    <definedName name="XRefCopy2" hidden="1">#REF!</definedName>
    <definedName name="XRefCopy20" localSheetId="1" hidden="1">#REF!</definedName>
    <definedName name="XRefCopy20" localSheetId="15" hidden="1">#REF!</definedName>
    <definedName name="XRefCopy20" localSheetId="7" hidden="1">#REF!</definedName>
    <definedName name="XRefCopy20" localSheetId="14" hidden="1">#REF!</definedName>
    <definedName name="XRefCopy20" localSheetId="2" hidden="1">#REF!</definedName>
    <definedName name="XRefCopy20" localSheetId="34" hidden="1">#REF!</definedName>
    <definedName name="XRefCopy20" localSheetId="39" hidden="1">#REF!</definedName>
    <definedName name="XRefCopy20" localSheetId="12" hidden="1">#REF!</definedName>
    <definedName name="XRefCopy20" localSheetId="10" hidden="1">#REF!</definedName>
    <definedName name="XRefCopy20" localSheetId="6" hidden="1">#REF!</definedName>
    <definedName name="XRefCopy20" hidden="1">#REF!</definedName>
    <definedName name="XRefCopy20Row" localSheetId="1" hidden="1">#REF!</definedName>
    <definedName name="XRefCopy20Row" localSheetId="15" hidden="1">#REF!</definedName>
    <definedName name="XRefCopy20Row" localSheetId="7" hidden="1">#REF!</definedName>
    <definedName name="XRefCopy20Row" localSheetId="14" hidden="1">#REF!</definedName>
    <definedName name="XRefCopy20Row" localSheetId="2" hidden="1">#REF!</definedName>
    <definedName name="XRefCopy20Row" localSheetId="34" hidden="1">#REF!</definedName>
    <definedName name="XRefCopy20Row" localSheetId="39" hidden="1">#REF!</definedName>
    <definedName name="XRefCopy20Row" localSheetId="12" hidden="1">#REF!</definedName>
    <definedName name="XRefCopy20Row" localSheetId="10" hidden="1">#REF!</definedName>
    <definedName name="XRefCopy20Row" localSheetId="6" hidden="1">#REF!</definedName>
    <definedName name="XRefCopy20Row" hidden="1">#REF!</definedName>
    <definedName name="XRefCopy21" localSheetId="1" hidden="1">#REF!</definedName>
    <definedName name="XRefCopy21" localSheetId="15" hidden="1">#REF!</definedName>
    <definedName name="XRefCopy21" localSheetId="7" hidden="1">#REF!</definedName>
    <definedName name="XRefCopy21" localSheetId="14" hidden="1">#REF!</definedName>
    <definedName name="XRefCopy21" localSheetId="2" hidden="1">#REF!</definedName>
    <definedName name="XRefCopy21" localSheetId="34" hidden="1">#REF!</definedName>
    <definedName name="XRefCopy21" localSheetId="39" hidden="1">#REF!</definedName>
    <definedName name="XRefCopy21" localSheetId="12" hidden="1">#REF!</definedName>
    <definedName name="XRefCopy21" localSheetId="10" hidden="1">#REF!</definedName>
    <definedName name="XRefCopy21" localSheetId="6" hidden="1">#REF!</definedName>
    <definedName name="XRefCopy21" hidden="1">#REF!</definedName>
    <definedName name="XRefCopy21Row" localSheetId="1" hidden="1">#REF!</definedName>
    <definedName name="XRefCopy21Row" localSheetId="15" hidden="1">#REF!</definedName>
    <definedName name="XRefCopy21Row" localSheetId="7" hidden="1">#REF!</definedName>
    <definedName name="XRefCopy21Row" localSheetId="14" hidden="1">#REF!</definedName>
    <definedName name="XRefCopy21Row" localSheetId="2" hidden="1">#REF!</definedName>
    <definedName name="XRefCopy21Row" localSheetId="34" hidden="1">#REF!</definedName>
    <definedName name="XRefCopy21Row" localSheetId="39" hidden="1">#REF!</definedName>
    <definedName name="XRefCopy21Row" localSheetId="12" hidden="1">#REF!</definedName>
    <definedName name="XRefCopy21Row" localSheetId="10" hidden="1">#REF!</definedName>
    <definedName name="XRefCopy21Row" localSheetId="6" hidden="1">#REF!</definedName>
    <definedName name="XRefCopy21Row" hidden="1">#REF!</definedName>
    <definedName name="XRefCopy22" localSheetId="1" hidden="1">#REF!</definedName>
    <definedName name="XRefCopy22" localSheetId="15" hidden="1">#REF!</definedName>
    <definedName name="XRefCopy22" localSheetId="7" hidden="1">#REF!</definedName>
    <definedName name="XRefCopy22" localSheetId="14" hidden="1">#REF!</definedName>
    <definedName name="XRefCopy22" localSheetId="2" hidden="1">#REF!</definedName>
    <definedName name="XRefCopy22" localSheetId="34" hidden="1">#REF!</definedName>
    <definedName name="XRefCopy22" localSheetId="39" hidden="1">#REF!</definedName>
    <definedName name="XRefCopy22" localSheetId="12" hidden="1">#REF!</definedName>
    <definedName name="XRefCopy22" localSheetId="10" hidden="1">#REF!</definedName>
    <definedName name="XRefCopy22" localSheetId="6" hidden="1">#REF!</definedName>
    <definedName name="XRefCopy22" hidden="1">#REF!</definedName>
    <definedName name="XRefCopy22Row" localSheetId="1" hidden="1">#REF!</definedName>
    <definedName name="XRefCopy22Row" localSheetId="15" hidden="1">#REF!</definedName>
    <definedName name="XRefCopy22Row" localSheetId="7" hidden="1">#REF!</definedName>
    <definedName name="XRefCopy22Row" localSheetId="2" hidden="1">#REF!</definedName>
    <definedName name="XRefCopy22Row" localSheetId="34" hidden="1">#REF!</definedName>
    <definedName name="XRefCopy22Row" localSheetId="39" hidden="1">#REF!</definedName>
    <definedName name="XRefCopy22Row" localSheetId="12" hidden="1">#REF!</definedName>
    <definedName name="XRefCopy22Row" localSheetId="10" hidden="1">#REF!</definedName>
    <definedName name="XRefCopy22Row" localSheetId="6" hidden="1">#REF!</definedName>
    <definedName name="XRefCopy22Row" hidden="1">#REF!</definedName>
    <definedName name="XRefCopy23" localSheetId="1" hidden="1">#REF!</definedName>
    <definedName name="XRefCopy23" localSheetId="15" hidden="1">#REF!</definedName>
    <definedName name="XRefCopy23" localSheetId="7" hidden="1">#REF!</definedName>
    <definedName name="XRefCopy23" localSheetId="14" hidden="1">#REF!</definedName>
    <definedName name="XRefCopy23" localSheetId="2" hidden="1">#REF!</definedName>
    <definedName name="XRefCopy23" localSheetId="34" hidden="1">#REF!</definedName>
    <definedName name="XRefCopy23" localSheetId="39" hidden="1">#REF!</definedName>
    <definedName name="XRefCopy23" localSheetId="12" hidden="1">#REF!</definedName>
    <definedName name="XRefCopy23" localSheetId="10" hidden="1">#REF!</definedName>
    <definedName name="XRefCopy23" localSheetId="6" hidden="1">#REF!</definedName>
    <definedName name="XRefCopy23" hidden="1">#REF!</definedName>
    <definedName name="XRefCopy23Row" localSheetId="1" hidden="1">#REF!</definedName>
    <definedName name="XRefCopy23Row" localSheetId="15" hidden="1">#REF!</definedName>
    <definedName name="XRefCopy23Row" localSheetId="7" hidden="1">#REF!</definedName>
    <definedName name="XRefCopy23Row" localSheetId="14" hidden="1">#REF!</definedName>
    <definedName name="XRefCopy23Row" localSheetId="2" hidden="1">#REF!</definedName>
    <definedName name="XRefCopy23Row" localSheetId="34" hidden="1">#REF!</definedName>
    <definedName name="XRefCopy23Row" localSheetId="39" hidden="1">#REF!</definedName>
    <definedName name="XRefCopy23Row" localSheetId="12" hidden="1">#REF!</definedName>
    <definedName name="XRefCopy23Row" localSheetId="10" hidden="1">#REF!</definedName>
    <definedName name="XRefCopy23Row" localSheetId="6" hidden="1">#REF!</definedName>
    <definedName name="XRefCopy23Row" hidden="1">#REF!</definedName>
    <definedName name="XRefCopy24" localSheetId="1" hidden="1">#REF!</definedName>
    <definedName name="XRefCopy24" localSheetId="15" hidden="1">#REF!</definedName>
    <definedName name="XRefCopy24" localSheetId="7" hidden="1">#REF!</definedName>
    <definedName name="XRefCopy24" localSheetId="14" hidden="1">#REF!</definedName>
    <definedName name="XRefCopy24" localSheetId="2" hidden="1">#REF!</definedName>
    <definedName name="XRefCopy24" localSheetId="34" hidden="1">#REF!</definedName>
    <definedName name="XRefCopy24" localSheetId="39" hidden="1">#REF!</definedName>
    <definedName name="XRefCopy24" localSheetId="12" hidden="1">#REF!</definedName>
    <definedName name="XRefCopy24" localSheetId="10" hidden="1">#REF!</definedName>
    <definedName name="XRefCopy24" localSheetId="6" hidden="1">#REF!</definedName>
    <definedName name="XRefCopy24" hidden="1">#REF!</definedName>
    <definedName name="XRefCopy24Row" localSheetId="1" hidden="1">#REF!</definedName>
    <definedName name="XRefCopy24Row" localSheetId="15" hidden="1">#REF!</definedName>
    <definedName name="XRefCopy24Row" localSheetId="7" hidden="1">#REF!</definedName>
    <definedName name="XRefCopy24Row" localSheetId="14" hidden="1">#REF!</definedName>
    <definedName name="XRefCopy24Row" localSheetId="2" hidden="1">#REF!</definedName>
    <definedName name="XRefCopy24Row" localSheetId="34" hidden="1">#REF!</definedName>
    <definedName name="XRefCopy24Row" localSheetId="39" hidden="1">#REF!</definedName>
    <definedName name="XRefCopy24Row" localSheetId="12" hidden="1">#REF!</definedName>
    <definedName name="XRefCopy24Row" localSheetId="10" hidden="1">#REF!</definedName>
    <definedName name="XRefCopy24Row" localSheetId="6" hidden="1">#REF!</definedName>
    <definedName name="XRefCopy24Row" hidden="1">#REF!</definedName>
    <definedName name="XRefCopy25" localSheetId="1" hidden="1">#REF!</definedName>
    <definedName name="XRefCopy25" localSheetId="15" hidden="1">#REF!</definedName>
    <definedName name="XRefCopy25" localSheetId="7" hidden="1">#REF!</definedName>
    <definedName name="XRefCopy25" localSheetId="14" hidden="1">#REF!</definedName>
    <definedName name="XRefCopy25" localSheetId="2" hidden="1">#REF!</definedName>
    <definedName name="XRefCopy25" localSheetId="34" hidden="1">#REF!</definedName>
    <definedName name="XRefCopy25" localSheetId="39" hidden="1">#REF!</definedName>
    <definedName name="XRefCopy25" localSheetId="12" hidden="1">#REF!</definedName>
    <definedName name="XRefCopy25" localSheetId="10" hidden="1">#REF!</definedName>
    <definedName name="XRefCopy25" localSheetId="6" hidden="1">#REF!</definedName>
    <definedName name="XRefCopy25" hidden="1">#REF!</definedName>
    <definedName name="XRefCopy25Row" localSheetId="1" hidden="1">#REF!</definedName>
    <definedName name="XRefCopy25Row" localSheetId="15" hidden="1">#REF!</definedName>
    <definedName name="XRefCopy25Row" localSheetId="7" hidden="1">#REF!</definedName>
    <definedName name="XRefCopy25Row" localSheetId="14" hidden="1">#REF!</definedName>
    <definedName name="XRefCopy25Row" localSheetId="2" hidden="1">#REF!</definedName>
    <definedName name="XRefCopy25Row" localSheetId="34" hidden="1">#REF!</definedName>
    <definedName name="XRefCopy25Row" localSheetId="39" hidden="1">#REF!</definedName>
    <definedName name="XRefCopy25Row" localSheetId="12" hidden="1">#REF!</definedName>
    <definedName name="XRefCopy25Row" localSheetId="10" hidden="1">#REF!</definedName>
    <definedName name="XRefCopy25Row" localSheetId="6" hidden="1">#REF!</definedName>
    <definedName name="XRefCopy25Row" hidden="1">#REF!</definedName>
    <definedName name="XRefCopy26" localSheetId="1" hidden="1">#REF!</definedName>
    <definedName name="XRefCopy26" localSheetId="15" hidden="1">#REF!</definedName>
    <definedName name="XRefCopy26" localSheetId="7" hidden="1">#REF!</definedName>
    <definedName name="XRefCopy26" localSheetId="14" hidden="1">#REF!</definedName>
    <definedName name="XRefCopy26" localSheetId="2" hidden="1">#REF!</definedName>
    <definedName name="XRefCopy26" localSheetId="34" hidden="1">#REF!</definedName>
    <definedName name="XRefCopy26" localSheetId="39" hidden="1">#REF!</definedName>
    <definedName name="XRefCopy26" localSheetId="12" hidden="1">#REF!</definedName>
    <definedName name="XRefCopy26" localSheetId="10" hidden="1">#REF!</definedName>
    <definedName name="XRefCopy26" localSheetId="6" hidden="1">#REF!</definedName>
    <definedName name="XRefCopy26" hidden="1">#REF!</definedName>
    <definedName name="XRefCopy26Row" localSheetId="1" hidden="1">#REF!</definedName>
    <definedName name="XRefCopy26Row" localSheetId="15" hidden="1">#REF!</definedName>
    <definedName name="XRefCopy26Row" localSheetId="7" hidden="1">#REF!</definedName>
    <definedName name="XRefCopy26Row" localSheetId="14" hidden="1">#REF!</definedName>
    <definedName name="XRefCopy26Row" localSheetId="2" hidden="1">#REF!</definedName>
    <definedName name="XRefCopy26Row" localSheetId="34" hidden="1">#REF!</definedName>
    <definedName name="XRefCopy26Row" localSheetId="39" hidden="1">#REF!</definedName>
    <definedName name="XRefCopy26Row" localSheetId="12" hidden="1">#REF!</definedName>
    <definedName name="XRefCopy26Row" localSheetId="10" hidden="1">#REF!</definedName>
    <definedName name="XRefCopy26Row" localSheetId="6" hidden="1">#REF!</definedName>
    <definedName name="XRefCopy26Row" hidden="1">#REF!</definedName>
    <definedName name="XRefCopy27" localSheetId="1" hidden="1">#REF!</definedName>
    <definedName name="XRefCopy27" localSheetId="15" hidden="1">#REF!</definedName>
    <definedName name="XRefCopy27" localSheetId="7" hidden="1">#REF!</definedName>
    <definedName name="XRefCopy27" localSheetId="2" hidden="1">#REF!</definedName>
    <definedName name="XRefCopy27" localSheetId="34" hidden="1">#REF!</definedName>
    <definedName name="XRefCopy27" localSheetId="39" hidden="1">#REF!</definedName>
    <definedName name="XRefCopy27" localSheetId="12" hidden="1">#REF!</definedName>
    <definedName name="XRefCopy27" localSheetId="10" hidden="1">#REF!</definedName>
    <definedName name="XRefCopy27" localSheetId="11" hidden="1">#REF!</definedName>
    <definedName name="XRefCopy27" localSheetId="6" hidden="1">#REF!</definedName>
    <definedName name="XRefCopy27" hidden="1">#REF!</definedName>
    <definedName name="XRefCopy27Row" localSheetId="1" hidden="1">#REF!</definedName>
    <definedName name="XRefCopy27Row" localSheetId="15" hidden="1">#REF!</definedName>
    <definedName name="XRefCopy27Row" localSheetId="7" hidden="1">#REF!</definedName>
    <definedName name="XRefCopy27Row" localSheetId="14" hidden="1">#REF!</definedName>
    <definedName name="XRefCopy27Row" localSheetId="2" hidden="1">#REF!</definedName>
    <definedName name="XRefCopy27Row" localSheetId="34" hidden="1">#REF!</definedName>
    <definedName name="XRefCopy27Row" localSheetId="39" hidden="1">#REF!</definedName>
    <definedName name="XRefCopy27Row" localSheetId="12" hidden="1">#REF!</definedName>
    <definedName name="XRefCopy27Row" localSheetId="10" hidden="1">#REF!</definedName>
    <definedName name="XRefCopy27Row" localSheetId="6" hidden="1">#REF!</definedName>
    <definedName name="XRefCopy27Row" hidden="1">#REF!</definedName>
    <definedName name="XRefCopy28" localSheetId="1" hidden="1">#REF!</definedName>
    <definedName name="XRefCopy28" localSheetId="15" hidden="1">#REF!</definedName>
    <definedName name="XRefCopy28" localSheetId="7" hidden="1">#REF!</definedName>
    <definedName name="XRefCopy28" localSheetId="2" hidden="1">#REF!</definedName>
    <definedName name="XRefCopy28" localSheetId="34" hidden="1">#REF!</definedName>
    <definedName name="XRefCopy28" localSheetId="39" hidden="1">#REF!</definedName>
    <definedName name="XRefCopy28" localSheetId="12" hidden="1">#REF!</definedName>
    <definedName name="XRefCopy28" localSheetId="10" hidden="1">#REF!</definedName>
    <definedName name="XRefCopy28" localSheetId="6" hidden="1">#REF!</definedName>
    <definedName name="XRefCopy28" hidden="1">#REF!</definedName>
    <definedName name="XRefCopy28Row" localSheetId="1" hidden="1">#REF!</definedName>
    <definedName name="XRefCopy28Row" localSheetId="15" hidden="1">#REF!</definedName>
    <definedName name="XRefCopy28Row" localSheetId="7" hidden="1">#REF!</definedName>
    <definedName name="XRefCopy28Row" localSheetId="14" hidden="1">#REF!</definedName>
    <definedName name="XRefCopy28Row" localSheetId="2" hidden="1">#REF!</definedName>
    <definedName name="XRefCopy28Row" localSheetId="34" hidden="1">#REF!</definedName>
    <definedName name="XRefCopy28Row" localSheetId="39" hidden="1">#REF!</definedName>
    <definedName name="XRefCopy28Row" localSheetId="12" hidden="1">#REF!</definedName>
    <definedName name="XRefCopy28Row" localSheetId="10" hidden="1">#REF!</definedName>
    <definedName name="XRefCopy28Row" localSheetId="6" hidden="1">#REF!</definedName>
    <definedName name="XRefCopy28Row" hidden="1">#REF!</definedName>
    <definedName name="XRefCopy29Row" localSheetId="1" hidden="1">#REF!</definedName>
    <definedName name="XRefCopy29Row" localSheetId="15" hidden="1">#REF!</definedName>
    <definedName name="XRefCopy29Row" localSheetId="7" hidden="1">#REF!</definedName>
    <definedName name="XRefCopy29Row" localSheetId="14" hidden="1">#REF!</definedName>
    <definedName name="XRefCopy29Row" localSheetId="2" hidden="1">#REF!</definedName>
    <definedName name="XRefCopy29Row" localSheetId="34" hidden="1">#REF!</definedName>
    <definedName name="XRefCopy29Row" localSheetId="39" hidden="1">#REF!</definedName>
    <definedName name="XRefCopy29Row" localSheetId="12" hidden="1">#REF!</definedName>
    <definedName name="XRefCopy29Row" localSheetId="10" hidden="1">#REF!</definedName>
    <definedName name="XRefCopy29Row" localSheetId="6" hidden="1">#REF!</definedName>
    <definedName name="XRefCopy29Row" hidden="1">#REF!</definedName>
    <definedName name="XRefCopy2Row" localSheetId="1" hidden="1">#REF!</definedName>
    <definedName name="XRefCopy2Row" localSheetId="15" hidden="1">#REF!</definedName>
    <definedName name="XRefCopy2Row" localSheetId="7" hidden="1">#REF!</definedName>
    <definedName name="XRefCopy2Row" localSheetId="2" hidden="1">#REF!</definedName>
    <definedName name="XRefCopy2Row" localSheetId="34" hidden="1">#REF!</definedName>
    <definedName name="XRefCopy2Row" localSheetId="39" hidden="1">#REF!</definedName>
    <definedName name="XRefCopy2Row" localSheetId="12" hidden="1">#REF!</definedName>
    <definedName name="XRefCopy2Row" localSheetId="10" hidden="1">#REF!</definedName>
    <definedName name="XRefCopy2Row" localSheetId="11" hidden="1">#REF!</definedName>
    <definedName name="XRefCopy2Row" localSheetId="6" hidden="1">#REF!</definedName>
    <definedName name="XRefCopy2Row" hidden="1">#REF!</definedName>
    <definedName name="XRefCopy3" localSheetId="1" hidden="1">#REF!</definedName>
    <definedName name="XRefCopy3" localSheetId="15" hidden="1">#REF!</definedName>
    <definedName name="XRefCopy3" localSheetId="7" hidden="1">#REF!</definedName>
    <definedName name="XRefCopy3" localSheetId="14" hidden="1">#REF!</definedName>
    <definedName name="XRefCopy3" localSheetId="2" hidden="1">#REF!</definedName>
    <definedName name="XRefCopy3" localSheetId="34" hidden="1">#REF!</definedName>
    <definedName name="XRefCopy3" localSheetId="39" hidden="1">#REF!</definedName>
    <definedName name="XRefCopy3" localSheetId="12" hidden="1">#REF!</definedName>
    <definedName name="XRefCopy3" localSheetId="10" hidden="1">#REF!</definedName>
    <definedName name="XRefCopy3" localSheetId="11" hidden="1">#REF!</definedName>
    <definedName name="XRefCopy3" localSheetId="6" hidden="1">#REF!</definedName>
    <definedName name="XRefCopy3" hidden="1">#REF!</definedName>
    <definedName name="XRefCopy30" localSheetId="1" hidden="1">#REF!</definedName>
    <definedName name="XRefCopy30" localSheetId="15" hidden="1">#REF!</definedName>
    <definedName name="XRefCopy30" localSheetId="7" hidden="1">#REF!</definedName>
    <definedName name="XRefCopy30" localSheetId="14" hidden="1">#REF!</definedName>
    <definedName name="XRefCopy30" localSheetId="2" hidden="1">#REF!</definedName>
    <definedName name="XRefCopy30" localSheetId="34" hidden="1">#REF!</definedName>
    <definedName name="XRefCopy30" localSheetId="39" hidden="1">#REF!</definedName>
    <definedName name="XRefCopy30" localSheetId="12" hidden="1">#REF!</definedName>
    <definedName name="XRefCopy30" localSheetId="10" hidden="1">#REF!</definedName>
    <definedName name="XRefCopy30" localSheetId="6" hidden="1">#REF!</definedName>
    <definedName name="XRefCopy30" hidden="1">#REF!</definedName>
    <definedName name="XRefCopy30Row" localSheetId="1" hidden="1">#REF!</definedName>
    <definedName name="XRefCopy30Row" localSheetId="15" hidden="1">#REF!</definedName>
    <definedName name="XRefCopy30Row" localSheetId="7" hidden="1">#REF!</definedName>
    <definedName name="XRefCopy30Row" localSheetId="14" hidden="1">#REF!</definedName>
    <definedName name="XRefCopy30Row" localSheetId="2" hidden="1">#REF!</definedName>
    <definedName name="XRefCopy30Row" localSheetId="34" hidden="1">#REF!</definedName>
    <definedName name="XRefCopy30Row" localSheetId="39" hidden="1">#REF!</definedName>
    <definedName name="XRefCopy30Row" localSheetId="12" hidden="1">#REF!</definedName>
    <definedName name="XRefCopy30Row" localSheetId="10" hidden="1">#REF!</definedName>
    <definedName name="XRefCopy30Row" localSheetId="6" hidden="1">#REF!</definedName>
    <definedName name="XRefCopy30Row" hidden="1">#REF!</definedName>
    <definedName name="XRefCopy31" localSheetId="1" hidden="1">#REF!</definedName>
    <definedName name="XRefCopy31" localSheetId="15" hidden="1">#REF!</definedName>
    <definedName name="XRefCopy31" localSheetId="7" hidden="1">#REF!</definedName>
    <definedName name="XRefCopy31" localSheetId="14" hidden="1">#REF!</definedName>
    <definedName name="XRefCopy31" localSheetId="2" hidden="1">#REF!</definedName>
    <definedName name="XRefCopy31" localSheetId="34" hidden="1">#REF!</definedName>
    <definedName name="XRefCopy31" localSheetId="39" hidden="1">#REF!</definedName>
    <definedName name="XRefCopy31" localSheetId="12" hidden="1">#REF!</definedName>
    <definedName name="XRefCopy31" localSheetId="10" hidden="1">#REF!</definedName>
    <definedName name="XRefCopy31" localSheetId="6" hidden="1">#REF!</definedName>
    <definedName name="XRefCopy31" hidden="1">#REF!</definedName>
    <definedName name="XRefCopy31Row" localSheetId="1" hidden="1">#REF!</definedName>
    <definedName name="XRefCopy31Row" localSheetId="15" hidden="1">#REF!</definedName>
    <definedName name="XRefCopy31Row" localSheetId="7" hidden="1">#REF!</definedName>
    <definedName name="XRefCopy31Row" localSheetId="14" hidden="1">#REF!</definedName>
    <definedName name="XRefCopy31Row" localSheetId="2" hidden="1">#REF!</definedName>
    <definedName name="XRefCopy31Row" localSheetId="34" hidden="1">#REF!</definedName>
    <definedName name="XRefCopy31Row" localSheetId="39" hidden="1">#REF!</definedName>
    <definedName name="XRefCopy31Row" localSheetId="12" hidden="1">#REF!</definedName>
    <definedName name="XRefCopy31Row" localSheetId="10" hidden="1">#REF!</definedName>
    <definedName name="XRefCopy31Row" localSheetId="6" hidden="1">#REF!</definedName>
    <definedName name="XRefCopy31Row" hidden="1">#REF!</definedName>
    <definedName name="XRefCopy32" localSheetId="1" hidden="1">#REF!</definedName>
    <definedName name="XRefCopy32" localSheetId="15" hidden="1">#REF!</definedName>
    <definedName name="XRefCopy32" localSheetId="7" hidden="1">#REF!</definedName>
    <definedName name="XRefCopy32" localSheetId="14" hidden="1">#REF!</definedName>
    <definedName name="XRefCopy32" localSheetId="2" hidden="1">#REF!</definedName>
    <definedName name="XRefCopy32" localSheetId="34" hidden="1">#REF!</definedName>
    <definedName name="XRefCopy32" localSheetId="39" hidden="1">#REF!</definedName>
    <definedName name="XRefCopy32" localSheetId="12" hidden="1">#REF!</definedName>
    <definedName name="XRefCopy32" localSheetId="10" hidden="1">#REF!</definedName>
    <definedName name="XRefCopy32" localSheetId="6" hidden="1">#REF!</definedName>
    <definedName name="XRefCopy32" hidden="1">#REF!</definedName>
    <definedName name="XRefCopy32Row" localSheetId="1" hidden="1">#REF!</definedName>
    <definedName name="XRefCopy32Row" localSheetId="15" hidden="1">#REF!</definedName>
    <definedName name="XRefCopy32Row" localSheetId="7" hidden="1">#REF!</definedName>
    <definedName name="XRefCopy32Row" localSheetId="14" hidden="1">#REF!</definedName>
    <definedName name="XRefCopy32Row" localSheetId="2" hidden="1">#REF!</definedName>
    <definedName name="XRefCopy32Row" localSheetId="34" hidden="1">#REF!</definedName>
    <definedName name="XRefCopy32Row" localSheetId="39" hidden="1">#REF!</definedName>
    <definedName name="XRefCopy32Row" localSheetId="12" hidden="1">#REF!</definedName>
    <definedName name="XRefCopy32Row" localSheetId="10" hidden="1">#REF!</definedName>
    <definedName name="XRefCopy32Row" localSheetId="6" hidden="1">#REF!</definedName>
    <definedName name="XRefCopy32Row" hidden="1">#REF!</definedName>
    <definedName name="XRefCopy33" localSheetId="1" hidden="1">#REF!</definedName>
    <definedName name="XRefCopy33" localSheetId="15" hidden="1">#REF!</definedName>
    <definedName name="XRefCopy33" localSheetId="7" hidden="1">#REF!</definedName>
    <definedName name="XRefCopy33" localSheetId="14" hidden="1">#REF!</definedName>
    <definedName name="XRefCopy33" localSheetId="2" hidden="1">#REF!</definedName>
    <definedName name="XRefCopy33" localSheetId="34" hidden="1">#REF!</definedName>
    <definedName name="XRefCopy33" localSheetId="39" hidden="1">#REF!</definedName>
    <definedName name="XRefCopy33" localSheetId="12" hidden="1">#REF!</definedName>
    <definedName name="XRefCopy33" localSheetId="10" hidden="1">#REF!</definedName>
    <definedName name="XRefCopy33" localSheetId="6" hidden="1">#REF!</definedName>
    <definedName name="XRefCopy33" hidden="1">#REF!</definedName>
    <definedName name="XRefCopy33Row" localSheetId="1" hidden="1">#REF!</definedName>
    <definedName name="XRefCopy33Row" localSheetId="15" hidden="1">#REF!</definedName>
    <definedName name="XRefCopy33Row" localSheetId="7" hidden="1">#REF!</definedName>
    <definedName name="XRefCopy33Row" localSheetId="14" hidden="1">#REF!</definedName>
    <definedName name="XRefCopy33Row" localSheetId="2" hidden="1">#REF!</definedName>
    <definedName name="XRefCopy33Row" localSheetId="34" hidden="1">#REF!</definedName>
    <definedName name="XRefCopy33Row" localSheetId="39" hidden="1">#REF!</definedName>
    <definedName name="XRefCopy33Row" localSheetId="12" hidden="1">#REF!</definedName>
    <definedName name="XRefCopy33Row" localSheetId="10" hidden="1">#REF!</definedName>
    <definedName name="XRefCopy33Row" localSheetId="6" hidden="1">#REF!</definedName>
    <definedName name="XRefCopy33Row" hidden="1">#REF!</definedName>
    <definedName name="XRefCopy34" localSheetId="1" hidden="1">#REF!</definedName>
    <definedName name="XRefCopy34" localSheetId="15" hidden="1">#REF!</definedName>
    <definedName name="XRefCopy34" localSheetId="7" hidden="1">#REF!</definedName>
    <definedName name="XRefCopy34" localSheetId="14" hidden="1">#REF!</definedName>
    <definedName name="XRefCopy34" localSheetId="2" hidden="1">#REF!</definedName>
    <definedName name="XRefCopy34" localSheetId="34" hidden="1">#REF!</definedName>
    <definedName name="XRefCopy34" localSheetId="39" hidden="1">#REF!</definedName>
    <definedName name="XRefCopy34" localSheetId="12" hidden="1">#REF!</definedName>
    <definedName name="XRefCopy34" localSheetId="10" hidden="1">#REF!</definedName>
    <definedName name="XRefCopy34" localSheetId="6" hidden="1">#REF!</definedName>
    <definedName name="XRefCopy34" hidden="1">#REF!</definedName>
    <definedName name="XRefCopy34Row" localSheetId="1" hidden="1">#REF!</definedName>
    <definedName name="XRefCopy34Row" localSheetId="15" hidden="1">#REF!</definedName>
    <definedName name="XRefCopy34Row" localSheetId="7" hidden="1">#REF!</definedName>
    <definedName name="XRefCopy34Row" localSheetId="14" hidden="1">#REF!</definedName>
    <definedName name="XRefCopy34Row" localSheetId="2" hidden="1">#REF!</definedName>
    <definedName name="XRefCopy34Row" localSheetId="34" hidden="1">#REF!</definedName>
    <definedName name="XRefCopy34Row" localSheetId="39" hidden="1">#REF!</definedName>
    <definedName name="XRefCopy34Row" localSheetId="12" hidden="1">#REF!</definedName>
    <definedName name="XRefCopy34Row" localSheetId="10" hidden="1">#REF!</definedName>
    <definedName name="XRefCopy34Row" localSheetId="6" hidden="1">#REF!</definedName>
    <definedName name="XRefCopy34Row" hidden="1">#REF!</definedName>
    <definedName name="XRefCopy35" localSheetId="1" hidden="1">#REF!</definedName>
    <definedName name="XRefCopy35" localSheetId="15" hidden="1">#REF!</definedName>
    <definedName name="XRefCopy35" localSheetId="7" hidden="1">#REF!</definedName>
    <definedName name="XRefCopy35" localSheetId="14" hidden="1">#REF!</definedName>
    <definedName name="XRefCopy35" localSheetId="2" hidden="1">#REF!</definedName>
    <definedName name="XRefCopy35" localSheetId="34" hidden="1">#REF!</definedName>
    <definedName name="XRefCopy35" localSheetId="39" hidden="1">#REF!</definedName>
    <definedName name="XRefCopy35" localSheetId="12" hidden="1">#REF!</definedName>
    <definedName name="XRefCopy35" localSheetId="10" hidden="1">#REF!</definedName>
    <definedName name="XRefCopy35" localSheetId="6" hidden="1">#REF!</definedName>
    <definedName name="XRefCopy35" hidden="1">#REF!</definedName>
    <definedName name="XRefCopy35Row" localSheetId="1" hidden="1">#REF!</definedName>
    <definedName name="XRefCopy35Row" localSheetId="15" hidden="1">#REF!</definedName>
    <definedName name="XRefCopy35Row" localSheetId="7" hidden="1">#REF!</definedName>
    <definedName name="XRefCopy35Row" localSheetId="14" hidden="1">#REF!</definedName>
    <definedName name="XRefCopy35Row" localSheetId="2" hidden="1">#REF!</definedName>
    <definedName name="XRefCopy35Row" localSheetId="34" hidden="1">#REF!</definedName>
    <definedName name="XRefCopy35Row" localSheetId="39" hidden="1">#REF!</definedName>
    <definedName name="XRefCopy35Row" localSheetId="12" hidden="1">#REF!</definedName>
    <definedName name="XRefCopy35Row" localSheetId="10" hidden="1">#REF!</definedName>
    <definedName name="XRefCopy35Row" localSheetId="6" hidden="1">#REF!</definedName>
    <definedName name="XRefCopy35Row" hidden="1">#REF!</definedName>
    <definedName name="XRefCopy36" localSheetId="1" hidden="1">#REF!</definedName>
    <definedName name="XRefCopy36" localSheetId="15" hidden="1">#REF!</definedName>
    <definedName name="XRefCopy36" localSheetId="7" hidden="1">#REF!</definedName>
    <definedName name="XRefCopy36" localSheetId="14" hidden="1">#REF!</definedName>
    <definedName name="XRefCopy36" localSheetId="2" hidden="1">#REF!</definedName>
    <definedName name="XRefCopy36" localSheetId="34" hidden="1">#REF!</definedName>
    <definedName name="XRefCopy36" localSheetId="39" hidden="1">#REF!</definedName>
    <definedName name="XRefCopy36" localSheetId="12" hidden="1">#REF!</definedName>
    <definedName name="XRefCopy36" localSheetId="10" hidden="1">#REF!</definedName>
    <definedName name="XRefCopy36" localSheetId="6" hidden="1">#REF!</definedName>
    <definedName name="XRefCopy36" hidden="1">#REF!</definedName>
    <definedName name="XRefCopy36Row" localSheetId="1" hidden="1">#REF!</definedName>
    <definedName name="XRefCopy36Row" localSheetId="15" hidden="1">#REF!</definedName>
    <definedName name="XRefCopy36Row" localSheetId="7" hidden="1">#REF!</definedName>
    <definedName name="XRefCopy36Row" localSheetId="14" hidden="1">#REF!</definedName>
    <definedName name="XRefCopy36Row" localSheetId="2" hidden="1">#REF!</definedName>
    <definedName name="XRefCopy36Row" localSheetId="34" hidden="1">#REF!</definedName>
    <definedName name="XRefCopy36Row" localSheetId="39" hidden="1">#REF!</definedName>
    <definedName name="XRefCopy36Row" localSheetId="12" hidden="1">#REF!</definedName>
    <definedName name="XRefCopy36Row" localSheetId="10" hidden="1">#REF!</definedName>
    <definedName name="XRefCopy36Row" localSheetId="6" hidden="1">#REF!</definedName>
    <definedName name="XRefCopy36Row" hidden="1">#REF!</definedName>
    <definedName name="XRefCopy37" localSheetId="1" hidden="1">#REF!</definedName>
    <definedName name="XRefCopy37" localSheetId="15" hidden="1">#REF!</definedName>
    <definedName name="XRefCopy37" localSheetId="7" hidden="1">#REF!</definedName>
    <definedName name="XRefCopy37" localSheetId="14" hidden="1">#REF!</definedName>
    <definedName name="XRefCopy37" localSheetId="2" hidden="1">#REF!</definedName>
    <definedName name="XRefCopy37" localSheetId="34" hidden="1">#REF!</definedName>
    <definedName name="XRefCopy37" localSheetId="39" hidden="1">#REF!</definedName>
    <definedName name="XRefCopy37" localSheetId="12" hidden="1">#REF!</definedName>
    <definedName name="XRefCopy37" localSheetId="10" hidden="1">#REF!</definedName>
    <definedName name="XRefCopy37" localSheetId="6" hidden="1">#REF!</definedName>
    <definedName name="XRefCopy37" hidden="1">#REF!</definedName>
    <definedName name="XRefCopy37Row" localSheetId="1" hidden="1">#REF!</definedName>
    <definedName name="XRefCopy37Row" localSheetId="15" hidden="1">#REF!</definedName>
    <definedName name="XRefCopy37Row" localSheetId="7" hidden="1">#REF!</definedName>
    <definedName name="XRefCopy37Row" localSheetId="14" hidden="1">#REF!</definedName>
    <definedName name="XRefCopy37Row" localSheetId="2" hidden="1">#REF!</definedName>
    <definedName name="XRefCopy37Row" localSheetId="34" hidden="1">#REF!</definedName>
    <definedName name="XRefCopy37Row" localSheetId="39" hidden="1">#REF!</definedName>
    <definedName name="XRefCopy37Row" localSheetId="12" hidden="1">#REF!</definedName>
    <definedName name="XRefCopy37Row" localSheetId="10" hidden="1">#REF!</definedName>
    <definedName name="XRefCopy37Row" localSheetId="6" hidden="1">#REF!</definedName>
    <definedName name="XRefCopy37Row" hidden="1">#REF!</definedName>
    <definedName name="XRefCopy38" localSheetId="1" hidden="1">#REF!</definedName>
    <definedName name="XRefCopy38" localSheetId="15" hidden="1">#REF!</definedName>
    <definedName name="XRefCopy38" localSheetId="7" hidden="1">#REF!</definedName>
    <definedName name="XRefCopy38" localSheetId="14" hidden="1">#REF!</definedName>
    <definedName name="XRefCopy38" localSheetId="2" hidden="1">#REF!</definedName>
    <definedName name="XRefCopy38" localSheetId="34" hidden="1">#REF!</definedName>
    <definedName name="XRefCopy38" localSheetId="39" hidden="1">#REF!</definedName>
    <definedName name="XRefCopy38" localSheetId="12" hidden="1">#REF!</definedName>
    <definedName name="XRefCopy38" localSheetId="10" hidden="1">#REF!</definedName>
    <definedName name="XRefCopy38" localSheetId="6" hidden="1">#REF!</definedName>
    <definedName name="XRefCopy38" hidden="1">#REF!</definedName>
    <definedName name="XRefCopy38Row" localSheetId="1" hidden="1">#REF!</definedName>
    <definedName name="XRefCopy38Row" localSheetId="15" hidden="1">#REF!</definedName>
    <definedName name="XRefCopy38Row" localSheetId="7" hidden="1">#REF!</definedName>
    <definedName name="XRefCopy38Row" localSheetId="14" hidden="1">#REF!</definedName>
    <definedName name="XRefCopy38Row" localSheetId="2" hidden="1">#REF!</definedName>
    <definedName name="XRefCopy38Row" localSheetId="34" hidden="1">#REF!</definedName>
    <definedName name="XRefCopy38Row" localSheetId="39" hidden="1">#REF!</definedName>
    <definedName name="XRefCopy38Row" localSheetId="12" hidden="1">#REF!</definedName>
    <definedName name="XRefCopy38Row" localSheetId="10" hidden="1">#REF!</definedName>
    <definedName name="XRefCopy38Row" localSheetId="6" hidden="1">#REF!</definedName>
    <definedName name="XRefCopy38Row" hidden="1">#REF!</definedName>
    <definedName name="XRefCopy39" localSheetId="1" hidden="1">#REF!</definedName>
    <definedName name="XRefCopy39" localSheetId="15" hidden="1">#REF!</definedName>
    <definedName name="XRefCopy39" localSheetId="7" hidden="1">#REF!</definedName>
    <definedName name="XRefCopy39" localSheetId="14" hidden="1">#REF!</definedName>
    <definedName name="XRefCopy39" localSheetId="2" hidden="1">#REF!</definedName>
    <definedName name="XRefCopy39" localSheetId="34" hidden="1">#REF!</definedName>
    <definedName name="XRefCopy39" localSheetId="39" hidden="1">#REF!</definedName>
    <definedName name="XRefCopy39" localSheetId="12" hidden="1">#REF!</definedName>
    <definedName name="XRefCopy39" localSheetId="10" hidden="1">#REF!</definedName>
    <definedName name="XRefCopy39" localSheetId="6" hidden="1">#REF!</definedName>
    <definedName name="XRefCopy39" hidden="1">#REF!</definedName>
    <definedName name="XRefCopy39Row" localSheetId="1" hidden="1">#REF!</definedName>
    <definedName name="XRefCopy39Row" localSheetId="15" hidden="1">#REF!</definedName>
    <definedName name="XRefCopy39Row" localSheetId="7" hidden="1">#REF!</definedName>
    <definedName name="XRefCopy39Row" localSheetId="14" hidden="1">#REF!</definedName>
    <definedName name="XRefCopy39Row" localSheetId="2" hidden="1">#REF!</definedName>
    <definedName name="XRefCopy39Row" localSheetId="34" hidden="1">#REF!</definedName>
    <definedName name="XRefCopy39Row" localSheetId="39" hidden="1">#REF!</definedName>
    <definedName name="XRefCopy39Row" localSheetId="12" hidden="1">#REF!</definedName>
    <definedName name="XRefCopy39Row" localSheetId="10" hidden="1">#REF!</definedName>
    <definedName name="XRefCopy39Row" localSheetId="6" hidden="1">#REF!</definedName>
    <definedName name="XRefCopy39Row" hidden="1">#REF!</definedName>
    <definedName name="XRefCopy3Row" localSheetId="1" hidden="1">#REF!</definedName>
    <definedName name="XRefCopy3Row" localSheetId="15" hidden="1">#REF!</definedName>
    <definedName name="XRefCopy3Row" localSheetId="7" hidden="1">#REF!</definedName>
    <definedName name="XRefCopy3Row" localSheetId="14" hidden="1">#REF!</definedName>
    <definedName name="XRefCopy3Row" localSheetId="2" hidden="1">#REF!</definedName>
    <definedName name="XRefCopy3Row" localSheetId="34" hidden="1">#REF!</definedName>
    <definedName name="XRefCopy3Row" localSheetId="39" hidden="1">#REF!</definedName>
    <definedName name="XRefCopy3Row" localSheetId="12" hidden="1">#REF!</definedName>
    <definedName name="XRefCopy3Row" localSheetId="10" hidden="1">#REF!</definedName>
    <definedName name="XRefCopy3Row" localSheetId="11" hidden="1">#REF!</definedName>
    <definedName name="XRefCopy3Row" localSheetId="6" hidden="1">#REF!</definedName>
    <definedName name="XRefCopy3Row" hidden="1">#REF!</definedName>
    <definedName name="XRefCopy4" localSheetId="1" hidden="1">#REF!</definedName>
    <definedName name="XRefCopy4" localSheetId="15" hidden="1">#REF!</definedName>
    <definedName name="XRefCopy4" localSheetId="7" hidden="1">#REF!</definedName>
    <definedName name="XRefCopy4" localSheetId="14" hidden="1">#REF!</definedName>
    <definedName name="XRefCopy4" localSheetId="2" hidden="1">#REF!</definedName>
    <definedName name="XRefCopy4" localSheetId="34" hidden="1">#REF!</definedName>
    <definedName name="XRefCopy4" localSheetId="39" hidden="1">#REF!</definedName>
    <definedName name="XRefCopy4" localSheetId="12" hidden="1">#REF!</definedName>
    <definedName name="XRefCopy4" localSheetId="10" hidden="1">#REF!</definedName>
    <definedName name="XRefCopy4" localSheetId="11" hidden="1">#REF!</definedName>
    <definedName name="XRefCopy4" localSheetId="6" hidden="1">#REF!</definedName>
    <definedName name="XRefCopy4" hidden="1">#REF!</definedName>
    <definedName name="XRefCopy40" localSheetId="1" hidden="1">#REF!</definedName>
    <definedName name="XRefCopy40" localSheetId="15" hidden="1">#REF!</definedName>
    <definedName name="XRefCopy40" localSheetId="7" hidden="1">#REF!</definedName>
    <definedName name="XRefCopy40" localSheetId="14" hidden="1">#REF!</definedName>
    <definedName name="XRefCopy40" localSheetId="2" hidden="1">#REF!</definedName>
    <definedName name="XRefCopy40" localSheetId="34" hidden="1">#REF!</definedName>
    <definedName name="XRefCopy40" localSheetId="39" hidden="1">#REF!</definedName>
    <definedName name="XRefCopy40" localSheetId="12" hidden="1">#REF!</definedName>
    <definedName name="XRefCopy40" localSheetId="10" hidden="1">#REF!</definedName>
    <definedName name="XRefCopy40" localSheetId="6" hidden="1">#REF!</definedName>
    <definedName name="XRefCopy40" hidden="1">#REF!</definedName>
    <definedName name="XRefCopy41" localSheetId="1" hidden="1">#REF!</definedName>
    <definedName name="XRefCopy41" localSheetId="15" hidden="1">#REF!</definedName>
    <definedName name="XRefCopy41" localSheetId="7" hidden="1">#REF!</definedName>
    <definedName name="XRefCopy41" localSheetId="14" hidden="1">#REF!</definedName>
    <definedName name="XRefCopy41" localSheetId="2" hidden="1">#REF!</definedName>
    <definedName name="XRefCopy41" localSheetId="34" hidden="1">#REF!</definedName>
    <definedName name="XRefCopy41" localSheetId="39" hidden="1">#REF!</definedName>
    <definedName name="XRefCopy41" localSheetId="12" hidden="1">#REF!</definedName>
    <definedName name="XRefCopy41" localSheetId="10" hidden="1">#REF!</definedName>
    <definedName name="XRefCopy41" localSheetId="6" hidden="1">#REF!</definedName>
    <definedName name="XRefCopy41" hidden="1">#REF!</definedName>
    <definedName name="XRefCopy41Row" localSheetId="1" hidden="1">#REF!</definedName>
    <definedName name="XRefCopy41Row" localSheetId="15" hidden="1">#REF!</definedName>
    <definedName name="XRefCopy41Row" localSheetId="7" hidden="1">#REF!</definedName>
    <definedName name="XRefCopy41Row" localSheetId="14" hidden="1">#REF!</definedName>
    <definedName name="XRefCopy41Row" localSheetId="2" hidden="1">#REF!</definedName>
    <definedName name="XRefCopy41Row" localSheetId="34" hidden="1">#REF!</definedName>
    <definedName name="XRefCopy41Row" localSheetId="39" hidden="1">#REF!</definedName>
    <definedName name="XRefCopy41Row" localSheetId="12" hidden="1">#REF!</definedName>
    <definedName name="XRefCopy41Row" localSheetId="10" hidden="1">#REF!</definedName>
    <definedName name="XRefCopy41Row" localSheetId="6" hidden="1">#REF!</definedName>
    <definedName name="XRefCopy41Row" hidden="1">#REF!</definedName>
    <definedName name="XRefCopy42" localSheetId="1" hidden="1">#REF!</definedName>
    <definedName name="XRefCopy42" localSheetId="15" hidden="1">#REF!</definedName>
    <definedName name="XRefCopy42" localSheetId="7" hidden="1">#REF!</definedName>
    <definedName name="XRefCopy42" localSheetId="14" hidden="1">#REF!</definedName>
    <definedName name="XRefCopy42" localSheetId="2" hidden="1">#REF!</definedName>
    <definedName name="XRefCopy42" localSheetId="34" hidden="1">#REF!</definedName>
    <definedName name="XRefCopy42" localSheetId="39" hidden="1">#REF!</definedName>
    <definedName name="XRefCopy42" localSheetId="12" hidden="1">#REF!</definedName>
    <definedName name="XRefCopy42" localSheetId="10" hidden="1">#REF!</definedName>
    <definedName name="XRefCopy42" localSheetId="6" hidden="1">#REF!</definedName>
    <definedName name="XRefCopy42" hidden="1">#REF!</definedName>
    <definedName name="XRefCopy42Row" localSheetId="1" hidden="1">#REF!</definedName>
    <definedName name="XRefCopy42Row" localSheetId="15" hidden="1">#REF!</definedName>
    <definedName name="XRefCopy42Row" localSheetId="7" hidden="1">#REF!</definedName>
    <definedName name="XRefCopy42Row" localSheetId="14" hidden="1">#REF!</definedName>
    <definedName name="XRefCopy42Row" localSheetId="2" hidden="1">#REF!</definedName>
    <definedName name="XRefCopy42Row" localSheetId="34" hidden="1">#REF!</definedName>
    <definedName name="XRefCopy42Row" localSheetId="39" hidden="1">#REF!</definedName>
    <definedName name="XRefCopy42Row" localSheetId="12" hidden="1">#REF!</definedName>
    <definedName name="XRefCopy42Row" localSheetId="10" hidden="1">#REF!</definedName>
    <definedName name="XRefCopy42Row" localSheetId="6" hidden="1">#REF!</definedName>
    <definedName name="XRefCopy42Row" hidden="1">#REF!</definedName>
    <definedName name="XRefCopy43" localSheetId="1" hidden="1">#REF!</definedName>
    <definedName name="XRefCopy43" localSheetId="15" hidden="1">#REF!</definedName>
    <definedName name="XRefCopy43" localSheetId="7" hidden="1">#REF!</definedName>
    <definedName name="XRefCopy43" localSheetId="14" hidden="1">#REF!</definedName>
    <definedName name="XRefCopy43" localSheetId="2" hidden="1">#REF!</definedName>
    <definedName name="XRefCopy43" localSheetId="34" hidden="1">#REF!</definedName>
    <definedName name="XRefCopy43" localSheetId="39" hidden="1">#REF!</definedName>
    <definedName name="XRefCopy43" localSheetId="12" hidden="1">#REF!</definedName>
    <definedName name="XRefCopy43" localSheetId="10" hidden="1">#REF!</definedName>
    <definedName name="XRefCopy43" localSheetId="6" hidden="1">#REF!</definedName>
    <definedName name="XRefCopy43" hidden="1">#REF!</definedName>
    <definedName name="XRefCopy43Row" localSheetId="1" hidden="1">#REF!</definedName>
    <definedName name="XRefCopy43Row" localSheetId="15" hidden="1">#REF!</definedName>
    <definedName name="XRefCopy43Row" localSheetId="7" hidden="1">#REF!</definedName>
    <definedName name="XRefCopy43Row" localSheetId="14" hidden="1">#REF!</definedName>
    <definedName name="XRefCopy43Row" localSheetId="2" hidden="1">#REF!</definedName>
    <definedName name="XRefCopy43Row" localSheetId="34" hidden="1">#REF!</definedName>
    <definedName name="XRefCopy43Row" localSheetId="39" hidden="1">#REF!</definedName>
    <definedName name="XRefCopy43Row" localSheetId="12" hidden="1">#REF!</definedName>
    <definedName name="XRefCopy43Row" localSheetId="10" hidden="1">#REF!</definedName>
    <definedName name="XRefCopy43Row" localSheetId="6" hidden="1">#REF!</definedName>
    <definedName name="XRefCopy43Row" hidden="1">#REF!</definedName>
    <definedName name="XRefCopy44" localSheetId="1" hidden="1">#REF!</definedName>
    <definedName name="XRefCopy44" localSheetId="15" hidden="1">#REF!</definedName>
    <definedName name="XRefCopy44" localSheetId="7" hidden="1">#REF!</definedName>
    <definedName name="XRefCopy44" localSheetId="14" hidden="1">#REF!</definedName>
    <definedName name="XRefCopy44" localSheetId="2" hidden="1">#REF!</definedName>
    <definedName name="XRefCopy44" localSheetId="34" hidden="1">#REF!</definedName>
    <definedName name="XRefCopy44" localSheetId="39" hidden="1">#REF!</definedName>
    <definedName name="XRefCopy44" localSheetId="12" hidden="1">#REF!</definedName>
    <definedName name="XRefCopy44" localSheetId="10" hidden="1">#REF!</definedName>
    <definedName name="XRefCopy44" localSheetId="6" hidden="1">#REF!</definedName>
    <definedName name="XRefCopy44" hidden="1">#REF!</definedName>
    <definedName name="XRefCopy44Row" localSheetId="1" hidden="1">#REF!</definedName>
    <definedName name="XRefCopy44Row" localSheetId="15" hidden="1">#REF!</definedName>
    <definedName name="XRefCopy44Row" localSheetId="7" hidden="1">#REF!</definedName>
    <definedName name="XRefCopy44Row" localSheetId="14" hidden="1">#REF!</definedName>
    <definedName name="XRefCopy44Row" localSheetId="2" hidden="1">#REF!</definedName>
    <definedName name="XRefCopy44Row" localSheetId="34" hidden="1">#REF!</definedName>
    <definedName name="XRefCopy44Row" localSheetId="39" hidden="1">#REF!</definedName>
    <definedName name="XRefCopy44Row" localSheetId="12" hidden="1">#REF!</definedName>
    <definedName name="XRefCopy44Row" localSheetId="10" hidden="1">#REF!</definedName>
    <definedName name="XRefCopy44Row" localSheetId="6" hidden="1">#REF!</definedName>
    <definedName name="XRefCopy44Row" hidden="1">#REF!</definedName>
    <definedName name="XRefCopy45" localSheetId="1" hidden="1">#REF!</definedName>
    <definedName name="XRefCopy45" localSheetId="15" hidden="1">#REF!</definedName>
    <definedName name="XRefCopy45" localSheetId="7" hidden="1">#REF!</definedName>
    <definedName name="XRefCopy45" localSheetId="14" hidden="1">#REF!</definedName>
    <definedName name="XRefCopy45" localSheetId="2" hidden="1">#REF!</definedName>
    <definedName name="XRefCopy45" localSheetId="34" hidden="1">#REF!</definedName>
    <definedName name="XRefCopy45" localSheetId="39" hidden="1">#REF!</definedName>
    <definedName name="XRefCopy45" localSheetId="12" hidden="1">#REF!</definedName>
    <definedName name="XRefCopy45" localSheetId="10" hidden="1">#REF!</definedName>
    <definedName name="XRefCopy45" localSheetId="6" hidden="1">#REF!</definedName>
    <definedName name="XRefCopy45" hidden="1">#REF!</definedName>
    <definedName name="XRefCopy45Row" localSheetId="1" hidden="1">#REF!</definedName>
    <definedName name="XRefCopy45Row" localSheetId="15" hidden="1">#REF!</definedName>
    <definedName name="XRefCopy45Row" localSheetId="7" hidden="1">#REF!</definedName>
    <definedName name="XRefCopy45Row" localSheetId="14" hidden="1">#REF!</definedName>
    <definedName name="XRefCopy45Row" localSheetId="2" hidden="1">#REF!</definedName>
    <definedName name="XRefCopy45Row" localSheetId="34" hidden="1">#REF!</definedName>
    <definedName name="XRefCopy45Row" localSheetId="39" hidden="1">#REF!</definedName>
    <definedName name="XRefCopy45Row" localSheetId="12" hidden="1">#REF!</definedName>
    <definedName name="XRefCopy45Row" localSheetId="10" hidden="1">#REF!</definedName>
    <definedName name="XRefCopy45Row" localSheetId="6" hidden="1">#REF!</definedName>
    <definedName name="XRefCopy45Row" hidden="1">#REF!</definedName>
    <definedName name="XRefCopy46" localSheetId="1" hidden="1">#REF!</definedName>
    <definedName name="XRefCopy46" localSheetId="15" hidden="1">#REF!</definedName>
    <definedName name="XRefCopy46" localSheetId="7" hidden="1">#REF!</definedName>
    <definedName name="XRefCopy46" localSheetId="14" hidden="1">#REF!</definedName>
    <definedName name="XRefCopy46" localSheetId="2" hidden="1">#REF!</definedName>
    <definedName name="XRefCopy46" localSheetId="34" hidden="1">#REF!</definedName>
    <definedName name="XRefCopy46" localSheetId="39" hidden="1">#REF!</definedName>
    <definedName name="XRefCopy46" localSheetId="12" hidden="1">#REF!</definedName>
    <definedName name="XRefCopy46" localSheetId="10" hidden="1">#REF!</definedName>
    <definedName name="XRefCopy46" localSheetId="6" hidden="1">#REF!</definedName>
    <definedName name="XRefCopy46" hidden="1">#REF!</definedName>
    <definedName name="XRefCopy46Row" localSheetId="1" hidden="1">#REF!</definedName>
    <definedName name="XRefCopy46Row" localSheetId="15" hidden="1">#REF!</definedName>
    <definedName name="XRefCopy46Row" localSheetId="7" hidden="1">#REF!</definedName>
    <definedName name="XRefCopy46Row" localSheetId="14" hidden="1">#REF!</definedName>
    <definedName name="XRefCopy46Row" localSheetId="2" hidden="1">#REF!</definedName>
    <definedName name="XRefCopy46Row" localSheetId="34" hidden="1">#REF!</definedName>
    <definedName name="XRefCopy46Row" localSheetId="39" hidden="1">#REF!</definedName>
    <definedName name="XRefCopy46Row" localSheetId="12" hidden="1">#REF!</definedName>
    <definedName name="XRefCopy46Row" localSheetId="10" hidden="1">#REF!</definedName>
    <definedName name="XRefCopy46Row" localSheetId="6" hidden="1">#REF!</definedName>
    <definedName name="XRefCopy46Row" hidden="1">#REF!</definedName>
    <definedName name="XRefCopy47" localSheetId="1" hidden="1">#REF!</definedName>
    <definedName name="XRefCopy47" localSheetId="15" hidden="1">#REF!</definedName>
    <definedName name="XRefCopy47" localSheetId="7" hidden="1">#REF!</definedName>
    <definedName name="XRefCopy47" localSheetId="14" hidden="1">#REF!</definedName>
    <definedName name="XRefCopy47" localSheetId="2" hidden="1">#REF!</definedName>
    <definedName name="XRefCopy47" localSheetId="34" hidden="1">#REF!</definedName>
    <definedName name="XRefCopy47" localSheetId="39" hidden="1">#REF!</definedName>
    <definedName name="XRefCopy47" localSheetId="12" hidden="1">#REF!</definedName>
    <definedName name="XRefCopy47" localSheetId="10" hidden="1">#REF!</definedName>
    <definedName name="XRefCopy47" localSheetId="6" hidden="1">#REF!</definedName>
    <definedName name="XRefCopy47" hidden="1">#REF!</definedName>
    <definedName name="XRefCopy47Row" localSheetId="1" hidden="1">#REF!</definedName>
    <definedName name="XRefCopy47Row" localSheetId="15" hidden="1">#REF!</definedName>
    <definedName name="XRefCopy47Row" localSheetId="7" hidden="1">#REF!</definedName>
    <definedName name="XRefCopy47Row" localSheetId="14" hidden="1">#REF!</definedName>
    <definedName name="XRefCopy47Row" localSheetId="2" hidden="1">#REF!</definedName>
    <definedName name="XRefCopy47Row" localSheetId="34" hidden="1">#REF!</definedName>
    <definedName name="XRefCopy47Row" localSheetId="39" hidden="1">#REF!</definedName>
    <definedName name="XRefCopy47Row" localSheetId="12" hidden="1">#REF!</definedName>
    <definedName name="XRefCopy47Row" localSheetId="10" hidden="1">#REF!</definedName>
    <definedName name="XRefCopy47Row" localSheetId="6" hidden="1">#REF!</definedName>
    <definedName name="XRefCopy47Row" hidden="1">#REF!</definedName>
    <definedName name="XRefCopy48" localSheetId="1" hidden="1">#REF!</definedName>
    <definedName name="XRefCopy48" localSheetId="15" hidden="1">#REF!</definedName>
    <definedName name="XRefCopy48" localSheetId="7" hidden="1">#REF!</definedName>
    <definedName name="XRefCopy48" localSheetId="14" hidden="1">#REF!</definedName>
    <definedName name="XRefCopy48" localSheetId="2" hidden="1">#REF!</definedName>
    <definedName name="XRefCopy48" localSheetId="34" hidden="1">#REF!</definedName>
    <definedName name="XRefCopy48" localSheetId="39" hidden="1">#REF!</definedName>
    <definedName name="XRefCopy48" localSheetId="12" hidden="1">#REF!</definedName>
    <definedName name="XRefCopy48" localSheetId="10" hidden="1">#REF!</definedName>
    <definedName name="XRefCopy48" localSheetId="6" hidden="1">#REF!</definedName>
    <definedName name="XRefCopy48" hidden="1">#REF!</definedName>
    <definedName name="XRefCopy48Row" localSheetId="1" hidden="1">#REF!</definedName>
    <definedName name="XRefCopy48Row" localSheetId="15" hidden="1">#REF!</definedName>
    <definedName name="XRefCopy48Row" localSheetId="7" hidden="1">#REF!</definedName>
    <definedName name="XRefCopy48Row" localSheetId="14" hidden="1">#REF!</definedName>
    <definedName name="XRefCopy48Row" localSheetId="2" hidden="1">#REF!</definedName>
    <definedName name="XRefCopy48Row" localSheetId="34" hidden="1">#REF!</definedName>
    <definedName name="XRefCopy48Row" localSheetId="39" hidden="1">#REF!</definedName>
    <definedName name="XRefCopy48Row" localSheetId="12" hidden="1">#REF!</definedName>
    <definedName name="XRefCopy48Row" localSheetId="10" hidden="1">#REF!</definedName>
    <definedName name="XRefCopy48Row" localSheetId="6" hidden="1">#REF!</definedName>
    <definedName name="XRefCopy48Row" hidden="1">#REF!</definedName>
    <definedName name="XRefCopy49" localSheetId="1" hidden="1">#REF!</definedName>
    <definedName name="XRefCopy49" localSheetId="15" hidden="1">#REF!</definedName>
    <definedName name="XRefCopy49" localSheetId="7" hidden="1">#REF!</definedName>
    <definedName name="XRefCopy49" localSheetId="14" hidden="1">#REF!</definedName>
    <definedName name="XRefCopy49" localSheetId="2" hidden="1">#REF!</definedName>
    <definedName name="XRefCopy49" localSheetId="34" hidden="1">#REF!</definedName>
    <definedName name="XRefCopy49" localSheetId="39" hidden="1">#REF!</definedName>
    <definedName name="XRefCopy49" localSheetId="12" hidden="1">#REF!</definedName>
    <definedName name="XRefCopy49" localSheetId="10" hidden="1">#REF!</definedName>
    <definedName name="XRefCopy49" localSheetId="6" hidden="1">#REF!</definedName>
    <definedName name="XRefCopy49" hidden="1">#REF!</definedName>
    <definedName name="XRefCopy49Row" localSheetId="1" hidden="1">#REF!</definedName>
    <definedName name="XRefCopy49Row" localSheetId="15" hidden="1">#REF!</definedName>
    <definedName name="XRefCopy49Row" localSheetId="7" hidden="1">#REF!</definedName>
    <definedName name="XRefCopy49Row" localSheetId="14" hidden="1">#REF!</definedName>
    <definedName name="XRefCopy49Row" localSheetId="2" hidden="1">#REF!</definedName>
    <definedName name="XRefCopy49Row" localSheetId="34" hidden="1">#REF!</definedName>
    <definedName name="XRefCopy49Row" localSheetId="39" hidden="1">#REF!</definedName>
    <definedName name="XRefCopy49Row" localSheetId="12" hidden="1">#REF!</definedName>
    <definedName name="XRefCopy49Row" localSheetId="10" hidden="1">#REF!</definedName>
    <definedName name="XRefCopy49Row" localSheetId="6" hidden="1">#REF!</definedName>
    <definedName name="XRefCopy49Row" hidden="1">#REF!</definedName>
    <definedName name="XRefCopy4Row" localSheetId="1" hidden="1">#REF!</definedName>
    <definedName name="XRefCopy4Row" localSheetId="15" hidden="1">#REF!</definedName>
    <definedName name="XRefCopy4Row" localSheetId="7" hidden="1">#REF!</definedName>
    <definedName name="XRefCopy4Row" localSheetId="14" hidden="1">#REF!</definedName>
    <definedName name="XRefCopy4Row" localSheetId="2" hidden="1">#REF!</definedName>
    <definedName name="XRefCopy4Row" localSheetId="34" hidden="1">#REF!</definedName>
    <definedName name="XRefCopy4Row" localSheetId="39" hidden="1">#REF!</definedName>
    <definedName name="XRefCopy4Row" localSheetId="12" hidden="1">#REF!</definedName>
    <definedName name="XRefCopy4Row" localSheetId="10" hidden="1">#REF!</definedName>
    <definedName name="XRefCopy4Row" localSheetId="6" hidden="1">#REF!</definedName>
    <definedName name="XRefCopy4Row" hidden="1">#REF!</definedName>
    <definedName name="XRefCopy5" localSheetId="1" hidden="1">#REF!</definedName>
    <definedName name="XRefCopy5" localSheetId="15" hidden="1">#REF!</definedName>
    <definedName name="XRefCopy5" localSheetId="7" hidden="1">#REF!</definedName>
    <definedName name="XRefCopy5" localSheetId="2" hidden="1">#REF!</definedName>
    <definedName name="XRefCopy5" localSheetId="34" hidden="1">#REF!</definedName>
    <definedName name="XRefCopy5" localSheetId="39" hidden="1">#REF!</definedName>
    <definedName name="XRefCopy5" localSheetId="12" hidden="1">#REF!</definedName>
    <definedName name="XRefCopy5" localSheetId="10" hidden="1">#REF!</definedName>
    <definedName name="XRefCopy5" localSheetId="11" hidden="1">#REF!</definedName>
    <definedName name="XRefCopy5" localSheetId="6" hidden="1">#REF!</definedName>
    <definedName name="XRefCopy5" hidden="1">#REF!</definedName>
    <definedName name="XRefCopy50" localSheetId="1" hidden="1">#REF!</definedName>
    <definedName name="XRefCopy50" localSheetId="15" hidden="1">#REF!</definedName>
    <definedName name="XRefCopy50" localSheetId="7" hidden="1">#REF!</definedName>
    <definedName name="XRefCopy50" localSheetId="14" hidden="1">#REF!</definedName>
    <definedName name="XRefCopy50" localSheetId="2" hidden="1">#REF!</definedName>
    <definedName name="XRefCopy50" localSheetId="34" hidden="1">#REF!</definedName>
    <definedName name="XRefCopy50" localSheetId="39" hidden="1">#REF!</definedName>
    <definedName name="XRefCopy50" localSheetId="12" hidden="1">#REF!</definedName>
    <definedName name="XRefCopy50" localSheetId="10" hidden="1">#REF!</definedName>
    <definedName name="XRefCopy50" localSheetId="6" hidden="1">#REF!</definedName>
    <definedName name="XRefCopy50" hidden="1">#REF!</definedName>
    <definedName name="XRefCopy50Row" localSheetId="1" hidden="1">#REF!</definedName>
    <definedName name="XRefCopy50Row" localSheetId="15" hidden="1">#REF!</definedName>
    <definedName name="XRefCopy50Row" localSheetId="7" hidden="1">#REF!</definedName>
    <definedName name="XRefCopy50Row" localSheetId="14" hidden="1">#REF!</definedName>
    <definedName name="XRefCopy50Row" localSheetId="2" hidden="1">#REF!</definedName>
    <definedName name="XRefCopy50Row" localSheetId="34" hidden="1">#REF!</definedName>
    <definedName name="XRefCopy50Row" localSheetId="39" hidden="1">#REF!</definedName>
    <definedName name="XRefCopy50Row" localSheetId="12" hidden="1">#REF!</definedName>
    <definedName name="XRefCopy50Row" localSheetId="10" hidden="1">#REF!</definedName>
    <definedName name="XRefCopy50Row" localSheetId="6" hidden="1">#REF!</definedName>
    <definedName name="XRefCopy50Row" hidden="1">#REF!</definedName>
    <definedName name="XRefCopy51Row" localSheetId="1" hidden="1">#REF!</definedName>
    <definedName name="XRefCopy51Row" localSheetId="15" hidden="1">#REF!</definedName>
    <definedName name="XRefCopy51Row" localSheetId="7" hidden="1">#REF!</definedName>
    <definedName name="XRefCopy51Row" localSheetId="14" hidden="1">#REF!</definedName>
    <definedName name="XRefCopy51Row" localSheetId="2" hidden="1">#REF!</definedName>
    <definedName name="XRefCopy51Row" localSheetId="34" hidden="1">#REF!</definedName>
    <definedName name="XRefCopy51Row" localSheetId="39" hidden="1">#REF!</definedName>
    <definedName name="XRefCopy51Row" localSheetId="12" hidden="1">#REF!</definedName>
    <definedName name="XRefCopy51Row" localSheetId="10" hidden="1">#REF!</definedName>
    <definedName name="XRefCopy51Row" localSheetId="6" hidden="1">#REF!</definedName>
    <definedName name="XRefCopy51Row" hidden="1">#REF!</definedName>
    <definedName name="XRefCopy52Row" localSheetId="1" hidden="1">#REF!</definedName>
    <definedName name="XRefCopy52Row" localSheetId="15" hidden="1">#REF!</definedName>
    <definedName name="XRefCopy52Row" localSheetId="7" hidden="1">#REF!</definedName>
    <definedName name="XRefCopy52Row" localSheetId="14" hidden="1">#REF!</definedName>
    <definedName name="XRefCopy52Row" localSheetId="2" hidden="1">#REF!</definedName>
    <definedName name="XRefCopy52Row" localSheetId="34" hidden="1">#REF!</definedName>
    <definedName name="XRefCopy52Row" localSheetId="39" hidden="1">#REF!</definedName>
    <definedName name="XRefCopy52Row" localSheetId="12" hidden="1">#REF!</definedName>
    <definedName name="XRefCopy52Row" localSheetId="10" hidden="1">#REF!</definedName>
    <definedName name="XRefCopy52Row" localSheetId="6" hidden="1">#REF!</definedName>
    <definedName name="XRefCopy52Row" hidden="1">#REF!</definedName>
    <definedName name="XRefCopy54" localSheetId="1" hidden="1">#REF!</definedName>
    <definedName name="XRefCopy54" localSheetId="15" hidden="1">#REF!</definedName>
    <definedName name="XRefCopy54" localSheetId="7" hidden="1">#REF!</definedName>
    <definedName name="XRefCopy54" localSheetId="14" hidden="1">#REF!</definedName>
    <definedName name="XRefCopy54" localSheetId="2" hidden="1">#REF!</definedName>
    <definedName name="XRefCopy54" localSheetId="34" hidden="1">#REF!</definedName>
    <definedName name="XRefCopy54" localSheetId="39" hidden="1">#REF!</definedName>
    <definedName name="XRefCopy54" localSheetId="12" hidden="1">#REF!</definedName>
    <definedName name="XRefCopy54" localSheetId="10" hidden="1">#REF!</definedName>
    <definedName name="XRefCopy54" localSheetId="6" hidden="1">#REF!</definedName>
    <definedName name="XRefCopy54" hidden="1">#REF!</definedName>
    <definedName name="XRefCopy54Row" localSheetId="1" hidden="1">#REF!</definedName>
    <definedName name="XRefCopy54Row" localSheetId="15" hidden="1">#REF!</definedName>
    <definedName name="XRefCopy54Row" localSheetId="7" hidden="1">#REF!</definedName>
    <definedName name="XRefCopy54Row" localSheetId="14" hidden="1">#REF!</definedName>
    <definedName name="XRefCopy54Row" localSheetId="2" hidden="1">#REF!</definedName>
    <definedName name="XRefCopy54Row" localSheetId="34" hidden="1">#REF!</definedName>
    <definedName name="XRefCopy54Row" localSheetId="39" hidden="1">#REF!</definedName>
    <definedName name="XRefCopy54Row" localSheetId="12" hidden="1">#REF!</definedName>
    <definedName name="XRefCopy54Row" localSheetId="10" hidden="1">#REF!</definedName>
    <definedName name="XRefCopy54Row" localSheetId="6" hidden="1">#REF!</definedName>
    <definedName name="XRefCopy54Row" hidden="1">#REF!</definedName>
    <definedName name="XRefCopy55Row" localSheetId="1" hidden="1">#REF!</definedName>
    <definedName name="XRefCopy55Row" localSheetId="15" hidden="1">#REF!</definedName>
    <definedName name="XRefCopy55Row" localSheetId="7" hidden="1">#REF!</definedName>
    <definedName name="XRefCopy55Row" localSheetId="14" hidden="1">#REF!</definedName>
    <definedName name="XRefCopy55Row" localSheetId="2" hidden="1">#REF!</definedName>
    <definedName name="XRefCopy55Row" localSheetId="34" hidden="1">#REF!</definedName>
    <definedName name="XRefCopy55Row" localSheetId="39" hidden="1">#REF!</definedName>
    <definedName name="XRefCopy55Row" localSheetId="12" hidden="1">#REF!</definedName>
    <definedName name="XRefCopy55Row" localSheetId="10" hidden="1">#REF!</definedName>
    <definedName name="XRefCopy55Row" localSheetId="6" hidden="1">#REF!</definedName>
    <definedName name="XRefCopy55Row" hidden="1">#REF!</definedName>
    <definedName name="XRefCopy56Row" localSheetId="1" hidden="1">#REF!</definedName>
    <definedName name="XRefCopy56Row" localSheetId="15" hidden="1">#REF!</definedName>
    <definedName name="XRefCopy56Row" localSheetId="7" hidden="1">#REF!</definedName>
    <definedName name="XRefCopy56Row" localSheetId="14" hidden="1">#REF!</definedName>
    <definedName name="XRefCopy56Row" localSheetId="2" hidden="1">#REF!</definedName>
    <definedName name="XRefCopy56Row" localSheetId="34" hidden="1">#REF!</definedName>
    <definedName name="XRefCopy56Row" localSheetId="39" hidden="1">#REF!</definedName>
    <definedName name="XRefCopy56Row" localSheetId="12" hidden="1">#REF!</definedName>
    <definedName name="XRefCopy56Row" localSheetId="10" hidden="1">#REF!</definedName>
    <definedName name="XRefCopy56Row" localSheetId="6" hidden="1">#REF!</definedName>
    <definedName name="XRefCopy56Row" hidden="1">#REF!</definedName>
    <definedName name="XRefCopy57Row" localSheetId="1" hidden="1">#REF!</definedName>
    <definedName name="XRefCopy57Row" localSheetId="15" hidden="1">#REF!</definedName>
    <definedName name="XRefCopy57Row" localSheetId="7" hidden="1">#REF!</definedName>
    <definedName name="XRefCopy57Row" localSheetId="14" hidden="1">#REF!</definedName>
    <definedName name="XRefCopy57Row" localSheetId="2" hidden="1">#REF!</definedName>
    <definedName name="XRefCopy57Row" localSheetId="34" hidden="1">#REF!</definedName>
    <definedName name="XRefCopy57Row" localSheetId="39" hidden="1">#REF!</definedName>
    <definedName name="XRefCopy57Row" localSheetId="12" hidden="1">#REF!</definedName>
    <definedName name="XRefCopy57Row" localSheetId="10" hidden="1">#REF!</definedName>
    <definedName name="XRefCopy57Row" localSheetId="6" hidden="1">#REF!</definedName>
    <definedName name="XRefCopy57Row" hidden="1">#REF!</definedName>
    <definedName name="XRefCopy58Row" localSheetId="1" hidden="1">#REF!</definedName>
    <definedName name="XRefCopy58Row" localSheetId="15" hidden="1">#REF!</definedName>
    <definedName name="XRefCopy58Row" localSheetId="7" hidden="1">#REF!</definedName>
    <definedName name="XRefCopy58Row" localSheetId="14" hidden="1">#REF!</definedName>
    <definedName name="XRefCopy58Row" localSheetId="2" hidden="1">#REF!</definedName>
    <definedName name="XRefCopy58Row" localSheetId="34" hidden="1">#REF!</definedName>
    <definedName name="XRefCopy58Row" localSheetId="39" hidden="1">#REF!</definedName>
    <definedName name="XRefCopy58Row" localSheetId="12" hidden="1">#REF!</definedName>
    <definedName name="XRefCopy58Row" localSheetId="10" hidden="1">#REF!</definedName>
    <definedName name="XRefCopy58Row" localSheetId="6" hidden="1">#REF!</definedName>
    <definedName name="XRefCopy58Row" hidden="1">#REF!</definedName>
    <definedName name="XRefCopy59Row" localSheetId="1" hidden="1">#REF!</definedName>
    <definedName name="XRefCopy59Row" localSheetId="15" hidden="1">#REF!</definedName>
    <definedName name="XRefCopy59Row" localSheetId="7" hidden="1">#REF!</definedName>
    <definedName name="XRefCopy59Row" localSheetId="14" hidden="1">#REF!</definedName>
    <definedName name="XRefCopy59Row" localSheetId="2" hidden="1">#REF!</definedName>
    <definedName name="XRefCopy59Row" localSheetId="34" hidden="1">#REF!</definedName>
    <definedName name="XRefCopy59Row" localSheetId="39" hidden="1">#REF!</definedName>
    <definedName name="XRefCopy59Row" localSheetId="12" hidden="1">#REF!</definedName>
    <definedName name="XRefCopy59Row" localSheetId="10" hidden="1">#REF!</definedName>
    <definedName name="XRefCopy59Row" localSheetId="6" hidden="1">#REF!</definedName>
    <definedName name="XRefCopy59Row" hidden="1">#REF!</definedName>
    <definedName name="XRefCopy5Row" localSheetId="1" hidden="1">#REF!</definedName>
    <definedName name="XRefCopy5Row" localSheetId="15" hidden="1">#REF!</definedName>
    <definedName name="XRefCopy5Row" localSheetId="7" hidden="1">#REF!</definedName>
    <definedName name="XRefCopy5Row" localSheetId="14" hidden="1">#REF!</definedName>
    <definedName name="XRefCopy5Row" localSheetId="2" hidden="1">#REF!</definedName>
    <definedName name="XRefCopy5Row" localSheetId="34" hidden="1">#REF!</definedName>
    <definedName name="XRefCopy5Row" localSheetId="39" hidden="1">#REF!</definedName>
    <definedName name="XRefCopy5Row" localSheetId="12" hidden="1">#REF!</definedName>
    <definedName name="XRefCopy5Row" localSheetId="10" hidden="1">#REF!</definedName>
    <definedName name="XRefCopy5Row" localSheetId="6" hidden="1">#REF!</definedName>
    <definedName name="XRefCopy5Row" hidden="1">#REF!</definedName>
    <definedName name="XRefCopy6" localSheetId="1" hidden="1">#REF!</definedName>
    <definedName name="XRefCopy6" localSheetId="15" hidden="1">#REF!</definedName>
    <definedName name="XRefCopy6" localSheetId="7" hidden="1">#REF!</definedName>
    <definedName name="XRefCopy6" localSheetId="14" hidden="1">#REF!</definedName>
    <definedName name="XRefCopy6" localSheetId="2" hidden="1">#REF!</definedName>
    <definedName name="XRefCopy6" localSheetId="34" hidden="1">#REF!</definedName>
    <definedName name="XRefCopy6" localSheetId="39" hidden="1">#REF!</definedName>
    <definedName name="XRefCopy6" localSheetId="12" hidden="1">#REF!</definedName>
    <definedName name="XRefCopy6" localSheetId="10" hidden="1">#REF!</definedName>
    <definedName name="XRefCopy6" localSheetId="11" hidden="1">#REF!</definedName>
    <definedName name="XRefCopy6" localSheetId="6" hidden="1">#REF!</definedName>
    <definedName name="XRefCopy6" hidden="1">#REF!</definedName>
    <definedName name="XRefCopy60Row" localSheetId="1" hidden="1">#REF!</definedName>
    <definedName name="XRefCopy60Row" localSheetId="15" hidden="1">#REF!</definedName>
    <definedName name="XRefCopy60Row" localSheetId="7" hidden="1">#REF!</definedName>
    <definedName name="XRefCopy60Row" localSheetId="14" hidden="1">#REF!</definedName>
    <definedName name="XRefCopy60Row" localSheetId="2" hidden="1">#REF!</definedName>
    <definedName name="XRefCopy60Row" localSheetId="34" hidden="1">#REF!</definedName>
    <definedName name="XRefCopy60Row" localSheetId="39" hidden="1">#REF!</definedName>
    <definedName name="XRefCopy60Row" localSheetId="12" hidden="1">#REF!</definedName>
    <definedName name="XRefCopy60Row" localSheetId="10" hidden="1">#REF!</definedName>
    <definedName name="XRefCopy60Row" localSheetId="6" hidden="1">#REF!</definedName>
    <definedName name="XRefCopy60Row" hidden="1">#REF!</definedName>
    <definedName name="XRefCopy61Row" localSheetId="1" hidden="1">#REF!</definedName>
    <definedName name="XRefCopy61Row" localSheetId="15" hidden="1">#REF!</definedName>
    <definedName name="XRefCopy61Row" localSheetId="7" hidden="1">#REF!</definedName>
    <definedName name="XRefCopy61Row" localSheetId="14" hidden="1">#REF!</definedName>
    <definedName name="XRefCopy61Row" localSheetId="2" hidden="1">#REF!</definedName>
    <definedName name="XRefCopy61Row" localSheetId="34" hidden="1">#REF!</definedName>
    <definedName name="XRefCopy61Row" localSheetId="39" hidden="1">#REF!</definedName>
    <definedName name="XRefCopy61Row" localSheetId="12" hidden="1">#REF!</definedName>
    <definedName name="XRefCopy61Row" localSheetId="10" hidden="1">#REF!</definedName>
    <definedName name="XRefCopy61Row" localSheetId="6" hidden="1">#REF!</definedName>
    <definedName name="XRefCopy61Row" hidden="1">#REF!</definedName>
    <definedName name="XRefCopy62Row" localSheetId="1" hidden="1">#REF!</definedName>
    <definedName name="XRefCopy62Row" localSheetId="15" hidden="1">#REF!</definedName>
    <definedName name="XRefCopy62Row" localSheetId="7" hidden="1">#REF!</definedName>
    <definedName name="XRefCopy62Row" localSheetId="14" hidden="1">#REF!</definedName>
    <definedName name="XRefCopy62Row" localSheetId="2" hidden="1">#REF!</definedName>
    <definedName name="XRefCopy62Row" localSheetId="34" hidden="1">#REF!</definedName>
    <definedName name="XRefCopy62Row" localSheetId="39" hidden="1">#REF!</definedName>
    <definedName name="XRefCopy62Row" localSheetId="12" hidden="1">#REF!</definedName>
    <definedName name="XRefCopy62Row" localSheetId="10" hidden="1">#REF!</definedName>
    <definedName name="XRefCopy62Row" localSheetId="6" hidden="1">#REF!</definedName>
    <definedName name="XRefCopy62Row" hidden="1">#REF!</definedName>
    <definedName name="XRefCopy63Row" localSheetId="1" hidden="1">#REF!</definedName>
    <definedName name="XRefCopy63Row" localSheetId="15" hidden="1">#REF!</definedName>
    <definedName name="XRefCopy63Row" localSheetId="7" hidden="1">#REF!</definedName>
    <definedName name="XRefCopy63Row" localSheetId="14" hidden="1">#REF!</definedName>
    <definedName name="XRefCopy63Row" localSheetId="2" hidden="1">#REF!</definedName>
    <definedName name="XRefCopy63Row" localSheetId="34" hidden="1">#REF!</definedName>
    <definedName name="XRefCopy63Row" localSheetId="39" hidden="1">#REF!</definedName>
    <definedName name="XRefCopy63Row" localSheetId="12" hidden="1">#REF!</definedName>
    <definedName name="XRefCopy63Row" localSheetId="10" hidden="1">#REF!</definedName>
    <definedName name="XRefCopy63Row" localSheetId="6" hidden="1">#REF!</definedName>
    <definedName name="XRefCopy63Row" hidden="1">#REF!</definedName>
    <definedName name="XRefCopy64Row" localSheetId="1" hidden="1">#REF!</definedName>
    <definedName name="XRefCopy64Row" localSheetId="15" hidden="1">#REF!</definedName>
    <definedName name="XRefCopy64Row" localSheetId="7" hidden="1">#REF!</definedName>
    <definedName name="XRefCopy64Row" localSheetId="14" hidden="1">#REF!</definedName>
    <definedName name="XRefCopy64Row" localSheetId="2" hidden="1">#REF!</definedName>
    <definedName name="XRefCopy64Row" localSheetId="34" hidden="1">#REF!</definedName>
    <definedName name="XRefCopy64Row" localSheetId="39" hidden="1">#REF!</definedName>
    <definedName name="XRefCopy64Row" localSheetId="12" hidden="1">#REF!</definedName>
    <definedName name="XRefCopy64Row" localSheetId="10" hidden="1">#REF!</definedName>
    <definedName name="XRefCopy64Row" localSheetId="6" hidden="1">#REF!</definedName>
    <definedName name="XRefCopy64Row" hidden="1">#REF!</definedName>
    <definedName name="XRefCopy65Row" localSheetId="1" hidden="1">#REF!</definedName>
    <definedName name="XRefCopy65Row" localSheetId="15" hidden="1">#REF!</definedName>
    <definedName name="XRefCopy65Row" localSheetId="7" hidden="1">#REF!</definedName>
    <definedName name="XRefCopy65Row" localSheetId="14" hidden="1">#REF!</definedName>
    <definedName name="XRefCopy65Row" localSheetId="2" hidden="1">#REF!</definedName>
    <definedName name="XRefCopy65Row" localSheetId="34" hidden="1">#REF!</definedName>
    <definedName name="XRefCopy65Row" localSheetId="39" hidden="1">#REF!</definedName>
    <definedName name="XRefCopy65Row" localSheetId="12" hidden="1">#REF!</definedName>
    <definedName name="XRefCopy65Row" localSheetId="10" hidden="1">#REF!</definedName>
    <definedName name="XRefCopy65Row" localSheetId="6" hidden="1">#REF!</definedName>
    <definedName name="XRefCopy65Row" hidden="1">#REF!</definedName>
    <definedName name="XRefCopy66Row" localSheetId="1" hidden="1">#REF!</definedName>
    <definedName name="XRefCopy66Row" localSheetId="15" hidden="1">#REF!</definedName>
    <definedName name="XRefCopy66Row" localSheetId="7" hidden="1">#REF!</definedName>
    <definedName name="XRefCopy66Row" localSheetId="14" hidden="1">#REF!</definedName>
    <definedName name="XRefCopy66Row" localSheetId="2" hidden="1">#REF!</definedName>
    <definedName name="XRefCopy66Row" localSheetId="34" hidden="1">#REF!</definedName>
    <definedName name="XRefCopy66Row" localSheetId="39" hidden="1">#REF!</definedName>
    <definedName name="XRefCopy66Row" localSheetId="12" hidden="1">#REF!</definedName>
    <definedName name="XRefCopy66Row" localSheetId="10" hidden="1">#REF!</definedName>
    <definedName name="XRefCopy66Row" localSheetId="6" hidden="1">#REF!</definedName>
    <definedName name="XRefCopy66Row" hidden="1">#REF!</definedName>
    <definedName name="XRefCopy67Row" localSheetId="1" hidden="1">#REF!</definedName>
    <definedName name="XRefCopy67Row" localSheetId="15" hidden="1">#REF!</definedName>
    <definedName name="XRefCopy67Row" localSheetId="7" hidden="1">#REF!</definedName>
    <definedName name="XRefCopy67Row" localSheetId="14" hidden="1">#REF!</definedName>
    <definedName name="XRefCopy67Row" localSheetId="2" hidden="1">#REF!</definedName>
    <definedName name="XRefCopy67Row" localSheetId="34" hidden="1">#REF!</definedName>
    <definedName name="XRefCopy67Row" localSheetId="39" hidden="1">#REF!</definedName>
    <definedName name="XRefCopy67Row" localSheetId="12" hidden="1">#REF!</definedName>
    <definedName name="XRefCopy67Row" localSheetId="10" hidden="1">#REF!</definedName>
    <definedName name="XRefCopy67Row" localSheetId="6" hidden="1">#REF!</definedName>
    <definedName name="XRefCopy67Row" hidden="1">#REF!</definedName>
    <definedName name="XRefCopy6Row" localSheetId="1" hidden="1">#REF!</definedName>
    <definedName name="XRefCopy6Row" localSheetId="15" hidden="1">#REF!</definedName>
    <definedName name="XRefCopy6Row" localSheetId="7" hidden="1">#REF!</definedName>
    <definedName name="XRefCopy6Row" localSheetId="14" hidden="1">#REF!</definedName>
    <definedName name="XRefCopy6Row" localSheetId="2" hidden="1">#REF!</definedName>
    <definedName name="XRefCopy6Row" localSheetId="34" hidden="1">#REF!</definedName>
    <definedName name="XRefCopy6Row" localSheetId="39" hidden="1">#REF!</definedName>
    <definedName name="XRefCopy6Row" localSheetId="12" hidden="1">#REF!</definedName>
    <definedName name="XRefCopy6Row" localSheetId="10" hidden="1">#REF!</definedName>
    <definedName name="XRefCopy6Row" localSheetId="6" hidden="1">#REF!</definedName>
    <definedName name="XRefCopy6Row" hidden="1">#REF!</definedName>
    <definedName name="XRefCopy7" localSheetId="1" hidden="1">#REF!</definedName>
    <definedName name="XRefCopy7" localSheetId="15" hidden="1">#REF!</definedName>
    <definedName name="XRefCopy7" localSheetId="7" hidden="1">#REF!</definedName>
    <definedName name="XRefCopy7" localSheetId="14" hidden="1">#REF!</definedName>
    <definedName name="XRefCopy7" localSheetId="2" hidden="1">#REF!</definedName>
    <definedName name="XRefCopy7" localSheetId="34" hidden="1">#REF!</definedName>
    <definedName name="XRefCopy7" localSheetId="39" hidden="1">#REF!</definedName>
    <definedName name="XRefCopy7" localSheetId="12" hidden="1">#REF!</definedName>
    <definedName name="XRefCopy7" localSheetId="10" hidden="1">#REF!</definedName>
    <definedName name="XRefCopy7" localSheetId="11" hidden="1">#REF!</definedName>
    <definedName name="XRefCopy7" localSheetId="6" hidden="1">#REF!</definedName>
    <definedName name="XRefCopy7" hidden="1">#REF!</definedName>
    <definedName name="XRefCopy7Row" localSheetId="1" hidden="1">#REF!</definedName>
    <definedName name="XRefCopy7Row" localSheetId="15" hidden="1">#REF!</definedName>
    <definedName name="XRefCopy7Row" localSheetId="7" hidden="1">#REF!</definedName>
    <definedName name="XRefCopy7Row" localSheetId="14" hidden="1">#REF!</definedName>
    <definedName name="XRefCopy7Row" localSheetId="2" hidden="1">#REF!</definedName>
    <definedName name="XRefCopy7Row" localSheetId="34" hidden="1">#REF!</definedName>
    <definedName name="XRefCopy7Row" localSheetId="39" hidden="1">#REF!</definedName>
    <definedName name="XRefCopy7Row" localSheetId="12" hidden="1">#REF!</definedName>
    <definedName name="XRefCopy7Row" localSheetId="10" hidden="1">#REF!</definedName>
    <definedName name="XRefCopy7Row" localSheetId="6" hidden="1">#REF!</definedName>
    <definedName name="XRefCopy7Row" hidden="1">#REF!</definedName>
    <definedName name="XRefCopy8" localSheetId="1" hidden="1">#REF!</definedName>
    <definedName name="XRefCopy8" localSheetId="15" hidden="1">#REF!</definedName>
    <definedName name="XRefCopy8" localSheetId="7" hidden="1">#REF!</definedName>
    <definedName name="XRefCopy8" localSheetId="14" hidden="1">#REF!</definedName>
    <definedName name="XRefCopy8" localSheetId="2" hidden="1">#REF!</definedName>
    <definedName name="XRefCopy8" localSheetId="34" hidden="1">#REF!</definedName>
    <definedName name="XRefCopy8" localSheetId="39" hidden="1">#REF!</definedName>
    <definedName name="XRefCopy8" localSheetId="12" hidden="1">#REF!</definedName>
    <definedName name="XRefCopy8" localSheetId="10" hidden="1">#REF!</definedName>
    <definedName name="XRefCopy8" localSheetId="11" hidden="1">#REF!</definedName>
    <definedName name="XRefCopy8" localSheetId="6" hidden="1">#REF!</definedName>
    <definedName name="XRefCopy8" hidden="1">#REF!</definedName>
    <definedName name="XRefCopy82Row" localSheetId="1" hidden="1">#REF!</definedName>
    <definedName name="XRefCopy82Row" localSheetId="15" hidden="1">#REF!</definedName>
    <definedName name="XRefCopy82Row" localSheetId="7" hidden="1">#REF!</definedName>
    <definedName name="XRefCopy82Row" localSheetId="14" hidden="1">#REF!</definedName>
    <definedName name="XRefCopy82Row" localSheetId="2" hidden="1">#REF!</definedName>
    <definedName name="XRefCopy82Row" localSheetId="34" hidden="1">#REF!</definedName>
    <definedName name="XRefCopy82Row" localSheetId="39" hidden="1">#REF!</definedName>
    <definedName name="XRefCopy82Row" localSheetId="12" hidden="1">#REF!</definedName>
    <definedName name="XRefCopy82Row" localSheetId="10" hidden="1">#REF!</definedName>
    <definedName name="XRefCopy82Row" localSheetId="6" hidden="1">#REF!</definedName>
    <definedName name="XRefCopy82Row" hidden="1">#REF!</definedName>
    <definedName name="XRefCopy87" localSheetId="1" hidden="1">#REF!</definedName>
    <definedName name="XRefCopy87" localSheetId="15" hidden="1">#REF!</definedName>
    <definedName name="XRefCopy87" localSheetId="7" hidden="1">#REF!</definedName>
    <definedName name="XRefCopy87" localSheetId="14" hidden="1">#REF!</definedName>
    <definedName name="XRefCopy87" localSheetId="2" hidden="1">#REF!</definedName>
    <definedName name="XRefCopy87" localSheetId="34" hidden="1">#REF!</definedName>
    <definedName name="XRefCopy87" localSheetId="39" hidden="1">#REF!</definedName>
    <definedName name="XRefCopy87" localSheetId="12" hidden="1">#REF!</definedName>
    <definedName name="XRefCopy87" localSheetId="10" hidden="1">#REF!</definedName>
    <definedName name="XRefCopy87" localSheetId="6" hidden="1">#REF!</definedName>
    <definedName name="XRefCopy87" hidden="1">#REF!</definedName>
    <definedName name="XRefCopy87Row" localSheetId="1" hidden="1">#REF!</definedName>
    <definedName name="XRefCopy87Row" localSheetId="15" hidden="1">#REF!</definedName>
    <definedName name="XRefCopy87Row" localSheetId="7" hidden="1">#REF!</definedName>
    <definedName name="XRefCopy87Row" localSheetId="2" hidden="1">#REF!</definedName>
    <definedName name="XRefCopy87Row" localSheetId="34" hidden="1">#REF!</definedName>
    <definedName name="XRefCopy87Row" localSheetId="39" hidden="1">#REF!</definedName>
    <definedName name="XRefCopy87Row" localSheetId="12" hidden="1">#REF!</definedName>
    <definedName name="XRefCopy87Row" localSheetId="10" hidden="1">#REF!</definedName>
    <definedName name="XRefCopy87Row" localSheetId="6" hidden="1">#REF!</definedName>
    <definedName name="XRefCopy87Row" hidden="1">#REF!</definedName>
    <definedName name="XRefCopy88" localSheetId="1" hidden="1">#REF!</definedName>
    <definedName name="XRefCopy88" localSheetId="15" hidden="1">#REF!</definedName>
    <definedName name="XRefCopy88" localSheetId="7" hidden="1">#REF!</definedName>
    <definedName name="XRefCopy88" localSheetId="14" hidden="1">#REF!</definedName>
    <definedName name="XRefCopy88" localSheetId="2" hidden="1">#REF!</definedName>
    <definedName name="XRefCopy88" localSheetId="34" hidden="1">#REF!</definedName>
    <definedName name="XRefCopy88" localSheetId="39" hidden="1">#REF!</definedName>
    <definedName name="XRefCopy88" localSheetId="12" hidden="1">#REF!</definedName>
    <definedName name="XRefCopy88" localSheetId="10" hidden="1">#REF!</definedName>
    <definedName name="XRefCopy88" localSheetId="6" hidden="1">#REF!</definedName>
    <definedName name="XRefCopy88" hidden="1">#REF!</definedName>
    <definedName name="XRefCopy88Row" localSheetId="1" hidden="1">#REF!</definedName>
    <definedName name="XRefCopy88Row" localSheetId="15" hidden="1">#REF!</definedName>
    <definedName name="XRefCopy88Row" localSheetId="7" hidden="1">#REF!</definedName>
    <definedName name="XRefCopy88Row" localSheetId="2" hidden="1">#REF!</definedName>
    <definedName name="XRefCopy88Row" localSheetId="34" hidden="1">#REF!</definedName>
    <definedName name="XRefCopy88Row" localSheetId="39" hidden="1">#REF!</definedName>
    <definedName name="XRefCopy88Row" localSheetId="12" hidden="1">#REF!</definedName>
    <definedName name="XRefCopy88Row" localSheetId="10" hidden="1">#REF!</definedName>
    <definedName name="XRefCopy88Row" localSheetId="6" hidden="1">#REF!</definedName>
    <definedName name="XRefCopy88Row" hidden="1">#REF!</definedName>
    <definedName name="XRefCopy89" localSheetId="1" hidden="1">#REF!</definedName>
    <definedName name="XRefCopy89" localSheetId="15" hidden="1">#REF!</definedName>
    <definedName name="XRefCopy89" localSheetId="7" hidden="1">#REF!</definedName>
    <definedName name="XRefCopy89" localSheetId="14" hidden="1">#REF!</definedName>
    <definedName name="XRefCopy89" localSheetId="2" hidden="1">#REF!</definedName>
    <definedName name="XRefCopy89" localSheetId="34" hidden="1">#REF!</definedName>
    <definedName name="XRefCopy89" localSheetId="39" hidden="1">#REF!</definedName>
    <definedName name="XRefCopy89" localSheetId="12" hidden="1">#REF!</definedName>
    <definedName name="XRefCopy89" localSheetId="10" hidden="1">#REF!</definedName>
    <definedName name="XRefCopy89" localSheetId="6" hidden="1">#REF!</definedName>
    <definedName name="XRefCopy89" hidden="1">#REF!</definedName>
    <definedName name="XRefCopy89Row" localSheetId="1" hidden="1">#REF!</definedName>
    <definedName name="XRefCopy89Row" localSheetId="15" hidden="1">#REF!</definedName>
    <definedName name="XRefCopy89Row" localSheetId="7" hidden="1">#REF!</definedName>
    <definedName name="XRefCopy89Row" localSheetId="2" hidden="1">#REF!</definedName>
    <definedName name="XRefCopy89Row" localSheetId="34" hidden="1">#REF!</definedName>
    <definedName name="XRefCopy89Row" localSheetId="39" hidden="1">#REF!</definedName>
    <definedName name="XRefCopy89Row" localSheetId="12" hidden="1">#REF!</definedName>
    <definedName name="XRefCopy89Row" localSheetId="10" hidden="1">#REF!</definedName>
    <definedName name="XRefCopy89Row" localSheetId="6" hidden="1">#REF!</definedName>
    <definedName name="XRefCopy89Row" hidden="1">#REF!</definedName>
    <definedName name="XRefCopy8Row" localSheetId="1" hidden="1">#REF!</definedName>
    <definedName name="XRefCopy8Row" localSheetId="15" hidden="1">#REF!</definedName>
    <definedName name="XRefCopy8Row" localSheetId="7" hidden="1">#REF!</definedName>
    <definedName name="XRefCopy8Row" localSheetId="14" hidden="1">#REF!</definedName>
    <definedName name="XRefCopy8Row" localSheetId="2" hidden="1">#REF!</definedName>
    <definedName name="XRefCopy8Row" localSheetId="34" hidden="1">#REF!</definedName>
    <definedName name="XRefCopy8Row" localSheetId="39" hidden="1">#REF!</definedName>
    <definedName name="XRefCopy8Row" localSheetId="12" hidden="1">#REF!</definedName>
    <definedName name="XRefCopy8Row" localSheetId="10" hidden="1">#REF!</definedName>
    <definedName name="XRefCopy8Row" localSheetId="6" hidden="1">#REF!</definedName>
    <definedName name="XRefCopy8Row" hidden="1">#REF!</definedName>
    <definedName name="XRefCopy9" localSheetId="1" hidden="1">#REF!</definedName>
    <definedName name="XRefCopy9" localSheetId="15" hidden="1">#REF!</definedName>
    <definedName name="XRefCopy9" localSheetId="7" hidden="1">#REF!</definedName>
    <definedName name="XRefCopy9" localSheetId="2" hidden="1">#REF!</definedName>
    <definedName name="XRefCopy9" localSheetId="34" hidden="1">#REF!</definedName>
    <definedName name="XRefCopy9" localSheetId="39" hidden="1">#REF!</definedName>
    <definedName name="XRefCopy9" localSheetId="12" hidden="1">#REF!</definedName>
    <definedName name="XRefCopy9" localSheetId="10" hidden="1">#REF!</definedName>
    <definedName name="XRefCopy9" localSheetId="11" hidden="1">#REF!</definedName>
    <definedName name="XRefCopy9" localSheetId="6" hidden="1">#REF!</definedName>
    <definedName name="XRefCopy9" hidden="1">#REF!</definedName>
    <definedName name="XRefCopy91Row" localSheetId="1" hidden="1">#REF!</definedName>
    <definedName name="XRefCopy91Row" localSheetId="7" hidden="1">#REF!</definedName>
    <definedName name="XRefCopy91Row" localSheetId="2" hidden="1">#REF!</definedName>
    <definedName name="XRefCopy91Row" localSheetId="34" hidden="1">#REF!</definedName>
    <definedName name="XRefCopy91Row" localSheetId="39" hidden="1">#REF!</definedName>
    <definedName name="XRefCopy91Row" localSheetId="12" hidden="1">#REF!</definedName>
    <definedName name="XRefCopy91Row" localSheetId="10" hidden="1">#REF!</definedName>
    <definedName name="XRefCopy91Row" localSheetId="6" hidden="1">#REF!</definedName>
    <definedName name="XRefCopy91Row" hidden="1">#REF!</definedName>
    <definedName name="XRefCopy9Row" localSheetId="1" hidden="1">#REF!</definedName>
    <definedName name="XRefCopy9Row" localSheetId="15" hidden="1">#REF!</definedName>
    <definedName name="XRefCopy9Row" localSheetId="7" hidden="1">#REF!</definedName>
    <definedName name="XRefCopy9Row" localSheetId="14" hidden="1">#REF!</definedName>
    <definedName name="XRefCopy9Row" localSheetId="2" hidden="1">#REF!</definedName>
    <definedName name="XRefCopy9Row" localSheetId="34" hidden="1">#REF!</definedName>
    <definedName name="XRefCopy9Row" localSheetId="39" hidden="1">#REF!</definedName>
    <definedName name="XRefCopy9Row" localSheetId="12" hidden="1">#REF!</definedName>
    <definedName name="XRefCopy9Row" localSheetId="10" hidden="1">#REF!</definedName>
    <definedName name="XRefCopy9Row" localSheetId="11" hidden="1">#REF!</definedName>
    <definedName name="XRefCopy9Row" localSheetId="6" hidden="1">#REF!</definedName>
    <definedName name="XRefCopy9Row" hidden="1">#REF!</definedName>
    <definedName name="XRefCopyRangeCount" hidden="1">3</definedName>
    <definedName name="XRefPaste1" localSheetId="1" hidden="1">#REF!</definedName>
    <definedName name="XRefPaste1" localSheetId="15" hidden="1">#REF!</definedName>
    <definedName name="XRefPaste1" localSheetId="7" hidden="1">#REF!</definedName>
    <definedName name="XRefPaste1" localSheetId="2" hidden="1">#REF!</definedName>
    <definedName name="XRefPaste1" localSheetId="34" hidden="1">#REF!</definedName>
    <definedName name="XRefPaste1" localSheetId="39" hidden="1">#REF!</definedName>
    <definedName name="XRefPaste1" localSheetId="12" hidden="1">#REF!</definedName>
    <definedName name="XRefPaste1" localSheetId="10" hidden="1">#REF!</definedName>
    <definedName name="XRefPaste1" localSheetId="11" hidden="1">#REF!</definedName>
    <definedName name="XRefPaste1" localSheetId="6" hidden="1">#REF!</definedName>
    <definedName name="XRefPaste1" hidden="1">#REF!</definedName>
    <definedName name="XRefPaste10" localSheetId="1" hidden="1">#REF!</definedName>
    <definedName name="XRefPaste10" localSheetId="15" hidden="1">#REF!</definedName>
    <definedName name="XRefPaste10" localSheetId="7" hidden="1">#REF!</definedName>
    <definedName name="XRefPaste10" localSheetId="14" hidden="1">#REF!</definedName>
    <definedName name="XRefPaste10" localSheetId="2" hidden="1">#REF!</definedName>
    <definedName name="XRefPaste10" localSheetId="34" hidden="1">#REF!</definedName>
    <definedName name="XRefPaste10" localSheetId="39" hidden="1">#REF!</definedName>
    <definedName name="XRefPaste10" localSheetId="12" hidden="1">#REF!</definedName>
    <definedName name="XRefPaste10" localSheetId="10" hidden="1">#REF!</definedName>
    <definedName name="XRefPaste10" localSheetId="6" hidden="1">#REF!</definedName>
    <definedName name="XRefPaste10" hidden="1">#REF!</definedName>
    <definedName name="XRefPaste10Row" localSheetId="1" hidden="1">#REF!</definedName>
    <definedName name="XRefPaste10Row" localSheetId="15" hidden="1">#REF!</definedName>
    <definedName name="XRefPaste10Row" localSheetId="7" hidden="1">#REF!</definedName>
    <definedName name="XRefPaste10Row" localSheetId="14" hidden="1">#REF!</definedName>
    <definedName name="XRefPaste10Row" localSheetId="2" hidden="1">#REF!</definedName>
    <definedName name="XRefPaste10Row" localSheetId="34" hidden="1">#REF!</definedName>
    <definedName name="XRefPaste10Row" localSheetId="39" hidden="1">#REF!</definedName>
    <definedName name="XRefPaste10Row" localSheetId="12" hidden="1">#REF!</definedName>
    <definedName name="XRefPaste10Row" localSheetId="10" hidden="1">#REF!</definedName>
    <definedName name="XRefPaste10Row" localSheetId="11" hidden="1">#REF!</definedName>
    <definedName name="XRefPaste10Row" localSheetId="6" hidden="1">#REF!</definedName>
    <definedName name="XRefPaste10Row" hidden="1">#REF!</definedName>
    <definedName name="XRefPaste11Row" localSheetId="1" hidden="1">#REF!</definedName>
    <definedName name="XRefPaste11Row" localSheetId="15" hidden="1">#REF!</definedName>
    <definedName name="XRefPaste11Row" localSheetId="7" hidden="1">#REF!</definedName>
    <definedName name="XRefPaste11Row" localSheetId="14" hidden="1">#REF!</definedName>
    <definedName name="XRefPaste11Row" localSheetId="2" hidden="1">#REF!</definedName>
    <definedName name="XRefPaste11Row" localSheetId="34" hidden="1">#REF!</definedName>
    <definedName name="XRefPaste11Row" localSheetId="39" hidden="1">#REF!</definedName>
    <definedName name="XRefPaste11Row" localSheetId="12" hidden="1">#REF!</definedName>
    <definedName name="XRefPaste11Row" localSheetId="10" hidden="1">#REF!</definedName>
    <definedName name="XRefPaste11Row" localSheetId="11" hidden="1">#REF!</definedName>
    <definedName name="XRefPaste11Row" localSheetId="6" hidden="1">#REF!</definedName>
    <definedName name="XRefPaste11Row" hidden="1">#REF!</definedName>
    <definedName name="XRefPaste12" localSheetId="1" hidden="1">#REF!</definedName>
    <definedName name="XRefPaste12" localSheetId="15" hidden="1">#REF!</definedName>
    <definedName name="XRefPaste12" localSheetId="7" hidden="1">#REF!</definedName>
    <definedName name="XRefPaste12" localSheetId="14" hidden="1">#REF!</definedName>
    <definedName name="XRefPaste12" localSheetId="2" hidden="1">#REF!</definedName>
    <definedName name="XRefPaste12" localSheetId="34" hidden="1">#REF!</definedName>
    <definedName name="XRefPaste12" localSheetId="39" hidden="1">#REF!</definedName>
    <definedName name="XRefPaste12" localSheetId="12" hidden="1">#REF!</definedName>
    <definedName name="XRefPaste12" localSheetId="10" hidden="1">#REF!</definedName>
    <definedName name="XRefPaste12" localSheetId="6" hidden="1">#REF!</definedName>
    <definedName name="XRefPaste12" hidden="1">#REF!</definedName>
    <definedName name="XRefPaste12Row" localSheetId="1" hidden="1">#REF!</definedName>
    <definedName name="XRefPaste12Row" localSheetId="15" hidden="1">#REF!</definedName>
    <definedName name="XRefPaste12Row" localSheetId="7" hidden="1">#REF!</definedName>
    <definedName name="XRefPaste12Row" localSheetId="14" hidden="1">#REF!</definedName>
    <definedName name="XRefPaste12Row" localSheetId="2" hidden="1">#REF!</definedName>
    <definedName name="XRefPaste12Row" localSheetId="34" hidden="1">#REF!</definedName>
    <definedName name="XRefPaste12Row" localSheetId="39" hidden="1">#REF!</definedName>
    <definedName name="XRefPaste12Row" localSheetId="12" hidden="1">#REF!</definedName>
    <definedName name="XRefPaste12Row" localSheetId="10" hidden="1">#REF!</definedName>
    <definedName name="XRefPaste12Row" localSheetId="11" hidden="1">#REF!</definedName>
    <definedName name="XRefPaste12Row" localSheetId="6" hidden="1">#REF!</definedName>
    <definedName name="XRefPaste12Row" hidden="1">#REF!</definedName>
    <definedName name="XRefPaste13Row" localSheetId="1" hidden="1">#REF!</definedName>
    <definedName name="XRefPaste13Row" localSheetId="15" hidden="1">#REF!</definedName>
    <definedName name="XRefPaste13Row" localSheetId="7" hidden="1">#REF!</definedName>
    <definedName name="XRefPaste13Row" localSheetId="14" hidden="1">#REF!</definedName>
    <definedName name="XRefPaste13Row" localSheetId="2" hidden="1">#REF!</definedName>
    <definedName name="XRefPaste13Row" localSheetId="34" hidden="1">#REF!</definedName>
    <definedName name="XRefPaste13Row" localSheetId="39" hidden="1">#REF!</definedName>
    <definedName name="XRefPaste13Row" localSheetId="12" hidden="1">#REF!</definedName>
    <definedName name="XRefPaste13Row" localSheetId="10" hidden="1">#REF!</definedName>
    <definedName name="XRefPaste13Row" localSheetId="11" hidden="1">#REF!</definedName>
    <definedName name="XRefPaste13Row" localSheetId="6" hidden="1">#REF!</definedName>
    <definedName name="XRefPaste13Row" hidden="1">#REF!</definedName>
    <definedName name="XRefPaste14" localSheetId="1" hidden="1">#REF!</definedName>
    <definedName name="XRefPaste14" localSheetId="15" hidden="1">#REF!</definedName>
    <definedName name="XRefPaste14" localSheetId="7" hidden="1">#REF!</definedName>
    <definedName name="XRefPaste14" localSheetId="14" hidden="1">#REF!</definedName>
    <definedName name="XRefPaste14" localSheetId="2" hidden="1">#REF!</definedName>
    <definedName name="XRefPaste14" localSheetId="34" hidden="1">#REF!</definedName>
    <definedName name="XRefPaste14" localSheetId="39" hidden="1">#REF!</definedName>
    <definedName name="XRefPaste14" localSheetId="12" hidden="1">#REF!</definedName>
    <definedName name="XRefPaste14" localSheetId="10" hidden="1">#REF!</definedName>
    <definedName name="XRefPaste14" localSheetId="6" hidden="1">#REF!</definedName>
    <definedName name="XRefPaste14" hidden="1">#REF!</definedName>
    <definedName name="XRefPaste14Row" localSheetId="1" hidden="1">#REF!</definedName>
    <definedName name="XRefPaste14Row" localSheetId="15" hidden="1">#REF!</definedName>
    <definedName name="XRefPaste14Row" localSheetId="7" hidden="1">#REF!</definedName>
    <definedName name="XRefPaste14Row" localSheetId="14" hidden="1">#REF!</definedName>
    <definedName name="XRefPaste14Row" localSheetId="2" hidden="1">#REF!</definedName>
    <definedName name="XRefPaste14Row" localSheetId="34" hidden="1">#REF!</definedName>
    <definedName name="XRefPaste14Row" localSheetId="39" hidden="1">#REF!</definedName>
    <definedName name="XRefPaste14Row" localSheetId="12" hidden="1">#REF!</definedName>
    <definedName name="XRefPaste14Row" localSheetId="10" hidden="1">#REF!</definedName>
    <definedName name="XRefPaste14Row" localSheetId="11" hidden="1">#REF!</definedName>
    <definedName name="XRefPaste14Row" localSheetId="6" hidden="1">#REF!</definedName>
    <definedName name="XRefPaste14Row" hidden="1">#REF!</definedName>
    <definedName name="XRefPaste15" localSheetId="1" hidden="1">#REF!</definedName>
    <definedName name="XRefPaste15" localSheetId="15" hidden="1">#REF!</definedName>
    <definedName name="XRefPaste15" localSheetId="7" hidden="1">#REF!</definedName>
    <definedName name="XRefPaste15" localSheetId="14" hidden="1">#REF!</definedName>
    <definedName name="XRefPaste15" localSheetId="2" hidden="1">#REF!</definedName>
    <definedName name="XRefPaste15" localSheetId="34" hidden="1">#REF!</definedName>
    <definedName name="XRefPaste15" localSheetId="39" hidden="1">#REF!</definedName>
    <definedName name="XRefPaste15" localSheetId="12" hidden="1">#REF!</definedName>
    <definedName name="XRefPaste15" localSheetId="10" hidden="1">#REF!</definedName>
    <definedName name="XRefPaste15" localSheetId="6" hidden="1">#REF!</definedName>
    <definedName name="XRefPaste15" hidden="1">#REF!</definedName>
    <definedName name="XRefPaste15Row" localSheetId="1" hidden="1">#REF!</definedName>
    <definedName name="XRefPaste15Row" localSheetId="15" hidden="1">#REF!</definedName>
    <definedName name="XRefPaste15Row" localSheetId="7" hidden="1">#REF!</definedName>
    <definedName name="XRefPaste15Row" localSheetId="14" hidden="1">#REF!</definedName>
    <definedName name="XRefPaste15Row" localSheetId="2" hidden="1">#REF!</definedName>
    <definedName name="XRefPaste15Row" localSheetId="34" hidden="1">#REF!</definedName>
    <definedName name="XRefPaste15Row" localSheetId="39" hidden="1">#REF!</definedName>
    <definedName name="XRefPaste15Row" localSheetId="12" hidden="1">#REF!</definedName>
    <definedName name="XRefPaste15Row" localSheetId="10" hidden="1">#REF!</definedName>
    <definedName name="XRefPaste15Row" localSheetId="11" hidden="1">#REF!</definedName>
    <definedName name="XRefPaste15Row" localSheetId="6" hidden="1">#REF!</definedName>
    <definedName name="XRefPaste15Row" hidden="1">#REF!</definedName>
    <definedName name="XRefPaste16" localSheetId="1" hidden="1">#REF!</definedName>
    <definedName name="XRefPaste16" localSheetId="15" hidden="1">#REF!</definedName>
    <definedName name="XRefPaste16" localSheetId="7" hidden="1">#REF!</definedName>
    <definedName name="XRefPaste16" localSheetId="14" hidden="1">#REF!</definedName>
    <definedName name="XRefPaste16" localSheetId="2" hidden="1">#REF!</definedName>
    <definedName name="XRefPaste16" localSheetId="34" hidden="1">#REF!</definedName>
    <definedName name="XRefPaste16" localSheetId="39" hidden="1">#REF!</definedName>
    <definedName name="XRefPaste16" localSheetId="12" hidden="1">#REF!</definedName>
    <definedName name="XRefPaste16" localSheetId="10" hidden="1">#REF!</definedName>
    <definedName name="XRefPaste16" localSheetId="6" hidden="1">#REF!</definedName>
    <definedName name="XRefPaste16" hidden="1">#REF!</definedName>
    <definedName name="XRefPaste16Row" localSheetId="1" hidden="1">#REF!</definedName>
    <definedName name="XRefPaste16Row" localSheetId="15" hidden="1">#REF!</definedName>
    <definedName name="XRefPaste16Row" localSheetId="7" hidden="1">#REF!</definedName>
    <definedName name="XRefPaste16Row" localSheetId="14" hidden="1">#REF!</definedName>
    <definedName name="XRefPaste16Row" localSheetId="2" hidden="1">#REF!</definedName>
    <definedName name="XRefPaste16Row" localSheetId="34" hidden="1">#REF!</definedName>
    <definedName name="XRefPaste16Row" localSheetId="39" hidden="1">#REF!</definedName>
    <definedName name="XRefPaste16Row" localSheetId="12" hidden="1">#REF!</definedName>
    <definedName name="XRefPaste16Row" localSheetId="10" hidden="1">#REF!</definedName>
    <definedName name="XRefPaste16Row" localSheetId="11" hidden="1">#REF!</definedName>
    <definedName name="XRefPaste16Row" localSheetId="6" hidden="1">#REF!</definedName>
    <definedName name="XRefPaste16Row" hidden="1">#REF!</definedName>
    <definedName name="XRefPaste17" localSheetId="1" hidden="1">#REF!</definedName>
    <definedName name="XRefPaste17" localSheetId="15" hidden="1">#REF!</definedName>
    <definedName name="XRefPaste17" localSheetId="7" hidden="1">#REF!</definedName>
    <definedName name="XRefPaste17" localSheetId="14" hidden="1">#REF!</definedName>
    <definedName name="XRefPaste17" localSheetId="2" hidden="1">#REF!</definedName>
    <definedName name="XRefPaste17" localSheetId="34" hidden="1">#REF!</definedName>
    <definedName name="XRefPaste17" localSheetId="39" hidden="1">#REF!</definedName>
    <definedName name="XRefPaste17" localSheetId="12" hidden="1">#REF!</definedName>
    <definedName name="XRefPaste17" localSheetId="10" hidden="1">#REF!</definedName>
    <definedName name="XRefPaste17" localSheetId="6" hidden="1">#REF!</definedName>
    <definedName name="XRefPaste17" hidden="1">#REF!</definedName>
    <definedName name="XRefPaste17Row" localSheetId="1" hidden="1">#REF!</definedName>
    <definedName name="XRefPaste17Row" localSheetId="15" hidden="1">#REF!</definedName>
    <definedName name="XRefPaste17Row" localSheetId="7" hidden="1">#REF!</definedName>
    <definedName name="XRefPaste17Row" localSheetId="14" hidden="1">#REF!</definedName>
    <definedName name="XRefPaste17Row" localSheetId="2" hidden="1">#REF!</definedName>
    <definedName name="XRefPaste17Row" localSheetId="34" hidden="1">#REF!</definedName>
    <definedName name="XRefPaste17Row" localSheetId="39" hidden="1">#REF!</definedName>
    <definedName name="XRefPaste17Row" localSheetId="12" hidden="1">#REF!</definedName>
    <definedName name="XRefPaste17Row" localSheetId="10" hidden="1">#REF!</definedName>
    <definedName name="XRefPaste17Row" localSheetId="11" hidden="1">#REF!</definedName>
    <definedName name="XRefPaste17Row" localSheetId="6" hidden="1">#REF!</definedName>
    <definedName name="XRefPaste17Row" hidden="1">#REF!</definedName>
    <definedName name="XRefPaste18" localSheetId="1" hidden="1">#REF!</definedName>
    <definedName name="XRefPaste18" localSheetId="15" hidden="1">#REF!</definedName>
    <definedName name="XRefPaste18" localSheetId="7" hidden="1">#REF!</definedName>
    <definedName name="XRefPaste18" localSheetId="14" hidden="1">#REF!</definedName>
    <definedName name="XRefPaste18" localSheetId="2" hidden="1">#REF!</definedName>
    <definedName name="XRefPaste18" localSheetId="34" hidden="1">#REF!</definedName>
    <definedName name="XRefPaste18" localSheetId="39" hidden="1">#REF!</definedName>
    <definedName name="XRefPaste18" localSheetId="12" hidden="1">#REF!</definedName>
    <definedName name="XRefPaste18" localSheetId="10" hidden="1">#REF!</definedName>
    <definedName name="XRefPaste18" localSheetId="11" hidden="1">#REF!</definedName>
    <definedName name="XRefPaste18" localSheetId="6" hidden="1">#REF!</definedName>
    <definedName name="XRefPaste18" hidden="1">#REF!</definedName>
    <definedName name="XRefPaste18Row" localSheetId="1" hidden="1">#REF!</definedName>
    <definedName name="XRefPaste18Row" localSheetId="15" hidden="1">#REF!</definedName>
    <definedName name="XRefPaste18Row" localSheetId="7" hidden="1">#REF!</definedName>
    <definedName name="XRefPaste18Row" localSheetId="14" hidden="1">#REF!</definedName>
    <definedName name="XRefPaste18Row" localSheetId="2" hidden="1">#REF!</definedName>
    <definedName name="XRefPaste18Row" localSheetId="34" hidden="1">#REF!</definedName>
    <definedName name="XRefPaste18Row" localSheetId="39" hidden="1">#REF!</definedName>
    <definedName name="XRefPaste18Row" localSheetId="12" hidden="1">#REF!</definedName>
    <definedName name="XRefPaste18Row" localSheetId="10" hidden="1">#REF!</definedName>
    <definedName name="XRefPaste18Row" localSheetId="11" hidden="1">#REF!</definedName>
    <definedName name="XRefPaste18Row" localSheetId="6" hidden="1">#REF!</definedName>
    <definedName name="XRefPaste18Row" hidden="1">#REF!</definedName>
    <definedName name="XRefPaste19" localSheetId="1" hidden="1">#REF!</definedName>
    <definedName name="XRefPaste19" localSheetId="15" hidden="1">#REF!</definedName>
    <definedName name="XRefPaste19" localSheetId="7" hidden="1">#REF!</definedName>
    <definedName name="XRefPaste19" localSheetId="14" hidden="1">#REF!</definedName>
    <definedName name="XRefPaste19" localSheetId="2" hidden="1">#REF!</definedName>
    <definedName name="XRefPaste19" localSheetId="34" hidden="1">#REF!</definedName>
    <definedName name="XRefPaste19" localSheetId="39" hidden="1">#REF!</definedName>
    <definedName name="XRefPaste19" localSheetId="12" hidden="1">#REF!</definedName>
    <definedName name="XRefPaste19" localSheetId="10" hidden="1">#REF!</definedName>
    <definedName name="XRefPaste19" localSheetId="6" hidden="1">#REF!</definedName>
    <definedName name="XRefPaste19" hidden="1">#REF!</definedName>
    <definedName name="XRefPaste19Row" localSheetId="1" hidden="1">#REF!</definedName>
    <definedName name="XRefPaste19Row" localSheetId="15" hidden="1">#REF!</definedName>
    <definedName name="XRefPaste19Row" localSheetId="7" hidden="1">#REF!</definedName>
    <definedName name="XRefPaste19Row" localSheetId="14" hidden="1">#REF!</definedName>
    <definedName name="XRefPaste19Row" localSheetId="2" hidden="1">#REF!</definedName>
    <definedName name="XRefPaste19Row" localSheetId="34" hidden="1">#REF!</definedName>
    <definedName name="XRefPaste19Row" localSheetId="39" hidden="1">#REF!</definedName>
    <definedName name="XRefPaste19Row" localSheetId="12" hidden="1">#REF!</definedName>
    <definedName name="XRefPaste19Row" localSheetId="10" hidden="1">#REF!</definedName>
    <definedName name="XRefPaste19Row" localSheetId="11" hidden="1">#REF!</definedName>
    <definedName name="XRefPaste19Row" localSheetId="6" hidden="1">#REF!</definedName>
    <definedName name="XRefPaste19Row" hidden="1">#REF!</definedName>
    <definedName name="XRefPaste1Row" localSheetId="1" hidden="1">#REF!</definedName>
    <definedName name="XRefPaste1Row" localSheetId="15" hidden="1">#REF!</definedName>
    <definedName name="XRefPaste1Row" localSheetId="7" hidden="1">#REF!</definedName>
    <definedName name="XRefPaste1Row" localSheetId="14" hidden="1">#REF!</definedName>
    <definedName name="XRefPaste1Row" localSheetId="2" hidden="1">#REF!</definedName>
    <definedName name="XRefPaste1Row" localSheetId="34" hidden="1">#REF!</definedName>
    <definedName name="XRefPaste1Row" localSheetId="39" hidden="1">#REF!</definedName>
    <definedName name="XRefPaste1Row" localSheetId="12" hidden="1">#REF!</definedName>
    <definedName name="XRefPaste1Row" localSheetId="10" hidden="1">#REF!</definedName>
    <definedName name="XRefPaste1Row" localSheetId="6" hidden="1">#REF!</definedName>
    <definedName name="XRefPaste1Row" hidden="1">#REF!</definedName>
    <definedName name="XRefPaste2" localSheetId="1" hidden="1">#REF!</definedName>
    <definedName name="XRefPaste2" localSheetId="15" hidden="1">#REF!</definedName>
    <definedName name="XRefPaste2" localSheetId="7" hidden="1">#REF!</definedName>
    <definedName name="XRefPaste2" localSheetId="2" hidden="1">#REF!</definedName>
    <definedName name="XRefPaste2" localSheetId="34" hidden="1">#REF!</definedName>
    <definedName name="XRefPaste2" localSheetId="39" hidden="1">#REF!</definedName>
    <definedName name="XRefPaste2" localSheetId="12" hidden="1">#REF!</definedName>
    <definedName name="XRefPaste2" localSheetId="10" hidden="1">#REF!</definedName>
    <definedName name="XRefPaste2" localSheetId="11" hidden="1">#REF!</definedName>
    <definedName name="XRefPaste2" localSheetId="6" hidden="1">#REF!</definedName>
    <definedName name="XRefPaste2" hidden="1">#REF!</definedName>
    <definedName name="XRefPaste20" localSheetId="1" hidden="1">#REF!</definedName>
    <definedName name="XRefPaste20" localSheetId="15" hidden="1">#REF!</definedName>
    <definedName name="XRefPaste20" localSheetId="7" hidden="1">#REF!</definedName>
    <definedName name="XRefPaste20" localSheetId="14" hidden="1">#REF!</definedName>
    <definedName name="XRefPaste20" localSheetId="2" hidden="1">#REF!</definedName>
    <definedName name="XRefPaste20" localSheetId="34" hidden="1">#REF!</definedName>
    <definedName name="XRefPaste20" localSheetId="39" hidden="1">#REF!</definedName>
    <definedName name="XRefPaste20" localSheetId="12" hidden="1">#REF!</definedName>
    <definedName name="XRefPaste20" localSheetId="10" hidden="1">#REF!</definedName>
    <definedName name="XRefPaste20" localSheetId="6" hidden="1">#REF!</definedName>
    <definedName name="XRefPaste20" hidden="1">#REF!</definedName>
    <definedName name="XRefPaste20Row" localSheetId="1" hidden="1">#REF!</definedName>
    <definedName name="XRefPaste20Row" localSheetId="15" hidden="1">#REF!</definedName>
    <definedName name="XRefPaste20Row" localSheetId="7" hidden="1">#REF!</definedName>
    <definedName name="XRefPaste20Row" localSheetId="2" hidden="1">#REF!</definedName>
    <definedName name="XRefPaste20Row" localSheetId="34" hidden="1">#REF!</definedName>
    <definedName name="XRefPaste20Row" localSheetId="39" hidden="1">#REF!</definedName>
    <definedName name="XRefPaste20Row" localSheetId="12" hidden="1">#REF!</definedName>
    <definedName name="XRefPaste20Row" localSheetId="10" hidden="1">#REF!</definedName>
    <definedName name="XRefPaste20Row" localSheetId="6" hidden="1">#REF!</definedName>
    <definedName name="XRefPaste20Row" hidden="1">#REF!</definedName>
    <definedName name="XRefPaste21" localSheetId="1" hidden="1">#REF!</definedName>
    <definedName name="XRefPaste21" localSheetId="15" hidden="1">#REF!</definedName>
    <definedName name="XRefPaste21" localSheetId="7" hidden="1">#REF!</definedName>
    <definedName name="XRefPaste21" localSheetId="14" hidden="1">#REF!</definedName>
    <definedName name="XRefPaste21" localSheetId="2" hidden="1">#REF!</definedName>
    <definedName name="XRefPaste21" localSheetId="34" hidden="1">#REF!</definedName>
    <definedName name="XRefPaste21" localSheetId="39" hidden="1">#REF!</definedName>
    <definedName name="XRefPaste21" localSheetId="12" hidden="1">#REF!</definedName>
    <definedName name="XRefPaste21" localSheetId="10" hidden="1">#REF!</definedName>
    <definedName name="XRefPaste21" localSheetId="6" hidden="1">#REF!</definedName>
    <definedName name="XRefPaste21" hidden="1">#REF!</definedName>
    <definedName name="XRefPaste21Row" localSheetId="1" hidden="1">#REF!</definedName>
    <definedName name="XRefPaste21Row" localSheetId="15" hidden="1">#REF!</definedName>
    <definedName name="XRefPaste21Row" localSheetId="7" hidden="1">#REF!</definedName>
    <definedName name="XRefPaste21Row" localSheetId="14" hidden="1">#REF!</definedName>
    <definedName name="XRefPaste21Row" localSheetId="2" hidden="1">#REF!</definedName>
    <definedName name="XRefPaste21Row" localSheetId="34" hidden="1">#REF!</definedName>
    <definedName name="XRefPaste21Row" localSheetId="39" hidden="1">#REF!</definedName>
    <definedName name="XRefPaste21Row" localSheetId="12" hidden="1">#REF!</definedName>
    <definedName name="XRefPaste21Row" localSheetId="10" hidden="1">#REF!</definedName>
    <definedName name="XRefPaste21Row" localSheetId="11" hidden="1">#REF!</definedName>
    <definedName name="XRefPaste21Row" localSheetId="6" hidden="1">#REF!</definedName>
    <definedName name="XRefPaste21Row" hidden="1">#REF!</definedName>
    <definedName name="XRefPaste22" localSheetId="1" hidden="1">#REF!</definedName>
    <definedName name="XRefPaste22" localSheetId="15" hidden="1">#REF!</definedName>
    <definedName name="XRefPaste22" localSheetId="7" hidden="1">#REF!</definedName>
    <definedName name="XRefPaste22" localSheetId="14" hidden="1">#REF!</definedName>
    <definedName name="XRefPaste22" localSheetId="2" hidden="1">#REF!</definedName>
    <definedName name="XRefPaste22" localSheetId="34" hidden="1">#REF!</definedName>
    <definedName name="XRefPaste22" localSheetId="39" hidden="1">#REF!</definedName>
    <definedName name="XRefPaste22" localSheetId="12" hidden="1">#REF!</definedName>
    <definedName name="XRefPaste22" localSheetId="10" hidden="1">#REF!</definedName>
    <definedName name="XRefPaste22" localSheetId="11" hidden="1">#REF!</definedName>
    <definedName name="XRefPaste22" localSheetId="6" hidden="1">#REF!</definedName>
    <definedName name="XRefPaste22" hidden="1">#REF!</definedName>
    <definedName name="XRefPaste22Row" localSheetId="1" hidden="1">#REF!</definedName>
    <definedName name="XRefPaste22Row" localSheetId="15" hidden="1">#REF!</definedName>
    <definedName name="XRefPaste22Row" localSheetId="7" hidden="1">#REF!</definedName>
    <definedName name="XRefPaste22Row" localSheetId="2" hidden="1">#REF!</definedName>
    <definedName name="XRefPaste22Row" localSheetId="34" hidden="1">#REF!</definedName>
    <definedName name="XRefPaste22Row" localSheetId="39" hidden="1">#REF!</definedName>
    <definedName name="XRefPaste22Row" localSheetId="12" hidden="1">#REF!</definedName>
    <definedName name="XRefPaste22Row" localSheetId="10" hidden="1">#REF!</definedName>
    <definedName name="XRefPaste22Row" localSheetId="6" hidden="1">#REF!</definedName>
    <definedName name="XRefPaste22Row" hidden="1">#REF!</definedName>
    <definedName name="XRefPaste23" localSheetId="1" hidden="1">#REF!</definedName>
    <definedName name="XRefPaste23" localSheetId="15" hidden="1">#REF!</definedName>
    <definedName name="XRefPaste23" localSheetId="7" hidden="1">#REF!</definedName>
    <definedName name="XRefPaste23" localSheetId="14" hidden="1">#REF!</definedName>
    <definedName name="XRefPaste23" localSheetId="2" hidden="1">#REF!</definedName>
    <definedName name="XRefPaste23" localSheetId="34" hidden="1">#REF!</definedName>
    <definedName name="XRefPaste23" localSheetId="39" hidden="1">#REF!</definedName>
    <definedName name="XRefPaste23" localSheetId="12" hidden="1">#REF!</definedName>
    <definedName name="XRefPaste23" localSheetId="10" hidden="1">#REF!</definedName>
    <definedName name="XRefPaste23" localSheetId="6" hidden="1">#REF!</definedName>
    <definedName name="XRefPaste23" hidden="1">#REF!</definedName>
    <definedName name="XRefPaste23Row" localSheetId="1" hidden="1">#REF!</definedName>
    <definedName name="XRefPaste23Row" localSheetId="15" hidden="1">#REF!</definedName>
    <definedName name="XRefPaste23Row" localSheetId="7" hidden="1">#REF!</definedName>
    <definedName name="XRefPaste23Row" localSheetId="14" hidden="1">#REF!</definedName>
    <definedName name="XRefPaste23Row" localSheetId="2" hidden="1">#REF!</definedName>
    <definedName name="XRefPaste23Row" localSheetId="34" hidden="1">#REF!</definedName>
    <definedName name="XRefPaste23Row" localSheetId="39" hidden="1">#REF!</definedName>
    <definedName name="XRefPaste23Row" localSheetId="12" hidden="1">#REF!</definedName>
    <definedName name="XRefPaste23Row" localSheetId="10" hidden="1">#REF!</definedName>
    <definedName name="XRefPaste23Row" localSheetId="11" hidden="1">#REF!</definedName>
    <definedName name="XRefPaste23Row" localSheetId="6" hidden="1">#REF!</definedName>
    <definedName name="XRefPaste23Row" hidden="1">#REF!</definedName>
    <definedName name="XRefPaste24" localSheetId="1" hidden="1">#REF!</definedName>
    <definedName name="XRefPaste24" localSheetId="15" hidden="1">#REF!</definedName>
    <definedName name="XRefPaste24" localSheetId="7" hidden="1">#REF!</definedName>
    <definedName name="XRefPaste24" localSheetId="14" hidden="1">#REF!</definedName>
    <definedName name="XRefPaste24" localSheetId="2" hidden="1">#REF!</definedName>
    <definedName name="XRefPaste24" localSheetId="34" hidden="1">#REF!</definedName>
    <definedName name="XRefPaste24" localSheetId="39" hidden="1">#REF!</definedName>
    <definedName name="XRefPaste24" localSheetId="12" hidden="1">#REF!</definedName>
    <definedName name="XRefPaste24" localSheetId="10" hidden="1">#REF!</definedName>
    <definedName name="XRefPaste24" localSheetId="6" hidden="1">#REF!</definedName>
    <definedName name="XRefPaste24" hidden="1">#REF!</definedName>
    <definedName name="XRefPaste24Row" localSheetId="1" hidden="1">#REF!</definedName>
    <definedName name="XRefPaste24Row" localSheetId="15" hidden="1">#REF!</definedName>
    <definedName name="XRefPaste24Row" localSheetId="7" hidden="1">#REF!</definedName>
    <definedName name="XRefPaste24Row" localSheetId="14" hidden="1">#REF!</definedName>
    <definedName name="XRefPaste24Row" localSheetId="2" hidden="1">#REF!</definedName>
    <definedName name="XRefPaste24Row" localSheetId="34" hidden="1">#REF!</definedName>
    <definedName name="XRefPaste24Row" localSheetId="39" hidden="1">#REF!</definedName>
    <definedName name="XRefPaste24Row" localSheetId="12" hidden="1">#REF!</definedName>
    <definedName name="XRefPaste24Row" localSheetId="10" hidden="1">#REF!</definedName>
    <definedName name="XRefPaste24Row" localSheetId="6" hidden="1">#REF!</definedName>
    <definedName name="XRefPaste24Row" hidden="1">#REF!</definedName>
    <definedName name="XRefPaste25" localSheetId="1" hidden="1">#REF!</definedName>
    <definedName name="XRefPaste25" localSheetId="15" hidden="1">#REF!</definedName>
    <definedName name="XRefPaste25" localSheetId="7" hidden="1">#REF!</definedName>
    <definedName name="XRefPaste25" localSheetId="14" hidden="1">#REF!</definedName>
    <definedName name="XRefPaste25" localSheetId="2" hidden="1">#REF!</definedName>
    <definedName name="XRefPaste25" localSheetId="34" hidden="1">#REF!</definedName>
    <definedName name="XRefPaste25" localSheetId="39" hidden="1">#REF!</definedName>
    <definedName name="XRefPaste25" localSheetId="12" hidden="1">#REF!</definedName>
    <definedName name="XRefPaste25" localSheetId="10" hidden="1">#REF!</definedName>
    <definedName name="XRefPaste25" localSheetId="6" hidden="1">#REF!</definedName>
    <definedName name="XRefPaste25" hidden="1">#REF!</definedName>
    <definedName name="XRefPaste25Row" localSheetId="1" hidden="1">#REF!</definedName>
    <definedName name="XRefPaste25Row" localSheetId="15" hidden="1">#REF!</definedName>
    <definedName name="XRefPaste25Row" localSheetId="7" hidden="1">#REF!</definedName>
    <definedName name="XRefPaste25Row" localSheetId="14" hidden="1">#REF!</definedName>
    <definedName name="XRefPaste25Row" localSheetId="2" hidden="1">#REF!</definedName>
    <definedName name="XRefPaste25Row" localSheetId="34" hidden="1">#REF!</definedName>
    <definedName name="XRefPaste25Row" localSheetId="39" hidden="1">#REF!</definedName>
    <definedName name="XRefPaste25Row" localSheetId="12" hidden="1">#REF!</definedName>
    <definedName name="XRefPaste25Row" localSheetId="10" hidden="1">#REF!</definedName>
    <definedName name="XRefPaste25Row" localSheetId="11" hidden="1">#REF!</definedName>
    <definedName name="XRefPaste25Row" localSheetId="6" hidden="1">#REF!</definedName>
    <definedName name="XRefPaste25Row" hidden="1">#REF!</definedName>
    <definedName name="XRefPaste26" localSheetId="1" hidden="1">#REF!</definedName>
    <definedName name="XRefPaste26" localSheetId="15" hidden="1">#REF!</definedName>
    <definedName name="XRefPaste26" localSheetId="7" hidden="1">#REF!</definedName>
    <definedName name="XRefPaste26" localSheetId="14" hidden="1">#REF!</definedName>
    <definedName name="XRefPaste26" localSheetId="2" hidden="1">#REF!</definedName>
    <definedName name="XRefPaste26" localSheetId="34" hidden="1">#REF!</definedName>
    <definedName name="XRefPaste26" localSheetId="39" hidden="1">#REF!</definedName>
    <definedName name="XRefPaste26" localSheetId="12" hidden="1">#REF!</definedName>
    <definedName name="XRefPaste26" localSheetId="10" hidden="1">#REF!</definedName>
    <definedName name="XRefPaste26" localSheetId="6" hidden="1">#REF!</definedName>
    <definedName name="XRefPaste26" hidden="1">#REF!</definedName>
    <definedName name="XRefPaste26Row" localSheetId="1" hidden="1">#REF!</definedName>
    <definedName name="XRefPaste26Row" localSheetId="15" hidden="1">#REF!</definedName>
    <definedName name="XRefPaste26Row" localSheetId="7" hidden="1">#REF!</definedName>
    <definedName name="XRefPaste26Row" localSheetId="14" hidden="1">#REF!</definedName>
    <definedName name="XRefPaste26Row" localSheetId="2" hidden="1">#REF!</definedName>
    <definedName name="XRefPaste26Row" localSheetId="34" hidden="1">#REF!</definedName>
    <definedName name="XRefPaste26Row" localSheetId="39" hidden="1">#REF!</definedName>
    <definedName name="XRefPaste26Row" localSheetId="12" hidden="1">#REF!</definedName>
    <definedName name="XRefPaste26Row" localSheetId="10" hidden="1">#REF!</definedName>
    <definedName name="XRefPaste26Row" localSheetId="11" hidden="1">#REF!</definedName>
    <definedName name="XRefPaste26Row" localSheetId="6" hidden="1">#REF!</definedName>
    <definedName name="XRefPaste26Row" hidden="1">#REF!</definedName>
    <definedName name="XRefPaste27" localSheetId="1" hidden="1">#REF!</definedName>
    <definedName name="XRefPaste27" localSheetId="15" hidden="1">#REF!</definedName>
    <definedName name="XRefPaste27" localSheetId="7" hidden="1">#REF!</definedName>
    <definedName name="XRefPaste27" localSheetId="14" hidden="1">#REF!</definedName>
    <definedName name="XRefPaste27" localSheetId="2" hidden="1">#REF!</definedName>
    <definedName name="XRefPaste27" localSheetId="34" hidden="1">#REF!</definedName>
    <definedName name="XRefPaste27" localSheetId="39" hidden="1">#REF!</definedName>
    <definedName name="XRefPaste27" localSheetId="12" hidden="1">#REF!</definedName>
    <definedName name="XRefPaste27" localSheetId="10" hidden="1">#REF!</definedName>
    <definedName name="XRefPaste27" localSheetId="6" hidden="1">#REF!</definedName>
    <definedName name="XRefPaste27" hidden="1">#REF!</definedName>
    <definedName name="XRefPaste27Row" localSheetId="1" hidden="1">#REF!</definedName>
    <definedName name="XRefPaste27Row" localSheetId="15" hidden="1">#REF!</definedName>
    <definedName name="XRefPaste27Row" localSheetId="7" hidden="1">#REF!</definedName>
    <definedName name="XRefPaste27Row" localSheetId="14" hidden="1">#REF!</definedName>
    <definedName name="XRefPaste27Row" localSheetId="2" hidden="1">#REF!</definedName>
    <definedName name="XRefPaste27Row" localSheetId="34" hidden="1">#REF!</definedName>
    <definedName name="XRefPaste27Row" localSheetId="39" hidden="1">#REF!</definedName>
    <definedName name="XRefPaste27Row" localSheetId="12" hidden="1">#REF!</definedName>
    <definedName name="XRefPaste27Row" localSheetId="10" hidden="1">#REF!</definedName>
    <definedName name="XRefPaste27Row" localSheetId="11" hidden="1">#REF!</definedName>
    <definedName name="XRefPaste27Row" localSheetId="6" hidden="1">#REF!</definedName>
    <definedName name="XRefPaste27Row" hidden="1">#REF!</definedName>
    <definedName name="XRefPaste28" localSheetId="1" hidden="1">#REF!</definedName>
    <definedName name="XRefPaste28" localSheetId="15" hidden="1">#REF!</definedName>
    <definedName name="XRefPaste28" localSheetId="7" hidden="1">#REF!</definedName>
    <definedName name="XRefPaste28" localSheetId="14" hidden="1">#REF!</definedName>
    <definedName name="XRefPaste28" localSheetId="2" hidden="1">#REF!</definedName>
    <definedName name="XRefPaste28" localSheetId="34" hidden="1">#REF!</definedName>
    <definedName name="XRefPaste28" localSheetId="39" hidden="1">#REF!</definedName>
    <definedName name="XRefPaste28" localSheetId="12" hidden="1">#REF!</definedName>
    <definedName name="XRefPaste28" localSheetId="10" hidden="1">#REF!</definedName>
    <definedName name="XRefPaste28" localSheetId="6" hidden="1">#REF!</definedName>
    <definedName name="XRefPaste28" hidden="1">#REF!</definedName>
    <definedName name="XRefPaste28Row" localSheetId="1" hidden="1">#REF!</definedName>
    <definedName name="XRefPaste28Row" localSheetId="15" hidden="1">#REF!</definedName>
    <definedName name="XRefPaste28Row" localSheetId="7" hidden="1">#REF!</definedName>
    <definedName name="XRefPaste28Row" localSheetId="14" hidden="1">#REF!</definedName>
    <definedName name="XRefPaste28Row" localSheetId="2" hidden="1">#REF!</definedName>
    <definedName name="XRefPaste28Row" localSheetId="34" hidden="1">#REF!</definedName>
    <definedName name="XRefPaste28Row" localSheetId="39" hidden="1">#REF!</definedName>
    <definedName name="XRefPaste28Row" localSheetId="12" hidden="1">#REF!</definedName>
    <definedName name="XRefPaste28Row" localSheetId="10" hidden="1">#REF!</definedName>
    <definedName name="XRefPaste28Row" localSheetId="11" hidden="1">#REF!</definedName>
    <definedName name="XRefPaste28Row" localSheetId="6" hidden="1">#REF!</definedName>
    <definedName name="XRefPaste28Row" hidden="1">#REF!</definedName>
    <definedName name="XRefPaste29" localSheetId="1" hidden="1">#REF!</definedName>
    <definedName name="XRefPaste29" localSheetId="15" hidden="1">#REF!</definedName>
    <definedName name="XRefPaste29" localSheetId="7" hidden="1">#REF!</definedName>
    <definedName name="XRefPaste29" localSheetId="14" hidden="1">#REF!</definedName>
    <definedName name="XRefPaste29" localSheetId="2" hidden="1">#REF!</definedName>
    <definedName name="XRefPaste29" localSheetId="34" hidden="1">#REF!</definedName>
    <definedName name="XRefPaste29" localSheetId="39" hidden="1">#REF!</definedName>
    <definedName name="XRefPaste29" localSheetId="12" hidden="1">#REF!</definedName>
    <definedName name="XRefPaste29" localSheetId="10" hidden="1">#REF!</definedName>
    <definedName name="XRefPaste29" localSheetId="6" hidden="1">#REF!</definedName>
    <definedName name="XRefPaste29" hidden="1">#REF!</definedName>
    <definedName name="XRefPaste29Row" localSheetId="1" hidden="1">#REF!</definedName>
    <definedName name="XRefPaste29Row" localSheetId="15" hidden="1">#REF!</definedName>
    <definedName name="XRefPaste29Row" localSheetId="7" hidden="1">#REF!</definedName>
    <definedName name="XRefPaste29Row" localSheetId="14" hidden="1">#REF!</definedName>
    <definedName name="XRefPaste29Row" localSheetId="2" hidden="1">#REF!</definedName>
    <definedName name="XRefPaste29Row" localSheetId="34" hidden="1">#REF!</definedName>
    <definedName name="XRefPaste29Row" localSheetId="39" hidden="1">#REF!</definedName>
    <definedName name="XRefPaste29Row" localSheetId="12" hidden="1">#REF!</definedName>
    <definedName name="XRefPaste29Row" localSheetId="10" hidden="1">#REF!</definedName>
    <definedName name="XRefPaste29Row" localSheetId="11" hidden="1">#REF!</definedName>
    <definedName name="XRefPaste29Row" localSheetId="6" hidden="1">#REF!</definedName>
    <definedName name="XRefPaste29Row" hidden="1">#REF!</definedName>
    <definedName name="XRefPaste2Row" localSheetId="1" hidden="1">#REF!</definedName>
    <definedName name="XRefPaste2Row" localSheetId="15" hidden="1">#REF!</definedName>
    <definedName name="XRefPaste2Row" localSheetId="7" hidden="1">#REF!</definedName>
    <definedName name="XRefPaste2Row" localSheetId="14" hidden="1">#REF!</definedName>
    <definedName name="XRefPaste2Row" localSheetId="2" hidden="1">#REF!</definedName>
    <definedName name="XRefPaste2Row" localSheetId="34" hidden="1">#REF!</definedName>
    <definedName name="XRefPaste2Row" localSheetId="39" hidden="1">#REF!</definedName>
    <definedName name="XRefPaste2Row" localSheetId="12" hidden="1">#REF!</definedName>
    <definedName name="XRefPaste2Row" localSheetId="10" hidden="1">#REF!</definedName>
    <definedName name="XRefPaste2Row" localSheetId="6" hidden="1">#REF!</definedName>
    <definedName name="XRefPaste2Row" hidden="1">#REF!</definedName>
    <definedName name="XRefPaste3" localSheetId="1" hidden="1">#REF!</definedName>
    <definedName name="XRefPaste3" localSheetId="15" hidden="1">#REF!</definedName>
    <definedName name="XRefPaste3" localSheetId="7" hidden="1">#REF!</definedName>
    <definedName name="XRefPaste3" localSheetId="14" hidden="1">#REF!</definedName>
    <definedName name="XRefPaste3" localSheetId="2" hidden="1">#REF!</definedName>
    <definedName name="XRefPaste3" localSheetId="34" hidden="1">#REF!</definedName>
    <definedName name="XRefPaste3" localSheetId="39" hidden="1">#REF!</definedName>
    <definedName name="XRefPaste3" localSheetId="12" hidden="1">#REF!</definedName>
    <definedName name="XRefPaste3" localSheetId="10" hidden="1">#REF!</definedName>
    <definedName name="XRefPaste3" localSheetId="11" hidden="1">#REF!</definedName>
    <definedName name="XRefPaste3" localSheetId="6" hidden="1">#REF!</definedName>
    <definedName name="XRefPaste3" hidden="1">#REF!</definedName>
    <definedName name="XRefPaste30" localSheetId="1" hidden="1">#REF!</definedName>
    <definedName name="XRefPaste30" localSheetId="15" hidden="1">#REF!</definedName>
    <definedName name="XRefPaste30" localSheetId="7" hidden="1">#REF!</definedName>
    <definedName name="XRefPaste30" localSheetId="14" hidden="1">#REF!</definedName>
    <definedName name="XRefPaste30" localSheetId="2" hidden="1">#REF!</definedName>
    <definedName name="XRefPaste30" localSheetId="34" hidden="1">#REF!</definedName>
    <definedName name="XRefPaste30" localSheetId="39" hidden="1">#REF!</definedName>
    <definedName name="XRefPaste30" localSheetId="12" hidden="1">#REF!</definedName>
    <definedName name="XRefPaste30" localSheetId="10" hidden="1">#REF!</definedName>
    <definedName name="XRefPaste30" localSheetId="6" hidden="1">#REF!</definedName>
    <definedName name="XRefPaste30" hidden="1">#REF!</definedName>
    <definedName name="XRefPaste30Row" localSheetId="1" hidden="1">#REF!</definedName>
    <definedName name="XRefPaste30Row" localSheetId="15" hidden="1">#REF!</definedName>
    <definedName name="XRefPaste30Row" localSheetId="7" hidden="1">#REF!</definedName>
    <definedName name="XRefPaste30Row" localSheetId="14" hidden="1">#REF!</definedName>
    <definedName name="XRefPaste30Row" localSheetId="2" hidden="1">#REF!</definedName>
    <definedName name="XRefPaste30Row" localSheetId="34" hidden="1">#REF!</definedName>
    <definedName name="XRefPaste30Row" localSheetId="39" hidden="1">#REF!</definedName>
    <definedName name="XRefPaste30Row" localSheetId="12" hidden="1">#REF!</definedName>
    <definedName name="XRefPaste30Row" localSheetId="10" hidden="1">#REF!</definedName>
    <definedName name="XRefPaste30Row" localSheetId="11" hidden="1">#REF!</definedName>
    <definedName name="XRefPaste30Row" localSheetId="6" hidden="1">#REF!</definedName>
    <definedName name="XRefPaste30Row" hidden="1">#REF!</definedName>
    <definedName name="XRefPaste31" localSheetId="1" hidden="1">#REF!</definedName>
    <definedName name="XRefPaste31" localSheetId="15" hidden="1">#REF!</definedName>
    <definedName name="XRefPaste31" localSheetId="7" hidden="1">#REF!</definedName>
    <definedName name="XRefPaste31" localSheetId="14" hidden="1">#REF!</definedName>
    <definedName name="XRefPaste31" localSheetId="2" hidden="1">#REF!</definedName>
    <definedName name="XRefPaste31" localSheetId="34" hidden="1">#REF!</definedName>
    <definedName name="XRefPaste31" localSheetId="39" hidden="1">#REF!</definedName>
    <definedName name="XRefPaste31" localSheetId="12" hidden="1">#REF!</definedName>
    <definedName name="XRefPaste31" localSheetId="10" hidden="1">#REF!</definedName>
    <definedName name="XRefPaste31" localSheetId="6" hidden="1">#REF!</definedName>
    <definedName name="XRefPaste31" hidden="1">#REF!</definedName>
    <definedName name="XRefPaste31Row" localSheetId="1" hidden="1">#REF!</definedName>
    <definedName name="XRefPaste31Row" localSheetId="15" hidden="1">#REF!</definedName>
    <definedName name="XRefPaste31Row" localSheetId="7" hidden="1">#REF!</definedName>
    <definedName name="XRefPaste31Row" localSheetId="14" hidden="1">#REF!</definedName>
    <definedName name="XRefPaste31Row" localSheetId="2" hidden="1">#REF!</definedName>
    <definedName name="XRefPaste31Row" localSheetId="34" hidden="1">#REF!</definedName>
    <definedName name="XRefPaste31Row" localSheetId="39" hidden="1">#REF!</definedName>
    <definedName name="XRefPaste31Row" localSheetId="12" hidden="1">#REF!</definedName>
    <definedName name="XRefPaste31Row" localSheetId="10" hidden="1">#REF!</definedName>
    <definedName name="XRefPaste31Row" localSheetId="11" hidden="1">#REF!</definedName>
    <definedName name="XRefPaste31Row" localSheetId="6" hidden="1">#REF!</definedName>
    <definedName name="XRefPaste31Row" hidden="1">#REF!</definedName>
    <definedName name="XRefPaste32" localSheetId="1" hidden="1">#REF!</definedName>
    <definedName name="XRefPaste32" localSheetId="15" hidden="1">#REF!</definedName>
    <definedName name="XRefPaste32" localSheetId="7" hidden="1">#REF!</definedName>
    <definedName name="XRefPaste32" localSheetId="14" hidden="1">#REF!</definedName>
    <definedName name="XRefPaste32" localSheetId="2" hidden="1">#REF!</definedName>
    <definedName name="XRefPaste32" localSheetId="34" hidden="1">#REF!</definedName>
    <definedName name="XRefPaste32" localSheetId="39" hidden="1">#REF!</definedName>
    <definedName name="XRefPaste32" localSheetId="12" hidden="1">#REF!</definedName>
    <definedName name="XRefPaste32" localSheetId="10" hidden="1">#REF!</definedName>
    <definedName name="XRefPaste32" localSheetId="6" hidden="1">#REF!</definedName>
    <definedName name="XRefPaste32" hidden="1">#REF!</definedName>
    <definedName name="XRefPaste32Row" localSheetId="1" hidden="1">#REF!</definedName>
    <definedName name="XRefPaste32Row" localSheetId="15" hidden="1">#REF!</definedName>
    <definedName name="XRefPaste32Row" localSheetId="7" hidden="1">#REF!</definedName>
    <definedName name="XRefPaste32Row" localSheetId="14" hidden="1">#REF!</definedName>
    <definedName name="XRefPaste32Row" localSheetId="2" hidden="1">#REF!</definedName>
    <definedName name="XRefPaste32Row" localSheetId="34" hidden="1">#REF!</definedName>
    <definedName name="XRefPaste32Row" localSheetId="39" hidden="1">#REF!</definedName>
    <definedName name="XRefPaste32Row" localSheetId="12" hidden="1">#REF!</definedName>
    <definedName name="XRefPaste32Row" localSheetId="10" hidden="1">#REF!</definedName>
    <definedName name="XRefPaste32Row" localSheetId="11" hidden="1">#REF!</definedName>
    <definedName name="XRefPaste32Row" localSheetId="6" hidden="1">#REF!</definedName>
    <definedName name="XRefPaste32Row" hidden="1">#REF!</definedName>
    <definedName name="XRefPaste33Row" localSheetId="1" hidden="1">#REF!</definedName>
    <definedName name="XRefPaste33Row" localSheetId="15" hidden="1">#REF!</definedName>
    <definedName name="XRefPaste33Row" localSheetId="7" hidden="1">#REF!</definedName>
    <definedName name="XRefPaste33Row" localSheetId="14" hidden="1">#REF!</definedName>
    <definedName name="XRefPaste33Row" localSheetId="2" hidden="1">#REF!</definedName>
    <definedName name="XRefPaste33Row" localSheetId="34" hidden="1">#REF!</definedName>
    <definedName name="XRefPaste33Row" localSheetId="39" hidden="1">#REF!</definedName>
    <definedName name="XRefPaste33Row" localSheetId="12" hidden="1">#REF!</definedName>
    <definedName name="XRefPaste33Row" localSheetId="10" hidden="1">#REF!</definedName>
    <definedName name="XRefPaste33Row" localSheetId="11" hidden="1">#REF!</definedName>
    <definedName name="XRefPaste33Row" localSheetId="6" hidden="1">#REF!</definedName>
    <definedName name="XRefPaste33Row" hidden="1">#REF!</definedName>
    <definedName name="XRefPaste34" localSheetId="1" hidden="1">#REF!</definedName>
    <definedName name="XRefPaste34" localSheetId="15" hidden="1">#REF!</definedName>
    <definedName name="XRefPaste34" localSheetId="7" hidden="1">#REF!</definedName>
    <definedName name="XRefPaste34" localSheetId="14" hidden="1">#REF!</definedName>
    <definedName name="XRefPaste34" localSheetId="2" hidden="1">#REF!</definedName>
    <definedName name="XRefPaste34" localSheetId="34" hidden="1">#REF!</definedName>
    <definedName name="XRefPaste34" localSheetId="39" hidden="1">#REF!</definedName>
    <definedName name="XRefPaste34" localSheetId="12" hidden="1">#REF!</definedName>
    <definedName name="XRefPaste34" localSheetId="10" hidden="1">#REF!</definedName>
    <definedName name="XRefPaste34" localSheetId="6" hidden="1">#REF!</definedName>
    <definedName name="XRefPaste34" hidden="1">#REF!</definedName>
    <definedName name="XRefPaste34Row" localSheetId="1" hidden="1">#REF!</definedName>
    <definedName name="XRefPaste34Row" localSheetId="15" hidden="1">#REF!</definedName>
    <definedName name="XRefPaste34Row" localSheetId="7" hidden="1">#REF!</definedName>
    <definedName name="XRefPaste34Row" localSheetId="14" hidden="1">#REF!</definedName>
    <definedName name="XRefPaste34Row" localSheetId="2" hidden="1">#REF!</definedName>
    <definedName name="XRefPaste34Row" localSheetId="34" hidden="1">#REF!</definedName>
    <definedName name="XRefPaste34Row" localSheetId="39" hidden="1">#REF!</definedName>
    <definedName name="XRefPaste34Row" localSheetId="12" hidden="1">#REF!</definedName>
    <definedName name="XRefPaste34Row" localSheetId="10" hidden="1">#REF!</definedName>
    <definedName name="XRefPaste34Row" localSheetId="11" hidden="1">#REF!</definedName>
    <definedName name="XRefPaste34Row" localSheetId="6" hidden="1">#REF!</definedName>
    <definedName name="XRefPaste34Row" hidden="1">#REF!</definedName>
    <definedName name="XRefPaste35" localSheetId="1" hidden="1">#REF!</definedName>
    <definedName name="XRefPaste35" localSheetId="15" hidden="1">#REF!</definedName>
    <definedName name="XRefPaste35" localSheetId="7" hidden="1">#REF!</definedName>
    <definedName name="XRefPaste35" localSheetId="14" hidden="1">#REF!</definedName>
    <definedName name="XRefPaste35" localSheetId="2" hidden="1">#REF!</definedName>
    <definedName name="XRefPaste35" localSheetId="34" hidden="1">#REF!</definedName>
    <definedName name="XRefPaste35" localSheetId="39" hidden="1">#REF!</definedName>
    <definedName name="XRefPaste35" localSheetId="12" hidden="1">#REF!</definedName>
    <definedName name="XRefPaste35" localSheetId="10" hidden="1">#REF!</definedName>
    <definedName name="XRefPaste35" localSheetId="6" hidden="1">#REF!</definedName>
    <definedName name="XRefPaste35" hidden="1">#REF!</definedName>
    <definedName name="XRefPaste35Row" localSheetId="1" hidden="1">#REF!</definedName>
    <definedName name="XRefPaste35Row" localSheetId="15" hidden="1">#REF!</definedName>
    <definedName name="XRefPaste35Row" localSheetId="7" hidden="1">#REF!</definedName>
    <definedName name="XRefPaste35Row" localSheetId="14" hidden="1">#REF!</definedName>
    <definedName name="XRefPaste35Row" localSheetId="2" hidden="1">#REF!</definedName>
    <definedName name="XRefPaste35Row" localSheetId="34" hidden="1">#REF!</definedName>
    <definedName name="XRefPaste35Row" localSheetId="39" hidden="1">#REF!</definedName>
    <definedName name="XRefPaste35Row" localSheetId="12" hidden="1">#REF!</definedName>
    <definedName name="XRefPaste35Row" localSheetId="10" hidden="1">#REF!</definedName>
    <definedName name="XRefPaste35Row" localSheetId="11" hidden="1">#REF!</definedName>
    <definedName name="XRefPaste35Row" localSheetId="6" hidden="1">#REF!</definedName>
    <definedName name="XRefPaste35Row" hidden="1">#REF!</definedName>
    <definedName name="XRefPaste36" localSheetId="1" hidden="1">#REF!</definedName>
    <definedName name="XRefPaste36" localSheetId="15" hidden="1">#REF!</definedName>
    <definedName name="XRefPaste36" localSheetId="7" hidden="1">#REF!</definedName>
    <definedName name="XRefPaste36" localSheetId="14" hidden="1">#REF!</definedName>
    <definedName name="XRefPaste36" localSheetId="2" hidden="1">#REF!</definedName>
    <definedName name="XRefPaste36" localSheetId="34" hidden="1">#REF!</definedName>
    <definedName name="XRefPaste36" localSheetId="39" hidden="1">#REF!</definedName>
    <definedName name="XRefPaste36" localSheetId="12" hidden="1">#REF!</definedName>
    <definedName name="XRefPaste36" localSheetId="10" hidden="1">#REF!</definedName>
    <definedName name="XRefPaste36" localSheetId="6" hidden="1">#REF!</definedName>
    <definedName name="XRefPaste36" hidden="1">#REF!</definedName>
    <definedName name="XRefPaste36Row" localSheetId="1" hidden="1">#REF!</definedName>
    <definedName name="XRefPaste36Row" localSheetId="15" hidden="1">#REF!</definedName>
    <definedName name="XRefPaste36Row" localSheetId="7" hidden="1">#REF!</definedName>
    <definedName name="XRefPaste36Row" localSheetId="14" hidden="1">#REF!</definedName>
    <definedName name="XRefPaste36Row" localSheetId="2" hidden="1">#REF!</definedName>
    <definedName name="XRefPaste36Row" localSheetId="34" hidden="1">#REF!</definedName>
    <definedName name="XRefPaste36Row" localSheetId="39" hidden="1">#REF!</definedName>
    <definedName name="XRefPaste36Row" localSheetId="12" hidden="1">#REF!</definedName>
    <definedName name="XRefPaste36Row" localSheetId="10" hidden="1">#REF!</definedName>
    <definedName name="XRefPaste36Row" localSheetId="6" hidden="1">#REF!</definedName>
    <definedName name="XRefPaste36Row" hidden="1">#REF!</definedName>
    <definedName name="XRefPaste37" localSheetId="1" hidden="1">#REF!</definedName>
    <definedName name="XRefPaste37" localSheetId="15" hidden="1">#REF!</definedName>
    <definedName name="XRefPaste37" localSheetId="7" hidden="1">#REF!</definedName>
    <definedName name="XRefPaste37" localSheetId="14" hidden="1">#REF!</definedName>
    <definedName name="XRefPaste37" localSheetId="2" hidden="1">#REF!</definedName>
    <definedName name="XRefPaste37" localSheetId="34" hidden="1">#REF!</definedName>
    <definedName name="XRefPaste37" localSheetId="39" hidden="1">#REF!</definedName>
    <definedName name="XRefPaste37" localSheetId="12" hidden="1">#REF!</definedName>
    <definedName name="XRefPaste37" localSheetId="10" hidden="1">#REF!</definedName>
    <definedName name="XRefPaste37" localSheetId="6" hidden="1">#REF!</definedName>
    <definedName name="XRefPaste37" hidden="1">#REF!</definedName>
    <definedName name="XRefPaste37Row" localSheetId="1" hidden="1">#REF!</definedName>
    <definedName name="XRefPaste37Row" localSheetId="15" hidden="1">#REF!</definedName>
    <definedName name="XRefPaste37Row" localSheetId="7" hidden="1">#REF!</definedName>
    <definedName name="XRefPaste37Row" localSheetId="14" hidden="1">#REF!</definedName>
    <definedName name="XRefPaste37Row" localSheetId="2" hidden="1">#REF!</definedName>
    <definedName name="XRefPaste37Row" localSheetId="34" hidden="1">#REF!</definedName>
    <definedName name="XRefPaste37Row" localSheetId="39" hidden="1">#REF!</definedName>
    <definedName name="XRefPaste37Row" localSheetId="12" hidden="1">#REF!</definedName>
    <definedName name="XRefPaste37Row" localSheetId="10" hidden="1">#REF!</definedName>
    <definedName name="XRefPaste37Row" localSheetId="6" hidden="1">#REF!</definedName>
    <definedName name="XRefPaste37Row" hidden="1">#REF!</definedName>
    <definedName name="XRefPaste38" localSheetId="1" hidden="1">#REF!</definedName>
    <definedName name="XRefPaste38" localSheetId="15" hidden="1">#REF!</definedName>
    <definedName name="XRefPaste38" localSheetId="7" hidden="1">#REF!</definedName>
    <definedName name="XRefPaste38" localSheetId="14" hidden="1">#REF!</definedName>
    <definedName name="XRefPaste38" localSheetId="2" hidden="1">#REF!</definedName>
    <definedName name="XRefPaste38" localSheetId="34" hidden="1">#REF!</definedName>
    <definedName name="XRefPaste38" localSheetId="39" hidden="1">#REF!</definedName>
    <definedName name="XRefPaste38" localSheetId="12" hidden="1">#REF!</definedName>
    <definedName name="XRefPaste38" localSheetId="10" hidden="1">#REF!</definedName>
    <definedName name="XRefPaste38" localSheetId="6" hidden="1">#REF!</definedName>
    <definedName name="XRefPaste38" hidden="1">#REF!</definedName>
    <definedName name="XRefPaste38Row" localSheetId="1" hidden="1">#REF!</definedName>
    <definedName name="XRefPaste38Row" localSheetId="15" hidden="1">#REF!</definedName>
    <definedName name="XRefPaste38Row" localSheetId="7" hidden="1">#REF!</definedName>
    <definedName name="XRefPaste38Row" localSheetId="14" hidden="1">#REF!</definedName>
    <definedName name="XRefPaste38Row" localSheetId="2" hidden="1">#REF!</definedName>
    <definedName name="XRefPaste38Row" localSheetId="34" hidden="1">#REF!</definedName>
    <definedName name="XRefPaste38Row" localSheetId="39" hidden="1">#REF!</definedName>
    <definedName name="XRefPaste38Row" localSheetId="12" hidden="1">#REF!</definedName>
    <definedName name="XRefPaste38Row" localSheetId="10" hidden="1">#REF!</definedName>
    <definedName name="XRefPaste38Row" localSheetId="6" hidden="1">#REF!</definedName>
    <definedName name="XRefPaste38Row" hidden="1">#REF!</definedName>
    <definedName name="XRefPaste39" localSheetId="1" hidden="1">#REF!</definedName>
    <definedName name="XRefPaste39" localSheetId="15" hidden="1">#REF!</definedName>
    <definedName name="XRefPaste39" localSheetId="7" hidden="1">#REF!</definedName>
    <definedName name="XRefPaste39" localSheetId="14" hidden="1">#REF!</definedName>
    <definedName name="XRefPaste39" localSheetId="2" hidden="1">#REF!</definedName>
    <definedName name="XRefPaste39" localSheetId="34" hidden="1">#REF!</definedName>
    <definedName name="XRefPaste39" localSheetId="39" hidden="1">#REF!</definedName>
    <definedName name="XRefPaste39" localSheetId="12" hidden="1">#REF!</definedName>
    <definedName name="XRefPaste39" localSheetId="10" hidden="1">#REF!</definedName>
    <definedName name="XRefPaste39" localSheetId="6" hidden="1">#REF!</definedName>
    <definedName name="XRefPaste39" hidden="1">#REF!</definedName>
    <definedName name="XRefPaste39Row" localSheetId="1" hidden="1">#REF!</definedName>
    <definedName name="XRefPaste39Row" localSheetId="15" hidden="1">#REF!</definedName>
    <definedName name="XRefPaste39Row" localSheetId="7" hidden="1">#REF!</definedName>
    <definedName name="XRefPaste39Row" localSheetId="14" hidden="1">#REF!</definedName>
    <definedName name="XRefPaste39Row" localSheetId="2" hidden="1">#REF!</definedName>
    <definedName name="XRefPaste39Row" localSheetId="34" hidden="1">#REF!</definedName>
    <definedName name="XRefPaste39Row" localSheetId="39" hidden="1">#REF!</definedName>
    <definedName name="XRefPaste39Row" localSheetId="12" hidden="1">#REF!</definedName>
    <definedName name="XRefPaste39Row" localSheetId="10" hidden="1">#REF!</definedName>
    <definedName name="XRefPaste39Row" localSheetId="6" hidden="1">#REF!</definedName>
    <definedName name="XRefPaste39Row" hidden="1">#REF!</definedName>
    <definedName name="XRefPaste3Row" localSheetId="1" hidden="1">#REF!</definedName>
    <definedName name="XRefPaste3Row" localSheetId="15" hidden="1">#REF!</definedName>
    <definedName name="XRefPaste3Row" localSheetId="7" hidden="1">#REF!</definedName>
    <definedName name="XRefPaste3Row" localSheetId="14" hidden="1">#REF!</definedName>
    <definedName name="XRefPaste3Row" localSheetId="2" hidden="1">#REF!</definedName>
    <definedName name="XRefPaste3Row" localSheetId="34" hidden="1">#REF!</definedName>
    <definedName name="XRefPaste3Row" localSheetId="39" hidden="1">#REF!</definedName>
    <definedName name="XRefPaste3Row" localSheetId="12" hidden="1">#REF!</definedName>
    <definedName name="XRefPaste3Row" localSheetId="10" hidden="1">#REF!</definedName>
    <definedName name="XRefPaste3Row" localSheetId="6" hidden="1">#REF!</definedName>
    <definedName name="XRefPaste3Row" hidden="1">#REF!</definedName>
    <definedName name="XRefPaste4" localSheetId="1" hidden="1">#REF!</definedName>
    <definedName name="XRefPaste4" localSheetId="15" hidden="1">#REF!</definedName>
    <definedName name="XRefPaste4" localSheetId="7" hidden="1">#REF!</definedName>
    <definedName name="XRefPaste4" localSheetId="2" hidden="1">#REF!</definedName>
    <definedName name="XRefPaste4" localSheetId="34" hidden="1">#REF!</definedName>
    <definedName name="XRefPaste4" localSheetId="39" hidden="1">#REF!</definedName>
    <definedName name="XRefPaste4" localSheetId="12" hidden="1">#REF!</definedName>
    <definedName name="XRefPaste4" localSheetId="10" hidden="1">#REF!</definedName>
    <definedName name="XRefPaste4" localSheetId="11" hidden="1">#REF!</definedName>
    <definedName name="XRefPaste4" localSheetId="6" hidden="1">#REF!</definedName>
    <definedName name="XRefPaste4" hidden="1">#REF!</definedName>
    <definedName name="XRefPaste40" localSheetId="1" hidden="1">#REF!</definedName>
    <definedName name="XRefPaste40" localSheetId="15" hidden="1">#REF!</definedName>
    <definedName name="XRefPaste40" localSheetId="7" hidden="1">#REF!</definedName>
    <definedName name="XRefPaste40" localSheetId="14" hidden="1">#REF!</definedName>
    <definedName name="XRefPaste40" localSheetId="2" hidden="1">#REF!</definedName>
    <definedName name="XRefPaste40" localSheetId="34" hidden="1">#REF!</definedName>
    <definedName name="XRefPaste40" localSheetId="39" hidden="1">#REF!</definedName>
    <definedName name="XRefPaste40" localSheetId="12" hidden="1">#REF!</definedName>
    <definedName name="XRefPaste40" localSheetId="10" hidden="1">#REF!</definedName>
    <definedName name="XRefPaste40" localSheetId="6" hidden="1">#REF!</definedName>
    <definedName name="XRefPaste40" hidden="1">#REF!</definedName>
    <definedName name="XRefPaste40Row" localSheetId="1" hidden="1">#REF!</definedName>
    <definedName name="XRefPaste40Row" localSheetId="15" hidden="1">#REF!</definedName>
    <definedName name="XRefPaste40Row" localSheetId="7" hidden="1">#REF!</definedName>
    <definedName name="XRefPaste40Row" localSheetId="14" hidden="1">#REF!</definedName>
    <definedName name="XRefPaste40Row" localSheetId="2" hidden="1">#REF!</definedName>
    <definedName name="XRefPaste40Row" localSheetId="34" hidden="1">#REF!</definedName>
    <definedName name="XRefPaste40Row" localSheetId="39" hidden="1">#REF!</definedName>
    <definedName name="XRefPaste40Row" localSheetId="12" hidden="1">#REF!</definedName>
    <definedName name="XRefPaste40Row" localSheetId="10" hidden="1">#REF!</definedName>
    <definedName name="XRefPaste40Row" localSheetId="6" hidden="1">#REF!</definedName>
    <definedName name="XRefPaste40Row" hidden="1">#REF!</definedName>
    <definedName name="XRefPaste41" localSheetId="1" hidden="1">#REF!</definedName>
    <definedName name="XRefPaste41" localSheetId="15" hidden="1">#REF!</definedName>
    <definedName name="XRefPaste41" localSheetId="7" hidden="1">#REF!</definedName>
    <definedName name="XRefPaste41" localSheetId="14" hidden="1">#REF!</definedName>
    <definedName name="XRefPaste41" localSheetId="2" hidden="1">#REF!</definedName>
    <definedName name="XRefPaste41" localSheetId="34" hidden="1">#REF!</definedName>
    <definedName name="XRefPaste41" localSheetId="39" hidden="1">#REF!</definedName>
    <definedName name="XRefPaste41" localSheetId="12" hidden="1">#REF!</definedName>
    <definedName name="XRefPaste41" localSheetId="10" hidden="1">#REF!</definedName>
    <definedName name="XRefPaste41" localSheetId="6" hidden="1">#REF!</definedName>
    <definedName name="XRefPaste41" hidden="1">#REF!</definedName>
    <definedName name="XRefPaste41Row" localSheetId="1" hidden="1">#REF!</definedName>
    <definedName name="XRefPaste41Row" localSheetId="15" hidden="1">#REF!</definedName>
    <definedName name="XRefPaste41Row" localSheetId="7" hidden="1">#REF!</definedName>
    <definedName name="XRefPaste41Row" localSheetId="14" hidden="1">#REF!</definedName>
    <definedName name="XRefPaste41Row" localSheetId="2" hidden="1">#REF!</definedName>
    <definedName name="XRefPaste41Row" localSheetId="34" hidden="1">#REF!</definedName>
    <definedName name="XRefPaste41Row" localSheetId="39" hidden="1">#REF!</definedName>
    <definedName name="XRefPaste41Row" localSheetId="12" hidden="1">#REF!</definedName>
    <definedName name="XRefPaste41Row" localSheetId="10" hidden="1">#REF!</definedName>
    <definedName name="XRefPaste41Row" localSheetId="6" hidden="1">#REF!</definedName>
    <definedName name="XRefPaste41Row" hidden="1">#REF!</definedName>
    <definedName name="XRefPaste42" localSheetId="1" hidden="1">#REF!</definedName>
    <definedName name="XRefPaste42" localSheetId="15" hidden="1">#REF!</definedName>
    <definedName name="XRefPaste42" localSheetId="7" hidden="1">#REF!</definedName>
    <definedName name="XRefPaste42" localSheetId="14" hidden="1">#REF!</definedName>
    <definedName name="XRefPaste42" localSheetId="2" hidden="1">#REF!</definedName>
    <definedName name="XRefPaste42" localSheetId="34" hidden="1">#REF!</definedName>
    <definedName name="XRefPaste42" localSheetId="39" hidden="1">#REF!</definedName>
    <definedName name="XRefPaste42" localSheetId="12" hidden="1">#REF!</definedName>
    <definedName name="XRefPaste42" localSheetId="10" hidden="1">#REF!</definedName>
    <definedName name="XRefPaste42" localSheetId="6" hidden="1">#REF!</definedName>
    <definedName name="XRefPaste42" hidden="1">#REF!</definedName>
    <definedName name="XRefPaste42Row" localSheetId="1" hidden="1">#REF!</definedName>
    <definedName name="XRefPaste42Row" localSheetId="15" hidden="1">#REF!</definedName>
    <definedName name="XRefPaste42Row" localSheetId="7" hidden="1">#REF!</definedName>
    <definedName name="XRefPaste42Row" localSheetId="14" hidden="1">#REF!</definedName>
    <definedName name="XRefPaste42Row" localSheetId="2" hidden="1">#REF!</definedName>
    <definedName name="XRefPaste42Row" localSheetId="34" hidden="1">#REF!</definedName>
    <definedName name="XRefPaste42Row" localSheetId="39" hidden="1">#REF!</definedName>
    <definedName name="XRefPaste42Row" localSheetId="12" hidden="1">#REF!</definedName>
    <definedName name="XRefPaste42Row" localSheetId="10" hidden="1">#REF!</definedName>
    <definedName name="XRefPaste42Row" localSheetId="6" hidden="1">#REF!</definedName>
    <definedName name="XRefPaste42Row" hidden="1">#REF!</definedName>
    <definedName name="XRefPaste43" localSheetId="1" hidden="1">#REF!</definedName>
    <definedName name="XRefPaste43" localSheetId="15" hidden="1">#REF!</definedName>
    <definedName name="XRefPaste43" localSheetId="7" hidden="1">#REF!</definedName>
    <definedName name="XRefPaste43" localSheetId="14" hidden="1">#REF!</definedName>
    <definedName name="XRefPaste43" localSheetId="2" hidden="1">#REF!</definedName>
    <definedName name="XRefPaste43" localSheetId="34" hidden="1">#REF!</definedName>
    <definedName name="XRefPaste43" localSheetId="39" hidden="1">#REF!</definedName>
    <definedName name="XRefPaste43" localSheetId="12" hidden="1">#REF!</definedName>
    <definedName name="XRefPaste43" localSheetId="10" hidden="1">#REF!</definedName>
    <definedName name="XRefPaste43" localSheetId="6" hidden="1">#REF!</definedName>
    <definedName name="XRefPaste43" hidden="1">#REF!</definedName>
    <definedName name="XRefPaste43Row" localSheetId="1" hidden="1">#REF!</definedName>
    <definedName name="XRefPaste43Row" localSheetId="15" hidden="1">#REF!</definedName>
    <definedName name="XRefPaste43Row" localSheetId="7" hidden="1">#REF!</definedName>
    <definedName name="XRefPaste43Row" localSheetId="14" hidden="1">#REF!</definedName>
    <definedName name="XRefPaste43Row" localSheetId="2" hidden="1">#REF!</definedName>
    <definedName name="XRefPaste43Row" localSheetId="34" hidden="1">#REF!</definedName>
    <definedName name="XRefPaste43Row" localSheetId="39" hidden="1">#REF!</definedName>
    <definedName name="XRefPaste43Row" localSheetId="12" hidden="1">#REF!</definedName>
    <definedName name="XRefPaste43Row" localSheetId="10" hidden="1">#REF!</definedName>
    <definedName name="XRefPaste43Row" localSheetId="6" hidden="1">#REF!</definedName>
    <definedName name="XRefPaste43Row" hidden="1">#REF!</definedName>
    <definedName name="XRefPaste44" localSheetId="1" hidden="1">#REF!</definedName>
    <definedName name="XRefPaste44" localSheetId="15" hidden="1">#REF!</definedName>
    <definedName name="XRefPaste44" localSheetId="7" hidden="1">#REF!</definedName>
    <definedName name="XRefPaste44" localSheetId="14" hidden="1">#REF!</definedName>
    <definedName name="XRefPaste44" localSheetId="2" hidden="1">#REF!</definedName>
    <definedName name="XRefPaste44" localSheetId="34" hidden="1">#REF!</definedName>
    <definedName name="XRefPaste44" localSheetId="39" hidden="1">#REF!</definedName>
    <definedName name="XRefPaste44" localSheetId="12" hidden="1">#REF!</definedName>
    <definedName name="XRefPaste44" localSheetId="10" hidden="1">#REF!</definedName>
    <definedName name="XRefPaste44" localSheetId="6" hidden="1">#REF!</definedName>
    <definedName name="XRefPaste44" hidden="1">#REF!</definedName>
    <definedName name="XRefPaste44Row" localSheetId="1" hidden="1">#REF!</definedName>
    <definedName name="XRefPaste44Row" localSheetId="15" hidden="1">#REF!</definedName>
    <definedName name="XRefPaste44Row" localSheetId="7" hidden="1">#REF!</definedName>
    <definedName name="XRefPaste44Row" localSheetId="14" hidden="1">#REF!</definedName>
    <definedName name="XRefPaste44Row" localSheetId="2" hidden="1">#REF!</definedName>
    <definedName name="XRefPaste44Row" localSheetId="34" hidden="1">#REF!</definedName>
    <definedName name="XRefPaste44Row" localSheetId="39" hidden="1">#REF!</definedName>
    <definedName name="XRefPaste44Row" localSheetId="12" hidden="1">#REF!</definedName>
    <definedName name="XRefPaste44Row" localSheetId="10" hidden="1">#REF!</definedName>
    <definedName name="XRefPaste44Row" localSheetId="6" hidden="1">#REF!</definedName>
    <definedName name="XRefPaste44Row" hidden="1">#REF!</definedName>
    <definedName name="XRefPaste45" localSheetId="1" hidden="1">#REF!</definedName>
    <definedName name="XRefPaste45" localSheetId="15" hidden="1">#REF!</definedName>
    <definedName name="XRefPaste45" localSheetId="7" hidden="1">#REF!</definedName>
    <definedName name="XRefPaste45" localSheetId="14" hidden="1">#REF!</definedName>
    <definedName name="XRefPaste45" localSheetId="2" hidden="1">#REF!</definedName>
    <definedName name="XRefPaste45" localSheetId="34" hidden="1">#REF!</definedName>
    <definedName name="XRefPaste45" localSheetId="39" hidden="1">#REF!</definedName>
    <definedName name="XRefPaste45" localSheetId="12" hidden="1">#REF!</definedName>
    <definedName name="XRefPaste45" localSheetId="10" hidden="1">#REF!</definedName>
    <definedName name="XRefPaste45" localSheetId="6" hidden="1">#REF!</definedName>
    <definedName name="XRefPaste45" hidden="1">#REF!</definedName>
    <definedName name="XRefPaste45Row" localSheetId="1" hidden="1">#REF!</definedName>
    <definedName name="XRefPaste45Row" localSheetId="15" hidden="1">#REF!</definedName>
    <definedName name="XRefPaste45Row" localSheetId="7" hidden="1">#REF!</definedName>
    <definedName name="XRefPaste45Row" localSheetId="14" hidden="1">#REF!</definedName>
    <definedName name="XRefPaste45Row" localSheetId="2" hidden="1">#REF!</definedName>
    <definedName name="XRefPaste45Row" localSheetId="34" hidden="1">#REF!</definedName>
    <definedName name="XRefPaste45Row" localSheetId="39" hidden="1">#REF!</definedName>
    <definedName name="XRefPaste45Row" localSheetId="12" hidden="1">#REF!</definedName>
    <definedName name="XRefPaste45Row" localSheetId="10" hidden="1">#REF!</definedName>
    <definedName name="XRefPaste45Row" localSheetId="6" hidden="1">#REF!</definedName>
    <definedName name="XRefPaste45Row" hidden="1">#REF!</definedName>
    <definedName name="XRefPaste46Row" localSheetId="1" hidden="1">#REF!</definedName>
    <definedName name="XRefPaste46Row" localSheetId="15" hidden="1">#REF!</definedName>
    <definedName name="XRefPaste46Row" localSheetId="7" hidden="1">#REF!</definedName>
    <definedName name="XRefPaste46Row" localSheetId="14" hidden="1">#REF!</definedName>
    <definedName name="XRefPaste46Row" localSheetId="2" hidden="1">#REF!</definedName>
    <definedName name="XRefPaste46Row" localSheetId="34" hidden="1">#REF!</definedName>
    <definedName name="XRefPaste46Row" localSheetId="39" hidden="1">#REF!</definedName>
    <definedName name="XRefPaste46Row" localSheetId="12" hidden="1">#REF!</definedName>
    <definedName name="XRefPaste46Row" localSheetId="10" hidden="1">#REF!</definedName>
    <definedName name="XRefPaste46Row" localSheetId="6" hidden="1">#REF!</definedName>
    <definedName name="XRefPaste46Row" hidden="1">#REF!</definedName>
    <definedName name="XRefPaste47Row" localSheetId="1" hidden="1">#REF!</definedName>
    <definedName name="XRefPaste47Row" localSheetId="15" hidden="1">#REF!</definedName>
    <definedName name="XRefPaste47Row" localSheetId="7" hidden="1">#REF!</definedName>
    <definedName name="XRefPaste47Row" localSheetId="14" hidden="1">#REF!</definedName>
    <definedName name="XRefPaste47Row" localSheetId="2" hidden="1">#REF!</definedName>
    <definedName name="XRefPaste47Row" localSheetId="34" hidden="1">#REF!</definedName>
    <definedName name="XRefPaste47Row" localSheetId="39" hidden="1">#REF!</definedName>
    <definedName name="XRefPaste47Row" localSheetId="12" hidden="1">#REF!</definedName>
    <definedName name="XRefPaste47Row" localSheetId="10" hidden="1">#REF!</definedName>
    <definedName name="XRefPaste47Row" localSheetId="6" hidden="1">#REF!</definedName>
    <definedName name="XRefPaste47Row" hidden="1">#REF!</definedName>
    <definedName name="XRefPaste48" localSheetId="1" hidden="1">#REF!</definedName>
    <definedName name="XRefPaste48" localSheetId="15" hidden="1">#REF!</definedName>
    <definedName name="XRefPaste48" localSheetId="7" hidden="1">#REF!</definedName>
    <definedName name="XRefPaste48" localSheetId="14" hidden="1">#REF!</definedName>
    <definedName name="XRefPaste48" localSheetId="2" hidden="1">#REF!</definedName>
    <definedName name="XRefPaste48" localSheetId="34" hidden="1">#REF!</definedName>
    <definedName name="XRefPaste48" localSheetId="39" hidden="1">#REF!</definedName>
    <definedName name="XRefPaste48" localSheetId="12" hidden="1">#REF!</definedName>
    <definedName name="XRefPaste48" localSheetId="10" hidden="1">#REF!</definedName>
    <definedName name="XRefPaste48" localSheetId="6" hidden="1">#REF!</definedName>
    <definedName name="XRefPaste48" hidden="1">#REF!</definedName>
    <definedName name="XRefPaste48Row" localSheetId="1" hidden="1">#REF!</definedName>
    <definedName name="XRefPaste48Row" localSheetId="15" hidden="1">#REF!</definedName>
    <definedName name="XRefPaste48Row" localSheetId="7" hidden="1">#REF!</definedName>
    <definedName name="XRefPaste48Row" localSheetId="14" hidden="1">#REF!</definedName>
    <definedName name="XRefPaste48Row" localSheetId="2" hidden="1">#REF!</definedName>
    <definedName name="XRefPaste48Row" localSheetId="34" hidden="1">#REF!</definedName>
    <definedName name="XRefPaste48Row" localSheetId="39" hidden="1">#REF!</definedName>
    <definedName name="XRefPaste48Row" localSheetId="12" hidden="1">#REF!</definedName>
    <definedName name="XRefPaste48Row" localSheetId="10" hidden="1">#REF!</definedName>
    <definedName name="XRefPaste48Row" localSheetId="6" hidden="1">#REF!</definedName>
    <definedName name="XRefPaste48Row" hidden="1">#REF!</definedName>
    <definedName name="XRefPaste49" localSheetId="1" hidden="1">#REF!</definedName>
    <definedName name="XRefPaste49" localSheetId="15" hidden="1">#REF!</definedName>
    <definedName name="XRefPaste49" localSheetId="7" hidden="1">#REF!</definedName>
    <definedName name="XRefPaste49" localSheetId="14" hidden="1">#REF!</definedName>
    <definedName name="XRefPaste49" localSheetId="2" hidden="1">#REF!</definedName>
    <definedName name="XRefPaste49" localSheetId="34" hidden="1">#REF!</definedName>
    <definedName name="XRefPaste49" localSheetId="39" hidden="1">#REF!</definedName>
    <definedName name="XRefPaste49" localSheetId="12" hidden="1">#REF!</definedName>
    <definedName name="XRefPaste49" localSheetId="10" hidden="1">#REF!</definedName>
    <definedName name="XRefPaste49" localSheetId="6" hidden="1">#REF!</definedName>
    <definedName name="XRefPaste49" hidden="1">#REF!</definedName>
    <definedName name="XRefPaste49Row" localSheetId="1" hidden="1">#REF!</definedName>
    <definedName name="XRefPaste49Row" localSheetId="15" hidden="1">#REF!</definedName>
    <definedName name="XRefPaste49Row" localSheetId="7" hidden="1">#REF!</definedName>
    <definedName name="XRefPaste49Row" localSheetId="14" hidden="1">#REF!</definedName>
    <definedName name="XRefPaste49Row" localSheetId="2" hidden="1">#REF!</definedName>
    <definedName name="XRefPaste49Row" localSheetId="34" hidden="1">#REF!</definedName>
    <definedName name="XRefPaste49Row" localSheetId="39" hidden="1">#REF!</definedName>
    <definedName name="XRefPaste49Row" localSheetId="12" hidden="1">#REF!</definedName>
    <definedName name="XRefPaste49Row" localSheetId="10" hidden="1">#REF!</definedName>
    <definedName name="XRefPaste49Row" localSheetId="6" hidden="1">#REF!</definedName>
    <definedName name="XRefPaste49Row" hidden="1">#REF!</definedName>
    <definedName name="XRefPaste4Row" localSheetId="1" hidden="1">#REF!</definedName>
    <definedName name="XRefPaste4Row" localSheetId="15" hidden="1">#REF!</definedName>
    <definedName name="XRefPaste4Row" localSheetId="7" hidden="1">#REF!</definedName>
    <definedName name="XRefPaste4Row" localSheetId="14" hidden="1">#REF!</definedName>
    <definedName name="XRefPaste4Row" localSheetId="2" hidden="1">#REF!</definedName>
    <definedName name="XRefPaste4Row" localSheetId="34" hidden="1">#REF!</definedName>
    <definedName name="XRefPaste4Row" localSheetId="39" hidden="1">#REF!</definedName>
    <definedName name="XRefPaste4Row" localSheetId="12" hidden="1">#REF!</definedName>
    <definedName name="XRefPaste4Row" localSheetId="10" hidden="1">#REF!</definedName>
    <definedName name="XRefPaste4Row" localSheetId="6" hidden="1">#REF!</definedName>
    <definedName name="XRefPaste4Row" hidden="1">#REF!</definedName>
    <definedName name="XRefPaste5" localSheetId="1" hidden="1">#REF!</definedName>
    <definedName name="XRefPaste5" localSheetId="15" hidden="1">#REF!</definedName>
    <definedName name="XRefPaste5" localSheetId="7" hidden="1">#REF!</definedName>
    <definedName name="XRefPaste5" localSheetId="14" hidden="1">#REF!</definedName>
    <definedName name="XRefPaste5" localSheetId="2" hidden="1">#REF!</definedName>
    <definedName name="XRefPaste5" localSheetId="34" hidden="1">#REF!</definedName>
    <definedName name="XRefPaste5" localSheetId="39" hidden="1">#REF!</definedName>
    <definedName name="XRefPaste5" localSheetId="12" hidden="1">#REF!</definedName>
    <definedName name="XRefPaste5" localSheetId="10" hidden="1">#REF!</definedName>
    <definedName name="XRefPaste5" localSheetId="11" hidden="1">#REF!</definedName>
    <definedName name="XRefPaste5" localSheetId="6" hidden="1">#REF!</definedName>
    <definedName name="XRefPaste5" hidden="1">#REF!</definedName>
    <definedName name="XRefPaste50Row" localSheetId="1" hidden="1">#REF!</definedName>
    <definedName name="XRefPaste50Row" localSheetId="15" hidden="1">#REF!</definedName>
    <definedName name="XRefPaste50Row" localSheetId="7" hidden="1">#REF!</definedName>
    <definedName name="XRefPaste50Row" localSheetId="14" hidden="1">#REF!</definedName>
    <definedName name="XRefPaste50Row" localSheetId="2" hidden="1">#REF!</definedName>
    <definedName name="XRefPaste50Row" localSheetId="34" hidden="1">#REF!</definedName>
    <definedName name="XRefPaste50Row" localSheetId="39" hidden="1">#REF!</definedName>
    <definedName name="XRefPaste50Row" localSheetId="12" hidden="1">#REF!</definedName>
    <definedName name="XRefPaste50Row" localSheetId="10" hidden="1">#REF!</definedName>
    <definedName name="XRefPaste50Row" localSheetId="6" hidden="1">#REF!</definedName>
    <definedName name="XRefPaste50Row" hidden="1">#REF!</definedName>
    <definedName name="XRefPaste51" localSheetId="1" hidden="1">#REF!</definedName>
    <definedName name="XRefPaste51" localSheetId="15" hidden="1">#REF!</definedName>
    <definedName name="XRefPaste51" localSheetId="7" hidden="1">#REF!</definedName>
    <definedName name="XRefPaste51" localSheetId="14" hidden="1">#REF!</definedName>
    <definedName name="XRefPaste51" localSheetId="2" hidden="1">#REF!</definedName>
    <definedName name="XRefPaste51" localSheetId="34" hidden="1">#REF!</definedName>
    <definedName name="XRefPaste51" localSheetId="39" hidden="1">#REF!</definedName>
    <definedName name="XRefPaste51" localSheetId="12" hidden="1">#REF!</definedName>
    <definedName name="XRefPaste51" localSheetId="10" hidden="1">#REF!</definedName>
    <definedName name="XRefPaste51" localSheetId="6" hidden="1">#REF!</definedName>
    <definedName name="XRefPaste51" hidden="1">#REF!</definedName>
    <definedName name="XRefPaste51Row" localSheetId="1" hidden="1">#REF!</definedName>
    <definedName name="XRefPaste51Row" localSheetId="15" hidden="1">#REF!</definedName>
    <definedName name="XRefPaste51Row" localSheetId="7" hidden="1">#REF!</definedName>
    <definedName name="XRefPaste51Row" localSheetId="14" hidden="1">#REF!</definedName>
    <definedName name="XRefPaste51Row" localSheetId="2" hidden="1">#REF!</definedName>
    <definedName name="XRefPaste51Row" localSheetId="34" hidden="1">#REF!</definedName>
    <definedName name="XRefPaste51Row" localSheetId="39" hidden="1">#REF!</definedName>
    <definedName name="XRefPaste51Row" localSheetId="12" hidden="1">#REF!</definedName>
    <definedName name="XRefPaste51Row" localSheetId="10" hidden="1">#REF!</definedName>
    <definedName name="XRefPaste51Row" localSheetId="6" hidden="1">#REF!</definedName>
    <definedName name="XRefPaste51Row" hidden="1">#REF!</definedName>
    <definedName name="XRefPaste52" localSheetId="1" hidden="1">#REF!</definedName>
    <definedName name="XRefPaste52" localSheetId="15" hidden="1">#REF!</definedName>
    <definedName name="XRefPaste52" localSheetId="7" hidden="1">#REF!</definedName>
    <definedName name="XRefPaste52" localSheetId="14" hidden="1">#REF!</definedName>
    <definedName name="XRefPaste52" localSheetId="2" hidden="1">#REF!</definedName>
    <definedName name="XRefPaste52" localSheetId="34" hidden="1">#REF!</definedName>
    <definedName name="XRefPaste52" localSheetId="39" hidden="1">#REF!</definedName>
    <definedName name="XRefPaste52" localSheetId="12" hidden="1">#REF!</definedName>
    <definedName name="XRefPaste52" localSheetId="10" hidden="1">#REF!</definedName>
    <definedName name="XRefPaste52" localSheetId="6" hidden="1">#REF!</definedName>
    <definedName name="XRefPaste52" hidden="1">#REF!</definedName>
    <definedName name="XRefPaste52Row" localSheetId="1" hidden="1">#REF!</definedName>
    <definedName name="XRefPaste52Row" localSheetId="15" hidden="1">#REF!</definedName>
    <definedName name="XRefPaste52Row" localSheetId="7" hidden="1">#REF!</definedName>
    <definedName name="XRefPaste52Row" localSheetId="14" hidden="1">#REF!</definedName>
    <definedName name="XRefPaste52Row" localSheetId="2" hidden="1">#REF!</definedName>
    <definedName name="XRefPaste52Row" localSheetId="34" hidden="1">#REF!</definedName>
    <definedName name="XRefPaste52Row" localSheetId="39" hidden="1">#REF!</definedName>
    <definedName name="XRefPaste52Row" localSheetId="12" hidden="1">#REF!</definedName>
    <definedName name="XRefPaste52Row" localSheetId="10" hidden="1">#REF!</definedName>
    <definedName name="XRefPaste52Row" localSheetId="6" hidden="1">#REF!</definedName>
    <definedName name="XRefPaste52Row" hidden="1">#REF!</definedName>
    <definedName name="XRefPaste53Row" localSheetId="1" hidden="1">#REF!</definedName>
    <definedName name="XRefPaste53Row" localSheetId="15" hidden="1">#REF!</definedName>
    <definedName name="XRefPaste53Row" localSheetId="7" hidden="1">#REF!</definedName>
    <definedName name="XRefPaste53Row" localSheetId="14" hidden="1">#REF!</definedName>
    <definedName name="XRefPaste53Row" localSheetId="2" hidden="1">#REF!</definedName>
    <definedName name="XRefPaste53Row" localSheetId="34" hidden="1">#REF!</definedName>
    <definedName name="XRefPaste53Row" localSheetId="39" hidden="1">#REF!</definedName>
    <definedName name="XRefPaste53Row" localSheetId="12" hidden="1">#REF!</definedName>
    <definedName name="XRefPaste53Row" localSheetId="10" hidden="1">#REF!</definedName>
    <definedName name="XRefPaste53Row" localSheetId="6" hidden="1">#REF!</definedName>
    <definedName name="XRefPaste53Row" hidden="1">#REF!</definedName>
    <definedName name="XRefPaste54Row" localSheetId="1" hidden="1">#REF!</definedName>
    <definedName name="XRefPaste54Row" localSheetId="15" hidden="1">#REF!</definedName>
    <definedName name="XRefPaste54Row" localSheetId="7" hidden="1">#REF!</definedName>
    <definedName name="XRefPaste54Row" localSheetId="14" hidden="1">#REF!</definedName>
    <definedName name="XRefPaste54Row" localSheetId="2" hidden="1">#REF!</definedName>
    <definedName name="XRefPaste54Row" localSheetId="34" hidden="1">#REF!</definedName>
    <definedName name="XRefPaste54Row" localSheetId="39" hidden="1">#REF!</definedName>
    <definedName name="XRefPaste54Row" localSheetId="12" hidden="1">#REF!</definedName>
    <definedName name="XRefPaste54Row" localSheetId="10" hidden="1">#REF!</definedName>
    <definedName name="XRefPaste54Row" localSheetId="6" hidden="1">#REF!</definedName>
    <definedName name="XRefPaste54Row" hidden="1">#REF!</definedName>
    <definedName name="XRefPaste55Row" localSheetId="1" hidden="1">#REF!</definedName>
    <definedName name="XRefPaste55Row" localSheetId="15" hidden="1">#REF!</definedName>
    <definedName name="XRefPaste55Row" localSheetId="7" hidden="1">#REF!</definedName>
    <definedName name="XRefPaste55Row" localSheetId="14" hidden="1">#REF!</definedName>
    <definedName name="XRefPaste55Row" localSheetId="2" hidden="1">#REF!</definedName>
    <definedName name="XRefPaste55Row" localSheetId="34" hidden="1">#REF!</definedName>
    <definedName name="XRefPaste55Row" localSheetId="39" hidden="1">#REF!</definedName>
    <definedName name="XRefPaste55Row" localSheetId="12" hidden="1">#REF!</definedName>
    <definedName name="XRefPaste55Row" localSheetId="10" hidden="1">#REF!</definedName>
    <definedName name="XRefPaste55Row" localSheetId="6" hidden="1">#REF!</definedName>
    <definedName name="XRefPaste55Row" hidden="1">#REF!</definedName>
    <definedName name="XRefPaste56Row" localSheetId="1" hidden="1">#REF!</definedName>
    <definedName name="XRefPaste56Row" localSheetId="15" hidden="1">#REF!</definedName>
    <definedName name="XRefPaste56Row" localSheetId="7" hidden="1">#REF!</definedName>
    <definedName name="XRefPaste56Row" localSheetId="14" hidden="1">#REF!</definedName>
    <definedName name="XRefPaste56Row" localSheetId="2" hidden="1">#REF!</definedName>
    <definedName name="XRefPaste56Row" localSheetId="34" hidden="1">#REF!</definedName>
    <definedName name="XRefPaste56Row" localSheetId="39" hidden="1">#REF!</definedName>
    <definedName name="XRefPaste56Row" localSheetId="12" hidden="1">#REF!</definedName>
    <definedName name="XRefPaste56Row" localSheetId="10" hidden="1">#REF!</definedName>
    <definedName name="XRefPaste56Row" localSheetId="6" hidden="1">#REF!</definedName>
    <definedName name="XRefPaste56Row" hidden="1">#REF!</definedName>
    <definedName name="XRefPaste57Row" localSheetId="1" hidden="1">#REF!</definedName>
    <definedName name="XRefPaste57Row" localSheetId="15" hidden="1">#REF!</definedName>
    <definedName name="XRefPaste57Row" localSheetId="7" hidden="1">#REF!</definedName>
    <definedName name="XRefPaste57Row" localSheetId="14" hidden="1">#REF!</definedName>
    <definedName name="XRefPaste57Row" localSheetId="2" hidden="1">#REF!</definedName>
    <definedName name="XRefPaste57Row" localSheetId="34" hidden="1">#REF!</definedName>
    <definedName name="XRefPaste57Row" localSheetId="39" hidden="1">#REF!</definedName>
    <definedName name="XRefPaste57Row" localSheetId="12" hidden="1">#REF!</definedName>
    <definedName name="XRefPaste57Row" localSheetId="10" hidden="1">#REF!</definedName>
    <definedName name="XRefPaste57Row" localSheetId="6" hidden="1">#REF!</definedName>
    <definedName name="XRefPaste57Row" hidden="1">#REF!</definedName>
    <definedName name="XRefPaste58Row" localSheetId="1" hidden="1">#REF!</definedName>
    <definedName name="XRefPaste58Row" localSheetId="15" hidden="1">#REF!</definedName>
    <definedName name="XRefPaste58Row" localSheetId="7" hidden="1">#REF!</definedName>
    <definedName name="XRefPaste58Row" localSheetId="14" hidden="1">#REF!</definedName>
    <definedName name="XRefPaste58Row" localSheetId="2" hidden="1">#REF!</definedName>
    <definedName name="XRefPaste58Row" localSheetId="34" hidden="1">#REF!</definedName>
    <definedName name="XRefPaste58Row" localSheetId="39" hidden="1">#REF!</definedName>
    <definedName name="XRefPaste58Row" localSheetId="12" hidden="1">#REF!</definedName>
    <definedName name="XRefPaste58Row" localSheetId="10" hidden="1">#REF!</definedName>
    <definedName name="XRefPaste58Row" localSheetId="6" hidden="1">#REF!</definedName>
    <definedName name="XRefPaste58Row" hidden="1">#REF!</definedName>
    <definedName name="XRefPaste59Row" localSheetId="1" hidden="1">#REF!</definedName>
    <definedName name="XRefPaste59Row" localSheetId="15" hidden="1">#REF!</definedName>
    <definedName name="XRefPaste59Row" localSheetId="7" hidden="1">#REF!</definedName>
    <definedName name="XRefPaste59Row" localSheetId="14" hidden="1">#REF!</definedName>
    <definedName name="XRefPaste59Row" localSheetId="2" hidden="1">#REF!</definedName>
    <definedName name="XRefPaste59Row" localSheetId="34" hidden="1">#REF!</definedName>
    <definedName name="XRefPaste59Row" localSheetId="39" hidden="1">#REF!</definedName>
    <definedName name="XRefPaste59Row" localSheetId="12" hidden="1">#REF!</definedName>
    <definedName name="XRefPaste59Row" localSheetId="10" hidden="1">#REF!</definedName>
    <definedName name="XRefPaste59Row" localSheetId="6" hidden="1">#REF!</definedName>
    <definedName name="XRefPaste59Row" hidden="1">#REF!</definedName>
    <definedName name="XRefPaste5Row" localSheetId="1" hidden="1">#REF!</definedName>
    <definedName name="XRefPaste5Row" localSheetId="15" hidden="1">#REF!</definedName>
    <definedName name="XRefPaste5Row" localSheetId="7" hidden="1">#REF!</definedName>
    <definedName name="XRefPaste5Row" localSheetId="14" hidden="1">#REF!</definedName>
    <definedName name="XRefPaste5Row" localSheetId="2" hidden="1">#REF!</definedName>
    <definedName name="XRefPaste5Row" localSheetId="34" hidden="1">#REF!</definedName>
    <definedName name="XRefPaste5Row" localSheetId="39" hidden="1">#REF!</definedName>
    <definedName name="XRefPaste5Row" localSheetId="12" hidden="1">#REF!</definedName>
    <definedName name="XRefPaste5Row" localSheetId="10" hidden="1">#REF!</definedName>
    <definedName name="XRefPaste5Row" localSheetId="11" hidden="1">#REF!</definedName>
    <definedName name="XRefPaste5Row" localSheetId="6" hidden="1">#REF!</definedName>
    <definedName name="XRefPaste5Row" hidden="1">#REF!</definedName>
    <definedName name="XRefPaste6" localSheetId="1" hidden="1">#REF!</definedName>
    <definedName name="XRefPaste6" localSheetId="15" hidden="1">#REF!</definedName>
    <definedName name="XRefPaste6" localSheetId="7" hidden="1">#REF!</definedName>
    <definedName name="XRefPaste6" localSheetId="14" hidden="1">#REF!</definedName>
    <definedName name="XRefPaste6" localSheetId="2" hidden="1">#REF!</definedName>
    <definedName name="XRefPaste6" localSheetId="34" hidden="1">#REF!</definedName>
    <definedName name="XRefPaste6" localSheetId="39" hidden="1">#REF!</definedName>
    <definedName name="XRefPaste6" localSheetId="12" hidden="1">#REF!</definedName>
    <definedName name="XRefPaste6" localSheetId="10" hidden="1">#REF!</definedName>
    <definedName name="XRefPaste6" localSheetId="11" hidden="1">#REF!</definedName>
    <definedName name="XRefPaste6" localSheetId="6" hidden="1">#REF!</definedName>
    <definedName name="XRefPaste6" hidden="1">#REF!</definedName>
    <definedName name="XRefPaste60Row" localSheetId="1" hidden="1">#REF!</definedName>
    <definedName name="XRefPaste60Row" localSheetId="15" hidden="1">#REF!</definedName>
    <definedName name="XRefPaste60Row" localSheetId="7" hidden="1">#REF!</definedName>
    <definedName name="XRefPaste60Row" localSheetId="14" hidden="1">#REF!</definedName>
    <definedName name="XRefPaste60Row" localSheetId="2" hidden="1">#REF!</definedName>
    <definedName name="XRefPaste60Row" localSheetId="34" hidden="1">#REF!</definedName>
    <definedName name="XRefPaste60Row" localSheetId="39" hidden="1">#REF!</definedName>
    <definedName name="XRefPaste60Row" localSheetId="12" hidden="1">#REF!</definedName>
    <definedName name="XRefPaste60Row" localSheetId="10" hidden="1">#REF!</definedName>
    <definedName name="XRefPaste60Row" localSheetId="6" hidden="1">#REF!</definedName>
    <definedName name="XRefPaste60Row" hidden="1">#REF!</definedName>
    <definedName name="XRefPaste61Row" localSheetId="1" hidden="1">#REF!</definedName>
    <definedName name="XRefPaste61Row" localSheetId="15" hidden="1">#REF!</definedName>
    <definedName name="XRefPaste61Row" localSheetId="7" hidden="1">#REF!</definedName>
    <definedName name="XRefPaste61Row" localSheetId="14" hidden="1">#REF!</definedName>
    <definedName name="XRefPaste61Row" localSheetId="2" hidden="1">#REF!</definedName>
    <definedName name="XRefPaste61Row" localSheetId="34" hidden="1">#REF!</definedName>
    <definedName name="XRefPaste61Row" localSheetId="39" hidden="1">#REF!</definedName>
    <definedName name="XRefPaste61Row" localSheetId="12" hidden="1">#REF!</definedName>
    <definedName name="XRefPaste61Row" localSheetId="10" hidden="1">#REF!</definedName>
    <definedName name="XRefPaste61Row" localSheetId="6" hidden="1">#REF!</definedName>
    <definedName name="XRefPaste61Row" hidden="1">#REF!</definedName>
    <definedName name="XRefPaste62Row" localSheetId="1" hidden="1">#REF!</definedName>
    <definedName name="XRefPaste62Row" localSheetId="15" hidden="1">#REF!</definedName>
    <definedName name="XRefPaste62Row" localSheetId="7" hidden="1">#REF!</definedName>
    <definedName name="XRefPaste62Row" localSheetId="14" hidden="1">#REF!</definedName>
    <definedName name="XRefPaste62Row" localSheetId="2" hidden="1">#REF!</definedName>
    <definedName name="XRefPaste62Row" localSheetId="34" hidden="1">#REF!</definedName>
    <definedName name="XRefPaste62Row" localSheetId="39" hidden="1">#REF!</definedName>
    <definedName name="XRefPaste62Row" localSheetId="12" hidden="1">#REF!</definedName>
    <definedName name="XRefPaste62Row" localSheetId="10" hidden="1">#REF!</definedName>
    <definedName name="XRefPaste62Row" localSheetId="6" hidden="1">#REF!</definedName>
    <definedName name="XRefPaste62Row" hidden="1">#REF!</definedName>
    <definedName name="XRefPaste63Row" localSheetId="1" hidden="1">#REF!</definedName>
    <definedName name="XRefPaste63Row" localSheetId="15" hidden="1">#REF!</definedName>
    <definedName name="XRefPaste63Row" localSheetId="7" hidden="1">#REF!</definedName>
    <definedName name="XRefPaste63Row" localSheetId="14" hidden="1">#REF!</definedName>
    <definedName name="XRefPaste63Row" localSheetId="2" hidden="1">#REF!</definedName>
    <definedName name="XRefPaste63Row" localSheetId="34" hidden="1">#REF!</definedName>
    <definedName name="XRefPaste63Row" localSheetId="39" hidden="1">#REF!</definedName>
    <definedName name="XRefPaste63Row" localSheetId="12" hidden="1">#REF!</definedName>
    <definedName name="XRefPaste63Row" localSheetId="10" hidden="1">#REF!</definedName>
    <definedName name="XRefPaste63Row" localSheetId="6" hidden="1">#REF!</definedName>
    <definedName name="XRefPaste63Row" hidden="1">#REF!</definedName>
    <definedName name="XRefPaste64Row" localSheetId="1" hidden="1">#REF!</definedName>
    <definedName name="XRefPaste64Row" localSheetId="15" hidden="1">#REF!</definedName>
    <definedName name="XRefPaste64Row" localSheetId="7" hidden="1">#REF!</definedName>
    <definedName name="XRefPaste64Row" localSheetId="14" hidden="1">#REF!</definedName>
    <definedName name="XRefPaste64Row" localSheetId="2" hidden="1">#REF!</definedName>
    <definedName name="XRefPaste64Row" localSheetId="34" hidden="1">#REF!</definedName>
    <definedName name="XRefPaste64Row" localSheetId="39" hidden="1">#REF!</definedName>
    <definedName name="XRefPaste64Row" localSheetId="12" hidden="1">#REF!</definedName>
    <definedName name="XRefPaste64Row" localSheetId="10" hidden="1">#REF!</definedName>
    <definedName name="XRefPaste64Row" localSheetId="6" hidden="1">#REF!</definedName>
    <definedName name="XRefPaste64Row" hidden="1">#REF!</definedName>
    <definedName name="XRefPaste65Row" localSheetId="1" hidden="1">#REF!</definedName>
    <definedName name="XRefPaste65Row" localSheetId="15" hidden="1">#REF!</definedName>
    <definedName name="XRefPaste65Row" localSheetId="7" hidden="1">#REF!</definedName>
    <definedName name="XRefPaste65Row" localSheetId="14" hidden="1">#REF!</definedName>
    <definedName name="XRefPaste65Row" localSheetId="2" hidden="1">#REF!</definedName>
    <definedName name="XRefPaste65Row" localSheetId="34" hidden="1">#REF!</definedName>
    <definedName name="XRefPaste65Row" localSheetId="39" hidden="1">#REF!</definedName>
    <definedName name="XRefPaste65Row" localSheetId="12" hidden="1">#REF!</definedName>
    <definedName name="XRefPaste65Row" localSheetId="10" hidden="1">#REF!</definedName>
    <definedName name="XRefPaste65Row" localSheetId="6" hidden="1">#REF!</definedName>
    <definedName name="XRefPaste65Row" hidden="1">#REF!</definedName>
    <definedName name="XRefPaste68" localSheetId="1" hidden="1">#REF!</definedName>
    <definedName name="XRefPaste68" localSheetId="15" hidden="1">#REF!</definedName>
    <definedName name="XRefPaste68" localSheetId="7" hidden="1">#REF!</definedName>
    <definedName name="XRefPaste68" localSheetId="2" hidden="1">#REF!</definedName>
    <definedName name="XRefPaste68" localSheetId="34" hidden="1">#REF!</definedName>
    <definedName name="XRefPaste68" localSheetId="39" hidden="1">#REF!</definedName>
    <definedName name="XRefPaste68" localSheetId="12" hidden="1">#REF!</definedName>
    <definedName name="XRefPaste68" localSheetId="10" hidden="1">#REF!</definedName>
    <definedName name="XRefPaste68" localSheetId="6" hidden="1">#REF!</definedName>
    <definedName name="XRefPaste68" hidden="1">#REF!</definedName>
    <definedName name="XRefPaste6Row" localSheetId="1" hidden="1">#REF!</definedName>
    <definedName name="XRefPaste6Row" localSheetId="15" hidden="1">#REF!</definedName>
    <definedName name="XRefPaste6Row" localSheetId="7" hidden="1">#REF!</definedName>
    <definedName name="XRefPaste6Row" localSheetId="14" hidden="1">#REF!</definedName>
    <definedName name="XRefPaste6Row" localSheetId="2" hidden="1">#REF!</definedName>
    <definedName name="XRefPaste6Row" localSheetId="34" hidden="1">#REF!</definedName>
    <definedName name="XRefPaste6Row" localSheetId="39" hidden="1">#REF!</definedName>
    <definedName name="XRefPaste6Row" localSheetId="12" hidden="1">#REF!</definedName>
    <definedName name="XRefPaste6Row" localSheetId="10" hidden="1">#REF!</definedName>
    <definedName name="XRefPaste6Row" localSheetId="11" hidden="1">#REF!</definedName>
    <definedName name="XRefPaste6Row" localSheetId="6" hidden="1">#REF!</definedName>
    <definedName name="XRefPaste6Row" hidden="1">#REF!</definedName>
    <definedName name="XRefPaste70Row" localSheetId="1" hidden="1">#REF!</definedName>
    <definedName name="XRefPaste70Row" localSheetId="15" hidden="1">#REF!</definedName>
    <definedName name="XRefPaste70Row" localSheetId="7" hidden="1">#REF!</definedName>
    <definedName name="XRefPaste70Row" localSheetId="2" hidden="1">#REF!</definedName>
    <definedName name="XRefPaste70Row" localSheetId="34" hidden="1">#REF!</definedName>
    <definedName name="XRefPaste70Row" localSheetId="39" hidden="1">#REF!</definedName>
    <definedName name="XRefPaste70Row" localSheetId="12" hidden="1">#REF!</definedName>
    <definedName name="XRefPaste70Row" localSheetId="10" hidden="1">#REF!</definedName>
    <definedName name="XRefPaste70Row" localSheetId="6" hidden="1">#REF!</definedName>
    <definedName name="XRefPaste70Row" hidden="1">#REF!</definedName>
    <definedName name="XRefPaste7Row" localSheetId="1" hidden="1">#REF!</definedName>
    <definedName name="XRefPaste7Row" localSheetId="15" hidden="1">#REF!</definedName>
    <definedName name="XRefPaste7Row" localSheetId="7" hidden="1">#REF!</definedName>
    <definedName name="XRefPaste7Row" localSheetId="14" hidden="1">#REF!</definedName>
    <definedName name="XRefPaste7Row" localSheetId="2" hidden="1">#REF!</definedName>
    <definedName name="XRefPaste7Row" localSheetId="34" hidden="1">#REF!</definedName>
    <definedName name="XRefPaste7Row" localSheetId="39" hidden="1">#REF!</definedName>
    <definedName name="XRefPaste7Row" localSheetId="12" hidden="1">#REF!</definedName>
    <definedName name="XRefPaste7Row" localSheetId="10" hidden="1">#REF!</definedName>
    <definedName name="XRefPaste7Row" localSheetId="11" hidden="1">#REF!</definedName>
    <definedName name="XRefPaste7Row" localSheetId="6" hidden="1">#REF!</definedName>
    <definedName name="XRefPaste7Row" hidden="1">#REF!</definedName>
    <definedName name="XRefPaste8" localSheetId="1" hidden="1">#REF!</definedName>
    <definedName name="XRefPaste8" localSheetId="15" hidden="1">#REF!</definedName>
    <definedName name="XRefPaste8" localSheetId="7" hidden="1">#REF!</definedName>
    <definedName name="XRefPaste8" localSheetId="14" hidden="1">#REF!</definedName>
    <definedName name="XRefPaste8" localSheetId="2" hidden="1">#REF!</definedName>
    <definedName name="XRefPaste8" localSheetId="34" hidden="1">#REF!</definedName>
    <definedName name="XRefPaste8" localSheetId="39" hidden="1">#REF!</definedName>
    <definedName name="XRefPaste8" localSheetId="12" hidden="1">#REF!</definedName>
    <definedName name="XRefPaste8" localSheetId="10" hidden="1">#REF!</definedName>
    <definedName name="XRefPaste8" localSheetId="6" hidden="1">#REF!</definedName>
    <definedName name="XRefPaste8" hidden="1">#REF!</definedName>
    <definedName name="XRefPaste8Row" localSheetId="1" hidden="1">#REF!</definedName>
    <definedName name="XRefPaste8Row" localSheetId="15" hidden="1">#REF!</definedName>
    <definedName name="XRefPaste8Row" localSheetId="7" hidden="1">#REF!</definedName>
    <definedName name="XRefPaste8Row" localSheetId="14" hidden="1">#REF!</definedName>
    <definedName name="XRefPaste8Row" localSheetId="2" hidden="1">#REF!</definedName>
    <definedName name="XRefPaste8Row" localSheetId="34" hidden="1">#REF!</definedName>
    <definedName name="XRefPaste8Row" localSheetId="39" hidden="1">#REF!</definedName>
    <definedName name="XRefPaste8Row" localSheetId="12" hidden="1">#REF!</definedName>
    <definedName name="XRefPaste8Row" localSheetId="10" hidden="1">#REF!</definedName>
    <definedName name="XRefPaste8Row" localSheetId="11" hidden="1">#REF!</definedName>
    <definedName name="XRefPaste8Row" localSheetId="6" hidden="1">#REF!</definedName>
    <definedName name="XRefPaste8Row" hidden="1">#REF!</definedName>
    <definedName name="XRefPaste9Row" localSheetId="1" hidden="1">#REF!</definedName>
    <definedName name="XRefPaste9Row" localSheetId="15" hidden="1">#REF!</definedName>
    <definedName name="XRefPaste9Row" localSheetId="7" hidden="1">#REF!</definedName>
    <definedName name="XRefPaste9Row" localSheetId="14" hidden="1">#REF!</definedName>
    <definedName name="XRefPaste9Row" localSheetId="2" hidden="1">#REF!</definedName>
    <definedName name="XRefPaste9Row" localSheetId="34" hidden="1">#REF!</definedName>
    <definedName name="XRefPaste9Row" localSheetId="39" hidden="1">#REF!</definedName>
    <definedName name="XRefPaste9Row" localSheetId="12" hidden="1">#REF!</definedName>
    <definedName name="XRefPaste9Row" localSheetId="10" hidden="1">#REF!</definedName>
    <definedName name="XRefPaste9Row" localSheetId="11" hidden="1">#REF!</definedName>
    <definedName name="XRefPaste9Row" localSheetId="6" hidden="1">#REF!</definedName>
    <definedName name="XRefPaste9Row" hidden="1">#REF!</definedName>
    <definedName name="XRefPasteRangeCount" hidden="1">7</definedName>
    <definedName name="xx" localSheetId="2">#REF!</definedName>
    <definedName name="xx">#REF!</definedName>
    <definedName name="yy_1" localSheetId="15" hidden="1">{"Fecha_Novembro",#N/A,FALSE,"FECHAMENTO-2002 ";"Defer_Novembro",#N/A,FALSE,"DIFERIDO";"Pis_Novembro",#N/A,FALSE,"PIS COFINS";"Iss_Novembro",#N/A,FALSE,"ISS"}</definedName>
    <definedName name="yy_1" localSheetId="14" hidden="1">{"Fecha_Novembro",#N/A,FALSE,"FECHAMENTO-2002 ";"Defer_Novembro",#N/A,FALSE,"DIFERIDO";"Pis_Novembro",#N/A,FALSE,"PIS COFINS";"Iss_Novembro",#N/A,FALSE,"ISS"}</definedName>
    <definedName name="yy_1" localSheetId="2" hidden="1">{"Fecha_Novembro",#N/A,FALSE,"FECHAMENTO-2002 ";"Defer_Novembro",#N/A,FALSE,"DIFERIDO";"Pis_Novembro",#N/A,FALSE,"PIS COFINS";"Iss_Novembro",#N/A,FALSE,"ISS"}</definedName>
    <definedName name="yy_1" localSheetId="34" hidden="1">{"Fecha_Novembro",#N/A,FALSE,"FECHAMENTO-2002 ";"Defer_Novembro",#N/A,FALSE,"DIFERIDO";"Pis_Novembro",#N/A,FALSE,"PIS COFINS";"Iss_Novembro",#N/A,FALSE,"ISS"}</definedName>
    <definedName name="yy_1" localSheetId="39" hidden="1">{"Fecha_Novembro",#N/A,FALSE,"FECHAMENTO-2002 ";"Defer_Novembro",#N/A,FALSE,"DIFERIDO";"Pis_Novembro",#N/A,FALSE,"PIS COFINS";"Iss_Novembro",#N/A,FALSE,"ISS"}</definedName>
    <definedName name="yy_1" localSheetId="8" hidden="1">{"Fecha_Novembro",#N/A,FALSE,"FECHAMENTO-2002 ";"Defer_Novembro",#N/A,FALSE,"DIFERIDO";"Pis_Novembro",#N/A,FALSE,"PIS COFINS";"Iss_Novembro",#N/A,FALSE,"ISS"}</definedName>
    <definedName name="yy_1" localSheetId="12" hidden="1">{"Fecha_Novembro",#N/A,FALSE,"FECHAMENTO-2002 ";"Defer_Novembro",#N/A,FALSE,"DIFERIDO";"Pis_Novembro",#N/A,FALSE,"PIS COFINS";"Iss_Novembro",#N/A,FALSE,"ISS"}</definedName>
    <definedName name="yy_1" localSheetId="13" hidden="1">{"Fecha_Novembro",#N/A,FALSE,"FECHAMENTO-2002 ";"Defer_Novembro",#N/A,FALSE,"DIFERIDO";"Pis_Novembro",#N/A,FALSE,"PIS COFINS";"Iss_Novembro",#N/A,FALSE,"ISS"}</definedName>
    <definedName name="yy_1" localSheetId="11" hidden="1">{"Fecha_Novembro",#N/A,FALSE,"FECHAMENTO-2002 ";"Defer_Novembro",#N/A,FALSE,"DIFERIDO";"Pis_Novembro",#N/A,FALSE,"PIS COFINS";"Iss_Novembro",#N/A,FALSE,"ISS"}</definedName>
    <definedName name="yy_1" localSheetId="31" hidden="1">{"Fecha_Novembro",#N/A,FALSE,"FECHAMENTO-2002 ";"Defer_Novembro",#N/A,FALSE,"DIFERIDO";"Pis_Novembro",#N/A,FALSE,"PIS COFINS";"Iss_Novembro",#N/A,FALSE,"ISS"}</definedName>
    <definedName name="yy_1" hidden="1">{"Fecha_Novembro",#N/A,FALSE,"FECHAMENTO-2002 ";"Defer_Novembro",#N/A,FALSE,"DIFERIDO";"Pis_Novembro",#N/A,FALSE,"PIS COFINS";"Iss_Novembro",#N/A,FALSE,"ISS"}</definedName>
    <definedName name="yyy" localSheetId="15" hidden="1">{"Fecha_Novembro",#N/A,FALSE,"FECHAMENTO-2002 ";"Defer_Novembro",#N/A,FALSE,"DIFERIDO";"Pis_Novembro",#N/A,FALSE,"PIS COFINS";"Iss_Novembro",#N/A,FALSE,"ISS"}</definedName>
    <definedName name="yyy" localSheetId="14" hidden="1">{"Fecha_Novembro",#N/A,FALSE,"FECHAMENTO-2002 ";"Defer_Novembro",#N/A,FALSE,"DIFERIDO";"Pis_Novembro",#N/A,FALSE,"PIS COFINS";"Iss_Novembro",#N/A,FALSE,"ISS"}</definedName>
    <definedName name="yyy" localSheetId="2" hidden="1">{"Fecha_Novembro",#N/A,FALSE,"FECHAMENTO-2002 ";"Defer_Novembro",#N/A,FALSE,"DIFERIDO";"Pis_Novembro",#N/A,FALSE,"PIS COFINS";"Iss_Novembro",#N/A,FALSE,"ISS"}</definedName>
    <definedName name="yyy" localSheetId="34" hidden="1">{"Fecha_Novembro",#N/A,FALSE,"FECHAMENTO-2002 ";"Defer_Novembro",#N/A,FALSE,"DIFERIDO";"Pis_Novembro",#N/A,FALSE,"PIS COFINS";"Iss_Novembro",#N/A,FALSE,"ISS"}</definedName>
    <definedName name="yyy" localSheetId="39" hidden="1">{"Fecha_Novembro",#N/A,FALSE,"FECHAMENTO-2002 ";"Defer_Novembro",#N/A,FALSE,"DIFERIDO";"Pis_Novembro",#N/A,FALSE,"PIS COFINS";"Iss_Novembro",#N/A,FALSE,"ISS"}</definedName>
    <definedName name="yyy" localSheetId="8" hidden="1">{"Fecha_Novembro",#N/A,FALSE,"FECHAMENTO-2002 ";"Defer_Novembro",#N/A,FALSE,"DIFERIDO";"Pis_Novembro",#N/A,FALSE,"PIS COFINS";"Iss_Novembro",#N/A,FALSE,"ISS"}</definedName>
    <definedName name="yyy" localSheetId="12" hidden="1">{"Fecha_Novembro",#N/A,FALSE,"FECHAMENTO-2002 ";"Defer_Novembro",#N/A,FALSE,"DIFERIDO";"Pis_Novembro",#N/A,FALSE,"PIS COFINS";"Iss_Novembro",#N/A,FALSE,"ISS"}</definedName>
    <definedName name="yyy" localSheetId="13" hidden="1">{"Fecha_Novembro",#N/A,FALSE,"FECHAMENTO-2002 ";"Defer_Novembro",#N/A,FALSE,"DIFERIDO";"Pis_Novembro",#N/A,FALSE,"PIS COFINS";"Iss_Novembro",#N/A,FALSE,"ISS"}</definedName>
    <definedName name="yyy" localSheetId="11" hidden="1">{"Fecha_Novembro",#N/A,FALSE,"FECHAMENTO-2002 ";"Defer_Novembro",#N/A,FALSE,"DIFERIDO";"Pis_Novembro",#N/A,FALSE,"PIS COFINS";"Iss_Novembro",#N/A,FALSE,"ISS"}</definedName>
    <definedName name="yyy" localSheetId="31"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_1" localSheetId="15" hidden="1">{"Fecha_Novembro",#N/A,FALSE,"FECHAMENTO-2002 ";"Defer_Novembro",#N/A,FALSE,"DIFERIDO";"Pis_Novembro",#N/A,FALSE,"PIS COFINS";"Iss_Novembro",#N/A,FALSE,"ISS"}</definedName>
    <definedName name="yyy_1" localSheetId="14" hidden="1">{"Fecha_Novembro",#N/A,FALSE,"FECHAMENTO-2002 ";"Defer_Novembro",#N/A,FALSE,"DIFERIDO";"Pis_Novembro",#N/A,FALSE,"PIS COFINS";"Iss_Novembro",#N/A,FALSE,"ISS"}</definedName>
    <definedName name="yyy_1" localSheetId="2" hidden="1">{"Fecha_Novembro",#N/A,FALSE,"FECHAMENTO-2002 ";"Defer_Novembro",#N/A,FALSE,"DIFERIDO";"Pis_Novembro",#N/A,FALSE,"PIS COFINS";"Iss_Novembro",#N/A,FALSE,"ISS"}</definedName>
    <definedName name="yyy_1" localSheetId="34" hidden="1">{"Fecha_Novembro",#N/A,FALSE,"FECHAMENTO-2002 ";"Defer_Novembro",#N/A,FALSE,"DIFERIDO";"Pis_Novembro",#N/A,FALSE,"PIS COFINS";"Iss_Novembro",#N/A,FALSE,"ISS"}</definedName>
    <definedName name="yyy_1" localSheetId="39" hidden="1">{"Fecha_Novembro",#N/A,FALSE,"FECHAMENTO-2002 ";"Defer_Novembro",#N/A,FALSE,"DIFERIDO";"Pis_Novembro",#N/A,FALSE,"PIS COFINS";"Iss_Novembro",#N/A,FALSE,"ISS"}</definedName>
    <definedName name="yyy_1" localSheetId="8" hidden="1">{"Fecha_Novembro",#N/A,FALSE,"FECHAMENTO-2002 ";"Defer_Novembro",#N/A,FALSE,"DIFERIDO";"Pis_Novembro",#N/A,FALSE,"PIS COFINS";"Iss_Novembro",#N/A,FALSE,"ISS"}</definedName>
    <definedName name="yyy_1" localSheetId="12" hidden="1">{"Fecha_Novembro",#N/A,FALSE,"FECHAMENTO-2002 ";"Defer_Novembro",#N/A,FALSE,"DIFERIDO";"Pis_Novembro",#N/A,FALSE,"PIS COFINS";"Iss_Novembro",#N/A,FALSE,"ISS"}</definedName>
    <definedName name="yyy_1" localSheetId="13" hidden="1">{"Fecha_Novembro",#N/A,FALSE,"FECHAMENTO-2002 ";"Defer_Novembro",#N/A,FALSE,"DIFERIDO";"Pis_Novembro",#N/A,FALSE,"PIS COFINS";"Iss_Novembro",#N/A,FALSE,"ISS"}</definedName>
    <definedName name="yyy_1" localSheetId="11" hidden="1">{"Fecha_Novembro",#N/A,FALSE,"FECHAMENTO-2002 ";"Defer_Novembro",#N/A,FALSE,"DIFERIDO";"Pis_Novembro",#N/A,FALSE,"PIS COFINS";"Iss_Novembro",#N/A,FALSE,"ISS"}</definedName>
    <definedName name="yyy_1" localSheetId="31" hidden="1">{"Fecha_Novembro",#N/A,FALSE,"FECHAMENTO-2002 ";"Defer_Novembro",#N/A,FALSE,"DIFERIDO";"Pis_Novembro",#N/A,FALSE,"PIS COFINS";"Iss_Novembro",#N/A,FALSE,"ISS"}</definedName>
    <definedName name="yyy_1" hidden="1">{"Fecha_Novembro",#N/A,FALSE,"FECHAMENTO-2002 ";"Defer_Novembro",#N/A,FALSE,"DIFERIDO";"Pis_Novembro",#N/A,FALSE,"PIS COFINS";"Iss_Novembro",#N/A,FALSE,"ISS"}</definedName>
    <definedName name="yyyyy" localSheetId="15" hidden="1">{"Fecha_Outubro",#N/A,FALSE,"FECHAMENTO-2002 ";"Defer_Outubro",#N/A,FALSE,"DIFERIDO";"Pis_Outubro",#N/A,FALSE,"PIS COFINS";"Iss_Outubro",#N/A,FALSE,"ISS"}</definedName>
    <definedName name="yyyyy" localSheetId="14" hidden="1">{"Fecha_Outubro",#N/A,FALSE,"FECHAMENTO-2002 ";"Defer_Outubro",#N/A,FALSE,"DIFERIDO";"Pis_Outubro",#N/A,FALSE,"PIS COFINS";"Iss_Outubro",#N/A,FALSE,"ISS"}</definedName>
    <definedName name="yyyyy" localSheetId="2" hidden="1">{"Fecha_Outubro",#N/A,FALSE,"FECHAMENTO-2002 ";"Defer_Outubro",#N/A,FALSE,"DIFERIDO";"Pis_Outubro",#N/A,FALSE,"PIS COFINS";"Iss_Outubro",#N/A,FALSE,"ISS"}</definedName>
    <definedName name="yyyyy" localSheetId="34" hidden="1">{"Fecha_Outubro",#N/A,FALSE,"FECHAMENTO-2002 ";"Defer_Outubro",#N/A,FALSE,"DIFERIDO";"Pis_Outubro",#N/A,FALSE,"PIS COFINS";"Iss_Outubro",#N/A,FALSE,"ISS"}</definedName>
    <definedName name="yyyyy" localSheetId="39" hidden="1">{"Fecha_Outubro",#N/A,FALSE,"FECHAMENTO-2002 ";"Defer_Outubro",#N/A,FALSE,"DIFERIDO";"Pis_Outubro",#N/A,FALSE,"PIS COFINS";"Iss_Outubro",#N/A,FALSE,"ISS"}</definedName>
    <definedName name="yyyyy" localSheetId="8" hidden="1">{"Fecha_Outubro",#N/A,FALSE,"FECHAMENTO-2002 ";"Defer_Outubro",#N/A,FALSE,"DIFERIDO";"Pis_Outubro",#N/A,FALSE,"PIS COFINS";"Iss_Outubro",#N/A,FALSE,"ISS"}</definedName>
    <definedName name="yyyyy" localSheetId="12" hidden="1">{"Fecha_Outubro",#N/A,FALSE,"FECHAMENTO-2002 ";"Defer_Outubro",#N/A,FALSE,"DIFERIDO";"Pis_Outubro",#N/A,FALSE,"PIS COFINS";"Iss_Outubro",#N/A,FALSE,"ISS"}</definedName>
    <definedName name="yyyyy" localSheetId="13" hidden="1">{"Fecha_Outubro",#N/A,FALSE,"FECHAMENTO-2002 ";"Defer_Outubro",#N/A,FALSE,"DIFERIDO";"Pis_Outubro",#N/A,FALSE,"PIS COFINS";"Iss_Outubro",#N/A,FALSE,"ISS"}</definedName>
    <definedName name="yyyyy" localSheetId="11" hidden="1">{"Fecha_Outubro",#N/A,FALSE,"FECHAMENTO-2002 ";"Defer_Outubro",#N/A,FALSE,"DIFERIDO";"Pis_Outubro",#N/A,FALSE,"PIS COFINS";"Iss_Outubro",#N/A,FALSE,"ISS"}</definedName>
    <definedName name="yyyyy" localSheetId="31" hidden="1">{"Fecha_Outubro",#N/A,FALSE,"FECHAMENTO-2002 ";"Defer_Outubro",#N/A,FALSE,"DIFERIDO";"Pis_Outubro",#N/A,FALSE,"PIS COFINS";"Iss_Outubro",#N/A,FALSE,"ISS"}</definedName>
    <definedName name="yyyyy" hidden="1">{"Fecha_Outubro",#N/A,FALSE,"FECHAMENTO-2002 ";"Defer_Outubro",#N/A,FALSE,"DIFERIDO";"Pis_Outubro",#N/A,FALSE,"PIS COFINS";"Iss_Outubro",#N/A,FALSE,"ISS"}</definedName>
    <definedName name="yyyyy_1" localSheetId="15" hidden="1">{"Fecha_Outubro",#N/A,FALSE,"FECHAMENTO-2002 ";"Defer_Outubro",#N/A,FALSE,"DIFERIDO";"Pis_Outubro",#N/A,FALSE,"PIS COFINS";"Iss_Outubro",#N/A,FALSE,"ISS"}</definedName>
    <definedName name="yyyyy_1" localSheetId="14" hidden="1">{"Fecha_Outubro",#N/A,FALSE,"FECHAMENTO-2002 ";"Defer_Outubro",#N/A,FALSE,"DIFERIDO";"Pis_Outubro",#N/A,FALSE,"PIS COFINS";"Iss_Outubro",#N/A,FALSE,"ISS"}</definedName>
    <definedName name="yyyyy_1" localSheetId="2" hidden="1">{"Fecha_Outubro",#N/A,FALSE,"FECHAMENTO-2002 ";"Defer_Outubro",#N/A,FALSE,"DIFERIDO";"Pis_Outubro",#N/A,FALSE,"PIS COFINS";"Iss_Outubro",#N/A,FALSE,"ISS"}</definedName>
    <definedName name="yyyyy_1" localSheetId="34" hidden="1">{"Fecha_Outubro",#N/A,FALSE,"FECHAMENTO-2002 ";"Defer_Outubro",#N/A,FALSE,"DIFERIDO";"Pis_Outubro",#N/A,FALSE,"PIS COFINS";"Iss_Outubro",#N/A,FALSE,"ISS"}</definedName>
    <definedName name="yyyyy_1" localSheetId="39" hidden="1">{"Fecha_Outubro",#N/A,FALSE,"FECHAMENTO-2002 ";"Defer_Outubro",#N/A,FALSE,"DIFERIDO";"Pis_Outubro",#N/A,FALSE,"PIS COFINS";"Iss_Outubro",#N/A,FALSE,"ISS"}</definedName>
    <definedName name="yyyyy_1" localSheetId="8" hidden="1">{"Fecha_Outubro",#N/A,FALSE,"FECHAMENTO-2002 ";"Defer_Outubro",#N/A,FALSE,"DIFERIDO";"Pis_Outubro",#N/A,FALSE,"PIS COFINS";"Iss_Outubro",#N/A,FALSE,"ISS"}</definedName>
    <definedName name="yyyyy_1" localSheetId="12" hidden="1">{"Fecha_Outubro",#N/A,FALSE,"FECHAMENTO-2002 ";"Defer_Outubro",#N/A,FALSE,"DIFERIDO";"Pis_Outubro",#N/A,FALSE,"PIS COFINS";"Iss_Outubro",#N/A,FALSE,"ISS"}</definedName>
    <definedName name="yyyyy_1" localSheetId="13" hidden="1">{"Fecha_Outubro",#N/A,FALSE,"FECHAMENTO-2002 ";"Defer_Outubro",#N/A,FALSE,"DIFERIDO";"Pis_Outubro",#N/A,FALSE,"PIS COFINS";"Iss_Outubro",#N/A,FALSE,"ISS"}</definedName>
    <definedName name="yyyyy_1" localSheetId="11" hidden="1">{"Fecha_Outubro",#N/A,FALSE,"FECHAMENTO-2002 ";"Defer_Outubro",#N/A,FALSE,"DIFERIDO";"Pis_Outubro",#N/A,FALSE,"PIS COFINS";"Iss_Outubro",#N/A,FALSE,"ISS"}</definedName>
    <definedName name="yyyyy_1" localSheetId="31" hidden="1">{"Fecha_Outubro",#N/A,FALSE,"FECHAMENTO-2002 ";"Defer_Outubro",#N/A,FALSE,"DIFERIDO";"Pis_Outubro",#N/A,FALSE,"PIS COFINS";"Iss_Outubro",#N/A,FALSE,"ISS"}</definedName>
    <definedName name="yyyyy_1" hidden="1">{"Fecha_Outubro",#N/A,FALSE,"FECHAMENTO-2002 ";"Defer_Outubro",#N/A,FALSE,"DIFERIDO";"Pis_Outubro",#N/A,FALSE,"PIS COFINS";"Iss_Outubro",#N/A,FALSE,"ISS"}</definedName>
    <definedName name="yyyyyy" localSheetId="15" hidden="1">{"Fecha_Setembro",#N/A,FALSE,"FECHAMENTO-2002 ";"Defer_Setembro",#N/A,FALSE,"DIFERIDO";"Pis_Setembro",#N/A,FALSE,"PIS COFINS";"Iss_Setembro",#N/A,FALSE,"ISS"}</definedName>
    <definedName name="yyyyyy" localSheetId="14" hidden="1">{"Fecha_Setembro",#N/A,FALSE,"FECHAMENTO-2002 ";"Defer_Setembro",#N/A,FALSE,"DIFERIDO";"Pis_Setembro",#N/A,FALSE,"PIS COFINS";"Iss_Setembro",#N/A,FALSE,"ISS"}</definedName>
    <definedName name="yyyyyy" localSheetId="2" hidden="1">{"Fecha_Setembro",#N/A,FALSE,"FECHAMENTO-2002 ";"Defer_Setembro",#N/A,FALSE,"DIFERIDO";"Pis_Setembro",#N/A,FALSE,"PIS COFINS";"Iss_Setembro",#N/A,FALSE,"ISS"}</definedName>
    <definedName name="yyyyyy" localSheetId="34" hidden="1">{"Fecha_Setembro",#N/A,FALSE,"FECHAMENTO-2002 ";"Defer_Setembro",#N/A,FALSE,"DIFERIDO";"Pis_Setembro",#N/A,FALSE,"PIS COFINS";"Iss_Setembro",#N/A,FALSE,"ISS"}</definedName>
    <definedName name="yyyyyy" localSheetId="39" hidden="1">{"Fecha_Setembro",#N/A,FALSE,"FECHAMENTO-2002 ";"Defer_Setembro",#N/A,FALSE,"DIFERIDO";"Pis_Setembro",#N/A,FALSE,"PIS COFINS";"Iss_Setembro",#N/A,FALSE,"ISS"}</definedName>
    <definedName name="yyyyyy" localSheetId="8" hidden="1">{"Fecha_Setembro",#N/A,FALSE,"FECHAMENTO-2002 ";"Defer_Setembro",#N/A,FALSE,"DIFERIDO";"Pis_Setembro",#N/A,FALSE,"PIS COFINS";"Iss_Setembro",#N/A,FALSE,"ISS"}</definedName>
    <definedName name="yyyyyy" localSheetId="12" hidden="1">{"Fecha_Setembro",#N/A,FALSE,"FECHAMENTO-2002 ";"Defer_Setembro",#N/A,FALSE,"DIFERIDO";"Pis_Setembro",#N/A,FALSE,"PIS COFINS";"Iss_Setembro",#N/A,FALSE,"ISS"}</definedName>
    <definedName name="yyyyyy" localSheetId="13" hidden="1">{"Fecha_Setembro",#N/A,FALSE,"FECHAMENTO-2002 ";"Defer_Setembro",#N/A,FALSE,"DIFERIDO";"Pis_Setembro",#N/A,FALSE,"PIS COFINS";"Iss_Setembro",#N/A,FALSE,"ISS"}</definedName>
    <definedName name="yyyyyy" localSheetId="11" hidden="1">{"Fecha_Setembro",#N/A,FALSE,"FECHAMENTO-2002 ";"Defer_Setembro",#N/A,FALSE,"DIFERIDO";"Pis_Setembro",#N/A,FALSE,"PIS COFINS";"Iss_Setembro",#N/A,FALSE,"ISS"}</definedName>
    <definedName name="yyyyyy" localSheetId="31" hidden="1">{"Fecha_Setembro",#N/A,FALSE,"FECHAMENTO-2002 ";"Defer_Setembro",#N/A,FALSE,"DIFERIDO";"Pis_Setembro",#N/A,FALSE,"PIS COFINS";"Iss_Setembro",#N/A,FALSE,"ISS"}</definedName>
    <definedName name="yyyyyy" hidden="1">{"Fecha_Setembro",#N/A,FALSE,"FECHAMENTO-2002 ";"Defer_Setembro",#N/A,FALSE,"DIFERIDO";"Pis_Setembro",#N/A,FALSE,"PIS COFINS";"Iss_Setembro",#N/A,FALSE,"ISS"}</definedName>
    <definedName name="yyyyyy_1" localSheetId="15" hidden="1">{"Fecha_Setembro",#N/A,FALSE,"FECHAMENTO-2002 ";"Defer_Setembro",#N/A,FALSE,"DIFERIDO";"Pis_Setembro",#N/A,FALSE,"PIS COFINS";"Iss_Setembro",#N/A,FALSE,"ISS"}</definedName>
    <definedName name="yyyyyy_1" localSheetId="14" hidden="1">{"Fecha_Setembro",#N/A,FALSE,"FECHAMENTO-2002 ";"Defer_Setembro",#N/A,FALSE,"DIFERIDO";"Pis_Setembro",#N/A,FALSE,"PIS COFINS";"Iss_Setembro",#N/A,FALSE,"ISS"}</definedName>
    <definedName name="yyyyyy_1" localSheetId="2" hidden="1">{"Fecha_Setembro",#N/A,FALSE,"FECHAMENTO-2002 ";"Defer_Setembro",#N/A,FALSE,"DIFERIDO";"Pis_Setembro",#N/A,FALSE,"PIS COFINS";"Iss_Setembro",#N/A,FALSE,"ISS"}</definedName>
    <definedName name="yyyyyy_1" localSheetId="34" hidden="1">{"Fecha_Setembro",#N/A,FALSE,"FECHAMENTO-2002 ";"Defer_Setembro",#N/A,FALSE,"DIFERIDO";"Pis_Setembro",#N/A,FALSE,"PIS COFINS";"Iss_Setembro",#N/A,FALSE,"ISS"}</definedName>
    <definedName name="yyyyyy_1" localSheetId="39" hidden="1">{"Fecha_Setembro",#N/A,FALSE,"FECHAMENTO-2002 ";"Defer_Setembro",#N/A,FALSE,"DIFERIDO";"Pis_Setembro",#N/A,FALSE,"PIS COFINS";"Iss_Setembro",#N/A,FALSE,"ISS"}</definedName>
    <definedName name="yyyyyy_1" localSheetId="8" hidden="1">{"Fecha_Setembro",#N/A,FALSE,"FECHAMENTO-2002 ";"Defer_Setembro",#N/A,FALSE,"DIFERIDO";"Pis_Setembro",#N/A,FALSE,"PIS COFINS";"Iss_Setembro",#N/A,FALSE,"ISS"}</definedName>
    <definedName name="yyyyyy_1" localSheetId="12" hidden="1">{"Fecha_Setembro",#N/A,FALSE,"FECHAMENTO-2002 ";"Defer_Setembro",#N/A,FALSE,"DIFERIDO";"Pis_Setembro",#N/A,FALSE,"PIS COFINS";"Iss_Setembro",#N/A,FALSE,"ISS"}</definedName>
    <definedName name="yyyyyy_1" localSheetId="13" hidden="1">{"Fecha_Setembro",#N/A,FALSE,"FECHAMENTO-2002 ";"Defer_Setembro",#N/A,FALSE,"DIFERIDO";"Pis_Setembro",#N/A,FALSE,"PIS COFINS";"Iss_Setembro",#N/A,FALSE,"ISS"}</definedName>
    <definedName name="yyyyyy_1" localSheetId="11" hidden="1">{"Fecha_Setembro",#N/A,FALSE,"FECHAMENTO-2002 ";"Defer_Setembro",#N/A,FALSE,"DIFERIDO";"Pis_Setembro",#N/A,FALSE,"PIS COFINS";"Iss_Setembro",#N/A,FALSE,"ISS"}</definedName>
    <definedName name="yyyyyy_1" localSheetId="31" hidden="1">{"Fecha_Setembro",#N/A,FALSE,"FECHAMENTO-2002 ";"Defer_Setembro",#N/A,FALSE,"DIFERIDO";"Pis_Setembro",#N/A,FALSE,"PIS COFINS";"Iss_Setembro",#N/A,FALSE,"ISS"}</definedName>
    <definedName name="yyyyyy_1" hidden="1">{"Fecha_Setembro",#N/A,FALSE,"FECHAMENTO-2002 ";"Defer_Setembro",#N/A,FALSE,"DIFERIDO";"Pis_Setembro",#N/A,FALSE,"PIS COFINS";"Iss_Setembro",#N/A,FALSE,"ISS"}</definedName>
    <definedName name="yyyyyyy" localSheetId="15" hidden="1">{#N/A,#N/A,FALSE,"HONORÁRIOS"}</definedName>
    <definedName name="yyyyyyy" localSheetId="14" hidden="1">{#N/A,#N/A,FALSE,"HONORÁRIOS"}</definedName>
    <definedName name="yyyyyyy" localSheetId="2" hidden="1">{#N/A,#N/A,FALSE,"HONORÁRIOS"}</definedName>
    <definedName name="yyyyyyy" localSheetId="34" hidden="1">{#N/A,#N/A,FALSE,"HONORÁRIOS"}</definedName>
    <definedName name="yyyyyyy" localSheetId="39" hidden="1">{#N/A,#N/A,FALSE,"HONORÁRIOS"}</definedName>
    <definedName name="yyyyyyy" localSheetId="8" hidden="1">{#N/A,#N/A,FALSE,"HONORÁRIOS"}</definedName>
    <definedName name="yyyyyyy" localSheetId="12" hidden="1">{#N/A,#N/A,FALSE,"HONORÁRIOS"}</definedName>
    <definedName name="yyyyyyy" localSheetId="13" hidden="1">{#N/A,#N/A,FALSE,"HONORÁRIOS"}</definedName>
    <definedName name="yyyyyyy" localSheetId="11" hidden="1">{#N/A,#N/A,FALSE,"HONORÁRIOS"}</definedName>
    <definedName name="yyyyyyy" localSheetId="31" hidden="1">{#N/A,#N/A,FALSE,"HONORÁRIOS"}</definedName>
    <definedName name="yyyyyyy" hidden="1">{#N/A,#N/A,FALSE,"HONORÁRIOS"}</definedName>
    <definedName name="yyyyyyy_1" localSheetId="15" hidden="1">{#N/A,#N/A,FALSE,"HONORÁRIOS"}</definedName>
    <definedName name="yyyyyyy_1" localSheetId="14" hidden="1">{#N/A,#N/A,FALSE,"HONORÁRIOS"}</definedName>
    <definedName name="yyyyyyy_1" localSheetId="2" hidden="1">{#N/A,#N/A,FALSE,"HONORÁRIOS"}</definedName>
    <definedName name="yyyyyyy_1" localSheetId="34" hidden="1">{#N/A,#N/A,FALSE,"HONORÁRIOS"}</definedName>
    <definedName name="yyyyyyy_1" localSheetId="39" hidden="1">{#N/A,#N/A,FALSE,"HONORÁRIOS"}</definedName>
    <definedName name="yyyyyyy_1" localSheetId="8" hidden="1">{#N/A,#N/A,FALSE,"HONORÁRIOS"}</definedName>
    <definedName name="yyyyyyy_1" localSheetId="12" hidden="1">{#N/A,#N/A,FALSE,"HONORÁRIOS"}</definedName>
    <definedName name="yyyyyyy_1" localSheetId="13" hidden="1">{#N/A,#N/A,FALSE,"HONORÁRIOS"}</definedName>
    <definedName name="yyyyyyy_1" localSheetId="11" hidden="1">{#N/A,#N/A,FALSE,"HONORÁRIOS"}</definedName>
    <definedName name="yyyyyyy_1" localSheetId="31" hidden="1">{#N/A,#N/A,FALSE,"HONORÁRIOS"}</definedName>
    <definedName name="yyyyyyy_1" hidden="1">{#N/A,#N/A,FALSE,"HONORÁRIOS"}</definedName>
    <definedName name="yyyyyyyy" localSheetId="15" hidden="1">{"Fecha_Dezembro",#N/A,FALSE,"FECHAMENTO-2002 ";"Defer_Dezermbro",#N/A,FALSE,"DIFERIDO";"Pis_Dezembro",#N/A,FALSE,"PIS COFINS";"Iss_Dezembro",#N/A,FALSE,"ISS"}</definedName>
    <definedName name="yyyyyyyy" localSheetId="14" hidden="1">{"Fecha_Dezembro",#N/A,FALSE,"FECHAMENTO-2002 ";"Defer_Dezermbro",#N/A,FALSE,"DIFERIDO";"Pis_Dezembro",#N/A,FALSE,"PIS COFINS";"Iss_Dezembro",#N/A,FALSE,"ISS"}</definedName>
    <definedName name="yyyyyyyy" localSheetId="2" hidden="1">{"Fecha_Dezembro",#N/A,FALSE,"FECHAMENTO-2002 ";"Defer_Dezermbro",#N/A,FALSE,"DIFERIDO";"Pis_Dezembro",#N/A,FALSE,"PIS COFINS";"Iss_Dezembro",#N/A,FALSE,"ISS"}</definedName>
    <definedName name="yyyyyyyy" localSheetId="34" hidden="1">{"Fecha_Dezembro",#N/A,FALSE,"FECHAMENTO-2002 ";"Defer_Dezermbro",#N/A,FALSE,"DIFERIDO";"Pis_Dezembro",#N/A,FALSE,"PIS COFINS";"Iss_Dezembro",#N/A,FALSE,"ISS"}</definedName>
    <definedName name="yyyyyyyy" localSheetId="39" hidden="1">{"Fecha_Dezembro",#N/A,FALSE,"FECHAMENTO-2002 ";"Defer_Dezermbro",#N/A,FALSE,"DIFERIDO";"Pis_Dezembro",#N/A,FALSE,"PIS COFINS";"Iss_Dezembro",#N/A,FALSE,"ISS"}</definedName>
    <definedName name="yyyyyyyy" localSheetId="8" hidden="1">{"Fecha_Dezembro",#N/A,FALSE,"FECHAMENTO-2002 ";"Defer_Dezermbro",#N/A,FALSE,"DIFERIDO";"Pis_Dezembro",#N/A,FALSE,"PIS COFINS";"Iss_Dezembro",#N/A,FALSE,"ISS"}</definedName>
    <definedName name="yyyyyyyy" localSheetId="12" hidden="1">{"Fecha_Dezembro",#N/A,FALSE,"FECHAMENTO-2002 ";"Defer_Dezermbro",#N/A,FALSE,"DIFERIDO";"Pis_Dezembro",#N/A,FALSE,"PIS COFINS";"Iss_Dezembro",#N/A,FALSE,"ISS"}</definedName>
    <definedName name="yyyyyyyy" localSheetId="13" hidden="1">{"Fecha_Dezembro",#N/A,FALSE,"FECHAMENTO-2002 ";"Defer_Dezermbro",#N/A,FALSE,"DIFERIDO";"Pis_Dezembro",#N/A,FALSE,"PIS COFINS";"Iss_Dezembro",#N/A,FALSE,"ISS"}</definedName>
    <definedName name="yyyyyyyy" localSheetId="11" hidden="1">{"Fecha_Dezembro",#N/A,FALSE,"FECHAMENTO-2002 ";"Defer_Dezermbro",#N/A,FALSE,"DIFERIDO";"Pis_Dezembro",#N/A,FALSE,"PIS COFINS";"Iss_Dezembro",#N/A,FALSE,"ISS"}</definedName>
    <definedName name="yyyyyyyy" localSheetId="31" hidden="1">{"Fecha_Dezembro",#N/A,FALSE,"FECHAMENTO-2002 ";"Defer_Dezermbro",#N/A,FALSE,"DIFERIDO";"Pis_Dezembro",#N/A,FALSE,"PIS COFINS";"Iss_Dezembro",#N/A,FALSE,"ISS"}</definedName>
    <definedName name="yyyyyyyy" hidden="1">{"Fecha_Dezembro",#N/A,FALSE,"FECHAMENTO-2002 ";"Defer_Dezermbro",#N/A,FALSE,"DIFERIDO";"Pis_Dezembro",#N/A,FALSE,"PIS COFINS";"Iss_Dezembro",#N/A,FALSE,"ISS"}</definedName>
    <definedName name="yyyyyyyy_1" localSheetId="15" hidden="1">{"Fecha_Dezembro",#N/A,FALSE,"FECHAMENTO-2002 ";"Defer_Dezermbro",#N/A,FALSE,"DIFERIDO";"Pis_Dezembro",#N/A,FALSE,"PIS COFINS";"Iss_Dezembro",#N/A,FALSE,"ISS"}</definedName>
    <definedName name="yyyyyyyy_1" localSheetId="14" hidden="1">{"Fecha_Dezembro",#N/A,FALSE,"FECHAMENTO-2002 ";"Defer_Dezermbro",#N/A,FALSE,"DIFERIDO";"Pis_Dezembro",#N/A,FALSE,"PIS COFINS";"Iss_Dezembro",#N/A,FALSE,"ISS"}</definedName>
    <definedName name="yyyyyyyy_1" localSheetId="2" hidden="1">{"Fecha_Dezembro",#N/A,FALSE,"FECHAMENTO-2002 ";"Defer_Dezermbro",#N/A,FALSE,"DIFERIDO";"Pis_Dezembro",#N/A,FALSE,"PIS COFINS";"Iss_Dezembro",#N/A,FALSE,"ISS"}</definedName>
    <definedName name="yyyyyyyy_1" localSheetId="34" hidden="1">{"Fecha_Dezembro",#N/A,FALSE,"FECHAMENTO-2002 ";"Defer_Dezermbro",#N/A,FALSE,"DIFERIDO";"Pis_Dezembro",#N/A,FALSE,"PIS COFINS";"Iss_Dezembro",#N/A,FALSE,"ISS"}</definedName>
    <definedName name="yyyyyyyy_1" localSheetId="39" hidden="1">{"Fecha_Dezembro",#N/A,FALSE,"FECHAMENTO-2002 ";"Defer_Dezermbro",#N/A,FALSE,"DIFERIDO";"Pis_Dezembro",#N/A,FALSE,"PIS COFINS";"Iss_Dezembro",#N/A,FALSE,"ISS"}</definedName>
    <definedName name="yyyyyyyy_1" localSheetId="8" hidden="1">{"Fecha_Dezembro",#N/A,FALSE,"FECHAMENTO-2002 ";"Defer_Dezermbro",#N/A,FALSE,"DIFERIDO";"Pis_Dezembro",#N/A,FALSE,"PIS COFINS";"Iss_Dezembro",#N/A,FALSE,"ISS"}</definedName>
    <definedName name="yyyyyyyy_1" localSheetId="12" hidden="1">{"Fecha_Dezembro",#N/A,FALSE,"FECHAMENTO-2002 ";"Defer_Dezermbro",#N/A,FALSE,"DIFERIDO";"Pis_Dezembro",#N/A,FALSE,"PIS COFINS";"Iss_Dezembro",#N/A,FALSE,"ISS"}</definedName>
    <definedName name="yyyyyyyy_1" localSheetId="13" hidden="1">{"Fecha_Dezembro",#N/A,FALSE,"FECHAMENTO-2002 ";"Defer_Dezermbro",#N/A,FALSE,"DIFERIDO";"Pis_Dezembro",#N/A,FALSE,"PIS COFINS";"Iss_Dezembro",#N/A,FALSE,"ISS"}</definedName>
    <definedName name="yyyyyyyy_1" localSheetId="11" hidden="1">{"Fecha_Dezembro",#N/A,FALSE,"FECHAMENTO-2002 ";"Defer_Dezermbro",#N/A,FALSE,"DIFERIDO";"Pis_Dezembro",#N/A,FALSE,"PIS COFINS";"Iss_Dezembro",#N/A,FALSE,"ISS"}</definedName>
    <definedName name="yyyyyyyy_1" localSheetId="31" hidden="1">{"Fecha_Dezembro",#N/A,FALSE,"FECHAMENTO-2002 ";"Defer_Dezermbro",#N/A,FALSE,"DIFERIDO";"Pis_Dezembro",#N/A,FALSE,"PIS COFINS";"Iss_Dezembro",#N/A,FALSE,"ISS"}</definedName>
    <definedName name="yyyyyyyy_1" hidden="1">{"Fecha_Dezembro",#N/A,FALSE,"FECHAMENTO-2002 ";"Defer_Dezermbro",#N/A,FALSE,"DIFERIDO";"Pis_Dezembro",#N/A,FALSE,"PIS COFINS";"Iss_Dezembro",#N/A,FALSE,"ISS"}</definedName>
    <definedName name="yyyyyyyyyyyyyyyy" localSheetId="15" hidden="1">{"Fecha_Dezembro",#N/A,FALSE,"FECHAMENTO-2002 ";"Defer_Dezermbro",#N/A,FALSE,"DIFERIDO";"Pis_Dezembro",#N/A,FALSE,"PIS COFINS";"Iss_Dezembro",#N/A,FALSE,"ISS"}</definedName>
    <definedName name="yyyyyyyyyyyyyyyy" localSheetId="14" hidden="1">{"Fecha_Dezembro",#N/A,FALSE,"FECHAMENTO-2002 ";"Defer_Dezermbro",#N/A,FALSE,"DIFERIDO";"Pis_Dezembro",#N/A,FALSE,"PIS COFINS";"Iss_Dezembro",#N/A,FALSE,"ISS"}</definedName>
    <definedName name="yyyyyyyyyyyyyyyy" localSheetId="2" hidden="1">{"Fecha_Dezembro",#N/A,FALSE,"FECHAMENTO-2002 ";"Defer_Dezermbro",#N/A,FALSE,"DIFERIDO";"Pis_Dezembro",#N/A,FALSE,"PIS COFINS";"Iss_Dezembro",#N/A,FALSE,"ISS"}</definedName>
    <definedName name="yyyyyyyyyyyyyyyy" localSheetId="34" hidden="1">{"Fecha_Dezembro",#N/A,FALSE,"FECHAMENTO-2002 ";"Defer_Dezermbro",#N/A,FALSE,"DIFERIDO";"Pis_Dezembro",#N/A,FALSE,"PIS COFINS";"Iss_Dezembro",#N/A,FALSE,"ISS"}</definedName>
    <definedName name="yyyyyyyyyyyyyyyy" localSheetId="39" hidden="1">{"Fecha_Dezembro",#N/A,FALSE,"FECHAMENTO-2002 ";"Defer_Dezermbro",#N/A,FALSE,"DIFERIDO";"Pis_Dezembro",#N/A,FALSE,"PIS COFINS";"Iss_Dezembro",#N/A,FALSE,"ISS"}</definedName>
    <definedName name="yyyyyyyyyyyyyyyy" localSheetId="8" hidden="1">{"Fecha_Dezembro",#N/A,FALSE,"FECHAMENTO-2002 ";"Defer_Dezermbro",#N/A,FALSE,"DIFERIDO";"Pis_Dezembro",#N/A,FALSE,"PIS COFINS";"Iss_Dezembro",#N/A,FALSE,"ISS"}</definedName>
    <definedName name="yyyyyyyyyyyyyyyy" localSheetId="12" hidden="1">{"Fecha_Dezembro",#N/A,FALSE,"FECHAMENTO-2002 ";"Defer_Dezermbro",#N/A,FALSE,"DIFERIDO";"Pis_Dezembro",#N/A,FALSE,"PIS COFINS";"Iss_Dezembro",#N/A,FALSE,"ISS"}</definedName>
    <definedName name="yyyyyyyyyyyyyyyy" localSheetId="13" hidden="1">{"Fecha_Dezembro",#N/A,FALSE,"FECHAMENTO-2002 ";"Defer_Dezermbro",#N/A,FALSE,"DIFERIDO";"Pis_Dezembro",#N/A,FALSE,"PIS COFINS";"Iss_Dezembro",#N/A,FALSE,"ISS"}</definedName>
    <definedName name="yyyyyyyyyyyyyyyy" localSheetId="11" hidden="1">{"Fecha_Dezembro",#N/A,FALSE,"FECHAMENTO-2002 ";"Defer_Dezermbro",#N/A,FALSE,"DIFERIDO";"Pis_Dezembro",#N/A,FALSE,"PIS COFINS";"Iss_Dezembro",#N/A,FALSE,"ISS"}</definedName>
    <definedName name="yyyyyyyyyyyyyyyy" localSheetId="31"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_1" localSheetId="15" hidden="1">{"Fecha_Dezembro",#N/A,FALSE,"FECHAMENTO-2002 ";"Defer_Dezermbro",#N/A,FALSE,"DIFERIDO";"Pis_Dezembro",#N/A,FALSE,"PIS COFINS";"Iss_Dezembro",#N/A,FALSE,"ISS"}</definedName>
    <definedName name="yyyyyyyyyyyyyyyy_1" localSheetId="14" hidden="1">{"Fecha_Dezembro",#N/A,FALSE,"FECHAMENTO-2002 ";"Defer_Dezermbro",#N/A,FALSE,"DIFERIDO";"Pis_Dezembro",#N/A,FALSE,"PIS COFINS";"Iss_Dezembro",#N/A,FALSE,"ISS"}</definedName>
    <definedName name="yyyyyyyyyyyyyyyy_1" localSheetId="2" hidden="1">{"Fecha_Dezembro",#N/A,FALSE,"FECHAMENTO-2002 ";"Defer_Dezermbro",#N/A,FALSE,"DIFERIDO";"Pis_Dezembro",#N/A,FALSE,"PIS COFINS";"Iss_Dezembro",#N/A,FALSE,"ISS"}</definedName>
    <definedName name="yyyyyyyyyyyyyyyy_1" localSheetId="34" hidden="1">{"Fecha_Dezembro",#N/A,FALSE,"FECHAMENTO-2002 ";"Defer_Dezermbro",#N/A,FALSE,"DIFERIDO";"Pis_Dezembro",#N/A,FALSE,"PIS COFINS";"Iss_Dezembro",#N/A,FALSE,"ISS"}</definedName>
    <definedName name="yyyyyyyyyyyyyyyy_1" localSheetId="39" hidden="1">{"Fecha_Dezembro",#N/A,FALSE,"FECHAMENTO-2002 ";"Defer_Dezermbro",#N/A,FALSE,"DIFERIDO";"Pis_Dezembro",#N/A,FALSE,"PIS COFINS";"Iss_Dezembro",#N/A,FALSE,"ISS"}</definedName>
    <definedName name="yyyyyyyyyyyyyyyy_1" localSheetId="8" hidden="1">{"Fecha_Dezembro",#N/A,FALSE,"FECHAMENTO-2002 ";"Defer_Dezermbro",#N/A,FALSE,"DIFERIDO";"Pis_Dezembro",#N/A,FALSE,"PIS COFINS";"Iss_Dezembro",#N/A,FALSE,"ISS"}</definedName>
    <definedName name="yyyyyyyyyyyyyyyy_1" localSheetId="12" hidden="1">{"Fecha_Dezembro",#N/A,FALSE,"FECHAMENTO-2002 ";"Defer_Dezermbro",#N/A,FALSE,"DIFERIDO";"Pis_Dezembro",#N/A,FALSE,"PIS COFINS";"Iss_Dezembro",#N/A,FALSE,"ISS"}</definedName>
    <definedName name="yyyyyyyyyyyyyyyy_1" localSheetId="13" hidden="1">{"Fecha_Dezembro",#N/A,FALSE,"FECHAMENTO-2002 ";"Defer_Dezermbro",#N/A,FALSE,"DIFERIDO";"Pis_Dezembro",#N/A,FALSE,"PIS COFINS";"Iss_Dezembro",#N/A,FALSE,"ISS"}</definedName>
    <definedName name="yyyyyyyyyyyyyyyy_1" localSheetId="11" hidden="1">{"Fecha_Dezembro",#N/A,FALSE,"FECHAMENTO-2002 ";"Defer_Dezermbro",#N/A,FALSE,"DIFERIDO";"Pis_Dezembro",#N/A,FALSE,"PIS COFINS";"Iss_Dezembro",#N/A,FALSE,"ISS"}</definedName>
    <definedName name="yyyyyyyyyyyyyyyy_1" localSheetId="31" hidden="1">{"Fecha_Dezembro",#N/A,FALSE,"FECHAMENTO-2002 ";"Defer_Dezermbro",#N/A,FALSE,"DIFERIDO";"Pis_Dezembro",#N/A,FALSE,"PIS COFINS";"Iss_Dezembro",#N/A,FALSE,"ISS"}</definedName>
    <definedName name="yyyyyyyyyyyyyyyy_1" hidden="1">{"Fecha_Dezembro",#N/A,FALSE,"FECHAMENTO-2002 ";"Defer_Dezermbro",#N/A,FALSE,"DIFERIDO";"Pis_Dezembro",#N/A,FALSE,"PIS COFINS";"Iss_Dezembro",#N/A,FALSE,"ISS"}</definedName>
    <definedName name="yyyyyyyyyyyyyyyyyyy" localSheetId="15" hidden="1">{"Fecha_Dezembro",#N/A,FALSE,"FECHAMENTO-2002 ";"Defer_Dezermbro",#N/A,FALSE,"DIFERIDO";"Pis_Dezembro",#N/A,FALSE,"PIS COFINS";"Iss_Dezembro",#N/A,FALSE,"ISS"}</definedName>
    <definedName name="yyyyyyyyyyyyyyyyyyy" localSheetId="14" hidden="1">{"Fecha_Dezembro",#N/A,FALSE,"FECHAMENTO-2002 ";"Defer_Dezermbro",#N/A,FALSE,"DIFERIDO";"Pis_Dezembro",#N/A,FALSE,"PIS COFINS";"Iss_Dezembro",#N/A,FALSE,"ISS"}</definedName>
    <definedName name="yyyyyyyyyyyyyyyyyyy" localSheetId="2" hidden="1">{"Fecha_Dezembro",#N/A,FALSE,"FECHAMENTO-2002 ";"Defer_Dezermbro",#N/A,FALSE,"DIFERIDO";"Pis_Dezembro",#N/A,FALSE,"PIS COFINS";"Iss_Dezembro",#N/A,FALSE,"ISS"}</definedName>
    <definedName name="yyyyyyyyyyyyyyyyyyy" localSheetId="34" hidden="1">{"Fecha_Dezembro",#N/A,FALSE,"FECHAMENTO-2002 ";"Defer_Dezermbro",#N/A,FALSE,"DIFERIDO";"Pis_Dezembro",#N/A,FALSE,"PIS COFINS";"Iss_Dezembro",#N/A,FALSE,"ISS"}</definedName>
    <definedName name="yyyyyyyyyyyyyyyyyyy" localSheetId="39" hidden="1">{"Fecha_Dezembro",#N/A,FALSE,"FECHAMENTO-2002 ";"Defer_Dezermbro",#N/A,FALSE,"DIFERIDO";"Pis_Dezembro",#N/A,FALSE,"PIS COFINS";"Iss_Dezembro",#N/A,FALSE,"ISS"}</definedName>
    <definedName name="yyyyyyyyyyyyyyyyyyy" localSheetId="8" hidden="1">{"Fecha_Dezembro",#N/A,FALSE,"FECHAMENTO-2002 ";"Defer_Dezermbro",#N/A,FALSE,"DIFERIDO";"Pis_Dezembro",#N/A,FALSE,"PIS COFINS";"Iss_Dezembro",#N/A,FALSE,"ISS"}</definedName>
    <definedName name="yyyyyyyyyyyyyyyyyyy" localSheetId="12" hidden="1">{"Fecha_Dezembro",#N/A,FALSE,"FECHAMENTO-2002 ";"Defer_Dezermbro",#N/A,FALSE,"DIFERIDO";"Pis_Dezembro",#N/A,FALSE,"PIS COFINS";"Iss_Dezembro",#N/A,FALSE,"ISS"}</definedName>
    <definedName name="yyyyyyyyyyyyyyyyyyy" localSheetId="13" hidden="1">{"Fecha_Dezembro",#N/A,FALSE,"FECHAMENTO-2002 ";"Defer_Dezermbro",#N/A,FALSE,"DIFERIDO";"Pis_Dezembro",#N/A,FALSE,"PIS COFINS";"Iss_Dezembro",#N/A,FALSE,"ISS"}</definedName>
    <definedName name="yyyyyyyyyyyyyyyyyyy" localSheetId="11" hidden="1">{"Fecha_Dezembro",#N/A,FALSE,"FECHAMENTO-2002 ";"Defer_Dezermbro",#N/A,FALSE,"DIFERIDO";"Pis_Dezembro",#N/A,FALSE,"PIS COFINS";"Iss_Dezembro",#N/A,FALSE,"ISS"}</definedName>
    <definedName name="yyyyyyyyyyyyyyyyyyy" localSheetId="31"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yyyyyyyyyyyyyyyyyyy_1" localSheetId="15" hidden="1">{"Fecha_Dezembro",#N/A,FALSE,"FECHAMENTO-2002 ";"Defer_Dezermbro",#N/A,FALSE,"DIFERIDO";"Pis_Dezembro",#N/A,FALSE,"PIS COFINS";"Iss_Dezembro",#N/A,FALSE,"ISS"}</definedName>
    <definedName name="yyyyyyyyyyyyyyyyyyy_1" localSheetId="14" hidden="1">{"Fecha_Dezembro",#N/A,FALSE,"FECHAMENTO-2002 ";"Defer_Dezermbro",#N/A,FALSE,"DIFERIDO";"Pis_Dezembro",#N/A,FALSE,"PIS COFINS";"Iss_Dezembro",#N/A,FALSE,"ISS"}</definedName>
    <definedName name="yyyyyyyyyyyyyyyyyyy_1" localSheetId="2" hidden="1">{"Fecha_Dezembro",#N/A,FALSE,"FECHAMENTO-2002 ";"Defer_Dezermbro",#N/A,FALSE,"DIFERIDO";"Pis_Dezembro",#N/A,FALSE,"PIS COFINS";"Iss_Dezembro",#N/A,FALSE,"ISS"}</definedName>
    <definedName name="yyyyyyyyyyyyyyyyyyy_1" localSheetId="34" hidden="1">{"Fecha_Dezembro",#N/A,FALSE,"FECHAMENTO-2002 ";"Defer_Dezermbro",#N/A,FALSE,"DIFERIDO";"Pis_Dezembro",#N/A,FALSE,"PIS COFINS";"Iss_Dezembro",#N/A,FALSE,"ISS"}</definedName>
    <definedName name="yyyyyyyyyyyyyyyyyyy_1" localSheetId="39" hidden="1">{"Fecha_Dezembro",#N/A,FALSE,"FECHAMENTO-2002 ";"Defer_Dezermbro",#N/A,FALSE,"DIFERIDO";"Pis_Dezembro",#N/A,FALSE,"PIS COFINS";"Iss_Dezembro",#N/A,FALSE,"ISS"}</definedName>
    <definedName name="yyyyyyyyyyyyyyyyyyy_1" localSheetId="8" hidden="1">{"Fecha_Dezembro",#N/A,FALSE,"FECHAMENTO-2002 ";"Defer_Dezermbro",#N/A,FALSE,"DIFERIDO";"Pis_Dezembro",#N/A,FALSE,"PIS COFINS";"Iss_Dezembro",#N/A,FALSE,"ISS"}</definedName>
    <definedName name="yyyyyyyyyyyyyyyyyyy_1" localSheetId="12" hidden="1">{"Fecha_Dezembro",#N/A,FALSE,"FECHAMENTO-2002 ";"Defer_Dezermbro",#N/A,FALSE,"DIFERIDO";"Pis_Dezembro",#N/A,FALSE,"PIS COFINS";"Iss_Dezembro",#N/A,FALSE,"ISS"}</definedName>
    <definedName name="yyyyyyyyyyyyyyyyyyy_1" localSheetId="13" hidden="1">{"Fecha_Dezembro",#N/A,FALSE,"FECHAMENTO-2002 ";"Defer_Dezermbro",#N/A,FALSE,"DIFERIDO";"Pis_Dezembro",#N/A,FALSE,"PIS COFINS";"Iss_Dezembro",#N/A,FALSE,"ISS"}</definedName>
    <definedName name="yyyyyyyyyyyyyyyyyyy_1" localSheetId="11" hidden="1">{"Fecha_Dezembro",#N/A,FALSE,"FECHAMENTO-2002 ";"Defer_Dezermbro",#N/A,FALSE,"DIFERIDO";"Pis_Dezembro",#N/A,FALSE,"PIS COFINS";"Iss_Dezembro",#N/A,FALSE,"ISS"}</definedName>
    <definedName name="yyyyyyyyyyyyyyyyyyy_1" localSheetId="31" hidden="1">{"Fecha_Dezembro",#N/A,FALSE,"FECHAMENTO-2002 ";"Defer_Dezermbro",#N/A,FALSE,"DIFERIDO";"Pis_Dezembro",#N/A,FALSE,"PIS COFINS";"Iss_Dezembro",#N/A,FALSE,"ISS"}</definedName>
    <definedName name="yyyyyyyyyyyyyyyyyyy_1" hidden="1">{"Fecha_Dezembro",#N/A,FALSE,"FECHAMENTO-2002 ";"Defer_Dezermbro",#N/A,FALSE,"DIFERIDO";"Pis_Dezembro",#N/A,FALSE,"PIS COFINS";"Iss_Dezembro",#N/A,FALSE,"ISS"}</definedName>
    <definedName name="Z_56785A02_7067_463E_810B_6732D2DF0DB2_.wvu.PrintArea" localSheetId="1" hidden="1">#REF!</definedName>
    <definedName name="Z_56785A02_7067_463E_810B_6732D2DF0DB2_.wvu.PrintArea" localSheetId="15" hidden="1">#REF!</definedName>
    <definedName name="Z_56785A02_7067_463E_810B_6732D2DF0DB2_.wvu.PrintArea" localSheetId="7" hidden="1">#REF!</definedName>
    <definedName name="Z_56785A02_7067_463E_810B_6732D2DF0DB2_.wvu.PrintArea" localSheetId="14" hidden="1">#REF!</definedName>
    <definedName name="Z_56785A02_7067_463E_810B_6732D2DF0DB2_.wvu.PrintArea" localSheetId="2" hidden="1">#REF!</definedName>
    <definedName name="Z_56785A02_7067_463E_810B_6732D2DF0DB2_.wvu.PrintArea" localSheetId="34" hidden="1">#REF!</definedName>
    <definedName name="Z_56785A02_7067_463E_810B_6732D2DF0DB2_.wvu.PrintArea" localSheetId="39" hidden="1">#REF!</definedName>
    <definedName name="Z_56785A02_7067_463E_810B_6732D2DF0DB2_.wvu.PrintArea" localSheetId="12" hidden="1">#REF!</definedName>
    <definedName name="Z_56785A02_7067_463E_810B_6732D2DF0DB2_.wvu.PrintArea" localSheetId="10" hidden="1">#REF!</definedName>
    <definedName name="Z_56785A02_7067_463E_810B_6732D2DF0DB2_.wvu.PrintArea" localSheetId="6" hidden="1">#REF!</definedName>
    <definedName name="Z_56785A02_7067_463E_810B_6732D2DF0DB2_.wvu.PrintArea" hidden="1">#REF!</definedName>
    <definedName name="Z_70ACAE61_1F25_11D3_B062_00104BC637D4_.wvu.Cols" hidden="1">#REF!</definedName>
    <definedName name="Z_70ACAE61_1F25_11D3_B062_00104BC637D4_.wvu.PrintArea" hidden="1">#REF!</definedName>
    <definedName name="Z_70ACAE61_1F25_11D3_B062_00104BC637D4_.wvu.PrintTitles" hidden="1">#REF!</definedName>
    <definedName name="Z_FAB890B6_A7DF_49B5_8B84_7933F7804438_.wvu.PrintArea" localSheetId="1" hidden="1">#REF!</definedName>
    <definedName name="Z_FAB890B6_A7DF_49B5_8B84_7933F7804438_.wvu.PrintArea" localSheetId="15" hidden="1">#REF!</definedName>
    <definedName name="Z_FAB890B6_A7DF_49B5_8B84_7933F7804438_.wvu.PrintArea" localSheetId="7" hidden="1">#REF!</definedName>
    <definedName name="Z_FAB890B6_A7DF_49B5_8B84_7933F7804438_.wvu.PrintArea" localSheetId="14" hidden="1">#REF!</definedName>
    <definedName name="Z_FAB890B6_A7DF_49B5_8B84_7933F7804438_.wvu.PrintArea" localSheetId="2" hidden="1">#REF!</definedName>
    <definedName name="Z_FAB890B6_A7DF_49B5_8B84_7933F7804438_.wvu.PrintArea" localSheetId="34" hidden="1">#REF!</definedName>
    <definedName name="Z_FAB890B6_A7DF_49B5_8B84_7933F7804438_.wvu.PrintArea" localSheetId="39" hidden="1">#REF!</definedName>
    <definedName name="Z_FAB890B6_A7DF_49B5_8B84_7933F7804438_.wvu.PrintArea" localSheetId="12" hidden="1">#REF!</definedName>
    <definedName name="Z_FAB890B6_A7DF_49B5_8B84_7933F7804438_.wvu.PrintArea" localSheetId="10" hidden="1">#REF!</definedName>
    <definedName name="Z_FAB890B6_A7DF_49B5_8B84_7933F7804438_.wvu.PrintArea" localSheetId="6" hidden="1">#REF!</definedName>
    <definedName name="Z_FAB890B6_A7DF_49B5_8B84_7933F7804438_.wvu.PrintArea" hidden="1">#REF!</definedName>
    <definedName name="ZI" localSheetId="1" hidden="1">#REF!</definedName>
    <definedName name="ZI" localSheetId="15" hidden="1">#REF!</definedName>
    <definedName name="ZI" localSheetId="7" hidden="1">#REF!</definedName>
    <definedName name="ZI" localSheetId="14" hidden="1">#REF!</definedName>
    <definedName name="ZI" localSheetId="2" hidden="1">#REF!</definedName>
    <definedName name="ZI" localSheetId="34" hidden="1">#REF!</definedName>
    <definedName name="ZI" localSheetId="39" hidden="1">#REF!</definedName>
    <definedName name="ZI" localSheetId="12" hidden="1">#REF!</definedName>
    <definedName name="ZI" localSheetId="10" hidden="1">#REF!</definedName>
    <definedName name="ZI" localSheetId="6" hidden="1">#REF!</definedName>
    <definedName name="ZI"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76" l="1"/>
  <c r="AU96" i="63"/>
  <c r="AM214" i="77"/>
  <c r="AL214" i="77"/>
  <c r="AK214" i="77"/>
  <c r="AJ214" i="77"/>
  <c r="AI214" i="77"/>
  <c r="AH214" i="77"/>
  <c r="AG214" i="77"/>
  <c r="AF214" i="77"/>
  <c r="AE214" i="77"/>
  <c r="AY214" i="77"/>
  <c r="AX214" i="77"/>
  <c r="AW214" i="77"/>
  <c r="AV214" i="77"/>
  <c r="AU214" i="77"/>
  <c r="BB214" i="77"/>
  <c r="BA214" i="77"/>
  <c r="BB213" i="77"/>
  <c r="BA213" i="77"/>
  <c r="BB212" i="77"/>
  <c r="BA212" i="77"/>
  <c r="AY213" i="77"/>
  <c r="AX213" i="77"/>
  <c r="AW213" i="77"/>
  <c r="AV213" i="77"/>
  <c r="AU213" i="77"/>
  <c r="AY212" i="77"/>
  <c r="AX212" i="77"/>
  <c r="AW212" i="77"/>
  <c r="AV212" i="77"/>
  <c r="AU212" i="77"/>
  <c r="AM213" i="77"/>
  <c r="AL213" i="77"/>
  <c r="AK213" i="77"/>
  <c r="AJ213" i="77"/>
  <c r="AI213" i="77"/>
  <c r="AH213" i="77"/>
  <c r="AG213" i="77"/>
  <c r="AF213" i="77"/>
  <c r="AE213" i="77"/>
  <c r="AM212" i="77"/>
  <c r="AL212" i="77"/>
  <c r="AK212" i="77"/>
  <c r="AJ212" i="77"/>
  <c r="AI212" i="77"/>
  <c r="AH212" i="77"/>
  <c r="AG212" i="77"/>
  <c r="AF212" i="77"/>
  <c r="AE212" i="77"/>
  <c r="AD212" i="77"/>
  <c r="AD213" i="77"/>
  <c r="AD215" i="77"/>
  <c r="AD216" i="77"/>
  <c r="AD217" i="77"/>
  <c r="AD218" i="77"/>
  <c r="AD219" i="77"/>
  <c r="AD220" i="77"/>
  <c r="AD221" i="77"/>
  <c r="AY50" i="52"/>
  <c r="AY49" i="52"/>
  <c r="AY48" i="52"/>
  <c r="AY47" i="52"/>
  <c r="AY46" i="52"/>
  <c r="AY44" i="52"/>
  <c r="AY19" i="52" l="1"/>
  <c r="L17" i="23"/>
  <c r="N17" i="23"/>
  <c r="M17" i="23"/>
  <c r="K17" i="23"/>
  <c r="J17" i="23"/>
  <c r="BE128" i="9" l="1"/>
  <c r="AV80" i="68" l="1"/>
  <c r="AY24" i="65"/>
  <c r="AY25" i="65"/>
  <c r="AY23" i="65"/>
  <c r="AU8" i="72"/>
  <c r="HE18" i="85"/>
  <c r="HE38" i="85" s="1"/>
  <c r="HA37" i="85"/>
  <c r="AV63" i="68"/>
  <c r="AV28" i="68"/>
  <c r="AV26" i="68"/>
  <c r="AY11" i="65"/>
  <c r="AY84" i="71"/>
  <c r="AY21" i="53"/>
  <c r="AY15" i="53"/>
  <c r="AY17" i="53" s="1"/>
  <c r="AY23" i="53"/>
  <c r="AY20" i="53"/>
  <c r="AX42" i="49"/>
  <c r="AX43" i="49"/>
  <c r="AX44" i="49"/>
  <c r="AX45" i="49"/>
  <c r="AX46" i="49"/>
  <c r="AX47" i="49"/>
  <c r="AX48" i="49"/>
  <c r="AX49" i="49"/>
  <c r="AX50" i="49"/>
  <c r="AX51" i="49"/>
  <c r="AX52" i="49"/>
  <c r="AX53" i="49"/>
  <c r="AY56" i="49"/>
  <c r="AY55" i="49"/>
  <c r="BC109" i="46"/>
  <c r="BC108" i="46"/>
  <c r="AV26" i="45"/>
  <c r="AW26" i="45"/>
  <c r="AX26" i="45"/>
  <c r="AY26" i="45"/>
  <c r="AV27" i="45"/>
  <c r="AW27" i="45"/>
  <c r="AX27" i="45"/>
  <c r="AY27" i="45"/>
  <c r="AV28" i="45"/>
  <c r="AW28" i="45"/>
  <c r="AX28" i="45"/>
  <c r="AY28" i="45"/>
  <c r="AV29" i="45"/>
  <c r="AW29" i="45"/>
  <c r="AX29" i="45"/>
  <c r="AY29" i="45"/>
  <c r="AV30" i="45"/>
  <c r="AW30" i="45"/>
  <c r="AX30" i="45"/>
  <c r="AY30" i="45"/>
  <c r="AV31" i="45"/>
  <c r="AW31" i="45"/>
  <c r="AX31" i="45"/>
  <c r="AY31" i="45"/>
  <c r="AZ22" i="45"/>
  <c r="AZ32" i="45" s="1"/>
  <c r="HC37" i="85"/>
  <c r="HD26" i="85"/>
  <c r="HC26" i="85"/>
  <c r="HA26" i="85"/>
  <c r="HD11" i="85"/>
  <c r="HF14" i="85"/>
  <c r="HE14" i="85"/>
  <c r="HD14" i="85"/>
  <c r="HC14" i="85"/>
  <c r="HB14" i="85"/>
  <c r="HA14" i="85"/>
  <c r="HA13" i="85"/>
  <c r="HF4" i="85"/>
  <c r="HA3" i="85"/>
  <c r="BC58" i="46" l="1"/>
  <c r="AZ28" i="45"/>
  <c r="BC9" i="46"/>
  <c r="BC75" i="46"/>
  <c r="BC39" i="46"/>
  <c r="BC56" i="46"/>
  <c r="AZ23" i="45"/>
  <c r="AZ30" i="45"/>
  <c r="AZ27" i="45"/>
  <c r="BC53" i="46"/>
  <c r="HE11" i="85"/>
  <c r="BC34" i="46"/>
  <c r="BC72" i="46"/>
  <c r="BC38" i="46"/>
  <c r="AZ29" i="45"/>
  <c r="BC57" i="46"/>
  <c r="AZ31" i="45"/>
  <c r="BC15" i="46"/>
  <c r="BC76" i="46"/>
  <c r="BC19" i="46"/>
  <c r="HB11" i="85"/>
  <c r="BC20" i="46"/>
  <c r="AZ26" i="45"/>
  <c r="BC37" i="46"/>
  <c r="AV69" i="68"/>
  <c r="AV78" i="68"/>
  <c r="BC66" i="46"/>
  <c r="BC47" i="46"/>
  <c r="AY10" i="66"/>
  <c r="AY23" i="55"/>
  <c r="AY4" i="55"/>
  <c r="AY13" i="55"/>
  <c r="AY22" i="65"/>
  <c r="AY22" i="53"/>
  <c r="AY24" i="53" s="1"/>
  <c r="AY8" i="53"/>
  <c r="AY10" i="53" s="1"/>
  <c r="BC28" i="46"/>
  <c r="BC77" i="46"/>
  <c r="BC18" i="46"/>
  <c r="AZ13" i="45"/>
  <c r="AZ14" i="45" s="1"/>
  <c r="HB18" i="85"/>
  <c r="HB38" i="85" s="1"/>
  <c r="HD37" i="85"/>
  <c r="BC78" i="46" l="1"/>
  <c r="BC40" i="46"/>
  <c r="BC59" i="46"/>
  <c r="AZ33" i="45"/>
  <c r="BC21" i="46"/>
  <c r="AY24" i="55"/>
  <c r="AZ33" i="44" l="1"/>
  <c r="AZ37" i="44" s="1"/>
  <c r="AZ19" i="44"/>
  <c r="AZ15" i="44"/>
  <c r="AY18" i="39" l="1"/>
  <c r="AZ9" i="39"/>
  <c r="H13" i="38"/>
  <c r="Y441" i="36"/>
  <c r="T441" i="36"/>
  <c r="Y440" i="36"/>
  <c r="T440" i="36"/>
  <c r="Y438" i="36"/>
  <c r="T438" i="36"/>
  <c r="Y437" i="36"/>
  <c r="T437" i="36"/>
  <c r="Y436" i="36"/>
  <c r="T436" i="36"/>
  <c r="Y435" i="36"/>
  <c r="T434" i="36"/>
  <c r="Y433" i="36"/>
  <c r="T433" i="36"/>
  <c r="EV23" i="34"/>
  <c r="EU23" i="34"/>
  <c r="ET23" i="34"/>
  <c r="EV20" i="34"/>
  <c r="EV19" i="34"/>
  <c r="EV18" i="34"/>
  <c r="EV17" i="34"/>
  <c r="EV16" i="34"/>
  <c r="EV15" i="34"/>
  <c r="EV13" i="34"/>
  <c r="BK11" i="2"/>
  <c r="BJ11" i="2"/>
  <c r="BI11" i="2"/>
  <c r="BH11" i="2"/>
  <c r="BG11" i="2"/>
  <c r="BF11" i="2"/>
  <c r="C13" i="38" l="1"/>
  <c r="D13" i="38"/>
  <c r="E13" i="38"/>
  <c r="I13" i="38"/>
  <c r="F13" i="38"/>
  <c r="G13" i="38"/>
  <c r="AZ18" i="39"/>
  <c r="BG40" i="12" l="1"/>
  <c r="BG9" i="1"/>
  <c r="BG49" i="12"/>
  <c r="AZ14" i="33"/>
  <c r="AZ44" i="33"/>
  <c r="AZ40" i="33"/>
  <c r="AZ38" i="33"/>
  <c r="AZ26" i="33"/>
  <c r="AZ41" i="33" s="1"/>
  <c r="AZ39" i="33"/>
  <c r="AZ35" i="33"/>
  <c r="AZ34" i="33"/>
  <c r="AZ40" i="61"/>
  <c r="AZ47" i="61"/>
  <c r="AZ46" i="61"/>
  <c r="AZ45" i="61"/>
  <c r="AZ44" i="61"/>
  <c r="AZ43" i="61"/>
  <c r="AZ42" i="61"/>
  <c r="AZ32" i="61"/>
  <c r="AZ19" i="61"/>
  <c r="AZ49" i="61"/>
  <c r="AZ39" i="61"/>
  <c r="AZ16" i="61"/>
  <c r="AZ29" i="32"/>
  <c r="AZ28" i="32"/>
  <c r="AZ27" i="32"/>
  <c r="AZ15" i="30"/>
  <c r="AZ18" i="30" s="1"/>
  <c r="AZ24" i="30"/>
  <c r="AZ23" i="30"/>
  <c r="AZ17" i="29"/>
  <c r="AZ16" i="29"/>
  <c r="AZ13" i="29"/>
  <c r="AZ8" i="29"/>
  <c r="I11" i="23"/>
  <c r="I10" i="23"/>
  <c r="I9" i="23"/>
  <c r="I8" i="23"/>
  <c r="I7" i="23"/>
  <c r="I6" i="23"/>
  <c r="BG104" i="9"/>
  <c r="BG45" i="9"/>
  <c r="P390" i="79"/>
  <c r="P388" i="79"/>
  <c r="R388" i="79" s="1"/>
  <c r="P387" i="79"/>
  <c r="R387" i="79" s="1"/>
  <c r="BG24" i="12"/>
  <c r="BG22" i="12"/>
  <c r="BG20" i="12"/>
  <c r="BG18" i="12"/>
  <c r="BG17" i="12"/>
  <c r="BG16" i="12"/>
  <c r="BG15" i="12"/>
  <c r="BG37" i="1" l="1"/>
  <c r="BG38" i="12"/>
  <c r="BG43" i="12"/>
  <c r="BG37" i="12"/>
  <c r="BG36" i="12" s="1"/>
  <c r="BL21" i="2"/>
  <c r="BG13" i="12"/>
  <c r="BG9" i="12"/>
  <c r="BG10" i="10"/>
  <c r="BG37" i="10"/>
  <c r="BG11" i="12"/>
  <c r="AZ18" i="29"/>
  <c r="BG41" i="12"/>
  <c r="AZ17" i="33"/>
  <c r="AZ21" i="30"/>
  <c r="AZ22" i="30" s="1"/>
  <c r="AZ25" i="30" s="1"/>
  <c r="AZ31" i="33"/>
  <c r="BG11" i="1"/>
  <c r="BL7" i="2"/>
  <c r="AZ35" i="61"/>
  <c r="AZ36" i="33"/>
  <c r="BG6" i="12"/>
  <c r="AZ37" i="33"/>
  <c r="AZ28" i="33"/>
  <c r="AZ43" i="33"/>
  <c r="AZ45" i="33" s="1"/>
  <c r="AZ50" i="61"/>
  <c r="AZ51" i="61" s="1"/>
  <c r="AZ38" i="61"/>
  <c r="AZ48" i="61" s="1"/>
  <c r="AZ7" i="30"/>
  <c r="AZ10" i="30" s="1"/>
  <c r="BG12" i="10" l="1"/>
  <c r="AY25" i="55"/>
  <c r="BG7" i="12"/>
  <c r="BG8" i="12" s="1"/>
  <c r="BL8" i="2"/>
  <c r="BL11" i="2"/>
  <c r="BG13" i="1"/>
  <c r="BG15" i="1" s="1"/>
  <c r="AZ42" i="33"/>
  <c r="BG10" i="12" l="1"/>
  <c r="BG14" i="10"/>
  <c r="BG16" i="10" s="1"/>
  <c r="BL6" i="2"/>
  <c r="BG12" i="12"/>
  <c r="BG14" i="12" s="1"/>
  <c r="BL10" i="2"/>
  <c r="BG40" i="1"/>
  <c r="BG43" i="1" s="1"/>
  <c r="BG45" i="1" s="1"/>
  <c r="BG48" i="1" s="1"/>
  <c r="BG35" i="1"/>
  <c r="BG40" i="10" l="1"/>
  <c r="BG43" i="10" s="1"/>
  <c r="BG45" i="10" s="1"/>
  <c r="BG48" i="10" s="1"/>
  <c r="BG35" i="10"/>
  <c r="AZ11" i="30"/>
  <c r="BG36" i="1"/>
  <c r="BL16" i="2"/>
  <c r="AY11" i="53"/>
  <c r="BG34" i="12"/>
  <c r="BG36" i="10"/>
  <c r="BG39" i="12"/>
  <c r="AD211" i="77"/>
  <c r="BG35" i="12" l="1"/>
  <c r="BL19" i="2"/>
  <c r="BG42" i="12"/>
  <c r="BG44" i="12" s="1"/>
  <c r="BG48" i="12" s="1"/>
  <c r="AG211" i="77"/>
  <c r="AL211" i="77"/>
  <c r="AV211" i="77"/>
  <c r="BB211" i="77"/>
  <c r="BA211" i="77"/>
  <c r="AW211" i="77"/>
  <c r="AH211" i="77"/>
  <c r="AE211" i="77"/>
  <c r="AY211" i="77"/>
  <c r="AJ211" i="77"/>
  <c r="AU211" i="77"/>
  <c r="AF211" i="77"/>
  <c r="AX211" i="77"/>
  <c r="AM211" i="77"/>
  <c r="AK211" i="77"/>
  <c r="AI211" i="77"/>
  <c r="BL24" i="2" l="1"/>
  <c r="BL26" i="2" s="1"/>
  <c r="BL28" i="2" s="1"/>
  <c r="BL30" i="2" s="1"/>
  <c r="BG50" i="12"/>
  <c r="DQ314" i="73"/>
  <c r="DQ316" i="73" s="1"/>
  <c r="DQ47" i="73"/>
  <c r="DQ42" i="73"/>
  <c r="DQ37" i="73"/>
  <c r="DQ32" i="73"/>
  <c r="DQ321" i="73" s="1"/>
  <c r="DQ27" i="73"/>
  <c r="DQ320" i="73" s="1"/>
  <c r="DQ22" i="73"/>
  <c r="DQ11" i="73"/>
  <c r="DQ44" i="73" s="1"/>
  <c r="DQ9" i="73"/>
  <c r="DQ6" i="73"/>
  <c r="DQ29" i="73" l="1"/>
  <c r="DQ34" i="73"/>
  <c r="DQ39" i="73"/>
  <c r="DQ19" i="73"/>
  <c r="DQ24" i="73"/>
  <c r="CY9" i="73" l="1"/>
  <c r="CZ9" i="73"/>
  <c r="DA9" i="73"/>
  <c r="DB9" i="73"/>
  <c r="DC9" i="73"/>
  <c r="DD9" i="73"/>
  <c r="DE9" i="73"/>
  <c r="DF9" i="73"/>
  <c r="DG9" i="73"/>
  <c r="DH9" i="73"/>
  <c r="DI9" i="73"/>
  <c r="DJ9" i="73"/>
  <c r="DK9" i="73"/>
  <c r="DM227" i="73" l="1"/>
  <c r="DL227" i="73"/>
  <c r="DK227" i="73"/>
  <c r="DJ227" i="73"/>
  <c r="DI227" i="73"/>
  <c r="DG227" i="73"/>
  <c r="DF227" i="73"/>
  <c r="DE227" i="73"/>
  <c r="DD227" i="73"/>
  <c r="DC227" i="73"/>
  <c r="DB227" i="73"/>
  <c r="DA227" i="73"/>
  <c r="CZ227" i="73"/>
  <c r="CY227" i="73"/>
  <c r="CX227" i="73"/>
  <c r="CW227" i="73"/>
  <c r="CV227" i="73"/>
  <c r="CU227" i="73"/>
  <c r="CT227" i="73"/>
  <c r="CS227" i="73"/>
  <c r="CR227" i="73"/>
  <c r="CQ227" i="73"/>
  <c r="CP227" i="73"/>
  <c r="CO227" i="73"/>
  <c r="CN227" i="73"/>
  <c r="CM227" i="73"/>
  <c r="CL227" i="73"/>
  <c r="CK227" i="73"/>
  <c r="CJ227" i="73"/>
  <c r="CI227" i="73"/>
  <c r="CH227" i="73"/>
  <c r="CG227" i="73"/>
  <c r="CF227" i="73"/>
  <c r="CE227" i="73"/>
  <c r="CD227" i="73"/>
  <c r="CC227" i="73"/>
  <c r="CB227" i="73"/>
  <c r="CA227" i="73"/>
  <c r="BZ227" i="73"/>
  <c r="BY227" i="73"/>
  <c r="BX227" i="73"/>
  <c r="BW227" i="73"/>
  <c r="BV227" i="73"/>
  <c r="BU227" i="73"/>
  <c r="BT227" i="73"/>
  <c r="BS227" i="73"/>
  <c r="BR227" i="73"/>
  <c r="BQ227" i="73"/>
  <c r="BP227" i="73"/>
  <c r="BO227" i="73"/>
  <c r="BN227" i="73"/>
  <c r="BM227" i="73"/>
  <c r="BL227" i="73"/>
  <c r="BK227" i="73"/>
  <c r="BJ227" i="73"/>
  <c r="BI227" i="73"/>
  <c r="BH227" i="73"/>
  <c r="BG227" i="73"/>
  <c r="BF227" i="73"/>
  <c r="BE227" i="73"/>
  <c r="BD227" i="73"/>
  <c r="BC227" i="73"/>
  <c r="BB227" i="73"/>
  <c r="BA227" i="73"/>
  <c r="AZ227" i="73"/>
  <c r="AY227" i="73"/>
  <c r="AX227" i="73"/>
  <c r="AW227" i="73"/>
  <c r="AV227" i="73"/>
  <c r="AU227" i="73"/>
  <c r="AT227" i="73"/>
  <c r="AS227" i="73"/>
  <c r="AR227" i="73"/>
  <c r="AQ227" i="73"/>
  <c r="AP227" i="73"/>
  <c r="AO227" i="73"/>
  <c r="AN227" i="73"/>
  <c r="AM227" i="73"/>
  <c r="AL227" i="73"/>
  <c r="AK227" i="73"/>
  <c r="AJ227" i="73"/>
  <c r="AI227" i="73"/>
  <c r="AH227" i="73"/>
  <c r="AG227" i="73"/>
  <c r="AF227" i="73"/>
  <c r="AE227" i="73"/>
  <c r="AD227" i="73"/>
  <c r="AC227" i="73"/>
  <c r="AB227" i="73"/>
  <c r="AA227" i="73"/>
  <c r="Z227" i="73"/>
  <c r="Y227" i="73"/>
  <c r="X227" i="73"/>
  <c r="W227" i="73"/>
  <c r="V227" i="73"/>
  <c r="U227" i="73"/>
  <c r="T227" i="73"/>
  <c r="S227" i="73"/>
  <c r="R227" i="73"/>
  <c r="Q227" i="73"/>
  <c r="P227" i="73"/>
  <c r="O227" i="73"/>
  <c r="N227" i="73"/>
  <c r="M227" i="73"/>
  <c r="L227" i="73"/>
  <c r="K227" i="73"/>
  <c r="J227" i="73"/>
  <c r="I227" i="73"/>
  <c r="H227" i="73"/>
  <c r="G227" i="73"/>
  <c r="F227" i="73"/>
  <c r="E227" i="73"/>
  <c r="D227" i="73"/>
  <c r="C227" i="73"/>
  <c r="DM223" i="73"/>
  <c r="DL223" i="73"/>
  <c r="DK223" i="73"/>
  <c r="DJ223" i="73"/>
  <c r="DI223" i="73"/>
  <c r="DG223" i="73"/>
  <c r="DF223" i="73"/>
  <c r="DE223" i="73"/>
  <c r="DD223" i="73"/>
  <c r="DC223" i="73"/>
  <c r="DB223" i="73"/>
  <c r="DA223" i="73"/>
  <c r="CZ223" i="73"/>
  <c r="CY223" i="73"/>
  <c r="CX223" i="73"/>
  <c r="CW223" i="73"/>
  <c r="CV223" i="73"/>
  <c r="CU223" i="73"/>
  <c r="CT223" i="73"/>
  <c r="CS223" i="73"/>
  <c r="CR223" i="73"/>
  <c r="CQ223" i="73"/>
  <c r="CP223" i="73"/>
  <c r="CO223" i="73"/>
  <c r="CN223" i="73"/>
  <c r="CM223" i="73"/>
  <c r="CL223" i="73"/>
  <c r="CK223" i="73"/>
  <c r="CJ223" i="73"/>
  <c r="CI223" i="73"/>
  <c r="CH223" i="73"/>
  <c r="CG223" i="73"/>
  <c r="CF223" i="73"/>
  <c r="CE223" i="73"/>
  <c r="CD223" i="73"/>
  <c r="CC223" i="73"/>
  <c r="CB223" i="73"/>
  <c r="CA223" i="73"/>
  <c r="BZ223" i="73"/>
  <c r="BY223" i="73"/>
  <c r="BX223" i="73"/>
  <c r="BW223" i="73"/>
  <c r="BV223" i="73"/>
  <c r="BU223" i="73"/>
  <c r="BT223" i="73"/>
  <c r="BS223" i="73"/>
  <c r="BR223" i="73"/>
  <c r="BQ223" i="73"/>
  <c r="BP223" i="73"/>
  <c r="BO223" i="73"/>
  <c r="BN223" i="73"/>
  <c r="BM223" i="73"/>
  <c r="BL223" i="73"/>
  <c r="BK223" i="73"/>
  <c r="BJ223" i="73"/>
  <c r="BI223" i="73"/>
  <c r="BH223" i="73"/>
  <c r="BG223" i="73"/>
  <c r="BF223" i="73"/>
  <c r="BE223" i="73"/>
  <c r="BD223" i="73"/>
  <c r="BC223" i="73"/>
  <c r="BB223" i="73"/>
  <c r="BA223" i="73"/>
  <c r="AZ223" i="73"/>
  <c r="AY223" i="73"/>
  <c r="AX223" i="73"/>
  <c r="AW223" i="73"/>
  <c r="AV223" i="73"/>
  <c r="AU223" i="73"/>
  <c r="AT223" i="73"/>
  <c r="AS223" i="73"/>
  <c r="AR223" i="73"/>
  <c r="AQ223" i="73"/>
  <c r="AP223" i="73"/>
  <c r="AO223" i="73"/>
  <c r="AN223" i="73"/>
  <c r="AM223" i="73"/>
  <c r="AL223" i="73"/>
  <c r="AK223" i="73"/>
  <c r="AJ223" i="73"/>
  <c r="AI223" i="73"/>
  <c r="AH223" i="73"/>
  <c r="AG223" i="73"/>
  <c r="AF223" i="73"/>
  <c r="AE223" i="73"/>
  <c r="AD223" i="73"/>
  <c r="AC223" i="73"/>
  <c r="AB223" i="73"/>
  <c r="AA223" i="73"/>
  <c r="Z223" i="73"/>
  <c r="Y223" i="73"/>
  <c r="X223" i="73"/>
  <c r="W223" i="73"/>
  <c r="V223" i="73"/>
  <c r="U223" i="73"/>
  <c r="T223" i="73"/>
  <c r="S223" i="73"/>
  <c r="R223" i="73"/>
  <c r="Q223" i="73"/>
  <c r="P223" i="73"/>
  <c r="O223" i="73"/>
  <c r="N223" i="73"/>
  <c r="M223" i="73"/>
  <c r="L223" i="73"/>
  <c r="K223" i="73"/>
  <c r="J223" i="73"/>
  <c r="I223" i="73"/>
  <c r="H223" i="73"/>
  <c r="G223" i="73"/>
  <c r="F223" i="73"/>
  <c r="E223" i="73"/>
  <c r="D223" i="73"/>
  <c r="C223" i="73"/>
  <c r="AD210" i="77" l="1"/>
  <c r="AY210" i="77" l="1"/>
  <c r="AV210" i="77"/>
  <c r="AX210" i="77"/>
  <c r="AW210" i="77"/>
  <c r="AU210" i="77"/>
  <c r="BA210" i="77"/>
  <c r="BB210" i="77"/>
  <c r="AL210" i="77"/>
  <c r="AK210" i="77"/>
  <c r="AF210" i="77"/>
  <c r="AE210" i="77"/>
  <c r="AM210" i="77"/>
  <c r="AI210" i="77"/>
  <c r="AH210" i="77"/>
  <c r="AJ210" i="77"/>
  <c r="AG210" i="77"/>
  <c r="P386" i="79" l="1"/>
  <c r="R386" i="79" s="1"/>
  <c r="J382" i="79"/>
  <c r="DP314" i="73"/>
  <c r="DP316" i="73" s="1"/>
  <c r="DP47" i="73"/>
  <c r="DP42" i="73"/>
  <c r="DP37" i="73"/>
  <c r="DP32" i="73"/>
  <c r="DP321" i="73" s="1"/>
  <c r="DP27" i="73"/>
  <c r="DP320" i="73" s="1"/>
  <c r="DP22" i="73"/>
  <c r="DP11" i="73"/>
  <c r="DP19" i="73" s="1"/>
  <c r="DP9" i="73"/>
  <c r="DP6" i="73"/>
  <c r="DP39" i="73" l="1"/>
  <c r="DP24" i="73"/>
  <c r="DP29" i="73"/>
  <c r="DP34" i="73"/>
  <c r="DP44" i="73"/>
  <c r="E11" i="76" l="1"/>
  <c r="E10" i="76"/>
  <c r="E9" i="76"/>
  <c r="E8" i="76"/>
  <c r="E7" i="76"/>
  <c r="AD209" i="77" l="1"/>
  <c r="BA207" i="77" l="1"/>
  <c r="BA209" i="77"/>
  <c r="BB205" i="77"/>
  <c r="BB207" i="77"/>
  <c r="BB206" i="77"/>
  <c r="BB209" i="77"/>
  <c r="BA208" i="77"/>
  <c r="BA205" i="77"/>
  <c r="BB208" i="77"/>
  <c r="BA206" i="77"/>
  <c r="DO314" i="73" l="1"/>
  <c r="DO316" i="73" s="1"/>
  <c r="DO47" i="73"/>
  <c r="DO42" i="73"/>
  <c r="DO37" i="73"/>
  <c r="DO32" i="73"/>
  <c r="DO321" i="73" s="1"/>
  <c r="DO27" i="73"/>
  <c r="DO320" i="73" s="1"/>
  <c r="DO22" i="73"/>
  <c r="DO11" i="73"/>
  <c r="DO34" i="73" s="1"/>
  <c r="DO9" i="73"/>
  <c r="DO6" i="73"/>
  <c r="DO24" i="73" l="1"/>
  <c r="DO29" i="73"/>
  <c r="DO19" i="73"/>
  <c r="DO39" i="73"/>
  <c r="DO44" i="73"/>
  <c r="BF45" i="9" l="1"/>
  <c r="M54" i="42"/>
  <c r="GH7" i="85" l="1"/>
  <c r="GN7" i="85" s="1"/>
  <c r="GT7" i="85" s="1"/>
  <c r="AX18" i="39"/>
  <c r="EF27" i="34" l="1"/>
  <c r="AV23" i="30"/>
  <c r="AU23" i="30"/>
  <c r="AW23" i="30"/>
  <c r="AX23" i="30"/>
  <c r="AT13" i="24"/>
  <c r="BE127" i="9" l="1"/>
  <c r="AY9" i="39" l="1"/>
  <c r="AD18" i="81"/>
  <c r="AD15" i="81"/>
  <c r="AT92" i="68"/>
  <c r="AT80" i="68"/>
  <c r="AT78" i="68"/>
  <c r="AT69" i="68"/>
  <c r="AE15" i="81" l="1"/>
  <c r="AE18" i="81"/>
  <c r="AU80" i="68" l="1"/>
  <c r="AU69" i="68"/>
  <c r="AT59" i="68"/>
  <c r="AT54" i="68"/>
  <c r="AT50" i="68"/>
  <c r="AT45" i="68"/>
  <c r="AT31" i="68"/>
  <c r="AU63" i="68"/>
  <c r="AU28" i="68"/>
  <c r="AU26" i="68"/>
  <c r="AU23" i="68"/>
  <c r="AX4" i="55"/>
  <c r="AW23" i="55"/>
  <c r="AW13" i="55"/>
  <c r="AW26" i="65"/>
  <c r="AW25" i="65"/>
  <c r="AW24" i="65"/>
  <c r="AW23" i="65"/>
  <c r="AW22" i="65"/>
  <c r="AW19" i="65"/>
  <c r="AW11" i="65"/>
  <c r="AW32" i="71"/>
  <c r="AX84" i="71"/>
  <c r="AW23" i="53"/>
  <c r="AW21" i="53"/>
  <c r="AW20" i="53"/>
  <c r="AW15" i="53"/>
  <c r="AW17" i="53" s="1"/>
  <c r="AW8" i="53"/>
  <c r="AW10" i="53" s="1"/>
  <c r="AT51" i="68" l="1"/>
  <c r="AW22" i="53"/>
  <c r="AW24" i="53" s="1"/>
  <c r="AT60" i="68"/>
  <c r="AU45" i="68"/>
  <c r="AU54" i="68"/>
  <c r="AU59" i="68"/>
  <c r="AU20" i="68"/>
  <c r="AU50" i="68"/>
  <c r="AU31" i="68"/>
  <c r="AW27" i="65"/>
  <c r="AW24" i="55"/>
  <c r="AU78" i="68"/>
  <c r="AX10" i="66"/>
  <c r="AX23" i="55"/>
  <c r="AX13" i="55"/>
  <c r="AX19" i="65"/>
  <c r="AX11" i="65"/>
  <c r="AX86" i="71"/>
  <c r="AX15" i="53"/>
  <c r="AX17" i="53" s="1"/>
  <c r="AX8" i="53"/>
  <c r="AX10" i="53" s="1"/>
  <c r="AT61" i="68" l="1"/>
  <c r="AU60" i="68"/>
  <c r="AU51" i="68"/>
  <c r="AU32" i="68"/>
  <c r="AX24" i="55"/>
  <c r="AX27" i="65"/>
  <c r="AX22" i="53"/>
  <c r="AX24" i="53" s="1"/>
  <c r="AU61" i="68" l="1"/>
  <c r="AW53" i="49"/>
  <c r="AW52" i="49"/>
  <c r="AW51" i="49"/>
  <c r="AW50" i="49"/>
  <c r="AW49" i="49"/>
  <c r="AW48" i="49"/>
  <c r="AW47" i="49"/>
  <c r="AW46" i="49"/>
  <c r="AW45" i="49"/>
  <c r="AW44" i="49"/>
  <c r="AW43" i="49"/>
  <c r="AW42" i="49"/>
  <c r="AX56" i="49"/>
  <c r="AX55" i="49"/>
  <c r="AX29" i="48"/>
  <c r="AX24" i="48"/>
  <c r="AS8" i="72"/>
  <c r="AS21" i="72" s="1"/>
  <c r="AS24" i="72" s="1"/>
  <c r="AT8" i="72"/>
  <c r="AY22" i="45"/>
  <c r="AY32" i="45" s="1"/>
  <c r="GW18" i="85"/>
  <c r="GZ7" i="85"/>
  <c r="GW37" i="85"/>
  <c r="GX26" i="85"/>
  <c r="GW26" i="85"/>
  <c r="GU26" i="85"/>
  <c r="GX18" i="85"/>
  <c r="GY18" i="85"/>
  <c r="GY38" i="85" s="1"/>
  <c r="GX11" i="85"/>
  <c r="GY11" i="85"/>
  <c r="GZ14" i="85"/>
  <c r="GY14" i="85"/>
  <c r="GX14" i="85"/>
  <c r="GW14" i="85"/>
  <c r="GV14" i="85"/>
  <c r="GU14" i="85"/>
  <c r="GU13" i="85"/>
  <c r="GZ4" i="85"/>
  <c r="GU3" i="85"/>
  <c r="AY33" i="44"/>
  <c r="AY37" i="44" s="1"/>
  <c r="Y56" i="42"/>
  <c r="Y55" i="42"/>
  <c r="GX37" i="85" l="1"/>
  <c r="GX38" i="85" s="1"/>
  <c r="GV18" i="85"/>
  <c r="GV38" i="85" s="1"/>
  <c r="GZ10" i="85"/>
  <c r="HF10" i="85" s="1"/>
  <c r="AT21" i="72"/>
  <c r="GW38" i="85"/>
  <c r="BB28" i="46"/>
  <c r="BB15" i="46"/>
  <c r="GW11" i="85"/>
  <c r="M57" i="42"/>
  <c r="GV11" i="85"/>
  <c r="AY15" i="44"/>
  <c r="GU11" i="85"/>
  <c r="AY29" i="48"/>
  <c r="Y57" i="42"/>
  <c r="AY24" i="48"/>
  <c r="BB34" i="46"/>
  <c r="BC94" i="46"/>
  <c r="AY19" i="44"/>
  <c r="AX30" i="48"/>
  <c r="BC82" i="46"/>
  <c r="AY12" i="44"/>
  <c r="BB9" i="46"/>
  <c r="AY23" i="45"/>
  <c r="AY13" i="45"/>
  <c r="AY14" i="45" s="1"/>
  <c r="GZ9" i="85"/>
  <c r="HF9" i="85" s="1"/>
  <c r="GZ8" i="85"/>
  <c r="GU18" i="85"/>
  <c r="GU37" i="85"/>
  <c r="BC106" i="46" l="1"/>
  <c r="AT24" i="72"/>
  <c r="AY30" i="48"/>
  <c r="BB40" i="46"/>
  <c r="AY33" i="45"/>
  <c r="AY18" i="44"/>
  <c r="BB21" i="46"/>
  <c r="AY22" i="44"/>
  <c r="AY23" i="44" s="1"/>
  <c r="GU38" i="85"/>
  <c r="EQ5" i="34" l="1"/>
  <c r="EN5" i="34"/>
  <c r="EQ24" i="34"/>
  <c r="ES23" i="34"/>
  <c r="ER23" i="34"/>
  <c r="EQ23" i="34"/>
  <c r="ES20" i="34"/>
  <c r="ES19" i="34"/>
  <c r="ES18" i="34"/>
  <c r="ES17" i="34"/>
  <c r="ES16" i="34"/>
  <c r="ES15" i="34"/>
  <c r="ER21" i="34" l="1"/>
  <c r="ER27" i="34" s="1"/>
  <c r="H22" i="38"/>
  <c r="C22" i="38"/>
  <c r="E22" i="38"/>
  <c r="ER24" i="34"/>
  <c r="F22" i="38"/>
  <c r="EQ21" i="34"/>
  <c r="EQ27" i="34" s="1"/>
  <c r="G22" i="38"/>
  <c r="D22" i="38"/>
  <c r="ES24" i="34"/>
  <c r="I22" i="38"/>
  <c r="ES21" i="34" l="1"/>
  <c r="ES27" i="34" s="1"/>
  <c r="AW14" i="33"/>
  <c r="AX14" i="33"/>
  <c r="AY40" i="33"/>
  <c r="AY26" i="33"/>
  <c r="AY41" i="33" s="1"/>
  <c r="AY47" i="61"/>
  <c r="AY46" i="61"/>
  <c r="AY45" i="61"/>
  <c r="AY35" i="61" l="1"/>
  <c r="AY16" i="61"/>
  <c r="AY31" i="33"/>
  <c r="AY28" i="33"/>
  <c r="AY14" i="33"/>
  <c r="AY32" i="61"/>
  <c r="AY19" i="61"/>
  <c r="AY17" i="33"/>
  <c r="AY51" i="61" l="1"/>
  <c r="AY48" i="61"/>
  <c r="AY42" i="33"/>
  <c r="AY45" i="33"/>
  <c r="H6" i="76"/>
  <c r="E6" i="76"/>
  <c r="DH42" i="73" l="1"/>
  <c r="DN42" i="73"/>
  <c r="DH37" i="73"/>
  <c r="DN47" i="73"/>
  <c r="DM47" i="73"/>
  <c r="DL47" i="73"/>
  <c r="DK47" i="73"/>
  <c r="DJ47" i="73"/>
  <c r="DI47" i="73"/>
  <c r="DG47" i="73"/>
  <c r="DF47" i="73"/>
  <c r="DE47" i="73"/>
  <c r="DD47" i="73"/>
  <c r="DC47" i="73"/>
  <c r="DB47" i="73"/>
  <c r="DA47" i="73"/>
  <c r="CZ47" i="73"/>
  <c r="CY47" i="73"/>
  <c r="CX47" i="73"/>
  <c r="CW47" i="73"/>
  <c r="CV47" i="73"/>
  <c r="CU47" i="73"/>
  <c r="CT47" i="73"/>
  <c r="CS47" i="73"/>
  <c r="CR47" i="73"/>
  <c r="CQ47" i="73"/>
  <c r="CP47" i="73"/>
  <c r="CO47" i="73"/>
  <c r="CN47" i="73"/>
  <c r="CM47" i="73"/>
  <c r="CL47" i="73"/>
  <c r="CK47" i="73"/>
  <c r="CJ47" i="73"/>
  <c r="CI47" i="73"/>
  <c r="CH47" i="73"/>
  <c r="CG47" i="73"/>
  <c r="CF47" i="73"/>
  <c r="CE47" i="73"/>
  <c r="CD47" i="73"/>
  <c r="CC47" i="73"/>
  <c r="CB47" i="73"/>
  <c r="CA47" i="73"/>
  <c r="BZ47" i="73"/>
  <c r="BY47" i="73"/>
  <c r="BX47" i="73"/>
  <c r="BW47" i="73"/>
  <c r="BV47" i="73"/>
  <c r="BU47" i="73"/>
  <c r="BT47" i="73"/>
  <c r="BS47" i="73"/>
  <c r="BR47" i="73"/>
  <c r="BQ47" i="73"/>
  <c r="BP47" i="73"/>
  <c r="BO47" i="73"/>
  <c r="BN47" i="73"/>
  <c r="BM47" i="73"/>
  <c r="BL47" i="73"/>
  <c r="BK47" i="73"/>
  <c r="BJ47" i="73"/>
  <c r="BI47" i="73"/>
  <c r="BH47" i="73"/>
  <c r="BG47" i="73"/>
  <c r="BF47" i="73"/>
  <c r="BE47" i="73"/>
  <c r="BD47" i="73"/>
  <c r="BC47" i="73"/>
  <c r="BB47" i="73"/>
  <c r="BA47" i="73"/>
  <c r="AZ47" i="73"/>
  <c r="AY47" i="73"/>
  <c r="AX47" i="73"/>
  <c r="AW47" i="73"/>
  <c r="AV47" i="73"/>
  <c r="AU47" i="73"/>
  <c r="AT47" i="73"/>
  <c r="AS47" i="73"/>
  <c r="AR47" i="73"/>
  <c r="AQ47" i="73"/>
  <c r="AP47" i="73"/>
  <c r="AO47" i="73"/>
  <c r="AN47" i="73"/>
  <c r="AM47" i="73"/>
  <c r="AL47" i="73"/>
  <c r="AK47" i="73"/>
  <c r="AJ47" i="73"/>
  <c r="AI47" i="73"/>
  <c r="AH47" i="73"/>
  <c r="AG47" i="73"/>
  <c r="AF47" i="73"/>
  <c r="AE47" i="73"/>
  <c r="AD47" i="73"/>
  <c r="AC47" i="73"/>
  <c r="AB47" i="73"/>
  <c r="AA47" i="73"/>
  <c r="Z47" i="73"/>
  <c r="Y47" i="73"/>
  <c r="X47" i="73"/>
  <c r="W47" i="73"/>
  <c r="V47" i="73"/>
  <c r="U47" i="73"/>
  <c r="T47" i="73"/>
  <c r="S47" i="73"/>
  <c r="R47" i="73"/>
  <c r="Q47" i="73"/>
  <c r="P47" i="73"/>
  <c r="O47" i="73"/>
  <c r="N47" i="73"/>
  <c r="M47" i="73"/>
  <c r="L47" i="73"/>
  <c r="K47" i="73"/>
  <c r="J47" i="73"/>
  <c r="I47" i="73"/>
  <c r="H47" i="73"/>
  <c r="G47" i="73"/>
  <c r="F47" i="73"/>
  <c r="E47" i="73"/>
  <c r="D47" i="73"/>
  <c r="C47" i="73"/>
  <c r="DM42" i="73"/>
  <c r="DL42" i="73"/>
  <c r="DK42" i="73"/>
  <c r="DJ42" i="73"/>
  <c r="DI42" i="73"/>
  <c r="DG42" i="73"/>
  <c r="DF42" i="73"/>
  <c r="DE42" i="73"/>
  <c r="DD42" i="73"/>
  <c r="DC42" i="73"/>
  <c r="DB42" i="73"/>
  <c r="DA42" i="73"/>
  <c r="CZ42" i="73"/>
  <c r="CY42" i="73"/>
  <c r="CX42" i="73"/>
  <c r="CW42" i="73"/>
  <c r="CV42" i="73"/>
  <c r="CU42" i="73"/>
  <c r="CT42" i="73"/>
  <c r="CS42" i="73"/>
  <c r="CR42" i="73"/>
  <c r="CQ42" i="73"/>
  <c r="CP42" i="73"/>
  <c r="CO42" i="73"/>
  <c r="CN42" i="73"/>
  <c r="CM42" i="73"/>
  <c r="CL42" i="73"/>
  <c r="CK42" i="73"/>
  <c r="CJ42" i="73"/>
  <c r="CI42" i="73"/>
  <c r="CH42" i="73"/>
  <c r="CG42" i="73"/>
  <c r="CF42" i="73"/>
  <c r="CE42" i="73"/>
  <c r="CD42" i="73"/>
  <c r="CC42" i="73"/>
  <c r="CB42" i="73"/>
  <c r="CA42" i="73"/>
  <c r="BZ42" i="73"/>
  <c r="BY42" i="73"/>
  <c r="BX42" i="73"/>
  <c r="BW42" i="73"/>
  <c r="BV42" i="73"/>
  <c r="BU42" i="73"/>
  <c r="BT42" i="73"/>
  <c r="BS42" i="73"/>
  <c r="BR42" i="73"/>
  <c r="BQ42" i="73"/>
  <c r="BP42" i="73"/>
  <c r="BO42" i="73"/>
  <c r="BN42" i="73"/>
  <c r="BM42" i="73"/>
  <c r="BL42" i="73"/>
  <c r="BK42" i="73"/>
  <c r="BJ42" i="73"/>
  <c r="BI42" i="73"/>
  <c r="BH42" i="73"/>
  <c r="BG42" i="73"/>
  <c r="BF42" i="73"/>
  <c r="BE42" i="73"/>
  <c r="BD42" i="73"/>
  <c r="BC42" i="73"/>
  <c r="BB42" i="73"/>
  <c r="BA42" i="73"/>
  <c r="AZ42" i="73"/>
  <c r="AY42" i="73"/>
  <c r="AX42" i="73"/>
  <c r="AW42" i="73"/>
  <c r="AV42" i="73"/>
  <c r="AU42" i="73"/>
  <c r="AT42" i="73"/>
  <c r="AS42" i="73"/>
  <c r="AR42" i="73"/>
  <c r="AQ42" i="73"/>
  <c r="AP42" i="73"/>
  <c r="AO42" i="73"/>
  <c r="AN42" i="73"/>
  <c r="AM42" i="73"/>
  <c r="AL42" i="73"/>
  <c r="AK42" i="73"/>
  <c r="AJ42" i="73"/>
  <c r="AI42" i="73"/>
  <c r="AH42" i="73"/>
  <c r="AG42" i="73"/>
  <c r="AF42" i="73"/>
  <c r="AE42" i="73"/>
  <c r="AD42" i="73"/>
  <c r="AC42" i="73"/>
  <c r="AB42" i="73"/>
  <c r="AA42" i="73"/>
  <c r="Z42" i="73"/>
  <c r="Y42" i="73"/>
  <c r="X42" i="73"/>
  <c r="W42" i="73"/>
  <c r="V42" i="73"/>
  <c r="K42" i="73"/>
  <c r="J42" i="73"/>
  <c r="I42" i="73"/>
  <c r="H42" i="73"/>
  <c r="G42" i="73"/>
  <c r="F42" i="73"/>
  <c r="E42" i="73"/>
  <c r="D42" i="73"/>
  <c r="C42" i="73"/>
  <c r="DN37" i="73"/>
  <c r="DM37" i="73"/>
  <c r="DL37" i="73"/>
  <c r="DK37" i="73"/>
  <c r="DJ37" i="73"/>
  <c r="DI37" i="73"/>
  <c r="DG37" i="73"/>
  <c r="DF37" i="73"/>
  <c r="DE37" i="73"/>
  <c r="DD37" i="73"/>
  <c r="DC37" i="73"/>
  <c r="DB37" i="73"/>
  <c r="DA37" i="73"/>
  <c r="CZ37" i="73"/>
  <c r="CY37" i="73"/>
  <c r="CX37" i="73"/>
  <c r="CW37" i="73"/>
  <c r="CV37" i="73"/>
  <c r="CU37" i="73"/>
  <c r="CT37" i="73"/>
  <c r="CS37" i="73"/>
  <c r="CR37" i="73"/>
  <c r="CQ37" i="73"/>
  <c r="CP37" i="73"/>
  <c r="CO37" i="73"/>
  <c r="CN37" i="73"/>
  <c r="CM37" i="73"/>
  <c r="CL37" i="73"/>
  <c r="CK37" i="73"/>
  <c r="CJ37" i="73"/>
  <c r="CI37" i="73"/>
  <c r="CH37" i="73"/>
  <c r="CG37" i="73"/>
  <c r="CF37" i="73"/>
  <c r="CE37" i="73"/>
  <c r="CD37" i="73"/>
  <c r="CC37" i="73"/>
  <c r="CB37" i="73"/>
  <c r="CA37" i="73"/>
  <c r="BZ37" i="73"/>
  <c r="BY37" i="73"/>
  <c r="BX37" i="73"/>
  <c r="BW37" i="73"/>
  <c r="BV37" i="73"/>
  <c r="BU37" i="73"/>
  <c r="BT37" i="73"/>
  <c r="BS37" i="73"/>
  <c r="BR37" i="73"/>
  <c r="BQ37" i="73"/>
  <c r="BP37" i="73"/>
  <c r="BO37" i="73"/>
  <c r="BN37" i="73"/>
  <c r="BM37" i="73"/>
  <c r="BL37" i="73"/>
  <c r="BK37" i="73"/>
  <c r="BJ37" i="73"/>
  <c r="BI37" i="73"/>
  <c r="BH37" i="73"/>
  <c r="BG37" i="73"/>
  <c r="BF37" i="73"/>
  <c r="BE37" i="73"/>
  <c r="BD37" i="73"/>
  <c r="BC37" i="73"/>
  <c r="BB37" i="73"/>
  <c r="BA37" i="73"/>
  <c r="AZ37" i="73"/>
  <c r="AY37" i="73"/>
  <c r="AX37" i="73"/>
  <c r="AW37" i="73"/>
  <c r="AV37" i="73"/>
  <c r="AU37" i="73"/>
  <c r="AT37" i="73"/>
  <c r="AS37" i="73"/>
  <c r="AR37" i="73"/>
  <c r="AQ37" i="73"/>
  <c r="AP37" i="73"/>
  <c r="AO37" i="73"/>
  <c r="AN37" i="73"/>
  <c r="AM37" i="73"/>
  <c r="AL37" i="73"/>
  <c r="AK37" i="73"/>
  <c r="AJ37" i="73"/>
  <c r="AI37" i="73"/>
  <c r="AH37" i="73"/>
  <c r="AG37" i="73"/>
  <c r="AF37" i="73"/>
  <c r="AE37" i="73"/>
  <c r="AD37" i="73"/>
  <c r="AC37" i="73"/>
  <c r="AB37" i="73"/>
  <c r="AA37" i="73"/>
  <c r="Z37" i="73"/>
  <c r="Y37" i="73"/>
  <c r="X37" i="73"/>
  <c r="W37" i="73"/>
  <c r="V37" i="73"/>
  <c r="U37" i="73"/>
  <c r="T37" i="73"/>
  <c r="S37" i="73"/>
  <c r="R37" i="73"/>
  <c r="Q37" i="73"/>
  <c r="P37" i="73"/>
  <c r="O37" i="73"/>
  <c r="N37" i="73"/>
  <c r="M37" i="73"/>
  <c r="L37" i="73"/>
  <c r="K37" i="73"/>
  <c r="J37" i="73"/>
  <c r="I37" i="73"/>
  <c r="H37" i="73"/>
  <c r="G37" i="73"/>
  <c r="F37" i="73"/>
  <c r="E37" i="73"/>
  <c r="D37" i="73"/>
  <c r="C37" i="73"/>
  <c r="AU110" i="83" l="1"/>
  <c r="AM50" i="68"/>
  <c r="AM45" i="68"/>
  <c r="AM31" i="68"/>
  <c r="AM28" i="68"/>
  <c r="AM26" i="68"/>
  <c r="AM23" i="68"/>
  <c r="AM20" i="68"/>
  <c r="AN63" i="68"/>
  <c r="AM22" i="65"/>
  <c r="AM19" i="65"/>
  <c r="AM11" i="65"/>
  <c r="AM81" i="71"/>
  <c r="AM80" i="71"/>
  <c r="AM79" i="71"/>
  <c r="AM78" i="71"/>
  <c r="AM77" i="71"/>
  <c r="AM76" i="71"/>
  <c r="AM75" i="71"/>
  <c r="AM74" i="71"/>
  <c r="AM73" i="71"/>
  <c r="AM72" i="71"/>
  <c r="AM71" i="71"/>
  <c r="AM70" i="71"/>
  <c r="AM69" i="71"/>
  <c r="AM68" i="71"/>
  <c r="AM67" i="71"/>
  <c r="AM66" i="71"/>
  <c r="AM65" i="71"/>
  <c r="AM64" i="71"/>
  <c r="AM61" i="71"/>
  <c r="AM32" i="71"/>
  <c r="AM15" i="53"/>
  <c r="AM17" i="53" s="1"/>
  <c r="AM8" i="53"/>
  <c r="AM10" i="53" s="1"/>
  <c r="AM49" i="52"/>
  <c r="AM48" i="52"/>
  <c r="AM46" i="52"/>
  <c r="AM45" i="52"/>
  <c r="AM44" i="52"/>
  <c r="AM43" i="52"/>
  <c r="AM42" i="52"/>
  <c r="AM41" i="52"/>
  <c r="AM40" i="52"/>
  <c r="AM39" i="52"/>
  <c r="AM38" i="52"/>
  <c r="AM19" i="52"/>
  <c r="AM52" i="49"/>
  <c r="AM51" i="49"/>
  <c r="AM50" i="49"/>
  <c r="AM49" i="49"/>
  <c r="AM48" i="49"/>
  <c r="AM47" i="49"/>
  <c r="AM46" i="49"/>
  <c r="AM45" i="49"/>
  <c r="AM44" i="49"/>
  <c r="AM43" i="49"/>
  <c r="AM42" i="49"/>
  <c r="AM77" i="46"/>
  <c r="AM76" i="46"/>
  <c r="AM75" i="46"/>
  <c r="AM72" i="46"/>
  <c r="AM66" i="46"/>
  <c r="AM53" i="46"/>
  <c r="AM47" i="46"/>
  <c r="AM34" i="46"/>
  <c r="AM28" i="46"/>
  <c r="AM20" i="46"/>
  <c r="AM19" i="46"/>
  <c r="AM18" i="46"/>
  <c r="AM15" i="46"/>
  <c r="AM9" i="46"/>
  <c r="AM26" i="45"/>
  <c r="AM23" i="45"/>
  <c r="AM13" i="45"/>
  <c r="AM14" i="45" s="1"/>
  <c r="AM19" i="44"/>
  <c r="AM15" i="44"/>
  <c r="AM12" i="44"/>
  <c r="AM43" i="33"/>
  <c r="AM40" i="33"/>
  <c r="AM39" i="33"/>
  <c r="AM37" i="33"/>
  <c r="AM35" i="33"/>
  <c r="AM34" i="33"/>
  <c r="AM31" i="33"/>
  <c r="AM17" i="33"/>
  <c r="AM46" i="61"/>
  <c r="AM45" i="61"/>
  <c r="AM44" i="61"/>
  <c r="AM43" i="61"/>
  <c r="AM42" i="61"/>
  <c r="AM41" i="61"/>
  <c r="AM40" i="61"/>
  <c r="AM39" i="61"/>
  <c r="AM38" i="61"/>
  <c r="AM35" i="61"/>
  <c r="AM32" i="61"/>
  <c r="AM19" i="61"/>
  <c r="AM20" i="61" s="1"/>
  <c r="AM16" i="61"/>
  <c r="AM12" i="31"/>
  <c r="AM11" i="31" s="1"/>
  <c r="AM15" i="30"/>
  <c r="AM18" i="30" s="1"/>
  <c r="AM7" i="30"/>
  <c r="AM10" i="30" s="1"/>
  <c r="AM259" i="73"/>
  <c r="AM253" i="73"/>
  <c r="AM251" i="73"/>
  <c r="AM245" i="73"/>
  <c r="AM243" i="73"/>
  <c r="AM237" i="73"/>
  <c r="AM235" i="73"/>
  <c r="AM229" i="73"/>
  <c r="AM221" i="73"/>
  <c r="AM217" i="73"/>
  <c r="AM215" i="73"/>
  <c r="AM133" i="73"/>
  <c r="AM206" i="73"/>
  <c r="AM197" i="73"/>
  <c r="AM188" i="73"/>
  <c r="AM179" i="73"/>
  <c r="AM165" i="73"/>
  <c r="AM171" i="73"/>
  <c r="AM163" i="73"/>
  <c r="AM155" i="73"/>
  <c r="AM147" i="73"/>
  <c r="AM139" i="73"/>
  <c r="AM131" i="73"/>
  <c r="AM123" i="73"/>
  <c r="AM101" i="73"/>
  <c r="AM115" i="73"/>
  <c r="AM107" i="73"/>
  <c r="AM320" i="73" s="1"/>
  <c r="AM99" i="73"/>
  <c r="AM91" i="73"/>
  <c r="AM83" i="73"/>
  <c r="AM73" i="73"/>
  <c r="AM63" i="73"/>
  <c r="AM55" i="73"/>
  <c r="AM32" i="73"/>
  <c r="AM27" i="73"/>
  <c r="AM22" i="73"/>
  <c r="AM301" i="73"/>
  <c r="AM295" i="73"/>
  <c r="AM289" i="73"/>
  <c r="AM11" i="73"/>
  <c r="AM9" i="73"/>
  <c r="AM6" i="73"/>
  <c r="AM110" i="9"/>
  <c r="AM109" i="9"/>
  <c r="AM111" i="9" s="1"/>
  <c r="AM112" i="9" s="1"/>
  <c r="AM113" i="9" s="1"/>
  <c r="AE51" i="9"/>
  <c r="AE49" i="9"/>
  <c r="AM45" i="9"/>
  <c r="AM18" i="9"/>
  <c r="AE18" i="9"/>
  <c r="AE13" i="9"/>
  <c r="AE12" i="9"/>
  <c r="AM22" i="67"/>
  <c r="AM17" i="67"/>
  <c r="AM20" i="67" s="1"/>
  <c r="AM13" i="67"/>
  <c r="AM9" i="67"/>
  <c r="S94" i="63"/>
  <c r="AM79" i="63"/>
  <c r="AM54" i="63"/>
  <c r="V29" i="63"/>
  <c r="AM13" i="63"/>
  <c r="AM12" i="63"/>
  <c r="AM41" i="12"/>
  <c r="AM40" i="12"/>
  <c r="AM38" i="12"/>
  <c r="AM37" i="12"/>
  <c r="AM13" i="12"/>
  <c r="AM11" i="12"/>
  <c r="AM9" i="12"/>
  <c r="AM37" i="10"/>
  <c r="AM10" i="10"/>
  <c r="AM7" i="12" s="1"/>
  <c r="AM37" i="1"/>
  <c r="AM9" i="1"/>
  <c r="AM6" i="12" s="1"/>
  <c r="AM21" i="2"/>
  <c r="AM11" i="2"/>
  <c r="AM61" i="3"/>
  <c r="AM42" i="3"/>
  <c r="AE7" i="9" s="1"/>
  <c r="AM33" i="3"/>
  <c r="AM23" i="3"/>
  <c r="AM6" i="3"/>
  <c r="AM59" i="46" l="1"/>
  <c r="AR7" i="2"/>
  <c r="AM51" i="68"/>
  <c r="AM40" i="46"/>
  <c r="AM11" i="1"/>
  <c r="AM13" i="1" s="1"/>
  <c r="AM15" i="1" s="1"/>
  <c r="AM35" i="1" s="1"/>
  <c r="AM36" i="1" s="1"/>
  <c r="AM78" i="46"/>
  <c r="AM18" i="44"/>
  <c r="AR8" i="2"/>
  <c r="AM39" i="3"/>
  <c r="AM21" i="46"/>
  <c r="AM36" i="12"/>
  <c r="AM22" i="44"/>
  <c r="AM32" i="68"/>
  <c r="AM8" i="12"/>
  <c r="AM297" i="73"/>
  <c r="AM39" i="73"/>
  <c r="AM44" i="73"/>
  <c r="AM34" i="73"/>
  <c r="AM190" i="73"/>
  <c r="AM29" i="73"/>
  <c r="AM109" i="73"/>
  <c r="AM65" i="73"/>
  <c r="AM75" i="73"/>
  <c r="AM85" i="73"/>
  <c r="AM141" i="73"/>
  <c r="AM93" i="73"/>
  <c r="AM149" i="73"/>
  <c r="AM57" i="73"/>
  <c r="AM49" i="73"/>
  <c r="AM157" i="73"/>
  <c r="AM115" i="9"/>
  <c r="AM114" i="9"/>
  <c r="AM12" i="10"/>
  <c r="AM14" i="10" s="1"/>
  <c r="AM16" i="10" s="1"/>
  <c r="AM35" i="10" s="1"/>
  <c r="AM36" i="10" s="1"/>
  <c r="AM19" i="73"/>
  <c r="AM125" i="73"/>
  <c r="AE8" i="9"/>
  <c r="AM24" i="73"/>
  <c r="AM181" i="73"/>
  <c r="AM285" i="73"/>
  <c r="AM199" i="73"/>
  <c r="AM291" i="73"/>
  <c r="AE6" i="9"/>
  <c r="AM116" i="9" l="1"/>
  <c r="AM117" i="9"/>
  <c r="AM10" i="12"/>
  <c r="AM12" i="12" s="1"/>
  <c r="AM14" i="12" s="1"/>
  <c r="AM34" i="12" l="1"/>
  <c r="AM39" i="12"/>
  <c r="AM35" i="12" l="1"/>
  <c r="AM78" i="3"/>
  <c r="AM90" i="3" s="1"/>
  <c r="AM91" i="3" s="1"/>
  <c r="AM28" i="2"/>
  <c r="V18" i="63" s="1"/>
  <c r="AM40" i="1"/>
  <c r="AM43" i="1" s="1"/>
  <c r="AM45" i="1" s="1"/>
  <c r="AM48" i="1" s="1"/>
  <c r="AM40" i="10"/>
  <c r="AM43" i="10" s="1"/>
  <c r="AM45" i="10" s="1"/>
  <c r="AM48" i="10" s="1"/>
  <c r="AM43" i="12"/>
  <c r="AM42" i="12"/>
  <c r="AM33" i="67"/>
  <c r="AM39" i="67" s="1"/>
  <c r="AM29" i="67"/>
  <c r="AM323" i="73"/>
  <c r="AM322" i="73"/>
  <c r="AM321" i="73"/>
  <c r="W25" i="13"/>
  <c r="W24" i="13"/>
  <c r="AM13" i="24"/>
  <c r="AM20" i="26"/>
  <c r="AM10" i="26"/>
  <c r="AM12" i="26" s="1"/>
  <c r="AM17" i="29"/>
  <c r="AM16" i="29"/>
  <c r="AM13" i="29"/>
  <c r="AM8" i="29"/>
  <c r="AM24" i="30"/>
  <c r="AM21" i="30"/>
  <c r="AM22" i="30" s="1"/>
  <c r="AM28" i="31"/>
  <c r="AM27" i="31"/>
  <c r="AM26" i="31"/>
  <c r="AM25" i="31"/>
  <c r="AM24" i="31"/>
  <c r="AM21" i="31"/>
  <c r="AM20" i="31" s="1"/>
  <c r="AM29" i="32"/>
  <c r="AM28" i="32"/>
  <c r="AM27" i="32"/>
  <c r="AM26" i="32"/>
  <c r="AM25" i="32"/>
  <c r="AM50" i="61"/>
  <c r="AM49" i="61"/>
  <c r="AM47" i="61"/>
  <c r="AM48" i="61" s="1"/>
  <c r="AM44" i="33"/>
  <c r="AM45" i="33" s="1"/>
  <c r="AM24" i="34"/>
  <c r="AM23" i="34"/>
  <c r="AM21" i="34"/>
  <c r="AM18" i="39"/>
  <c r="AM9" i="39"/>
  <c r="AM37" i="85"/>
  <c r="AM26" i="85"/>
  <c r="AM18" i="85"/>
  <c r="AM11" i="85"/>
  <c r="AM14" i="85"/>
  <c r="AM13" i="85"/>
  <c r="AM31" i="45"/>
  <c r="AM30" i="45"/>
  <c r="AM29" i="45"/>
  <c r="AM28" i="45"/>
  <c r="AM27" i="45"/>
  <c r="AM112" i="46"/>
  <c r="AM111" i="46"/>
  <c r="AM110" i="46"/>
  <c r="AM109" i="46"/>
  <c r="AM108" i="46"/>
  <c r="AM107" i="46"/>
  <c r="AM8" i="72"/>
  <c r="AM29" i="48"/>
  <c r="AM24" i="48"/>
  <c r="AM56" i="49"/>
  <c r="AM55" i="49"/>
  <c r="AM53" i="49"/>
  <c r="AM50" i="52"/>
  <c r="AM23" i="53"/>
  <c r="AM21" i="53"/>
  <c r="AM20" i="53"/>
  <c r="AM90" i="71"/>
  <c r="AM88" i="71"/>
  <c r="AM87" i="71"/>
  <c r="AM86" i="71"/>
  <c r="AM85" i="71"/>
  <c r="AM84" i="71"/>
  <c r="AM83" i="71"/>
  <c r="AM82" i="71"/>
  <c r="AM26" i="65"/>
  <c r="AM25" i="65"/>
  <c r="AM24" i="65"/>
  <c r="AM23" i="65"/>
  <c r="AM23" i="55"/>
  <c r="AM13" i="55"/>
  <c r="AM4" i="55"/>
  <c r="AM10" i="66"/>
  <c r="AM92" i="68"/>
  <c r="AM80" i="68"/>
  <c r="AM69" i="68"/>
  <c r="AM54" i="68"/>
  <c r="AY2" i="8"/>
  <c r="AU85" i="83"/>
  <c r="AU72" i="83"/>
  <c r="AM44" i="12" l="1"/>
  <c r="AM48" i="12" s="1"/>
  <c r="AM38" i="85"/>
  <c r="AM33" i="45"/>
  <c r="AM22" i="53"/>
  <c r="AM24" i="53" s="1"/>
  <c r="AM25" i="30"/>
  <c r="AM27" i="65"/>
  <c r="AM30" i="48"/>
  <c r="AM18" i="29"/>
  <c r="AM27" i="34"/>
  <c r="AM51" i="61"/>
  <c r="AM30" i="31"/>
  <c r="AM29" i="31" s="1"/>
  <c r="AM24" i="55"/>
  <c r="AM50" i="12"/>
  <c r="AM13" i="26"/>
  <c r="AE17" i="9"/>
  <c r="AM22" i="26"/>
  <c r="AM23" i="26" s="1"/>
  <c r="AM30" i="2"/>
  <c r="AU23" i="83" l="1"/>
  <c r="BE9" i="1" l="1"/>
  <c r="BE11" i="1" s="1"/>
  <c r="BE13" i="1" s="1"/>
  <c r="BE15" i="1" s="1"/>
  <c r="BE35" i="1" s="1"/>
  <c r="BE36" i="1" s="1"/>
  <c r="BE37" i="1"/>
  <c r="AY27" i="32" l="1"/>
  <c r="AY28" i="32"/>
  <c r="AY29" i="32"/>
  <c r="AY15" i="30"/>
  <c r="I17" i="23"/>
  <c r="I16" i="23"/>
  <c r="I15" i="23"/>
  <c r="I14" i="23"/>
  <c r="I13" i="23"/>
  <c r="I12" i="23"/>
  <c r="BF49" i="12"/>
  <c r="BF24" i="12"/>
  <c r="BF22" i="12"/>
  <c r="BF20" i="12"/>
  <c r="BF18" i="12"/>
  <c r="BF17" i="12"/>
  <c r="BF16" i="12"/>
  <c r="BF15" i="12"/>
  <c r="BE37" i="10"/>
  <c r="BF37" i="10"/>
  <c r="BF10" i="10"/>
  <c r="BF37" i="1"/>
  <c r="BF9" i="1"/>
  <c r="AM59" i="68"/>
  <c r="AM60" i="68" s="1"/>
  <c r="AM61" i="68" s="1"/>
  <c r="AX22" i="45"/>
  <c r="AW22" i="45"/>
  <c r="AR22" i="45"/>
  <c r="AQ22" i="45"/>
  <c r="AP22" i="45"/>
  <c r="AO22" i="45"/>
  <c r="AN22" i="45"/>
  <c r="AM22" i="45"/>
  <c r="AM32" i="45" s="1"/>
  <c r="AL22" i="45"/>
  <c r="AK22" i="45"/>
  <c r="AX26" i="33"/>
  <c r="AW26" i="33"/>
  <c r="AT26" i="33"/>
  <c r="AR26" i="33"/>
  <c r="AQ26" i="33"/>
  <c r="AP26" i="33"/>
  <c r="AO26" i="33"/>
  <c r="AN26" i="33"/>
  <c r="AM26" i="33"/>
  <c r="AM41" i="33" s="1"/>
  <c r="AL26" i="33"/>
  <c r="AK26" i="33"/>
  <c r="AH26" i="33"/>
  <c r="AG26" i="33"/>
  <c r="AF26" i="33"/>
  <c r="AP24" i="33"/>
  <c r="AO24" i="33"/>
  <c r="AN24" i="33"/>
  <c r="AM24" i="33"/>
  <c r="AL24" i="33"/>
  <c r="AK24" i="33"/>
  <c r="AH24" i="33"/>
  <c r="AG24" i="33"/>
  <c r="AF24" i="33"/>
  <c r="AJ34" i="61"/>
  <c r="AY23" i="30" l="1"/>
  <c r="AY22" i="30"/>
  <c r="AY24" i="30"/>
  <c r="AX12" i="31"/>
  <c r="BF51" i="9"/>
  <c r="AY18" i="30"/>
  <c r="AM78" i="68"/>
  <c r="AX25" i="55"/>
  <c r="AY13" i="29"/>
  <c r="G17" i="23"/>
  <c r="C17" i="23"/>
  <c r="F17" i="23"/>
  <c r="AM36" i="33"/>
  <c r="AM42" i="33" s="1"/>
  <c r="AM28" i="33"/>
  <c r="AM21" i="72"/>
  <c r="AM38" i="33"/>
  <c r="AM14" i="33"/>
  <c r="AM18" i="33" s="1"/>
  <c r="AX13" i="24"/>
  <c r="BF11" i="1"/>
  <c r="BF12" i="10"/>
  <c r="AX21" i="31"/>
  <c r="D17" i="23"/>
  <c r="AY10" i="26"/>
  <c r="E17" i="23"/>
  <c r="AY20" i="26"/>
  <c r="AY22" i="26" s="1"/>
  <c r="AY23" i="26" s="1"/>
  <c r="AY25" i="32"/>
  <c r="AY26" i="32"/>
  <c r="AY7" i="30"/>
  <c r="AY10" i="30" s="1"/>
  <c r="AY8" i="29"/>
  <c r="BF52" i="9" l="1"/>
  <c r="AY25" i="30"/>
  <c r="AY18" i="29"/>
  <c r="AY12" i="26"/>
  <c r="AY13" i="26" s="1"/>
  <c r="AM24" i="72"/>
  <c r="BF8" i="12"/>
  <c r="BF10" i="12"/>
  <c r="BF13" i="1"/>
  <c r="BF15" i="1" s="1"/>
  <c r="BF14" i="10"/>
  <c r="BF16" i="10" s="1"/>
  <c r="BK6" i="2"/>
  <c r="AX30" i="31"/>
  <c r="AY11" i="30" l="1"/>
  <c r="BF12" i="12"/>
  <c r="BF14" i="12" s="1"/>
  <c r="BF40" i="10"/>
  <c r="BF35" i="10"/>
  <c r="BF35" i="1"/>
  <c r="BF40" i="1"/>
  <c r="BK10" i="2"/>
  <c r="DN314" i="73"/>
  <c r="DN316" i="73" s="1"/>
  <c r="DN32" i="73"/>
  <c r="DN321" i="73" s="1"/>
  <c r="DN27" i="73"/>
  <c r="DN320" i="73" s="1"/>
  <c r="DN22" i="73"/>
  <c r="DN11" i="73"/>
  <c r="DN19" i="73" s="1"/>
  <c r="DN9" i="73"/>
  <c r="DN6" i="73"/>
  <c r="BF43" i="10" l="1"/>
  <c r="BF45" i="10" s="1"/>
  <c r="BF48" i="10" s="1"/>
  <c r="BF43" i="1"/>
  <c r="BF45" i="1" s="1"/>
  <c r="BF48" i="1" s="1"/>
  <c r="DN29" i="73"/>
  <c r="AX11" i="53"/>
  <c r="BF34" i="12"/>
  <c r="BF39" i="12"/>
  <c r="BK16" i="2"/>
  <c r="BF36" i="1"/>
  <c r="BF36" i="10"/>
  <c r="DN39" i="73"/>
  <c r="DN44" i="73"/>
  <c r="DN34" i="73"/>
  <c r="DN24" i="73"/>
  <c r="BF35" i="12" l="1"/>
  <c r="BK19" i="2"/>
  <c r="BF42" i="12"/>
  <c r="BF44" i="12" s="1"/>
  <c r="BF48" i="12" s="1"/>
  <c r="DM32" i="73"/>
  <c r="DM27" i="73"/>
  <c r="DM22" i="73"/>
  <c r="DM301" i="73"/>
  <c r="DM321" i="73" s="1"/>
  <c r="DM295" i="73"/>
  <c r="DM320" i="73" s="1"/>
  <c r="DM289" i="73"/>
  <c r="DM11" i="73"/>
  <c r="DM9" i="73"/>
  <c r="DM6" i="73"/>
  <c r="BK24" i="2" l="1"/>
  <c r="BK26" i="2" s="1"/>
  <c r="BK28" i="2" s="1"/>
  <c r="AT18" i="63" s="1"/>
  <c r="BF50" i="12"/>
  <c r="DM285" i="73"/>
  <c r="DM44" i="73"/>
  <c r="DM39" i="73"/>
  <c r="DM34" i="73"/>
  <c r="DM291" i="73"/>
  <c r="DM297" i="73"/>
  <c r="DM19" i="73"/>
  <c r="DM24" i="73"/>
  <c r="DM29" i="73"/>
  <c r="BK30" i="2" l="1"/>
  <c r="J7" i="76" l="1"/>
  <c r="DL32" i="73" l="1"/>
  <c r="DL27" i="73"/>
  <c r="DL22" i="73"/>
  <c r="DL301" i="73"/>
  <c r="DL321" i="73" s="1"/>
  <c r="DL295" i="73"/>
  <c r="DL320" i="73" s="1"/>
  <c r="DL289" i="73"/>
  <c r="DL11" i="73"/>
  <c r="DL9" i="73"/>
  <c r="DL6" i="73"/>
  <c r="DL24" i="73" l="1"/>
  <c r="DL44" i="73"/>
  <c r="DL34" i="73"/>
  <c r="DL39" i="73"/>
  <c r="DL29" i="73"/>
  <c r="DL297" i="73"/>
  <c r="DL285" i="73"/>
  <c r="DL291" i="73"/>
  <c r="DL19" i="73"/>
  <c r="V31" i="9" l="1"/>
  <c r="U31" i="9"/>
  <c r="T31" i="9"/>
  <c r="S31" i="9"/>
  <c r="R31" i="9"/>
  <c r="Q31" i="9"/>
  <c r="P31" i="9"/>
  <c r="O31" i="9"/>
  <c r="N31" i="9"/>
  <c r="M31" i="9"/>
  <c r="L31" i="9"/>
  <c r="K31" i="9"/>
  <c r="J31" i="9"/>
  <c r="I31" i="9"/>
  <c r="H31" i="9"/>
  <c r="G31" i="9"/>
  <c r="AX9" i="39" l="1"/>
  <c r="I31" i="38" l="1"/>
  <c r="CZ41" i="85"/>
  <c r="CY41" i="85"/>
  <c r="CX41" i="85"/>
  <c r="GB39" i="85"/>
  <c r="GQ37" i="85"/>
  <c r="GL37" i="85"/>
  <c r="GK37" i="85"/>
  <c r="GI37" i="85"/>
  <c r="GE37" i="85"/>
  <c r="GC37" i="85"/>
  <c r="FY37" i="85"/>
  <c r="FW37" i="85"/>
  <c r="FU37" i="85"/>
  <c r="FT37" i="85"/>
  <c r="FS37" i="85"/>
  <c r="FQ37" i="85"/>
  <c r="FP37" i="85"/>
  <c r="FO37" i="85"/>
  <c r="FL37" i="85"/>
  <c r="FK37" i="85"/>
  <c r="FH37" i="85"/>
  <c r="FG37" i="85"/>
  <c r="FE37" i="85"/>
  <c r="FD37" i="85"/>
  <c r="FC37" i="85"/>
  <c r="EZ37" i="85"/>
  <c r="EY37" i="85"/>
  <c r="EW37" i="85"/>
  <c r="EV37" i="85"/>
  <c r="EU37" i="85"/>
  <c r="ES37" i="85"/>
  <c r="ER37" i="85"/>
  <c r="EQ37" i="85"/>
  <c r="EO37" i="85"/>
  <c r="EN37" i="85"/>
  <c r="EM37" i="85"/>
  <c r="EK37" i="85"/>
  <c r="EJ37" i="85"/>
  <c r="EI37" i="85"/>
  <c r="EG37" i="85"/>
  <c r="EF37" i="85"/>
  <c r="EE37" i="85"/>
  <c r="EC37" i="85"/>
  <c r="EB37" i="85"/>
  <c r="EA37" i="85"/>
  <c r="DZ37" i="85"/>
  <c r="DW41" i="85" s="1"/>
  <c r="DY37" i="85"/>
  <c r="DX37" i="85"/>
  <c r="DW37" i="85"/>
  <c r="DU37" i="85"/>
  <c r="DT37" i="85"/>
  <c r="DS37" i="85"/>
  <c r="DQ37" i="85"/>
  <c r="DP37" i="85"/>
  <c r="DO37" i="85"/>
  <c r="DM37" i="85"/>
  <c r="DL37" i="85"/>
  <c r="DK37" i="85"/>
  <c r="DI37" i="85"/>
  <c r="DH37" i="85"/>
  <c r="DG37" i="85"/>
  <c r="DE37" i="85"/>
  <c r="DD37" i="85"/>
  <c r="DC37" i="85"/>
  <c r="DB37" i="85"/>
  <c r="DK41" i="85" s="1"/>
  <c r="DA37" i="85"/>
  <c r="CZ37" i="85"/>
  <c r="CY37" i="85"/>
  <c r="CW37" i="85"/>
  <c r="CV37" i="85"/>
  <c r="CU37" i="85"/>
  <c r="CM37" i="85"/>
  <c r="CL37" i="85"/>
  <c r="CJ37" i="85"/>
  <c r="CI37" i="85"/>
  <c r="CH37" i="85"/>
  <c r="CF37" i="85"/>
  <c r="CE37" i="85"/>
  <c r="CD37" i="85"/>
  <c r="CB37" i="85"/>
  <c r="CA37" i="85"/>
  <c r="BZ37" i="85"/>
  <c r="BX37" i="85"/>
  <c r="BW37" i="85"/>
  <c r="BV37" i="85"/>
  <c r="BT37" i="85"/>
  <c r="BS37" i="85"/>
  <c r="BR37" i="85"/>
  <c r="BP37" i="85"/>
  <c r="BO37" i="85"/>
  <c r="BN37" i="85"/>
  <c r="BA37" i="85"/>
  <c r="AZ37" i="85"/>
  <c r="AY37" i="85"/>
  <c r="AW37" i="85"/>
  <c r="AV37" i="85"/>
  <c r="AU37" i="85"/>
  <c r="AS37" i="85"/>
  <c r="AR37" i="85"/>
  <c r="AQ37" i="85"/>
  <c r="AP37" i="85"/>
  <c r="AO37" i="85"/>
  <c r="AN37" i="85"/>
  <c r="AL37" i="85"/>
  <c r="AK37" i="85"/>
  <c r="AJ37" i="85"/>
  <c r="AI37" i="85"/>
  <c r="AH37" i="85"/>
  <c r="AG37" i="85"/>
  <c r="AF37" i="85"/>
  <c r="AE37" i="85"/>
  <c r="AD37" i="85"/>
  <c r="AC37" i="85"/>
  <c r="AB37" i="85"/>
  <c r="AA37" i="85"/>
  <c r="Z37" i="85"/>
  <c r="Y37" i="85"/>
  <c r="X37" i="85"/>
  <c r="W37" i="85"/>
  <c r="V37" i="85"/>
  <c r="U37" i="85"/>
  <c r="T37" i="85"/>
  <c r="S37" i="85"/>
  <c r="R37" i="85"/>
  <c r="Q37" i="85"/>
  <c r="P37" i="85"/>
  <c r="O37" i="85"/>
  <c r="N37" i="85"/>
  <c r="M37" i="85"/>
  <c r="L37" i="85"/>
  <c r="K37" i="85"/>
  <c r="J37" i="85"/>
  <c r="I37" i="85"/>
  <c r="H37" i="85"/>
  <c r="G37" i="85"/>
  <c r="GT36" i="85"/>
  <c r="GZ36" i="85" s="1"/>
  <c r="HF36" i="85" s="1"/>
  <c r="GB36" i="85"/>
  <c r="GH36" i="85" s="1"/>
  <c r="CN36" i="85"/>
  <c r="CQ36" i="85" s="1"/>
  <c r="CT36" i="85" s="1"/>
  <c r="CT37" i="85" s="1"/>
  <c r="DI41" i="85" s="1"/>
  <c r="BY36" i="85"/>
  <c r="CC36" i="85" s="1"/>
  <c r="CG36" i="85" s="1"/>
  <c r="GT35" i="85"/>
  <c r="GZ35" i="85" s="1"/>
  <c r="HF35" i="85" s="1"/>
  <c r="GB35" i="85"/>
  <c r="GH35" i="85" s="1"/>
  <c r="BQ35" i="85"/>
  <c r="BU35" i="85" s="1"/>
  <c r="BY35" i="85" s="1"/>
  <c r="CC35" i="85" s="1"/>
  <c r="CG35" i="85" s="1"/>
  <c r="AT35" i="85"/>
  <c r="AX35" i="85" s="1"/>
  <c r="BB35" i="85" s="1"/>
  <c r="GO37" i="85"/>
  <c r="GF37" i="85"/>
  <c r="FZ37" i="85"/>
  <c r="FM37" i="85"/>
  <c r="FI37" i="85"/>
  <c r="FA37" i="85"/>
  <c r="ED33" i="85"/>
  <c r="EH33" i="85" s="1"/>
  <c r="EL33" i="85" s="1"/>
  <c r="EP33" i="85" s="1"/>
  <c r="ET33" i="85" s="1"/>
  <c r="EX33" i="85" s="1"/>
  <c r="DF33" i="85"/>
  <c r="DJ33" i="85" s="1"/>
  <c r="DN33" i="85" s="1"/>
  <c r="DR33" i="85" s="1"/>
  <c r="DV33" i="85" s="1"/>
  <c r="BQ33" i="85"/>
  <c r="BU33" i="85" s="1"/>
  <c r="BY33" i="85" s="1"/>
  <c r="CC33" i="85" s="1"/>
  <c r="CG33" i="85" s="1"/>
  <c r="CK33" i="85" s="1"/>
  <c r="CN33" i="85" s="1"/>
  <c r="CQ33" i="85" s="1"/>
  <c r="AT33" i="85"/>
  <c r="AX33" i="85" s="1"/>
  <c r="BB33" i="85" s="1"/>
  <c r="GT32" i="85"/>
  <c r="GZ32" i="85" s="1"/>
  <c r="HF32" i="85" s="1"/>
  <c r="GB32" i="85"/>
  <c r="GH32" i="85" s="1"/>
  <c r="BQ32" i="85"/>
  <c r="BU32" i="85" s="1"/>
  <c r="BY32" i="85" s="1"/>
  <c r="CC32" i="85" s="1"/>
  <c r="CG32" i="85" s="1"/>
  <c r="AT32" i="85"/>
  <c r="AX32" i="85" s="1"/>
  <c r="BB32" i="85" s="1"/>
  <c r="GT31" i="85"/>
  <c r="GZ31" i="85" s="1"/>
  <c r="HF31" i="85" s="1"/>
  <c r="ED31" i="85"/>
  <c r="EH31" i="85" s="1"/>
  <c r="EL31" i="85" s="1"/>
  <c r="DF31" i="85"/>
  <c r="DJ31" i="85" s="1"/>
  <c r="DN31" i="85" s="1"/>
  <c r="DR31" i="85" s="1"/>
  <c r="DV31" i="85" s="1"/>
  <c r="BQ31" i="85"/>
  <c r="BU31" i="85" s="1"/>
  <c r="BY31" i="85" s="1"/>
  <c r="CC31" i="85" s="1"/>
  <c r="CG31" i="85" s="1"/>
  <c r="CK31" i="85" s="1"/>
  <c r="CN31" i="85" s="1"/>
  <c r="CQ31" i="85" s="1"/>
  <c r="AT31" i="85"/>
  <c r="AX31" i="85" s="1"/>
  <c r="BB31" i="85" s="1"/>
  <c r="GT30" i="85"/>
  <c r="GZ30" i="85" s="1"/>
  <c r="HF30" i="85" s="1"/>
  <c r="ED30" i="85"/>
  <c r="DF30" i="85"/>
  <c r="DJ30" i="85" s="1"/>
  <c r="DN30" i="85" s="1"/>
  <c r="DR30" i="85" s="1"/>
  <c r="DV30" i="85" s="1"/>
  <c r="BQ30" i="85"/>
  <c r="BU30" i="85" s="1"/>
  <c r="BY30" i="85" s="1"/>
  <c r="CC30" i="85" s="1"/>
  <c r="CG30" i="85" s="1"/>
  <c r="CK30" i="85" s="1"/>
  <c r="CN30" i="85" s="1"/>
  <c r="CQ30" i="85" s="1"/>
  <c r="AT30" i="85"/>
  <c r="AX30" i="85" s="1"/>
  <c r="BB30" i="85" s="1"/>
  <c r="GT29" i="85"/>
  <c r="GZ29" i="85" s="1"/>
  <c r="HF29" i="85" s="1"/>
  <c r="ED29" i="85"/>
  <c r="EH29" i="85" s="1"/>
  <c r="DF29" i="85"/>
  <c r="DJ29" i="85" s="1"/>
  <c r="DN29" i="85" s="1"/>
  <c r="DR29" i="85" s="1"/>
  <c r="DV29" i="85" s="1"/>
  <c r="BQ29" i="85"/>
  <c r="BU29" i="85" s="1"/>
  <c r="BY29" i="85" s="1"/>
  <c r="CC29" i="85" s="1"/>
  <c r="CG29" i="85" s="1"/>
  <c r="CK29" i="85" s="1"/>
  <c r="CN29" i="85" s="1"/>
  <c r="CQ29" i="85" s="1"/>
  <c r="AT29" i="85"/>
  <c r="AX29" i="85" s="1"/>
  <c r="BB29" i="85" s="1"/>
  <c r="GT28" i="85"/>
  <c r="GZ28" i="85" s="1"/>
  <c r="HF28" i="85" s="1"/>
  <c r="ED28" i="85"/>
  <c r="EH28" i="85" s="1"/>
  <c r="EL28" i="85" s="1"/>
  <c r="EP28" i="85" s="1"/>
  <c r="ET28" i="85" s="1"/>
  <c r="EX28" i="85" s="1"/>
  <c r="FB28" i="85" s="1"/>
  <c r="FF28" i="85" s="1"/>
  <c r="FJ28" i="85" s="1"/>
  <c r="FN28" i="85" s="1"/>
  <c r="FR28" i="85" s="1"/>
  <c r="FV28" i="85" s="1"/>
  <c r="GB28" i="85" s="1"/>
  <c r="GH28" i="85" s="1"/>
  <c r="DF28" i="85"/>
  <c r="DJ28" i="85" s="1"/>
  <c r="DN28" i="85" s="1"/>
  <c r="DR28" i="85" s="1"/>
  <c r="DV28" i="85" s="1"/>
  <c r="BQ28" i="85"/>
  <c r="BU28" i="85" s="1"/>
  <c r="BY28" i="85" s="1"/>
  <c r="CC28" i="85" s="1"/>
  <c r="CG28" i="85" s="1"/>
  <c r="CK28" i="85" s="1"/>
  <c r="CN28" i="85" s="1"/>
  <c r="CQ28" i="85" s="1"/>
  <c r="AT28" i="85"/>
  <c r="AX28" i="85" s="1"/>
  <c r="BB28" i="85" s="1"/>
  <c r="GT27" i="85"/>
  <c r="GZ27" i="85" s="1"/>
  <c r="HF27" i="85" s="1"/>
  <c r="ED27" i="85"/>
  <c r="DF27" i="85"/>
  <c r="BQ27" i="85"/>
  <c r="BU27" i="85" s="1"/>
  <c r="AT27" i="85"/>
  <c r="GR26" i="85"/>
  <c r="GQ26" i="85"/>
  <c r="GO26" i="85"/>
  <c r="GL26" i="85"/>
  <c r="GK26" i="85"/>
  <c r="GI26" i="85"/>
  <c r="GF26" i="85"/>
  <c r="GE26" i="85"/>
  <c r="GC26" i="85"/>
  <c r="FZ26" i="85"/>
  <c r="FY26" i="85"/>
  <c r="FW26" i="85"/>
  <c r="FM26" i="85"/>
  <c r="FL26" i="85"/>
  <c r="FK26" i="85"/>
  <c r="FI26" i="85"/>
  <c r="FH26" i="85"/>
  <c r="FG26" i="85"/>
  <c r="FE26" i="85"/>
  <c r="FD26" i="85"/>
  <c r="FC26" i="85"/>
  <c r="FA26" i="85"/>
  <c r="EZ26" i="85"/>
  <c r="EY26" i="85"/>
  <c r="EW26" i="85"/>
  <c r="EV26" i="85"/>
  <c r="EU26" i="85"/>
  <c r="ES26" i="85"/>
  <c r="ER26" i="85"/>
  <c r="EQ26" i="85"/>
  <c r="EO26" i="85"/>
  <c r="EN26" i="85"/>
  <c r="EM26" i="85"/>
  <c r="EK26" i="85"/>
  <c r="EJ26" i="85"/>
  <c r="EI26" i="85"/>
  <c r="EG26" i="85"/>
  <c r="EF26" i="85"/>
  <c r="EE26" i="85"/>
  <c r="EC26" i="85"/>
  <c r="EB26" i="85"/>
  <c r="EA26" i="85"/>
  <c r="DY26" i="85"/>
  <c r="DX26" i="85"/>
  <c r="DW26" i="85"/>
  <c r="DU26" i="85"/>
  <c r="DT26" i="85"/>
  <c r="DS26" i="85"/>
  <c r="DQ26" i="85"/>
  <c r="DP26" i="85"/>
  <c r="DO26" i="85"/>
  <c r="DM26" i="85"/>
  <c r="DL26" i="85"/>
  <c r="DK26" i="85"/>
  <c r="DI26" i="85"/>
  <c r="DH26" i="85"/>
  <c r="DG26" i="85"/>
  <c r="DE26" i="85"/>
  <c r="DD26" i="85"/>
  <c r="DC26" i="85"/>
  <c r="DA26" i="85"/>
  <c r="CZ26" i="85"/>
  <c r="CY26" i="85"/>
  <c r="CW26" i="85"/>
  <c r="CV26" i="85"/>
  <c r="CU26" i="85"/>
  <c r="CP26" i="85"/>
  <c r="CO26" i="85"/>
  <c r="CM26" i="85"/>
  <c r="CL26" i="85"/>
  <c r="CJ26" i="85"/>
  <c r="CI26" i="85"/>
  <c r="CH26" i="85"/>
  <c r="CF26" i="85"/>
  <c r="CE26" i="85"/>
  <c r="CD26" i="85"/>
  <c r="CB26" i="85"/>
  <c r="CA26" i="85"/>
  <c r="BZ26" i="85"/>
  <c r="BX26" i="85"/>
  <c r="BW26" i="85"/>
  <c r="BV26" i="85"/>
  <c r="BP26" i="85"/>
  <c r="BO26" i="85"/>
  <c r="BN26" i="85"/>
  <c r="BA26" i="85"/>
  <c r="AZ26" i="85"/>
  <c r="AY26" i="85"/>
  <c r="AW26" i="85"/>
  <c r="AV26" i="85"/>
  <c r="AU26" i="85"/>
  <c r="AS26" i="85"/>
  <c r="AR26" i="85"/>
  <c r="AQ26" i="85"/>
  <c r="AP26" i="85"/>
  <c r="AO26" i="85"/>
  <c r="AN26" i="85"/>
  <c r="AL26" i="85"/>
  <c r="AK26" i="85"/>
  <c r="AJ26" i="85"/>
  <c r="AI26" i="85"/>
  <c r="AH26" i="85"/>
  <c r="AG26" i="85"/>
  <c r="AF26" i="85"/>
  <c r="AE26" i="85"/>
  <c r="AD26" i="85"/>
  <c r="AC26" i="85"/>
  <c r="AB26" i="85"/>
  <c r="AA26" i="85"/>
  <c r="Z26" i="85"/>
  <c r="Y26" i="85"/>
  <c r="X26" i="85"/>
  <c r="W26" i="85"/>
  <c r="V26" i="85"/>
  <c r="U26" i="85"/>
  <c r="T26" i="85"/>
  <c r="S26" i="85"/>
  <c r="R26" i="85"/>
  <c r="Q26" i="85"/>
  <c r="P26" i="85"/>
  <c r="O26" i="85"/>
  <c r="N26" i="85"/>
  <c r="M26" i="85"/>
  <c r="L26" i="85"/>
  <c r="K26" i="85"/>
  <c r="J26" i="85"/>
  <c r="I26" i="85"/>
  <c r="H26" i="85"/>
  <c r="G26" i="85"/>
  <c r="BQ25" i="85"/>
  <c r="AT25" i="85"/>
  <c r="AX25" i="85" s="1"/>
  <c r="BB25" i="85" s="1"/>
  <c r="BQ24" i="85"/>
  <c r="BU24" i="85" s="1"/>
  <c r="AT24" i="85"/>
  <c r="AX24" i="85" s="1"/>
  <c r="BB24" i="85" s="1"/>
  <c r="BQ23" i="85"/>
  <c r="BU23" i="85" s="1"/>
  <c r="AT23" i="85"/>
  <c r="AX23" i="85" s="1"/>
  <c r="BB23" i="85" s="1"/>
  <c r="BQ22" i="85"/>
  <c r="BU22" i="85" s="1"/>
  <c r="AT22" i="85"/>
  <c r="AX22" i="85" s="1"/>
  <c r="BB22" i="85" s="1"/>
  <c r="BQ21" i="85"/>
  <c r="BU21" i="85" s="1"/>
  <c r="AT21" i="85"/>
  <c r="AX21" i="85" s="1"/>
  <c r="BB21" i="85" s="1"/>
  <c r="BQ20" i="85"/>
  <c r="BU20" i="85" s="1"/>
  <c r="BY20" i="85" s="1"/>
  <c r="AT20" i="85"/>
  <c r="AX20" i="85" s="1"/>
  <c r="BB20" i="85" s="1"/>
  <c r="BQ19" i="85"/>
  <c r="BU19" i="85" s="1"/>
  <c r="BY19" i="85" s="1"/>
  <c r="AT19" i="85"/>
  <c r="AX19" i="85" s="1"/>
  <c r="BB19" i="85" s="1"/>
  <c r="GM18" i="85"/>
  <c r="GM38" i="85" s="1"/>
  <c r="GL18" i="85"/>
  <c r="GK18" i="85"/>
  <c r="GJ18" i="85"/>
  <c r="GJ38" i="85" s="1"/>
  <c r="GI18" i="85"/>
  <c r="GH18" i="85"/>
  <c r="GG18" i="85"/>
  <c r="GG38" i="85" s="1"/>
  <c r="GF18" i="85"/>
  <c r="GE18" i="85"/>
  <c r="GC18" i="85"/>
  <c r="GA18" i="85"/>
  <c r="GA38" i="85" s="1"/>
  <c r="FZ18" i="85"/>
  <c r="FY18" i="85"/>
  <c r="FX18" i="85"/>
  <c r="FW18" i="85"/>
  <c r="FU18" i="85"/>
  <c r="FT18" i="85"/>
  <c r="FS18" i="85"/>
  <c r="FQ18" i="85"/>
  <c r="FP18" i="85"/>
  <c r="FO18" i="85"/>
  <c r="FM18" i="85"/>
  <c r="FL18" i="85"/>
  <c r="FK18" i="85"/>
  <c r="FI18" i="85"/>
  <c r="FH18" i="85"/>
  <c r="FG18" i="85"/>
  <c r="FE18" i="85"/>
  <c r="FD18" i="85"/>
  <c r="FC18" i="85"/>
  <c r="FA18" i="85"/>
  <c r="EZ18" i="85"/>
  <c r="EY18" i="85"/>
  <c r="EW18" i="85"/>
  <c r="EV18" i="85"/>
  <c r="EU18" i="85"/>
  <c r="ES18" i="85"/>
  <c r="ER18" i="85"/>
  <c r="EQ18" i="85"/>
  <c r="EO18" i="85"/>
  <c r="EN18" i="85"/>
  <c r="EM18" i="85"/>
  <c r="EK18" i="85"/>
  <c r="EJ18" i="85"/>
  <c r="EI18" i="85"/>
  <c r="EG18" i="85"/>
  <c r="EF18" i="85"/>
  <c r="EE18" i="85"/>
  <c r="EC18" i="85"/>
  <c r="EB18" i="85"/>
  <c r="EA18" i="85"/>
  <c r="DZ18" i="85"/>
  <c r="DY18" i="85"/>
  <c r="DX18" i="85"/>
  <c r="DW18" i="85"/>
  <c r="DU18" i="85"/>
  <c r="DT18" i="85"/>
  <c r="DS18" i="85"/>
  <c r="DQ18" i="85"/>
  <c r="DP18" i="85"/>
  <c r="DO18" i="85"/>
  <c r="DM18" i="85"/>
  <c r="DL18" i="85"/>
  <c r="DK18" i="85"/>
  <c r="DI18" i="85"/>
  <c r="DH18" i="85"/>
  <c r="DG18" i="85"/>
  <c r="DE18" i="85"/>
  <c r="DD18" i="85"/>
  <c r="DC18" i="85"/>
  <c r="DB18" i="85"/>
  <c r="DA18" i="85"/>
  <c r="CZ18" i="85"/>
  <c r="CY18" i="85"/>
  <c r="CX18" i="85"/>
  <c r="CW18" i="85"/>
  <c r="CV18" i="85"/>
  <c r="CU18" i="85"/>
  <c r="CP18" i="85"/>
  <c r="CO18" i="85"/>
  <c r="CM18" i="85"/>
  <c r="CL18" i="85"/>
  <c r="CJ18" i="85"/>
  <c r="CI18" i="85"/>
  <c r="CH18" i="85"/>
  <c r="CF18" i="85"/>
  <c r="CE18" i="85"/>
  <c r="CD18" i="85"/>
  <c r="CB18" i="85"/>
  <c r="CA18" i="85"/>
  <c r="BZ18" i="85"/>
  <c r="BX18" i="85"/>
  <c r="BW18" i="85"/>
  <c r="BV18" i="85"/>
  <c r="BT18" i="85"/>
  <c r="BS18" i="85"/>
  <c r="BR18" i="85"/>
  <c r="BQ18" i="85"/>
  <c r="BP18" i="85"/>
  <c r="BO18" i="85"/>
  <c r="BN18" i="85"/>
  <c r="BI18" i="85"/>
  <c r="BM18" i="85" s="1"/>
  <c r="BA18" i="85"/>
  <c r="AZ18" i="85"/>
  <c r="AY18" i="85"/>
  <c r="AW18" i="85"/>
  <c r="AV18" i="85"/>
  <c r="AU18" i="85"/>
  <c r="AS18" i="85"/>
  <c r="AR18" i="85"/>
  <c r="AQ18" i="85"/>
  <c r="AO18" i="85"/>
  <c r="AN18" i="85"/>
  <c r="AK18" i="85"/>
  <c r="AJ18" i="85"/>
  <c r="AI18" i="85"/>
  <c r="AH18" i="85"/>
  <c r="AG18" i="85"/>
  <c r="AF18" i="85"/>
  <c r="AE18" i="85"/>
  <c r="AD18" i="85"/>
  <c r="AC18" i="85"/>
  <c r="AB18" i="85"/>
  <c r="AA18" i="85"/>
  <c r="Z18" i="85"/>
  <c r="Y18" i="85"/>
  <c r="X18" i="85"/>
  <c r="W18" i="85"/>
  <c r="V18" i="85"/>
  <c r="U18" i="85"/>
  <c r="T18" i="85"/>
  <c r="S18" i="85"/>
  <c r="R18" i="85"/>
  <c r="Q18" i="85"/>
  <c r="P18" i="85"/>
  <c r="O18" i="85"/>
  <c r="N18" i="85"/>
  <c r="M18" i="85"/>
  <c r="L18" i="85"/>
  <c r="K18" i="85"/>
  <c r="J18" i="85"/>
  <c r="I18" i="85"/>
  <c r="H18" i="85"/>
  <c r="G18" i="85"/>
  <c r="DF17" i="85"/>
  <c r="BU17" i="85"/>
  <c r="GT16" i="85"/>
  <c r="GZ16" i="85" s="1"/>
  <c r="HF16" i="85" s="1"/>
  <c r="DF16" i="85"/>
  <c r="DJ16" i="85" s="1"/>
  <c r="BU16" i="85"/>
  <c r="BY16" i="85" s="1"/>
  <c r="CC16" i="85" s="1"/>
  <c r="GS18" i="85"/>
  <c r="GS38" i="85" s="1"/>
  <c r="GQ18" i="85"/>
  <c r="ED15" i="85"/>
  <c r="EH15" i="85" s="1"/>
  <c r="DF15" i="85"/>
  <c r="BU15" i="85"/>
  <c r="BY15" i="85" s="1"/>
  <c r="BI15" i="85"/>
  <c r="BM15" i="85" s="1"/>
  <c r="AL15" i="85"/>
  <c r="AP15" i="85" s="1"/>
  <c r="AP18" i="85" s="1"/>
  <c r="GR11" i="85"/>
  <c r="GM11" i="85"/>
  <c r="GL11" i="85"/>
  <c r="GK11" i="85"/>
  <c r="GJ11" i="85"/>
  <c r="GI11" i="85"/>
  <c r="GG11" i="85"/>
  <c r="GF11" i="85"/>
  <c r="GE11" i="85"/>
  <c r="GD11" i="85"/>
  <c r="GC11" i="85"/>
  <c r="GA11" i="85"/>
  <c r="FZ11" i="85"/>
  <c r="FY11" i="85"/>
  <c r="FX11" i="85"/>
  <c r="FW11" i="85"/>
  <c r="FU11" i="85"/>
  <c r="FT11" i="85"/>
  <c r="FS11" i="85"/>
  <c r="FQ11" i="85"/>
  <c r="FP11" i="85"/>
  <c r="FO11" i="85"/>
  <c r="FM11" i="85"/>
  <c r="FL11" i="85"/>
  <c r="FK11" i="85"/>
  <c r="FI11" i="85"/>
  <c r="FH11" i="85"/>
  <c r="FG11" i="85"/>
  <c r="FE11" i="85"/>
  <c r="FD11" i="85"/>
  <c r="FC11" i="85"/>
  <c r="FA11" i="85"/>
  <c r="EW11" i="85"/>
  <c r="EV11" i="85"/>
  <c r="EU11" i="85"/>
  <c r="ES11" i="85"/>
  <c r="ER11" i="85"/>
  <c r="EQ11" i="85"/>
  <c r="EO11" i="85"/>
  <c r="EN11" i="85"/>
  <c r="EM11" i="85"/>
  <c r="EK11" i="85"/>
  <c r="EJ11" i="85"/>
  <c r="EI11" i="85"/>
  <c r="EG11" i="85"/>
  <c r="EC11" i="85"/>
  <c r="DY11" i="85"/>
  <c r="DX11" i="85"/>
  <c r="DW11" i="85"/>
  <c r="DU11" i="85"/>
  <c r="DT11" i="85"/>
  <c r="DS11" i="85"/>
  <c r="DQ11" i="85"/>
  <c r="DP11" i="85"/>
  <c r="DO11" i="85"/>
  <c r="DM11" i="85"/>
  <c r="DL11" i="85"/>
  <c r="DK11" i="85"/>
  <c r="DH11" i="85"/>
  <c r="DG11" i="85"/>
  <c r="DD11" i="85"/>
  <c r="DC11" i="85"/>
  <c r="CZ11" i="85"/>
  <c r="CY11" i="85"/>
  <c r="CV11" i="85"/>
  <c r="CU11" i="85"/>
  <c r="CP11" i="85"/>
  <c r="CO11" i="85"/>
  <c r="CM11" i="85"/>
  <c r="CL11" i="85"/>
  <c r="BW11" i="85"/>
  <c r="BV11" i="85"/>
  <c r="BS11" i="85"/>
  <c r="BR11" i="85"/>
  <c r="BO11" i="85"/>
  <c r="BN11" i="85"/>
  <c r="BH11" i="85"/>
  <c r="BG11" i="85"/>
  <c r="BA11" i="85"/>
  <c r="AZ11" i="85"/>
  <c r="AY11" i="85"/>
  <c r="AW11" i="85"/>
  <c r="AV11" i="85"/>
  <c r="AU11" i="85"/>
  <c r="AS11" i="85"/>
  <c r="AR11" i="85"/>
  <c r="AQ11" i="85"/>
  <c r="AO11" i="85"/>
  <c r="AN11" i="85"/>
  <c r="AK11" i="85"/>
  <c r="AJ11" i="85"/>
  <c r="AI11" i="85"/>
  <c r="AH11" i="85"/>
  <c r="AG11" i="85"/>
  <c r="AF11" i="85"/>
  <c r="AE11" i="85"/>
  <c r="AD11" i="85"/>
  <c r="AC11" i="85"/>
  <c r="AB11" i="85"/>
  <c r="AA11" i="85"/>
  <c r="Z11" i="85"/>
  <c r="Y11" i="85"/>
  <c r="X11" i="85"/>
  <c r="W11" i="85"/>
  <c r="V11" i="85"/>
  <c r="U11" i="85"/>
  <c r="T11" i="85"/>
  <c r="S11" i="85"/>
  <c r="R11" i="85"/>
  <c r="Q11" i="85"/>
  <c r="P11" i="85"/>
  <c r="O11" i="85"/>
  <c r="N11" i="85"/>
  <c r="M11" i="85"/>
  <c r="L11" i="85"/>
  <c r="K11" i="85"/>
  <c r="J11" i="85"/>
  <c r="I11" i="85"/>
  <c r="H11" i="85"/>
  <c r="G11" i="85"/>
  <c r="DF10" i="85"/>
  <c r="DJ10" i="85" s="1"/>
  <c r="DN10" i="85" s="1"/>
  <c r="DR10" i="85" s="1"/>
  <c r="DV10" i="85" s="1"/>
  <c r="DZ10" i="85" s="1"/>
  <c r="BU10" i="85"/>
  <c r="BY10" i="85" s="1"/>
  <c r="CC10" i="85" s="1"/>
  <c r="CG10" i="85" s="1"/>
  <c r="CK10" i="85" s="1"/>
  <c r="CN10" i="85" s="1"/>
  <c r="CQ10" i="85" s="1"/>
  <c r="BI10" i="85"/>
  <c r="AL10" i="85"/>
  <c r="AP10" i="85" s="1"/>
  <c r="AT10" i="85" s="1"/>
  <c r="AX10" i="85" s="1"/>
  <c r="BB10" i="85" s="1"/>
  <c r="DF9" i="85"/>
  <c r="DJ9" i="85" s="1"/>
  <c r="DN9" i="85" s="1"/>
  <c r="DR9" i="85" s="1"/>
  <c r="DV9" i="85" s="1"/>
  <c r="DZ9" i="85" s="1"/>
  <c r="BU9" i="85"/>
  <c r="BY9" i="85" s="1"/>
  <c r="CC9" i="85" s="1"/>
  <c r="CG9" i="85" s="1"/>
  <c r="CK9" i="85" s="1"/>
  <c r="CN9" i="85" s="1"/>
  <c r="CQ9" i="85" s="1"/>
  <c r="BI9" i="85"/>
  <c r="AL9" i="85"/>
  <c r="AP9" i="85" s="1"/>
  <c r="AT9" i="85" s="1"/>
  <c r="AX9" i="85" s="1"/>
  <c r="BB9" i="85" s="1"/>
  <c r="FN8" i="85"/>
  <c r="FR8" i="85" s="1"/>
  <c r="FV8" i="85" s="1"/>
  <c r="GB8" i="85" s="1"/>
  <c r="GS11" i="85"/>
  <c r="DF7" i="85"/>
  <c r="DJ7" i="85" s="1"/>
  <c r="DN7" i="85" s="1"/>
  <c r="DR7" i="85" s="1"/>
  <c r="DV7" i="85" s="1"/>
  <c r="DZ7" i="85" s="1"/>
  <c r="ED7" i="85" s="1"/>
  <c r="EH7" i="85" s="1"/>
  <c r="EL7" i="85" s="1"/>
  <c r="EP7" i="85" s="1"/>
  <c r="ET7" i="85" s="1"/>
  <c r="EX7" i="85" s="1"/>
  <c r="FB7" i="85" s="1"/>
  <c r="FF7" i="85" s="1"/>
  <c r="FJ7" i="85" s="1"/>
  <c r="FN7" i="85" s="1"/>
  <c r="FR7" i="85" s="1"/>
  <c r="FV7" i="85" s="1"/>
  <c r="CA7" i="85"/>
  <c r="CA11" i="85" s="1"/>
  <c r="BZ7" i="85"/>
  <c r="BZ11" i="85" s="1"/>
  <c r="BU7" i="85"/>
  <c r="BY7" i="85" s="1"/>
  <c r="BI7" i="85"/>
  <c r="AL7" i="85"/>
  <c r="AP7" i="85" s="1"/>
  <c r="AT7" i="85" s="1"/>
  <c r="AX7" i="85" s="1"/>
  <c r="BB7" i="85" s="1"/>
  <c r="GT14" i="85"/>
  <c r="GS14" i="85"/>
  <c r="GR14" i="85"/>
  <c r="GQ14" i="85"/>
  <c r="GP14" i="85"/>
  <c r="GO14" i="85"/>
  <c r="GN14" i="85"/>
  <c r="GM14" i="85"/>
  <c r="GL14" i="85"/>
  <c r="GK14" i="85"/>
  <c r="GJ14" i="85"/>
  <c r="GI14" i="85"/>
  <c r="GH14" i="85"/>
  <c r="GG14" i="85"/>
  <c r="GF14" i="85"/>
  <c r="GE14" i="85"/>
  <c r="GD14" i="85"/>
  <c r="GC14" i="85"/>
  <c r="GB14" i="85"/>
  <c r="GA14" i="85"/>
  <c r="FZ14" i="85"/>
  <c r="FY14" i="85"/>
  <c r="FX14" i="85"/>
  <c r="FW14" i="85"/>
  <c r="FR14" i="85"/>
  <c r="FQ14" i="85"/>
  <c r="FP14" i="85"/>
  <c r="FO14" i="85"/>
  <c r="FN14" i="85"/>
  <c r="FM14" i="85"/>
  <c r="FL14" i="85"/>
  <c r="FK14" i="85"/>
  <c r="FJ14" i="85"/>
  <c r="FI14" i="85"/>
  <c r="FH14" i="85"/>
  <c r="FG14" i="85"/>
  <c r="FF14" i="85"/>
  <c r="FE14" i="85"/>
  <c r="FD14" i="85"/>
  <c r="FC14" i="85"/>
  <c r="FB14" i="85"/>
  <c r="FA14" i="85"/>
  <c r="EZ14" i="85"/>
  <c r="EY14" i="85"/>
  <c r="EX14" i="85"/>
  <c r="EW14" i="85"/>
  <c r="EV14" i="85"/>
  <c r="EU14" i="85"/>
  <c r="ET14" i="85"/>
  <c r="ES14" i="85"/>
  <c r="ER14" i="85"/>
  <c r="EQ14" i="85"/>
  <c r="EP14" i="85"/>
  <c r="EO14" i="85"/>
  <c r="EN14" i="85"/>
  <c r="EM14" i="85"/>
  <c r="EL14" i="85"/>
  <c r="EK14" i="85"/>
  <c r="EJ14" i="85"/>
  <c r="EI14" i="85"/>
  <c r="EH14" i="85"/>
  <c r="EG14" i="85"/>
  <c r="EF14" i="85"/>
  <c r="EE14" i="85"/>
  <c r="ED14" i="85"/>
  <c r="EC14" i="85"/>
  <c r="EB14" i="85"/>
  <c r="EA14" i="85"/>
  <c r="DZ14" i="85"/>
  <c r="DY14" i="85"/>
  <c r="DX14" i="85"/>
  <c r="DW14" i="85"/>
  <c r="DV14" i="85"/>
  <c r="DU14" i="85"/>
  <c r="DT14" i="85"/>
  <c r="DS14" i="85"/>
  <c r="DR14" i="85"/>
  <c r="DQ14" i="85"/>
  <c r="DP14" i="85"/>
  <c r="DO14" i="85"/>
  <c r="DN14" i="85"/>
  <c r="DM14" i="85"/>
  <c r="DL14" i="85"/>
  <c r="DK14" i="85"/>
  <c r="DJ14" i="85"/>
  <c r="DI14" i="85"/>
  <c r="DH14" i="85"/>
  <c r="DG14" i="85"/>
  <c r="DF14" i="85"/>
  <c r="DE14" i="85"/>
  <c r="DD14" i="85"/>
  <c r="DC14" i="85"/>
  <c r="DB14" i="85"/>
  <c r="DA14" i="85"/>
  <c r="CZ14" i="85"/>
  <c r="CY14" i="85"/>
  <c r="CX14" i="85"/>
  <c r="CW14" i="85"/>
  <c r="CV14" i="85"/>
  <c r="CU14" i="85"/>
  <c r="CT14" i="85"/>
  <c r="CS14" i="85"/>
  <c r="CR14" i="85"/>
  <c r="CQ14" i="85"/>
  <c r="CP14" i="85"/>
  <c r="CO14" i="85"/>
  <c r="CK14" i="85"/>
  <c r="CJ14" i="85"/>
  <c r="CI14" i="85"/>
  <c r="CH14" i="85"/>
  <c r="CG14" i="85"/>
  <c r="CF14" i="85"/>
  <c r="CE14" i="85"/>
  <c r="CD14" i="85"/>
  <c r="CC14" i="85"/>
  <c r="CB14" i="85"/>
  <c r="CA14" i="85"/>
  <c r="BZ14" i="85"/>
  <c r="BY14" i="85"/>
  <c r="BX14" i="85"/>
  <c r="BW14" i="85"/>
  <c r="BV14" i="85"/>
  <c r="BU14" i="85"/>
  <c r="BT14" i="85"/>
  <c r="BS14" i="85"/>
  <c r="BR14" i="85"/>
  <c r="BQ14" i="85"/>
  <c r="BP14" i="85"/>
  <c r="BO14" i="85"/>
  <c r="BN14" i="85"/>
  <c r="BM14" i="85"/>
  <c r="BL14" i="85"/>
  <c r="BK14" i="85"/>
  <c r="BJ14" i="85"/>
  <c r="BI14" i="85"/>
  <c r="BH14" i="85"/>
  <c r="BG14" i="85"/>
  <c r="BF14" i="85"/>
  <c r="BE14" i="85"/>
  <c r="BD14" i="85"/>
  <c r="BC14" i="85"/>
  <c r="BB14" i="85"/>
  <c r="BA14" i="85"/>
  <c r="AZ14" i="85"/>
  <c r="AY14" i="85"/>
  <c r="AX14" i="85"/>
  <c r="AW14" i="85"/>
  <c r="AV14" i="85"/>
  <c r="AU14" i="85"/>
  <c r="AT14" i="85"/>
  <c r="AS14" i="85"/>
  <c r="AR14" i="85"/>
  <c r="AQ14" i="85"/>
  <c r="AP14" i="85"/>
  <c r="AO14" i="85"/>
  <c r="AN14" i="85"/>
  <c r="AL14" i="85"/>
  <c r="AK14" i="85"/>
  <c r="AJ14" i="85"/>
  <c r="AI14" i="85"/>
  <c r="AH14" i="85"/>
  <c r="AG14" i="85"/>
  <c r="AF14" i="85"/>
  <c r="AE14" i="85"/>
  <c r="AD14" i="85"/>
  <c r="AC14" i="85"/>
  <c r="AB14" i="85"/>
  <c r="AA14" i="85"/>
  <c r="Z14" i="85"/>
  <c r="Y14" i="85"/>
  <c r="X14" i="85"/>
  <c r="W14" i="85"/>
  <c r="V14" i="85"/>
  <c r="U14" i="85"/>
  <c r="T14" i="85"/>
  <c r="S14" i="85"/>
  <c r="R14" i="85"/>
  <c r="Q14" i="85"/>
  <c r="P14" i="85"/>
  <c r="O14" i="85"/>
  <c r="N14" i="85"/>
  <c r="M14" i="85"/>
  <c r="L14" i="85"/>
  <c r="K14" i="85"/>
  <c r="J14" i="85"/>
  <c r="I14" i="85"/>
  <c r="H14" i="85"/>
  <c r="G14" i="85"/>
  <c r="GO13" i="85"/>
  <c r="GI13" i="85"/>
  <c r="GC13" i="85"/>
  <c r="FW13" i="85"/>
  <c r="FO13" i="85"/>
  <c r="FK13" i="85"/>
  <c r="FG13" i="85"/>
  <c r="FC13" i="85"/>
  <c r="EY13" i="85"/>
  <c r="EU13" i="85"/>
  <c r="EQ13" i="85"/>
  <c r="EM13" i="85"/>
  <c r="EI13" i="85"/>
  <c r="EE13" i="85"/>
  <c r="EA13" i="85"/>
  <c r="DW13" i="85"/>
  <c r="DS13" i="85"/>
  <c r="DO13" i="85"/>
  <c r="DK13" i="85"/>
  <c r="DG13" i="85"/>
  <c r="DC13" i="85"/>
  <c r="CY13" i="85"/>
  <c r="CU13" i="85"/>
  <c r="CR13" i="85"/>
  <c r="CO13" i="85"/>
  <c r="CH13" i="85"/>
  <c r="CD13" i="85"/>
  <c r="BZ13" i="85"/>
  <c r="BV13" i="85"/>
  <c r="BR13" i="85"/>
  <c r="BN13" i="85"/>
  <c r="BJ13" i="85"/>
  <c r="BG13" i="85"/>
  <c r="BC13" i="85"/>
  <c r="AY13" i="85"/>
  <c r="AU13" i="85"/>
  <c r="AQ13" i="85"/>
  <c r="AI13" i="85"/>
  <c r="AE13" i="85"/>
  <c r="AA13" i="85"/>
  <c r="U13" i="85"/>
  <c r="O13" i="85"/>
  <c r="J13" i="85"/>
  <c r="G13" i="85"/>
  <c r="GT4" i="85"/>
  <c r="GN4" i="85"/>
  <c r="GH4" i="85"/>
  <c r="GB4" i="85"/>
  <c r="FV4" i="85"/>
  <c r="FR4" i="85"/>
  <c r="FN4" i="85"/>
  <c r="FJ4" i="85"/>
  <c r="FF4" i="85"/>
  <c r="FB4" i="85"/>
  <c r="EX4" i="85"/>
  <c r="ET4" i="85"/>
  <c r="EP4" i="85"/>
  <c r="EL4" i="85"/>
  <c r="EH4" i="85"/>
  <c r="ED4" i="85"/>
  <c r="DV4" i="85"/>
  <c r="DR4" i="85"/>
  <c r="DN4" i="85"/>
  <c r="DJ4" i="85"/>
  <c r="DF4" i="85"/>
  <c r="DB4" i="85"/>
  <c r="CX4" i="85"/>
  <c r="CT4" i="85"/>
  <c r="CQ4" i="85"/>
  <c r="CK4" i="85"/>
  <c r="CG4" i="85"/>
  <c r="CC4" i="85"/>
  <c r="BY4" i="85"/>
  <c r="BU4" i="85"/>
  <c r="BQ4" i="85"/>
  <c r="BM4" i="85"/>
  <c r="BI4" i="85"/>
  <c r="BF4" i="85"/>
  <c r="BB4" i="85"/>
  <c r="AX4" i="85"/>
  <c r="AT4" i="85"/>
  <c r="AP4" i="85"/>
  <c r="AL4" i="85"/>
  <c r="AH4" i="85"/>
  <c r="AD4" i="85"/>
  <c r="Z4" i="85"/>
  <c r="T4" i="85"/>
  <c r="N4" i="85"/>
  <c r="I4" i="85"/>
  <c r="GO3" i="85"/>
  <c r="GI3" i="85"/>
  <c r="GC3" i="85"/>
  <c r="FW3" i="85"/>
  <c r="FS3" i="85"/>
  <c r="FO3" i="85"/>
  <c r="FK3" i="85"/>
  <c r="FG3" i="85"/>
  <c r="FC3" i="85"/>
  <c r="EY3" i="85"/>
  <c r="EU3" i="85"/>
  <c r="EQ3" i="85"/>
  <c r="EM3" i="85"/>
  <c r="EI3" i="85"/>
  <c r="EE3" i="85"/>
  <c r="BI11" i="85" l="1"/>
  <c r="FU38" i="85"/>
  <c r="EU38" i="85"/>
  <c r="BQ11" i="85"/>
  <c r="DF18" i="85"/>
  <c r="I38" i="85"/>
  <c r="I39" i="85" s="1"/>
  <c r="AS38" i="85"/>
  <c r="FB33" i="85"/>
  <c r="FF33" i="85" s="1"/>
  <c r="FJ33" i="85" s="1"/>
  <c r="FN33" i="85" s="1"/>
  <c r="FR33" i="85" s="1"/>
  <c r="FV33" i="85" s="1"/>
  <c r="GB33" i="85" s="1"/>
  <c r="GH33" i="85" s="1"/>
  <c r="EK38" i="85"/>
  <c r="L38" i="85"/>
  <c r="T38" i="85"/>
  <c r="T39" i="85" s="1"/>
  <c r="AJ38" i="85"/>
  <c r="CZ38" i="85"/>
  <c r="EY38" i="85"/>
  <c r="U38" i="85"/>
  <c r="BZ38" i="85"/>
  <c r="DA38" i="85"/>
  <c r="DK38" i="85"/>
  <c r="AQ38" i="85"/>
  <c r="BA38" i="85"/>
  <c r="AD38" i="85"/>
  <c r="AD39" i="85" s="1"/>
  <c r="CA38" i="85"/>
  <c r="CL38" i="85"/>
  <c r="DL38" i="85"/>
  <c r="DW38" i="85"/>
  <c r="CC7" i="85"/>
  <c r="BY22" i="85"/>
  <c r="CC22" i="85" s="1"/>
  <c r="DM38" i="85"/>
  <c r="DX38" i="85"/>
  <c r="S38" i="85"/>
  <c r="GI38" i="85"/>
  <c r="AF38" i="85"/>
  <c r="DY38" i="85"/>
  <c r="EI38" i="85"/>
  <c r="FS38" i="85"/>
  <c r="GK38" i="85"/>
  <c r="DN16" i="85"/>
  <c r="DR16" i="85" s="1"/>
  <c r="DV16" i="85" s="1"/>
  <c r="BP38" i="85"/>
  <c r="R38" i="85"/>
  <c r="AT37" i="85"/>
  <c r="AE38" i="85"/>
  <c r="AL11" i="85"/>
  <c r="AP11" i="85" s="1"/>
  <c r="AT11" i="85" s="1"/>
  <c r="AX11" i="85" s="1"/>
  <c r="BB11" i="85" s="1"/>
  <c r="AG38" i="85"/>
  <c r="EJ38" i="85"/>
  <c r="FG38" i="85"/>
  <c r="FT38" i="85"/>
  <c r="EV38" i="85"/>
  <c r="FH38" i="85"/>
  <c r="FM38" i="85"/>
  <c r="CY38" i="85"/>
  <c r="EW38" i="85"/>
  <c r="FW38" i="85"/>
  <c r="GR37" i="85"/>
  <c r="DI38" i="85"/>
  <c r="EZ38" i="85"/>
  <c r="CD7" i="85"/>
  <c r="CX11" i="85"/>
  <c r="DB11" i="85" s="1"/>
  <c r="DF11" i="85" s="1"/>
  <c r="DJ11" i="85" s="1"/>
  <c r="DN11" i="85" s="1"/>
  <c r="DR11" i="85" s="1"/>
  <c r="DV11" i="85" s="1"/>
  <c r="DZ11" i="85" s="1"/>
  <c r="BY17" i="85"/>
  <c r="CC17" i="85" s="1"/>
  <c r="CG17" i="85" s="1"/>
  <c r="CC19" i="85"/>
  <c r="CG19" i="85" s="1"/>
  <c r="AR38" i="85"/>
  <c r="BN38" i="85"/>
  <c r="CB38" i="85"/>
  <c r="CM38" i="85"/>
  <c r="N38" i="85"/>
  <c r="N39" i="85" s="1"/>
  <c r="V38" i="85"/>
  <c r="FC38" i="85"/>
  <c r="FO38" i="85"/>
  <c r="GC38" i="85"/>
  <c r="DU38" i="85"/>
  <c r="CE7" i="85"/>
  <c r="BY21" i="85"/>
  <c r="CC21" i="85" s="1"/>
  <c r="AC38" i="85"/>
  <c r="BO38" i="85"/>
  <c r="CO38" i="85"/>
  <c r="AV38" i="85"/>
  <c r="EG38" i="85"/>
  <c r="FP38" i="85"/>
  <c r="AX27" i="85"/>
  <c r="AX37" i="85" s="1"/>
  <c r="BB26" i="85"/>
  <c r="EL29" i="85"/>
  <c r="CJ38" i="85"/>
  <c r="X38" i="85"/>
  <c r="CD38" i="85"/>
  <c r="CU38" i="85"/>
  <c r="ES38" i="85"/>
  <c r="FE38" i="85"/>
  <c r="FQ38" i="85"/>
  <c r="G38" i="85"/>
  <c r="FI38" i="85"/>
  <c r="AY38" i="85"/>
  <c r="CV38" i="85"/>
  <c r="AL18" i="85"/>
  <c r="AL38" i="85" s="1"/>
  <c r="AL39" i="85" s="1"/>
  <c r="AP38" i="85"/>
  <c r="AP39" i="85" s="1"/>
  <c r="GP18" i="85"/>
  <c r="GP38" i="85" s="1"/>
  <c r="H38" i="85"/>
  <c r="BW38" i="85"/>
  <c r="J38" i="85"/>
  <c r="Z38" i="85"/>
  <c r="Z39" i="85" s="1"/>
  <c r="AH38" i="85"/>
  <c r="AH39" i="85" s="1"/>
  <c r="BV38" i="85"/>
  <c r="CW38" i="85"/>
  <c r="DG38" i="85"/>
  <c r="GF38" i="85"/>
  <c r="BU11" i="85"/>
  <c r="BY11" i="85" s="1"/>
  <c r="CC11" i="85" s="1"/>
  <c r="BQ26" i="85"/>
  <c r="BY24" i="85"/>
  <c r="CC24" i="85" s="1"/>
  <c r="Q38" i="85"/>
  <c r="AO38" i="85"/>
  <c r="BX38" i="85"/>
  <c r="CI38" i="85"/>
  <c r="FZ38" i="85"/>
  <c r="CH38" i="85"/>
  <c r="DH38" i="85"/>
  <c r="EM38" i="85"/>
  <c r="GP11" i="85"/>
  <c r="GT15" i="85"/>
  <c r="GZ15" i="85" s="1"/>
  <c r="ED9" i="85"/>
  <c r="EH9" i="85" s="1"/>
  <c r="EL9" i="85" s="1"/>
  <c r="EP9" i="85" s="1"/>
  <c r="ET9" i="85" s="1"/>
  <c r="EX9" i="85" s="1"/>
  <c r="FB9" i="85" s="1"/>
  <c r="FF9" i="85" s="1"/>
  <c r="FJ9" i="85" s="1"/>
  <c r="FN9" i="85" s="1"/>
  <c r="FR9" i="85" s="1"/>
  <c r="FV9" i="85" s="1"/>
  <c r="GB9" i="85" s="1"/>
  <c r="EP31" i="85"/>
  <c r="BY27" i="85"/>
  <c r="BU37" i="85"/>
  <c r="DB41" i="85" s="1"/>
  <c r="EL15" i="85"/>
  <c r="EP15" i="85" s="1"/>
  <c r="ET15" i="85" s="1"/>
  <c r="EX15" i="85" s="1"/>
  <c r="FB15" i="85" s="1"/>
  <c r="FF15" i="85" s="1"/>
  <c r="FJ15" i="85" s="1"/>
  <c r="FN15" i="85" s="1"/>
  <c r="CC20" i="85"/>
  <c r="CG20" i="85" s="1"/>
  <c r="CK20" i="85" s="1"/>
  <c r="DJ15" i="85"/>
  <c r="CE38" i="85"/>
  <c r="EN38" i="85"/>
  <c r="FD38" i="85"/>
  <c r="GQ38" i="85"/>
  <c r="GO18" i="85"/>
  <c r="GO38" i="85" s="1"/>
  <c r="DF37" i="85"/>
  <c r="BR38" i="85"/>
  <c r="CF38" i="85"/>
  <c r="EA38" i="85"/>
  <c r="EO38" i="85"/>
  <c r="BQ37" i="85"/>
  <c r="DA41" i="85" s="1"/>
  <c r="Y31" i="9" s="1"/>
  <c r="GL38" i="85"/>
  <c r="GT33" i="85"/>
  <c r="GZ33" i="85" s="1"/>
  <c r="HF33" i="85" s="1"/>
  <c r="BS38" i="85"/>
  <c r="DO38" i="85"/>
  <c r="EB38" i="85"/>
  <c r="EQ38" i="85"/>
  <c r="BY18" i="85"/>
  <c r="CC15" i="85"/>
  <c r="EH30" i="85"/>
  <c r="AU38" i="85"/>
  <c r="BT38" i="85"/>
  <c r="DP38" i="85"/>
  <c r="EC38" i="85"/>
  <c r="ER38" i="85"/>
  <c r="AT15" i="85"/>
  <c r="AT26" i="85"/>
  <c r="K38" i="85"/>
  <c r="W38" i="85"/>
  <c r="AI38" i="85"/>
  <c r="DC38" i="85"/>
  <c r="DQ38" i="85"/>
  <c r="EE38" i="85"/>
  <c r="FY38" i="85"/>
  <c r="BU18" i="85"/>
  <c r="CP38" i="85"/>
  <c r="ED37" i="85"/>
  <c r="EH27" i="85"/>
  <c r="EL27" i="85" s="1"/>
  <c r="EP27" i="85" s="1"/>
  <c r="ET27" i="85" s="1"/>
  <c r="EX27" i="85" s="1"/>
  <c r="FB27" i="85" s="1"/>
  <c r="FF27" i="85" s="1"/>
  <c r="FJ27" i="85" s="1"/>
  <c r="FN27" i="85" s="1"/>
  <c r="FR27" i="85" s="1"/>
  <c r="FV27" i="85" s="1"/>
  <c r="GB27" i="85" s="1"/>
  <c r="GH27" i="85" s="1"/>
  <c r="FA38" i="85"/>
  <c r="AW38" i="85"/>
  <c r="DD38" i="85"/>
  <c r="DS38" i="85"/>
  <c r="EF38" i="85"/>
  <c r="FK38" i="85"/>
  <c r="CG16" i="85"/>
  <c r="AZ38" i="85"/>
  <c r="M38" i="85"/>
  <c r="Y38" i="85"/>
  <c r="AK38" i="85"/>
  <c r="DE38" i="85"/>
  <c r="DT38" i="85"/>
  <c r="FL38" i="85"/>
  <c r="GE38" i="85"/>
  <c r="BY23" i="85"/>
  <c r="P38" i="85"/>
  <c r="AB38" i="85"/>
  <c r="AN38" i="85"/>
  <c r="CX36" i="85"/>
  <c r="CX37" i="85" s="1"/>
  <c r="DJ41" i="85" s="1"/>
  <c r="O38" i="85"/>
  <c r="AA38" i="85"/>
  <c r="BU25" i="85"/>
  <c r="BY25" i="85" s="1"/>
  <c r="GT34" i="85"/>
  <c r="GZ34" i="85" s="1"/>
  <c r="HF34" i="85" s="1"/>
  <c r="DJ17" i="85"/>
  <c r="DN17" i="85" s="1"/>
  <c r="AX26" i="85"/>
  <c r="DJ27" i="85"/>
  <c r="Z31" i="9" l="1"/>
  <c r="CG22" i="85"/>
  <c r="CK22" i="85" s="1"/>
  <c r="CG24" i="85"/>
  <c r="CK24" i="85" s="1"/>
  <c r="GH38" i="85"/>
  <c r="GN38" i="85" s="1"/>
  <c r="BB27" i="85"/>
  <c r="BB37" i="85" s="1"/>
  <c r="CW41" i="85" s="1"/>
  <c r="BU26" i="85"/>
  <c r="EP29" i="85"/>
  <c r="ET29" i="85" s="1"/>
  <c r="CD11" i="85"/>
  <c r="CH7" i="85"/>
  <c r="CH11" i="85" s="1"/>
  <c r="CE11" i="85"/>
  <c r="CI7" i="85"/>
  <c r="CI11" i="85" s="1"/>
  <c r="BQ38" i="85"/>
  <c r="BQ39" i="85" s="1"/>
  <c r="CK17" i="85"/>
  <c r="CG21" i="85"/>
  <c r="CK21" i="85" s="1"/>
  <c r="CG7" i="85"/>
  <c r="ED16" i="85"/>
  <c r="EH16" i="85" s="1"/>
  <c r="DV18" i="85"/>
  <c r="CN20" i="85"/>
  <c r="CQ20" i="85" s="1"/>
  <c r="EL30" i="85"/>
  <c r="DL41" i="85"/>
  <c r="AG31" i="9" s="1"/>
  <c r="DR41" i="85"/>
  <c r="DO41" i="85"/>
  <c r="ET31" i="85"/>
  <c r="CK16" i="85"/>
  <c r="BY37" i="85"/>
  <c r="DC41" i="85" s="1"/>
  <c r="CC27" i="85"/>
  <c r="DN27" i="85"/>
  <c r="DJ37" i="85"/>
  <c r="CN17" i="85"/>
  <c r="FR15" i="85"/>
  <c r="DJ18" i="85"/>
  <c r="DN15" i="85"/>
  <c r="DR17" i="85"/>
  <c r="DV17" i="85" s="1"/>
  <c r="CC23" i="85"/>
  <c r="CG23" i="85" s="1"/>
  <c r="CK19" i="85"/>
  <c r="DX41" i="85"/>
  <c r="EH37" i="85"/>
  <c r="CC25" i="85"/>
  <c r="BY26" i="85"/>
  <c r="AT18" i="85"/>
  <c r="AT38" i="85" s="1"/>
  <c r="AT39" i="85" s="1"/>
  <c r="AX15" i="85"/>
  <c r="CC18" i="85"/>
  <c r="CG15" i="85"/>
  <c r="CQ17" i="85" l="1"/>
  <c r="AA31" i="9"/>
  <c r="AV31" i="9"/>
  <c r="AU31" i="9"/>
  <c r="X31" i="9"/>
  <c r="W31" i="9"/>
  <c r="CN24" i="85"/>
  <c r="CQ24" i="85" s="1"/>
  <c r="CX24" i="85" s="1"/>
  <c r="CN22" i="85"/>
  <c r="CQ22" i="85" s="1"/>
  <c r="CG11" i="85"/>
  <c r="CK11" i="85" s="1"/>
  <c r="CN11" i="85" s="1"/>
  <c r="CQ11" i="85" s="1"/>
  <c r="EX29" i="85"/>
  <c r="FB29" i="85" s="1"/>
  <c r="CK7" i="85"/>
  <c r="CN7" i="85" s="1"/>
  <c r="CQ7" i="85" s="1"/>
  <c r="CN21" i="85"/>
  <c r="CQ21" i="85" s="1"/>
  <c r="CX21" i="85" s="1"/>
  <c r="BU38" i="85"/>
  <c r="BU39" i="85" s="1"/>
  <c r="ED17" i="85"/>
  <c r="EH18" i="85"/>
  <c r="EL18" i="85" s="1"/>
  <c r="EP18" i="85" s="1"/>
  <c r="ET18" i="85" s="1"/>
  <c r="EX18" i="85" s="1"/>
  <c r="FB18" i="85" s="1"/>
  <c r="FF18" i="85" s="1"/>
  <c r="FJ18" i="85" s="1"/>
  <c r="CK23" i="85"/>
  <c r="BB15" i="85"/>
  <c r="BB18" i="85" s="1"/>
  <c r="BB38" i="85" s="1"/>
  <c r="BB39" i="85" s="1"/>
  <c r="AX18" i="85"/>
  <c r="AX38" i="85" s="1"/>
  <c r="AX39" i="85" s="1"/>
  <c r="DN37" i="85"/>
  <c r="DR27" i="85"/>
  <c r="EX31" i="85"/>
  <c r="FB31" i="85" s="1"/>
  <c r="CN16" i="85"/>
  <c r="CQ16" i="85" s="1"/>
  <c r="CC26" i="85"/>
  <c r="EB41" i="85"/>
  <c r="EL37" i="85"/>
  <c r="EP37" i="85" s="1"/>
  <c r="ET37" i="85" s="1"/>
  <c r="EX37" i="85" s="1"/>
  <c r="FB37" i="85" s="1"/>
  <c r="FF37" i="85" s="1"/>
  <c r="FJ37" i="85" s="1"/>
  <c r="FN37" i="85" s="1"/>
  <c r="FR37" i="85" s="1"/>
  <c r="FV37" i="85" s="1"/>
  <c r="GB37" i="85" s="1"/>
  <c r="GH37" i="85" s="1"/>
  <c r="GN37" i="85" s="1"/>
  <c r="GT37" i="85" s="1"/>
  <c r="GZ37" i="85" s="1"/>
  <c r="HF37" i="85" s="1"/>
  <c r="BG31" i="9" s="1"/>
  <c r="CC37" i="85"/>
  <c r="DD41" i="85" s="1"/>
  <c r="AB31" i="9" s="1"/>
  <c r="CG27" i="85"/>
  <c r="CX20" i="85"/>
  <c r="EL16" i="85"/>
  <c r="EP16" i="85" s="1"/>
  <c r="ED18" i="85"/>
  <c r="DN18" i="85"/>
  <c r="DR15" i="85"/>
  <c r="DR18" i="85" s="1"/>
  <c r="DM41" i="85"/>
  <c r="DS41" i="85"/>
  <c r="DP41" i="85"/>
  <c r="CG25" i="85"/>
  <c r="FV15" i="85"/>
  <c r="EP30" i="85"/>
  <c r="CK15" i="85"/>
  <c r="CG18" i="85"/>
  <c r="CN19" i="85"/>
  <c r="BD49" i="9"/>
  <c r="BD51" i="9"/>
  <c r="BD52" i="9" s="1"/>
  <c r="BE45" i="9"/>
  <c r="BG138" i="9" l="1"/>
  <c r="BF31" i="9"/>
  <c r="BE31" i="9"/>
  <c r="AZ31" i="9"/>
  <c r="AY31" i="9"/>
  <c r="AX31" i="9"/>
  <c r="AW31" i="9"/>
  <c r="AH31" i="9"/>
  <c r="FF29" i="85"/>
  <c r="CX22" i="85"/>
  <c r="DB22" i="85" s="1"/>
  <c r="DF22" i="85" s="1"/>
  <c r="BY38" i="85"/>
  <c r="BY39" i="85" s="1"/>
  <c r="CN23" i="85"/>
  <c r="CQ23" i="85" s="1"/>
  <c r="CX23" i="85" s="1"/>
  <c r="CQ19" i="85"/>
  <c r="DR37" i="85"/>
  <c r="DU41" i="85" s="1"/>
  <c r="DV27" i="85"/>
  <c r="DV37" i="85" s="1"/>
  <c r="DV41" i="85" s="1"/>
  <c r="AT31" i="9" s="1"/>
  <c r="DT41" i="85"/>
  <c r="DQ41" i="85"/>
  <c r="DN41" i="85"/>
  <c r="GB15" i="85"/>
  <c r="DB20" i="85"/>
  <c r="EH17" i="85"/>
  <c r="EL17" i="85" s="1"/>
  <c r="DB24" i="85"/>
  <c r="DF24" i="85" s="1"/>
  <c r="CN15" i="85"/>
  <c r="CK18" i="85"/>
  <c r="CG26" i="85"/>
  <c r="CK27" i="85"/>
  <c r="CG37" i="85"/>
  <c r="DE41" i="85" s="1"/>
  <c r="AC31" i="9" s="1"/>
  <c r="FF31" i="85"/>
  <c r="CK25" i="85"/>
  <c r="CK26" i="85" s="1"/>
  <c r="DB21" i="85"/>
  <c r="DF21" i="85" s="1"/>
  <c r="ET30" i="85"/>
  <c r="EX30" i="85" s="1"/>
  <c r="ET16" i="85"/>
  <c r="EX16" i="85" s="1"/>
  <c r="FJ29" i="85"/>
  <c r="FN29" i="85" s="1"/>
  <c r="BD13" i="9"/>
  <c r="BD18" i="9"/>
  <c r="AR94" i="63"/>
  <c r="BA31" i="9" l="1"/>
  <c r="BB31" i="9" s="1"/>
  <c r="BF138" i="9"/>
  <c r="AO31" i="9"/>
  <c r="AM31" i="9"/>
  <c r="AS31" i="9"/>
  <c r="AN31" i="9"/>
  <c r="AR31" i="9"/>
  <c r="AL31" i="9"/>
  <c r="AJ31" i="9"/>
  <c r="AI31" i="9"/>
  <c r="AK31" i="9"/>
  <c r="AQ31" i="9"/>
  <c r="DJ22" i="85"/>
  <c r="DN22" i="85" s="1"/>
  <c r="DR22" i="85" s="1"/>
  <c r="AP31" i="9"/>
  <c r="CC38" i="85"/>
  <c r="CC39" i="85" s="1"/>
  <c r="DF20" i="85"/>
  <c r="FB16" i="85"/>
  <c r="FF16" i="85" s="1"/>
  <c r="FJ16" i="85" s="1"/>
  <c r="FN16" i="85" s="1"/>
  <c r="CN27" i="85"/>
  <c r="CK37" i="85"/>
  <c r="DF41" i="85" s="1"/>
  <c r="AD31" i="9" s="1"/>
  <c r="FR29" i="85"/>
  <c r="FB30" i="85"/>
  <c r="FF30" i="85" s="1"/>
  <c r="DJ24" i="85"/>
  <c r="DB23" i="85"/>
  <c r="FJ31" i="85"/>
  <c r="FN31" i="85" s="1"/>
  <c r="EP17" i="85"/>
  <c r="ET17" i="85" s="1"/>
  <c r="CX19" i="85"/>
  <c r="DJ21" i="85"/>
  <c r="DN21" i="85" s="1"/>
  <c r="CN18" i="85"/>
  <c r="CQ15" i="85"/>
  <c r="CQ18" i="85" s="1"/>
  <c r="CN25" i="85"/>
  <c r="CQ25" i="85" s="1"/>
  <c r="CQ26" i="85" s="1"/>
  <c r="AM138" i="9" l="1"/>
  <c r="CG38" i="85"/>
  <c r="CK38" i="85" s="1"/>
  <c r="CK39" i="85" s="1"/>
  <c r="FR16" i="85"/>
  <c r="DF23" i="85"/>
  <c r="DJ23" i="85" s="1"/>
  <c r="DB19" i="85"/>
  <c r="DF19" i="85" s="1"/>
  <c r="DJ20" i="85"/>
  <c r="DN20" i="85" s="1"/>
  <c r="CX25" i="85"/>
  <c r="CN26" i="85"/>
  <c r="CN37" i="85"/>
  <c r="DG41" i="85" s="1"/>
  <c r="AE31" i="9" s="1"/>
  <c r="CQ27" i="85"/>
  <c r="CQ37" i="85" s="1"/>
  <c r="DH41" i="85" s="1"/>
  <c r="DR21" i="85"/>
  <c r="FV29" i="85"/>
  <c r="GB29" i="85" s="1"/>
  <c r="DV22" i="85"/>
  <c r="DZ22" i="85" s="1"/>
  <c r="DN24" i="85"/>
  <c r="DR24" i="85" s="1"/>
  <c r="FJ30" i="85"/>
  <c r="FN30" i="85" s="1"/>
  <c r="FR31" i="85"/>
  <c r="FV31" i="85" s="1"/>
  <c r="EX17" i="85"/>
  <c r="BC31" i="9" l="1"/>
  <c r="AF31" i="9"/>
  <c r="CN38" i="85"/>
  <c r="CQ38" i="85" s="1"/>
  <c r="CT38" i="85" s="1"/>
  <c r="CX38" i="85" s="1"/>
  <c r="DB38" i="85" s="1"/>
  <c r="DB39" i="85" s="1"/>
  <c r="FR30" i="85"/>
  <c r="GH29" i="85"/>
  <c r="DV24" i="85"/>
  <c r="DB25" i="85"/>
  <c r="DB26" i="85" s="1"/>
  <c r="FB17" i="85"/>
  <c r="FF17" i="85" s="1"/>
  <c r="DR20" i="85"/>
  <c r="FV16" i="85"/>
  <c r="GB16" i="85" s="1"/>
  <c r="DN23" i="85"/>
  <c r="CX26" i="85"/>
  <c r="GB31" i="85"/>
  <c r="GH31" i="85" s="1"/>
  <c r="ED22" i="85"/>
  <c r="EH22" i="85" s="1"/>
  <c r="EL22" i="85" s="1"/>
  <c r="DJ19" i="85"/>
  <c r="DN19" i="85" s="1"/>
  <c r="DV21" i="85"/>
  <c r="DZ21" i="85" s="1"/>
  <c r="BE126" i="9"/>
  <c r="BD31" i="9" l="1"/>
  <c r="DF25" i="85"/>
  <c r="DJ25" i="85" s="1"/>
  <c r="DJ26" i="85" s="1"/>
  <c r="FJ17" i="85"/>
  <c r="FN17" i="85" s="1"/>
  <c r="FR17" i="85" s="1"/>
  <c r="DF38" i="85"/>
  <c r="DJ38" i="85" s="1"/>
  <c r="DN38" i="85" s="1"/>
  <c r="DR38" i="85" s="1"/>
  <c r="DV38" i="85" s="1"/>
  <c r="DZ38" i="85" s="1"/>
  <c r="ED38" i="85" s="1"/>
  <c r="EH38" i="85" s="1"/>
  <c r="EL38" i="85" s="1"/>
  <c r="EP38" i="85" s="1"/>
  <c r="ET38" i="85" s="1"/>
  <c r="EX38" i="85" s="1"/>
  <c r="FB38" i="85" s="1"/>
  <c r="FF38" i="85" s="1"/>
  <c r="FJ38" i="85" s="1"/>
  <c r="FN38" i="85" s="1"/>
  <c r="FR38" i="85" s="1"/>
  <c r="FV38" i="85" s="1"/>
  <c r="DZ24" i="85"/>
  <c r="ED24" i="85" s="1"/>
  <c r="EH24" i="85" s="1"/>
  <c r="DR19" i="85"/>
  <c r="DV19" i="85" s="1"/>
  <c r="DV20" i="85"/>
  <c r="FN18" i="85"/>
  <c r="FV30" i="85"/>
  <c r="ED21" i="85"/>
  <c r="EP22" i="85"/>
  <c r="DR23" i="85"/>
  <c r="DF26" i="85" l="1"/>
  <c r="DN25" i="85"/>
  <c r="DN26" i="85" s="1"/>
  <c r="ET22" i="85"/>
  <c r="EL24" i="85"/>
  <c r="EP24" i="85" s="1"/>
  <c r="EH21" i="85"/>
  <c r="FV17" i="85"/>
  <c r="FR18" i="85"/>
  <c r="DZ19" i="85"/>
  <c r="ED19" i="85" s="1"/>
  <c r="GB30" i="85"/>
  <c r="GH30" i="85" s="1"/>
  <c r="DZ20" i="85"/>
  <c r="DV23" i="85"/>
  <c r="AW24" i="48"/>
  <c r="DR25" i="85" l="1"/>
  <c r="DR26" i="85" s="1"/>
  <c r="DZ23" i="85"/>
  <c r="EH19" i="85"/>
  <c r="EL19" i="85" s="1"/>
  <c r="ED20" i="85"/>
  <c r="GB17" i="85"/>
  <c r="GB18" i="85" s="1"/>
  <c r="FV18" i="85"/>
  <c r="EH20" i="85"/>
  <c r="ET24" i="85"/>
  <c r="EX24" i="85" s="1"/>
  <c r="EL21" i="85"/>
  <c r="EX22" i="85"/>
  <c r="FB22" i="85" s="1"/>
  <c r="FF22" i="85" s="1"/>
  <c r="BE51" i="9"/>
  <c r="DV25" i="85" l="1"/>
  <c r="DZ25" i="85" s="1"/>
  <c r="DZ26" i="85" s="1"/>
  <c r="EP21" i="85"/>
  <c r="EP19" i="85"/>
  <c r="ET19" i="85" s="1"/>
  <c r="FB24" i="85"/>
  <c r="EL20" i="85"/>
  <c r="EP20" i="85" s="1"/>
  <c r="FJ22" i="85"/>
  <c r="ED23" i="85"/>
  <c r="AB18" i="13"/>
  <c r="AB19" i="13"/>
  <c r="AB20" i="13"/>
  <c r="AB21" i="13"/>
  <c r="AB22" i="13"/>
  <c r="FN22" i="85" l="1"/>
  <c r="FR22" i="85" s="1"/>
  <c r="ED25" i="85"/>
  <c r="DV26" i="85"/>
  <c r="EH25" i="85"/>
  <c r="ED26" i="85"/>
  <c r="EH23" i="85"/>
  <c r="EL23" i="85" s="1"/>
  <c r="FF24" i="85"/>
  <c r="EX19" i="85"/>
  <c r="ET20" i="85"/>
  <c r="EX20" i="85" s="1"/>
  <c r="FB20" i="85" s="1"/>
  <c r="ET21" i="85"/>
  <c r="EX21" i="85" s="1"/>
  <c r="FB21" i="85" s="1"/>
  <c r="BE125" i="9"/>
  <c r="BE124" i="9"/>
  <c r="FV22" i="85" l="1"/>
  <c r="GB22" i="85" s="1"/>
  <c r="GH22" i="85" s="1"/>
  <c r="EP23" i="85"/>
  <c r="ET23" i="85" s="1"/>
  <c r="EX23" i="85" s="1"/>
  <c r="EL25" i="85"/>
  <c r="EL26" i="85" s="1"/>
  <c r="FB19" i="85"/>
  <c r="FF19" i="85" s="1"/>
  <c r="FJ24" i="85"/>
  <c r="FF21" i="85"/>
  <c r="FJ21" i="85" s="1"/>
  <c r="FF20" i="85"/>
  <c r="EH26" i="85"/>
  <c r="FN24" i="85" l="1"/>
  <c r="GT22" i="85"/>
  <c r="GZ22" i="85"/>
  <c r="FR24" i="85"/>
  <c r="FB23" i="85"/>
  <c r="FJ19" i="85"/>
  <c r="EP25" i="85"/>
  <c r="FJ20" i="85"/>
  <c r="FN21" i="85"/>
  <c r="FR21" i="85" s="1"/>
  <c r="HF22" i="85" l="1"/>
  <c r="FV24" i="85"/>
  <c r="FN19" i="85"/>
  <c r="FR19" i="85" s="1"/>
  <c r="FV21" i="85"/>
  <c r="GB21" i="85" s="1"/>
  <c r="GH21" i="85" s="1"/>
  <c r="GT21" i="85" s="1"/>
  <c r="GZ21" i="85" s="1"/>
  <c r="GB24" i="85"/>
  <c r="GH24" i="85" s="1"/>
  <c r="GT24" i="85" s="1"/>
  <c r="FN20" i="85"/>
  <c r="FF23" i="85"/>
  <c r="FJ23" i="85" s="1"/>
  <c r="EP26" i="85"/>
  <c r="ET25" i="85"/>
  <c r="J8" i="76"/>
  <c r="J9" i="76"/>
  <c r="FV19" i="85" l="1"/>
  <c r="GB19" i="85" s="1"/>
  <c r="HF21" i="85"/>
  <c r="GZ24" i="85"/>
  <c r="HF24" i="85" s="1"/>
  <c r="FN23" i="85"/>
  <c r="FR23" i="85" s="1"/>
  <c r="GH19" i="85"/>
  <c r="GT19" i="85" s="1"/>
  <c r="ET26" i="85"/>
  <c r="EX25" i="85"/>
  <c r="FR20" i="85"/>
  <c r="FV20" i="85" l="1"/>
  <c r="GZ19" i="85"/>
  <c r="HF19" i="85" s="1"/>
  <c r="FV23" i="85"/>
  <c r="GB20" i="85"/>
  <c r="FB25" i="85"/>
  <c r="EX26" i="85"/>
  <c r="FB26" i="85" l="1"/>
  <c r="GB23" i="85"/>
  <c r="GH23" i="85" s="1"/>
  <c r="FF25" i="85"/>
  <c r="GH20" i="85"/>
  <c r="GT20" i="85" l="1"/>
  <c r="GZ20" i="85" s="1"/>
  <c r="GT23" i="85"/>
  <c r="GZ23" i="85" s="1"/>
  <c r="HF23" i="85" s="1"/>
  <c r="FF26" i="85"/>
  <c r="FJ25" i="85"/>
  <c r="HF20" i="85" l="1"/>
  <c r="FN25" i="85"/>
  <c r="FN26" i="85" s="1"/>
  <c r="FJ26" i="85"/>
  <c r="FR25" i="85" l="1"/>
  <c r="FR26" i="85" l="1"/>
  <c r="FV25" i="85"/>
  <c r="GB25" i="85" s="1"/>
  <c r="GB26" i="85" s="1"/>
  <c r="FV26" i="85" l="1"/>
  <c r="GH25" i="85"/>
  <c r="GH26" i="85" s="1"/>
  <c r="AT63" i="68"/>
  <c r="AT28" i="68"/>
  <c r="AT26" i="68"/>
  <c r="AT23" i="68"/>
  <c r="AW4" i="55"/>
  <c r="AV26" i="65"/>
  <c r="AU26" i="65"/>
  <c r="AV25" i="65"/>
  <c r="AU25" i="65"/>
  <c r="AV24" i="65"/>
  <c r="AU24" i="65"/>
  <c r="AV23" i="65"/>
  <c r="AU23" i="65"/>
  <c r="AV22" i="65"/>
  <c r="AU22" i="65"/>
  <c r="GT25" i="85" l="1"/>
  <c r="GT26" i="85" s="1"/>
  <c r="AV27" i="65"/>
  <c r="AT20" i="68"/>
  <c r="AT32" i="68" s="1"/>
  <c r="GZ25" i="85" l="1"/>
  <c r="GZ26" i="85" s="1"/>
  <c r="AW50" i="52"/>
  <c r="AW49" i="52"/>
  <c r="AW48" i="52"/>
  <c r="AW47" i="52"/>
  <c r="AW46" i="52"/>
  <c r="AW44" i="52"/>
  <c r="AW56" i="49"/>
  <c r="AW55" i="49"/>
  <c r="AX32" i="45"/>
  <c r="AX33" i="44"/>
  <c r="AX37" i="44" s="1"/>
  <c r="AX12" i="44"/>
  <c r="HF25" i="85" l="1"/>
  <c r="HF26" i="85" s="1"/>
  <c r="F31" i="38"/>
  <c r="AX23" i="45"/>
  <c r="AX19" i="44"/>
  <c r="G31" i="38"/>
  <c r="H31" i="38"/>
  <c r="BA15" i="46"/>
  <c r="C31" i="38"/>
  <c r="AX15" i="44"/>
  <c r="AX18" i="44" s="1"/>
  <c r="D31" i="38"/>
  <c r="E31" i="38"/>
  <c r="BA34" i="46"/>
  <c r="AW19" i="52"/>
  <c r="BA9" i="46"/>
  <c r="BA28" i="46"/>
  <c r="AX13" i="45"/>
  <c r="AX14" i="45" s="1"/>
  <c r="BA21" i="46" l="1"/>
  <c r="AX22" i="44"/>
  <c r="AX23" i="44" s="1"/>
  <c r="AX33" i="45"/>
  <c r="BA40" i="46"/>
  <c r="EP24" i="34" l="1"/>
  <c r="EP23" i="34"/>
  <c r="EO23" i="34"/>
  <c r="EN23" i="34"/>
  <c r="EP20" i="34"/>
  <c r="EP19" i="34"/>
  <c r="EP18" i="34"/>
  <c r="EP17" i="34"/>
  <c r="EP16" i="34"/>
  <c r="EP15" i="34"/>
  <c r="AX40" i="33"/>
  <c r="AX47" i="61"/>
  <c r="AX46" i="61"/>
  <c r="AX45" i="61"/>
  <c r="AX29" i="32"/>
  <c r="AX15" i="30"/>
  <c r="AX18" i="30" s="1"/>
  <c r="AX7" i="30"/>
  <c r="AX20" i="26"/>
  <c r="AV13" i="24"/>
  <c r="AW21" i="31" l="1"/>
  <c r="AX13" i="29"/>
  <c r="AX22" i="30"/>
  <c r="AX25" i="30" s="1"/>
  <c r="EN24" i="34"/>
  <c r="EO21" i="34"/>
  <c r="EO27" i="34" s="1"/>
  <c r="AX17" i="33"/>
  <c r="AX32" i="61"/>
  <c r="EO24" i="34"/>
  <c r="AW13" i="24"/>
  <c r="AX10" i="30"/>
  <c r="EN21" i="34"/>
  <c r="AX35" i="61"/>
  <c r="AW12" i="31"/>
  <c r="AX10" i="26"/>
  <c r="AX19" i="61"/>
  <c r="AX8" i="29"/>
  <c r="AX28" i="33"/>
  <c r="AX41" i="33"/>
  <c r="AX31" i="33"/>
  <c r="AX16" i="61"/>
  <c r="AX51" i="61"/>
  <c r="AX18" i="29" l="1"/>
  <c r="AX48" i="61"/>
  <c r="EN27" i="34"/>
  <c r="EP21" i="34"/>
  <c r="EP27" i="34" s="1"/>
  <c r="AX42" i="33"/>
  <c r="AX45" i="33"/>
  <c r="AW30" i="31"/>
  <c r="E349" i="79" l="1"/>
  <c r="AU17" i="67" l="1"/>
  <c r="AR54" i="63"/>
  <c r="AQ54" i="63" l="1"/>
  <c r="BE49" i="12"/>
  <c r="BE24" i="12"/>
  <c r="BE22" i="12"/>
  <c r="BE20" i="12"/>
  <c r="BE18" i="12"/>
  <c r="BE17" i="12"/>
  <c r="BE16" i="12"/>
  <c r="BE15" i="12"/>
  <c r="BE10" i="10"/>
  <c r="BL33" i="3"/>
  <c r="BL78" i="3"/>
  <c r="BD17" i="9" s="1"/>
  <c r="BL61" i="3"/>
  <c r="BL42" i="3"/>
  <c r="BD7" i="9" s="1"/>
  <c r="BL40" i="3"/>
  <c r="BD12" i="9" s="1"/>
  <c r="BL23" i="3"/>
  <c r="BL6" i="3"/>
  <c r="BD14" i="9" l="1"/>
  <c r="BE52" i="9"/>
  <c r="BD6" i="9"/>
  <c r="BD8" i="9"/>
  <c r="BE36" i="12"/>
  <c r="BE12" i="10"/>
  <c r="AW25" i="55"/>
  <c r="BL90" i="3"/>
  <c r="BL39" i="3"/>
  <c r="BE8" i="12" l="1"/>
  <c r="BJ6" i="2"/>
  <c r="BJ10" i="2" s="1"/>
  <c r="BE14" i="10"/>
  <c r="BE16" i="10" s="1"/>
  <c r="BE10" i="12"/>
  <c r="BL91" i="3"/>
  <c r="DJ32" i="73"/>
  <c r="DJ27" i="73"/>
  <c r="DJ22" i="73"/>
  <c r="DJ301" i="73"/>
  <c r="DJ321" i="73" s="1"/>
  <c r="DJ295" i="73"/>
  <c r="DJ320" i="73" s="1"/>
  <c r="DJ289" i="73"/>
  <c r="DJ11" i="73"/>
  <c r="DJ6" i="73"/>
  <c r="DJ297" i="73" l="1"/>
  <c r="DJ39" i="73"/>
  <c r="DJ34" i="73"/>
  <c r="DJ44" i="73"/>
  <c r="DJ19" i="73"/>
  <c r="DJ24" i="73"/>
  <c r="BE12" i="12"/>
  <c r="BE14" i="12" s="1"/>
  <c r="BE35" i="10"/>
  <c r="BE40" i="10"/>
  <c r="AX11" i="30"/>
  <c r="BE40" i="1"/>
  <c r="DJ29" i="73"/>
  <c r="DJ285" i="73"/>
  <c r="DJ291" i="73"/>
  <c r="BE43" i="10" l="1"/>
  <c r="BE45" i="10" s="1"/>
  <c r="BE48" i="10" s="1"/>
  <c r="BE43" i="1"/>
  <c r="BE45" i="1" s="1"/>
  <c r="BE48" i="1" s="1"/>
  <c r="BE39" i="12"/>
  <c r="BE34" i="12"/>
  <c r="AW11" i="53"/>
  <c r="BJ16" i="2"/>
  <c r="BE42" i="12" l="1"/>
  <c r="BE44" i="12" s="1"/>
  <c r="BE48" i="12" s="1"/>
  <c r="BE35" i="12"/>
  <c r="BJ19" i="2"/>
  <c r="BB204" i="77"/>
  <c r="BA204" i="77"/>
  <c r="DK32" i="73"/>
  <c r="DK27" i="73"/>
  <c r="DK22" i="73"/>
  <c r="DK301" i="73"/>
  <c r="DK321" i="73" s="1"/>
  <c r="DK295" i="73"/>
  <c r="DK320" i="73" s="1"/>
  <c r="DK289" i="73"/>
  <c r="DK11" i="73"/>
  <c r="DK6" i="73"/>
  <c r="AW30" i="83"/>
  <c r="DK29" i="73" l="1"/>
  <c r="DK44" i="73"/>
  <c r="DK34" i="73"/>
  <c r="DK39" i="73"/>
  <c r="BE50" i="12"/>
  <c r="K8" i="76"/>
  <c r="BJ24" i="2"/>
  <c r="BJ26" i="2" s="1"/>
  <c r="BJ28" i="2" s="1"/>
  <c r="AS18" i="63" s="1"/>
  <c r="DK19" i="73"/>
  <c r="DK24" i="73"/>
  <c r="DK285" i="73"/>
  <c r="DK297" i="73"/>
  <c r="DK291" i="73"/>
  <c r="BJ30" i="2" l="1"/>
  <c r="BB203" i="77"/>
  <c r="BA203" i="77"/>
  <c r="CM321" i="73"/>
  <c r="CN321" i="73"/>
  <c r="CO321" i="73"/>
  <c r="CP321" i="73"/>
  <c r="CQ321" i="73"/>
  <c r="CR321" i="73"/>
  <c r="CS321" i="73"/>
  <c r="CT321" i="73"/>
  <c r="CU321" i="73"/>
  <c r="CV321" i="73"/>
  <c r="CW321" i="73"/>
  <c r="CX321" i="73"/>
  <c r="CL321" i="73"/>
  <c r="CL320" i="73"/>
  <c r="CM320" i="73"/>
  <c r="CN320" i="73"/>
  <c r="CO320" i="73"/>
  <c r="CP320" i="73"/>
  <c r="CQ320" i="73"/>
  <c r="CR320" i="73"/>
  <c r="CS320" i="73"/>
  <c r="CT320" i="73"/>
  <c r="CU320" i="73"/>
  <c r="CV320" i="73"/>
  <c r="CW320" i="73"/>
  <c r="CX320" i="73"/>
  <c r="CK320" i="73"/>
  <c r="J10" i="76" l="1"/>
  <c r="AS4" i="55" l="1"/>
  <c r="AR4" i="55"/>
  <c r="AT4" i="55"/>
  <c r="AU4" i="55"/>
  <c r="H394" i="36" l="1"/>
  <c r="H406" i="36" s="1"/>
  <c r="AV4" i="55"/>
  <c r="AR32" i="71"/>
  <c r="AW10" i="66" l="1"/>
  <c r="AV8" i="53"/>
  <c r="AS92" i="68"/>
  <c r="Y391" i="36" l="1"/>
  <c r="Y384" i="36"/>
  <c r="H418" i="36" l="1"/>
  <c r="H430" i="36" s="1"/>
  <c r="BC49" i="9" l="1"/>
  <c r="BC51" i="9"/>
  <c r="BC52" i="9" s="1"/>
  <c r="BI40" i="3"/>
  <c r="BJ40" i="3"/>
  <c r="BK40" i="3"/>
  <c r="BC12" i="9" s="1"/>
  <c r="BC13" i="9"/>
  <c r="BC18" i="9"/>
  <c r="AU21" i="49"/>
  <c r="AU22" i="49" s="1"/>
  <c r="EJ25" i="34"/>
  <c r="BC14" i="9" l="1"/>
  <c r="H19" i="76" l="1"/>
  <c r="AV13" i="55" l="1"/>
  <c r="AV19" i="52"/>
  <c r="AB18" i="81" l="1"/>
  <c r="AB15" i="81"/>
  <c r="AR92" i="68"/>
  <c r="AR78" i="68"/>
  <c r="AR69" i="68"/>
  <c r="AR59" i="68" l="1"/>
  <c r="AR54" i="68"/>
  <c r="AR50" i="68"/>
  <c r="AR45" i="68"/>
  <c r="AR31" i="68"/>
  <c r="AR28" i="68"/>
  <c r="AR26" i="68"/>
  <c r="AR23" i="68"/>
  <c r="AR20" i="68"/>
  <c r="AS63" i="68"/>
  <c r="AO63" i="68"/>
  <c r="AR63" i="68"/>
  <c r="AU10" i="66"/>
  <c r="AU23" i="55"/>
  <c r="AU13" i="55"/>
  <c r="AU27" i="65"/>
  <c r="AU19" i="65"/>
  <c r="AU11" i="65"/>
  <c r="AT11" i="65"/>
  <c r="AU61" i="71"/>
  <c r="AU32" i="71"/>
  <c r="AU22" i="53"/>
  <c r="AU15" i="53"/>
  <c r="AU17" i="53" s="1"/>
  <c r="AU8" i="53"/>
  <c r="AU10" i="53" s="1"/>
  <c r="AU35" i="52"/>
  <c r="AU19" i="52"/>
  <c r="AU53" i="49"/>
  <c r="AU52" i="49"/>
  <c r="AU51" i="49"/>
  <c r="AU50" i="49"/>
  <c r="AU49" i="49"/>
  <c r="AU48" i="49"/>
  <c r="AU47" i="49"/>
  <c r="AU46" i="49"/>
  <c r="AU45" i="49"/>
  <c r="AU44" i="49"/>
  <c r="AU43" i="49"/>
  <c r="AU42" i="49"/>
  <c r="AU39" i="49"/>
  <c r="AV24" i="48"/>
  <c r="AQ8" i="72"/>
  <c r="AQ21" i="72" s="1"/>
  <c r="AY72" i="46"/>
  <c r="AY66" i="46"/>
  <c r="AY53" i="46"/>
  <c r="AY47" i="46"/>
  <c r="AY34" i="46"/>
  <c r="AY28" i="46"/>
  <c r="AY21" i="46"/>
  <c r="AY15" i="46"/>
  <c r="AY9" i="46"/>
  <c r="AV33" i="45"/>
  <c r="AV23" i="45"/>
  <c r="AV13" i="45"/>
  <c r="AV14" i="45" s="1"/>
  <c r="AV25" i="44"/>
  <c r="AV19" i="44"/>
  <c r="AV15" i="44"/>
  <c r="AV12" i="44"/>
  <c r="AQ24" i="72" l="1"/>
  <c r="AR51" i="68"/>
  <c r="AU90" i="71"/>
  <c r="AY59" i="46"/>
  <c r="AR60" i="68"/>
  <c r="AY40" i="46"/>
  <c r="AU57" i="49"/>
  <c r="AY78" i="46"/>
  <c r="AV32" i="44"/>
  <c r="AW25" i="44" s="1"/>
  <c r="AV22" i="44"/>
  <c r="AR32" i="68"/>
  <c r="AV18" i="44"/>
  <c r="AU24" i="55"/>
  <c r="AU25" i="55" l="1"/>
  <c r="AR61" i="68"/>
  <c r="AV38" i="44"/>
  <c r="Y54" i="42"/>
  <c r="AV18" i="39"/>
  <c r="AV9" i="39"/>
  <c r="AU9" i="39"/>
  <c r="O394" i="36"/>
  <c r="O406" i="36" s="1"/>
  <c r="O418" i="36" s="1"/>
  <c r="O430" i="36" s="1"/>
  <c r="O442" i="36" s="1"/>
  <c r="N394" i="36"/>
  <c r="N406" i="36" s="1"/>
  <c r="N418" i="36" s="1"/>
  <c r="N430" i="36" s="1"/>
  <c r="N442" i="36" s="1"/>
  <c r="J394" i="36"/>
  <c r="J406" i="36" s="1"/>
  <c r="J418" i="36" s="1"/>
  <c r="J430" i="36" s="1"/>
  <c r="J442" i="36" s="1"/>
  <c r="I394" i="36"/>
  <c r="I406" i="36" s="1"/>
  <c r="I418" i="36" s="1"/>
  <c r="I430" i="36" s="1"/>
  <c r="EK5" i="34"/>
  <c r="EI24" i="34"/>
  <c r="EH24" i="34"/>
  <c r="EJ23" i="34"/>
  <c r="EI23" i="34"/>
  <c r="EH23" i="34"/>
  <c r="EJ20" i="34"/>
  <c r="EH21" i="34"/>
  <c r="EJ18" i="34"/>
  <c r="EJ17" i="34"/>
  <c r="EJ16" i="34"/>
  <c r="EJ15" i="34"/>
  <c r="AV45" i="33"/>
  <c r="AV42" i="33"/>
  <c r="AV31" i="33"/>
  <c r="AV28" i="33"/>
  <c r="AV17" i="33"/>
  <c r="AV14" i="33"/>
  <c r="AV50" i="61"/>
  <c r="AV49" i="61"/>
  <c r="AV44" i="61"/>
  <c r="AV43" i="61"/>
  <c r="AV42" i="61"/>
  <c r="AV41" i="61"/>
  <c r="AV40" i="61"/>
  <c r="AV39" i="61"/>
  <c r="AV38" i="61"/>
  <c r="AV35" i="61"/>
  <c r="AV32" i="61"/>
  <c r="AV19" i="61"/>
  <c r="AV16" i="61"/>
  <c r="AT30" i="31"/>
  <c r="EJ24" i="34" l="1"/>
  <c r="EH27" i="34"/>
  <c r="AV48" i="61"/>
  <c r="EI21" i="34"/>
  <c r="EI27" i="34" s="1"/>
  <c r="EJ19" i="34"/>
  <c r="EJ21" i="34" s="1"/>
  <c r="EJ27" i="34" s="1"/>
  <c r="G39" i="38"/>
  <c r="C39" i="38"/>
  <c r="H39" i="38"/>
  <c r="D39" i="38"/>
  <c r="F39" i="38"/>
  <c r="E39" i="38"/>
  <c r="I39" i="38"/>
  <c r="AU30" i="31"/>
  <c r="AU21" i="31"/>
  <c r="AU12" i="31"/>
  <c r="T393" i="36"/>
  <c r="T392" i="36"/>
  <c r="T391" i="36"/>
  <c r="T390" i="36"/>
  <c r="T389" i="36"/>
  <c r="T388" i="36"/>
  <c r="T387" i="36"/>
  <c r="T386" i="36"/>
  <c r="T385" i="36"/>
  <c r="T384" i="36"/>
  <c r="AV22" i="30" l="1"/>
  <c r="AV25" i="30" s="1"/>
  <c r="AV15" i="30"/>
  <c r="AV18" i="30" s="1"/>
  <c r="AV7" i="30"/>
  <c r="AV10" i="30" s="1"/>
  <c r="AV18" i="29"/>
  <c r="AV13" i="29"/>
  <c r="AV8" i="29"/>
  <c r="AV20" i="26"/>
  <c r="AV22" i="26" s="1"/>
  <c r="AV10" i="26"/>
  <c r="AV12" i="26" s="1"/>
  <c r="AV13" i="26" s="1"/>
  <c r="I35" i="23"/>
  <c r="I34" i="23"/>
  <c r="I33" i="23"/>
  <c r="I32" i="23"/>
  <c r="N35" i="23"/>
  <c r="G35" i="23"/>
  <c r="F35" i="23"/>
  <c r="E35" i="23"/>
  <c r="I31" i="23"/>
  <c r="M35" i="23"/>
  <c r="L35" i="23"/>
  <c r="K35" i="23"/>
  <c r="J35" i="23"/>
  <c r="D35" i="23"/>
  <c r="C35" i="23"/>
  <c r="I30" i="23"/>
  <c r="I41" i="23"/>
  <c r="C41" i="23"/>
  <c r="D41" i="23"/>
  <c r="E41" i="23"/>
  <c r="F41" i="23"/>
  <c r="G41" i="23"/>
  <c r="J41" i="23"/>
  <c r="K41" i="23"/>
  <c r="L41" i="23"/>
  <c r="M41" i="23"/>
  <c r="N41" i="23"/>
  <c r="I42" i="23"/>
  <c r="I43" i="23"/>
  <c r="I44" i="23"/>
  <c r="I45" i="23"/>
  <c r="I46" i="23"/>
  <c r="AU13" i="24"/>
  <c r="AA24" i="13"/>
  <c r="AA25" i="13"/>
  <c r="AA23" i="13" l="1"/>
  <c r="AV23" i="26"/>
  <c r="J11" i="76" l="1"/>
  <c r="BD45" i="9"/>
  <c r="AT33" i="67" l="1"/>
  <c r="AT29" i="67"/>
  <c r="AT22" i="67"/>
  <c r="AT20" i="67"/>
  <c r="AQ94" i="63"/>
  <c r="AQ87" i="63"/>
  <c r="AQ79" i="63"/>
  <c r="AQ45" i="63"/>
  <c r="AQ14" i="63"/>
  <c r="AT39" i="67" l="1"/>
  <c r="AR93" i="63"/>
  <c r="BC24" i="12"/>
  <c r="BC22" i="12"/>
  <c r="BC20" i="12"/>
  <c r="BC18" i="12"/>
  <c r="BC17" i="12"/>
  <c r="BC16" i="12"/>
  <c r="BC15" i="12"/>
  <c r="BC8" i="12"/>
  <c r="BC37" i="10"/>
  <c r="BC10" i="10"/>
  <c r="BC12" i="10" s="1"/>
  <c r="BC14" i="10" s="1"/>
  <c r="BC16" i="10" s="1"/>
  <c r="BC37" i="1"/>
  <c r="BB9" i="1"/>
  <c r="BC9" i="1"/>
  <c r="BH6" i="2"/>
  <c r="BK78" i="3"/>
  <c r="BC17" i="9" s="1"/>
  <c r="BK61" i="3"/>
  <c r="BK42" i="3"/>
  <c r="BC7" i="9" s="1"/>
  <c r="BK33" i="3"/>
  <c r="BK23" i="3"/>
  <c r="BK6" i="3"/>
  <c r="BC11" i="1" l="1"/>
  <c r="BC13" i="1" s="1"/>
  <c r="BC15" i="1" s="1"/>
  <c r="BC50" i="9"/>
  <c r="BC53" i="9" s="1"/>
  <c r="BC6" i="9"/>
  <c r="BC8" i="9"/>
  <c r="BK90" i="3"/>
  <c r="BA202" i="77"/>
  <c r="BK39" i="3"/>
  <c r="BH10" i="2"/>
  <c r="AV11" i="30"/>
  <c r="BC10" i="12"/>
  <c r="BC40" i="10"/>
  <c r="BC43" i="10" s="1"/>
  <c r="BC45" i="10" s="1"/>
  <c r="BC48" i="10" s="1"/>
  <c r="BC35" i="10"/>
  <c r="BC36" i="10" s="1"/>
  <c r="BB202" i="77"/>
  <c r="BC12" i="12" l="1"/>
  <c r="BC14" i="12" s="1"/>
  <c r="BK91" i="3"/>
  <c r="BH16" i="2"/>
  <c r="AU11" i="53"/>
  <c r="BC35" i="1"/>
  <c r="BC40" i="1"/>
  <c r="BC43" i="1" s="1"/>
  <c r="BC45" i="1" s="1"/>
  <c r="BC48" i="1" s="1"/>
  <c r="DI32" i="73"/>
  <c r="DI27" i="73"/>
  <c r="DI22" i="73"/>
  <c r="DI301" i="73"/>
  <c r="DI321" i="73" s="1"/>
  <c r="DI295" i="73"/>
  <c r="DI320" i="73" s="1"/>
  <c r="DI289" i="73"/>
  <c r="DI11" i="73"/>
  <c r="DI6" i="73"/>
  <c r="DI285" i="73" l="1"/>
  <c r="DI39" i="73"/>
  <c r="DI34" i="73"/>
  <c r="DI44" i="73"/>
  <c r="BC36" i="1"/>
  <c r="BC34" i="12"/>
  <c r="BC39" i="12"/>
  <c r="BH19" i="2"/>
  <c r="DI297" i="73"/>
  <c r="DI291" i="73"/>
  <c r="DI24" i="73"/>
  <c r="DI19" i="73"/>
  <c r="DI29" i="73"/>
  <c r="BC35" i="12" l="1"/>
  <c r="BH24" i="2"/>
  <c r="BH26" i="2" s="1"/>
  <c r="BH28" i="2" s="1"/>
  <c r="BH30" i="2" s="1"/>
  <c r="BC42" i="12"/>
  <c r="BC44" i="12" s="1"/>
  <c r="BC48" i="12" s="1"/>
  <c r="AD201" i="77"/>
  <c r="BC50" i="12" l="1"/>
  <c r="AQ18" i="63"/>
  <c r="BA201" i="77"/>
  <c r="BB201" i="77"/>
  <c r="AQ63" i="63" l="1"/>
  <c r="AQ92" i="63" s="1"/>
  <c r="DG323" i="73"/>
  <c r="DG32" i="73"/>
  <c r="DG27" i="73"/>
  <c r="DG22" i="73"/>
  <c r="DG301" i="73"/>
  <c r="DG321" i="73" s="1"/>
  <c r="DG295" i="73"/>
  <c r="DG320" i="73" s="1"/>
  <c r="DG289" i="73"/>
  <c r="DG11" i="73"/>
  <c r="DG6" i="73"/>
  <c r="AQ6" i="63" l="1"/>
  <c r="DG24" i="73"/>
  <c r="DG39" i="73"/>
  <c r="DG44" i="73"/>
  <c r="DG34" i="73"/>
  <c r="DG285" i="73"/>
  <c r="DG29" i="73"/>
  <c r="DG291" i="73"/>
  <c r="DG297" i="73"/>
  <c r="DG19" i="73"/>
  <c r="BB200" i="77" l="1"/>
  <c r="BA200" i="77"/>
  <c r="Z24" i="13"/>
  <c r="Z25" i="13"/>
  <c r="AA18" i="13"/>
  <c r="AA19" i="13"/>
  <c r="AA20" i="13"/>
  <c r="AA21" i="13"/>
  <c r="AA22" i="13"/>
  <c r="I80" i="38" l="1"/>
  <c r="G76" i="38" l="1"/>
  <c r="G75" i="38"/>
  <c r="E47" i="38" l="1"/>
  <c r="DD323" i="73" l="1"/>
  <c r="DF32" i="73"/>
  <c r="DF27" i="73"/>
  <c r="DF22" i="73"/>
  <c r="DF301" i="73"/>
  <c r="DF295" i="73"/>
  <c r="DF320" i="73" s="1"/>
  <c r="DF289" i="73"/>
  <c r="DF11" i="73"/>
  <c r="DF6" i="73"/>
  <c r="DF24" i="73" l="1"/>
  <c r="DF44" i="73"/>
  <c r="DF34" i="73"/>
  <c r="DF39" i="73"/>
  <c r="DF321" i="73"/>
  <c r="DF285" i="73"/>
  <c r="DF297" i="73"/>
  <c r="DF29" i="73"/>
  <c r="DF291" i="73"/>
  <c r="DF19" i="73"/>
  <c r="AW13" i="45" l="1"/>
  <c r="AS23" i="68"/>
  <c r="AQ70" i="68" l="1"/>
  <c r="BB49" i="9" l="1"/>
  <c r="BB51" i="9"/>
  <c r="BB12" i="9"/>
  <c r="BB13" i="9"/>
  <c r="AP94" i="63"/>
  <c r="BJ78" i="3"/>
  <c r="BJ61" i="3"/>
  <c r="BJ42" i="3"/>
  <c r="BB7" i="9" s="1"/>
  <c r="BJ33" i="3"/>
  <c r="BJ23" i="3"/>
  <c r="BJ6" i="3"/>
  <c r="AQ93" i="63" l="1"/>
  <c r="AQ96" i="63" s="1"/>
  <c r="BB17" i="9"/>
  <c r="BJ90" i="3"/>
  <c r="BB8" i="9"/>
  <c r="BJ39" i="3"/>
  <c r="BB14" i="9"/>
  <c r="BB6" i="9"/>
  <c r="BJ91" i="3" l="1"/>
  <c r="AW12" i="44" l="1"/>
  <c r="AA18" i="81" l="1"/>
  <c r="AA15" i="81"/>
  <c r="AQ80" i="68"/>
  <c r="AQ69" i="68"/>
  <c r="AQ59" i="68" l="1"/>
  <c r="AQ54" i="68"/>
  <c r="AQ50" i="68"/>
  <c r="AQ45" i="68"/>
  <c r="AQ31" i="68"/>
  <c r="AQ23" i="68"/>
  <c r="AQ20" i="68"/>
  <c r="AQ63" i="68"/>
  <c r="AT10" i="66"/>
  <c r="AT23" i="55"/>
  <c r="AT13" i="55"/>
  <c r="AT22" i="65"/>
  <c r="AT23" i="65"/>
  <c r="AT24" i="65"/>
  <c r="AT25" i="65"/>
  <c r="AT26" i="65"/>
  <c r="AT19" i="65"/>
  <c r="AT86" i="71"/>
  <c r="AT85" i="71"/>
  <c r="AT84" i="71"/>
  <c r="AT83" i="71"/>
  <c r="AT82" i="71"/>
  <c r="AT81" i="71"/>
  <c r="AT80" i="71"/>
  <c r="AT79" i="71"/>
  <c r="AT78" i="71"/>
  <c r="AT77" i="71"/>
  <c r="AT76" i="71"/>
  <c r="AT75" i="71"/>
  <c r="AT74" i="71"/>
  <c r="AT73" i="71"/>
  <c r="AT72" i="71"/>
  <c r="AT71" i="71"/>
  <c r="AT70" i="71"/>
  <c r="AT69" i="71"/>
  <c r="AT68" i="71"/>
  <c r="AT67" i="71"/>
  <c r="AT66" i="71"/>
  <c r="AT65" i="71"/>
  <c r="AT64" i="71"/>
  <c r="AT61" i="71"/>
  <c r="AT32" i="71"/>
  <c r="AT23" i="53"/>
  <c r="AT21" i="53"/>
  <c r="AT20" i="53"/>
  <c r="AT15" i="53"/>
  <c r="AT17" i="53" s="1"/>
  <c r="AT8" i="53"/>
  <c r="AT10" i="53" s="1"/>
  <c r="AT45" i="52"/>
  <c r="AT44" i="52"/>
  <c r="AT43" i="52"/>
  <c r="AT42" i="52"/>
  <c r="AT41" i="52"/>
  <c r="AT40" i="52"/>
  <c r="AT39" i="52"/>
  <c r="AT38" i="52"/>
  <c r="AT35" i="52"/>
  <c r="AT19" i="52"/>
  <c r="AT57" i="49"/>
  <c r="AT39" i="49"/>
  <c r="AT21" i="49"/>
  <c r="AT22" i="49" s="1"/>
  <c r="AU29" i="48"/>
  <c r="AU24" i="48"/>
  <c r="AX107" i="46"/>
  <c r="AX108" i="46"/>
  <c r="AX109" i="46"/>
  <c r="AX110" i="46"/>
  <c r="AX111" i="46"/>
  <c r="AX112" i="46"/>
  <c r="AX77" i="46"/>
  <c r="AX76" i="46"/>
  <c r="AX75" i="46"/>
  <c r="AX72" i="46"/>
  <c r="AX66" i="46"/>
  <c r="AX58" i="46"/>
  <c r="AX57" i="46"/>
  <c r="AX56" i="46"/>
  <c r="AX53" i="46"/>
  <c r="AX47" i="46"/>
  <c r="AX34" i="46"/>
  <c r="AX28" i="46"/>
  <c r="AX21" i="46"/>
  <c r="AX15" i="46"/>
  <c r="AX9" i="46"/>
  <c r="AU13" i="45"/>
  <c r="AU23" i="45"/>
  <c r="AU32" i="45"/>
  <c r="AU31" i="45"/>
  <c r="AU30" i="45"/>
  <c r="AU29" i="45"/>
  <c r="AU28" i="45"/>
  <c r="AU27" i="45"/>
  <c r="AU26" i="45"/>
  <c r="Y53" i="42"/>
  <c r="M53" i="42"/>
  <c r="AU18" i="39"/>
  <c r="I55" i="38"/>
  <c r="H55" i="38"/>
  <c r="G55" i="38"/>
  <c r="F55" i="38"/>
  <c r="E55" i="38"/>
  <c r="D55" i="38"/>
  <c r="C55" i="38"/>
  <c r="AU45" i="33"/>
  <c r="AU42" i="33"/>
  <c r="AU31" i="33"/>
  <c r="AU28" i="33"/>
  <c r="AU17" i="33"/>
  <c r="AU14" i="33"/>
  <c r="AU51" i="61"/>
  <c r="AU48" i="61"/>
  <c r="AU35" i="61"/>
  <c r="AU32" i="61"/>
  <c r="AU19" i="61"/>
  <c r="AU16" i="61"/>
  <c r="AW29" i="32"/>
  <c r="AU29" i="32"/>
  <c r="AU28" i="32"/>
  <c r="AU27" i="32"/>
  <c r="AU26" i="32"/>
  <c r="AU25" i="32"/>
  <c r="AT12" i="31"/>
  <c r="AT11" i="31" s="1"/>
  <c r="AT21" i="31"/>
  <c r="AT20" i="31" s="1"/>
  <c r="AU22" i="30"/>
  <c r="AU25" i="30" s="1"/>
  <c r="AU15" i="30"/>
  <c r="AU18" i="30" s="1"/>
  <c r="AU7" i="30"/>
  <c r="AU10" i="30" s="1"/>
  <c r="AU18" i="29"/>
  <c r="AU13" i="29"/>
  <c r="AU8" i="29"/>
  <c r="AU20" i="26"/>
  <c r="AU22" i="26" s="1"/>
  <c r="AU23" i="26" s="1"/>
  <c r="AU10" i="26"/>
  <c r="I40" i="23"/>
  <c r="I39" i="23"/>
  <c r="I38" i="23"/>
  <c r="I37" i="23"/>
  <c r="I36" i="23"/>
  <c r="AT51" i="52" l="1"/>
  <c r="AT27" i="65"/>
  <c r="AQ32" i="68"/>
  <c r="AX59" i="46"/>
  <c r="AT90" i="71"/>
  <c r="AT24" i="55"/>
  <c r="AT22" i="53"/>
  <c r="AT24" i="53" s="1"/>
  <c r="AQ60" i="68"/>
  <c r="AU30" i="48"/>
  <c r="AU33" i="45"/>
  <c r="AU12" i="26"/>
  <c r="AU13" i="26" s="1"/>
  <c r="AQ51" i="68"/>
  <c r="AX78" i="46"/>
  <c r="AV22" i="53"/>
  <c r="AV24" i="53" s="1"/>
  <c r="AQ61" i="68" l="1"/>
  <c r="BC45" i="9"/>
  <c r="E357" i="79"/>
  <c r="AS33" i="67"/>
  <c r="AS29" i="67"/>
  <c r="AS22" i="67"/>
  <c r="AS17" i="67"/>
  <c r="AS20" i="67" s="1"/>
  <c r="AS13" i="67"/>
  <c r="AS9" i="67"/>
  <c r="E365" i="79" l="1"/>
  <c r="E373" i="79" s="1"/>
  <c r="E382" i="79" s="1"/>
  <c r="E391" i="79" s="1"/>
  <c r="AS39" i="67"/>
  <c r="AP87" i="63" l="1"/>
  <c r="AP79" i="63"/>
  <c r="AP54" i="63"/>
  <c r="AP45" i="63"/>
  <c r="AP13" i="63"/>
  <c r="AP12" i="63"/>
  <c r="AP8" i="72" l="1"/>
  <c r="AP21" i="72" s="1"/>
  <c r="AP24" i="72" s="1"/>
  <c r="AO8" i="72"/>
  <c r="AN8" i="72"/>
  <c r="BA199" i="77" l="1"/>
  <c r="BB199" i="77"/>
  <c r="BB36" i="12" l="1"/>
  <c r="BA36" i="12"/>
  <c r="BB8" i="12"/>
  <c r="BB48" i="10"/>
  <c r="BB37" i="10"/>
  <c r="BB10" i="10"/>
  <c r="BB12" i="10" s="1"/>
  <c r="BB14" i="10" s="1"/>
  <c r="BB16" i="10" s="1"/>
  <c r="BB48" i="1"/>
  <c r="BB37" i="1"/>
  <c r="BB11" i="1"/>
  <c r="BG28" i="2"/>
  <c r="BG21" i="2"/>
  <c r="BG6" i="2"/>
  <c r="DE323" i="73"/>
  <c r="DE32" i="73"/>
  <c r="DE27" i="73"/>
  <c r="DE22" i="73"/>
  <c r="DE301" i="73"/>
  <c r="DE321" i="73" s="1"/>
  <c r="DE295" i="73"/>
  <c r="DE320" i="73" s="1"/>
  <c r="DE289" i="73"/>
  <c r="DE11" i="73"/>
  <c r="DE6" i="73"/>
  <c r="BB198" i="77"/>
  <c r="DE297" i="73" l="1"/>
  <c r="DE44" i="73"/>
  <c r="DE34" i="73"/>
  <c r="DE39" i="73"/>
  <c r="BB52" i="9"/>
  <c r="BB35" i="10"/>
  <c r="BB40" i="10"/>
  <c r="BB43" i="10" s="1"/>
  <c r="BB13" i="1"/>
  <c r="BB15" i="1" s="1"/>
  <c r="BB10" i="12"/>
  <c r="BB12" i="12" s="1"/>
  <c r="BB14" i="12" s="1"/>
  <c r="AT25" i="55"/>
  <c r="BG30" i="2"/>
  <c r="AP18" i="63"/>
  <c r="BB50" i="9"/>
  <c r="AU11" i="30"/>
  <c r="BG10" i="2"/>
  <c r="DE19" i="73"/>
  <c r="DE285" i="73"/>
  <c r="DE24" i="73"/>
  <c r="DE291" i="73"/>
  <c r="DE29" i="73"/>
  <c r="BA198" i="77"/>
  <c r="AP63" i="63" l="1"/>
  <c r="BB36" i="10"/>
  <c r="BB53" i="9"/>
  <c r="BB39" i="12"/>
  <c r="K15" i="76"/>
  <c r="BB34" i="12"/>
  <c r="AT11" i="53"/>
  <c r="BG16" i="2"/>
  <c r="BB40" i="1"/>
  <c r="BB35" i="1"/>
  <c r="AP6" i="63"/>
  <c r="AP11" i="63" s="1"/>
  <c r="AP14" i="63" s="1"/>
  <c r="AP92" i="63" l="1"/>
  <c r="BB43" i="1"/>
  <c r="BB42" i="12"/>
  <c r="BB44" i="12" s="1"/>
  <c r="BB36" i="1"/>
  <c r="BB35" i="12"/>
  <c r="BG19" i="2"/>
  <c r="DF323" i="73"/>
  <c r="DD32" i="73"/>
  <c r="DD27" i="73"/>
  <c r="DD22" i="73"/>
  <c r="DD301" i="73"/>
  <c r="DD295" i="73"/>
  <c r="DD320" i="73" s="1"/>
  <c r="DD289" i="73"/>
  <c r="DD11" i="73"/>
  <c r="DD6" i="73"/>
  <c r="DD297" i="73" l="1"/>
  <c r="DD39" i="73"/>
  <c r="DD34" i="73"/>
  <c r="DD44" i="73"/>
  <c r="BG24" i="2"/>
  <c r="DD321" i="73"/>
  <c r="DD24" i="73"/>
  <c r="DD285" i="73"/>
  <c r="DD19" i="73"/>
  <c r="DD291" i="73"/>
  <c r="DD29" i="73"/>
  <c r="AP92" i="68" l="1"/>
  <c r="AP80" i="68"/>
  <c r="AP78" i="68"/>
  <c r="AP69" i="68"/>
  <c r="AM63" i="68"/>
  <c r="AP63" i="68"/>
  <c r="AP59" i="68"/>
  <c r="AP54" i="68"/>
  <c r="AP50" i="68"/>
  <c r="AP45" i="68"/>
  <c r="AP20" i="68"/>
  <c r="AP23" i="68"/>
  <c r="AP31" i="68"/>
  <c r="AP60" i="68" l="1"/>
  <c r="AP51" i="68"/>
  <c r="AP32" i="68"/>
  <c r="AP61" i="68" l="1"/>
  <c r="AD197" i="77" l="1"/>
  <c r="AD198" i="77"/>
  <c r="AD199" i="77"/>
  <c r="AD200" i="77"/>
  <c r="AD202" i="77"/>
  <c r="AD203" i="77"/>
  <c r="AD204" i="77"/>
  <c r="AD205" i="77"/>
  <c r="AD206" i="77"/>
  <c r="AD207" i="77"/>
  <c r="BA197" i="77" l="1"/>
  <c r="BB197" i="77"/>
  <c r="AP161" i="83" l="1"/>
  <c r="AP150" i="83"/>
  <c r="AP130" i="83"/>
  <c r="AP116" i="83"/>
  <c r="AP110" i="83"/>
  <c r="AP92" i="83"/>
  <c r="AP85" i="83"/>
  <c r="AP72" i="83"/>
  <c r="AP35" i="83"/>
  <c r="AP23" i="83"/>
  <c r="N166" i="80"/>
  <c r="N165" i="80"/>
  <c r="N164" i="80"/>
  <c r="Y52" i="42" l="1"/>
  <c r="M52" i="42"/>
  <c r="E63" i="38"/>
  <c r="C63" i="38"/>
  <c r="I63" i="38"/>
  <c r="H63" i="38"/>
  <c r="G63" i="38"/>
  <c r="F63" i="38"/>
  <c r="D63" i="38"/>
  <c r="Y369" i="36"/>
  <c r="Y368" i="36"/>
  <c r="Y367" i="36"/>
  <c r="Y366" i="36"/>
  <c r="Y365" i="36"/>
  <c r="Y364" i="36"/>
  <c r="Y363" i="36"/>
  <c r="Y361" i="36"/>
  <c r="Y360" i="36"/>
  <c r="T369" i="36"/>
  <c r="T368" i="36"/>
  <c r="T367" i="36"/>
  <c r="T366" i="36"/>
  <c r="T365" i="36"/>
  <c r="T364" i="36"/>
  <c r="T363" i="36"/>
  <c r="T362" i="36"/>
  <c r="T361" i="36"/>
  <c r="T360" i="36"/>
  <c r="EC24" i="34" l="1"/>
  <c r="EB24" i="34"/>
  <c r="EC23" i="34"/>
  <c r="EB23" i="34"/>
  <c r="EC21" i="34"/>
  <c r="EB21" i="34"/>
  <c r="ED25" i="34"/>
  <c r="ED24" i="34" s="1"/>
  <c r="ED23" i="34"/>
  <c r="ED20" i="34"/>
  <c r="ED19" i="34"/>
  <c r="ED18" i="34"/>
  <c r="ED17" i="34"/>
  <c r="ED16" i="34"/>
  <c r="ED15" i="34"/>
  <c r="ED14" i="34"/>
  <c r="ED13" i="34"/>
  <c r="ED12" i="34"/>
  <c r="ED11" i="34"/>
  <c r="ED10" i="34"/>
  <c r="ED9" i="34"/>
  <c r="ED8" i="34"/>
  <c r="ED7" i="34"/>
  <c r="G47" i="23"/>
  <c r="F47" i="23"/>
  <c r="E47" i="23"/>
  <c r="D47" i="23"/>
  <c r="C47" i="23"/>
  <c r="I47" i="23"/>
  <c r="BA49" i="9"/>
  <c r="BA51" i="9"/>
  <c r="BA37" i="10"/>
  <c r="BA37" i="1"/>
  <c r="EC27" i="34" l="1"/>
  <c r="EB27" i="34"/>
  <c r="ED21" i="34"/>
  <c r="ED27" i="34" s="1"/>
  <c r="BD37" i="10"/>
  <c r="BD37" i="1"/>
  <c r="DC322" i="73" l="1"/>
  <c r="DD322" i="73" l="1"/>
  <c r="DE322" i="73" s="1"/>
  <c r="DF322" i="73" s="1"/>
  <c r="DG322" i="73" s="1"/>
  <c r="DC323" i="73"/>
  <c r="DC32" i="73"/>
  <c r="DC27" i="73"/>
  <c r="DC22" i="73"/>
  <c r="DC301" i="73"/>
  <c r="DC295" i="73"/>
  <c r="DC289" i="73"/>
  <c r="DC11" i="73"/>
  <c r="DC6" i="73"/>
  <c r="DC291" i="73" l="1"/>
  <c r="DC34" i="73"/>
  <c r="DC39" i="73"/>
  <c r="DC44" i="73"/>
  <c r="DC321" i="73"/>
  <c r="DC320" i="73"/>
  <c r="DC297" i="73"/>
  <c r="DC19" i="73"/>
  <c r="DC24" i="73"/>
  <c r="DC29" i="73"/>
  <c r="DC285" i="73"/>
  <c r="AT10" i="26"/>
  <c r="AT12" i="26" s="1"/>
  <c r="AT13" i="26" l="1"/>
  <c r="Z18" i="81"/>
  <c r="Z15" i="81"/>
  <c r="AS10" i="66"/>
  <c r="AS23" i="55"/>
  <c r="AS13" i="55"/>
  <c r="AS26" i="65"/>
  <c r="AS25" i="65"/>
  <c r="AS24" i="65"/>
  <c r="AS23" i="65"/>
  <c r="AS22" i="65"/>
  <c r="AS19" i="65"/>
  <c r="AS11" i="65"/>
  <c r="AS86" i="71"/>
  <c r="AS85" i="71"/>
  <c r="AS84" i="71"/>
  <c r="AS83" i="71"/>
  <c r="AS82" i="71"/>
  <c r="AS81" i="71"/>
  <c r="AS80" i="71"/>
  <c r="AS79" i="71"/>
  <c r="AS78" i="71"/>
  <c r="AS77" i="71"/>
  <c r="AS76" i="71"/>
  <c r="AS75" i="71"/>
  <c r="AS74" i="71"/>
  <c r="AS73" i="71"/>
  <c r="AS72" i="71"/>
  <c r="AS71" i="71"/>
  <c r="AS70" i="71"/>
  <c r="AS69" i="71"/>
  <c r="AS68" i="71"/>
  <c r="AS67" i="71"/>
  <c r="AS66" i="71"/>
  <c r="AS65" i="71"/>
  <c r="AS64" i="71"/>
  <c r="AS61" i="71"/>
  <c r="AS32" i="71"/>
  <c r="AS23" i="53"/>
  <c r="AS21" i="53"/>
  <c r="AS20" i="53"/>
  <c r="AS15" i="53"/>
  <c r="AS17" i="53" s="1"/>
  <c r="AS8" i="53"/>
  <c r="AS10" i="53" s="1"/>
  <c r="AS45" i="52"/>
  <c r="AS44" i="52"/>
  <c r="AS43" i="52"/>
  <c r="AS42" i="52"/>
  <c r="AS41" i="52"/>
  <c r="AS40" i="52"/>
  <c r="AS39" i="52"/>
  <c r="AS38" i="52"/>
  <c r="AS35" i="52"/>
  <c r="AS19" i="52"/>
  <c r="AS53" i="49"/>
  <c r="AS52" i="49"/>
  <c r="AS51" i="49"/>
  <c r="AS50" i="49"/>
  <c r="AS49" i="49"/>
  <c r="AS48" i="49"/>
  <c r="AS47" i="49"/>
  <c r="AS46" i="49"/>
  <c r="AS45" i="49"/>
  <c r="AS44" i="49"/>
  <c r="AS43" i="49"/>
  <c r="AS42" i="49"/>
  <c r="AS39" i="49"/>
  <c r="AS21" i="49"/>
  <c r="AS22" i="49" s="1"/>
  <c r="AT29" i="48"/>
  <c r="AT24" i="48"/>
  <c r="AO21" i="72"/>
  <c r="AW112" i="46"/>
  <c r="AW111" i="46"/>
  <c r="AW110" i="46"/>
  <c r="AW109" i="46"/>
  <c r="AW108" i="46"/>
  <c r="AW107" i="46"/>
  <c r="AW77" i="46"/>
  <c r="AW76" i="46"/>
  <c r="AW75" i="46"/>
  <c r="AW72" i="46"/>
  <c r="AW66" i="46"/>
  <c r="AW58" i="46"/>
  <c r="AW57" i="46"/>
  <c r="AW56" i="46"/>
  <c r="AW53" i="46"/>
  <c r="AW47" i="46"/>
  <c r="AW34" i="46"/>
  <c r="AW28" i="46"/>
  <c r="AW20" i="46"/>
  <c r="AW19" i="46"/>
  <c r="AW18" i="46"/>
  <c r="AW15" i="46"/>
  <c r="AW9" i="46"/>
  <c r="AT31" i="45"/>
  <c r="AT30" i="45"/>
  <c r="AT29" i="45"/>
  <c r="AT28" i="45"/>
  <c r="AT27" i="45"/>
  <c r="AT26" i="45"/>
  <c r="AT23" i="45"/>
  <c r="AT13" i="45"/>
  <c r="AT18" i="39"/>
  <c r="AT9" i="39"/>
  <c r="AT47" i="61"/>
  <c r="AT46" i="61"/>
  <c r="AT45" i="61"/>
  <c r="AT50" i="61"/>
  <c r="AT49" i="61"/>
  <c r="AT44" i="61"/>
  <c r="AT43" i="61"/>
  <c r="AT42" i="61"/>
  <c r="AT41" i="61"/>
  <c r="AT40" i="61"/>
  <c r="AT39" i="61"/>
  <c r="AT38" i="61"/>
  <c r="AT35" i="61"/>
  <c r="AT32" i="61"/>
  <c r="AT19" i="61"/>
  <c r="AT16" i="61"/>
  <c r="AT29" i="32"/>
  <c r="AT28" i="32"/>
  <c r="AT27" i="32"/>
  <c r="AT26" i="32"/>
  <c r="AT25" i="32"/>
  <c r="AS28" i="31"/>
  <c r="AS27" i="31"/>
  <c r="AS26" i="31"/>
  <c r="AS25" i="31"/>
  <c r="AS24" i="31"/>
  <c r="AS21" i="31"/>
  <c r="AS20" i="31" s="1"/>
  <c r="AS12" i="31"/>
  <c r="AT24" i="30"/>
  <c r="AT21" i="30"/>
  <c r="AT22" i="30" s="1"/>
  <c r="AT15" i="30"/>
  <c r="AT18" i="30" s="1"/>
  <c r="AT7" i="30"/>
  <c r="AT10" i="30" s="1"/>
  <c r="AT17" i="29"/>
  <c r="AT16" i="29"/>
  <c r="AT8" i="29"/>
  <c r="AT13" i="29"/>
  <c r="AT20" i="26"/>
  <c r="AT22" i="26" s="1"/>
  <c r="AT23" i="26" s="1"/>
  <c r="AS13" i="24"/>
  <c r="AW40" i="33"/>
  <c r="AW31" i="33"/>
  <c r="AW28" i="33"/>
  <c r="AO24" i="72" l="1"/>
  <c r="AS24" i="55"/>
  <c r="AS22" i="53"/>
  <c r="AS24" i="53" s="1"/>
  <c r="AW59" i="46"/>
  <c r="AW78" i="46"/>
  <c r="AT18" i="29"/>
  <c r="AS51" i="52"/>
  <c r="AT25" i="30"/>
  <c r="AW45" i="33"/>
  <c r="AS90" i="71"/>
  <c r="AS27" i="65"/>
  <c r="AW41" i="33"/>
  <c r="AT51" i="61"/>
  <c r="AS30" i="31"/>
  <c r="AS29" i="31" s="1"/>
  <c r="AW21" i="46"/>
  <c r="AS57" i="49"/>
  <c r="AT30" i="48"/>
  <c r="AT33" i="45"/>
  <c r="AT48" i="61"/>
  <c r="AS11" i="31"/>
  <c r="AW17" i="33"/>
  <c r="X24" i="13"/>
  <c r="Y24" i="13"/>
  <c r="X25" i="13"/>
  <c r="Y25" i="13"/>
  <c r="Y22" i="13"/>
  <c r="Y21" i="13"/>
  <c r="Y20" i="13"/>
  <c r="Y19" i="13"/>
  <c r="Y18" i="13"/>
  <c r="AW42" i="33" l="1"/>
  <c r="Y23" i="13"/>
  <c r="X23" i="13"/>
  <c r="BA8" i="12"/>
  <c r="BA10" i="10"/>
  <c r="BA12" i="10" s="1"/>
  <c r="BA14" i="10" s="1"/>
  <c r="BA16" i="10" s="1"/>
  <c r="BA9" i="1"/>
  <c r="BF21" i="2"/>
  <c r="AS25" i="55" s="1"/>
  <c r="BF6" i="2"/>
  <c r="BE123" i="9"/>
  <c r="BA11" i="1" l="1"/>
  <c r="BA10" i="12" s="1"/>
  <c r="BB18" i="9"/>
  <c r="BF10" i="2"/>
  <c r="AS11" i="53" s="1"/>
  <c r="BA52" i="9"/>
  <c r="BA35" i="10"/>
  <c r="BA50" i="9"/>
  <c r="AT11" i="30"/>
  <c r="BA13" i="1"/>
  <c r="BA15" i="1" s="1"/>
  <c r="BA40" i="10"/>
  <c r="BA43" i="10" s="1"/>
  <c r="BA45" i="10" s="1"/>
  <c r="BA48" i="10" s="1"/>
  <c r="BA12" i="12" l="1"/>
  <c r="BA14" i="12" s="1"/>
  <c r="BF16" i="2"/>
  <c r="BF19" i="2" s="1"/>
  <c r="BF24" i="2" s="1"/>
  <c r="BF26" i="2" s="1"/>
  <c r="BF28" i="2" s="1"/>
  <c r="BA53" i="9"/>
  <c r="BA36" i="10"/>
  <c r="BA35" i="1"/>
  <c r="BA40" i="1"/>
  <c r="BA43" i="1" s="1"/>
  <c r="BA45" i="1" s="1"/>
  <c r="BA48" i="1" s="1"/>
  <c r="BB45" i="9"/>
  <c r="BA12" i="9"/>
  <c r="BA13" i="9"/>
  <c r="BA18" i="9"/>
  <c r="AR33" i="67"/>
  <c r="AR29" i="67"/>
  <c r="AR22" i="67"/>
  <c r="AR17" i="67"/>
  <c r="AR20" i="67" s="1"/>
  <c r="AR13" i="67"/>
  <c r="AR9" i="67"/>
  <c r="AO94" i="63"/>
  <c r="BI78" i="3"/>
  <c r="BA17" i="9" s="1"/>
  <c r="BI61" i="3"/>
  <c r="BI42" i="3"/>
  <c r="BI33" i="3"/>
  <c r="BI23" i="3"/>
  <c r="BI6" i="3"/>
  <c r="BA34" i="12" l="1"/>
  <c r="BA39" i="12"/>
  <c r="BF30" i="2"/>
  <c r="AO18" i="63"/>
  <c r="AP93" i="63"/>
  <c r="BI90" i="3"/>
  <c r="BA36" i="1"/>
  <c r="AR39" i="67"/>
  <c r="BA6" i="9"/>
  <c r="BA8" i="9"/>
  <c r="BA7" i="9"/>
  <c r="BI39" i="3"/>
  <c r="BA14" i="9"/>
  <c r="BA35" i="12" l="1"/>
  <c r="BA42" i="12"/>
  <c r="BA44" i="12" s="1"/>
  <c r="BA48" i="12" s="1"/>
  <c r="BA50" i="12" s="1"/>
  <c r="BI91" i="3"/>
  <c r="AO87" i="63"/>
  <c r="AO79" i="63"/>
  <c r="AO54" i="63"/>
  <c r="AO45" i="63"/>
  <c r="AO12" i="63"/>
  <c r="AO13" i="63"/>
  <c r="BA196" i="77" l="1"/>
  <c r="BB196" i="77"/>
  <c r="DB323" i="73" l="1"/>
  <c r="DB32" i="73"/>
  <c r="DB27" i="73"/>
  <c r="DB22" i="73"/>
  <c r="DB301" i="73"/>
  <c r="DB295" i="73"/>
  <c r="DB289" i="73"/>
  <c r="DB11" i="73"/>
  <c r="DB6" i="73"/>
  <c r="DB285" i="73" l="1"/>
  <c r="DB39" i="73"/>
  <c r="DB44" i="73"/>
  <c r="DB34" i="73"/>
  <c r="DB320" i="73"/>
  <c r="DB321" i="73"/>
  <c r="DB291" i="73"/>
  <c r="DB297" i="73"/>
  <c r="DB19" i="73"/>
  <c r="DB24" i="73"/>
  <c r="DB29" i="73"/>
  <c r="DA323" i="73"/>
  <c r="DA32" i="73"/>
  <c r="DA27" i="73"/>
  <c r="DA22" i="73"/>
  <c r="DA301" i="73"/>
  <c r="DA295" i="73"/>
  <c r="DA289" i="73"/>
  <c r="DA11" i="73"/>
  <c r="DA6" i="73"/>
  <c r="DA221" i="73"/>
  <c r="DA217" i="73"/>
  <c r="DA24" i="73" l="1"/>
  <c r="DA39" i="73"/>
  <c r="DA44" i="73"/>
  <c r="DA34" i="73"/>
  <c r="DA320" i="73"/>
  <c r="DA321" i="73"/>
  <c r="BB195" i="77"/>
  <c r="DA29" i="73"/>
  <c r="DA291" i="73"/>
  <c r="BA195" i="77"/>
  <c r="DA297" i="73"/>
  <c r="BB194" i="77"/>
  <c r="DA19" i="73"/>
  <c r="DA285" i="73"/>
  <c r="BA194" i="77"/>
  <c r="CZ323" i="73" l="1"/>
  <c r="CZ32" i="73"/>
  <c r="CZ27" i="73"/>
  <c r="CZ22" i="73"/>
  <c r="CZ301" i="73"/>
  <c r="CZ295" i="73"/>
  <c r="CZ289" i="73"/>
  <c r="CZ11" i="73"/>
  <c r="CZ6" i="73"/>
  <c r="CZ221" i="73"/>
  <c r="CZ217" i="73"/>
  <c r="CZ29" i="73" l="1"/>
  <c r="CZ44" i="73"/>
  <c r="CZ39" i="73"/>
  <c r="CZ34" i="73"/>
  <c r="CZ321" i="73"/>
  <c r="CZ320" i="73"/>
  <c r="CZ24" i="73"/>
  <c r="CZ285" i="73"/>
  <c r="CZ297" i="73"/>
  <c r="CZ19" i="73"/>
  <c r="CZ291" i="73"/>
  <c r="J16" i="76"/>
  <c r="CY32" i="73" l="1"/>
  <c r="CX32" i="73"/>
  <c r="CW32" i="73"/>
  <c r="CV32" i="73"/>
  <c r="CU32" i="73"/>
  <c r="CT32" i="73"/>
  <c r="CS32" i="73"/>
  <c r="CR32" i="73"/>
  <c r="CQ32" i="73"/>
  <c r="CP32" i="73"/>
  <c r="CO32" i="73"/>
  <c r="CN32" i="73"/>
  <c r="CM32" i="73"/>
  <c r="CL32" i="73"/>
  <c r="CK32" i="73"/>
  <c r="CJ32" i="73"/>
  <c r="CI32" i="73"/>
  <c r="CH32" i="73"/>
  <c r="CG32" i="73"/>
  <c r="CF32" i="73"/>
  <c r="CE32" i="73"/>
  <c r="CD32" i="73"/>
  <c r="CC32" i="73"/>
  <c r="CB32" i="73"/>
  <c r="CA32" i="73"/>
  <c r="BZ32" i="73"/>
  <c r="BY32" i="73"/>
  <c r="BX32" i="73"/>
  <c r="BW32" i="73"/>
  <c r="BV32" i="73"/>
  <c r="BU32" i="73"/>
  <c r="BT32" i="73"/>
  <c r="BS32" i="73"/>
  <c r="BR32" i="73"/>
  <c r="BQ32" i="73"/>
  <c r="BP32" i="73"/>
  <c r="BO32" i="73"/>
  <c r="BN32" i="73"/>
  <c r="BM32" i="73"/>
  <c r="BL32" i="73"/>
  <c r="BK32" i="73"/>
  <c r="BJ32" i="73"/>
  <c r="BI32" i="73"/>
  <c r="BH32" i="73"/>
  <c r="BG32" i="73"/>
  <c r="BF32" i="73"/>
  <c r="BE32" i="73"/>
  <c r="BD32" i="73"/>
  <c r="BC32" i="73"/>
  <c r="BB32" i="73"/>
  <c r="BA32" i="73"/>
  <c r="AZ32" i="73"/>
  <c r="AY32" i="73"/>
  <c r="AX32" i="73"/>
  <c r="AW32" i="73"/>
  <c r="AV32" i="73"/>
  <c r="AU32" i="73"/>
  <c r="AT32" i="73"/>
  <c r="AS32" i="73"/>
  <c r="AR32" i="73"/>
  <c r="AQ32" i="73"/>
  <c r="AP32" i="73"/>
  <c r="AO32" i="73"/>
  <c r="AN32" i="73"/>
  <c r="AL32" i="73"/>
  <c r="AK32" i="73"/>
  <c r="AJ32" i="73"/>
  <c r="AI32" i="73"/>
  <c r="AH32" i="73"/>
  <c r="AG32" i="73"/>
  <c r="AF32" i="73"/>
  <c r="AE32" i="73"/>
  <c r="AD32" i="73"/>
  <c r="AC32" i="73"/>
  <c r="AB32" i="73"/>
  <c r="AA32" i="73"/>
  <c r="Z32" i="73"/>
  <c r="Y32" i="73"/>
  <c r="X32" i="73"/>
  <c r="W32" i="73"/>
  <c r="V32" i="73"/>
  <c r="U32" i="73"/>
  <c r="T32" i="73"/>
  <c r="S32" i="73"/>
  <c r="R32" i="73"/>
  <c r="Q32" i="73"/>
  <c r="P32" i="73"/>
  <c r="O32" i="73"/>
  <c r="N32" i="73"/>
  <c r="M32" i="73"/>
  <c r="L32" i="73"/>
  <c r="K32" i="73"/>
  <c r="J32" i="73"/>
  <c r="I32" i="73"/>
  <c r="H32" i="73"/>
  <c r="G32" i="73"/>
  <c r="F32" i="73"/>
  <c r="E32" i="73"/>
  <c r="D32" i="73"/>
  <c r="C32" i="73"/>
  <c r="CY27" i="73"/>
  <c r="CX27" i="73"/>
  <c r="CW27" i="73"/>
  <c r="CV27" i="73"/>
  <c r="CU27" i="73"/>
  <c r="CT27" i="73"/>
  <c r="CS27" i="73"/>
  <c r="CR27" i="73"/>
  <c r="CQ27" i="73"/>
  <c r="CP27" i="73"/>
  <c r="CO27" i="73"/>
  <c r="CN27" i="73"/>
  <c r="CM27" i="73"/>
  <c r="CL27" i="73"/>
  <c r="CK27" i="73"/>
  <c r="CJ27" i="73"/>
  <c r="CI27" i="73"/>
  <c r="CH27" i="73"/>
  <c r="CG27" i="73"/>
  <c r="CF27" i="73"/>
  <c r="CE27" i="73"/>
  <c r="CD27" i="73"/>
  <c r="CC27" i="73"/>
  <c r="CB27" i="73"/>
  <c r="CA27" i="73"/>
  <c r="BZ27" i="73"/>
  <c r="BY27" i="73"/>
  <c r="BX27" i="73"/>
  <c r="BW27" i="73"/>
  <c r="BV27" i="73"/>
  <c r="BU27" i="73"/>
  <c r="BT27" i="73"/>
  <c r="BS27" i="73"/>
  <c r="BR27" i="73"/>
  <c r="BQ27" i="73"/>
  <c r="BP27" i="73"/>
  <c r="BO27" i="73"/>
  <c r="BN27" i="73"/>
  <c r="BM27" i="73"/>
  <c r="BL27" i="73"/>
  <c r="BK27" i="73"/>
  <c r="BJ27" i="73"/>
  <c r="BI27" i="73"/>
  <c r="BH27" i="73"/>
  <c r="BG27" i="73"/>
  <c r="BF27" i="73"/>
  <c r="BE27" i="73"/>
  <c r="BD27" i="73"/>
  <c r="BC27" i="73"/>
  <c r="BB27" i="73"/>
  <c r="BA27" i="73"/>
  <c r="AZ27" i="73"/>
  <c r="AY27" i="73"/>
  <c r="AX27" i="73"/>
  <c r="AW27" i="73"/>
  <c r="AV27" i="73"/>
  <c r="AU27" i="73"/>
  <c r="AT27" i="73"/>
  <c r="AS27" i="73"/>
  <c r="AR27" i="73"/>
  <c r="AQ27" i="73"/>
  <c r="AP27" i="73"/>
  <c r="AO27" i="73"/>
  <c r="AN27" i="73"/>
  <c r="AL27" i="73"/>
  <c r="AK27" i="73"/>
  <c r="AJ27" i="73"/>
  <c r="AI27" i="73"/>
  <c r="AH27" i="73"/>
  <c r="AG27" i="73"/>
  <c r="AF27" i="73"/>
  <c r="AE27" i="73"/>
  <c r="AD27" i="73"/>
  <c r="AC27" i="73"/>
  <c r="AB27" i="73"/>
  <c r="AA27" i="73"/>
  <c r="Z27" i="73"/>
  <c r="Y27" i="73"/>
  <c r="X27" i="73"/>
  <c r="W27" i="73"/>
  <c r="V27" i="73"/>
  <c r="K27" i="73"/>
  <c r="J27" i="73"/>
  <c r="I27" i="73"/>
  <c r="H27" i="73"/>
  <c r="G27" i="73"/>
  <c r="F27" i="73"/>
  <c r="E27" i="73"/>
  <c r="D27" i="73"/>
  <c r="C27" i="73"/>
  <c r="CY22" i="73"/>
  <c r="CX22" i="73"/>
  <c r="CW22" i="73"/>
  <c r="CV22" i="73"/>
  <c r="CU22" i="73"/>
  <c r="CT22" i="73"/>
  <c r="CS22" i="73"/>
  <c r="CR22" i="73"/>
  <c r="CQ22" i="73"/>
  <c r="CP22" i="73"/>
  <c r="CO22" i="73"/>
  <c r="CN22" i="73"/>
  <c r="CM22" i="73"/>
  <c r="CL22" i="73"/>
  <c r="CK22" i="73"/>
  <c r="CJ22" i="73"/>
  <c r="CI22" i="73"/>
  <c r="CH22" i="73"/>
  <c r="CG22" i="73"/>
  <c r="CF22" i="73"/>
  <c r="CE22" i="73"/>
  <c r="CD22" i="73"/>
  <c r="CC22" i="73"/>
  <c r="CB22" i="73"/>
  <c r="CA22" i="73"/>
  <c r="BZ22" i="73"/>
  <c r="BY22" i="73"/>
  <c r="BX22" i="73"/>
  <c r="BW22" i="73"/>
  <c r="BV22" i="73"/>
  <c r="BU22" i="73"/>
  <c r="BT22" i="73"/>
  <c r="BS22" i="73"/>
  <c r="BR22" i="73"/>
  <c r="BQ22" i="73"/>
  <c r="BP22" i="73"/>
  <c r="BO22" i="73"/>
  <c r="BN22" i="73"/>
  <c r="BM22" i="73"/>
  <c r="BL22" i="73"/>
  <c r="BK22" i="73"/>
  <c r="BJ22" i="73"/>
  <c r="BI22" i="73"/>
  <c r="BH22" i="73"/>
  <c r="BG22" i="73"/>
  <c r="BF22" i="73"/>
  <c r="BE22" i="73"/>
  <c r="BD22" i="73"/>
  <c r="BC22" i="73"/>
  <c r="BB22" i="73"/>
  <c r="BA22" i="73"/>
  <c r="AZ22" i="73"/>
  <c r="AY22" i="73"/>
  <c r="AX22" i="73"/>
  <c r="AW22" i="73"/>
  <c r="AV22" i="73"/>
  <c r="AU22" i="73"/>
  <c r="AT22" i="73"/>
  <c r="AS22" i="73"/>
  <c r="AR22" i="73"/>
  <c r="AQ22" i="73"/>
  <c r="AP22" i="73"/>
  <c r="AO22" i="73"/>
  <c r="AN22" i="73"/>
  <c r="AL22" i="73"/>
  <c r="AK22" i="73"/>
  <c r="AJ22" i="73"/>
  <c r="AI22" i="73"/>
  <c r="AH22" i="73"/>
  <c r="AG22" i="73"/>
  <c r="AF22" i="73"/>
  <c r="AE22" i="73"/>
  <c r="AD22" i="73"/>
  <c r="AC22" i="73"/>
  <c r="AB22" i="73"/>
  <c r="AA22" i="73"/>
  <c r="Z22" i="73"/>
  <c r="Y22" i="73"/>
  <c r="X22" i="73"/>
  <c r="W22" i="73"/>
  <c r="V22" i="73"/>
  <c r="U22" i="73"/>
  <c r="T22" i="73"/>
  <c r="S22" i="73"/>
  <c r="R22" i="73"/>
  <c r="Q22" i="73"/>
  <c r="P22" i="73"/>
  <c r="O22" i="73"/>
  <c r="N22" i="73"/>
  <c r="M22" i="73"/>
  <c r="L22" i="73"/>
  <c r="K22" i="73"/>
  <c r="J22" i="73"/>
  <c r="I22" i="73"/>
  <c r="H22" i="73"/>
  <c r="G22" i="73"/>
  <c r="F22" i="73"/>
  <c r="E22" i="73"/>
  <c r="D22" i="73"/>
  <c r="C22" i="73"/>
  <c r="CX9" i="73" l="1"/>
  <c r="CW9" i="73"/>
  <c r="CV9" i="73"/>
  <c r="CU9" i="73"/>
  <c r="CT9" i="73"/>
  <c r="CS9" i="73"/>
  <c r="CR9" i="73"/>
  <c r="CQ9" i="73"/>
  <c r="CP9" i="73"/>
  <c r="CO9" i="73"/>
  <c r="CN9" i="73"/>
  <c r="CM9" i="73"/>
  <c r="CL9" i="73"/>
  <c r="CK9" i="73"/>
  <c r="CJ9" i="73"/>
  <c r="CI9" i="73"/>
  <c r="CH9" i="73"/>
  <c r="CG9" i="73"/>
  <c r="CF9" i="73"/>
  <c r="CE9" i="73"/>
  <c r="CD9" i="73"/>
  <c r="CC9" i="73"/>
  <c r="CB9" i="73"/>
  <c r="CA9" i="73"/>
  <c r="BZ9" i="73"/>
  <c r="BY9" i="73"/>
  <c r="BX9" i="73"/>
  <c r="BW9" i="73"/>
  <c r="BV9" i="73"/>
  <c r="BU9" i="73"/>
  <c r="BT9" i="73"/>
  <c r="BS9" i="73"/>
  <c r="BR9" i="73"/>
  <c r="BQ9" i="73"/>
  <c r="BP9" i="73"/>
  <c r="BO9" i="73"/>
  <c r="BN9" i="73"/>
  <c r="BM9" i="73"/>
  <c r="BL9" i="73"/>
  <c r="BK9" i="73"/>
  <c r="BJ9" i="73"/>
  <c r="BI9" i="73"/>
  <c r="BH9" i="73"/>
  <c r="BG9" i="73"/>
  <c r="BF9" i="73"/>
  <c r="BE9" i="73"/>
  <c r="BD9" i="73"/>
  <c r="BC9" i="73"/>
  <c r="BB9" i="73"/>
  <c r="BA9" i="73"/>
  <c r="AZ9" i="73"/>
  <c r="AY9" i="73"/>
  <c r="AX9" i="73"/>
  <c r="AW9" i="73"/>
  <c r="AV9" i="73"/>
  <c r="AU9" i="73"/>
  <c r="AT9" i="73"/>
  <c r="AS9" i="73"/>
  <c r="AR9" i="73"/>
  <c r="AQ9" i="73"/>
  <c r="AP9" i="73"/>
  <c r="AO9" i="73"/>
  <c r="AN9" i="73"/>
  <c r="AL9" i="73"/>
  <c r="AK9" i="73"/>
  <c r="AJ9" i="73"/>
  <c r="AI9" i="73"/>
  <c r="AH9" i="73"/>
  <c r="AG9" i="73"/>
  <c r="AF9" i="73"/>
  <c r="AE9" i="73"/>
  <c r="AD9" i="73"/>
  <c r="AC9" i="73"/>
  <c r="AB9" i="73"/>
  <c r="AA9" i="73"/>
  <c r="Z9" i="73"/>
  <c r="Y9" i="73"/>
  <c r="X9" i="73"/>
  <c r="W9" i="73"/>
  <c r="V9" i="73"/>
  <c r="U9" i="73"/>
  <c r="T9" i="73"/>
  <c r="S9" i="73"/>
  <c r="R9" i="73"/>
  <c r="Q9" i="73"/>
  <c r="P9" i="73"/>
  <c r="O9" i="73"/>
  <c r="N9" i="73"/>
  <c r="M9" i="73"/>
  <c r="L9" i="73"/>
  <c r="K9" i="73"/>
  <c r="J9" i="73"/>
  <c r="I9" i="73"/>
  <c r="H9" i="73"/>
  <c r="G9" i="73"/>
  <c r="F9" i="73"/>
  <c r="E9" i="73"/>
  <c r="D9" i="73"/>
  <c r="C9" i="73"/>
  <c r="CY6" i="73"/>
  <c r="CX6" i="73"/>
  <c r="CW6" i="73"/>
  <c r="CV6" i="73"/>
  <c r="CU6" i="73"/>
  <c r="CT6" i="73"/>
  <c r="CS6" i="73"/>
  <c r="CR6" i="73"/>
  <c r="CQ6" i="73"/>
  <c r="CP6" i="73"/>
  <c r="CO6" i="73"/>
  <c r="CN6" i="73"/>
  <c r="CM6" i="73"/>
  <c r="CL6" i="73"/>
  <c r="CK6" i="73"/>
  <c r="CJ6" i="73"/>
  <c r="CI6" i="73"/>
  <c r="CH6" i="73"/>
  <c r="CG6" i="73"/>
  <c r="CF6" i="73"/>
  <c r="CE6" i="73"/>
  <c r="CD6" i="73"/>
  <c r="CC6" i="73"/>
  <c r="CB6" i="73"/>
  <c r="CA6" i="73"/>
  <c r="BZ6" i="73"/>
  <c r="BY6" i="73"/>
  <c r="BX6" i="73"/>
  <c r="BW6" i="73"/>
  <c r="BV6" i="73"/>
  <c r="BU6" i="73"/>
  <c r="BT6" i="73"/>
  <c r="BS6" i="73"/>
  <c r="BR6" i="73"/>
  <c r="BQ6" i="73"/>
  <c r="BP6" i="73"/>
  <c r="BO6" i="73"/>
  <c r="BN6" i="73"/>
  <c r="BM6" i="73"/>
  <c r="BL6" i="73"/>
  <c r="BK6" i="73"/>
  <c r="BJ6" i="73"/>
  <c r="BI6" i="73"/>
  <c r="BH6" i="73"/>
  <c r="BG6" i="73"/>
  <c r="BF6" i="73"/>
  <c r="BE6" i="73"/>
  <c r="BD6" i="73"/>
  <c r="BC6" i="73"/>
  <c r="BB6" i="73"/>
  <c r="BA6" i="73"/>
  <c r="AZ6" i="73"/>
  <c r="AY6" i="73"/>
  <c r="AX6" i="73"/>
  <c r="AW6" i="73"/>
  <c r="AV6" i="73"/>
  <c r="AU6" i="73"/>
  <c r="AT6" i="73"/>
  <c r="AS6" i="73"/>
  <c r="AR6" i="73"/>
  <c r="AQ6" i="73"/>
  <c r="AP6" i="73"/>
  <c r="AO6" i="73"/>
  <c r="AN6" i="73"/>
  <c r="AL6" i="73"/>
  <c r="AK6" i="73"/>
  <c r="AJ6" i="73"/>
  <c r="AI6" i="73"/>
  <c r="AH6" i="73"/>
  <c r="AG6" i="73"/>
  <c r="AF6" i="73"/>
  <c r="AE6" i="73"/>
  <c r="AD6" i="73"/>
  <c r="AC6" i="73"/>
  <c r="AB6" i="73"/>
  <c r="AA6" i="73"/>
  <c r="Z6" i="73"/>
  <c r="Y6" i="73"/>
  <c r="X6" i="73"/>
  <c r="W6" i="73"/>
  <c r="V6" i="73"/>
  <c r="U6" i="73"/>
  <c r="T6" i="73"/>
  <c r="S6" i="73"/>
  <c r="R6" i="73"/>
  <c r="Q6" i="73"/>
  <c r="P6" i="73"/>
  <c r="O6" i="73"/>
  <c r="N6" i="73"/>
  <c r="M6" i="73"/>
  <c r="L6" i="73"/>
  <c r="K6" i="73"/>
  <c r="J6" i="73"/>
  <c r="I6" i="73"/>
  <c r="H6" i="73"/>
  <c r="G6" i="73"/>
  <c r="F6" i="73"/>
  <c r="E6" i="73"/>
  <c r="D6" i="73"/>
  <c r="C6" i="73"/>
  <c r="CY301" i="73" l="1"/>
  <c r="CX301" i="73"/>
  <c r="CW301" i="73"/>
  <c r="CV301" i="73"/>
  <c r="CU301" i="73"/>
  <c r="CT301" i="73"/>
  <c r="CS301" i="73"/>
  <c r="CR301" i="73"/>
  <c r="CQ301" i="73"/>
  <c r="CP301" i="73"/>
  <c r="CO301" i="73"/>
  <c r="CN301" i="73"/>
  <c r="CM301" i="73"/>
  <c r="CL301" i="73"/>
  <c r="CK301" i="73"/>
  <c r="CJ301" i="73"/>
  <c r="CI301" i="73"/>
  <c r="CH301" i="73"/>
  <c r="CG301" i="73"/>
  <c r="CF301" i="73"/>
  <c r="CE301" i="73"/>
  <c r="CD301" i="73"/>
  <c r="CC301" i="73"/>
  <c r="CB301" i="73"/>
  <c r="CA301" i="73"/>
  <c r="BZ301" i="73"/>
  <c r="BY301" i="73"/>
  <c r="BX301" i="73"/>
  <c r="BW301" i="73"/>
  <c r="BV301" i="73"/>
  <c r="BU301" i="73"/>
  <c r="BT301" i="73"/>
  <c r="BS301" i="73"/>
  <c r="BR301" i="73"/>
  <c r="BQ301" i="73"/>
  <c r="BP301" i="73"/>
  <c r="BO301" i="73"/>
  <c r="BN301" i="73"/>
  <c r="BM301" i="73"/>
  <c r="BL301" i="73"/>
  <c r="BK301" i="73"/>
  <c r="BJ301" i="73"/>
  <c r="BI301" i="73"/>
  <c r="BH301" i="73"/>
  <c r="BG301" i="73"/>
  <c r="BF301" i="73"/>
  <c r="BE301" i="73"/>
  <c r="BD301" i="73"/>
  <c r="BC301" i="73"/>
  <c r="BB301" i="73"/>
  <c r="BA301" i="73"/>
  <c r="AZ301" i="73"/>
  <c r="AY301" i="73"/>
  <c r="AX301" i="73"/>
  <c r="AW301" i="73"/>
  <c r="AV301" i="73"/>
  <c r="AU301" i="73"/>
  <c r="AT301" i="73"/>
  <c r="AS301" i="73"/>
  <c r="AR301" i="73"/>
  <c r="AQ301" i="73"/>
  <c r="AP301" i="73"/>
  <c r="AO301" i="73"/>
  <c r="AN301" i="73"/>
  <c r="AL301" i="73"/>
  <c r="AK301" i="73"/>
  <c r="AJ301" i="73"/>
  <c r="AI301" i="73"/>
  <c r="AH301" i="73"/>
  <c r="AG301" i="73"/>
  <c r="AF301" i="73"/>
  <c r="AE301" i="73"/>
  <c r="AD301" i="73"/>
  <c r="AC301" i="73"/>
  <c r="AB301" i="73"/>
  <c r="AA301" i="73"/>
  <c r="Z301" i="73"/>
  <c r="Y301" i="73"/>
  <c r="X301" i="73"/>
  <c r="W301" i="73"/>
  <c r="V301" i="73"/>
  <c r="U301" i="73"/>
  <c r="T301" i="73"/>
  <c r="S301" i="73"/>
  <c r="R301" i="73"/>
  <c r="Q301" i="73"/>
  <c r="P301" i="73"/>
  <c r="O301" i="73"/>
  <c r="N301" i="73"/>
  <c r="M301" i="73"/>
  <c r="L301" i="73"/>
  <c r="K301" i="73"/>
  <c r="J301" i="73"/>
  <c r="I301" i="73"/>
  <c r="H301" i="73"/>
  <c r="G301" i="73"/>
  <c r="F301" i="73"/>
  <c r="E301" i="73"/>
  <c r="D301" i="73"/>
  <c r="C301" i="73"/>
  <c r="CY295" i="73"/>
  <c r="CY320" i="73" s="1"/>
  <c r="CX295" i="73"/>
  <c r="CW295" i="73"/>
  <c r="CV295" i="73"/>
  <c r="CU295" i="73"/>
  <c r="CT295" i="73"/>
  <c r="CS295" i="73"/>
  <c r="CR295" i="73"/>
  <c r="CQ295" i="73"/>
  <c r="CP295" i="73"/>
  <c r="CO295" i="73"/>
  <c r="CN295" i="73"/>
  <c r="CM295" i="73"/>
  <c r="CL295" i="73"/>
  <c r="CK295" i="73"/>
  <c r="CJ295" i="73"/>
  <c r="CI295" i="73"/>
  <c r="CH295" i="73"/>
  <c r="CG295" i="73"/>
  <c r="CF295" i="73"/>
  <c r="CE295" i="73"/>
  <c r="CD295" i="73"/>
  <c r="CC295" i="73"/>
  <c r="CB295" i="73"/>
  <c r="CA295" i="73"/>
  <c r="BZ295" i="73"/>
  <c r="BY295" i="73"/>
  <c r="BX295" i="73"/>
  <c r="BW295" i="73"/>
  <c r="BV295" i="73"/>
  <c r="BU295" i="73"/>
  <c r="BT295" i="73"/>
  <c r="BS295" i="73"/>
  <c r="BR295" i="73"/>
  <c r="BQ295" i="73"/>
  <c r="BP295" i="73"/>
  <c r="BO295" i="73"/>
  <c r="BN295" i="73"/>
  <c r="BM295" i="73"/>
  <c r="BL295" i="73"/>
  <c r="BK295" i="73"/>
  <c r="BJ295" i="73"/>
  <c r="BI295" i="73"/>
  <c r="BH295" i="73"/>
  <c r="BG295" i="73"/>
  <c r="BF295" i="73"/>
  <c r="BE295" i="73"/>
  <c r="BD295" i="73"/>
  <c r="BC295" i="73"/>
  <c r="BB295" i="73"/>
  <c r="BA295" i="73"/>
  <c r="AZ295" i="73"/>
  <c r="AY295" i="73"/>
  <c r="AX295" i="73"/>
  <c r="AW295" i="73"/>
  <c r="AV295" i="73"/>
  <c r="AU295" i="73"/>
  <c r="AT295" i="73"/>
  <c r="AS295" i="73"/>
  <c r="AR295" i="73"/>
  <c r="AQ295" i="73"/>
  <c r="AP295" i="73"/>
  <c r="AO295" i="73"/>
  <c r="AN295" i="73"/>
  <c r="AL295" i="73"/>
  <c r="AK295" i="73"/>
  <c r="AJ295" i="73"/>
  <c r="AI295" i="73"/>
  <c r="AH295" i="73"/>
  <c r="AG295" i="73"/>
  <c r="AF295" i="73"/>
  <c r="AE295" i="73"/>
  <c r="AD295" i="73"/>
  <c r="AC295" i="73"/>
  <c r="AB295" i="73"/>
  <c r="AA295" i="73"/>
  <c r="Z295" i="73"/>
  <c r="Y295" i="73"/>
  <c r="X295" i="73"/>
  <c r="W295" i="73"/>
  <c r="V295" i="73"/>
  <c r="K295" i="73"/>
  <c r="J295" i="73"/>
  <c r="I295" i="73"/>
  <c r="H295" i="73"/>
  <c r="G295" i="73"/>
  <c r="F295" i="73"/>
  <c r="E295" i="73"/>
  <c r="D295" i="73"/>
  <c r="C295" i="73"/>
  <c r="CY289" i="73"/>
  <c r="CX289" i="73"/>
  <c r="CW289" i="73"/>
  <c r="CV289" i="73"/>
  <c r="CU289" i="73"/>
  <c r="CT289" i="73"/>
  <c r="CS289" i="73"/>
  <c r="CR289" i="73"/>
  <c r="CQ289" i="73"/>
  <c r="CP289" i="73"/>
  <c r="CO289" i="73"/>
  <c r="CN289" i="73"/>
  <c r="CM289" i="73"/>
  <c r="CL289" i="73"/>
  <c r="CK289" i="73"/>
  <c r="CJ289" i="73"/>
  <c r="CI289" i="73"/>
  <c r="CH289" i="73"/>
  <c r="CG289" i="73"/>
  <c r="CF289" i="73"/>
  <c r="CE289" i="73"/>
  <c r="CD289" i="73"/>
  <c r="CC289" i="73"/>
  <c r="CB289" i="73"/>
  <c r="CA289" i="73"/>
  <c r="BZ289" i="73"/>
  <c r="BY289" i="73"/>
  <c r="BX289" i="73"/>
  <c r="BW289" i="73"/>
  <c r="BV289" i="73"/>
  <c r="BU289" i="73"/>
  <c r="BT289" i="73"/>
  <c r="BS289" i="73"/>
  <c r="BR289" i="73"/>
  <c r="BQ289" i="73"/>
  <c r="BP289" i="73"/>
  <c r="BO289" i="73"/>
  <c r="BN289" i="73"/>
  <c r="BM289" i="73"/>
  <c r="BL289" i="73"/>
  <c r="BK289" i="73"/>
  <c r="BJ289" i="73"/>
  <c r="BI289" i="73"/>
  <c r="BH289" i="73"/>
  <c r="BG289" i="73"/>
  <c r="BF289" i="73"/>
  <c r="BE289" i="73"/>
  <c r="BD289" i="73"/>
  <c r="BC289" i="73"/>
  <c r="BB289" i="73"/>
  <c r="BA289" i="73"/>
  <c r="AZ289" i="73"/>
  <c r="AY289" i="73"/>
  <c r="AX289" i="73"/>
  <c r="AW289" i="73"/>
  <c r="AV289" i="73"/>
  <c r="AU289" i="73"/>
  <c r="AT289" i="73"/>
  <c r="AS289" i="73"/>
  <c r="AR289" i="73"/>
  <c r="AQ289" i="73"/>
  <c r="AP289" i="73"/>
  <c r="AO289" i="73"/>
  <c r="AN289" i="73"/>
  <c r="AL289" i="73"/>
  <c r="AK289" i="73"/>
  <c r="AJ289" i="73"/>
  <c r="AI289" i="73"/>
  <c r="AH289" i="73"/>
  <c r="AG289" i="73"/>
  <c r="AF289" i="73"/>
  <c r="AE289" i="73"/>
  <c r="AD289" i="73"/>
  <c r="AC289" i="73"/>
  <c r="AB289" i="73"/>
  <c r="AA289" i="73"/>
  <c r="Z289" i="73"/>
  <c r="Y289" i="73"/>
  <c r="X289" i="73"/>
  <c r="W289" i="73"/>
  <c r="V289" i="73"/>
  <c r="U289" i="73"/>
  <c r="T289" i="73"/>
  <c r="S289" i="73"/>
  <c r="R289" i="73"/>
  <c r="Q289" i="73"/>
  <c r="P289" i="73"/>
  <c r="O289" i="73"/>
  <c r="N289" i="73"/>
  <c r="M289" i="73"/>
  <c r="L289" i="73"/>
  <c r="K289" i="73"/>
  <c r="J289" i="73"/>
  <c r="I289" i="73"/>
  <c r="H289" i="73"/>
  <c r="G289" i="73"/>
  <c r="F289" i="73"/>
  <c r="E289" i="73"/>
  <c r="D289" i="73"/>
  <c r="C289" i="73"/>
  <c r="CY321" i="73" l="1"/>
  <c r="AN13" i="63"/>
  <c r="AN12" i="63"/>
  <c r="C51" i="9" l="1"/>
  <c r="D51" i="9"/>
  <c r="E51" i="9"/>
  <c r="F51" i="9"/>
  <c r="G51" i="9"/>
  <c r="H51" i="9"/>
  <c r="I51" i="9"/>
  <c r="J51" i="9"/>
  <c r="K51" i="9"/>
  <c r="L51" i="9"/>
  <c r="M51" i="9"/>
  <c r="N51" i="9"/>
  <c r="O51" i="9"/>
  <c r="P51" i="9"/>
  <c r="R51" i="9"/>
  <c r="S51" i="9"/>
  <c r="T51" i="9"/>
  <c r="U51" i="9"/>
  <c r="V51" i="9"/>
  <c r="W51" i="9"/>
  <c r="X51" i="9"/>
  <c r="Y51" i="9"/>
  <c r="Z51" i="9"/>
  <c r="AA51" i="9"/>
  <c r="AB51" i="9"/>
  <c r="AC51" i="9"/>
  <c r="AD51" i="9"/>
  <c r="AF51" i="9"/>
  <c r="AG51" i="9"/>
  <c r="AH51" i="9"/>
  <c r="AH52" i="9" s="1"/>
  <c r="AI51" i="9"/>
  <c r="AJ51" i="9"/>
  <c r="AK51" i="9"/>
  <c r="AL51" i="9"/>
  <c r="AM51" i="9"/>
  <c r="AN51" i="9"/>
  <c r="AO51" i="9"/>
  <c r="AP51" i="9"/>
  <c r="AQ51" i="9"/>
  <c r="AR51" i="9"/>
  <c r="AS51" i="9"/>
  <c r="AT51" i="9"/>
  <c r="AU51" i="9"/>
  <c r="AV51" i="9"/>
  <c r="AW51" i="9"/>
  <c r="AX51" i="9"/>
  <c r="AY51" i="9"/>
  <c r="AZ51" i="9"/>
  <c r="AZ18" i="9" l="1"/>
  <c r="Y18" i="81" l="1"/>
  <c r="Y15" i="81"/>
  <c r="AO92" i="68"/>
  <c r="AO80" i="68"/>
  <c r="AO78" i="68"/>
  <c r="AO69" i="68"/>
  <c r="AO59" i="68"/>
  <c r="AO54" i="68"/>
  <c r="AO50" i="68"/>
  <c r="AO45" i="68"/>
  <c r="AO31" i="68"/>
  <c r="AO28" i="68"/>
  <c r="AO26" i="68"/>
  <c r="AO23" i="68"/>
  <c r="AO20" i="68"/>
  <c r="AR10" i="66"/>
  <c r="AR23" i="55"/>
  <c r="AV23" i="55"/>
  <c r="AR13" i="55"/>
  <c r="AR22" i="65"/>
  <c r="AR23" i="65"/>
  <c r="AR24" i="65"/>
  <c r="AR25" i="65"/>
  <c r="AR26" i="65"/>
  <c r="AR19" i="65"/>
  <c r="AR11" i="65"/>
  <c r="AR64" i="71"/>
  <c r="AR65" i="71"/>
  <c r="AR66" i="71"/>
  <c r="AR67" i="71"/>
  <c r="AR68" i="71"/>
  <c r="AR69" i="71"/>
  <c r="AR70" i="71"/>
  <c r="AR71" i="71"/>
  <c r="AR72" i="71"/>
  <c r="AR73" i="71"/>
  <c r="AR74" i="71"/>
  <c r="AR75" i="71"/>
  <c r="AR76" i="71"/>
  <c r="AR77" i="71"/>
  <c r="AR78" i="71"/>
  <c r="AR79" i="71"/>
  <c r="AR80" i="71"/>
  <c r="AR81" i="71"/>
  <c r="AR82" i="71"/>
  <c r="AR83" i="71"/>
  <c r="AR84" i="71"/>
  <c r="AR85" i="71"/>
  <c r="AR86" i="71"/>
  <c r="AR87" i="71"/>
  <c r="AR88" i="71"/>
  <c r="AR61" i="71"/>
  <c r="AR20" i="53"/>
  <c r="AR21" i="53"/>
  <c r="AR23" i="53"/>
  <c r="AR15" i="53"/>
  <c r="AR17" i="53" s="1"/>
  <c r="AR8" i="53"/>
  <c r="AR10" i="53" s="1"/>
  <c r="AR38" i="52"/>
  <c r="AR39" i="52"/>
  <c r="AR40" i="52"/>
  <c r="AR41" i="52"/>
  <c r="AR42" i="52"/>
  <c r="AR43" i="52"/>
  <c r="AR44" i="52"/>
  <c r="AR45" i="52"/>
  <c r="AR46" i="52"/>
  <c r="AR47" i="52"/>
  <c r="AR48" i="52"/>
  <c r="AR49" i="52"/>
  <c r="AR50" i="52"/>
  <c r="AR35" i="52"/>
  <c r="AR19" i="52"/>
  <c r="AR42" i="49"/>
  <c r="AR43" i="49"/>
  <c r="AR44" i="49"/>
  <c r="AR45" i="49"/>
  <c r="AR46" i="49"/>
  <c r="AR47" i="49"/>
  <c r="AR48" i="49"/>
  <c r="AR49" i="49"/>
  <c r="AR50" i="49"/>
  <c r="AR51" i="49"/>
  <c r="AR52" i="49"/>
  <c r="AR53" i="49"/>
  <c r="AR54" i="49"/>
  <c r="AR55" i="49"/>
  <c r="AR56" i="49"/>
  <c r="AR39" i="49"/>
  <c r="AR21" i="49"/>
  <c r="AR22" i="49" s="1"/>
  <c r="AS29" i="48"/>
  <c r="AS24" i="48"/>
  <c r="AN21" i="72"/>
  <c r="AV18" i="46"/>
  <c r="AV19" i="46"/>
  <c r="AV20" i="46"/>
  <c r="AV107" i="46"/>
  <c r="AV108" i="46"/>
  <c r="AV109" i="46"/>
  <c r="AV110" i="46"/>
  <c r="AV111" i="46"/>
  <c r="AV112" i="46"/>
  <c r="AV75" i="46"/>
  <c r="AV76" i="46"/>
  <c r="AV77" i="46"/>
  <c r="AV72" i="46"/>
  <c r="AV66" i="46"/>
  <c r="AV56" i="46"/>
  <c r="AV57" i="46"/>
  <c r="AV58" i="46"/>
  <c r="AV53" i="46"/>
  <c r="AV47" i="46"/>
  <c r="AV37" i="46"/>
  <c r="AV38" i="46"/>
  <c r="AV39" i="46"/>
  <c r="AV34" i="46"/>
  <c r="AV28" i="46"/>
  <c r="AV15" i="46"/>
  <c r="AV9" i="46"/>
  <c r="AS26" i="45"/>
  <c r="AS27" i="45"/>
  <c r="AS28" i="45"/>
  <c r="AS29" i="45"/>
  <c r="AS30" i="45"/>
  <c r="AS31" i="45"/>
  <c r="AS32" i="45"/>
  <c r="AW32" i="45"/>
  <c r="AS23" i="45"/>
  <c r="AS13" i="45"/>
  <c r="Y51" i="42"/>
  <c r="M51" i="42"/>
  <c r="AN24" i="72" l="1"/>
  <c r="AR24" i="55"/>
  <c r="AR22" i="53"/>
  <c r="AR24" i="53" s="1"/>
  <c r="AV78" i="46"/>
  <c r="AR90" i="71"/>
  <c r="AO32" i="68"/>
  <c r="AO60" i="68"/>
  <c r="AV21" i="46"/>
  <c r="AR51" i="52"/>
  <c r="AO51" i="68"/>
  <c r="AV59" i="46"/>
  <c r="AS33" i="45"/>
  <c r="AW33" i="45"/>
  <c r="AR27" i="65"/>
  <c r="AR57" i="49"/>
  <c r="AS30" i="48"/>
  <c r="AV40" i="46"/>
  <c r="AO61" i="68" l="1"/>
  <c r="AS18" i="39"/>
  <c r="AS9" i="39"/>
  <c r="I71" i="38"/>
  <c r="H71" i="38"/>
  <c r="G71" i="38"/>
  <c r="F71" i="38"/>
  <c r="E71" i="38"/>
  <c r="D71" i="38"/>
  <c r="C71" i="38"/>
  <c r="Y357" i="36"/>
  <c r="Y356" i="36"/>
  <c r="Y355" i="36"/>
  <c r="Y354" i="36"/>
  <c r="Y353" i="36"/>
  <c r="Y352" i="36"/>
  <c r="Y351" i="36"/>
  <c r="Y350" i="36"/>
  <c r="Y349" i="36"/>
  <c r="T357" i="36"/>
  <c r="T356" i="36"/>
  <c r="T355" i="36"/>
  <c r="T354" i="36"/>
  <c r="T353" i="36"/>
  <c r="T352" i="36"/>
  <c r="T351" i="36"/>
  <c r="T350" i="36"/>
  <c r="T349" i="36"/>
  <c r="N358" i="36"/>
  <c r="O358" i="36"/>
  <c r="EA25" i="34"/>
  <c r="EA24" i="34" s="1"/>
  <c r="DZ24" i="34"/>
  <c r="DY24" i="34"/>
  <c r="EA23" i="34"/>
  <c r="DZ23" i="34"/>
  <c r="DY23" i="34"/>
  <c r="DZ21" i="34"/>
  <c r="DY21" i="34"/>
  <c r="EA14" i="34"/>
  <c r="EA13" i="34"/>
  <c r="EA12" i="34"/>
  <c r="EA11" i="34"/>
  <c r="EA10" i="34"/>
  <c r="EA9" i="34"/>
  <c r="EA8" i="34"/>
  <c r="EA7" i="34"/>
  <c r="AS34" i="33"/>
  <c r="AS35" i="33"/>
  <c r="AS36" i="33"/>
  <c r="AS37" i="33"/>
  <c r="AS38" i="33"/>
  <c r="AS39" i="33"/>
  <c r="AS40" i="33"/>
  <c r="AT40" i="33"/>
  <c r="AS41" i="33"/>
  <c r="AS43" i="33"/>
  <c r="AS44" i="33"/>
  <c r="AS31" i="33"/>
  <c r="AS28" i="33"/>
  <c r="AS17" i="33"/>
  <c r="AS14" i="33"/>
  <c r="AS18" i="33" s="1"/>
  <c r="AS51" i="61"/>
  <c r="AS48" i="61"/>
  <c r="AS35" i="61"/>
  <c r="AS32" i="61"/>
  <c r="AS19" i="61"/>
  <c r="AS16" i="61"/>
  <c r="AS25" i="32"/>
  <c r="AS26" i="32"/>
  <c r="AS27" i="32"/>
  <c r="AS28" i="32"/>
  <c r="AS29" i="32"/>
  <c r="AR30" i="31"/>
  <c r="AR29" i="31" s="1"/>
  <c r="AR21" i="31"/>
  <c r="AR20" i="31" s="1"/>
  <c r="AR12" i="31"/>
  <c r="AR11" i="31" s="1"/>
  <c r="AS22" i="30"/>
  <c r="AS25" i="30" s="1"/>
  <c r="AS15" i="30"/>
  <c r="AS18" i="30" s="1"/>
  <c r="AS7" i="30"/>
  <c r="AS10" i="30" s="1"/>
  <c r="AS18" i="29"/>
  <c r="AS8" i="29"/>
  <c r="AS13" i="29"/>
  <c r="AS20" i="26"/>
  <c r="AS22" i="26" s="1"/>
  <c r="AS10" i="26"/>
  <c r="AS12" i="26" s="1"/>
  <c r="AS13" i="26" s="1"/>
  <c r="N53" i="23"/>
  <c r="M53" i="23"/>
  <c r="L53" i="23"/>
  <c r="K53" i="23"/>
  <c r="J53" i="23"/>
  <c r="G53" i="23"/>
  <c r="F53" i="23"/>
  <c r="E53" i="23"/>
  <c r="D53" i="23"/>
  <c r="C53" i="23"/>
  <c r="I53" i="23"/>
  <c r="I52" i="23"/>
  <c r="I51" i="23"/>
  <c r="I50" i="23"/>
  <c r="I49" i="23"/>
  <c r="I48" i="23"/>
  <c r="AR13" i="24"/>
  <c r="DZ27" i="34" l="1"/>
  <c r="EA21" i="34"/>
  <c r="EA27" i="34" s="1"/>
  <c r="DY27" i="34"/>
  <c r="AS45" i="33"/>
  <c r="AS42" i="33"/>
  <c r="AS23" i="26"/>
  <c r="Z22" i="13" l="1"/>
  <c r="Z21" i="13"/>
  <c r="Z20" i="13"/>
  <c r="Z19" i="13"/>
  <c r="Z18" i="13"/>
  <c r="AZ49" i="9"/>
  <c r="BG40" i="3"/>
  <c r="BH40" i="3"/>
  <c r="AZ12" i="9" s="1"/>
  <c r="AZ13" i="9"/>
  <c r="P340" i="79"/>
  <c r="R340" i="79" s="1"/>
  <c r="P339" i="79"/>
  <c r="R339" i="79" s="1"/>
  <c r="P338" i="79"/>
  <c r="R338" i="79" s="1"/>
  <c r="P337" i="79"/>
  <c r="R337" i="79" s="1"/>
  <c r="P336" i="79"/>
  <c r="R336" i="79" s="1"/>
  <c r="P335" i="79"/>
  <c r="R335" i="79" s="1"/>
  <c r="P334" i="79"/>
  <c r="R334" i="79" s="1"/>
  <c r="P333" i="79"/>
  <c r="P332" i="79"/>
  <c r="P329" i="79"/>
  <c r="R329" i="79" s="1"/>
  <c r="P328" i="79"/>
  <c r="R328" i="79" s="1"/>
  <c r="P327" i="79"/>
  <c r="R327" i="79" s="1"/>
  <c r="P326" i="79"/>
  <c r="R326" i="79" s="1"/>
  <c r="P325" i="79"/>
  <c r="R325" i="79" s="1"/>
  <c r="P324" i="79"/>
  <c r="R324" i="79" s="1"/>
  <c r="P323" i="79"/>
  <c r="R323" i="79" s="1"/>
  <c r="P322" i="79"/>
  <c r="R322" i="79" s="1"/>
  <c r="P321" i="79"/>
  <c r="AQ33" i="67"/>
  <c r="AQ29" i="67"/>
  <c r="AQ22" i="67"/>
  <c r="AQ17" i="67"/>
  <c r="AQ20" i="67" s="1"/>
  <c r="AQ13" i="67"/>
  <c r="AQ9" i="67"/>
  <c r="AN87" i="63"/>
  <c r="AN94" i="63"/>
  <c r="AN79" i="63"/>
  <c r="AN54" i="63"/>
  <c r="AN45" i="63"/>
  <c r="AO93" i="63" l="1"/>
  <c r="R333" i="79"/>
  <c r="R321" i="79"/>
  <c r="AQ39" i="67"/>
  <c r="AZ14" i="9"/>
  <c r="R332" i="79"/>
  <c r="BC29" i="9" l="1"/>
  <c r="BE122" i="9"/>
  <c r="BC136" i="9" l="1"/>
  <c r="BA45" i="9" l="1"/>
  <c r="BB193" i="77" l="1"/>
  <c r="BA193" i="77"/>
  <c r="AZ8" i="12" l="1"/>
  <c r="AZ36" i="12"/>
  <c r="AZ37" i="10"/>
  <c r="AZ10" i="10"/>
  <c r="AZ12" i="10" s="1"/>
  <c r="AZ14" i="10" s="1"/>
  <c r="AZ37" i="1"/>
  <c r="AZ9" i="1"/>
  <c r="AZ11" i="1" s="1"/>
  <c r="AZ13" i="1" s="1"/>
  <c r="BE6" i="2"/>
  <c r="BE21" i="2"/>
  <c r="AR25" i="55" s="1"/>
  <c r="BE11" i="2"/>
  <c r="BD11" i="2"/>
  <c r="BH78" i="3"/>
  <c r="BC30" i="9" s="1"/>
  <c r="BH61" i="3"/>
  <c r="BH42" i="3"/>
  <c r="AZ7" i="9" s="1"/>
  <c r="BH33" i="3"/>
  <c r="BH23" i="3"/>
  <c r="BH6" i="3"/>
  <c r="C316" i="73"/>
  <c r="D314" i="73"/>
  <c r="D316" i="73" s="1"/>
  <c r="CY323" i="73"/>
  <c r="CY11" i="73"/>
  <c r="CY221" i="73"/>
  <c r="CY217" i="73"/>
  <c r="AD192" i="77"/>
  <c r="AD193" i="77"/>
  <c r="AD194" i="77"/>
  <c r="AD195" i="77"/>
  <c r="AD196" i="77"/>
  <c r="CY44" i="73" l="1"/>
  <c r="CY34" i="73"/>
  <c r="CY39" i="73"/>
  <c r="BC137" i="9"/>
  <c r="AZ52" i="9"/>
  <c r="AZ17" i="9"/>
  <c r="BE10" i="2"/>
  <c r="AS11" i="30"/>
  <c r="AZ50" i="9"/>
  <c r="BH39" i="3"/>
  <c r="AZ8" i="9"/>
  <c r="AZ6" i="9"/>
  <c r="CY24" i="73"/>
  <c r="CY19" i="73"/>
  <c r="CY29" i="73"/>
  <c r="CY291" i="73"/>
  <c r="CY297" i="73"/>
  <c r="CY285" i="73"/>
  <c r="AZ10" i="12"/>
  <c r="AZ12" i="12" s="1"/>
  <c r="AZ14" i="12" s="1"/>
  <c r="BA192" i="77"/>
  <c r="AZ16" i="10"/>
  <c r="AZ15" i="1"/>
  <c r="BH90" i="3"/>
  <c r="BB192" i="77"/>
  <c r="AZ53" i="9" l="1"/>
  <c r="AR11" i="53"/>
  <c r="AZ35" i="10"/>
  <c r="AZ40" i="1"/>
  <c r="AZ43" i="1" s="1"/>
  <c r="AZ45" i="1" s="1"/>
  <c r="AZ48" i="1" s="1"/>
  <c r="AZ34" i="12"/>
  <c r="BE16" i="2"/>
  <c r="BH91" i="3"/>
  <c r="AZ39" i="12"/>
  <c r="AZ40" i="10"/>
  <c r="AZ43" i="10" s="1"/>
  <c r="AZ45" i="10" s="1"/>
  <c r="AZ48" i="10" s="1"/>
  <c r="AZ35" i="1"/>
  <c r="CX323" i="73"/>
  <c r="CX322" i="73"/>
  <c r="CX11" i="73"/>
  <c r="CX221" i="73"/>
  <c r="CX217" i="73"/>
  <c r="AD191" i="77"/>
  <c r="CX44" i="73" l="1"/>
  <c r="CX34" i="73"/>
  <c r="CX39" i="73"/>
  <c r="BC15" i="9"/>
  <c r="AZ42" i="12"/>
  <c r="AZ44" i="12" s="1"/>
  <c r="AZ48" i="12" s="1"/>
  <c r="BC24" i="9"/>
  <c r="BE19" i="2"/>
  <c r="AZ35" i="12"/>
  <c r="AZ36" i="1"/>
  <c r="AZ36" i="10"/>
  <c r="CX29" i="73"/>
  <c r="CX19" i="73"/>
  <c r="CX24" i="73"/>
  <c r="CX291" i="73"/>
  <c r="CX297" i="73"/>
  <c r="CX285" i="73"/>
  <c r="BB191" i="77"/>
  <c r="BA191" i="77"/>
  <c r="BE24" i="2" l="1"/>
  <c r="BE26" i="2" s="1"/>
  <c r="BE28" i="2" s="1"/>
  <c r="BE30" i="2" s="1"/>
  <c r="BC27" i="9"/>
  <c r="BC132" i="9" s="1"/>
  <c r="AZ50" i="12"/>
  <c r="BC25" i="9"/>
  <c r="AN18" i="63" l="1"/>
  <c r="AN63" i="63" s="1"/>
  <c r="DW24" i="34"/>
  <c r="DV24" i="34"/>
  <c r="DU24" i="34"/>
  <c r="DT24" i="34"/>
  <c r="DR24" i="34"/>
  <c r="DQ24" i="34"/>
  <c r="DP24" i="34"/>
  <c r="DO24" i="34"/>
  <c r="DN24" i="34"/>
  <c r="DM24" i="34"/>
  <c r="DH24" i="34"/>
  <c r="DG24" i="34"/>
  <c r="DE24" i="34"/>
  <c r="DD24" i="34"/>
  <c r="DC24" i="34"/>
  <c r="DB24" i="34"/>
  <c r="DA24" i="34"/>
  <c r="CY24" i="34"/>
  <c r="CX24" i="34"/>
  <c r="CU24" i="34"/>
  <c r="CT24" i="34"/>
  <c r="CS24" i="34"/>
  <c r="CR24" i="34"/>
  <c r="CP24" i="34"/>
  <c r="CO24" i="34"/>
  <c r="CM24" i="34"/>
  <c r="CL24" i="34"/>
  <c r="CK24" i="34"/>
  <c r="CJ24" i="34"/>
  <c r="CI24" i="34"/>
  <c r="CG24" i="34"/>
  <c r="CF24" i="34"/>
  <c r="CE24" i="34"/>
  <c r="CD24" i="34"/>
  <c r="CC24" i="34"/>
  <c r="CB24" i="34"/>
  <c r="CA24" i="34"/>
  <c r="BZ24" i="34"/>
  <c r="BY24" i="34"/>
  <c r="BX24" i="34"/>
  <c r="BW24" i="34"/>
  <c r="BV24" i="34"/>
  <c r="BU24" i="34"/>
  <c r="BT24" i="34"/>
  <c r="BR24" i="34"/>
  <c r="BQ24" i="34"/>
  <c r="BP24" i="34"/>
  <c r="BO24" i="34"/>
  <c r="BN24" i="34"/>
  <c r="BL24" i="34"/>
  <c r="BK24" i="34"/>
  <c r="BI24" i="34"/>
  <c r="BH24" i="34"/>
  <c r="BF24" i="34"/>
  <c r="BE24" i="34"/>
  <c r="BC24" i="34"/>
  <c r="BB24" i="34"/>
  <c r="BA24" i="34"/>
  <c r="AZ24" i="34"/>
  <c r="AY24" i="34"/>
  <c r="AX24" i="34"/>
  <c r="AW24" i="34"/>
  <c r="AV24" i="34"/>
  <c r="AU24" i="34"/>
  <c r="AT24" i="34"/>
  <c r="AS24" i="34"/>
  <c r="AR24" i="34"/>
  <c r="AQ24" i="34"/>
  <c r="AP24" i="34"/>
  <c r="AO24" i="34"/>
  <c r="AN24" i="34"/>
  <c r="AL24" i="34"/>
  <c r="AK24" i="34"/>
  <c r="AJ24" i="34"/>
  <c r="AH24" i="34"/>
  <c r="AG24" i="34"/>
  <c r="AE24" i="34"/>
  <c r="AD24" i="34"/>
  <c r="DS24" i="34"/>
  <c r="AN6" i="63" l="1"/>
  <c r="AN11" i="63" s="1"/>
  <c r="AN14" i="63" s="1"/>
  <c r="AN92" i="63"/>
  <c r="CW323" i="73"/>
  <c r="CW322" i="73"/>
  <c r="CW11" i="73"/>
  <c r="CW221" i="73"/>
  <c r="CW217" i="73"/>
  <c r="CW39" i="73" l="1"/>
  <c r="CW34" i="73"/>
  <c r="CW44" i="73"/>
  <c r="CW19" i="73"/>
  <c r="CW29" i="73"/>
  <c r="CW24" i="73"/>
  <c r="CW285" i="73"/>
  <c r="CW291" i="73"/>
  <c r="CW297" i="73"/>
  <c r="J347" i="36" l="1"/>
  <c r="J358" i="36" s="1"/>
  <c r="J370" i="36" l="1"/>
  <c r="F59" i="23"/>
  <c r="M59" i="23"/>
  <c r="G59" i="23"/>
  <c r="L59" i="23"/>
  <c r="N59" i="23"/>
  <c r="E59" i="23"/>
  <c r="C59" i="23"/>
  <c r="K59" i="23"/>
  <c r="D59" i="23"/>
  <c r="J59" i="23"/>
  <c r="DK24" i="34" l="1"/>
  <c r="DJ24" i="34"/>
  <c r="CV24" i="34"/>
  <c r="EL24" i="34"/>
  <c r="EK24" i="34"/>
  <c r="AT41" i="33"/>
  <c r="AV12" i="31" l="1"/>
  <c r="AT45" i="33"/>
  <c r="AT42" i="33" l="1"/>
  <c r="AM94" i="63"/>
  <c r="AN93" i="63" s="1"/>
  <c r="AN96" i="63" l="1"/>
  <c r="F47" i="38"/>
  <c r="D47" i="38"/>
  <c r="I47" i="38"/>
  <c r="C47" i="38"/>
  <c r="C7" i="30"/>
  <c r="D7" i="30"/>
  <c r="E7" i="30"/>
  <c r="F7" i="30"/>
  <c r="G7" i="30"/>
  <c r="H7" i="30"/>
  <c r="I7" i="30"/>
  <c r="J7" i="30"/>
  <c r="K7" i="30"/>
  <c r="L7" i="30"/>
  <c r="M7" i="30"/>
  <c r="N7" i="30"/>
  <c r="O7" i="30"/>
  <c r="P7" i="30"/>
  <c r="Q7" i="30"/>
  <c r="R7" i="30"/>
  <c r="S7" i="30"/>
  <c r="T7" i="30"/>
  <c r="U7" i="30"/>
  <c r="V7" i="30"/>
  <c r="W7" i="30"/>
  <c r="X7" i="30"/>
  <c r="Y7" i="30"/>
  <c r="Z7" i="30"/>
  <c r="AA7" i="30"/>
  <c r="AB7" i="30"/>
  <c r="AC7" i="30"/>
  <c r="AD7" i="30"/>
  <c r="AE7" i="30"/>
  <c r="AF7" i="30"/>
  <c r="AG7" i="30"/>
  <c r="AH7" i="30"/>
  <c r="AI7" i="30"/>
  <c r="AJ7" i="30"/>
  <c r="AK7" i="30"/>
  <c r="AL7" i="30"/>
  <c r="AN7" i="30"/>
  <c r="AO7" i="30"/>
  <c r="AP7" i="30"/>
  <c r="AQ7" i="30"/>
  <c r="AR7" i="30"/>
  <c r="AW7" i="30"/>
  <c r="AY10" i="10"/>
  <c r="EM25" i="34" l="1"/>
  <c r="EM24" i="34" s="1"/>
  <c r="AS54" i="68" l="1"/>
  <c r="AS50" i="68"/>
  <c r="AS28" i="68"/>
  <c r="AS26" i="68"/>
  <c r="AC15" i="81"/>
  <c r="AV50" i="52"/>
  <c r="AV49" i="52"/>
  <c r="AV48" i="52"/>
  <c r="AV47" i="52"/>
  <c r="AV46" i="52"/>
  <c r="AV56" i="49"/>
  <c r="AV55" i="49"/>
  <c r="AR8" i="72"/>
  <c r="AR21" i="72" s="1"/>
  <c r="AW19" i="44"/>
  <c r="AR24" i="72" l="1"/>
  <c r="AW15" i="44"/>
  <c r="AS59" i="68"/>
  <c r="AS60" i="68" s="1"/>
  <c r="AZ53" i="46"/>
  <c r="AZ47" i="46"/>
  <c r="AZ72" i="46"/>
  <c r="AV10" i="66"/>
  <c r="AW29" i="48"/>
  <c r="AW30" i="48" s="1"/>
  <c r="AW23" i="45"/>
  <c r="AZ15" i="46"/>
  <c r="AZ34" i="46"/>
  <c r="AZ66" i="46"/>
  <c r="AC18" i="81"/>
  <c r="AS20" i="68"/>
  <c r="AS31" i="68"/>
  <c r="AV11" i="65"/>
  <c r="AV15" i="53"/>
  <c r="AV17" i="53" s="1"/>
  <c r="AV10" i="53"/>
  <c r="AZ9" i="46"/>
  <c r="AZ28" i="46"/>
  <c r="AW14" i="45"/>
  <c r="AZ21" i="46" l="1"/>
  <c r="AW22" i="44"/>
  <c r="AW23" i="44" s="1"/>
  <c r="AW18" i="44"/>
  <c r="AZ40" i="46"/>
  <c r="AZ78" i="46"/>
  <c r="AZ59" i="46"/>
  <c r="AS32" i="68"/>
  <c r="G47" i="38" l="1"/>
  <c r="EM23" i="34"/>
  <c r="EL23" i="34"/>
  <c r="EK23" i="34"/>
  <c r="EM20" i="34"/>
  <c r="EM19" i="34"/>
  <c r="EM18" i="34"/>
  <c r="EM17" i="34"/>
  <c r="EM15" i="34"/>
  <c r="AT17" i="33"/>
  <c r="AW47" i="61"/>
  <c r="AW46" i="61"/>
  <c r="AW45" i="61"/>
  <c r="AW43" i="61"/>
  <c r="AW42" i="61"/>
  <c r="AW41" i="61"/>
  <c r="AW15" i="30"/>
  <c r="AW16" i="29"/>
  <c r="I23" i="23"/>
  <c r="I22" i="23"/>
  <c r="I19" i="23"/>
  <c r="I21" i="23"/>
  <c r="I20" i="23"/>
  <c r="I18" i="23"/>
  <c r="J18" i="76"/>
  <c r="J17" i="76"/>
  <c r="BE121" i="9"/>
  <c r="AY52" i="9"/>
  <c r="AY49" i="9"/>
  <c r="AY12" i="9"/>
  <c r="AY18" i="9"/>
  <c r="AY13" i="9"/>
  <c r="AZ45" i="9"/>
  <c r="AV26" i="31" l="1"/>
  <c r="AV27" i="31"/>
  <c r="AW22" i="30"/>
  <c r="AW39" i="61"/>
  <c r="AT28" i="33"/>
  <c r="AV21" i="31"/>
  <c r="AW17" i="29"/>
  <c r="AW18" i="29" s="1"/>
  <c r="AW10" i="26"/>
  <c r="AW38" i="61"/>
  <c r="AW40" i="61"/>
  <c r="M23" i="23"/>
  <c r="AW44" i="61"/>
  <c r="N23" i="23"/>
  <c r="AV25" i="31"/>
  <c r="AW19" i="61"/>
  <c r="AW8" i="29"/>
  <c r="AW13" i="29"/>
  <c r="AV28" i="31"/>
  <c r="AW50" i="61"/>
  <c r="AW32" i="61"/>
  <c r="AW18" i="30"/>
  <c r="EK21" i="34"/>
  <c r="AV24" i="31"/>
  <c r="AW20" i="26"/>
  <c r="AW35" i="61"/>
  <c r="AT14" i="33"/>
  <c r="AT18" i="33" s="1"/>
  <c r="AT31" i="33"/>
  <c r="EL21" i="34"/>
  <c r="EL27" i="34" s="1"/>
  <c r="EM16" i="34"/>
  <c r="AW49" i="61"/>
  <c r="AW16" i="61"/>
  <c r="AW10" i="30"/>
  <c r="F23" i="23"/>
  <c r="G23" i="23"/>
  <c r="AY14" i="9"/>
  <c r="BB29" i="9" l="1"/>
  <c r="AV30" i="31"/>
  <c r="AV29" i="31" s="1"/>
  <c r="AW48" i="61"/>
  <c r="H47" i="38"/>
  <c r="AW25" i="30"/>
  <c r="EK27" i="34"/>
  <c r="EM21" i="34"/>
  <c r="EM27" i="34" s="1"/>
  <c r="AW51" i="61"/>
  <c r="BB136" i="9" l="1"/>
  <c r="AP33" i="67"/>
  <c r="AP29" i="67"/>
  <c r="AP22" i="67"/>
  <c r="AP17" i="67"/>
  <c r="AP20" i="67" s="1"/>
  <c r="AP13" i="67"/>
  <c r="AP9" i="67"/>
  <c r="AP39" i="67" l="1"/>
  <c r="X22" i="13" l="1"/>
  <c r="X21" i="13"/>
  <c r="X20" i="13"/>
  <c r="X19" i="13"/>
  <c r="X18" i="13"/>
  <c r="AY36" i="12"/>
  <c r="AY8" i="12"/>
  <c r="AY12" i="10"/>
  <c r="AY37" i="10"/>
  <c r="AY9" i="1"/>
  <c r="AY37" i="1"/>
  <c r="BD21" i="2"/>
  <c r="BD6" i="2"/>
  <c r="BG78" i="3"/>
  <c r="BG61" i="3"/>
  <c r="BG42" i="3"/>
  <c r="AY7" i="9" s="1"/>
  <c r="BG33" i="3"/>
  <c r="BG23" i="3"/>
  <c r="BG6" i="3"/>
  <c r="AY11" i="1" l="1"/>
  <c r="AY17" i="9"/>
  <c r="BB30" i="9"/>
  <c r="AY50" i="9"/>
  <c r="BD10" i="2"/>
  <c r="AY14" i="10"/>
  <c r="AY16" i="10" s="1"/>
  <c r="BG90" i="3"/>
  <c r="BG39" i="3"/>
  <c r="AY8" i="9"/>
  <c r="AY6" i="9"/>
  <c r="AY13" i="1" l="1"/>
  <c r="AY15" i="1" s="1"/>
  <c r="AY35" i="1" s="1"/>
  <c r="AY10" i="12"/>
  <c r="BD16" i="2"/>
  <c r="BB137" i="9"/>
  <c r="BG91" i="3"/>
  <c r="AY35" i="10"/>
  <c r="AY40" i="10"/>
  <c r="CV323" i="73"/>
  <c r="CV322" i="73"/>
  <c r="CV11" i="73"/>
  <c r="CV221" i="73"/>
  <c r="CV217" i="73"/>
  <c r="AY40" i="1" l="1"/>
  <c r="CV39" i="73"/>
  <c r="CV34" i="73"/>
  <c r="CV44" i="73"/>
  <c r="AY12" i="12"/>
  <c r="AY14" i="12" s="1"/>
  <c r="BD19" i="2"/>
  <c r="AY36" i="1"/>
  <c r="AY36" i="10"/>
  <c r="AY43" i="10"/>
  <c r="AY45" i="10" s="1"/>
  <c r="AY48" i="10" s="1"/>
  <c r="AY43" i="1"/>
  <c r="AY45" i="1" s="1"/>
  <c r="AY48" i="1" s="1"/>
  <c r="CV29" i="73"/>
  <c r="CV24" i="73"/>
  <c r="CV19" i="73"/>
  <c r="CV291" i="73"/>
  <c r="CV285" i="73"/>
  <c r="CV297" i="73"/>
  <c r="BB190" i="77"/>
  <c r="BA190" i="77"/>
  <c r="BB189" i="77"/>
  <c r="BA189" i="77"/>
  <c r="CU323" i="73"/>
  <c r="CU322" i="73"/>
  <c r="CU11" i="73"/>
  <c r="CU221" i="73"/>
  <c r="CU217" i="73"/>
  <c r="CU39" i="73" l="1"/>
  <c r="CU44" i="73"/>
  <c r="CU34" i="73"/>
  <c r="AY39" i="12"/>
  <c r="BB24" i="9" s="1"/>
  <c r="AY34" i="12"/>
  <c r="BB27" i="9"/>
  <c r="BB132" i="9" s="1"/>
  <c r="BD24" i="2"/>
  <c r="BD26" i="2" s="1"/>
  <c r="BD28" i="2" s="1"/>
  <c r="CU24" i="73"/>
  <c r="CU29" i="73"/>
  <c r="CU19" i="73"/>
  <c r="CU291" i="73"/>
  <c r="CU297" i="73"/>
  <c r="CU285" i="73"/>
  <c r="BC16" i="9" l="1"/>
  <c r="AY42" i="12"/>
  <c r="AY44" i="12" s="1"/>
  <c r="AY48" i="12" s="1"/>
  <c r="AY35" i="12"/>
  <c r="BD30" i="2"/>
  <c r="K17" i="76" s="1"/>
  <c r="AM18" i="63"/>
  <c r="BB188" i="77"/>
  <c r="BA188" i="77"/>
  <c r="BB25" i="9" l="1"/>
  <c r="AY50" i="12"/>
  <c r="P311" i="79"/>
  <c r="R311" i="79" s="1"/>
  <c r="CT323" i="73" l="1"/>
  <c r="CT322" i="73"/>
  <c r="CT11" i="73"/>
  <c r="CT221" i="73"/>
  <c r="CT217" i="73"/>
  <c r="CT44" i="73" l="1"/>
  <c r="CT34" i="73"/>
  <c r="CT39" i="73"/>
  <c r="CT19" i="73"/>
  <c r="CT24" i="73"/>
  <c r="CT29" i="73"/>
  <c r="CT297" i="73"/>
  <c r="CT285" i="73"/>
  <c r="CT291" i="73"/>
  <c r="P317" i="79" l="1"/>
  <c r="R317" i="79" s="1"/>
  <c r="P315" i="79"/>
  <c r="R315" i="79" s="1"/>
  <c r="P312" i="79"/>
  <c r="R312" i="79" s="1"/>
  <c r="P314" i="79" l="1"/>
  <c r="R314" i="79" s="1"/>
  <c r="P310" i="79"/>
  <c r="P313" i="79"/>
  <c r="R313" i="79" s="1"/>
  <c r="P318" i="79"/>
  <c r="R318" i="79" s="1"/>
  <c r="P316" i="79"/>
  <c r="R316" i="79" s="1"/>
  <c r="R310" i="79" l="1"/>
  <c r="AV24" i="55" l="1"/>
  <c r="AY45" i="9"/>
  <c r="AN80" i="68" l="1"/>
  <c r="AN54" i="68"/>
  <c r="AN31" i="68"/>
  <c r="AN28" i="68"/>
  <c r="AN26" i="68"/>
  <c r="AN23" i="68"/>
  <c r="AV25" i="55" l="1"/>
  <c r="AN50" i="68"/>
  <c r="AN69" i="68"/>
  <c r="AN20" i="68"/>
  <c r="AN32" i="68" s="1"/>
  <c r="AN45" i="68"/>
  <c r="AN59" i="68"/>
  <c r="AN60" i="68" s="1"/>
  <c r="AN92" i="68"/>
  <c r="AN78" i="68"/>
  <c r="AN51" i="68" l="1"/>
  <c r="AN61" i="68" s="1"/>
  <c r="N152" i="80"/>
  <c r="AQ84" i="71"/>
  <c r="AQ88" i="71"/>
  <c r="AQ8" i="53"/>
  <c r="AQ10" i="53" s="1"/>
  <c r="AQ11" i="53" s="1"/>
  <c r="AQ44" i="52"/>
  <c r="AQ42" i="52"/>
  <c r="AQ50" i="52"/>
  <c r="AQ49" i="52"/>
  <c r="AQ48" i="52"/>
  <c r="AQ47" i="52"/>
  <c r="AQ46" i="52"/>
  <c r="AQ56" i="49"/>
  <c r="AQ55" i="49"/>
  <c r="AQ52" i="49"/>
  <c r="AQ51" i="49"/>
  <c r="AQ50" i="49"/>
  <c r="AQ46" i="49"/>
  <c r="AQ42" i="49"/>
  <c r="AU109" i="46"/>
  <c r="AU108" i="46"/>
  <c r="AU107" i="46"/>
  <c r="AU76" i="46"/>
  <c r="AU66" i="46"/>
  <c r="AU58" i="46"/>
  <c r="AU19" i="46"/>
  <c r="AU18" i="46"/>
  <c r="AR29" i="45"/>
  <c r="AR32" i="45"/>
  <c r="AR31" i="45"/>
  <c r="AR30" i="45"/>
  <c r="AQ86" i="71" l="1"/>
  <c r="AQ15" i="53"/>
  <c r="AQ17" i="53" s="1"/>
  <c r="AQ21" i="53"/>
  <c r="AQ43" i="49"/>
  <c r="AR28" i="45"/>
  <c r="AQ23" i="53"/>
  <c r="AU38" i="46"/>
  <c r="AR26" i="45"/>
  <c r="AR27" i="45"/>
  <c r="AU47" i="46"/>
  <c r="AQ48" i="49"/>
  <c r="AU57" i="46"/>
  <c r="AU110" i="46"/>
  <c r="AQ26" i="65"/>
  <c r="AQ4" i="55"/>
  <c r="BB15" i="9" s="1"/>
  <c r="AU20" i="46"/>
  <c r="AU21" i="46" s="1"/>
  <c r="AQ44" i="49"/>
  <c r="X18" i="81"/>
  <c r="AU53" i="46"/>
  <c r="AQ45" i="49"/>
  <c r="AQ53" i="49"/>
  <c r="AQ49" i="49"/>
  <c r="AQ43" i="52"/>
  <c r="AQ10" i="66"/>
  <c r="F151" i="80"/>
  <c r="F152" i="80"/>
  <c r="AU9" i="46"/>
  <c r="AU39" i="46"/>
  <c r="AR29" i="48"/>
  <c r="AU37" i="46"/>
  <c r="AU56" i="46"/>
  <c r="AU77" i="46"/>
  <c r="AR24" i="48"/>
  <c r="AR23" i="45"/>
  <c r="AU75" i="46"/>
  <c r="AQ24" i="65"/>
  <c r="X15" i="81"/>
  <c r="N150" i="80"/>
  <c r="F150" i="80"/>
  <c r="N151" i="80"/>
  <c r="AQ23" i="55"/>
  <c r="AQ25" i="65"/>
  <c r="AQ19" i="65"/>
  <c r="AQ22" i="65"/>
  <c r="AQ11" i="65"/>
  <c r="AQ23" i="65"/>
  <c r="AQ20" i="53"/>
  <c r="AQ38" i="52"/>
  <c r="AQ35" i="52"/>
  <c r="AQ39" i="52"/>
  <c r="AQ41" i="52"/>
  <c r="AQ45" i="52"/>
  <c r="AQ19" i="52"/>
  <c r="AQ40" i="52"/>
  <c r="AQ47" i="49"/>
  <c r="AU112" i="46"/>
  <c r="AU111" i="46"/>
  <c r="AU72" i="46"/>
  <c r="AU78" i="46" s="1"/>
  <c r="AU28" i="46"/>
  <c r="AU15" i="46"/>
  <c r="AU34" i="46"/>
  <c r="AR13" i="45"/>
  <c r="AR14" i="45" s="1"/>
  <c r="G78" i="38"/>
  <c r="Y345" i="36"/>
  <c r="T345" i="36"/>
  <c r="Y343" i="36"/>
  <c r="T343" i="36"/>
  <c r="Y340" i="36"/>
  <c r="DX23" i="34"/>
  <c r="DW23" i="34"/>
  <c r="DV23" i="34"/>
  <c r="DX20" i="34"/>
  <c r="DX19" i="34"/>
  <c r="DX18" i="34"/>
  <c r="DX17" i="34"/>
  <c r="DX15" i="34"/>
  <c r="DX13" i="34"/>
  <c r="AR40" i="33"/>
  <c r="AR47" i="61"/>
  <c r="AR46" i="61"/>
  <c r="AR45" i="61"/>
  <c r="AR43" i="61"/>
  <c r="AR42" i="61"/>
  <c r="AR50" i="61"/>
  <c r="AR49" i="61"/>
  <c r="AR29" i="32"/>
  <c r="AR28" i="32"/>
  <c r="AR27" i="32"/>
  <c r="AR25" i="32"/>
  <c r="AQ26" i="31"/>
  <c r="AQ24" i="31"/>
  <c r="AR15" i="30"/>
  <c r="AR13" i="29"/>
  <c r="AR17" i="29"/>
  <c r="AR16" i="29"/>
  <c r="W22" i="13"/>
  <c r="W21" i="13"/>
  <c r="W20" i="13"/>
  <c r="W19" i="13"/>
  <c r="W18" i="13"/>
  <c r="AQ22" i="53" l="1"/>
  <c r="AQ24" i="53" s="1"/>
  <c r="AR33" i="45"/>
  <c r="AU59" i="46"/>
  <c r="DX7" i="34"/>
  <c r="DX16" i="34"/>
  <c r="AR39" i="61"/>
  <c r="AR10" i="26"/>
  <c r="AR12" i="26" s="1"/>
  <c r="AR13" i="26" s="1"/>
  <c r="AR10" i="30"/>
  <c r="AR11" i="30" s="1"/>
  <c r="DW21" i="34"/>
  <c r="DW27" i="34" s="1"/>
  <c r="Y342" i="36"/>
  <c r="AR44" i="33"/>
  <c r="AR20" i="26"/>
  <c r="AR22" i="26" s="1"/>
  <c r="AR23" i="26" s="1"/>
  <c r="AR32" i="61"/>
  <c r="AQ27" i="31"/>
  <c r="AR36" i="33"/>
  <c r="AR18" i="29"/>
  <c r="AR37" i="33"/>
  <c r="AR31" i="33"/>
  <c r="Y341" i="36"/>
  <c r="AR18" i="30"/>
  <c r="AQ21" i="31"/>
  <c r="AQ20" i="31" s="1"/>
  <c r="AR40" i="61"/>
  <c r="AR38" i="33"/>
  <c r="DV21" i="34"/>
  <c r="DX11" i="34"/>
  <c r="T342" i="36"/>
  <c r="D80" i="38"/>
  <c r="AR16" i="61"/>
  <c r="AR35" i="61"/>
  <c r="AR43" i="33"/>
  <c r="DX9" i="34"/>
  <c r="DX12" i="34"/>
  <c r="F80" i="38"/>
  <c r="E80" i="38"/>
  <c r="M50" i="42"/>
  <c r="AQ25" i="31"/>
  <c r="AQ28" i="31"/>
  <c r="AR28" i="33"/>
  <c r="DX10" i="34"/>
  <c r="DX25" i="34"/>
  <c r="DX24" i="34" s="1"/>
  <c r="G77" i="38"/>
  <c r="AR38" i="61"/>
  <c r="AR39" i="33"/>
  <c r="C80" i="38"/>
  <c r="AR30" i="48"/>
  <c r="AQ27" i="65"/>
  <c r="AQ51" i="52"/>
  <c r="AU40" i="46"/>
  <c r="AR14" i="33"/>
  <c r="AR18" i="33" s="1"/>
  <c r="AQ12" i="31"/>
  <c r="AQ11" i="31" s="1"/>
  <c r="AR44" i="61"/>
  <c r="AQ13" i="24"/>
  <c r="AR26" i="32"/>
  <c r="AR51" i="61"/>
  <c r="AR24" i="30"/>
  <c r="AR41" i="33"/>
  <c r="AR21" i="30"/>
  <c r="AR22" i="30" s="1"/>
  <c r="AR9" i="39"/>
  <c r="AR18" i="39"/>
  <c r="T344" i="36"/>
  <c r="T340" i="36"/>
  <c r="T339" i="36"/>
  <c r="T341" i="36"/>
  <c r="T346" i="36"/>
  <c r="Y339" i="36"/>
  <c r="DX8" i="34"/>
  <c r="AR34" i="33"/>
  <c r="AR35" i="33"/>
  <c r="AR17" i="33"/>
  <c r="AR19" i="61"/>
  <c r="AR20" i="61" s="1"/>
  <c r="AR41" i="61"/>
  <c r="AR8" i="29"/>
  <c r="DX21" i="34" l="1"/>
  <c r="DX27" i="34" s="1"/>
  <c r="AQ30" i="31"/>
  <c r="AQ29" i="31" s="1"/>
  <c r="DV27" i="34"/>
  <c r="AR25" i="30"/>
  <c r="AR45" i="33"/>
  <c r="G80" i="38"/>
  <c r="AR48" i="61"/>
  <c r="H80" i="38"/>
  <c r="AR42" i="33"/>
  <c r="BD24" i="12" l="1"/>
  <c r="BD22" i="12"/>
  <c r="BD20" i="12"/>
  <c r="BD18" i="12"/>
  <c r="BD17" i="12"/>
  <c r="BD16" i="12"/>
  <c r="BD15" i="12"/>
  <c r="BD9" i="1"/>
  <c r="BG133" i="9" l="1"/>
  <c r="BF133" i="9"/>
  <c r="BE133" i="9"/>
  <c r="BD133" i="9"/>
  <c r="BC133" i="9"/>
  <c r="BC134" i="9" s="1"/>
  <c r="BB133" i="9"/>
  <c r="BB134" i="9" s="1"/>
  <c r="BA187" i="77"/>
  <c r="BB187" i="77"/>
  <c r="BD11" i="1"/>
  <c r="BD13" i="1" l="1"/>
  <c r="BD15" i="1" s="1"/>
  <c r="BD40" i="1" l="1"/>
  <c r="BD35" i="1"/>
  <c r="CS323" i="73"/>
  <c r="CS322" i="73"/>
  <c r="CS11" i="73"/>
  <c r="CS221" i="73"/>
  <c r="CS217" i="73"/>
  <c r="CS44" i="73" l="1"/>
  <c r="CS34" i="73"/>
  <c r="CS39" i="73"/>
  <c r="CS19" i="73"/>
  <c r="CS24" i="73"/>
  <c r="CS29" i="73"/>
  <c r="CS291" i="73"/>
  <c r="CS297" i="73"/>
  <c r="CS285" i="73"/>
  <c r="BD43" i="1"/>
  <c r="BD45" i="1" s="1"/>
  <c r="BD48" i="1" s="1"/>
  <c r="BD36" i="1"/>
  <c r="AN33" i="45"/>
  <c r="AP23" i="45"/>
  <c r="AO23" i="45"/>
  <c r="AN23" i="45"/>
  <c r="AL23" i="45"/>
  <c r="AK23" i="45"/>
  <c r="AO23" i="55"/>
  <c r="AN23" i="55"/>
  <c r="AL23" i="55"/>
  <c r="AK23" i="55"/>
  <c r="AJ23" i="55"/>
  <c r="AI23" i="55"/>
  <c r="BA186" i="77" l="1"/>
  <c r="BB186" i="77"/>
  <c r="CR323" i="73" l="1"/>
  <c r="CR322" i="73"/>
  <c r="CR11" i="73"/>
  <c r="CR221" i="73"/>
  <c r="CR217" i="73"/>
  <c r="CR39" i="73" l="1"/>
  <c r="CR34" i="73"/>
  <c r="CR44" i="73"/>
  <c r="CR24" i="73"/>
  <c r="CR29" i="73"/>
  <c r="CR19" i="73"/>
  <c r="CR291" i="73"/>
  <c r="CR297" i="73"/>
  <c r="CR285" i="73"/>
  <c r="T335" i="36"/>
  <c r="W324" i="36" l="1"/>
  <c r="W319" i="36"/>
  <c r="T325" i="36"/>
  <c r="T323" i="36"/>
  <c r="T322" i="36"/>
  <c r="T320" i="36"/>
  <c r="T326" i="36"/>
  <c r="G319" i="36"/>
  <c r="T319" i="36" s="1"/>
  <c r="L324" i="36"/>
  <c r="G314" i="36" l="1"/>
  <c r="G324" i="36" s="1"/>
  <c r="T324" i="36" s="1"/>
  <c r="D311" i="36"/>
  <c r="D321" i="36" s="1"/>
  <c r="T321" i="36" l="1"/>
  <c r="T304" i="36"/>
  <c r="T301" i="36"/>
  <c r="X309" i="36" l="1"/>
  <c r="X319" i="36" l="1"/>
  <c r="Y306" i="36" l="1"/>
  <c r="Y305" i="36"/>
  <c r="Y304" i="36"/>
  <c r="Y303" i="36"/>
  <c r="Y302" i="36"/>
  <c r="Y301" i="36"/>
  <c r="Y300" i="36"/>
  <c r="Y299" i="36"/>
  <c r="Y316" i="36"/>
  <c r="Y315" i="36"/>
  <c r="Y314" i="36"/>
  <c r="Y313" i="36"/>
  <c r="Y312" i="36"/>
  <c r="Y311" i="36"/>
  <c r="Y310" i="36"/>
  <c r="Y309" i="36"/>
  <c r="Y326" i="36"/>
  <c r="Y325" i="36"/>
  <c r="Y324" i="36"/>
  <c r="Y323" i="36"/>
  <c r="Y322" i="36"/>
  <c r="Y321" i="36"/>
  <c r="Y320" i="36"/>
  <c r="Y319" i="36"/>
  <c r="X307" i="36"/>
  <c r="X317" i="36" s="1"/>
  <c r="X327" i="36" s="1"/>
  <c r="Y335" i="36"/>
  <c r="Y333" i="36"/>
  <c r="W307" i="36"/>
  <c r="W317" i="36" s="1"/>
  <c r="W327" i="36" s="1"/>
  <c r="Y307" i="36" l="1"/>
  <c r="Y317" i="36" s="1"/>
  <c r="Y327" i="36" s="1"/>
  <c r="Y331" i="36"/>
  <c r="Y336" i="36"/>
  <c r="Y329" i="36"/>
  <c r="Y332" i="36"/>
  <c r="Y334" i="36"/>
  <c r="Y330" i="36"/>
  <c r="X337" i="36"/>
  <c r="X347" i="36" s="1"/>
  <c r="W337" i="36"/>
  <c r="X358" i="36" l="1"/>
  <c r="Y337" i="36"/>
  <c r="X370" i="36" l="1"/>
  <c r="X382" i="36" s="1"/>
  <c r="X394" i="36" s="1"/>
  <c r="X406" i="36" s="1"/>
  <c r="X418" i="36" s="1"/>
  <c r="X430" i="36" s="1"/>
  <c r="BA185" i="77"/>
  <c r="BB185" i="77"/>
  <c r="AL59" i="68"/>
  <c r="AJ59" i="68"/>
  <c r="AI59" i="68"/>
  <c r="AH59" i="68"/>
  <c r="AG59" i="68"/>
  <c r="AF59" i="68"/>
  <c r="AE59" i="68"/>
  <c r="AD59" i="68"/>
  <c r="AC59" i="68"/>
  <c r="AB59" i="68"/>
  <c r="AA59" i="68"/>
  <c r="Z59" i="68"/>
  <c r="Y59" i="68"/>
  <c r="X59" i="68"/>
  <c r="W59" i="68"/>
  <c r="V59" i="68"/>
  <c r="U59" i="68"/>
  <c r="T59" i="68"/>
  <c r="S59" i="68"/>
  <c r="R59" i="68"/>
  <c r="Q59" i="68"/>
  <c r="P59" i="68"/>
  <c r="O59" i="68"/>
  <c r="N59" i="68"/>
  <c r="M59" i="68"/>
  <c r="L59" i="68"/>
  <c r="K59" i="68"/>
  <c r="J59" i="68"/>
  <c r="I59" i="68"/>
  <c r="H59" i="68"/>
  <c r="G59" i="68"/>
  <c r="F59" i="68"/>
  <c r="E59" i="68"/>
  <c r="C59" i="68"/>
  <c r="AI20" i="68"/>
  <c r="AK59" i="68" l="1"/>
  <c r="T333" i="36"/>
  <c r="AQ23" i="45" l="1"/>
  <c r="AP23" i="55"/>
  <c r="T334" i="36"/>
  <c r="T332" i="36"/>
  <c r="T336" i="36"/>
  <c r="T329" i="36"/>
  <c r="T330" i="36"/>
  <c r="T331" i="36"/>
  <c r="AQ13" i="55" l="1"/>
  <c r="AQ24" i="55" s="1"/>
  <c r="AQ25" i="55" l="1"/>
  <c r="E19" i="76"/>
  <c r="J21" i="76"/>
  <c r="J20" i="76"/>
  <c r="CQ323" i="73" l="1"/>
  <c r="CQ322" i="73"/>
  <c r="CQ11" i="73"/>
  <c r="CQ221" i="73"/>
  <c r="CQ217" i="73"/>
  <c r="CQ39" i="73" l="1"/>
  <c r="CQ34" i="73"/>
  <c r="CQ44" i="73"/>
  <c r="CQ24" i="73"/>
  <c r="CQ19" i="73"/>
  <c r="CQ29" i="73"/>
  <c r="CQ297" i="73"/>
  <c r="CQ291" i="73"/>
  <c r="CQ285" i="73"/>
  <c r="M80" i="36"/>
  <c r="M86" i="36" s="1"/>
  <c r="M90" i="36" s="1"/>
  <c r="M97" i="36" s="1"/>
  <c r="M103" i="36" s="1"/>
  <c r="M110" i="36" s="1"/>
  <c r="M118" i="36" s="1"/>
  <c r="M127" i="36" s="1"/>
  <c r="M133" i="36" s="1"/>
  <c r="M139" i="36" s="1"/>
  <c r="M147" i="36" s="1"/>
  <c r="M156" i="36" s="1"/>
  <c r="M165" i="36" s="1"/>
  <c r="M174" i="36" s="1"/>
  <c r="M183" i="36" s="1"/>
  <c r="M192" i="36" s="1"/>
  <c r="M201" i="36" s="1"/>
  <c r="M210" i="36" s="1"/>
  <c r="M219" i="36" s="1"/>
  <c r="M227" i="36" s="1"/>
  <c r="M235" i="36" s="1"/>
  <c r="M243" i="36" s="1"/>
  <c r="M251" i="36" s="1"/>
  <c r="M259" i="36" s="1"/>
  <c r="M267" i="36" s="1"/>
  <c r="M277" i="36" s="1"/>
  <c r="M287" i="36" s="1"/>
  <c r="M297" i="36" s="1"/>
  <c r="M307" i="36" s="1"/>
  <c r="M317" i="36" s="1"/>
  <c r="M327" i="36" s="1"/>
  <c r="M337" i="36" l="1"/>
  <c r="M347" i="36" s="1"/>
  <c r="M358" i="36" l="1"/>
  <c r="AP13" i="45"/>
  <c r="AO13" i="45"/>
  <c r="AN13" i="45"/>
  <c r="AJ36" i="33"/>
  <c r="AI36" i="33"/>
  <c r="AE36" i="33"/>
  <c r="AD36" i="33"/>
  <c r="AC36" i="33"/>
  <c r="AB36" i="33"/>
  <c r="AA36" i="33"/>
  <c r="Z36" i="33"/>
  <c r="Y36" i="33"/>
  <c r="X36" i="33"/>
  <c r="W36" i="33"/>
  <c r="V36" i="33"/>
  <c r="U36" i="33"/>
  <c r="T36" i="33"/>
  <c r="S36" i="33"/>
  <c r="R36" i="33"/>
  <c r="Q36" i="33"/>
  <c r="P36" i="33"/>
  <c r="O36" i="33"/>
  <c r="N36" i="33"/>
  <c r="M36" i="33"/>
  <c r="L36" i="33"/>
  <c r="K36" i="33"/>
  <c r="J36" i="33"/>
  <c r="I36" i="33"/>
  <c r="H36" i="33"/>
  <c r="G36" i="33"/>
  <c r="F36" i="33"/>
  <c r="E36" i="33"/>
  <c r="D36" i="33"/>
  <c r="C36" i="33"/>
  <c r="AP36" i="33"/>
  <c r="AO36" i="33"/>
  <c r="AN36" i="33"/>
  <c r="AL36" i="33"/>
  <c r="AK36" i="33"/>
  <c r="AH36" i="33"/>
  <c r="AG36" i="33"/>
  <c r="AF36" i="33"/>
  <c r="M370" i="36" l="1"/>
  <c r="AQ36" i="33"/>
  <c r="AQ13" i="45"/>
  <c r="M382" i="36" l="1"/>
  <c r="M394" i="36" s="1"/>
  <c r="M406" i="36" s="1"/>
  <c r="M418" i="36" s="1"/>
  <c r="M430" i="36" s="1"/>
  <c r="M442" i="36" s="1"/>
  <c r="AX7" i="10"/>
  <c r="AX10" i="10" s="1"/>
  <c r="AK161" i="83" l="1"/>
  <c r="AK150" i="83"/>
  <c r="AK130" i="83"/>
  <c r="AK116" i="83"/>
  <c r="AK110" i="83"/>
  <c r="AK92" i="83"/>
  <c r="AK85" i="83"/>
  <c r="AK72" i="83"/>
  <c r="AK35" i="83"/>
  <c r="AK23" i="83"/>
  <c r="W18" i="81"/>
  <c r="W15" i="81"/>
  <c r="N143" i="80"/>
  <c r="N144" i="80"/>
  <c r="F144" i="80"/>
  <c r="AP4" i="55"/>
  <c r="AP24" i="65"/>
  <c r="AP86" i="71"/>
  <c r="AP88" i="71"/>
  <c r="AP87" i="71"/>
  <c r="AP84" i="71"/>
  <c r="AP15" i="53"/>
  <c r="AP40" i="52"/>
  <c r="AP50" i="52"/>
  <c r="AP49" i="52"/>
  <c r="AP48" i="52"/>
  <c r="AP47" i="52"/>
  <c r="AP46" i="52"/>
  <c r="AP44" i="52"/>
  <c r="AP43" i="52"/>
  <c r="AP42" i="52"/>
  <c r="AP56" i="49"/>
  <c r="AP55" i="49"/>
  <c r="AP50" i="49"/>
  <c r="AP49" i="49"/>
  <c r="AP48" i="49"/>
  <c r="AP42" i="49"/>
  <c r="AP53" i="49"/>
  <c r="AP52" i="49"/>
  <c r="AP51" i="49"/>
  <c r="AP47" i="49"/>
  <c r="AP46" i="49"/>
  <c r="AP45" i="49"/>
  <c r="AP44" i="49"/>
  <c r="AP43" i="49"/>
  <c r="AO42" i="49"/>
  <c r="AO43" i="49"/>
  <c r="AO44" i="49"/>
  <c r="AO45" i="49"/>
  <c r="AO46" i="49"/>
  <c r="AO47" i="49"/>
  <c r="AO48" i="49"/>
  <c r="AO49" i="49"/>
  <c r="AO50" i="49"/>
  <c r="AO51" i="49"/>
  <c r="AO52" i="49"/>
  <c r="AO53" i="49"/>
  <c r="AO55" i="49"/>
  <c r="AO56" i="49"/>
  <c r="AQ29" i="48"/>
  <c r="AQ24" i="48"/>
  <c r="AL8" i="72"/>
  <c r="AT111" i="46"/>
  <c r="AT109" i="46"/>
  <c r="AT108" i="46"/>
  <c r="AT77" i="46"/>
  <c r="AT76" i="46"/>
  <c r="AT75" i="46"/>
  <c r="AT72" i="46"/>
  <c r="AT66" i="46"/>
  <c r="AT56" i="46"/>
  <c r="AT53" i="46"/>
  <c r="AT47" i="46"/>
  <c r="AT57" i="46"/>
  <c r="AT34" i="46"/>
  <c r="AT39" i="46"/>
  <c r="AT38" i="46"/>
  <c r="AT28" i="46"/>
  <c r="AT15" i="46"/>
  <c r="AT20" i="46"/>
  <c r="AT19" i="46"/>
  <c r="AT18" i="46"/>
  <c r="AQ26" i="45"/>
  <c r="AQ28" i="45"/>
  <c r="AQ27" i="45"/>
  <c r="AQ32" i="45"/>
  <c r="AQ31" i="45"/>
  <c r="AQ30" i="45"/>
  <c r="AQ29" i="45"/>
  <c r="AQ14" i="45"/>
  <c r="AQ33" i="45" l="1"/>
  <c r="AT40" i="46"/>
  <c r="N145" i="80"/>
  <c r="F145" i="80"/>
  <c r="F143" i="80"/>
  <c r="AP10" i="66"/>
  <c r="AP13" i="55"/>
  <c r="AP26" i="65"/>
  <c r="AP25" i="65"/>
  <c r="AP23" i="65"/>
  <c r="AP19" i="65"/>
  <c r="AP22" i="65"/>
  <c r="AP11" i="65"/>
  <c r="AP23" i="53"/>
  <c r="AP17" i="53"/>
  <c r="AP21" i="53"/>
  <c r="AP20" i="53"/>
  <c r="AP8" i="53"/>
  <c r="AP10" i="53" s="1"/>
  <c r="AP45" i="52"/>
  <c r="AP38" i="52"/>
  <c r="AP41" i="52"/>
  <c r="AP39" i="52"/>
  <c r="AP35" i="52"/>
  <c r="AP19" i="52"/>
  <c r="AQ30" i="48"/>
  <c r="AT112" i="46"/>
  <c r="AT110" i="46"/>
  <c r="AT107" i="46"/>
  <c r="AT21" i="46"/>
  <c r="AT59" i="46"/>
  <c r="AT78" i="46"/>
  <c r="AT37" i="46"/>
  <c r="AT58" i="46"/>
  <c r="AT9" i="46"/>
  <c r="AQ15" i="44"/>
  <c r="AQ12" i="44"/>
  <c r="Y49" i="42"/>
  <c r="F90" i="38"/>
  <c r="E90" i="38"/>
  <c r="D90" i="38"/>
  <c r="C90" i="38"/>
  <c r="AP24" i="55" l="1"/>
  <c r="AP27" i="65"/>
  <c r="AP22" i="53"/>
  <c r="AP24" i="53" s="1"/>
  <c r="AP51" i="52"/>
  <c r="G90" i="38"/>
  <c r="AQ9" i="39"/>
  <c r="AQ18" i="44"/>
  <c r="AQ19" i="44"/>
  <c r="AQ22" i="44" s="1"/>
  <c r="M49" i="42"/>
  <c r="AQ18" i="39"/>
  <c r="H90" i="38" l="1"/>
  <c r="I90" i="38" l="1"/>
  <c r="DU23" i="34" l="1"/>
  <c r="DT23" i="34"/>
  <c r="DS23" i="34"/>
  <c r="DU20" i="34"/>
  <c r="DU19" i="34"/>
  <c r="DU18" i="34"/>
  <c r="DU17" i="34"/>
  <c r="DU15" i="34"/>
  <c r="DS21" i="34"/>
  <c r="AQ40" i="33"/>
  <c r="AQ43" i="33"/>
  <c r="AQ44" i="33"/>
  <c r="AQ41" i="33"/>
  <c r="AQ38" i="33"/>
  <c r="AQ39" i="33"/>
  <c r="AQ37" i="33"/>
  <c r="AQ34" i="33"/>
  <c r="AQ47" i="61"/>
  <c r="AQ46" i="61"/>
  <c r="AQ45" i="61"/>
  <c r="AQ43" i="61"/>
  <c r="AQ42" i="61"/>
  <c r="AQ50" i="61"/>
  <c r="AQ49" i="61"/>
  <c r="AQ41" i="61"/>
  <c r="AQ40" i="61"/>
  <c r="AQ39" i="61"/>
  <c r="AQ29" i="32"/>
  <c r="AQ28" i="32"/>
  <c r="AQ27" i="32"/>
  <c r="AO24" i="31"/>
  <c r="AO25" i="31"/>
  <c r="AO26" i="31"/>
  <c r="AO27" i="31"/>
  <c r="AO28" i="31"/>
  <c r="AP21" i="31"/>
  <c r="AP28" i="31"/>
  <c r="AP27" i="31"/>
  <c r="AP25" i="31"/>
  <c r="AQ15" i="30"/>
  <c r="AQ18" i="30" s="1"/>
  <c r="AQ24" i="30"/>
  <c r="AQ21" i="30"/>
  <c r="AQ22" i="30" s="1"/>
  <c r="AQ13" i="29"/>
  <c r="AQ17" i="29"/>
  <c r="AQ16" i="29"/>
  <c r="N65" i="23"/>
  <c r="E65" i="23"/>
  <c r="V22" i="13"/>
  <c r="V21" i="13"/>
  <c r="V20" i="13"/>
  <c r="V19" i="13"/>
  <c r="V18" i="13"/>
  <c r="AX45" i="9"/>
  <c r="P306" i="79"/>
  <c r="R306" i="79" s="1"/>
  <c r="P305" i="79"/>
  <c r="R305" i="79" s="1"/>
  <c r="P304" i="79"/>
  <c r="R304" i="79" s="1"/>
  <c r="P300" i="79"/>
  <c r="AQ18" i="29" l="1"/>
  <c r="AQ8" i="29"/>
  <c r="L65" i="23"/>
  <c r="AQ44" i="61"/>
  <c r="AQ28" i="33"/>
  <c r="AQ25" i="30"/>
  <c r="AQ20" i="26"/>
  <c r="AQ22" i="26" s="1"/>
  <c r="AQ23" i="26" s="1"/>
  <c r="AQ17" i="33"/>
  <c r="AQ45" i="33"/>
  <c r="AQ51" i="61"/>
  <c r="AP13" i="24"/>
  <c r="AQ19" i="61"/>
  <c r="AQ16" i="61"/>
  <c r="AQ32" i="61"/>
  <c r="AQ35" i="33"/>
  <c r="AQ14" i="33"/>
  <c r="M65" i="23"/>
  <c r="AQ10" i="26"/>
  <c r="AP26" i="31"/>
  <c r="AP12" i="31"/>
  <c r="AP11" i="31" s="1"/>
  <c r="AP20" i="31"/>
  <c r="AQ35" i="61"/>
  <c r="DS27" i="34"/>
  <c r="DT21" i="34"/>
  <c r="DT27" i="34" s="1"/>
  <c r="AQ31" i="33"/>
  <c r="AQ38" i="61"/>
  <c r="AQ26" i="32"/>
  <c r="AQ25" i="32"/>
  <c r="AP24" i="31"/>
  <c r="AQ10" i="30"/>
  <c r="F65" i="23"/>
  <c r="G65" i="23"/>
  <c r="P302" i="79"/>
  <c r="R302" i="79" s="1"/>
  <c r="P303" i="79"/>
  <c r="R303" i="79" s="1"/>
  <c r="R300" i="79"/>
  <c r="P301" i="79"/>
  <c r="R301" i="79" s="1"/>
  <c r="AQ48" i="61" l="1"/>
  <c r="DU21" i="34"/>
  <c r="DU27" i="34" s="1"/>
  <c r="AP30" i="31"/>
  <c r="AP29" i="31" s="1"/>
  <c r="AQ42" i="33"/>
  <c r="AQ12" i="26"/>
  <c r="AQ13" i="26" s="1"/>
  <c r="AX49" i="12" l="1"/>
  <c r="AX24" i="12"/>
  <c r="AX22" i="12"/>
  <c r="AX20" i="12"/>
  <c r="AX18" i="12"/>
  <c r="AX17" i="12"/>
  <c r="AX16" i="12"/>
  <c r="AX15" i="12"/>
  <c r="AX7" i="12"/>
  <c r="AX43" i="12"/>
  <c r="AX41" i="12"/>
  <c r="AX40" i="12"/>
  <c r="AX37" i="10"/>
  <c r="AX13" i="12"/>
  <c r="AX11" i="12"/>
  <c r="AX12" i="10"/>
  <c r="AX38" i="12"/>
  <c r="AX37" i="12"/>
  <c r="AX37" i="1"/>
  <c r="AX9" i="12"/>
  <c r="AX9" i="1"/>
  <c r="AX6" i="12" s="1"/>
  <c r="BC21" i="2"/>
  <c r="BC11" i="2"/>
  <c r="BC8" i="2"/>
  <c r="BA133" i="9" l="1"/>
  <c r="AP25" i="55"/>
  <c r="AX14" i="10"/>
  <c r="AX16" i="10" s="1"/>
  <c r="AX36" i="12"/>
  <c r="AX8" i="12"/>
  <c r="AX52" i="9"/>
  <c r="AX11" i="1"/>
  <c r="BC7" i="2"/>
  <c r="BC6" i="2" l="1"/>
  <c r="AX35" i="10"/>
  <c r="AX40" i="10"/>
  <c r="AX43" i="10" s="1"/>
  <c r="AX45" i="10" s="1"/>
  <c r="AX48" i="10" s="1"/>
  <c r="AX13" i="1"/>
  <c r="AX15" i="1" s="1"/>
  <c r="AX10" i="12"/>
  <c r="BC10" i="2" l="1"/>
  <c r="AQ11" i="30"/>
  <c r="AX35" i="1"/>
  <c r="AX12" i="12"/>
  <c r="AX14" i="12" s="1"/>
  <c r="AX36" i="10"/>
  <c r="AX40" i="1"/>
  <c r="AX43" i="1" s="1"/>
  <c r="AX45" i="1" s="1"/>
  <c r="AX48" i="1" s="1"/>
  <c r="CP323" i="73"/>
  <c r="CP322" i="73"/>
  <c r="CP11" i="73"/>
  <c r="CP221" i="73"/>
  <c r="CP217" i="73"/>
  <c r="CP39" i="73" l="1"/>
  <c r="CP44" i="73"/>
  <c r="CP34" i="73"/>
  <c r="BC16" i="2"/>
  <c r="AP11" i="53"/>
  <c r="CP29" i="73"/>
  <c r="CP19" i="73"/>
  <c r="CP24" i="73"/>
  <c r="CP297" i="73"/>
  <c r="CP291" i="73"/>
  <c r="CP285" i="73"/>
  <c r="AX39" i="12"/>
  <c r="AX34" i="12"/>
  <c r="AX36" i="1"/>
  <c r="BB184" i="77"/>
  <c r="BA184" i="77"/>
  <c r="BC19" i="2" l="1"/>
  <c r="BB16" i="9"/>
  <c r="BA15" i="9"/>
  <c r="AX42" i="12"/>
  <c r="AX44" i="12" s="1"/>
  <c r="AX48" i="12" s="1"/>
  <c r="AX35" i="12"/>
  <c r="BA183" i="77"/>
  <c r="BB183" i="77"/>
  <c r="BA27" i="9" l="1"/>
  <c r="BA132" i="9" s="1"/>
  <c r="BA134" i="9" s="1"/>
  <c r="BC24" i="2"/>
  <c r="BC26" i="2" s="1"/>
  <c r="BC28" i="2" s="1"/>
  <c r="AL18" i="63" s="1"/>
  <c r="AX50" i="12"/>
  <c r="CO221" i="73"/>
  <c r="CN221" i="73"/>
  <c r="CM221" i="73"/>
  <c r="CL221" i="73"/>
  <c r="CK221" i="73"/>
  <c r="CJ221" i="73"/>
  <c r="CI221" i="73"/>
  <c r="CH221" i="73"/>
  <c r="CG221" i="73"/>
  <c r="CF221" i="73"/>
  <c r="CE221" i="73"/>
  <c r="CD221" i="73"/>
  <c r="CC221" i="73"/>
  <c r="CB221" i="73"/>
  <c r="CA221" i="73"/>
  <c r="BZ221" i="73"/>
  <c r="BY221" i="73"/>
  <c r="BX221" i="73"/>
  <c r="BW221" i="73"/>
  <c r="BV221" i="73"/>
  <c r="BU221" i="73"/>
  <c r="BT221" i="73"/>
  <c r="BS221" i="73"/>
  <c r="BR221" i="73"/>
  <c r="BQ221" i="73"/>
  <c r="BP221" i="73"/>
  <c r="BO221" i="73"/>
  <c r="BN221" i="73"/>
  <c r="BM221" i="73"/>
  <c r="BL221" i="73"/>
  <c r="BK221" i="73"/>
  <c r="BJ221" i="73"/>
  <c r="BI221" i="73"/>
  <c r="BH221" i="73"/>
  <c r="BG221" i="73"/>
  <c r="BF221" i="73"/>
  <c r="BE221" i="73"/>
  <c r="BD221" i="73"/>
  <c r="BC221" i="73"/>
  <c r="BB221" i="73"/>
  <c r="BA221" i="73"/>
  <c r="AZ221" i="73"/>
  <c r="AY221" i="73"/>
  <c r="AX221" i="73"/>
  <c r="AW221" i="73"/>
  <c r="AV221" i="73"/>
  <c r="AU221" i="73"/>
  <c r="AT221" i="73"/>
  <c r="AS221" i="73"/>
  <c r="AR221" i="73"/>
  <c r="AQ221" i="73"/>
  <c r="AP221" i="73"/>
  <c r="AO221" i="73"/>
  <c r="AN221" i="73"/>
  <c r="AL221" i="73"/>
  <c r="AK221" i="73"/>
  <c r="AJ221" i="73"/>
  <c r="AI221" i="73"/>
  <c r="AH221" i="73"/>
  <c r="AG221" i="73"/>
  <c r="AF221" i="73"/>
  <c r="AE221" i="73"/>
  <c r="AD221" i="73"/>
  <c r="AC221" i="73"/>
  <c r="AB221" i="73"/>
  <c r="AA221" i="73"/>
  <c r="Z221" i="73"/>
  <c r="Y221" i="73"/>
  <c r="X221" i="73"/>
  <c r="W221" i="73"/>
  <c r="V221" i="73"/>
  <c r="U221" i="73"/>
  <c r="T221" i="73"/>
  <c r="S221" i="73"/>
  <c r="R221" i="73"/>
  <c r="Q221" i="73"/>
  <c r="P221" i="73"/>
  <c r="O221" i="73"/>
  <c r="N221" i="73"/>
  <c r="M221" i="73"/>
  <c r="L221" i="73"/>
  <c r="K221" i="73"/>
  <c r="J221" i="73"/>
  <c r="I221" i="73"/>
  <c r="H221" i="73"/>
  <c r="G221" i="73"/>
  <c r="F221" i="73"/>
  <c r="E221" i="73"/>
  <c r="D221" i="73"/>
  <c r="C221" i="73"/>
  <c r="CO217" i="73"/>
  <c r="CN217" i="73"/>
  <c r="CM217" i="73"/>
  <c r="CL217" i="73"/>
  <c r="CK217" i="73"/>
  <c r="CJ217" i="73"/>
  <c r="CI217" i="73"/>
  <c r="CH217" i="73"/>
  <c r="CG217" i="73"/>
  <c r="CF217" i="73"/>
  <c r="CE217" i="73"/>
  <c r="CD217" i="73"/>
  <c r="CC217" i="73"/>
  <c r="CB217" i="73"/>
  <c r="CA217" i="73"/>
  <c r="BZ217" i="73"/>
  <c r="BY217" i="73"/>
  <c r="BX217" i="73"/>
  <c r="BW217" i="73"/>
  <c r="BV217" i="73"/>
  <c r="BU217" i="73"/>
  <c r="BT217" i="73"/>
  <c r="BS217" i="73"/>
  <c r="BR217" i="73"/>
  <c r="BQ217" i="73"/>
  <c r="BP217" i="73"/>
  <c r="BO217" i="73"/>
  <c r="BN217" i="73"/>
  <c r="BM217" i="73"/>
  <c r="BL217" i="73"/>
  <c r="BK217" i="73"/>
  <c r="BJ217" i="73"/>
  <c r="BI217" i="73"/>
  <c r="BH217" i="73"/>
  <c r="BG217" i="73"/>
  <c r="BF217" i="73"/>
  <c r="BE217" i="73"/>
  <c r="BD217" i="73"/>
  <c r="BC217" i="73"/>
  <c r="BB217" i="73"/>
  <c r="BA217" i="73"/>
  <c r="AZ217" i="73"/>
  <c r="AY217" i="73"/>
  <c r="AX217" i="73"/>
  <c r="AW217" i="73"/>
  <c r="AV217" i="73"/>
  <c r="AU217" i="73"/>
  <c r="AT217" i="73"/>
  <c r="AS217" i="73"/>
  <c r="AR217" i="73"/>
  <c r="AQ217" i="73"/>
  <c r="AP217" i="73"/>
  <c r="AO217" i="73"/>
  <c r="AN217" i="73"/>
  <c r="AL217" i="73"/>
  <c r="AK217" i="73"/>
  <c r="AJ217" i="73"/>
  <c r="AI217" i="73"/>
  <c r="AH217" i="73"/>
  <c r="AG217" i="73"/>
  <c r="AF217" i="73"/>
  <c r="AE217" i="73"/>
  <c r="AD217" i="73"/>
  <c r="AC217" i="73"/>
  <c r="AB217" i="73"/>
  <c r="AA217" i="73"/>
  <c r="Z217" i="73"/>
  <c r="Y217" i="73"/>
  <c r="X217" i="73"/>
  <c r="W217" i="73"/>
  <c r="V217" i="73"/>
  <c r="U217" i="73"/>
  <c r="T217" i="73"/>
  <c r="S217" i="73"/>
  <c r="R217" i="73"/>
  <c r="Q217" i="73"/>
  <c r="P217" i="73"/>
  <c r="O217" i="73"/>
  <c r="N217" i="73"/>
  <c r="M217" i="73"/>
  <c r="L217" i="73"/>
  <c r="K217" i="73"/>
  <c r="J217" i="73"/>
  <c r="I217" i="73"/>
  <c r="H217" i="73"/>
  <c r="G217" i="73"/>
  <c r="F217" i="73"/>
  <c r="E217" i="73"/>
  <c r="D217" i="73"/>
  <c r="C217" i="73"/>
  <c r="CO323" i="73"/>
  <c r="CO322" i="73"/>
  <c r="CO11" i="73"/>
  <c r="CO39" i="73" l="1"/>
  <c r="CO44" i="73"/>
  <c r="CO34" i="73"/>
  <c r="BC30" i="2"/>
  <c r="CO19" i="73"/>
  <c r="CO29" i="73"/>
  <c r="CO24" i="73"/>
  <c r="CO297" i="73"/>
  <c r="CO291" i="73"/>
  <c r="CO285" i="73"/>
  <c r="BB182" i="77" l="1"/>
  <c r="BA182" i="77"/>
  <c r="CN323" i="73"/>
  <c r="CN322" i="73"/>
  <c r="CN259" i="73"/>
  <c r="CN253" i="73"/>
  <c r="CN251" i="73"/>
  <c r="CN245" i="73"/>
  <c r="CN243" i="73"/>
  <c r="CN237" i="73"/>
  <c r="CN11" i="73"/>
  <c r="CN235" i="73"/>
  <c r="CN229" i="73"/>
  <c r="CN44" i="73" l="1"/>
  <c r="CN39" i="73"/>
  <c r="CN34" i="73"/>
  <c r="CN29" i="73"/>
  <c r="CN19" i="73"/>
  <c r="CN24" i="73"/>
  <c r="CN297" i="73"/>
  <c r="CN291" i="73"/>
  <c r="CN285" i="73"/>
  <c r="D117" i="80" l="1"/>
  <c r="P307" i="79" l="1"/>
  <c r="R307" i="79" s="1"/>
  <c r="AL21" i="72" l="1"/>
  <c r="AL24" i="72" l="1"/>
  <c r="AJ18" i="65"/>
  <c r="AK18" i="65" s="1"/>
  <c r="AL18" i="65" s="1"/>
  <c r="AL19" i="65" s="1"/>
  <c r="AJ10" i="65"/>
  <c r="AK10" i="65" s="1"/>
  <c r="AN11" i="65"/>
  <c r="AI26" i="65"/>
  <c r="AH26" i="65"/>
  <c r="AG26" i="65"/>
  <c r="AF26" i="65"/>
  <c r="AE26" i="65"/>
  <c r="AD26" i="65"/>
  <c r="AC26" i="65"/>
  <c r="AB26" i="65"/>
  <c r="AA26" i="65"/>
  <c r="Z26" i="65"/>
  <c r="Y26" i="65"/>
  <c r="X26" i="65"/>
  <c r="W26" i="65"/>
  <c r="V26" i="65"/>
  <c r="U26" i="65"/>
  <c r="T26" i="65"/>
  <c r="S26" i="65"/>
  <c r="S27" i="65" s="1"/>
  <c r="R26" i="65"/>
  <c r="Q26" i="65"/>
  <c r="P26" i="65"/>
  <c r="O26" i="65"/>
  <c r="N26" i="65"/>
  <c r="M26" i="65"/>
  <c r="L26" i="65"/>
  <c r="K26" i="65"/>
  <c r="J26" i="65"/>
  <c r="I26" i="65"/>
  <c r="H26" i="65"/>
  <c r="G26" i="65"/>
  <c r="F26" i="65"/>
  <c r="E26" i="65"/>
  <c r="D26" i="65"/>
  <c r="C26" i="65"/>
  <c r="AN19" i="65"/>
  <c r="AI19" i="65"/>
  <c r="AH19" i="65"/>
  <c r="AG19" i="65"/>
  <c r="AF19" i="65"/>
  <c r="AE19" i="65"/>
  <c r="AD19" i="65"/>
  <c r="AC19" i="65"/>
  <c r="AB19" i="65"/>
  <c r="AA19" i="65"/>
  <c r="Z19" i="65"/>
  <c r="Y19" i="65"/>
  <c r="X19" i="65"/>
  <c r="W19" i="65"/>
  <c r="V19" i="65"/>
  <c r="U19" i="65"/>
  <c r="T19" i="65"/>
  <c r="S19" i="65"/>
  <c r="R19" i="65"/>
  <c r="Q19" i="65"/>
  <c r="P19" i="65"/>
  <c r="O19" i="65"/>
  <c r="N19" i="65"/>
  <c r="M19" i="65"/>
  <c r="L19" i="65"/>
  <c r="K19" i="65"/>
  <c r="J19" i="65"/>
  <c r="I19" i="65"/>
  <c r="H19" i="65"/>
  <c r="G19" i="65"/>
  <c r="F19" i="65"/>
  <c r="E19" i="65"/>
  <c r="D19" i="65"/>
  <c r="C19" i="65"/>
  <c r="AI11" i="65"/>
  <c r="AH11" i="65"/>
  <c r="AG11" i="65"/>
  <c r="AF11" i="65"/>
  <c r="AE11" i="65"/>
  <c r="AD11" i="65"/>
  <c r="AC11" i="65"/>
  <c r="AB11" i="65"/>
  <c r="AA11" i="65"/>
  <c r="Z11" i="65"/>
  <c r="Y11" i="65"/>
  <c r="X11" i="65"/>
  <c r="W11" i="65"/>
  <c r="V11" i="65"/>
  <c r="U11" i="65"/>
  <c r="T11" i="65"/>
  <c r="S11" i="65"/>
  <c r="R11" i="65"/>
  <c r="Q11" i="65"/>
  <c r="P11" i="65"/>
  <c r="O11" i="65"/>
  <c r="N11" i="65"/>
  <c r="M11" i="65"/>
  <c r="L11" i="65"/>
  <c r="K11" i="65"/>
  <c r="J11" i="65"/>
  <c r="I11" i="65"/>
  <c r="H11" i="65"/>
  <c r="G11" i="65"/>
  <c r="F11" i="65"/>
  <c r="E11" i="65"/>
  <c r="D11" i="65"/>
  <c r="C11" i="65"/>
  <c r="AJ56" i="71"/>
  <c r="AK56" i="71" s="1"/>
  <c r="AL56" i="71" s="1"/>
  <c r="AJ19" i="65" l="1"/>
  <c r="AK19" i="65"/>
  <c r="AJ26" i="65"/>
  <c r="AJ11" i="65"/>
  <c r="AK26" i="65"/>
  <c r="AL10" i="65"/>
  <c r="AL26" i="65" s="1"/>
  <c r="AK11" i="65"/>
  <c r="AN26" i="65"/>
  <c r="AO26" i="65"/>
  <c r="AL11" i="65" l="1"/>
  <c r="AJ28" i="71"/>
  <c r="AK28" i="71" s="1"/>
  <c r="AL28" i="71" l="1"/>
  <c r="AL85" i="71" s="1"/>
  <c r="AN85" i="71"/>
  <c r="AK85" i="71"/>
  <c r="AJ85" i="71"/>
  <c r="AI85" i="71"/>
  <c r="AH85" i="71"/>
  <c r="AG85" i="71"/>
  <c r="AF85" i="71"/>
  <c r="AE85" i="71"/>
  <c r="AD85" i="71"/>
  <c r="AC85" i="71"/>
  <c r="AB85" i="71"/>
  <c r="AA85" i="71"/>
  <c r="Z85" i="71"/>
  <c r="Y85" i="71"/>
  <c r="X85" i="71"/>
  <c r="W85" i="71"/>
  <c r="V85" i="71"/>
  <c r="U85" i="71"/>
  <c r="T85" i="71"/>
  <c r="S85" i="71"/>
  <c r="R85" i="71"/>
  <c r="Q85" i="71"/>
  <c r="P85" i="71"/>
  <c r="O85" i="71"/>
  <c r="N85" i="71"/>
  <c r="M85" i="71"/>
  <c r="L85" i="71"/>
  <c r="K85" i="71"/>
  <c r="J85" i="71"/>
  <c r="I85" i="71"/>
  <c r="H85" i="71"/>
  <c r="G85" i="71"/>
  <c r="F85" i="71"/>
  <c r="E85" i="71"/>
  <c r="D85" i="71"/>
  <c r="C85" i="71"/>
  <c r="AP85" i="71" l="1"/>
  <c r="I110" i="38"/>
  <c r="H110" i="38"/>
  <c r="G110" i="38"/>
  <c r="F110" i="38"/>
  <c r="AO85" i="71" l="1"/>
  <c r="AN56" i="49" l="1"/>
  <c r="AL56" i="49"/>
  <c r="AK56" i="49"/>
  <c r="AJ56" i="49"/>
  <c r="AI56" i="49"/>
  <c r="AH56" i="49"/>
  <c r="AG56" i="49"/>
  <c r="AF56" i="49"/>
  <c r="AE56" i="49"/>
  <c r="AD56" i="49"/>
  <c r="AC56" i="49"/>
  <c r="AB56" i="49"/>
  <c r="AA56" i="49"/>
  <c r="Z56" i="49"/>
  <c r="Y56" i="49"/>
  <c r="X56" i="49"/>
  <c r="W56" i="49"/>
  <c r="V56" i="49"/>
  <c r="U56" i="49"/>
  <c r="T56" i="49"/>
  <c r="S56" i="49"/>
  <c r="R56" i="49"/>
  <c r="Q56" i="49"/>
  <c r="P56" i="49"/>
  <c r="O56" i="49"/>
  <c r="N56" i="49"/>
  <c r="M56" i="49"/>
  <c r="L56" i="49"/>
  <c r="K56" i="49"/>
  <c r="J56" i="49"/>
  <c r="I56" i="49"/>
  <c r="H56" i="49"/>
  <c r="G56" i="49"/>
  <c r="F56" i="49"/>
  <c r="E56" i="49"/>
  <c r="D56" i="49"/>
  <c r="AN55" i="49"/>
  <c r="AL55" i="49"/>
  <c r="AK55" i="49"/>
  <c r="AJ55" i="49"/>
  <c r="AI55" i="49"/>
  <c r="AH55" i="49"/>
  <c r="AG55" i="49"/>
  <c r="AF55" i="49"/>
  <c r="AE55" i="49"/>
  <c r="AD55" i="49"/>
  <c r="AC55" i="49"/>
  <c r="AB55" i="49"/>
  <c r="AA55" i="49"/>
  <c r="Z55" i="49"/>
  <c r="Y55" i="49"/>
  <c r="X55" i="49"/>
  <c r="W55" i="49"/>
  <c r="V55" i="49"/>
  <c r="U55" i="49"/>
  <c r="T55" i="49"/>
  <c r="S55" i="49"/>
  <c r="R55" i="49"/>
  <c r="Q55" i="49"/>
  <c r="P55" i="49"/>
  <c r="O55" i="49"/>
  <c r="N55" i="49"/>
  <c r="M55" i="49"/>
  <c r="L55" i="49"/>
  <c r="K55" i="49"/>
  <c r="J55" i="49"/>
  <c r="I55" i="49"/>
  <c r="H55" i="49"/>
  <c r="G55" i="49"/>
  <c r="F55" i="49"/>
  <c r="E55" i="49"/>
  <c r="D55" i="49"/>
  <c r="AK54" i="49"/>
  <c r="AI54" i="49"/>
  <c r="AH54" i="49"/>
  <c r="AG54" i="49"/>
  <c r="AD54" i="49"/>
  <c r="AC54" i="49"/>
  <c r="AB54" i="49"/>
  <c r="AA54" i="49"/>
  <c r="Z54" i="49"/>
  <c r="Y54" i="49"/>
  <c r="X54" i="49"/>
  <c r="W54" i="49"/>
  <c r="V54" i="49"/>
  <c r="U54" i="49"/>
  <c r="T54" i="49"/>
  <c r="S54" i="49"/>
  <c r="R54" i="49"/>
  <c r="Q54" i="49"/>
  <c r="P54" i="49"/>
  <c r="O54" i="49"/>
  <c r="N54" i="49"/>
  <c r="M54" i="49"/>
  <c r="L54" i="49"/>
  <c r="K54" i="49"/>
  <c r="J54" i="49"/>
  <c r="I54" i="49"/>
  <c r="H54" i="49"/>
  <c r="G54" i="49"/>
  <c r="F54" i="49"/>
  <c r="E54" i="49"/>
  <c r="D54" i="49"/>
  <c r="AN53" i="49"/>
  <c r="AL53" i="49"/>
  <c r="AK53" i="49"/>
  <c r="AJ53" i="49"/>
  <c r="AI53" i="49"/>
  <c r="AH53" i="49"/>
  <c r="AG53" i="49"/>
  <c r="AF53" i="49"/>
  <c r="AE53" i="49"/>
  <c r="AD53" i="49"/>
  <c r="AC53" i="49"/>
  <c r="AB53" i="49"/>
  <c r="AA53" i="49"/>
  <c r="Z53" i="49"/>
  <c r="Y53" i="49"/>
  <c r="X53" i="49"/>
  <c r="W53" i="49"/>
  <c r="V53" i="49"/>
  <c r="U53" i="49"/>
  <c r="T53" i="49"/>
  <c r="S53" i="49"/>
  <c r="R53" i="49"/>
  <c r="Q53" i="49"/>
  <c r="P53" i="49"/>
  <c r="O53" i="49"/>
  <c r="N53" i="49"/>
  <c r="M53" i="49"/>
  <c r="L53" i="49"/>
  <c r="K53" i="49"/>
  <c r="J53" i="49"/>
  <c r="I53" i="49"/>
  <c r="H53" i="49"/>
  <c r="G53" i="49"/>
  <c r="F53" i="49"/>
  <c r="E53" i="49"/>
  <c r="D53" i="49"/>
  <c r="AN52" i="49"/>
  <c r="AL52" i="49"/>
  <c r="AK52" i="49"/>
  <c r="AJ52" i="49"/>
  <c r="AI52" i="49"/>
  <c r="AH52" i="49"/>
  <c r="AG52" i="49"/>
  <c r="AF52" i="49"/>
  <c r="AE52" i="49"/>
  <c r="AD52" i="49"/>
  <c r="AC52" i="49"/>
  <c r="AB52" i="49"/>
  <c r="AA52" i="49"/>
  <c r="Z52" i="49"/>
  <c r="Y52" i="49"/>
  <c r="X52" i="49"/>
  <c r="W52" i="49"/>
  <c r="V52" i="49"/>
  <c r="U52" i="49"/>
  <c r="T52" i="49"/>
  <c r="S52" i="49"/>
  <c r="R52" i="49"/>
  <c r="Q52" i="49"/>
  <c r="P52" i="49"/>
  <c r="O52" i="49"/>
  <c r="N52" i="49"/>
  <c r="M52" i="49"/>
  <c r="L52" i="49"/>
  <c r="K52" i="49"/>
  <c r="J52" i="49"/>
  <c r="I52" i="49"/>
  <c r="H52" i="49"/>
  <c r="G52" i="49"/>
  <c r="F52" i="49"/>
  <c r="E52" i="49"/>
  <c r="D52" i="49"/>
  <c r="AN51" i="49"/>
  <c r="AL51" i="49"/>
  <c r="AK51" i="49"/>
  <c r="AJ51" i="49"/>
  <c r="AI51" i="49"/>
  <c r="AH51" i="49"/>
  <c r="AG51" i="49"/>
  <c r="AF51" i="49"/>
  <c r="AE51" i="49"/>
  <c r="AD51" i="49"/>
  <c r="AC51" i="49"/>
  <c r="AB51" i="49"/>
  <c r="AA51" i="49"/>
  <c r="Z51" i="49"/>
  <c r="Y51" i="49"/>
  <c r="X51" i="49"/>
  <c r="W51" i="49"/>
  <c r="V51" i="49"/>
  <c r="U51" i="49"/>
  <c r="T51" i="49"/>
  <c r="S51" i="49"/>
  <c r="R51" i="49"/>
  <c r="Q51" i="49"/>
  <c r="P51" i="49"/>
  <c r="O51" i="49"/>
  <c r="N51" i="49"/>
  <c r="M51" i="49"/>
  <c r="L51" i="49"/>
  <c r="K51" i="49"/>
  <c r="J51" i="49"/>
  <c r="I51" i="49"/>
  <c r="H51" i="49"/>
  <c r="G51" i="49"/>
  <c r="F51" i="49"/>
  <c r="E51" i="49"/>
  <c r="D51" i="49"/>
  <c r="AN50" i="49"/>
  <c r="AL50" i="49"/>
  <c r="AK50" i="49"/>
  <c r="AJ50" i="49"/>
  <c r="AI50" i="49"/>
  <c r="AH50" i="49"/>
  <c r="AG50" i="49"/>
  <c r="AF50" i="49"/>
  <c r="AE50" i="49"/>
  <c r="AD50" i="49"/>
  <c r="AC50" i="49"/>
  <c r="AB50" i="49"/>
  <c r="AA50" i="49"/>
  <c r="Z50" i="49"/>
  <c r="Y50" i="49"/>
  <c r="X50" i="49"/>
  <c r="W50" i="49"/>
  <c r="V50" i="49"/>
  <c r="U50" i="49"/>
  <c r="T50" i="49"/>
  <c r="S50" i="49"/>
  <c r="R50" i="49"/>
  <c r="Q50" i="49"/>
  <c r="P50" i="49"/>
  <c r="O50" i="49"/>
  <c r="N50" i="49"/>
  <c r="M50" i="49"/>
  <c r="L50" i="49"/>
  <c r="K50" i="49"/>
  <c r="J50" i="49"/>
  <c r="I50" i="49"/>
  <c r="H50" i="49"/>
  <c r="G50" i="49"/>
  <c r="F50" i="49"/>
  <c r="E50" i="49"/>
  <c r="D50" i="49"/>
  <c r="AN49" i="49"/>
  <c r="AL49" i="49"/>
  <c r="AK49" i="49"/>
  <c r="AJ49" i="49"/>
  <c r="AI49" i="49"/>
  <c r="AH49" i="49"/>
  <c r="AG49" i="49"/>
  <c r="AF49" i="49"/>
  <c r="AE49" i="49"/>
  <c r="AD49" i="49"/>
  <c r="AC49" i="49"/>
  <c r="AB49" i="49"/>
  <c r="AA49" i="49"/>
  <c r="Z49" i="49"/>
  <c r="Y49" i="49"/>
  <c r="X49" i="49"/>
  <c r="W49" i="49"/>
  <c r="V49" i="49"/>
  <c r="U49" i="49"/>
  <c r="T49" i="49"/>
  <c r="S49" i="49"/>
  <c r="R49" i="49"/>
  <c r="Q49" i="49"/>
  <c r="P49" i="49"/>
  <c r="O49" i="49"/>
  <c r="N49" i="49"/>
  <c r="M49" i="49"/>
  <c r="L49" i="49"/>
  <c r="K49" i="49"/>
  <c r="J49" i="49"/>
  <c r="I49" i="49"/>
  <c r="H49" i="49"/>
  <c r="G49" i="49"/>
  <c r="F49" i="49"/>
  <c r="E49" i="49"/>
  <c r="D49" i="49"/>
  <c r="AN48" i="49"/>
  <c r="AL48" i="49"/>
  <c r="AK48" i="49"/>
  <c r="AJ48" i="49"/>
  <c r="AI48" i="49"/>
  <c r="AH48" i="49"/>
  <c r="AG48" i="49"/>
  <c r="AF48" i="49"/>
  <c r="AE48" i="49"/>
  <c r="AD48" i="49"/>
  <c r="AC48" i="49"/>
  <c r="AB48" i="49"/>
  <c r="AA48" i="49"/>
  <c r="Z48" i="49"/>
  <c r="Y48" i="49"/>
  <c r="X48" i="49"/>
  <c r="W48" i="49"/>
  <c r="V48" i="49"/>
  <c r="U48" i="49"/>
  <c r="T48" i="49"/>
  <c r="S48" i="49"/>
  <c r="R48" i="49"/>
  <c r="Q48" i="49"/>
  <c r="P48" i="49"/>
  <c r="O48" i="49"/>
  <c r="N48" i="49"/>
  <c r="M48" i="49"/>
  <c r="L48" i="49"/>
  <c r="K48" i="49"/>
  <c r="J48" i="49"/>
  <c r="I48" i="49"/>
  <c r="H48" i="49"/>
  <c r="G48" i="49"/>
  <c r="F48" i="49"/>
  <c r="E48" i="49"/>
  <c r="D48" i="49"/>
  <c r="AN47" i="49"/>
  <c r="AL47" i="49"/>
  <c r="AK47" i="49"/>
  <c r="AJ47" i="49"/>
  <c r="AI47" i="49"/>
  <c r="AH47" i="49"/>
  <c r="AG47" i="49"/>
  <c r="AF47" i="49"/>
  <c r="AE47" i="49"/>
  <c r="AD47" i="49"/>
  <c r="AC47" i="49"/>
  <c r="AB47" i="49"/>
  <c r="AA47" i="49"/>
  <c r="Z47" i="49"/>
  <c r="Y47" i="49"/>
  <c r="X47" i="49"/>
  <c r="W47" i="49"/>
  <c r="V47" i="49"/>
  <c r="U47" i="49"/>
  <c r="T47" i="49"/>
  <c r="S47" i="49"/>
  <c r="R47" i="49"/>
  <c r="Q47" i="49"/>
  <c r="P47" i="49"/>
  <c r="O47" i="49"/>
  <c r="N47" i="49"/>
  <c r="M47" i="49"/>
  <c r="L47" i="49"/>
  <c r="K47" i="49"/>
  <c r="J47" i="49"/>
  <c r="I47" i="49"/>
  <c r="H47" i="49"/>
  <c r="G47" i="49"/>
  <c r="F47" i="49"/>
  <c r="E47" i="49"/>
  <c r="D47" i="49"/>
  <c r="AN46" i="49"/>
  <c r="AL46" i="49"/>
  <c r="AK46" i="49"/>
  <c r="AJ46" i="49"/>
  <c r="AI46" i="49"/>
  <c r="AH46" i="49"/>
  <c r="AG46" i="49"/>
  <c r="AF46" i="49"/>
  <c r="AE46" i="49"/>
  <c r="AD46" i="49"/>
  <c r="AC46" i="49"/>
  <c r="AB46" i="49"/>
  <c r="AA46" i="49"/>
  <c r="Z46" i="49"/>
  <c r="Y46" i="49"/>
  <c r="X46" i="49"/>
  <c r="W46" i="49"/>
  <c r="V46" i="49"/>
  <c r="U46" i="49"/>
  <c r="T46" i="49"/>
  <c r="S46" i="49"/>
  <c r="R46" i="49"/>
  <c r="Q46" i="49"/>
  <c r="P46" i="49"/>
  <c r="O46" i="49"/>
  <c r="N46" i="49"/>
  <c r="M46" i="49"/>
  <c r="L46" i="49"/>
  <c r="K46" i="49"/>
  <c r="J46" i="49"/>
  <c r="I46" i="49"/>
  <c r="H46" i="49"/>
  <c r="G46" i="49"/>
  <c r="F46" i="49"/>
  <c r="E46" i="49"/>
  <c r="D46" i="49"/>
  <c r="AN45" i="49"/>
  <c r="AL45" i="49"/>
  <c r="AK45" i="49"/>
  <c r="AJ45" i="49"/>
  <c r="AI45" i="49"/>
  <c r="AH45" i="49"/>
  <c r="AG45" i="49"/>
  <c r="AF45" i="49"/>
  <c r="AE45" i="49"/>
  <c r="AD45" i="49"/>
  <c r="AC45" i="49"/>
  <c r="AB45" i="49"/>
  <c r="AA45" i="49"/>
  <c r="Z45" i="49"/>
  <c r="Y45" i="49"/>
  <c r="X45" i="49"/>
  <c r="W45" i="49"/>
  <c r="V45" i="49"/>
  <c r="U45" i="49"/>
  <c r="T45" i="49"/>
  <c r="S45" i="49"/>
  <c r="R45" i="49"/>
  <c r="Q45" i="49"/>
  <c r="P45" i="49"/>
  <c r="O45" i="49"/>
  <c r="N45" i="49"/>
  <c r="M45" i="49"/>
  <c r="L45" i="49"/>
  <c r="K45" i="49"/>
  <c r="J45" i="49"/>
  <c r="I45" i="49"/>
  <c r="H45" i="49"/>
  <c r="G45" i="49"/>
  <c r="F45" i="49"/>
  <c r="E45" i="49"/>
  <c r="D45" i="49"/>
  <c r="AN44" i="49"/>
  <c r="AL44" i="49"/>
  <c r="AK44" i="49"/>
  <c r="AJ44" i="49"/>
  <c r="AI44" i="49"/>
  <c r="AH44" i="49"/>
  <c r="AG44" i="49"/>
  <c r="AF44" i="49"/>
  <c r="AE44" i="49"/>
  <c r="AD44" i="49"/>
  <c r="AC44" i="49"/>
  <c r="AB44" i="49"/>
  <c r="AA44" i="49"/>
  <c r="Z44" i="49"/>
  <c r="Y44" i="49"/>
  <c r="X44" i="49"/>
  <c r="W44" i="49"/>
  <c r="V44" i="49"/>
  <c r="U44" i="49"/>
  <c r="T44" i="49"/>
  <c r="S44" i="49"/>
  <c r="R44" i="49"/>
  <c r="Q44" i="49"/>
  <c r="P44" i="49"/>
  <c r="O44" i="49"/>
  <c r="N44" i="49"/>
  <c r="M44" i="49"/>
  <c r="L44" i="49"/>
  <c r="K44" i="49"/>
  <c r="J44" i="49"/>
  <c r="I44" i="49"/>
  <c r="H44" i="49"/>
  <c r="G44" i="49"/>
  <c r="F44" i="49"/>
  <c r="E44" i="49"/>
  <c r="D44" i="49"/>
  <c r="AN43" i="49"/>
  <c r="AL43" i="49"/>
  <c r="AK43" i="49"/>
  <c r="AJ43" i="49"/>
  <c r="AI43" i="49"/>
  <c r="AH43" i="49"/>
  <c r="AG43" i="49"/>
  <c r="AF43" i="49"/>
  <c r="AE43" i="49"/>
  <c r="AD43" i="49"/>
  <c r="AC43" i="49"/>
  <c r="AB43" i="49"/>
  <c r="AA43" i="49"/>
  <c r="Z43" i="49"/>
  <c r="Y43" i="49"/>
  <c r="X43" i="49"/>
  <c r="W43" i="49"/>
  <c r="V43" i="49"/>
  <c r="U43" i="49"/>
  <c r="T43" i="49"/>
  <c r="S43" i="49"/>
  <c r="R43" i="49"/>
  <c r="Q43" i="49"/>
  <c r="P43" i="49"/>
  <c r="O43" i="49"/>
  <c r="N43" i="49"/>
  <c r="M43" i="49"/>
  <c r="L43" i="49"/>
  <c r="K43" i="49"/>
  <c r="J43" i="49"/>
  <c r="I43" i="49"/>
  <c r="H43" i="49"/>
  <c r="G43" i="49"/>
  <c r="F43" i="49"/>
  <c r="E43" i="49"/>
  <c r="D43" i="49"/>
  <c r="AN42" i="49"/>
  <c r="AL42" i="49"/>
  <c r="AK42" i="49"/>
  <c r="AJ42" i="49"/>
  <c r="AI42" i="49"/>
  <c r="AH42" i="49"/>
  <c r="AG42" i="49"/>
  <c r="AF42" i="49"/>
  <c r="AE42" i="49"/>
  <c r="AD42" i="49"/>
  <c r="AC42" i="49"/>
  <c r="AB42" i="49"/>
  <c r="AA42" i="49"/>
  <c r="Z42" i="49"/>
  <c r="Y42" i="49"/>
  <c r="X42" i="49"/>
  <c r="W42" i="49"/>
  <c r="V42" i="49"/>
  <c r="U42" i="49"/>
  <c r="T42" i="49"/>
  <c r="S42" i="49"/>
  <c r="R42" i="49"/>
  <c r="Q42" i="49"/>
  <c r="P42" i="49"/>
  <c r="O42" i="49"/>
  <c r="N42" i="49"/>
  <c r="M42" i="49"/>
  <c r="L42" i="49"/>
  <c r="K42" i="49"/>
  <c r="J42" i="49"/>
  <c r="I42" i="49"/>
  <c r="H42" i="49"/>
  <c r="G42" i="49"/>
  <c r="F42" i="49"/>
  <c r="E42" i="49"/>
  <c r="D42" i="49"/>
  <c r="C56" i="49"/>
  <c r="C55" i="49"/>
  <c r="C54" i="49"/>
  <c r="C53" i="49"/>
  <c r="C52" i="49"/>
  <c r="C51" i="49"/>
  <c r="C50" i="49"/>
  <c r="C49" i="49"/>
  <c r="C48" i="49"/>
  <c r="C47" i="49"/>
  <c r="C46" i="49"/>
  <c r="C45" i="49"/>
  <c r="C44" i="49"/>
  <c r="C43" i="49"/>
  <c r="G100" i="38" l="1"/>
  <c r="H100" i="38"/>
  <c r="J23" i="76" l="1"/>
  <c r="J22" i="76"/>
  <c r="AO19" i="65" l="1"/>
  <c r="AO11" i="65"/>
  <c r="AL78" i="68" l="1"/>
  <c r="AL54" i="68"/>
  <c r="AL50" i="68"/>
  <c r="AL45" i="68"/>
  <c r="AL31" i="68"/>
  <c r="AL28" i="68"/>
  <c r="AL26" i="68"/>
  <c r="AL23" i="68"/>
  <c r="AL20" i="68"/>
  <c r="F136" i="80"/>
  <c r="F138" i="80"/>
  <c r="N137" i="80"/>
  <c r="F137" i="80"/>
  <c r="N136" i="80"/>
  <c r="V18" i="81"/>
  <c r="V15" i="81"/>
  <c r="AO10" i="66"/>
  <c r="AO13" i="55"/>
  <c r="AO23" i="65"/>
  <c r="AO25" i="65"/>
  <c r="AO24" i="65"/>
  <c r="AO86" i="71"/>
  <c r="AO21" i="53"/>
  <c r="AO23" i="53"/>
  <c r="AO41" i="52"/>
  <c r="AO40" i="52"/>
  <c r="AO50" i="52"/>
  <c r="AO49" i="52"/>
  <c r="AO48" i="52"/>
  <c r="AO46" i="52"/>
  <c r="AO44" i="52"/>
  <c r="AO43" i="52"/>
  <c r="AO47" i="52"/>
  <c r="AO45" i="52"/>
  <c r="AO42" i="52"/>
  <c r="AP29" i="48"/>
  <c r="AP24" i="48"/>
  <c r="AK8" i="72"/>
  <c r="AS112" i="46"/>
  <c r="AS107" i="46"/>
  <c r="AS109" i="46"/>
  <c r="AS108" i="46"/>
  <c r="AS77" i="46"/>
  <c r="AS76" i="46"/>
  <c r="AS75" i="46"/>
  <c r="AS72" i="46"/>
  <c r="AS66" i="46"/>
  <c r="AS57" i="46"/>
  <c r="AS56" i="46"/>
  <c r="AS53" i="46"/>
  <c r="AS47" i="46"/>
  <c r="AS37" i="46"/>
  <c r="AS34" i="46"/>
  <c r="AS39" i="46"/>
  <c r="AS38" i="46"/>
  <c r="AS28" i="46"/>
  <c r="AS20" i="46"/>
  <c r="AS15" i="46"/>
  <c r="AS19" i="46"/>
  <c r="AS9" i="46"/>
  <c r="AP29" i="45"/>
  <c r="AP27" i="45"/>
  <c r="AP32" i="45"/>
  <c r="AP31" i="45"/>
  <c r="AP30" i="45"/>
  <c r="AP28" i="45"/>
  <c r="AP19" i="44"/>
  <c r="AP15" i="44"/>
  <c r="AP12" i="44"/>
  <c r="AP9" i="39"/>
  <c r="F100" i="38"/>
  <c r="I100" i="38"/>
  <c r="E100" i="38"/>
  <c r="DR23" i="34"/>
  <c r="DQ23" i="34"/>
  <c r="DP23" i="34"/>
  <c r="DR20" i="34"/>
  <c r="DR19" i="34"/>
  <c r="DR18" i="34"/>
  <c r="DR17" i="34"/>
  <c r="DR15" i="34"/>
  <c r="DQ21" i="34"/>
  <c r="DP21" i="34"/>
  <c r="AP40" i="33"/>
  <c r="AP39" i="33"/>
  <c r="AP31" i="33"/>
  <c r="AP37" i="33"/>
  <c r="AP28" i="33"/>
  <c r="AP44" i="33"/>
  <c r="AP43" i="33"/>
  <c r="AP14" i="33"/>
  <c r="AP38" i="33"/>
  <c r="AP35" i="33"/>
  <c r="AP34" i="33"/>
  <c r="AP47" i="61"/>
  <c r="AP46" i="61"/>
  <c r="AP45" i="61"/>
  <c r="AP35" i="61"/>
  <c r="AP32" i="61"/>
  <c r="AP50" i="61"/>
  <c r="AP49" i="61"/>
  <c r="AP44" i="61"/>
  <c r="AP43" i="61"/>
  <c r="AP42" i="61"/>
  <c r="AP41" i="61"/>
  <c r="AP40" i="61"/>
  <c r="AP39" i="61"/>
  <c r="AP38" i="61"/>
  <c r="AP28" i="32"/>
  <c r="AP27" i="32"/>
  <c r="AP25" i="32"/>
  <c r="AO21" i="31"/>
  <c r="AO20" i="31" s="1"/>
  <c r="AO12" i="31"/>
  <c r="AO11" i="31" s="1"/>
  <c r="AP15" i="30"/>
  <c r="AP18" i="30" s="1"/>
  <c r="AP24" i="30"/>
  <c r="AP21" i="30"/>
  <c r="AP22" i="30" s="1"/>
  <c r="AP13" i="29"/>
  <c r="AP17" i="29"/>
  <c r="AP16" i="29"/>
  <c r="AP20" i="26"/>
  <c r="AP10" i="26"/>
  <c r="AP12" i="26" s="1"/>
  <c r="AP13" i="26" s="1"/>
  <c r="M71" i="23"/>
  <c r="G71" i="23"/>
  <c r="F71" i="23"/>
  <c r="E71" i="23"/>
  <c r="AO13" i="24"/>
  <c r="U22" i="13"/>
  <c r="U21" i="13"/>
  <c r="U20" i="13"/>
  <c r="U19" i="13"/>
  <c r="U18" i="13"/>
  <c r="CM323" i="73"/>
  <c r="CM322" i="73"/>
  <c r="CM259" i="73"/>
  <c r="CM253" i="73"/>
  <c r="CM251" i="73"/>
  <c r="CM245" i="73"/>
  <c r="CM243" i="73"/>
  <c r="CM237" i="73"/>
  <c r="CM11" i="73"/>
  <c r="CM235" i="73"/>
  <c r="CM229" i="73"/>
  <c r="AW45" i="9"/>
  <c r="P290" i="79"/>
  <c r="P297" i="79"/>
  <c r="R297" i="79" s="1"/>
  <c r="P296" i="79"/>
  <c r="R296" i="79" s="1"/>
  <c r="P295" i="79"/>
  <c r="R295" i="79" s="1"/>
  <c r="P293" i="79"/>
  <c r="R293" i="79" s="1"/>
  <c r="AW49" i="12"/>
  <c r="AW43" i="12"/>
  <c r="AW41" i="12"/>
  <c r="AW40" i="12"/>
  <c r="AW38" i="12"/>
  <c r="AW37" i="12"/>
  <c r="AW24" i="12"/>
  <c r="AW22" i="12"/>
  <c r="AW20" i="12"/>
  <c r="AW18" i="12"/>
  <c r="AW17" i="12"/>
  <c r="AW16" i="12"/>
  <c r="AW15" i="12"/>
  <c r="AW13" i="12"/>
  <c r="AW11" i="12"/>
  <c r="AW9" i="12"/>
  <c r="AW37" i="10"/>
  <c r="AW37" i="1"/>
  <c r="AW9" i="1"/>
  <c r="CM44" i="73" l="1"/>
  <c r="CM34" i="73"/>
  <c r="CM39" i="73"/>
  <c r="AZ133" i="9"/>
  <c r="CM24" i="73"/>
  <c r="CM29" i="73"/>
  <c r="CM19" i="73"/>
  <c r="CM285" i="73"/>
  <c r="CM297" i="73"/>
  <c r="CM291" i="73"/>
  <c r="AY133" i="9"/>
  <c r="AW6" i="12"/>
  <c r="BA181" i="77"/>
  <c r="AW58" i="12"/>
  <c r="AP51" i="61"/>
  <c r="BB181" i="77"/>
  <c r="AP25" i="30"/>
  <c r="AW52" i="9"/>
  <c r="AS40" i="46"/>
  <c r="AL60" i="68"/>
  <c r="DQ27" i="34"/>
  <c r="AP45" i="33"/>
  <c r="DP27" i="34"/>
  <c r="AP30" i="48"/>
  <c r="AP18" i="29"/>
  <c r="AW36" i="12"/>
  <c r="AL51" i="68"/>
  <c r="AL32" i="68"/>
  <c r="N138" i="80"/>
  <c r="AO4" i="55"/>
  <c r="AO24" i="55"/>
  <c r="AO22" i="65"/>
  <c r="AO27" i="65" s="1"/>
  <c r="AO15" i="53"/>
  <c r="AO17" i="53" s="1"/>
  <c r="AO20" i="53"/>
  <c r="AO22" i="53" s="1"/>
  <c r="AO24" i="53" s="1"/>
  <c r="AO8" i="53"/>
  <c r="AO10" i="53" s="1"/>
  <c r="AO35" i="52"/>
  <c r="AO39" i="52"/>
  <c r="AO19" i="52"/>
  <c r="AO38" i="52"/>
  <c r="AK21" i="72"/>
  <c r="AS111" i="46"/>
  <c r="AS110" i="46"/>
  <c r="AS59" i="46"/>
  <c r="AS78" i="46"/>
  <c r="AS18" i="46"/>
  <c r="AS21" i="46" s="1"/>
  <c r="AS58" i="46"/>
  <c r="AP26" i="45"/>
  <c r="AP33" i="45" s="1"/>
  <c r="AP18" i="44"/>
  <c r="AP22" i="44"/>
  <c r="M48" i="42"/>
  <c r="AP18" i="39"/>
  <c r="C100" i="38"/>
  <c r="D100" i="38"/>
  <c r="DR21" i="34"/>
  <c r="DR27" i="34" s="1"/>
  <c r="AP42" i="33"/>
  <c r="AP41" i="33"/>
  <c r="AP17" i="33"/>
  <c r="AP48" i="61"/>
  <c r="AP16" i="61"/>
  <c r="AP19" i="61"/>
  <c r="AP26" i="32"/>
  <c r="AP29" i="32"/>
  <c r="AP10" i="30"/>
  <c r="AP8" i="29"/>
  <c r="AP22" i="26"/>
  <c r="AP23" i="26" s="1"/>
  <c r="L71" i="23"/>
  <c r="N71" i="23"/>
  <c r="R290" i="79"/>
  <c r="P292" i="79"/>
  <c r="R292" i="79" s="1"/>
  <c r="P291" i="79"/>
  <c r="R291" i="79" s="1"/>
  <c r="P294" i="79"/>
  <c r="R294" i="79" s="1"/>
  <c r="AW11" i="1"/>
  <c r="BB7" i="2"/>
  <c r="AO25" i="55" l="1"/>
  <c r="AK24" i="72"/>
  <c r="AL61" i="68"/>
  <c r="AO30" i="31"/>
  <c r="AO29" i="31" s="1"/>
  <c r="AW13" i="1"/>
  <c r="AW15" i="1" s="1"/>
  <c r="AO51" i="52"/>
  <c r="AW35" i="1" l="1"/>
  <c r="AW40" i="1"/>
  <c r="AW43" i="1" s="1"/>
  <c r="AW45" i="1" s="1"/>
  <c r="AW48" i="1" s="1"/>
  <c r="AW36" i="1" l="1"/>
  <c r="BB180" i="77" l="1"/>
  <c r="BA180" i="77"/>
  <c r="CL323" i="73" l="1"/>
  <c r="CL322" i="73"/>
  <c r="CL259" i="73"/>
  <c r="CL253" i="73"/>
  <c r="CL251" i="73"/>
  <c r="CL245" i="73"/>
  <c r="CL243" i="73"/>
  <c r="CL237" i="73"/>
  <c r="CL11" i="73"/>
  <c r="CL235" i="73"/>
  <c r="CL229" i="73"/>
  <c r="CL44" i="73" l="1"/>
  <c r="CL34" i="73"/>
  <c r="CL39" i="73"/>
  <c r="CL19" i="73"/>
  <c r="CL29" i="73"/>
  <c r="CL24" i="73"/>
  <c r="CL297" i="73"/>
  <c r="CL285" i="73"/>
  <c r="CL291" i="73"/>
  <c r="CK323" i="73"/>
  <c r="BB179" i="77" l="1"/>
  <c r="BA179" i="77"/>
  <c r="CK322" i="73" l="1"/>
  <c r="CK259" i="73"/>
  <c r="CK321" i="73" s="1"/>
  <c r="CK253" i="73"/>
  <c r="CK251" i="73"/>
  <c r="CK245" i="73"/>
  <c r="CK243" i="73"/>
  <c r="CK237" i="73"/>
  <c r="CK11" i="73"/>
  <c r="CK235" i="73"/>
  <c r="CK229" i="73"/>
  <c r="CK39" i="73" l="1"/>
  <c r="CK34" i="73"/>
  <c r="CK44" i="73"/>
  <c r="CK19" i="73"/>
  <c r="CK24" i="73"/>
  <c r="CK29" i="73"/>
  <c r="CK291" i="73"/>
  <c r="CK297" i="73"/>
  <c r="CK285" i="73"/>
  <c r="AX140" i="83" l="1"/>
  <c r="AY140" i="83"/>
  <c r="CJ253" i="73"/>
  <c r="CI253" i="73"/>
  <c r="CH253" i="73"/>
  <c r="CG253" i="73"/>
  <c r="CF253" i="73"/>
  <c r="CE253" i="73"/>
  <c r="CD253" i="73"/>
  <c r="CC253" i="73"/>
  <c r="CB253" i="73"/>
  <c r="CA253" i="73"/>
  <c r="BZ253" i="73"/>
  <c r="BY253" i="73"/>
  <c r="BX253" i="73"/>
  <c r="BW253" i="73"/>
  <c r="BV253" i="73"/>
  <c r="BU253" i="73"/>
  <c r="BT253" i="73"/>
  <c r="BS253" i="73"/>
  <c r="BR253" i="73"/>
  <c r="BQ253" i="73"/>
  <c r="BP253" i="73"/>
  <c r="BO253" i="73"/>
  <c r="BN253" i="73"/>
  <c r="BM253" i="73"/>
  <c r="BL253" i="73"/>
  <c r="BK253" i="73"/>
  <c r="BJ253" i="73"/>
  <c r="BI253" i="73"/>
  <c r="BH253" i="73"/>
  <c r="BG253" i="73"/>
  <c r="BF253" i="73"/>
  <c r="BE253" i="73"/>
  <c r="BD253" i="73"/>
  <c r="BC253" i="73"/>
  <c r="BB253" i="73"/>
  <c r="BA253" i="73"/>
  <c r="AZ253" i="73"/>
  <c r="AY253" i="73"/>
  <c r="AX253" i="73"/>
  <c r="AW253" i="73"/>
  <c r="AV253" i="73"/>
  <c r="AU253" i="73"/>
  <c r="AT253" i="73"/>
  <c r="AS253" i="73"/>
  <c r="AR253" i="73"/>
  <c r="AQ253" i="73"/>
  <c r="AP253" i="73"/>
  <c r="AO253" i="73"/>
  <c r="AN253" i="73"/>
  <c r="AL253" i="73"/>
  <c r="AK253" i="73"/>
  <c r="AJ253" i="73"/>
  <c r="AI253" i="73"/>
  <c r="AH253" i="73"/>
  <c r="AG253" i="73"/>
  <c r="AF253" i="73"/>
  <c r="AE253" i="73"/>
  <c r="AD253" i="73"/>
  <c r="AC253" i="73"/>
  <c r="AB253" i="73"/>
  <c r="AA253" i="73"/>
  <c r="Z253" i="73"/>
  <c r="Y253" i="73"/>
  <c r="X253" i="73"/>
  <c r="W253" i="73"/>
  <c r="V253" i="73"/>
  <c r="U253" i="73"/>
  <c r="T253" i="73"/>
  <c r="S253" i="73"/>
  <c r="R253" i="73"/>
  <c r="Q253" i="73"/>
  <c r="P253" i="73"/>
  <c r="O253" i="73"/>
  <c r="N253" i="73"/>
  <c r="M253" i="73"/>
  <c r="L253" i="73"/>
  <c r="K253" i="73"/>
  <c r="J253" i="73"/>
  <c r="I253" i="73"/>
  <c r="H253" i="73"/>
  <c r="G253" i="73"/>
  <c r="F253" i="73"/>
  <c r="E253" i="73"/>
  <c r="D253" i="73"/>
  <c r="C253" i="73"/>
  <c r="CJ245" i="73"/>
  <c r="CI245" i="73"/>
  <c r="CH245" i="73"/>
  <c r="CG245" i="73"/>
  <c r="CF245" i="73"/>
  <c r="CE245" i="73"/>
  <c r="CD245" i="73"/>
  <c r="CC245" i="73"/>
  <c r="CB245" i="73"/>
  <c r="CA245" i="73"/>
  <c r="BZ245" i="73"/>
  <c r="BY245" i="73"/>
  <c r="BX245" i="73"/>
  <c r="BW245" i="73"/>
  <c r="BV245" i="73"/>
  <c r="BU245" i="73"/>
  <c r="BT245" i="73"/>
  <c r="BS245" i="73"/>
  <c r="BR245" i="73"/>
  <c r="BQ245" i="73"/>
  <c r="BP245" i="73"/>
  <c r="BO245" i="73"/>
  <c r="BN245" i="73"/>
  <c r="BM245" i="73"/>
  <c r="BL245" i="73"/>
  <c r="BK245" i="73"/>
  <c r="BJ245" i="73"/>
  <c r="BI245" i="73"/>
  <c r="BH245" i="73"/>
  <c r="BG245" i="73"/>
  <c r="BF245" i="73"/>
  <c r="BE245" i="73"/>
  <c r="BD245" i="73"/>
  <c r="BC245" i="73"/>
  <c r="BB245" i="73"/>
  <c r="BA245" i="73"/>
  <c r="AZ245" i="73"/>
  <c r="AY245" i="73"/>
  <c r="AX245" i="73"/>
  <c r="AW245" i="73"/>
  <c r="AV245" i="73"/>
  <c r="AU245" i="73"/>
  <c r="AT245" i="73"/>
  <c r="AS245" i="73"/>
  <c r="AR245" i="73"/>
  <c r="AQ245" i="73"/>
  <c r="AP245" i="73"/>
  <c r="AO245" i="73"/>
  <c r="AN245" i="73"/>
  <c r="AL245" i="73"/>
  <c r="AK245" i="73"/>
  <c r="AJ245" i="73"/>
  <c r="AI245" i="73"/>
  <c r="AH245" i="73"/>
  <c r="AG245" i="73"/>
  <c r="AF245" i="73"/>
  <c r="AE245" i="73"/>
  <c r="AD245" i="73"/>
  <c r="AC245" i="73"/>
  <c r="AB245" i="73"/>
  <c r="AA245" i="73"/>
  <c r="Z245" i="73"/>
  <c r="Y245" i="73"/>
  <c r="X245" i="73"/>
  <c r="W245" i="73"/>
  <c r="V245" i="73"/>
  <c r="U245" i="73"/>
  <c r="T245" i="73"/>
  <c r="S245" i="73"/>
  <c r="R245" i="73"/>
  <c r="Q245" i="73"/>
  <c r="P245" i="73"/>
  <c r="O245" i="73"/>
  <c r="N245" i="73"/>
  <c r="M245" i="73"/>
  <c r="L245" i="73"/>
  <c r="K245" i="73"/>
  <c r="J245" i="73"/>
  <c r="I245" i="73"/>
  <c r="H245" i="73"/>
  <c r="G245" i="73"/>
  <c r="F245" i="73"/>
  <c r="E245" i="73"/>
  <c r="D245" i="73"/>
  <c r="C245" i="73"/>
  <c r="CJ237" i="73"/>
  <c r="CI237" i="73"/>
  <c r="CH237" i="73"/>
  <c r="CG237" i="73"/>
  <c r="CF237" i="73"/>
  <c r="CE237" i="73"/>
  <c r="CD237" i="73"/>
  <c r="CC237" i="73"/>
  <c r="CB237" i="73"/>
  <c r="CA237" i="73"/>
  <c r="BZ237" i="73"/>
  <c r="BY237" i="73"/>
  <c r="BX237" i="73"/>
  <c r="BW237" i="73"/>
  <c r="BV237" i="73"/>
  <c r="BU237" i="73"/>
  <c r="BT237" i="73"/>
  <c r="BS237" i="73"/>
  <c r="BR237" i="73"/>
  <c r="BQ237" i="73"/>
  <c r="BP237" i="73"/>
  <c r="BO237" i="73"/>
  <c r="BN237" i="73"/>
  <c r="BM237" i="73"/>
  <c r="BL237" i="73"/>
  <c r="BK237" i="73"/>
  <c r="BJ237" i="73"/>
  <c r="BI237" i="73"/>
  <c r="BH237" i="73"/>
  <c r="BG237" i="73"/>
  <c r="BF237" i="73"/>
  <c r="BE237" i="73"/>
  <c r="BD237" i="73"/>
  <c r="BC237" i="73"/>
  <c r="BB237" i="73"/>
  <c r="BA237" i="73"/>
  <c r="AZ237" i="73"/>
  <c r="AY237" i="73"/>
  <c r="AX237" i="73"/>
  <c r="AW237" i="73"/>
  <c r="AV237" i="73"/>
  <c r="AU237" i="73"/>
  <c r="AT237" i="73"/>
  <c r="AS237" i="73"/>
  <c r="AR237" i="73"/>
  <c r="AQ237" i="73"/>
  <c r="AP237" i="73"/>
  <c r="AO237" i="73"/>
  <c r="AN237" i="73"/>
  <c r="AL237" i="73"/>
  <c r="AK237" i="73"/>
  <c r="AJ237" i="73"/>
  <c r="AI237" i="73"/>
  <c r="AH237" i="73"/>
  <c r="AG237" i="73"/>
  <c r="AF237" i="73"/>
  <c r="AE237" i="73"/>
  <c r="AD237" i="73"/>
  <c r="AC237" i="73"/>
  <c r="AB237" i="73"/>
  <c r="AA237" i="73"/>
  <c r="Z237" i="73"/>
  <c r="Y237" i="73"/>
  <c r="X237" i="73"/>
  <c r="W237" i="73"/>
  <c r="V237" i="73"/>
  <c r="U237" i="73"/>
  <c r="T237" i="73"/>
  <c r="S237" i="73"/>
  <c r="R237" i="73"/>
  <c r="Q237" i="73"/>
  <c r="P237" i="73"/>
  <c r="O237" i="73"/>
  <c r="N237" i="73"/>
  <c r="M237" i="73"/>
  <c r="L237" i="73"/>
  <c r="K237" i="73"/>
  <c r="J237" i="73"/>
  <c r="I237" i="73"/>
  <c r="H237" i="73"/>
  <c r="G237" i="73"/>
  <c r="F237" i="73"/>
  <c r="E237" i="73"/>
  <c r="D237" i="73"/>
  <c r="C237" i="73"/>
  <c r="CJ11" i="73"/>
  <c r="CI11" i="73"/>
  <c r="CH11" i="73"/>
  <c r="CG11" i="73"/>
  <c r="CF11" i="73"/>
  <c r="CE11" i="73"/>
  <c r="CD11" i="73"/>
  <c r="CC11" i="73"/>
  <c r="CB11" i="73"/>
  <c r="CA11" i="73"/>
  <c r="BZ11" i="73"/>
  <c r="BY11" i="73"/>
  <c r="BX11" i="73"/>
  <c r="BW11" i="73"/>
  <c r="BV11" i="73"/>
  <c r="BU11" i="73"/>
  <c r="BT11" i="73"/>
  <c r="BS11" i="73"/>
  <c r="BR11" i="73"/>
  <c r="BQ11" i="73"/>
  <c r="BP11" i="73"/>
  <c r="BO11" i="73"/>
  <c r="BN11" i="73"/>
  <c r="BM11" i="73"/>
  <c r="BL11" i="73"/>
  <c r="BK11" i="73"/>
  <c r="BJ11" i="73"/>
  <c r="BI11" i="73"/>
  <c r="BH11" i="73"/>
  <c r="BG11" i="73"/>
  <c r="BF11" i="73"/>
  <c r="BE11" i="73"/>
  <c r="BD11" i="73"/>
  <c r="BC11" i="73"/>
  <c r="BB11" i="73"/>
  <c r="BA11" i="73"/>
  <c r="AZ11" i="73"/>
  <c r="AY11" i="73"/>
  <c r="AX11" i="73"/>
  <c r="AW11" i="73"/>
  <c r="AV11" i="73"/>
  <c r="AU11" i="73"/>
  <c r="AT11" i="73"/>
  <c r="AS11" i="73"/>
  <c r="AR11" i="73"/>
  <c r="AQ11" i="73"/>
  <c r="AP11" i="73"/>
  <c r="AO11" i="73"/>
  <c r="AN11" i="73"/>
  <c r="AL11" i="73"/>
  <c r="AK11" i="73"/>
  <c r="AJ11" i="73"/>
  <c r="AI11" i="73"/>
  <c r="AH11" i="73"/>
  <c r="AG11" i="73"/>
  <c r="AF11" i="73"/>
  <c r="AE11" i="73"/>
  <c r="AD11" i="73"/>
  <c r="AC11" i="73"/>
  <c r="AB11" i="73"/>
  <c r="AA11" i="73"/>
  <c r="Z11" i="73"/>
  <c r="Y11" i="73"/>
  <c r="X11" i="73"/>
  <c r="W11" i="73"/>
  <c r="V11" i="73"/>
  <c r="U11" i="73"/>
  <c r="T11" i="73"/>
  <c r="S11" i="73"/>
  <c r="R11" i="73"/>
  <c r="Q11" i="73"/>
  <c r="P11" i="73"/>
  <c r="O11" i="73"/>
  <c r="N11" i="73"/>
  <c r="M11" i="73"/>
  <c r="L11" i="73"/>
  <c r="K11" i="73"/>
  <c r="J11" i="73"/>
  <c r="I11" i="73"/>
  <c r="H11" i="73"/>
  <c r="G11" i="73"/>
  <c r="F11" i="73"/>
  <c r="E11" i="73"/>
  <c r="D11" i="73"/>
  <c r="C11" i="73"/>
  <c r="CJ229" i="73"/>
  <c r="CI229" i="73"/>
  <c r="CH229" i="73"/>
  <c r="CG229" i="73"/>
  <c r="CF229" i="73"/>
  <c r="CE229" i="73"/>
  <c r="CD229" i="73"/>
  <c r="CC229" i="73"/>
  <c r="CB229" i="73"/>
  <c r="CA229" i="73"/>
  <c r="BZ229" i="73"/>
  <c r="BY229" i="73"/>
  <c r="BX229" i="73"/>
  <c r="BW229" i="73"/>
  <c r="BV229" i="73"/>
  <c r="BU229" i="73"/>
  <c r="BT229" i="73"/>
  <c r="BS229" i="73"/>
  <c r="BR229" i="73"/>
  <c r="BQ229" i="73"/>
  <c r="BP229" i="73"/>
  <c r="BO229" i="73"/>
  <c r="BN229" i="73"/>
  <c r="BM229" i="73"/>
  <c r="BL229" i="73"/>
  <c r="BK229" i="73"/>
  <c r="BJ229" i="73"/>
  <c r="BI229" i="73"/>
  <c r="BH229" i="73"/>
  <c r="BG229" i="73"/>
  <c r="BF229" i="73"/>
  <c r="BE229" i="73"/>
  <c r="BD229" i="73"/>
  <c r="BC229" i="73"/>
  <c r="BB229" i="73"/>
  <c r="BA229" i="73"/>
  <c r="AZ229" i="73"/>
  <c r="AY229" i="73"/>
  <c r="AX229" i="73"/>
  <c r="AW229" i="73"/>
  <c r="AV229" i="73"/>
  <c r="AU229" i="73"/>
  <c r="AT229" i="73"/>
  <c r="AS229" i="73"/>
  <c r="AR229" i="73"/>
  <c r="AQ229" i="73"/>
  <c r="AP229" i="73"/>
  <c r="AO229" i="73"/>
  <c r="AN229" i="73"/>
  <c r="AL229" i="73"/>
  <c r="AK229" i="73"/>
  <c r="AJ229" i="73"/>
  <c r="AI229" i="73"/>
  <c r="AH229" i="73"/>
  <c r="AG229" i="73"/>
  <c r="AF229" i="73"/>
  <c r="AE229" i="73"/>
  <c r="AD229" i="73"/>
  <c r="AC229" i="73"/>
  <c r="AB229" i="73"/>
  <c r="AA229" i="73"/>
  <c r="Z229" i="73"/>
  <c r="Y229" i="73"/>
  <c r="X229" i="73"/>
  <c r="W229" i="73"/>
  <c r="V229" i="73"/>
  <c r="U229" i="73"/>
  <c r="T229" i="73"/>
  <c r="S229" i="73"/>
  <c r="R229" i="73"/>
  <c r="Q229" i="73"/>
  <c r="P229" i="73"/>
  <c r="O229" i="73"/>
  <c r="N229" i="73"/>
  <c r="M229" i="73"/>
  <c r="L229" i="73"/>
  <c r="K229" i="73"/>
  <c r="J229" i="73"/>
  <c r="I229" i="73"/>
  <c r="H229" i="73"/>
  <c r="G229" i="73"/>
  <c r="F229" i="73"/>
  <c r="E229" i="73"/>
  <c r="D229" i="73"/>
  <c r="C229" i="73"/>
  <c r="I39" i="73" l="1"/>
  <c r="I44" i="73"/>
  <c r="I34" i="73"/>
  <c r="U39" i="73"/>
  <c r="U44" i="73"/>
  <c r="U34" i="73"/>
  <c r="AG39" i="73"/>
  <c r="AG44" i="73"/>
  <c r="AG34" i="73"/>
  <c r="AT39" i="73"/>
  <c r="AT44" i="73"/>
  <c r="AT34" i="73"/>
  <c r="BF39" i="73"/>
  <c r="BF44" i="73"/>
  <c r="BF34" i="73"/>
  <c r="BR39" i="73"/>
  <c r="BR44" i="73"/>
  <c r="BR34" i="73"/>
  <c r="CD39" i="73"/>
  <c r="CD44" i="73"/>
  <c r="CD34" i="73"/>
  <c r="J39" i="73"/>
  <c r="J44" i="73"/>
  <c r="J34" i="73"/>
  <c r="V39" i="73"/>
  <c r="V44" i="73"/>
  <c r="V34" i="73"/>
  <c r="AH39" i="73"/>
  <c r="AH44" i="73"/>
  <c r="AH34" i="73"/>
  <c r="AU39" i="73"/>
  <c r="AU34" i="73"/>
  <c r="AU44" i="73"/>
  <c r="BG39" i="73"/>
  <c r="BG44" i="73"/>
  <c r="BG34" i="73"/>
  <c r="BS39" i="73"/>
  <c r="BS34" i="73"/>
  <c r="BS44" i="73"/>
  <c r="CE39" i="73"/>
  <c r="CE44" i="73"/>
  <c r="CE34" i="73"/>
  <c r="K39" i="73"/>
  <c r="K44" i="73"/>
  <c r="K34" i="73"/>
  <c r="W34" i="73"/>
  <c r="W39" i="73"/>
  <c r="W44" i="73"/>
  <c r="AI39" i="73"/>
  <c r="AI34" i="73"/>
  <c r="AI44" i="73"/>
  <c r="AV39" i="73"/>
  <c r="AV34" i="73"/>
  <c r="AV44" i="73"/>
  <c r="BH39" i="73"/>
  <c r="BH44" i="73"/>
  <c r="BH34" i="73"/>
  <c r="BT39" i="73"/>
  <c r="BT34" i="73"/>
  <c r="BT44" i="73"/>
  <c r="CF34" i="73"/>
  <c r="CF39" i="73"/>
  <c r="CF44" i="73"/>
  <c r="L39" i="73"/>
  <c r="L44" i="73"/>
  <c r="L34" i="73"/>
  <c r="X39" i="73"/>
  <c r="X34" i="73"/>
  <c r="X44" i="73"/>
  <c r="AJ39" i="73"/>
  <c r="AJ44" i="73"/>
  <c r="AJ34" i="73"/>
  <c r="AW44" i="73"/>
  <c r="AW34" i="73"/>
  <c r="AW39" i="73"/>
  <c r="BI44" i="73"/>
  <c r="BI34" i="73"/>
  <c r="BI39" i="73"/>
  <c r="BU44" i="73"/>
  <c r="BU34" i="73"/>
  <c r="BU39" i="73"/>
  <c r="CG44" i="73"/>
  <c r="CG34" i="73"/>
  <c r="CG39" i="73"/>
  <c r="AK44" i="73"/>
  <c r="AK34" i="73"/>
  <c r="AK39" i="73"/>
  <c r="BJ44" i="73"/>
  <c r="BJ34" i="73"/>
  <c r="BJ39" i="73"/>
  <c r="BV44" i="73"/>
  <c r="BV34" i="73"/>
  <c r="BV39" i="73"/>
  <c r="CH44" i="73"/>
  <c r="CH34" i="73"/>
  <c r="CH39" i="73"/>
  <c r="N44" i="73"/>
  <c r="N34" i="73"/>
  <c r="N39" i="73"/>
  <c r="Z44" i="73"/>
  <c r="Z34" i="73"/>
  <c r="Z39" i="73"/>
  <c r="AL44" i="73"/>
  <c r="AL34" i="73"/>
  <c r="AL39" i="73"/>
  <c r="AY39" i="73"/>
  <c r="AY44" i="73"/>
  <c r="AY34" i="73"/>
  <c r="BK39" i="73"/>
  <c r="BK44" i="73"/>
  <c r="BK34" i="73"/>
  <c r="BW39" i="73"/>
  <c r="BW44" i="73"/>
  <c r="BW34" i="73"/>
  <c r="CI39" i="73"/>
  <c r="CI44" i="73"/>
  <c r="CI34" i="73"/>
  <c r="M34" i="73"/>
  <c r="M44" i="73"/>
  <c r="M39" i="73"/>
  <c r="C39" i="73"/>
  <c r="C44" i="73"/>
  <c r="C34" i="73"/>
  <c r="O39" i="73"/>
  <c r="O44" i="73"/>
  <c r="O34" i="73"/>
  <c r="AA39" i="73"/>
  <c r="AA44" i="73"/>
  <c r="AA34" i="73"/>
  <c r="AN39" i="73"/>
  <c r="AN34" i="73"/>
  <c r="AN44" i="73"/>
  <c r="AZ39" i="73"/>
  <c r="AZ34" i="73"/>
  <c r="AZ44" i="73"/>
  <c r="BL39" i="73"/>
  <c r="BL34" i="73"/>
  <c r="BL44" i="73"/>
  <c r="BX39" i="73"/>
  <c r="BX34" i="73"/>
  <c r="BX44" i="73"/>
  <c r="CJ39" i="73"/>
  <c r="CJ34" i="73"/>
  <c r="CJ44" i="73"/>
  <c r="D39" i="73"/>
  <c r="D34" i="73"/>
  <c r="D44" i="73"/>
  <c r="P39" i="73"/>
  <c r="P34" i="73"/>
  <c r="P44" i="73"/>
  <c r="AB39" i="73"/>
  <c r="AB34" i="73"/>
  <c r="AB44" i="73"/>
  <c r="AO34" i="73"/>
  <c r="AO39" i="73"/>
  <c r="AO44" i="73"/>
  <c r="BA39" i="73"/>
  <c r="BA34" i="73"/>
  <c r="BA44" i="73"/>
  <c r="BM34" i="73"/>
  <c r="BM39" i="73"/>
  <c r="BM44" i="73"/>
  <c r="BY34" i="73"/>
  <c r="BY39" i="73"/>
  <c r="BY44" i="73"/>
  <c r="AX44" i="73"/>
  <c r="AX34" i="73"/>
  <c r="AX39" i="73"/>
  <c r="E39" i="73"/>
  <c r="E34" i="73"/>
  <c r="E44" i="73"/>
  <c r="Q34" i="73"/>
  <c r="Q39" i="73"/>
  <c r="Q44" i="73"/>
  <c r="AC39" i="73"/>
  <c r="AC34" i="73"/>
  <c r="AC44" i="73"/>
  <c r="AP44" i="73"/>
  <c r="AP34" i="73"/>
  <c r="AP39" i="73"/>
  <c r="BB44" i="73"/>
  <c r="BB34" i="73"/>
  <c r="BB39" i="73"/>
  <c r="BN44" i="73"/>
  <c r="BN34" i="73"/>
  <c r="BN39" i="73"/>
  <c r="BZ44" i="73"/>
  <c r="BZ34" i="73"/>
  <c r="BZ39" i="73"/>
  <c r="F44" i="73"/>
  <c r="F34" i="73"/>
  <c r="F39" i="73"/>
  <c r="AD44" i="73"/>
  <c r="AD34" i="73"/>
  <c r="AD39" i="73"/>
  <c r="AQ44" i="73"/>
  <c r="AQ34" i="73"/>
  <c r="AQ39" i="73"/>
  <c r="BC44" i="73"/>
  <c r="BC34" i="73"/>
  <c r="BC39" i="73"/>
  <c r="BO44" i="73"/>
  <c r="BO34" i="73"/>
  <c r="BO39" i="73"/>
  <c r="CA44" i="73"/>
  <c r="CA34" i="73"/>
  <c r="CA39" i="73"/>
  <c r="S44" i="73"/>
  <c r="S34" i="73"/>
  <c r="S39" i="73"/>
  <c r="BP44" i="73"/>
  <c r="BP39" i="73"/>
  <c r="BP34" i="73"/>
  <c r="Y44" i="73"/>
  <c r="Y34" i="73"/>
  <c r="Y39" i="73"/>
  <c r="R44" i="73"/>
  <c r="R34" i="73"/>
  <c r="R39" i="73"/>
  <c r="G44" i="73"/>
  <c r="G34" i="73"/>
  <c r="G39" i="73"/>
  <c r="AE44" i="73"/>
  <c r="AE34" i="73"/>
  <c r="AE39" i="73"/>
  <c r="AR44" i="73"/>
  <c r="AR39" i="73"/>
  <c r="AR34" i="73"/>
  <c r="BD44" i="73"/>
  <c r="BD39" i="73"/>
  <c r="BD34" i="73"/>
  <c r="CB44" i="73"/>
  <c r="CB39" i="73"/>
  <c r="CB34" i="73"/>
  <c r="H44" i="73"/>
  <c r="H39" i="73"/>
  <c r="H34" i="73"/>
  <c r="T44" i="73"/>
  <c r="T39" i="73"/>
  <c r="T34" i="73"/>
  <c r="AF44" i="73"/>
  <c r="AF39" i="73"/>
  <c r="AF34" i="73"/>
  <c r="AS39" i="73"/>
  <c r="AS44" i="73"/>
  <c r="AS34" i="73"/>
  <c r="BE39" i="73"/>
  <c r="BE44" i="73"/>
  <c r="BE34" i="73"/>
  <c r="BQ39" i="73"/>
  <c r="BQ44" i="73"/>
  <c r="BQ34" i="73"/>
  <c r="CC39" i="73"/>
  <c r="CC44" i="73"/>
  <c r="CC34" i="73"/>
  <c r="M19" i="73"/>
  <c r="M29" i="73"/>
  <c r="M24" i="73"/>
  <c r="AC19" i="73"/>
  <c r="AC29" i="73"/>
  <c r="AC24" i="73"/>
  <c r="AS29" i="73"/>
  <c r="AS19" i="73"/>
  <c r="AS24" i="73"/>
  <c r="BI29" i="73"/>
  <c r="BI19" i="73"/>
  <c r="BI24" i="73"/>
  <c r="BY29" i="73"/>
  <c r="BY19" i="73"/>
  <c r="BY24" i="73"/>
  <c r="N29" i="73"/>
  <c r="N19" i="73"/>
  <c r="N24" i="73"/>
  <c r="AL29" i="73"/>
  <c r="AL19" i="73"/>
  <c r="AL24" i="73"/>
  <c r="AT29" i="73"/>
  <c r="AT19" i="73"/>
  <c r="AT24" i="73"/>
  <c r="BZ29" i="73"/>
  <c r="BZ19" i="73"/>
  <c r="BZ24" i="73"/>
  <c r="O24" i="73"/>
  <c r="O19" i="73"/>
  <c r="O29" i="73"/>
  <c r="AU19" i="73"/>
  <c r="AU24" i="73"/>
  <c r="AU29" i="73"/>
  <c r="BS19" i="73"/>
  <c r="BS24" i="73"/>
  <c r="BS29" i="73"/>
  <c r="P19" i="73"/>
  <c r="P24" i="73"/>
  <c r="P29" i="73"/>
  <c r="I19" i="73"/>
  <c r="I24" i="73"/>
  <c r="I29" i="73"/>
  <c r="AG19" i="73"/>
  <c r="AG24" i="73"/>
  <c r="AG29" i="73"/>
  <c r="AW19" i="73"/>
  <c r="AW24" i="73"/>
  <c r="AW29" i="73"/>
  <c r="BU19" i="73"/>
  <c r="BU24" i="73"/>
  <c r="BU29" i="73"/>
  <c r="J19" i="73"/>
  <c r="J29" i="73"/>
  <c r="J24" i="73"/>
  <c r="R19" i="73"/>
  <c r="R24" i="73"/>
  <c r="R29" i="73"/>
  <c r="Z19" i="73"/>
  <c r="Z24" i="73"/>
  <c r="Z29" i="73"/>
  <c r="AH19" i="73"/>
  <c r="AH29" i="73"/>
  <c r="AH24" i="73"/>
  <c r="AP19" i="73"/>
  <c r="AP24" i="73"/>
  <c r="AP29" i="73"/>
  <c r="AX19" i="73"/>
  <c r="AX24" i="73"/>
  <c r="AX29" i="73"/>
  <c r="BF19" i="73"/>
  <c r="BF29" i="73"/>
  <c r="BF24" i="73"/>
  <c r="BN19" i="73"/>
  <c r="BN24" i="73"/>
  <c r="BN29" i="73"/>
  <c r="BV19" i="73"/>
  <c r="BV24" i="73"/>
  <c r="BV29" i="73"/>
  <c r="CD19" i="73"/>
  <c r="CD29" i="73"/>
  <c r="CD24" i="73"/>
  <c r="F29" i="73"/>
  <c r="F24" i="73"/>
  <c r="F19" i="73"/>
  <c r="V29" i="73"/>
  <c r="V19" i="73"/>
  <c r="V24" i="73"/>
  <c r="BB29" i="73"/>
  <c r="BB24" i="73"/>
  <c r="BB19" i="73"/>
  <c r="BR29" i="73"/>
  <c r="BR19" i="73"/>
  <c r="BR24" i="73"/>
  <c r="W19" i="73"/>
  <c r="W24" i="73"/>
  <c r="W29" i="73"/>
  <c r="BC19" i="73"/>
  <c r="BC24" i="73"/>
  <c r="BC29" i="73"/>
  <c r="CA19" i="73"/>
  <c r="CA24" i="73"/>
  <c r="CA29" i="73"/>
  <c r="H24" i="73"/>
  <c r="H19" i="73"/>
  <c r="H29" i="73"/>
  <c r="AF24" i="73"/>
  <c r="AF29" i="73"/>
  <c r="AF19" i="73"/>
  <c r="AV24" i="73"/>
  <c r="AV29" i="73"/>
  <c r="AV19" i="73"/>
  <c r="BL24" i="73"/>
  <c r="BL29" i="73"/>
  <c r="BL19" i="73"/>
  <c r="CB24" i="73"/>
  <c r="CB19" i="73"/>
  <c r="CB29" i="73"/>
  <c r="Y19" i="73"/>
  <c r="Y29" i="73"/>
  <c r="Y24" i="73"/>
  <c r="BE19" i="73"/>
  <c r="BE29" i="73"/>
  <c r="BE24" i="73"/>
  <c r="CC19" i="73"/>
  <c r="CC29" i="73"/>
  <c r="CC24" i="73"/>
  <c r="C24" i="73"/>
  <c r="C29" i="73"/>
  <c r="C19" i="73"/>
  <c r="K24" i="73"/>
  <c r="K29" i="73"/>
  <c r="K19" i="73"/>
  <c r="S24" i="73"/>
  <c r="S29" i="73"/>
  <c r="S19" i="73"/>
  <c r="AA24" i="73"/>
  <c r="AA29" i="73"/>
  <c r="AA19" i="73"/>
  <c r="AI24" i="73"/>
  <c r="AI29" i="73"/>
  <c r="AI19" i="73"/>
  <c r="AQ24" i="73"/>
  <c r="AQ29" i="73"/>
  <c r="AQ19" i="73"/>
  <c r="AY24" i="73"/>
  <c r="AY29" i="73"/>
  <c r="AY19" i="73"/>
  <c r="BG24" i="73"/>
  <c r="BG29" i="73"/>
  <c r="BG19" i="73"/>
  <c r="BO24" i="73"/>
  <c r="BO29" i="73"/>
  <c r="BO19" i="73"/>
  <c r="BW24" i="73"/>
  <c r="BW29" i="73"/>
  <c r="BW19" i="73"/>
  <c r="CE24" i="73"/>
  <c r="CE29" i="73"/>
  <c r="CE19" i="73"/>
  <c r="E29" i="73"/>
  <c r="E19" i="73"/>
  <c r="E24" i="73"/>
  <c r="U29" i="73"/>
  <c r="U19" i="73"/>
  <c r="U24" i="73"/>
  <c r="AK29" i="73"/>
  <c r="AK19" i="73"/>
  <c r="AK24" i="73"/>
  <c r="BA19" i="73"/>
  <c r="BA29" i="73"/>
  <c r="BA24" i="73"/>
  <c r="BQ19" i="73"/>
  <c r="BQ29" i="73"/>
  <c r="BQ24" i="73"/>
  <c r="CG29" i="73"/>
  <c r="CG19" i="73"/>
  <c r="CG24" i="73"/>
  <c r="AD29" i="73"/>
  <c r="AD24" i="73"/>
  <c r="AD19" i="73"/>
  <c r="BJ29" i="73"/>
  <c r="BJ19" i="73"/>
  <c r="BJ24" i="73"/>
  <c r="CH29" i="73"/>
  <c r="CH19" i="73"/>
  <c r="CH24" i="73"/>
  <c r="G19" i="73"/>
  <c r="G24" i="73"/>
  <c r="G29" i="73"/>
  <c r="AE24" i="73"/>
  <c r="AE19" i="73"/>
  <c r="AE29" i="73"/>
  <c r="BK19" i="73"/>
  <c r="BK24" i="73"/>
  <c r="BK29" i="73"/>
  <c r="CI24" i="73"/>
  <c r="CI19" i="73"/>
  <c r="CI29" i="73"/>
  <c r="X24" i="73"/>
  <c r="X19" i="73"/>
  <c r="X29" i="73"/>
  <c r="AN19" i="73"/>
  <c r="AN24" i="73"/>
  <c r="AN29" i="73"/>
  <c r="BD24" i="73"/>
  <c r="BD19" i="73"/>
  <c r="BD29" i="73"/>
  <c r="BT29" i="73"/>
  <c r="BT19" i="73"/>
  <c r="BT24" i="73"/>
  <c r="CJ29" i="73"/>
  <c r="CJ24" i="73"/>
  <c r="CJ19" i="73"/>
  <c r="Q29" i="73"/>
  <c r="Q19" i="73"/>
  <c r="Q24" i="73"/>
  <c r="AO19" i="73"/>
  <c r="AO29" i="73"/>
  <c r="AO24" i="73"/>
  <c r="BM19" i="73"/>
  <c r="BM24" i="73"/>
  <c r="BM29" i="73"/>
  <c r="D29" i="73"/>
  <c r="D24" i="73"/>
  <c r="D19" i="73"/>
  <c r="L29" i="73"/>
  <c r="L24" i="73"/>
  <c r="L19" i="73"/>
  <c r="T29" i="73"/>
  <c r="T19" i="73"/>
  <c r="T24" i="73"/>
  <c r="AB29" i="73"/>
  <c r="AB24" i="73"/>
  <c r="AB19" i="73"/>
  <c r="AJ29" i="73"/>
  <c r="AJ24" i="73"/>
  <c r="AJ19" i="73"/>
  <c r="AR29" i="73"/>
  <c r="AR24" i="73"/>
  <c r="AR19" i="73"/>
  <c r="AZ29" i="73"/>
  <c r="AZ19" i="73"/>
  <c r="AZ24" i="73"/>
  <c r="BH29" i="73"/>
  <c r="BH24" i="73"/>
  <c r="BH19" i="73"/>
  <c r="BP29" i="73"/>
  <c r="BP24" i="73"/>
  <c r="BP19" i="73"/>
  <c r="BX29" i="73"/>
  <c r="BX24" i="73"/>
  <c r="BX19" i="73"/>
  <c r="CF29" i="73"/>
  <c r="CF19" i="73"/>
  <c r="CF24" i="73"/>
  <c r="E285" i="73"/>
  <c r="E297" i="73"/>
  <c r="E291" i="73"/>
  <c r="U291" i="73"/>
  <c r="U297" i="73"/>
  <c r="U285" i="73"/>
  <c r="AK285" i="73"/>
  <c r="AK291" i="73"/>
  <c r="AK297" i="73"/>
  <c r="BA297" i="73"/>
  <c r="BA291" i="73"/>
  <c r="BA285" i="73"/>
  <c r="BI291" i="73"/>
  <c r="BI297" i="73"/>
  <c r="BI285" i="73"/>
  <c r="BY291" i="73"/>
  <c r="BY285" i="73"/>
  <c r="BY297" i="73"/>
  <c r="N291" i="73"/>
  <c r="N285" i="73"/>
  <c r="N297" i="73"/>
  <c r="AD297" i="73"/>
  <c r="AD285" i="73"/>
  <c r="AD291" i="73"/>
  <c r="BB291" i="73"/>
  <c r="BB297" i="73"/>
  <c r="BB285" i="73"/>
  <c r="BJ291" i="73"/>
  <c r="BJ285" i="73"/>
  <c r="BJ297" i="73"/>
  <c r="BZ291" i="73"/>
  <c r="BZ285" i="73"/>
  <c r="BZ297" i="73"/>
  <c r="G285" i="73"/>
  <c r="G291" i="73"/>
  <c r="G297" i="73"/>
  <c r="W291" i="73"/>
  <c r="W285" i="73"/>
  <c r="W297" i="73"/>
  <c r="BC297" i="73"/>
  <c r="BC291" i="73"/>
  <c r="BC285" i="73"/>
  <c r="BS297" i="73"/>
  <c r="BS291" i="73"/>
  <c r="BS285" i="73"/>
  <c r="CI291" i="73"/>
  <c r="CI285" i="73"/>
  <c r="CI297" i="73"/>
  <c r="H291" i="73"/>
  <c r="H297" i="73"/>
  <c r="H285" i="73"/>
  <c r="X291" i="73"/>
  <c r="X297" i="73"/>
  <c r="X285" i="73"/>
  <c r="AN291" i="73"/>
  <c r="AN297" i="73"/>
  <c r="AN285" i="73"/>
  <c r="BD291" i="73"/>
  <c r="BD297" i="73"/>
  <c r="BD285" i="73"/>
  <c r="BT291" i="73"/>
  <c r="BT297" i="73"/>
  <c r="BT285" i="73"/>
  <c r="CJ291" i="73"/>
  <c r="CJ297" i="73"/>
  <c r="CJ285" i="73"/>
  <c r="I291" i="73"/>
  <c r="I297" i="73"/>
  <c r="I285" i="73"/>
  <c r="Q291" i="73"/>
  <c r="Q297" i="73"/>
  <c r="Q285" i="73"/>
  <c r="AG291" i="73"/>
  <c r="AG297" i="73"/>
  <c r="AG285" i="73"/>
  <c r="AW291" i="73"/>
  <c r="AW297" i="73"/>
  <c r="AW285" i="73"/>
  <c r="BM291" i="73"/>
  <c r="BM297" i="73"/>
  <c r="BM285" i="73"/>
  <c r="CC291" i="73"/>
  <c r="CC297" i="73"/>
  <c r="CC285" i="73"/>
  <c r="R297" i="73"/>
  <c r="R285" i="73"/>
  <c r="R291" i="73"/>
  <c r="AH297" i="73"/>
  <c r="AH285" i="73"/>
  <c r="AH291" i="73"/>
  <c r="AP297" i="73"/>
  <c r="AP285" i="73"/>
  <c r="AP291" i="73"/>
  <c r="BN297" i="73"/>
  <c r="BN285" i="73"/>
  <c r="BN291" i="73"/>
  <c r="CD297" i="73"/>
  <c r="CD285" i="73"/>
  <c r="CD291" i="73"/>
  <c r="C291" i="73"/>
  <c r="C285" i="73"/>
  <c r="C297" i="73"/>
  <c r="K285" i="73"/>
  <c r="K291" i="73"/>
  <c r="K297" i="73"/>
  <c r="S297" i="73"/>
  <c r="S291" i="73"/>
  <c r="S285" i="73"/>
  <c r="AA285" i="73"/>
  <c r="AA297" i="73"/>
  <c r="AA291" i="73"/>
  <c r="AI291" i="73"/>
  <c r="AI285" i="73"/>
  <c r="AI297" i="73"/>
  <c r="AQ297" i="73"/>
  <c r="AQ285" i="73"/>
  <c r="AQ291" i="73"/>
  <c r="AY291" i="73"/>
  <c r="AY297" i="73"/>
  <c r="AY285" i="73"/>
  <c r="BG297" i="73"/>
  <c r="BG285" i="73"/>
  <c r="BG291" i="73"/>
  <c r="BO291" i="73"/>
  <c r="BO285" i="73"/>
  <c r="BO297" i="73"/>
  <c r="BW291" i="73"/>
  <c r="BW285" i="73"/>
  <c r="BW297" i="73"/>
  <c r="CE297" i="73"/>
  <c r="CE291" i="73"/>
  <c r="CE285" i="73"/>
  <c r="M291" i="73"/>
  <c r="M297" i="73"/>
  <c r="M285" i="73"/>
  <c r="AC297" i="73"/>
  <c r="AC291" i="73"/>
  <c r="AC285" i="73"/>
  <c r="AS297" i="73"/>
  <c r="AS291" i="73"/>
  <c r="AS285" i="73"/>
  <c r="BQ285" i="73"/>
  <c r="BQ297" i="73"/>
  <c r="BQ291" i="73"/>
  <c r="CG285" i="73"/>
  <c r="CG297" i="73"/>
  <c r="CG291" i="73"/>
  <c r="F297" i="73"/>
  <c r="F291" i="73"/>
  <c r="F285" i="73"/>
  <c r="V291" i="73"/>
  <c r="V285" i="73"/>
  <c r="V297" i="73"/>
  <c r="AL297" i="73"/>
  <c r="AL291" i="73"/>
  <c r="AL285" i="73"/>
  <c r="AT291" i="73"/>
  <c r="AT285" i="73"/>
  <c r="AT297" i="73"/>
  <c r="BR297" i="73"/>
  <c r="BR291" i="73"/>
  <c r="BR285" i="73"/>
  <c r="CH291" i="73"/>
  <c r="CH285" i="73"/>
  <c r="CH297" i="73"/>
  <c r="O285" i="73"/>
  <c r="O297" i="73"/>
  <c r="O291" i="73"/>
  <c r="AE297" i="73"/>
  <c r="AE291" i="73"/>
  <c r="AE285" i="73"/>
  <c r="AU285" i="73"/>
  <c r="AU297" i="73"/>
  <c r="AU291" i="73"/>
  <c r="BK285" i="73"/>
  <c r="BK291" i="73"/>
  <c r="BK297" i="73"/>
  <c r="CA285" i="73"/>
  <c r="CA297" i="73"/>
  <c r="CA291" i="73"/>
  <c r="P291" i="73"/>
  <c r="P297" i="73"/>
  <c r="P285" i="73"/>
  <c r="AF291" i="73"/>
  <c r="AF297" i="73"/>
  <c r="AF285" i="73"/>
  <c r="AV291" i="73"/>
  <c r="AV297" i="73"/>
  <c r="AV285" i="73"/>
  <c r="BL291" i="73"/>
  <c r="BL297" i="73"/>
  <c r="BL285" i="73"/>
  <c r="CB291" i="73"/>
  <c r="CB297" i="73"/>
  <c r="CB285" i="73"/>
  <c r="Y291" i="73"/>
  <c r="Y297" i="73"/>
  <c r="Y285" i="73"/>
  <c r="AO291" i="73"/>
  <c r="AO297" i="73"/>
  <c r="AO285" i="73"/>
  <c r="BE291" i="73"/>
  <c r="BE297" i="73"/>
  <c r="BE285" i="73"/>
  <c r="BU291" i="73"/>
  <c r="BU297" i="73"/>
  <c r="BU285" i="73"/>
  <c r="J297" i="73"/>
  <c r="J285" i="73"/>
  <c r="J291" i="73"/>
  <c r="Z297" i="73"/>
  <c r="Z285" i="73"/>
  <c r="Z291" i="73"/>
  <c r="AX297" i="73"/>
  <c r="AX285" i="73"/>
  <c r="AX291" i="73"/>
  <c r="BF297" i="73"/>
  <c r="BF285" i="73"/>
  <c r="BF291" i="73"/>
  <c r="BV297" i="73"/>
  <c r="BV285" i="73"/>
  <c r="BV291" i="73"/>
  <c r="D291" i="73"/>
  <c r="D285" i="73"/>
  <c r="D297" i="73"/>
  <c r="L285" i="73"/>
  <c r="L291" i="73"/>
  <c r="L297" i="73"/>
  <c r="T297" i="73"/>
  <c r="T291" i="73"/>
  <c r="T285" i="73"/>
  <c r="AB297" i="73"/>
  <c r="AB291" i="73"/>
  <c r="AB285" i="73"/>
  <c r="AJ291" i="73"/>
  <c r="AJ285" i="73"/>
  <c r="AJ297" i="73"/>
  <c r="AR297" i="73"/>
  <c r="AR285" i="73"/>
  <c r="AR291" i="73"/>
  <c r="AZ297" i="73"/>
  <c r="AZ285" i="73"/>
  <c r="AZ291" i="73"/>
  <c r="BH291" i="73"/>
  <c r="BH297" i="73"/>
  <c r="BH285" i="73"/>
  <c r="BP291" i="73"/>
  <c r="BP285" i="73"/>
  <c r="BP297" i="73"/>
  <c r="BX291" i="73"/>
  <c r="BX285" i="73"/>
  <c r="BX297" i="73"/>
  <c r="CF297" i="73"/>
  <c r="CF285" i="73"/>
  <c r="CF291" i="73"/>
  <c r="CD188" i="73"/>
  <c r="CD197" i="73"/>
  <c r="CD206" i="73"/>
  <c r="CD215" i="73"/>
  <c r="AL80" i="68" l="1"/>
  <c r="AL69" i="68"/>
  <c r="AL92" i="68" l="1"/>
  <c r="J25" i="76" l="1"/>
  <c r="J24" i="76"/>
  <c r="J19" i="76" l="1"/>
  <c r="AV7" i="10"/>
  <c r="U18" i="81" l="1"/>
  <c r="U15" i="81"/>
  <c r="F131" i="80"/>
  <c r="N130" i="80"/>
  <c r="F130" i="80"/>
  <c r="N129" i="80"/>
  <c r="AK54" i="68"/>
  <c r="AK50" i="68"/>
  <c r="AK45" i="68"/>
  <c r="AK31" i="68"/>
  <c r="AK28" i="68"/>
  <c r="AK26" i="68"/>
  <c r="AK23" i="68"/>
  <c r="AK20" i="68"/>
  <c r="AK92" i="68"/>
  <c r="AK80" i="68"/>
  <c r="AK78" i="68"/>
  <c r="AK69" i="68"/>
  <c r="AN10" i="66"/>
  <c r="AN4" i="55"/>
  <c r="AN13" i="55"/>
  <c r="AN25" i="65"/>
  <c r="AN24" i="65"/>
  <c r="AN23" i="65"/>
  <c r="AN22" i="65"/>
  <c r="AN86" i="71"/>
  <c r="AN21" i="53"/>
  <c r="AN20" i="53"/>
  <c r="AN15" i="53"/>
  <c r="AN17" i="53" s="1"/>
  <c r="AN23" i="53"/>
  <c r="AN8" i="53"/>
  <c r="AN10" i="53" s="1"/>
  <c r="AN43" i="52"/>
  <c r="AN42" i="52"/>
  <c r="AN45" i="52"/>
  <c r="AN44" i="52"/>
  <c r="AN40" i="52"/>
  <c r="AN39" i="52"/>
  <c r="AN50" i="52"/>
  <c r="AN49" i="52"/>
  <c r="AN48" i="52"/>
  <c r="AN46" i="52"/>
  <c r="AN41" i="52"/>
  <c r="AO29" i="48"/>
  <c r="AO24" i="48"/>
  <c r="AJ8" i="72"/>
  <c r="AJ21" i="72" s="1"/>
  <c r="AN27" i="65" l="1"/>
  <c r="AK51" i="68"/>
  <c r="AN22" i="53"/>
  <c r="AN24" i="53" s="1"/>
  <c r="AJ24" i="72"/>
  <c r="AN24" i="55"/>
  <c r="AK32" i="68"/>
  <c r="N131" i="80"/>
  <c r="F129" i="80"/>
  <c r="AK60" i="68"/>
  <c r="AN19" i="52"/>
  <c r="AN38" i="52"/>
  <c r="AO30" i="48"/>
  <c r="AR109" i="46"/>
  <c r="AR108" i="46"/>
  <c r="AR107" i="46"/>
  <c r="AR112" i="46"/>
  <c r="AR111" i="46"/>
  <c r="AR110" i="46"/>
  <c r="AR77" i="46"/>
  <c r="AR76" i="46"/>
  <c r="AR75" i="46"/>
  <c r="AR72" i="46"/>
  <c r="AR66" i="46"/>
  <c r="AR57" i="46"/>
  <c r="AR56" i="46"/>
  <c r="AR53" i="46"/>
  <c r="AR47" i="46"/>
  <c r="AR37" i="46"/>
  <c r="AR34" i="46"/>
  <c r="AR39" i="46"/>
  <c r="AR38" i="46"/>
  <c r="AR28" i="46"/>
  <c r="AR15" i="46"/>
  <c r="AR20" i="46"/>
  <c r="AR19" i="46"/>
  <c r="AR9" i="46"/>
  <c r="AO26" i="45"/>
  <c r="AO32" i="45"/>
  <c r="AO31" i="45"/>
  <c r="AO30" i="45"/>
  <c r="AO29" i="45"/>
  <c r="AO28" i="45"/>
  <c r="AO27" i="45"/>
  <c r="AO19" i="44"/>
  <c r="AO15" i="44"/>
  <c r="AO12" i="44"/>
  <c r="Y47" i="42"/>
  <c r="M47" i="42"/>
  <c r="AO18" i="39"/>
  <c r="AO9" i="39"/>
  <c r="D110" i="38"/>
  <c r="T314" i="36"/>
  <c r="T313" i="36"/>
  <c r="T316" i="36"/>
  <c r="T312" i="36"/>
  <c r="T315" i="36"/>
  <c r="DO23" i="34"/>
  <c r="DN23" i="34"/>
  <c r="DM23" i="34"/>
  <c r="DO20" i="34"/>
  <c r="DO19" i="34"/>
  <c r="DO18" i="34"/>
  <c r="DO17" i="34"/>
  <c r="DO15" i="34"/>
  <c r="DM21" i="34"/>
  <c r="DN21" i="34"/>
  <c r="DN6" i="34"/>
  <c r="EU6" i="34" s="1"/>
  <c r="DM6" i="34"/>
  <c r="ET6" i="34" s="1"/>
  <c r="AO40" i="33"/>
  <c r="AO37" i="33"/>
  <c r="AO35" i="33"/>
  <c r="AO43" i="33"/>
  <c r="AO28" i="33"/>
  <c r="AO17" i="33"/>
  <c r="AO44" i="33"/>
  <c r="AO41" i="33"/>
  <c r="AO38" i="33"/>
  <c r="AO39" i="33"/>
  <c r="AO34" i="33"/>
  <c r="AO47" i="61"/>
  <c r="AO46" i="61"/>
  <c r="AO45" i="61"/>
  <c r="AO50" i="61"/>
  <c r="AO35" i="61"/>
  <c r="AO32" i="61"/>
  <c r="AO19" i="61"/>
  <c r="AO49" i="61"/>
  <c r="AO44" i="61"/>
  <c r="AO43" i="61"/>
  <c r="AO42" i="61"/>
  <c r="AO41" i="61"/>
  <c r="AO40" i="61"/>
  <c r="AO39" i="61"/>
  <c r="AO38" i="61"/>
  <c r="AO28" i="32"/>
  <c r="AO26" i="32"/>
  <c r="AO25" i="32"/>
  <c r="AO29" i="32"/>
  <c r="AO27" i="32"/>
  <c r="AN21" i="31"/>
  <c r="AN27" i="31"/>
  <c r="AN26" i="31"/>
  <c r="AN25" i="31"/>
  <c r="AN12" i="31"/>
  <c r="AN11" i="31" s="1"/>
  <c r="AO24" i="30"/>
  <c r="AO21" i="30"/>
  <c r="AO22" i="30" s="1"/>
  <c r="AO15" i="30"/>
  <c r="AO18" i="30" s="1"/>
  <c r="AO10" i="30"/>
  <c r="AO13" i="29"/>
  <c r="AO17" i="29"/>
  <c r="AO8" i="29"/>
  <c r="AO20" i="26"/>
  <c r="AO10" i="26"/>
  <c r="G79" i="23"/>
  <c r="F79" i="23"/>
  <c r="E79" i="23"/>
  <c r="M79" i="23"/>
  <c r="L79" i="23"/>
  <c r="AN13" i="24"/>
  <c r="T22" i="13"/>
  <c r="T21" i="13"/>
  <c r="T20" i="13"/>
  <c r="T19" i="13"/>
  <c r="T18" i="13"/>
  <c r="AO110" i="9"/>
  <c r="AN110" i="9"/>
  <c r="AL110" i="9"/>
  <c r="AK110" i="9"/>
  <c r="AJ110" i="9"/>
  <c r="AO109" i="9"/>
  <c r="AO111" i="9" s="1"/>
  <c r="AO112" i="9" s="1"/>
  <c r="AO113" i="9" s="1"/>
  <c r="AN109" i="9"/>
  <c r="AN111" i="9" s="1"/>
  <c r="AN112" i="9" s="1"/>
  <c r="AN113" i="9" s="1"/>
  <c r="AL109" i="9"/>
  <c r="AL111" i="9" s="1"/>
  <c r="AL112" i="9" s="1"/>
  <c r="AL113" i="9" s="1"/>
  <c r="AK109" i="9"/>
  <c r="AK111" i="9" s="1"/>
  <c r="AK112" i="9" s="1"/>
  <c r="AJ109" i="9"/>
  <c r="AJ111" i="9" s="1"/>
  <c r="BE108" i="9"/>
  <c r="BE107" i="9"/>
  <c r="BE105" i="9"/>
  <c r="BE104" i="9"/>
  <c r="BE103" i="9"/>
  <c r="AI101" i="9"/>
  <c r="AG101" i="9"/>
  <c r="AF101" i="9"/>
  <c r="AG100" i="9"/>
  <c r="AG102" i="9" s="1"/>
  <c r="BE99" i="9"/>
  <c r="AF98" i="9"/>
  <c r="AF100" i="9" s="1"/>
  <c r="AF102" i="9" s="1"/>
  <c r="AC96" i="9"/>
  <c r="AC97" i="9" s="1"/>
  <c r="AB96" i="9"/>
  <c r="AB97" i="9" s="1"/>
  <c r="AB98" i="9" s="1"/>
  <c r="AA96" i="9"/>
  <c r="AI95" i="9"/>
  <c r="AI96" i="9" s="1"/>
  <c r="AI97" i="9" s="1"/>
  <c r="AI98" i="9" s="1"/>
  <c r="AI100" i="9" s="1"/>
  <c r="AI102" i="9" s="1"/>
  <c r="BE94" i="9"/>
  <c r="BE93" i="9"/>
  <c r="AA92" i="9"/>
  <c r="BE92" i="9" s="1"/>
  <c r="AA91" i="9"/>
  <c r="Z91" i="9"/>
  <c r="Z95" i="9" s="1"/>
  <c r="AA90" i="9"/>
  <c r="Z90" i="9"/>
  <c r="AA89" i="9"/>
  <c r="Z89" i="9"/>
  <c r="BF104" i="9"/>
  <c r="AV45" i="9"/>
  <c r="AO33" i="45" l="1"/>
  <c r="DN27" i="34"/>
  <c r="BE102" i="9"/>
  <c r="AO45" i="33"/>
  <c r="AO18" i="44"/>
  <c r="AO25" i="30"/>
  <c r="AO51" i="61"/>
  <c r="AO42" i="33"/>
  <c r="AK61" i="68"/>
  <c r="AR59" i="46"/>
  <c r="AR40" i="46"/>
  <c r="AR78" i="46"/>
  <c r="AR18" i="46"/>
  <c r="AR21" i="46" s="1"/>
  <c r="AR58" i="46"/>
  <c r="AO22" i="44"/>
  <c r="C110" i="38"/>
  <c r="E110" i="38"/>
  <c r="T311" i="36"/>
  <c r="T310" i="36"/>
  <c r="T309" i="36"/>
  <c r="DM27" i="34"/>
  <c r="DO21" i="34"/>
  <c r="DO27" i="34" s="1"/>
  <c r="AO14" i="33"/>
  <c r="AO31" i="33"/>
  <c r="AO48" i="61"/>
  <c r="AO16" i="61"/>
  <c r="AN20" i="31"/>
  <c r="AN24" i="31"/>
  <c r="AN28" i="31"/>
  <c r="AO16" i="29"/>
  <c r="AO18" i="29" s="1"/>
  <c r="AO12" i="26"/>
  <c r="AO13" i="26" s="1"/>
  <c r="AO22" i="26"/>
  <c r="AO23" i="26" s="1"/>
  <c r="N79" i="23"/>
  <c r="BE101" i="9"/>
  <c r="BE89" i="9"/>
  <c r="BE90" i="9"/>
  <c r="BE95" i="9"/>
  <c r="BE109" i="9"/>
  <c r="BE110" i="9"/>
  <c r="BE96" i="9"/>
  <c r="BE100" i="9"/>
  <c r="AO114" i="9"/>
  <c r="AO115" i="9"/>
  <c r="AO118" i="9" s="1"/>
  <c r="BE111" i="9"/>
  <c r="BE112" i="9"/>
  <c r="BE98" i="9"/>
  <c r="AN114" i="9"/>
  <c r="AN115" i="9"/>
  <c r="AL115" i="9"/>
  <c r="AL114" i="9"/>
  <c r="BE113" i="9"/>
  <c r="BE91" i="9"/>
  <c r="BE97" i="9"/>
  <c r="BE115" i="9" l="1"/>
  <c r="AO116" i="9"/>
  <c r="AO119" i="9" s="1"/>
  <c r="AO117" i="9"/>
  <c r="AN116" i="9"/>
  <c r="AN117" i="9"/>
  <c r="BE118" i="9"/>
  <c r="AN30" i="31"/>
  <c r="AN29" i="31" s="1"/>
  <c r="BE114" i="9"/>
  <c r="BE119" i="9" l="1"/>
  <c r="AO120" i="9"/>
  <c r="BE120" i="9" s="1"/>
  <c r="BE117" i="9"/>
  <c r="BE116" i="9"/>
  <c r="P287" i="79"/>
  <c r="R287" i="79" s="1"/>
  <c r="P286" i="79"/>
  <c r="R286" i="79" s="1"/>
  <c r="P284" i="79"/>
  <c r="R284" i="79" s="1"/>
  <c r="P282" i="79"/>
  <c r="R282" i="79" s="1"/>
  <c r="P281" i="79"/>
  <c r="R281" i="79" s="1"/>
  <c r="P280" i="79"/>
  <c r="R280" i="79" s="1"/>
  <c r="AV37" i="10"/>
  <c r="AV10" i="10"/>
  <c r="AV37" i="1"/>
  <c r="AV9" i="1"/>
  <c r="BA7" i="2" s="1"/>
  <c r="BA11" i="2"/>
  <c r="AV52" i="9" l="1"/>
  <c r="AV11" i="1"/>
  <c r="AN25" i="55"/>
  <c r="P285" i="79"/>
  <c r="R285" i="79" s="1"/>
  <c r="P283" i="79"/>
  <c r="R283" i="79" s="1"/>
  <c r="AV12" i="10"/>
  <c r="BA8" i="2"/>
  <c r="BA6" i="2" l="1"/>
  <c r="AV13" i="1"/>
  <c r="AV15" i="1" s="1"/>
  <c r="AV14" i="10"/>
  <c r="AV16" i="10" s="1"/>
  <c r="BB178" i="77"/>
  <c r="BA178" i="77"/>
  <c r="BA10" i="2" l="1"/>
  <c r="AO11" i="30"/>
  <c r="AV40" i="10"/>
  <c r="AV43" i="10" s="1"/>
  <c r="AV45" i="10" s="1"/>
  <c r="AV48" i="10" s="1"/>
  <c r="AV35" i="1"/>
  <c r="AV40" i="1"/>
  <c r="AV35" i="10"/>
  <c r="CJ323" i="73"/>
  <c r="CJ322" i="73"/>
  <c r="CJ259" i="73"/>
  <c r="CJ251" i="73"/>
  <c r="CJ243" i="73"/>
  <c r="CJ235" i="73"/>
  <c r="AN11" i="53" l="1"/>
  <c r="BA16" i="2"/>
  <c r="AV36" i="10"/>
  <c r="AV36" i="1"/>
  <c r="CJ320" i="73"/>
  <c r="CJ321" i="73"/>
  <c r="AV43" i="1"/>
  <c r="AV45" i="1" s="1"/>
  <c r="AV48" i="1" s="1"/>
  <c r="BA19" i="2" l="1"/>
  <c r="BA24" i="2" l="1"/>
  <c r="BA26" i="2" s="1"/>
  <c r="BA28" i="2" s="1"/>
  <c r="BB177" i="77"/>
  <c r="BA177" i="77"/>
  <c r="AJ18" i="63" l="1"/>
  <c r="BA30" i="2"/>
  <c r="CI323" i="73"/>
  <c r="CI322" i="73"/>
  <c r="CI259" i="73"/>
  <c r="CI321" i="73" s="1"/>
  <c r="CI251" i="73"/>
  <c r="CI320" i="73" s="1"/>
  <c r="CI243" i="73"/>
  <c r="CI235" i="73"/>
  <c r="BB176" i="77" l="1"/>
  <c r="BA176" i="77"/>
  <c r="CH323" i="73" l="1"/>
  <c r="CH322" i="73"/>
  <c r="CH259" i="73"/>
  <c r="CH321" i="73" s="1"/>
  <c r="CH251" i="73"/>
  <c r="CH320" i="73" s="1"/>
  <c r="CH243" i="73"/>
  <c r="CH235" i="73"/>
  <c r="AI80" i="68" l="1"/>
  <c r="AH80" i="68"/>
  <c r="AG80" i="68"/>
  <c r="AF80" i="68"/>
  <c r="AE80" i="68"/>
  <c r="AD80" i="68"/>
  <c r="AC80" i="68"/>
  <c r="AB80" i="68"/>
  <c r="AA80" i="68"/>
  <c r="Z80" i="68"/>
  <c r="Y80" i="68"/>
  <c r="X80" i="68"/>
  <c r="W80" i="68"/>
  <c r="V80" i="68"/>
  <c r="U80" i="68"/>
  <c r="T80" i="68"/>
  <c r="S80" i="68"/>
  <c r="R80" i="68"/>
  <c r="Q80" i="68"/>
  <c r="P80" i="68"/>
  <c r="O80" i="68"/>
  <c r="N80" i="68"/>
  <c r="M80" i="68"/>
  <c r="L80" i="68"/>
  <c r="K80" i="68"/>
  <c r="J80" i="68"/>
  <c r="I80" i="68"/>
  <c r="H80" i="68"/>
  <c r="G80" i="68"/>
  <c r="F80" i="68"/>
  <c r="E80" i="68"/>
  <c r="D80" i="68"/>
  <c r="C80" i="68"/>
  <c r="AJ80" i="68"/>
  <c r="AI78" i="68"/>
  <c r="AH78" i="68"/>
  <c r="AG78" i="68"/>
  <c r="AF78" i="68"/>
  <c r="AE78" i="68"/>
  <c r="AD78" i="68"/>
  <c r="AC78" i="68"/>
  <c r="AB78" i="68"/>
  <c r="AA78" i="68"/>
  <c r="Z78" i="68"/>
  <c r="Y78" i="68"/>
  <c r="X78" i="68"/>
  <c r="W78" i="68"/>
  <c r="V78" i="68"/>
  <c r="U78" i="68"/>
  <c r="T78" i="68"/>
  <c r="S78" i="68"/>
  <c r="R78" i="68"/>
  <c r="Q78" i="68"/>
  <c r="P78" i="68"/>
  <c r="O78" i="68"/>
  <c r="N78" i="68"/>
  <c r="M78" i="68"/>
  <c r="L78" i="68"/>
  <c r="K78" i="68"/>
  <c r="J78" i="68"/>
  <c r="I78" i="68"/>
  <c r="H78" i="68"/>
  <c r="G78" i="68"/>
  <c r="F78" i="68"/>
  <c r="E78" i="68"/>
  <c r="D78" i="68"/>
  <c r="C78" i="68"/>
  <c r="AK33" i="67" l="1"/>
  <c r="AK29" i="67"/>
  <c r="AK22" i="67"/>
  <c r="AK17" i="67"/>
  <c r="AK20" i="67" s="1"/>
  <c r="AK13" i="67"/>
  <c r="AK9" i="67"/>
  <c r="AK39" i="67" l="1"/>
  <c r="P267" i="79" l="1"/>
  <c r="R267" i="79" s="1"/>
  <c r="P266" i="79"/>
  <c r="R266" i="79" s="1"/>
  <c r="P265" i="79"/>
  <c r="R265" i="79" s="1"/>
  <c r="P264" i="79"/>
  <c r="R264" i="79" s="1"/>
  <c r="P263" i="79"/>
  <c r="R263" i="79" s="1"/>
  <c r="P262" i="79"/>
  <c r="R262" i="79" s="1"/>
  <c r="P261" i="79"/>
  <c r="R261" i="79" s="1"/>
  <c r="P260" i="79"/>
  <c r="R260" i="79" s="1"/>
  <c r="AJ78" i="68" l="1"/>
  <c r="AU7" i="10" l="1"/>
  <c r="AT6" i="10"/>
  <c r="AN13" i="29" l="1"/>
  <c r="AN8" i="29" l="1"/>
  <c r="AN17" i="29"/>
  <c r="AN16" i="29"/>
  <c r="T15" i="81"/>
  <c r="AJ26" i="68"/>
  <c r="AJ28" i="68"/>
  <c r="AN18" i="29" l="1"/>
  <c r="T18" i="81"/>
  <c r="F124" i="80"/>
  <c r="F123" i="80"/>
  <c r="F122" i="80"/>
  <c r="AJ92" i="68"/>
  <c r="AJ69" i="68"/>
  <c r="AI8" i="72"/>
  <c r="AQ110" i="46"/>
  <c r="AQ109" i="46"/>
  <c r="AQ108" i="46"/>
  <c r="AQ112" i="46"/>
  <c r="AQ77" i="46"/>
  <c r="AQ75" i="46"/>
  <c r="AQ57" i="46"/>
  <c r="AQ56" i="46"/>
  <c r="AQ39" i="46"/>
  <c r="AQ34" i="46"/>
  <c r="AQ38" i="46"/>
  <c r="AQ28" i="46"/>
  <c r="AQ19" i="46"/>
  <c r="AQ15" i="46"/>
  <c r="AQ9" i="46"/>
  <c r="AN19" i="44"/>
  <c r="Y46" i="42"/>
  <c r="F120" i="38"/>
  <c r="C120" i="38"/>
  <c r="T305" i="36"/>
  <c r="T303" i="36"/>
  <c r="AQ40" i="46" l="1"/>
  <c r="AN15" i="44"/>
  <c r="AQ58" i="46"/>
  <c r="AQ72" i="46"/>
  <c r="AN29" i="48"/>
  <c r="M46" i="42"/>
  <c r="AQ20" i="46"/>
  <c r="AQ53" i="46"/>
  <c r="AQ76" i="46"/>
  <c r="D120" i="38"/>
  <c r="AN12" i="44"/>
  <c r="T306" i="36"/>
  <c r="T300" i="36"/>
  <c r="T302" i="36"/>
  <c r="E120" i="38"/>
  <c r="AN9" i="39"/>
  <c r="AN32" i="45"/>
  <c r="T299" i="36"/>
  <c r="I120" i="38"/>
  <c r="AN24" i="48"/>
  <c r="AI21" i="72"/>
  <c r="AQ111" i="46"/>
  <c r="AQ66" i="46"/>
  <c r="AQ37" i="46"/>
  <c r="AQ47" i="46"/>
  <c r="AQ107" i="46"/>
  <c r="AQ18" i="46"/>
  <c r="DL25" i="34"/>
  <c r="DL26" i="34"/>
  <c r="DL23" i="34"/>
  <c r="DK23" i="34"/>
  <c r="DJ23" i="34"/>
  <c r="DL20" i="34"/>
  <c r="DL19" i="34"/>
  <c r="DL18" i="34"/>
  <c r="DL17" i="34"/>
  <c r="DL15" i="34"/>
  <c r="DL13" i="34"/>
  <c r="DL12" i="34"/>
  <c r="DL11" i="34"/>
  <c r="DL16" i="34"/>
  <c r="DL10" i="34"/>
  <c r="DL9" i="34"/>
  <c r="DL8" i="34"/>
  <c r="DK21" i="34"/>
  <c r="AN40" i="33"/>
  <c r="AN31" i="33"/>
  <c r="AN28" i="33"/>
  <c r="AN44" i="33"/>
  <c r="AN41" i="33"/>
  <c r="AN39" i="33"/>
  <c r="AN37" i="33"/>
  <c r="AN35" i="33"/>
  <c r="AN34" i="33"/>
  <c r="AN47" i="61"/>
  <c r="AN46" i="61"/>
  <c r="AN45" i="61"/>
  <c r="AN35" i="61"/>
  <c r="AN49" i="61"/>
  <c r="AN44" i="61"/>
  <c r="AN42" i="61"/>
  <c r="AN41" i="61"/>
  <c r="AN40" i="61"/>
  <c r="AN39" i="61"/>
  <c r="AN38" i="61"/>
  <c r="AN27" i="32"/>
  <c r="AN28" i="32"/>
  <c r="AN29" i="32"/>
  <c r="AN25" i="32"/>
  <c r="AN15" i="30"/>
  <c r="AN18" i="30" s="1"/>
  <c r="AN24" i="30"/>
  <c r="AN20" i="26"/>
  <c r="AN10" i="26"/>
  <c r="G87" i="23"/>
  <c r="F87" i="23"/>
  <c r="S22" i="13"/>
  <c r="S21" i="13"/>
  <c r="S20" i="13"/>
  <c r="S19" i="13"/>
  <c r="S18" i="13"/>
  <c r="DL24" i="34" l="1"/>
  <c r="AI24" i="72"/>
  <c r="AQ78" i="46"/>
  <c r="DK27" i="34"/>
  <c r="AQ59" i="46"/>
  <c r="AN30" i="48"/>
  <c r="AQ21" i="46"/>
  <c r="AN22" i="44"/>
  <c r="AN16" i="61"/>
  <c r="DL7" i="34"/>
  <c r="DL21" i="34" s="1"/>
  <c r="DL27" i="34" s="1"/>
  <c r="AN32" i="61"/>
  <c r="DJ21" i="34"/>
  <c r="DJ27" i="34" s="1"/>
  <c r="AN18" i="44"/>
  <c r="AN21" i="30"/>
  <c r="AN22" i="30" s="1"/>
  <c r="AN25" i="30" s="1"/>
  <c r="AN43" i="61"/>
  <c r="AN48" i="61" s="1"/>
  <c r="AN43" i="33"/>
  <c r="AN45" i="33" s="1"/>
  <c r="AN50" i="61"/>
  <c r="AN51" i="61" s="1"/>
  <c r="AN38" i="33"/>
  <c r="AN42" i="33" s="1"/>
  <c r="AN14" i="33"/>
  <c r="AN17" i="33"/>
  <c r="AN19" i="61"/>
  <c r="AN26" i="32"/>
  <c r="AN10" i="30"/>
  <c r="N87" i="23"/>
  <c r="M87" i="23"/>
  <c r="AU45" i="9" l="1"/>
  <c r="P273" i="79"/>
  <c r="R273" i="79" s="1"/>
  <c r="P276" i="79"/>
  <c r="R276" i="79" s="1"/>
  <c r="P275" i="79"/>
  <c r="R275" i="79" s="1"/>
  <c r="P274" i="79"/>
  <c r="R274" i="79" s="1"/>
  <c r="AU9" i="12"/>
  <c r="AU13" i="12"/>
  <c r="AU15" i="12"/>
  <c r="AU16" i="12"/>
  <c r="AU17" i="12"/>
  <c r="AU18" i="12"/>
  <c r="AU20" i="12"/>
  <c r="AU22" i="12"/>
  <c r="AU24" i="12"/>
  <c r="AU37" i="12"/>
  <c r="AU38" i="12"/>
  <c r="AU40" i="12"/>
  <c r="AU41" i="12"/>
  <c r="AU43" i="12"/>
  <c r="AU37" i="10"/>
  <c r="AX133" i="9" l="1"/>
  <c r="AU58" i="12"/>
  <c r="AU36" i="12"/>
  <c r="P277" i="79"/>
  <c r="R277" i="79" s="1"/>
  <c r="P272" i="79"/>
  <c r="R272" i="79" s="1"/>
  <c r="P271" i="79"/>
  <c r="R271" i="79" s="1"/>
  <c r="AU10" i="10"/>
  <c r="AU12" i="10" l="1"/>
  <c r="AU7" i="12"/>
  <c r="AU14" i="10" l="1"/>
  <c r="AU16" i="10" s="1"/>
  <c r="AU35" i="10" l="1"/>
  <c r="AU40" i="10"/>
  <c r="AU37" i="1"/>
  <c r="AU9" i="1"/>
  <c r="AZ21" i="2"/>
  <c r="AM25" i="55" s="1"/>
  <c r="AZ11" i="2"/>
  <c r="AZ8" i="2"/>
  <c r="AU43" i="10" l="1"/>
  <c r="AU45" i="10" s="1"/>
  <c r="AU48" i="10" s="1"/>
  <c r="AZ7" i="2"/>
  <c r="AU52" i="9"/>
  <c r="AU36" i="10"/>
  <c r="AU11" i="1"/>
  <c r="AU6" i="12"/>
  <c r="AU8" i="12" s="1"/>
  <c r="AZ6" i="2" l="1"/>
  <c r="AU10" i="12"/>
  <c r="AZ10" i="2" l="1"/>
  <c r="AN11" i="30"/>
  <c r="AM11" i="53" l="1"/>
  <c r="AZ16" i="2"/>
  <c r="AZ19" i="2" l="1"/>
  <c r="BB175" i="77"/>
  <c r="BA175" i="77"/>
  <c r="CG323" i="73"/>
  <c r="CG322" i="73"/>
  <c r="CG259" i="73"/>
  <c r="CG321" i="73" s="1"/>
  <c r="CG251" i="73"/>
  <c r="CG320" i="73" s="1"/>
  <c r="CG243" i="73"/>
  <c r="CG235" i="73"/>
  <c r="AZ24" i="2" l="1"/>
  <c r="AZ26" i="2" s="1"/>
  <c r="AZ28" i="2" s="1"/>
  <c r="AH20" i="68"/>
  <c r="AG20" i="68"/>
  <c r="AF20" i="68"/>
  <c r="AE20" i="68"/>
  <c r="AD20" i="68"/>
  <c r="AC20" i="68"/>
  <c r="AB20" i="68"/>
  <c r="AA20" i="68"/>
  <c r="Z20" i="68"/>
  <c r="Y20" i="68"/>
  <c r="X20" i="68"/>
  <c r="W20" i="68"/>
  <c r="V20" i="68"/>
  <c r="U20" i="68"/>
  <c r="T20" i="68"/>
  <c r="S20" i="68"/>
  <c r="R20" i="68"/>
  <c r="Q20" i="68"/>
  <c r="P20" i="68"/>
  <c r="O20" i="68"/>
  <c r="N20" i="68"/>
  <c r="M20" i="68"/>
  <c r="L20" i="68"/>
  <c r="K20" i="68"/>
  <c r="J20" i="68"/>
  <c r="I20" i="68"/>
  <c r="H20" i="68"/>
  <c r="G20" i="68"/>
  <c r="F20" i="68"/>
  <c r="E20" i="68"/>
  <c r="C20" i="68"/>
  <c r="AZ30" i="2" l="1"/>
  <c r="AI18" i="63"/>
  <c r="K24" i="76" l="1"/>
  <c r="BB173" i="77" l="1"/>
  <c r="BA174" i="77"/>
  <c r="BA173" i="77"/>
  <c r="BB174" i="77"/>
  <c r="CF323" i="73" l="1"/>
  <c r="CF322" i="73"/>
  <c r="CF259" i="73"/>
  <c r="CF321" i="73" s="1"/>
  <c r="CF251" i="73"/>
  <c r="CF320" i="73" s="1"/>
  <c r="CF243" i="73"/>
  <c r="CF235" i="73"/>
  <c r="F138" i="9" l="1"/>
  <c r="E138" i="9"/>
  <c r="D138" i="9"/>
  <c r="C138" i="9"/>
  <c r="F137" i="9"/>
  <c r="E137" i="9"/>
  <c r="D137" i="9"/>
  <c r="C137" i="9"/>
  <c r="F136" i="9"/>
  <c r="E136" i="9"/>
  <c r="D136" i="9"/>
  <c r="C136" i="9"/>
  <c r="AJ133" i="9"/>
  <c r="AI133" i="9"/>
  <c r="AH133" i="9"/>
  <c r="F132" i="9"/>
  <c r="E132" i="9"/>
  <c r="D132" i="9"/>
  <c r="C132" i="9"/>
  <c r="C135" i="9" l="1"/>
  <c r="F135" i="9"/>
  <c r="D135" i="9"/>
  <c r="E135" i="9"/>
  <c r="AH28" i="68" l="1"/>
  <c r="AG28" i="68"/>
  <c r="AF28" i="68"/>
  <c r="AE28" i="68"/>
  <c r="AD28" i="68"/>
  <c r="AC28" i="68"/>
  <c r="AB28" i="68"/>
  <c r="AA28" i="68"/>
  <c r="Z28" i="68"/>
  <c r="Y28" i="68"/>
  <c r="X28" i="68"/>
  <c r="W28" i="68"/>
  <c r="V28" i="68"/>
  <c r="U28" i="68"/>
  <c r="T28" i="68"/>
  <c r="S28" i="68"/>
  <c r="R28" i="68"/>
  <c r="Q28" i="68"/>
  <c r="P28" i="68"/>
  <c r="O28" i="68"/>
  <c r="N28" i="68"/>
  <c r="M28" i="68"/>
  <c r="L28" i="68"/>
  <c r="K28" i="68"/>
  <c r="J28" i="68"/>
  <c r="I28" i="68"/>
  <c r="H28" i="68"/>
  <c r="G28" i="68"/>
  <c r="F28" i="68"/>
  <c r="E28" i="68"/>
  <c r="C28" i="68"/>
  <c r="AI28" i="68"/>
  <c r="AI31" i="68"/>
  <c r="AH31" i="68"/>
  <c r="AG31" i="68"/>
  <c r="AF31" i="68"/>
  <c r="AE31" i="68"/>
  <c r="AD31" i="68"/>
  <c r="AC31" i="68"/>
  <c r="AB31" i="68"/>
  <c r="AA31" i="68"/>
  <c r="Z31" i="68"/>
  <c r="Y31" i="68"/>
  <c r="X31" i="68"/>
  <c r="W31" i="68"/>
  <c r="V31" i="68"/>
  <c r="U31" i="68"/>
  <c r="T31" i="68"/>
  <c r="S31" i="68"/>
  <c r="R31" i="68"/>
  <c r="Q31" i="68"/>
  <c r="P31" i="68"/>
  <c r="O31" i="68"/>
  <c r="N31" i="68"/>
  <c r="M31" i="68"/>
  <c r="L31" i="68"/>
  <c r="K31" i="68"/>
  <c r="J31" i="68"/>
  <c r="I31" i="68"/>
  <c r="H31" i="68"/>
  <c r="G31" i="68"/>
  <c r="F31" i="68"/>
  <c r="E31" i="68"/>
  <c r="C31" i="68"/>
  <c r="AI54" i="68" l="1"/>
  <c r="AH54" i="68"/>
  <c r="AI26" i="68"/>
  <c r="AH26" i="68"/>
  <c r="AI23" i="68"/>
  <c r="AH23" i="68"/>
  <c r="AI50" i="68" l="1"/>
  <c r="AH60" i="68"/>
  <c r="AI60" i="68"/>
  <c r="AH50" i="68"/>
  <c r="AH45" i="68"/>
  <c r="AH32" i="68"/>
  <c r="AI45" i="68"/>
  <c r="AI32" i="68"/>
  <c r="AH51" i="68" l="1"/>
  <c r="AH61" i="68" s="1"/>
  <c r="AI51" i="68"/>
  <c r="AI61" i="68" s="1"/>
  <c r="CE259" i="73" l="1"/>
  <c r="CE321" i="73" s="1"/>
  <c r="CE251" i="73"/>
  <c r="CE320" i="73" s="1"/>
  <c r="CE243" i="73"/>
  <c r="CE235" i="73"/>
  <c r="CE323" i="73"/>
  <c r="CE322" i="73"/>
  <c r="AZ41" i="3" l="1"/>
  <c r="H26" i="76" l="1"/>
  <c r="J28" i="76"/>
  <c r="AN18" i="39" l="1"/>
  <c r="J27" i="76"/>
  <c r="E26" i="76"/>
  <c r="AT7" i="10" l="1"/>
  <c r="Q18" i="81"/>
  <c r="Q15" i="81"/>
  <c r="S18" i="81"/>
  <c r="AL24" i="65"/>
  <c r="AK20" i="53"/>
  <c r="AK21" i="53"/>
  <c r="AL8" i="53"/>
  <c r="AJ50" i="52"/>
  <c r="AJ49" i="52"/>
  <c r="AJ48" i="52"/>
  <c r="AJ46" i="52"/>
  <c r="AJ45" i="52"/>
  <c r="AJ43" i="52"/>
  <c r="AJ42" i="52"/>
  <c r="AJ41" i="52"/>
  <c r="AJ47" i="52"/>
  <c r="AJ40" i="52"/>
  <c r="AJ39" i="52"/>
  <c r="AJ38" i="52"/>
  <c r="AJ35" i="52"/>
  <c r="AJ19" i="52"/>
  <c r="AL50" i="52"/>
  <c r="AL49" i="52"/>
  <c r="AL48" i="52"/>
  <c r="AL46" i="52"/>
  <c r="AK39" i="49"/>
  <c r="AK21" i="49"/>
  <c r="AH8" i="72"/>
  <c r="AP112" i="46"/>
  <c r="AP111" i="46"/>
  <c r="AP109" i="46"/>
  <c r="AP108" i="46"/>
  <c r="AP77" i="46"/>
  <c r="AP76" i="46"/>
  <c r="AP57" i="46"/>
  <c r="AP37" i="46"/>
  <c r="AP18" i="46"/>
  <c r="AK57" i="49" l="1"/>
  <c r="AJ51" i="52"/>
  <c r="AP15" i="46"/>
  <c r="AP75" i="46"/>
  <c r="AP53" i="46"/>
  <c r="AP56" i="46"/>
  <c r="AL23" i="53"/>
  <c r="AP28" i="46"/>
  <c r="AP47" i="46"/>
  <c r="AP19" i="46"/>
  <c r="AP34" i="46"/>
  <c r="AP39" i="46"/>
  <c r="AP66" i="46"/>
  <c r="AP20" i="46"/>
  <c r="AP72" i="46"/>
  <c r="AI69" i="68"/>
  <c r="S15" i="81"/>
  <c r="N117" i="80"/>
  <c r="N116" i="80"/>
  <c r="F116" i="80"/>
  <c r="F117" i="80"/>
  <c r="F115" i="80"/>
  <c r="N115" i="80"/>
  <c r="AI92" i="68"/>
  <c r="AL10" i="66"/>
  <c r="AL4" i="55"/>
  <c r="AL25" i="65"/>
  <c r="AL23" i="65"/>
  <c r="AL22" i="65"/>
  <c r="AL86" i="71"/>
  <c r="AL21" i="53"/>
  <c r="AL15" i="53"/>
  <c r="AL17" i="53" s="1"/>
  <c r="AL10" i="53"/>
  <c r="AL20" i="53"/>
  <c r="AL42" i="52"/>
  <c r="AL45" i="52"/>
  <c r="AL44" i="52"/>
  <c r="AL39" i="52"/>
  <c r="AL40" i="52"/>
  <c r="AL19" i="52"/>
  <c r="AL43" i="52"/>
  <c r="AL41" i="52"/>
  <c r="AL38" i="52"/>
  <c r="AH21" i="72"/>
  <c r="AP107" i="46"/>
  <c r="AP110" i="46"/>
  <c r="AP9" i="46"/>
  <c r="AP38" i="46"/>
  <c r="AP58" i="46"/>
  <c r="AP59" i="46" l="1"/>
  <c r="AH24" i="72"/>
  <c r="AL27" i="65"/>
  <c r="AP21" i="46"/>
  <c r="AP78" i="46"/>
  <c r="AL22" i="53"/>
  <c r="AL24" i="53" s="1"/>
  <c r="AP40" i="46"/>
  <c r="T292" i="36" l="1"/>
  <c r="DF12" i="34"/>
  <c r="DF11" i="34"/>
  <c r="DF16" i="34"/>
  <c r="DF10" i="34"/>
  <c r="DF9" i="34"/>
  <c r="DF8" i="34"/>
  <c r="DF7" i="34"/>
  <c r="DI23" i="34"/>
  <c r="DH23" i="34"/>
  <c r="DG23" i="34"/>
  <c r="DI20" i="34"/>
  <c r="DI19" i="34"/>
  <c r="DI18" i="34"/>
  <c r="DI17" i="34"/>
  <c r="DI15" i="34"/>
  <c r="T290" i="36" l="1"/>
  <c r="T293" i="36"/>
  <c r="DI25" i="34"/>
  <c r="DI24" i="34" s="1"/>
  <c r="T295" i="36"/>
  <c r="DH21" i="34"/>
  <c r="DH27" i="34" s="1"/>
  <c r="D130" i="38"/>
  <c r="I130" i="38"/>
  <c r="F130" i="38"/>
  <c r="E130" i="38"/>
  <c r="C130" i="38"/>
  <c r="T294" i="36"/>
  <c r="T296" i="36"/>
  <c r="T291" i="36"/>
  <c r="DG21" i="34"/>
  <c r="DG27" i="34" s="1"/>
  <c r="DI21" i="34" l="1"/>
  <c r="DI27" i="34" s="1"/>
  <c r="AT24" i="12" l="1"/>
  <c r="AD24" i="12"/>
  <c r="Z24" i="12"/>
  <c r="Y24" i="12"/>
  <c r="X24" i="12"/>
  <c r="W24" i="12"/>
  <c r="V24" i="12"/>
  <c r="U24" i="12"/>
  <c r="T24" i="12"/>
  <c r="S24" i="12"/>
  <c r="R24" i="12"/>
  <c r="Q24" i="12"/>
  <c r="P24" i="12"/>
  <c r="O24" i="12"/>
  <c r="N24" i="12"/>
  <c r="M24" i="12"/>
  <c r="L24" i="12"/>
  <c r="K24" i="12"/>
  <c r="J24" i="12"/>
  <c r="I24" i="12"/>
  <c r="H24" i="12"/>
  <c r="G24" i="12"/>
  <c r="E24" i="12"/>
  <c r="D24" i="12"/>
  <c r="C24" i="12"/>
  <c r="AM15" i="32" l="1"/>
  <c r="AM21" i="32" s="1"/>
  <c r="AN15" i="32" s="1"/>
  <c r="AM6" i="32"/>
  <c r="AM12" i="32" l="1"/>
  <c r="AM24" i="32"/>
  <c r="AM30" i="32" s="1"/>
  <c r="AL26" i="31"/>
  <c r="AL27" i="31"/>
  <c r="AL28" i="31"/>
  <c r="AL21" i="31"/>
  <c r="AL20" i="31" s="1"/>
  <c r="AL12" i="31"/>
  <c r="AL11" i="31" s="1"/>
  <c r="AL25" i="31"/>
  <c r="AL24" i="31"/>
  <c r="AL13" i="31" l="1"/>
  <c r="AM13" i="32"/>
  <c r="AN6" i="32"/>
  <c r="AM23" i="32"/>
  <c r="AM14" i="32"/>
  <c r="AL30" i="31"/>
  <c r="AL29" i="31" s="1"/>
  <c r="L95" i="23"/>
  <c r="N95" i="23"/>
  <c r="M95" i="23"/>
  <c r="E95" i="23"/>
  <c r="R22" i="13"/>
  <c r="R21" i="13"/>
  <c r="R20" i="13"/>
  <c r="R19" i="13"/>
  <c r="R18" i="13"/>
  <c r="AL13" i="24" l="1"/>
  <c r="G95" i="23"/>
  <c r="F95" i="23"/>
  <c r="AT45" i="9" l="1"/>
  <c r="AG13" i="63" l="1"/>
  <c r="AG12" i="63"/>
  <c r="AT43" i="12"/>
  <c r="AT41" i="12"/>
  <c r="AT40" i="12"/>
  <c r="AT22" i="12"/>
  <c r="AT20" i="12"/>
  <c r="AT18" i="12"/>
  <c r="AT17" i="12"/>
  <c r="AT16" i="12"/>
  <c r="AT15" i="12"/>
  <c r="AT37" i="10"/>
  <c r="AT13" i="12"/>
  <c r="AT11" i="12"/>
  <c r="AT10" i="10"/>
  <c r="AT38" i="12"/>
  <c r="AT37" i="1"/>
  <c r="AT9" i="12"/>
  <c r="AT9" i="1"/>
  <c r="AW133" i="9" l="1"/>
  <c r="AT7" i="12"/>
  <c r="AT11" i="1"/>
  <c r="AT58" i="12"/>
  <c r="AT12" i="10"/>
  <c r="AT6" i="12"/>
  <c r="AT37" i="12"/>
  <c r="AT36" i="12" s="1"/>
  <c r="AT8" i="12" l="1"/>
  <c r="AT10" i="12"/>
  <c r="AT13" i="1"/>
  <c r="AT15" i="1" s="1"/>
  <c r="AT14" i="10"/>
  <c r="AT16" i="10" s="1"/>
  <c r="AT35" i="10" l="1"/>
  <c r="AT12" i="12"/>
  <c r="AT14" i="12" s="1"/>
  <c r="AT40" i="1"/>
  <c r="AT43" i="1" s="1"/>
  <c r="AT45" i="1" s="1"/>
  <c r="AT48" i="1" s="1"/>
  <c r="AT35" i="1"/>
  <c r="AT40" i="10"/>
  <c r="AT43" i="10" s="1"/>
  <c r="AT45" i="10" s="1"/>
  <c r="AT48" i="10" s="1"/>
  <c r="AY11" i="2"/>
  <c r="AY8" i="2"/>
  <c r="AY7" i="2"/>
  <c r="AT39" i="12" l="1"/>
  <c r="AT34" i="12"/>
  <c r="AT36" i="10"/>
  <c r="AT36" i="1"/>
  <c r="AT52" i="9"/>
  <c r="AY6" i="2"/>
  <c r="AF161" i="83"/>
  <c r="AF150" i="83"/>
  <c r="AF130" i="83"/>
  <c r="AF116" i="83"/>
  <c r="AF110" i="83"/>
  <c r="AF92" i="83"/>
  <c r="AF85" i="83"/>
  <c r="AF72" i="83"/>
  <c r="AF35" i="83"/>
  <c r="AF23" i="83"/>
  <c r="AM11" i="30" l="1"/>
  <c r="AT35" i="12"/>
  <c r="AT42" i="12"/>
  <c r="AT44" i="12" s="1"/>
  <c r="AT48" i="12" s="1"/>
  <c r="AY10" i="2"/>
  <c r="AT50" i="12" l="1"/>
  <c r="AL11" i="53"/>
  <c r="AY16" i="2"/>
  <c r="Q322" i="73"/>
  <c r="R322" i="73"/>
  <c r="S322" i="73"/>
  <c r="T322" i="73"/>
  <c r="U322" i="73"/>
  <c r="Q323" i="73"/>
  <c r="R323" i="73"/>
  <c r="S323" i="73"/>
  <c r="T323" i="73"/>
  <c r="U323" i="73"/>
  <c r="AY19" i="2" l="1"/>
  <c r="AY24" i="2" l="1"/>
  <c r="AY26" i="2" s="1"/>
  <c r="AY28" i="2" s="1"/>
  <c r="BB172" i="77" l="1"/>
  <c r="AY30" i="2"/>
  <c r="AH18" i="63"/>
  <c r="BA172" i="77"/>
  <c r="CD235" i="73" l="1"/>
  <c r="CD243" i="73"/>
  <c r="CD251" i="73"/>
  <c r="CD320" i="73" s="1"/>
  <c r="CD259" i="73"/>
  <c r="CD321" i="73" s="1"/>
  <c r="CD322" i="73"/>
  <c r="CD323" i="73"/>
  <c r="CD181" i="73" l="1"/>
  <c r="CD199" i="73"/>
  <c r="CD190" i="73"/>
  <c r="CC235" i="73"/>
  <c r="CB235" i="73"/>
  <c r="CA235" i="73"/>
  <c r="BZ235" i="73"/>
  <c r="BY235" i="73"/>
  <c r="CC215" i="73"/>
  <c r="CB215" i="73"/>
  <c r="CA215" i="73"/>
  <c r="BZ215" i="73"/>
  <c r="BY215" i="73"/>
  <c r="BX215" i="73"/>
  <c r="BW215" i="73"/>
  <c r="BV215" i="73"/>
  <c r="BU215" i="73"/>
  <c r="BT215" i="73"/>
  <c r="BS215" i="73"/>
  <c r="BR215" i="73"/>
  <c r="BP215" i="73"/>
  <c r="BO215" i="73"/>
  <c r="BN215" i="73"/>
  <c r="BQ215" i="73"/>
  <c r="BZ323" i="73" l="1"/>
  <c r="BZ322" i="73"/>
  <c r="BZ259" i="73"/>
  <c r="BZ321" i="73" s="1"/>
  <c r="BZ251" i="73"/>
  <c r="BZ320" i="73" s="1"/>
  <c r="BZ243" i="73"/>
  <c r="BZ206" i="73"/>
  <c r="BZ197" i="73"/>
  <c r="BZ188" i="73"/>
  <c r="BA171" i="77" l="1"/>
  <c r="BB171" i="77"/>
  <c r="CC323" i="73"/>
  <c r="CC322" i="73"/>
  <c r="CC259" i="73"/>
  <c r="CC321" i="73" s="1"/>
  <c r="CC251" i="73"/>
  <c r="CC320" i="73" s="1"/>
  <c r="CC243" i="73"/>
  <c r="CC206" i="73"/>
  <c r="CC197" i="73"/>
  <c r="CC188" i="73"/>
  <c r="AI39" i="49" l="1"/>
  <c r="AH39" i="49"/>
  <c r="AG39" i="49"/>
  <c r="BA170" i="77" l="1"/>
  <c r="BB170" i="77"/>
  <c r="AB47" i="63" l="1"/>
  <c r="AD47" i="63" s="1"/>
  <c r="CB323" i="73" l="1"/>
  <c r="CB322" i="73"/>
  <c r="CB259" i="73"/>
  <c r="CB321" i="73" s="1"/>
  <c r="CB251" i="73"/>
  <c r="CB320" i="73" s="1"/>
  <c r="CB243" i="73"/>
  <c r="CB206" i="73"/>
  <c r="CB197" i="73"/>
  <c r="CB188" i="73"/>
  <c r="AH44" i="52" l="1"/>
  <c r="J30" i="76" l="1"/>
  <c r="J29" i="76"/>
  <c r="T276" i="36" l="1"/>
  <c r="T275" i="36"/>
  <c r="T274" i="36"/>
  <c r="T273" i="36"/>
  <c r="T272" i="36"/>
  <c r="T271" i="36"/>
  <c r="T270" i="36"/>
  <c r="T269" i="36"/>
  <c r="AL13" i="55" l="1"/>
  <c r="AL24" i="55" s="1"/>
  <c r="AK44" i="52"/>
  <c r="AL25" i="55" l="1"/>
  <c r="T289" i="36"/>
  <c r="M45" i="42"/>
  <c r="R15" i="81" l="1"/>
  <c r="F110" i="80"/>
  <c r="F108" i="80"/>
  <c r="AK24" i="65"/>
  <c r="AK50" i="52"/>
  <c r="AK49" i="52"/>
  <c r="AK48" i="52"/>
  <c r="AK46" i="52"/>
  <c r="AG8" i="72"/>
  <c r="AN20" i="46"/>
  <c r="AL20" i="46"/>
  <c r="AK20" i="46"/>
  <c r="AJ20" i="46"/>
  <c r="AI20" i="46"/>
  <c r="AH20" i="46"/>
  <c r="AN19" i="46"/>
  <c r="AL19" i="46"/>
  <c r="AK19" i="46"/>
  <c r="AJ19" i="46"/>
  <c r="AI19" i="46"/>
  <c r="AH19" i="46"/>
  <c r="AN18" i="46"/>
  <c r="AL18" i="46"/>
  <c r="AK18" i="46"/>
  <c r="AJ18" i="46"/>
  <c r="AI18" i="46"/>
  <c r="AH18" i="46"/>
  <c r="AO109" i="46"/>
  <c r="AO108" i="46"/>
  <c r="AO72" i="46"/>
  <c r="AO77" i="46"/>
  <c r="AO76" i="46"/>
  <c r="AO66" i="46"/>
  <c r="AO53" i="46"/>
  <c r="AO47" i="46"/>
  <c r="AO58" i="46"/>
  <c r="AO57" i="46"/>
  <c r="AO56" i="46"/>
  <c r="AO34" i="46"/>
  <c r="AO28" i="46"/>
  <c r="AO15" i="46"/>
  <c r="AO20" i="46"/>
  <c r="AO19" i="46"/>
  <c r="AO18" i="46"/>
  <c r="AJ31" i="45"/>
  <c r="AJ30" i="45"/>
  <c r="AJ29" i="45"/>
  <c r="AJ28" i="45"/>
  <c r="AJ27" i="45"/>
  <c r="AJ26" i="45"/>
  <c r="AL30" i="45"/>
  <c r="AL29" i="45"/>
  <c r="AL28" i="45"/>
  <c r="AL27" i="45"/>
  <c r="AL26" i="45"/>
  <c r="AL15" i="44"/>
  <c r="AL12" i="44"/>
  <c r="Y43" i="42"/>
  <c r="Y44" i="42"/>
  <c r="AL9" i="39"/>
  <c r="T285" i="36"/>
  <c r="T283" i="36"/>
  <c r="T282" i="36"/>
  <c r="T280" i="36"/>
  <c r="DF25" i="34"/>
  <c r="DF24" i="34" s="1"/>
  <c r="DF23" i="34"/>
  <c r="DE23" i="34"/>
  <c r="DD23" i="34"/>
  <c r="DF20" i="34"/>
  <c r="DF19" i="34"/>
  <c r="DF18" i="34"/>
  <c r="DF17" i="34"/>
  <c r="DF15" i="34"/>
  <c r="DE21" i="34"/>
  <c r="AL40" i="33"/>
  <c r="AL31" i="33"/>
  <c r="AL44" i="33"/>
  <c r="AL17" i="33"/>
  <c r="AL41" i="33"/>
  <c r="AL39" i="33"/>
  <c r="AL37" i="33"/>
  <c r="AL35" i="33"/>
  <c r="AL34" i="33"/>
  <c r="AL47" i="61"/>
  <c r="AL46" i="61"/>
  <c r="AL45" i="61"/>
  <c r="AL35" i="61"/>
  <c r="AL50" i="61"/>
  <c r="AL49" i="61"/>
  <c r="AL44" i="61"/>
  <c r="AL43" i="61"/>
  <c r="AL42" i="61"/>
  <c r="AL41" i="61"/>
  <c r="AL40" i="61"/>
  <c r="AL39" i="61"/>
  <c r="AL38" i="61"/>
  <c r="AK21" i="31"/>
  <c r="AK28" i="31"/>
  <c r="AK27" i="31"/>
  <c r="AK26" i="31"/>
  <c r="AK12" i="31"/>
  <c r="AK13" i="31" s="1"/>
  <c r="AL15" i="30"/>
  <c r="AL18" i="30" s="1"/>
  <c r="AL24" i="30"/>
  <c r="AL10" i="30"/>
  <c r="AL13" i="29"/>
  <c r="AL17" i="29"/>
  <c r="AL16" i="29"/>
  <c r="AL20" i="26"/>
  <c r="AL10" i="26"/>
  <c r="M103" i="23"/>
  <c r="AK13" i="24"/>
  <c r="Q22" i="13"/>
  <c r="P22" i="13"/>
  <c r="O22" i="13"/>
  <c r="Q21" i="13"/>
  <c r="P21" i="13"/>
  <c r="O21" i="13"/>
  <c r="Q20" i="13"/>
  <c r="P20" i="13"/>
  <c r="O20" i="13"/>
  <c r="Q19" i="13"/>
  <c r="P19" i="13"/>
  <c r="O19" i="13"/>
  <c r="Q18" i="13"/>
  <c r="AS45" i="9"/>
  <c r="DE27" i="34" l="1"/>
  <c r="AO78" i="46"/>
  <c r="AL51" i="61"/>
  <c r="AO21" i="46"/>
  <c r="AL18" i="29"/>
  <c r="AL18" i="44"/>
  <c r="AL8" i="29"/>
  <c r="AK24" i="31"/>
  <c r="AL43" i="33"/>
  <c r="AL45" i="33" s="1"/>
  <c r="AO75" i="46"/>
  <c r="AO59" i="46"/>
  <c r="AL21" i="30"/>
  <c r="AL22" i="30" s="1"/>
  <c r="AL25" i="30" s="1"/>
  <c r="AK25" i="31"/>
  <c r="AO9" i="46"/>
  <c r="DD21" i="34"/>
  <c r="DD27" i="34" s="1"/>
  <c r="AL32" i="45"/>
  <c r="AL32" i="61"/>
  <c r="AL13" i="45"/>
  <c r="AL38" i="33"/>
  <c r="AL42" i="33" s="1"/>
  <c r="AL28" i="33"/>
  <c r="AO40" i="46"/>
  <c r="AL19" i="44"/>
  <c r="AL22" i="44" s="1"/>
  <c r="R18" i="81"/>
  <c r="N110" i="80"/>
  <c r="N109" i="80"/>
  <c r="N108" i="80"/>
  <c r="F109" i="80"/>
  <c r="AH92" i="68"/>
  <c r="AH69" i="68"/>
  <c r="AK10" i="66"/>
  <c r="AK4" i="55"/>
  <c r="AK23" i="65"/>
  <c r="AK25" i="65"/>
  <c r="AK22" i="65"/>
  <c r="AK86" i="71"/>
  <c r="AK23" i="53"/>
  <c r="AK15" i="53"/>
  <c r="AK17" i="53" s="1"/>
  <c r="AK22" i="53"/>
  <c r="AK8" i="53"/>
  <c r="AK10" i="53" s="1"/>
  <c r="AK42" i="52"/>
  <c r="AK47" i="52"/>
  <c r="AK39" i="52"/>
  <c r="AK41" i="52"/>
  <c r="AK40" i="52"/>
  <c r="AK43" i="52"/>
  <c r="AK35" i="52"/>
  <c r="AK45" i="52"/>
  <c r="AK19" i="52"/>
  <c r="AK38" i="52"/>
  <c r="AL24" i="48"/>
  <c r="AL29" i="48"/>
  <c r="AG21" i="72"/>
  <c r="AL31" i="45"/>
  <c r="AL33" i="45" s="1"/>
  <c r="M44" i="42"/>
  <c r="AL18" i="39"/>
  <c r="D139" i="38"/>
  <c r="E139" i="38"/>
  <c r="F139" i="38"/>
  <c r="C139" i="38"/>
  <c r="I139" i="38"/>
  <c r="AL14" i="33"/>
  <c r="AL48" i="61"/>
  <c r="AL16" i="61"/>
  <c r="AL19" i="61"/>
  <c r="AL12" i="26"/>
  <c r="AL13" i="26" s="1"/>
  <c r="AL22" i="26"/>
  <c r="AL23" i="26" s="1"/>
  <c r="N103" i="23"/>
  <c r="L103" i="23"/>
  <c r="AK27" i="65" l="1"/>
  <c r="AG24" i="72"/>
  <c r="DF21" i="34"/>
  <c r="DF27" i="34" s="1"/>
  <c r="AK24" i="53"/>
  <c r="AK30" i="31"/>
  <c r="AK29" i="31" s="1"/>
  <c r="AL30" i="48"/>
  <c r="AK51" i="52"/>
  <c r="G103" i="23" l="1"/>
  <c r="E103" i="23" l="1"/>
  <c r="F103" i="23" l="1"/>
  <c r="AS22" i="12" l="1"/>
  <c r="AS20" i="12"/>
  <c r="AS18" i="12"/>
  <c r="AS17" i="12"/>
  <c r="AS16" i="12"/>
  <c r="AS15" i="12"/>
  <c r="AS9" i="12"/>
  <c r="AR10" i="10"/>
  <c r="AR12" i="10" s="1"/>
  <c r="AR37" i="10"/>
  <c r="AS43" i="12"/>
  <c r="AS37" i="10"/>
  <c r="AS11" i="12"/>
  <c r="AS10" i="10"/>
  <c r="AR48" i="1"/>
  <c r="AR37" i="1"/>
  <c r="AR9" i="1"/>
  <c r="AR11" i="1" s="1"/>
  <c r="AS40" i="12"/>
  <c r="AS38" i="12"/>
  <c r="AS37" i="12"/>
  <c r="AS7" i="12" l="1"/>
  <c r="AV133" i="9"/>
  <c r="AR13" i="1"/>
  <c r="AR15" i="1" s="1"/>
  <c r="AR14" i="10"/>
  <c r="AR16" i="10" s="1"/>
  <c r="AR40" i="10" s="1"/>
  <c r="AS36" i="12"/>
  <c r="AS58" i="12"/>
  <c r="AS12" i="10"/>
  <c r="AS9" i="1"/>
  <c r="AS37" i="1"/>
  <c r="AS13" i="12"/>
  <c r="AW6" i="2"/>
  <c r="AX21" i="2"/>
  <c r="AX11" i="2"/>
  <c r="AX8" i="2"/>
  <c r="AR40" i="1" l="1"/>
  <c r="AR43" i="1" s="1"/>
  <c r="AR35" i="10"/>
  <c r="AR36" i="10" s="1"/>
  <c r="AW10" i="2"/>
  <c r="AR35" i="1"/>
  <c r="AR43" i="10"/>
  <c r="AR45" i="10" s="1"/>
  <c r="AR48" i="10" s="1"/>
  <c r="AS14" i="10"/>
  <c r="AS16" i="10" s="1"/>
  <c r="AX7" i="2"/>
  <c r="AS11" i="1"/>
  <c r="AS6" i="12"/>
  <c r="AS8" i="12" s="1"/>
  <c r="AZ6" i="3"/>
  <c r="AZ23" i="3"/>
  <c r="AZ33" i="3"/>
  <c r="AZ42" i="3"/>
  <c r="AZ61" i="3"/>
  <c r="AZ78" i="3"/>
  <c r="AR36" i="1" l="1"/>
  <c r="AW16" i="2"/>
  <c r="AS40" i="10"/>
  <c r="AX6" i="2"/>
  <c r="AS35" i="10"/>
  <c r="AS52" i="9"/>
  <c r="AS13" i="1"/>
  <c r="AS15" i="1" s="1"/>
  <c r="AS10" i="12"/>
  <c r="AZ39" i="3"/>
  <c r="AZ90" i="3"/>
  <c r="AW19" i="2" l="1"/>
  <c r="AS43" i="10"/>
  <c r="AS45" i="10" s="1"/>
  <c r="AS48" i="10" s="1"/>
  <c r="AZ91" i="3"/>
  <c r="AX10" i="2"/>
  <c r="AL11" i="30"/>
  <c r="AS36" i="10"/>
  <c r="BB169" i="77"/>
  <c r="BA169" i="77"/>
  <c r="AS12" i="12"/>
  <c r="AS14" i="12" s="1"/>
  <c r="AS40" i="1"/>
  <c r="AS35" i="1"/>
  <c r="CA323" i="73"/>
  <c r="CA322" i="73"/>
  <c r="CA259" i="73"/>
  <c r="CA321" i="73" s="1"/>
  <c r="CA251" i="73"/>
  <c r="CA320" i="73" s="1"/>
  <c r="CA243" i="73"/>
  <c r="CA206" i="73"/>
  <c r="CA197" i="73"/>
  <c r="CA188" i="73"/>
  <c r="AW24" i="2" l="1"/>
  <c r="AK11" i="53"/>
  <c r="AX16" i="2"/>
  <c r="AS39" i="12"/>
  <c r="AS34" i="12"/>
  <c r="AS36" i="1"/>
  <c r="AX19" i="2" l="1"/>
  <c r="AS35" i="12"/>
  <c r="BB100" i="77"/>
  <c r="BA100" i="77"/>
  <c r="BB99" i="77"/>
  <c r="BA99" i="77"/>
  <c r="BB98" i="77"/>
  <c r="BA98" i="77"/>
  <c r="BB97" i="77"/>
  <c r="BA97" i="77"/>
  <c r="BB96" i="77"/>
  <c r="BA96" i="77"/>
  <c r="BB95" i="77"/>
  <c r="BA95" i="77"/>
  <c r="BB94" i="77"/>
  <c r="BA94" i="77"/>
  <c r="BB93" i="77"/>
  <c r="BA93" i="77"/>
  <c r="BB92" i="77"/>
  <c r="BA92" i="77"/>
  <c r="BB91" i="77"/>
  <c r="BA91" i="77"/>
  <c r="BB90" i="77"/>
  <c r="BA90" i="77"/>
  <c r="BB89" i="77"/>
  <c r="BA89" i="77"/>
  <c r="BB88" i="77"/>
  <c r="BA88" i="77"/>
  <c r="BB87" i="77"/>
  <c r="BA87" i="77"/>
  <c r="BB86" i="77"/>
  <c r="BA86" i="77"/>
  <c r="BB85" i="77"/>
  <c r="BA85" i="77"/>
  <c r="BB84" i="77"/>
  <c r="BA84" i="77"/>
  <c r="BB83" i="77"/>
  <c r="BA83" i="77"/>
  <c r="BB82" i="77"/>
  <c r="BA82" i="77"/>
  <c r="BB81" i="77"/>
  <c r="BA81" i="77"/>
  <c r="BB80" i="77"/>
  <c r="BA80" i="77"/>
  <c r="BB79" i="77"/>
  <c r="BA79" i="77"/>
  <c r="BB78" i="77"/>
  <c r="BA78" i="77"/>
  <c r="BB77" i="77"/>
  <c r="BA77" i="77"/>
  <c r="BB76" i="77"/>
  <c r="BA76" i="77"/>
  <c r="BB75" i="77"/>
  <c r="BA75" i="77"/>
  <c r="BB74" i="77"/>
  <c r="BA74" i="77"/>
  <c r="BB73" i="77"/>
  <c r="BA73" i="77"/>
  <c r="BB72" i="77"/>
  <c r="BA72" i="77"/>
  <c r="BB71" i="77"/>
  <c r="BA71" i="77"/>
  <c r="BB70" i="77"/>
  <c r="BA70" i="77"/>
  <c r="BB69" i="77"/>
  <c r="BA69" i="77"/>
  <c r="BB68" i="77"/>
  <c r="BA68" i="77"/>
  <c r="BB67" i="77"/>
  <c r="BA67" i="77"/>
  <c r="BB66" i="77"/>
  <c r="BA66" i="77"/>
  <c r="BB65" i="77"/>
  <c r="BA65" i="77"/>
  <c r="BB64" i="77"/>
  <c r="BA64" i="77"/>
  <c r="BB63" i="77"/>
  <c r="BA63" i="77"/>
  <c r="BB62" i="77"/>
  <c r="BA62" i="77"/>
  <c r="BB61" i="77"/>
  <c r="BA61" i="77"/>
  <c r="BB60" i="77"/>
  <c r="BA60" i="77"/>
  <c r="BB59" i="77"/>
  <c r="BA59" i="77"/>
  <c r="BB58" i="77"/>
  <c r="BA58" i="77"/>
  <c r="BB57" i="77"/>
  <c r="BA57" i="77"/>
  <c r="BB56" i="77"/>
  <c r="BA56" i="77"/>
  <c r="BB55" i="77"/>
  <c r="BA55" i="77"/>
  <c r="BB54" i="77"/>
  <c r="BA54" i="77"/>
  <c r="BB53" i="77"/>
  <c r="BA53" i="77"/>
  <c r="AU27" i="9" l="1"/>
  <c r="AU132" i="9" s="1"/>
  <c r="AV27" i="9"/>
  <c r="AV132" i="9" s="1"/>
  <c r="AV134" i="9" s="1"/>
  <c r="BA168" i="77"/>
  <c r="BB168" i="77"/>
  <c r="BY259" i="73" l="1"/>
  <c r="BY321" i="73" s="1"/>
  <c r="BX259" i="73"/>
  <c r="BW259" i="73"/>
  <c r="BV259" i="73"/>
  <c r="BU259" i="73"/>
  <c r="BT259" i="73"/>
  <c r="BS259" i="73"/>
  <c r="BR259" i="73"/>
  <c r="BQ259" i="73"/>
  <c r="BP259" i="73"/>
  <c r="BO259" i="73"/>
  <c r="BM259" i="73"/>
  <c r="BL259" i="73"/>
  <c r="BK259" i="73"/>
  <c r="BJ259" i="73"/>
  <c r="BI259" i="73"/>
  <c r="BH259" i="73"/>
  <c r="BG259" i="73"/>
  <c r="BF259" i="73"/>
  <c r="BE259" i="73"/>
  <c r="BD259" i="73"/>
  <c r="BC259" i="73"/>
  <c r="BB259" i="73"/>
  <c r="BA259" i="73"/>
  <c r="AZ259" i="73"/>
  <c r="AY259" i="73"/>
  <c r="AX259" i="73"/>
  <c r="AW259" i="73"/>
  <c r="AV259" i="73"/>
  <c r="AU259" i="73"/>
  <c r="AT259" i="73"/>
  <c r="AS259" i="73"/>
  <c r="AR259" i="73"/>
  <c r="AQ259" i="73"/>
  <c r="AP259" i="73"/>
  <c r="AO259" i="73"/>
  <c r="AN259" i="73"/>
  <c r="AL259" i="73"/>
  <c r="AK259" i="73"/>
  <c r="AJ259" i="73"/>
  <c r="AI259" i="73"/>
  <c r="AH259" i="73"/>
  <c r="AG259" i="73"/>
  <c r="AF259" i="73"/>
  <c r="AE259" i="73"/>
  <c r="AD259" i="73"/>
  <c r="AC259" i="73"/>
  <c r="AB259" i="73"/>
  <c r="AA259" i="73"/>
  <c r="Z259" i="73"/>
  <c r="Y259" i="73"/>
  <c r="X259" i="73"/>
  <c r="W259" i="73"/>
  <c r="V259" i="73"/>
  <c r="U259" i="73"/>
  <c r="T259" i="73"/>
  <c r="S259" i="73"/>
  <c r="R259" i="73"/>
  <c r="Q259" i="73"/>
  <c r="P259" i="73"/>
  <c r="O259" i="73"/>
  <c r="N259" i="73"/>
  <c r="M259" i="73"/>
  <c r="L259" i="73"/>
  <c r="K259" i="73"/>
  <c r="J259" i="73"/>
  <c r="I259" i="73"/>
  <c r="H259" i="73"/>
  <c r="G259" i="73"/>
  <c r="F259" i="73"/>
  <c r="E259" i="73"/>
  <c r="D259" i="73"/>
  <c r="C259" i="73"/>
  <c r="BN259" i="73"/>
  <c r="BY251" i="73"/>
  <c r="BY320" i="73" s="1"/>
  <c r="BX251" i="73"/>
  <c r="BW251" i="73"/>
  <c r="BV251" i="73"/>
  <c r="BU251" i="73"/>
  <c r="BT251" i="73"/>
  <c r="BS251" i="73"/>
  <c r="BR251" i="73"/>
  <c r="BQ251" i="73"/>
  <c r="BP251" i="73"/>
  <c r="BO251" i="73"/>
  <c r="BM251" i="73"/>
  <c r="BL251" i="73"/>
  <c r="BK251" i="73"/>
  <c r="BJ251" i="73"/>
  <c r="BI251" i="73"/>
  <c r="BH251" i="73"/>
  <c r="BG251" i="73"/>
  <c r="BF251" i="73"/>
  <c r="BE251" i="73"/>
  <c r="BD251" i="73"/>
  <c r="BC251" i="73"/>
  <c r="BB251" i="73"/>
  <c r="BA251" i="73"/>
  <c r="AZ251" i="73"/>
  <c r="AY251" i="73"/>
  <c r="AX251" i="73"/>
  <c r="AW251" i="73"/>
  <c r="AV251" i="73"/>
  <c r="AU251" i="73"/>
  <c r="AT251" i="73"/>
  <c r="AS251" i="73"/>
  <c r="AR251" i="73"/>
  <c r="AQ251" i="73"/>
  <c r="AP251" i="73"/>
  <c r="AO251" i="73"/>
  <c r="AN251" i="73"/>
  <c r="AL251" i="73"/>
  <c r="AK251" i="73"/>
  <c r="AJ251" i="73"/>
  <c r="AI251" i="73"/>
  <c r="AH251" i="73"/>
  <c r="AG251" i="73"/>
  <c r="AF251" i="73"/>
  <c r="AE251" i="73"/>
  <c r="AD251" i="73"/>
  <c r="AC251" i="73"/>
  <c r="AB251" i="73"/>
  <c r="AA251" i="73"/>
  <c r="Z251" i="73"/>
  <c r="Y251" i="73"/>
  <c r="X251" i="73"/>
  <c r="W251" i="73"/>
  <c r="V251" i="73"/>
  <c r="U251" i="73"/>
  <c r="T251" i="73"/>
  <c r="S251" i="73"/>
  <c r="R251" i="73"/>
  <c r="Q251" i="73"/>
  <c r="P251" i="73"/>
  <c r="O251" i="73"/>
  <c r="N251" i="73"/>
  <c r="M251" i="73"/>
  <c r="L251" i="73"/>
  <c r="K251" i="73"/>
  <c r="J251" i="73"/>
  <c r="I251" i="73"/>
  <c r="H251" i="73"/>
  <c r="G251" i="73"/>
  <c r="F251" i="73"/>
  <c r="E251" i="73"/>
  <c r="D251" i="73"/>
  <c r="C251" i="73"/>
  <c r="BN251" i="73"/>
  <c r="BY206" i="73"/>
  <c r="BX206" i="73"/>
  <c r="BX321" i="73" s="1"/>
  <c r="BW206" i="73"/>
  <c r="BW321" i="73" s="1"/>
  <c r="BV206" i="73"/>
  <c r="BV321" i="73" s="1"/>
  <c r="BU206" i="73"/>
  <c r="BU321" i="73" s="1"/>
  <c r="BT206" i="73"/>
  <c r="BT321" i="73" s="1"/>
  <c r="BS206" i="73"/>
  <c r="BS321" i="73" s="1"/>
  <c r="BR206" i="73"/>
  <c r="BR321" i="73" s="1"/>
  <c r="BQ206" i="73"/>
  <c r="BQ321" i="73" s="1"/>
  <c r="BP206" i="73"/>
  <c r="BP321" i="73" s="1"/>
  <c r="BN206" i="73"/>
  <c r="BN321" i="73" s="1"/>
  <c r="BM206" i="73"/>
  <c r="BM321" i="73" s="1"/>
  <c r="BL206" i="73"/>
  <c r="BK206" i="73"/>
  <c r="BJ206" i="73"/>
  <c r="BI206" i="73"/>
  <c r="BH206" i="73"/>
  <c r="BG206" i="73"/>
  <c r="BF206" i="73"/>
  <c r="BE206" i="73"/>
  <c r="BD206" i="73"/>
  <c r="BC206" i="73"/>
  <c r="BB206" i="73"/>
  <c r="BA206" i="73"/>
  <c r="AZ206" i="73"/>
  <c r="AY206" i="73"/>
  <c r="AX206" i="73"/>
  <c r="AW206" i="73"/>
  <c r="AV206" i="73"/>
  <c r="AU206" i="73"/>
  <c r="AT206" i="73"/>
  <c r="AS206" i="73"/>
  <c r="AR206" i="73"/>
  <c r="AQ206" i="73"/>
  <c r="AP206" i="73"/>
  <c r="AO206" i="73"/>
  <c r="AN206" i="73"/>
  <c r="AL206" i="73"/>
  <c r="AK206" i="73"/>
  <c r="AJ206" i="73"/>
  <c r="AI206" i="73"/>
  <c r="AH206" i="73"/>
  <c r="AG206" i="73"/>
  <c r="AF206" i="73"/>
  <c r="AE206" i="73"/>
  <c r="AD206" i="73"/>
  <c r="AC206" i="73"/>
  <c r="AB206" i="73"/>
  <c r="AA206" i="73"/>
  <c r="Z206" i="73"/>
  <c r="Y206" i="73"/>
  <c r="X206" i="73"/>
  <c r="W206" i="73"/>
  <c r="V206" i="73"/>
  <c r="U206" i="73"/>
  <c r="T206" i="73"/>
  <c r="S206" i="73"/>
  <c r="R206" i="73"/>
  <c r="Q206" i="73"/>
  <c r="P206" i="73"/>
  <c r="O206" i="73"/>
  <c r="N206" i="73"/>
  <c r="M206" i="73"/>
  <c r="L206" i="73"/>
  <c r="K206" i="73"/>
  <c r="J206" i="73"/>
  <c r="I206" i="73"/>
  <c r="H206" i="73"/>
  <c r="G206" i="73"/>
  <c r="F206" i="73"/>
  <c r="E206" i="73"/>
  <c r="D206" i="73"/>
  <c r="C206" i="73"/>
  <c r="BO206" i="73"/>
  <c r="BO321" i="73" s="1"/>
  <c r="BY197" i="73"/>
  <c r="BX197" i="73"/>
  <c r="BX320" i="73" s="1"/>
  <c r="BW197" i="73"/>
  <c r="BW320" i="73" s="1"/>
  <c r="BV197" i="73"/>
  <c r="BV320" i="73" s="1"/>
  <c r="BU197" i="73"/>
  <c r="BU320" i="73" s="1"/>
  <c r="BT197" i="73"/>
  <c r="BT320" i="73" s="1"/>
  <c r="BS197" i="73"/>
  <c r="BS320" i="73" s="1"/>
  <c r="BR197" i="73"/>
  <c r="BR320" i="73" s="1"/>
  <c r="BQ197" i="73"/>
  <c r="BQ320" i="73" s="1"/>
  <c r="BP197" i="73"/>
  <c r="BP320" i="73" s="1"/>
  <c r="BO197" i="73"/>
  <c r="BO320" i="73" s="1"/>
  <c r="BN197" i="73"/>
  <c r="BN320" i="73" s="1"/>
  <c r="BM197" i="73"/>
  <c r="BM320" i="73" s="1"/>
  <c r="BL197" i="73"/>
  <c r="BK197" i="73"/>
  <c r="BI197" i="73"/>
  <c r="BH197" i="73"/>
  <c r="BG197" i="73"/>
  <c r="BF197" i="73"/>
  <c r="BE197" i="73"/>
  <c r="BD197" i="73"/>
  <c r="BC197" i="73"/>
  <c r="BB197" i="73"/>
  <c r="BA197" i="73"/>
  <c r="AZ197" i="73"/>
  <c r="AY197" i="73"/>
  <c r="AX197" i="73"/>
  <c r="AW197" i="73"/>
  <c r="AV197" i="73"/>
  <c r="AU197" i="73"/>
  <c r="AT197" i="73"/>
  <c r="AS197" i="73"/>
  <c r="AR197" i="73"/>
  <c r="AQ197" i="73"/>
  <c r="AP197" i="73"/>
  <c r="AO197" i="73"/>
  <c r="AN197" i="73"/>
  <c r="AL197" i="73"/>
  <c r="AK197" i="73"/>
  <c r="AJ197" i="73"/>
  <c r="AI197" i="73"/>
  <c r="AH197" i="73"/>
  <c r="AG197" i="73"/>
  <c r="AF197" i="73"/>
  <c r="AE197" i="73"/>
  <c r="AD197" i="73"/>
  <c r="AC197" i="73"/>
  <c r="AB197" i="73"/>
  <c r="AA197" i="73"/>
  <c r="Z197" i="73"/>
  <c r="Y197" i="73"/>
  <c r="X197" i="73"/>
  <c r="W197" i="73"/>
  <c r="V197" i="73"/>
  <c r="U197" i="73"/>
  <c r="T197" i="73"/>
  <c r="S197" i="73"/>
  <c r="R197" i="73"/>
  <c r="Q197" i="73"/>
  <c r="P197" i="73"/>
  <c r="O197" i="73"/>
  <c r="N197" i="73"/>
  <c r="M197" i="73"/>
  <c r="L197" i="73"/>
  <c r="K197" i="73"/>
  <c r="J197" i="73"/>
  <c r="I197" i="73"/>
  <c r="H197" i="73"/>
  <c r="G197" i="73"/>
  <c r="F197" i="73"/>
  <c r="E197" i="73"/>
  <c r="D197" i="73"/>
  <c r="C197" i="73"/>
  <c r="BJ197" i="73"/>
  <c r="BY188" i="73"/>
  <c r="BX188" i="73"/>
  <c r="BW188" i="73"/>
  <c r="BV188" i="73"/>
  <c r="BU188" i="73"/>
  <c r="BT188" i="73"/>
  <c r="BS188" i="73"/>
  <c r="BR188" i="73"/>
  <c r="BQ188" i="73"/>
  <c r="BP188" i="73"/>
  <c r="BO188" i="73"/>
  <c r="BN188" i="73"/>
  <c r="BM188" i="73"/>
  <c r="BK188" i="73"/>
  <c r="BJ188" i="73"/>
  <c r="BI188" i="73"/>
  <c r="BH188" i="73"/>
  <c r="BG188" i="73"/>
  <c r="BF188" i="73"/>
  <c r="BE188" i="73"/>
  <c r="BD188" i="73"/>
  <c r="BC188" i="73"/>
  <c r="BB188" i="73"/>
  <c r="BA188" i="73"/>
  <c r="AZ188" i="73"/>
  <c r="AY188" i="73"/>
  <c r="AX188" i="73"/>
  <c r="AW188" i="73"/>
  <c r="AV188" i="73"/>
  <c r="AU188" i="73"/>
  <c r="AT188" i="73"/>
  <c r="AS188" i="73"/>
  <c r="AR188" i="73"/>
  <c r="AQ188" i="73"/>
  <c r="AP188" i="73"/>
  <c r="AO188" i="73"/>
  <c r="AN188" i="73"/>
  <c r="AL188" i="73"/>
  <c r="AK188" i="73"/>
  <c r="AJ188" i="73"/>
  <c r="AI188" i="73"/>
  <c r="AH188" i="73"/>
  <c r="AG188" i="73"/>
  <c r="AF188" i="73"/>
  <c r="AE188" i="73"/>
  <c r="AD188" i="73"/>
  <c r="AC188" i="73"/>
  <c r="AB188" i="73"/>
  <c r="AA188" i="73"/>
  <c r="Z188" i="73"/>
  <c r="Y188" i="73"/>
  <c r="X188" i="73"/>
  <c r="W188" i="73"/>
  <c r="V188" i="73"/>
  <c r="U188" i="73"/>
  <c r="T188" i="73"/>
  <c r="S188" i="73"/>
  <c r="R188" i="73"/>
  <c r="Q188" i="73"/>
  <c r="P188" i="73"/>
  <c r="O188" i="73"/>
  <c r="N188" i="73"/>
  <c r="M188" i="73"/>
  <c r="L188" i="73"/>
  <c r="K188" i="73"/>
  <c r="J188" i="73"/>
  <c r="I188" i="73"/>
  <c r="H188" i="73"/>
  <c r="G188" i="73"/>
  <c r="F188" i="73"/>
  <c r="E188" i="73"/>
  <c r="D188" i="73"/>
  <c r="C188" i="73"/>
  <c r="BL188" i="73"/>
  <c r="AY6" i="3" l="1"/>
  <c r="AY23" i="3"/>
  <c r="AY33" i="3"/>
  <c r="AY39" i="3" l="1"/>
  <c r="BY323" i="73"/>
  <c r="BX323" i="73"/>
  <c r="BW323" i="73"/>
  <c r="BV323" i="73"/>
  <c r="BU323" i="73"/>
  <c r="BT323" i="73"/>
  <c r="BS323" i="73"/>
  <c r="BR323" i="73"/>
  <c r="BQ323" i="73"/>
  <c r="BP323" i="73"/>
  <c r="BO323" i="73"/>
  <c r="BN323" i="73"/>
  <c r="BM323" i="73"/>
  <c r="BL323" i="73"/>
  <c r="BK323" i="73"/>
  <c r="BJ323" i="73"/>
  <c r="BI323" i="73"/>
  <c r="BH323" i="73"/>
  <c r="BG323" i="73"/>
  <c r="BF323" i="73"/>
  <c r="BE323" i="73"/>
  <c r="BD323" i="73"/>
  <c r="BC323" i="73"/>
  <c r="BB323" i="73"/>
  <c r="BA323" i="73"/>
  <c r="AZ323" i="73"/>
  <c r="AY323" i="73"/>
  <c r="AX323" i="73"/>
  <c r="AW323" i="73"/>
  <c r="AV323" i="73"/>
  <c r="AU323" i="73"/>
  <c r="AT323" i="73"/>
  <c r="AS323" i="73"/>
  <c r="AR323" i="73"/>
  <c r="AQ323" i="73"/>
  <c r="AP323" i="73"/>
  <c r="AO323" i="73"/>
  <c r="AN323" i="73"/>
  <c r="AL323" i="73"/>
  <c r="AK323" i="73"/>
  <c r="AJ323" i="73"/>
  <c r="AI323" i="73"/>
  <c r="AH323" i="73"/>
  <c r="AG323" i="73"/>
  <c r="AF323" i="73"/>
  <c r="AE323" i="73"/>
  <c r="AD323" i="73"/>
  <c r="AC323" i="73"/>
  <c r="AB323" i="73"/>
  <c r="AA323" i="73"/>
  <c r="Z323" i="73"/>
  <c r="Y323" i="73"/>
  <c r="X323" i="73"/>
  <c r="W323" i="73"/>
  <c r="V323" i="73"/>
  <c r="BY322" i="73"/>
  <c r="BX322" i="73"/>
  <c r="BW322" i="73"/>
  <c r="BV322" i="73"/>
  <c r="BU322" i="73"/>
  <c r="BT322" i="73"/>
  <c r="BS322" i="73"/>
  <c r="BR322" i="73"/>
  <c r="BQ322" i="73"/>
  <c r="BP322" i="73"/>
  <c r="BO322" i="73"/>
  <c r="BN322" i="73"/>
  <c r="BM322" i="73"/>
  <c r="BL322" i="73"/>
  <c r="BK322" i="73"/>
  <c r="BJ322" i="73"/>
  <c r="BI322" i="73"/>
  <c r="BH322" i="73"/>
  <c r="BG322" i="73"/>
  <c r="BF322" i="73"/>
  <c r="BE322" i="73"/>
  <c r="BD322" i="73"/>
  <c r="BC322" i="73"/>
  <c r="BB322" i="73"/>
  <c r="BA322" i="73"/>
  <c r="AZ322" i="73"/>
  <c r="AY322" i="73"/>
  <c r="AX322" i="73"/>
  <c r="AW322" i="73"/>
  <c r="AV322" i="73"/>
  <c r="AU322" i="73"/>
  <c r="AT322" i="73"/>
  <c r="AS322" i="73"/>
  <c r="AR322" i="73"/>
  <c r="AQ322" i="73"/>
  <c r="AP322" i="73"/>
  <c r="AO322" i="73"/>
  <c r="AN322" i="73"/>
  <c r="AL322" i="73"/>
  <c r="AK322" i="73"/>
  <c r="AJ322" i="73"/>
  <c r="AI322" i="73"/>
  <c r="AH322" i="73"/>
  <c r="AG322" i="73"/>
  <c r="AF322" i="73"/>
  <c r="AE322" i="73"/>
  <c r="AD322" i="73"/>
  <c r="AC322" i="73"/>
  <c r="AB322" i="73"/>
  <c r="AA322" i="73"/>
  <c r="Z322" i="73"/>
  <c r="Y322" i="73"/>
  <c r="X322" i="73"/>
  <c r="W322" i="73"/>
  <c r="V322" i="73"/>
  <c r="BX235" i="73" l="1"/>
  <c r="BW235" i="73"/>
  <c r="BV235" i="73"/>
  <c r="BU235" i="73"/>
  <c r="BT235" i="73"/>
  <c r="BS235" i="73"/>
  <c r="BR235" i="73"/>
  <c r="BQ235" i="73"/>
  <c r="BP235" i="73"/>
  <c r="BO235" i="73"/>
  <c r="BN235" i="73"/>
  <c r="BM235" i="73"/>
  <c r="BL235" i="73"/>
  <c r="BK235" i="73"/>
  <c r="BJ235" i="73"/>
  <c r="BI235" i="73"/>
  <c r="BH235" i="73"/>
  <c r="BG235" i="73"/>
  <c r="BF235" i="73"/>
  <c r="BE235" i="73"/>
  <c r="BD235" i="73"/>
  <c r="BC235" i="73"/>
  <c r="BB235" i="73"/>
  <c r="BA235" i="73"/>
  <c r="AZ235" i="73"/>
  <c r="AY235" i="73"/>
  <c r="AX235" i="73"/>
  <c r="AW235" i="73"/>
  <c r="AV235" i="73"/>
  <c r="AU235" i="73"/>
  <c r="AT235" i="73"/>
  <c r="AS235" i="73"/>
  <c r="AR235" i="73"/>
  <c r="AQ235" i="73"/>
  <c r="AP235" i="73"/>
  <c r="AO235" i="73"/>
  <c r="AN235" i="73"/>
  <c r="AL235" i="73"/>
  <c r="AK235" i="73"/>
  <c r="AJ235" i="73"/>
  <c r="AI235" i="73"/>
  <c r="AH235" i="73"/>
  <c r="AG235" i="73"/>
  <c r="AF235" i="73"/>
  <c r="AE235" i="73"/>
  <c r="AD235" i="73"/>
  <c r="AC235" i="73"/>
  <c r="AB235" i="73"/>
  <c r="AA235" i="73"/>
  <c r="Z235" i="73"/>
  <c r="Y235" i="73"/>
  <c r="X235" i="73"/>
  <c r="W235" i="73"/>
  <c r="V235" i="73"/>
  <c r="U235" i="73"/>
  <c r="T235" i="73"/>
  <c r="S235" i="73"/>
  <c r="R235" i="73"/>
  <c r="Q235" i="73"/>
  <c r="P235" i="73"/>
  <c r="O235" i="73"/>
  <c r="N235" i="73"/>
  <c r="M235" i="73"/>
  <c r="L235" i="73"/>
  <c r="K235" i="73"/>
  <c r="J235" i="73"/>
  <c r="I235" i="73"/>
  <c r="H235" i="73"/>
  <c r="G235" i="73"/>
  <c r="F235" i="73"/>
  <c r="E235" i="73"/>
  <c r="D235" i="73"/>
  <c r="C235" i="73"/>
  <c r="BY243" i="73"/>
  <c r="BA167" i="77" l="1"/>
  <c r="BB167" i="77"/>
  <c r="BX243" i="73"/>
  <c r="J34" i="76" l="1"/>
  <c r="AB33" i="44" l="1"/>
  <c r="AB37" i="44" s="1"/>
  <c r="AC33" i="44" l="1"/>
  <c r="AC37" i="44" s="1"/>
  <c r="AD33" i="44" l="1"/>
  <c r="AD37" i="44" s="1"/>
  <c r="AE33" i="44" l="1"/>
  <c r="AE37" i="44" s="1"/>
  <c r="AF33" i="44" l="1"/>
  <c r="AF37" i="44" s="1"/>
  <c r="AG33" i="44" l="1"/>
  <c r="AG37" i="44" s="1"/>
  <c r="AH33" i="44" l="1"/>
  <c r="AH37" i="44" s="1"/>
  <c r="AI33" i="44" l="1"/>
  <c r="AI37" i="44" s="1"/>
  <c r="AK33" i="44" l="1"/>
  <c r="AK37" i="44" s="1"/>
  <c r="AM33" i="44" s="1"/>
  <c r="AM37" i="44" s="1"/>
  <c r="AJ33" i="44"/>
  <c r="AJ37" i="44" s="1"/>
  <c r="AL33" i="44" s="1"/>
  <c r="AL37" i="44" s="1"/>
  <c r="AN33" i="44" s="1"/>
  <c r="AN37" i="44" s="1"/>
  <c r="AP33" i="44" s="1"/>
  <c r="AP37" i="44" s="1"/>
  <c r="AO33" i="44" l="1"/>
  <c r="AF92" i="68"/>
  <c r="AF69" i="68"/>
  <c r="AF54" i="68"/>
  <c r="AF50" i="68"/>
  <c r="AF45" i="68"/>
  <c r="AF26" i="68"/>
  <c r="AF23" i="68"/>
  <c r="AI50" i="52"/>
  <c r="AI49" i="52"/>
  <c r="AI48" i="52"/>
  <c r="AI46" i="52"/>
  <c r="AI45" i="52"/>
  <c r="AI43" i="52"/>
  <c r="AI42" i="52"/>
  <c r="AI41" i="52"/>
  <c r="AI47" i="52"/>
  <c r="AI40" i="52"/>
  <c r="AI39" i="52"/>
  <c r="AI38" i="52"/>
  <c r="AF32" i="68" l="1"/>
  <c r="AF60" i="68"/>
  <c r="AF51" i="68"/>
  <c r="AG69" i="68"/>
  <c r="AG92" i="68"/>
  <c r="AF61" i="68" l="1"/>
  <c r="T286" i="36" l="1"/>
  <c r="O25" i="13"/>
  <c r="O24" i="13"/>
  <c r="P18" i="13"/>
  <c r="O23" i="13" l="1"/>
  <c r="P245" i="79"/>
  <c r="R245" i="79" s="1"/>
  <c r="P244" i="79" l="1"/>
  <c r="R244" i="79" l="1"/>
  <c r="AV30" i="2" l="1"/>
  <c r="AK13" i="55" l="1"/>
  <c r="AK24" i="55" s="1"/>
  <c r="AO111" i="46"/>
  <c r="AO107" i="46"/>
  <c r="T284" i="36"/>
  <c r="T281" i="36"/>
  <c r="AK25" i="55" l="1"/>
  <c r="AO110" i="46"/>
  <c r="T279" i="36"/>
  <c r="AO112" i="46"/>
  <c r="V19" i="2" l="1"/>
  <c r="U19" i="2"/>
  <c r="T19" i="2"/>
  <c r="S19" i="2"/>
  <c r="R19" i="2"/>
  <c r="Q19" i="2"/>
  <c r="P19" i="2"/>
  <c r="O19" i="2"/>
  <c r="N19" i="2"/>
  <c r="M19" i="2"/>
  <c r="L19" i="2"/>
  <c r="K19" i="2"/>
  <c r="J19" i="2"/>
  <c r="I19" i="2"/>
  <c r="H19" i="2"/>
  <c r="H24" i="2" s="1"/>
  <c r="M24" i="2" l="1"/>
  <c r="S24" i="2"/>
  <c r="L24" i="2"/>
  <c r="O24" i="2"/>
  <c r="R24" i="2"/>
  <c r="K24" i="2"/>
  <c r="N24" i="2"/>
  <c r="P24" i="2"/>
  <c r="Q24" i="2"/>
  <c r="I24" i="2"/>
  <c r="J24" i="2"/>
  <c r="AC22" i="60"/>
  <c r="AB22" i="60"/>
  <c r="AC20" i="60"/>
  <c r="AB20" i="60"/>
  <c r="D20" i="60"/>
  <c r="C20" i="60"/>
  <c r="G19" i="60"/>
  <c r="D16" i="60"/>
  <c r="C16" i="60"/>
  <c r="H15" i="60"/>
  <c r="H20" i="60" s="1"/>
  <c r="G15" i="60"/>
  <c r="Q14" i="60"/>
  <c r="P14" i="60"/>
  <c r="O14" i="60"/>
  <c r="N14" i="60"/>
  <c r="M14" i="60"/>
  <c r="L14" i="60"/>
  <c r="K14" i="60"/>
  <c r="AC13" i="60"/>
  <c r="AB13" i="60"/>
  <c r="AC12" i="60"/>
  <c r="AB12" i="60"/>
  <c r="D12" i="60"/>
  <c r="C12" i="60"/>
  <c r="AC10" i="60"/>
  <c r="AB10" i="60"/>
  <c r="Y9" i="60"/>
  <c r="X9" i="60"/>
  <c r="W9" i="60"/>
  <c r="V9" i="60"/>
  <c r="U9" i="60"/>
  <c r="T9" i="60"/>
  <c r="Q8" i="60"/>
  <c r="Q11" i="60" s="1"/>
  <c r="Q15" i="60" s="1"/>
  <c r="Q17" i="60" s="1"/>
  <c r="Q19" i="60" s="1"/>
  <c r="P8" i="60"/>
  <c r="P11" i="60" s="1"/>
  <c r="P15" i="60" s="1"/>
  <c r="P17" i="60" s="1"/>
  <c r="P19" i="60" s="1"/>
  <c r="O8" i="60"/>
  <c r="O11" i="60" s="1"/>
  <c r="O15" i="60" s="1"/>
  <c r="O17" i="60" s="1"/>
  <c r="N8" i="60"/>
  <c r="N11" i="60" s="1"/>
  <c r="N15" i="60" s="1"/>
  <c r="N17" i="60" s="1"/>
  <c r="M8" i="60"/>
  <c r="M11" i="60" s="1"/>
  <c r="M15" i="60" s="1"/>
  <c r="M17" i="60" s="1"/>
  <c r="L8" i="60"/>
  <c r="L11" i="60" s="1"/>
  <c r="L15" i="60" s="1"/>
  <c r="L17" i="60" s="1"/>
  <c r="K8" i="60"/>
  <c r="K11" i="60" s="1"/>
  <c r="K15" i="60" s="1"/>
  <c r="K17" i="60" s="1"/>
  <c r="K19" i="60" s="1"/>
  <c r="P18" i="81"/>
  <c r="O18" i="81"/>
  <c r="N18" i="81"/>
  <c r="M18" i="81"/>
  <c r="L18" i="81"/>
  <c r="K18" i="81"/>
  <c r="J18" i="81"/>
  <c r="I18" i="81"/>
  <c r="H18" i="81"/>
  <c r="G18" i="81"/>
  <c r="F18" i="81"/>
  <c r="E18" i="81"/>
  <c r="D18" i="81"/>
  <c r="C18" i="81"/>
  <c r="P15" i="81"/>
  <c r="O15" i="81"/>
  <c r="N15" i="81"/>
  <c r="M15" i="81"/>
  <c r="L15" i="81"/>
  <c r="K15" i="81"/>
  <c r="J15" i="81"/>
  <c r="I15" i="81"/>
  <c r="H15" i="81"/>
  <c r="G15" i="81"/>
  <c r="F15" i="81"/>
  <c r="E15" i="81"/>
  <c r="D15" i="81"/>
  <c r="C15" i="81"/>
  <c r="D12" i="81"/>
  <c r="E12" i="81" s="1"/>
  <c r="F12" i="81" s="1"/>
  <c r="G12" i="81" s="1"/>
  <c r="H12" i="81" s="1"/>
  <c r="I12" i="81" s="1"/>
  <c r="J12" i="81" s="1"/>
  <c r="K12" i="81" s="1"/>
  <c r="L12" i="81" s="1"/>
  <c r="M12" i="81" s="1"/>
  <c r="N12" i="81" s="1"/>
  <c r="O12" i="81" s="1"/>
  <c r="P12" i="81" s="1"/>
  <c r="Q12" i="81" s="1"/>
  <c r="C12" i="81"/>
  <c r="N103" i="80"/>
  <c r="F103" i="80"/>
  <c r="N75" i="80"/>
  <c r="N74" i="80"/>
  <c r="N73" i="80"/>
  <c r="N68" i="80"/>
  <c r="F68" i="80"/>
  <c r="N67" i="80"/>
  <c r="F67" i="80"/>
  <c r="N66" i="80"/>
  <c r="F66" i="80"/>
  <c r="N61" i="80"/>
  <c r="N60" i="80"/>
  <c r="N59" i="80"/>
  <c r="N54" i="80"/>
  <c r="F54" i="80"/>
  <c r="N53" i="80"/>
  <c r="F53" i="80"/>
  <c r="N52" i="80"/>
  <c r="F52" i="80"/>
  <c r="N47" i="80"/>
  <c r="N46" i="80"/>
  <c r="N45" i="80"/>
  <c r="N40" i="80"/>
  <c r="F40" i="80"/>
  <c r="N39" i="80"/>
  <c r="F39" i="80"/>
  <c r="N38" i="80"/>
  <c r="F38" i="80"/>
  <c r="N33" i="80"/>
  <c r="F33" i="80"/>
  <c r="N32" i="80"/>
  <c r="F32" i="80"/>
  <c r="N31" i="80"/>
  <c r="F31" i="80"/>
  <c r="N30" i="80"/>
  <c r="F30" i="80"/>
  <c r="N19" i="80"/>
  <c r="F19" i="80"/>
  <c r="N18" i="80"/>
  <c r="F18" i="80"/>
  <c r="N17" i="80"/>
  <c r="F17" i="80"/>
  <c r="N16" i="80"/>
  <c r="F16" i="80"/>
  <c r="M13" i="80"/>
  <c r="M20" i="80" s="1"/>
  <c r="M27" i="80" s="1"/>
  <c r="M34" i="80" s="1"/>
  <c r="M41" i="80" s="1"/>
  <c r="M48" i="80" s="1"/>
  <c r="M55" i="80" s="1"/>
  <c r="M62" i="80" s="1"/>
  <c r="M69" i="80" s="1"/>
  <c r="M76" i="80" s="1"/>
  <c r="M83" i="80" s="1"/>
  <c r="M90" i="80" s="1"/>
  <c r="M97" i="80" s="1"/>
  <c r="M104" i="80" s="1"/>
  <c r="M111" i="80" s="1"/>
  <c r="M118" i="80" s="1"/>
  <c r="M125" i="80" s="1"/>
  <c r="M132" i="80" s="1"/>
  <c r="M139" i="80" s="1"/>
  <c r="M146" i="80" s="1"/>
  <c r="L13" i="80"/>
  <c r="L20" i="80" s="1"/>
  <c r="L27" i="80" s="1"/>
  <c r="L34" i="80" s="1"/>
  <c r="L41" i="80" s="1"/>
  <c r="L48" i="80" s="1"/>
  <c r="L55" i="80" s="1"/>
  <c r="L62" i="80" s="1"/>
  <c r="L69" i="80" s="1"/>
  <c r="L76" i="80" s="1"/>
  <c r="L83" i="80" s="1"/>
  <c r="L90" i="80" s="1"/>
  <c r="L97" i="80" s="1"/>
  <c r="L104" i="80" s="1"/>
  <c r="L111" i="80" s="1"/>
  <c r="L118" i="80" s="1"/>
  <c r="L125" i="80" s="1"/>
  <c r="L132" i="80" s="1"/>
  <c r="L139" i="80" s="1"/>
  <c r="L146" i="80" s="1"/>
  <c r="K13" i="80"/>
  <c r="K20" i="80" s="1"/>
  <c r="K27" i="80" s="1"/>
  <c r="K34" i="80" s="1"/>
  <c r="K41" i="80" s="1"/>
  <c r="K48" i="80" s="1"/>
  <c r="K55" i="80" s="1"/>
  <c r="K62" i="80" s="1"/>
  <c r="K69" i="80" s="1"/>
  <c r="K76" i="80" s="1"/>
  <c r="K83" i="80" s="1"/>
  <c r="K90" i="80" s="1"/>
  <c r="K97" i="80" s="1"/>
  <c r="K104" i="80" s="1"/>
  <c r="K111" i="80" s="1"/>
  <c r="K118" i="80" s="1"/>
  <c r="K125" i="80" s="1"/>
  <c r="K132" i="80" s="1"/>
  <c r="K139" i="80" s="1"/>
  <c r="K146" i="80" s="1"/>
  <c r="E13" i="80"/>
  <c r="E20" i="80" s="1"/>
  <c r="E27" i="80" s="1"/>
  <c r="E34" i="80" s="1"/>
  <c r="E41" i="80" s="1"/>
  <c r="E48" i="80" s="1"/>
  <c r="E55" i="80" s="1"/>
  <c r="E62" i="80" s="1"/>
  <c r="E69" i="80" s="1"/>
  <c r="E76" i="80" s="1"/>
  <c r="E83" i="80" s="1"/>
  <c r="E90" i="80" s="1"/>
  <c r="E97" i="80" s="1"/>
  <c r="E104" i="80" s="1"/>
  <c r="E111" i="80" s="1"/>
  <c r="E118" i="80" s="1"/>
  <c r="E125" i="80" s="1"/>
  <c r="E132" i="80" s="1"/>
  <c r="E139" i="80" s="1"/>
  <c r="E146" i="80" s="1"/>
  <c r="D13" i="80"/>
  <c r="D20" i="80" s="1"/>
  <c r="D27" i="80" s="1"/>
  <c r="D34" i="80" s="1"/>
  <c r="D41" i="80" s="1"/>
  <c r="D48" i="80" s="1"/>
  <c r="D55" i="80" s="1"/>
  <c r="D62" i="80" s="1"/>
  <c r="D69" i="80" s="1"/>
  <c r="D76" i="80" s="1"/>
  <c r="D83" i="80" s="1"/>
  <c r="D90" i="80" s="1"/>
  <c r="D97" i="80" s="1"/>
  <c r="C13" i="80"/>
  <c r="C20" i="80" s="1"/>
  <c r="C27" i="80" s="1"/>
  <c r="C34" i="80" s="1"/>
  <c r="C41" i="80" s="1"/>
  <c r="C48" i="80" s="1"/>
  <c r="C55" i="80" s="1"/>
  <c r="C62" i="80" s="1"/>
  <c r="C69" i="80" s="1"/>
  <c r="C76" i="80" s="1"/>
  <c r="C83" i="80" s="1"/>
  <c r="C90" i="80" s="1"/>
  <c r="C97" i="80" s="1"/>
  <c r="N12" i="80"/>
  <c r="F12" i="80"/>
  <c r="N11" i="80"/>
  <c r="F11" i="80"/>
  <c r="N10" i="80"/>
  <c r="F10" i="80"/>
  <c r="N9" i="80"/>
  <c r="F9" i="80"/>
  <c r="F6" i="80"/>
  <c r="AE54" i="68"/>
  <c r="AD54" i="68"/>
  <c r="AC54" i="68"/>
  <c r="AB54" i="68"/>
  <c r="AA54" i="68"/>
  <c r="Z54" i="68"/>
  <c r="Y54" i="68"/>
  <c r="X54" i="68"/>
  <c r="W54" i="68"/>
  <c r="V54" i="68"/>
  <c r="U54" i="68"/>
  <c r="T54" i="68"/>
  <c r="S54" i="68"/>
  <c r="R54" i="68"/>
  <c r="Q54" i="68"/>
  <c r="P54" i="68"/>
  <c r="O54" i="68"/>
  <c r="N54" i="68"/>
  <c r="M54" i="68"/>
  <c r="L54" i="68"/>
  <c r="K54" i="68"/>
  <c r="J54" i="68"/>
  <c r="I54" i="68"/>
  <c r="H54" i="68"/>
  <c r="G54" i="68"/>
  <c r="F54" i="68"/>
  <c r="E54" i="68"/>
  <c r="C54" i="68"/>
  <c r="AG54" i="68"/>
  <c r="AE50" i="68"/>
  <c r="AD50" i="68"/>
  <c r="AC50" i="68"/>
  <c r="AB50" i="68"/>
  <c r="AA50" i="68"/>
  <c r="Z50" i="68"/>
  <c r="Y50" i="68"/>
  <c r="X50" i="68"/>
  <c r="W50" i="68"/>
  <c r="V50" i="68"/>
  <c r="U50" i="68"/>
  <c r="T50" i="68"/>
  <c r="S50" i="68"/>
  <c r="R50" i="68"/>
  <c r="Q50" i="68"/>
  <c r="P50" i="68"/>
  <c r="O50" i="68"/>
  <c r="N50" i="68"/>
  <c r="M50" i="68"/>
  <c r="L50" i="68"/>
  <c r="K50" i="68"/>
  <c r="J50" i="68"/>
  <c r="I50" i="68"/>
  <c r="H50" i="68"/>
  <c r="G50" i="68"/>
  <c r="F50" i="68"/>
  <c r="E50" i="68"/>
  <c r="C50" i="68"/>
  <c r="AG50" i="68"/>
  <c r="AE45" i="68"/>
  <c r="AD45" i="68"/>
  <c r="AC45" i="68"/>
  <c r="AB45" i="68"/>
  <c r="AA45" i="68"/>
  <c r="Z45" i="68"/>
  <c r="Y45" i="68"/>
  <c r="X45" i="68"/>
  <c r="W45" i="68"/>
  <c r="V45" i="68"/>
  <c r="U45" i="68"/>
  <c r="T45" i="68"/>
  <c r="S45" i="68"/>
  <c r="R45" i="68"/>
  <c r="Q45" i="68"/>
  <c r="P45" i="68"/>
  <c r="O45" i="68"/>
  <c r="N45" i="68"/>
  <c r="M45" i="68"/>
  <c r="L45" i="68"/>
  <c r="K45" i="68"/>
  <c r="J45" i="68"/>
  <c r="I45" i="68"/>
  <c r="H45" i="68"/>
  <c r="G45" i="68"/>
  <c r="F45" i="68"/>
  <c r="E45" i="68"/>
  <c r="C45" i="68"/>
  <c r="AE92" i="68"/>
  <c r="AD92" i="68"/>
  <c r="AC92" i="68"/>
  <c r="AB92" i="68"/>
  <c r="AA92" i="68"/>
  <c r="Z92" i="68"/>
  <c r="Y92" i="68"/>
  <c r="X92" i="68"/>
  <c r="W92" i="68"/>
  <c r="U92" i="68"/>
  <c r="T92" i="68"/>
  <c r="S92" i="68"/>
  <c r="R92" i="68"/>
  <c r="Q92" i="68"/>
  <c r="P92" i="68"/>
  <c r="O92" i="68"/>
  <c r="N92" i="68"/>
  <c r="M92" i="68"/>
  <c r="L92" i="68"/>
  <c r="K92" i="68"/>
  <c r="J92" i="68"/>
  <c r="I92" i="68"/>
  <c r="H92" i="68"/>
  <c r="G92" i="68"/>
  <c r="F92" i="68"/>
  <c r="E92" i="68"/>
  <c r="D92" i="68"/>
  <c r="C92" i="68"/>
  <c r="AE26" i="68"/>
  <c r="AD26" i="68"/>
  <c r="AC26" i="68"/>
  <c r="AB26" i="68"/>
  <c r="AA26" i="68"/>
  <c r="Z26" i="68"/>
  <c r="Y26" i="68"/>
  <c r="X26" i="68"/>
  <c r="W26" i="68"/>
  <c r="V26" i="68"/>
  <c r="U26" i="68"/>
  <c r="T26" i="68"/>
  <c r="S26" i="68"/>
  <c r="R26" i="68"/>
  <c r="Q26" i="68"/>
  <c r="P26" i="68"/>
  <c r="O26" i="68"/>
  <c r="N26" i="68"/>
  <c r="M26" i="68"/>
  <c r="L26" i="68"/>
  <c r="K26" i="68"/>
  <c r="J26" i="68"/>
  <c r="I26" i="68"/>
  <c r="H26" i="68"/>
  <c r="G26" i="68"/>
  <c r="F26" i="68"/>
  <c r="E26" i="68"/>
  <c r="C26" i="68"/>
  <c r="AG26" i="68"/>
  <c r="AB23" i="68"/>
  <c r="AA23" i="68"/>
  <c r="Z23" i="68"/>
  <c r="Y23" i="68"/>
  <c r="X23" i="68"/>
  <c r="W23" i="68"/>
  <c r="V23" i="68"/>
  <c r="U23" i="68"/>
  <c r="T23" i="68"/>
  <c r="S23" i="68"/>
  <c r="R23" i="68"/>
  <c r="Q23" i="68"/>
  <c r="P23" i="68"/>
  <c r="O23" i="68"/>
  <c r="N23" i="68"/>
  <c r="M23" i="68"/>
  <c r="L23" i="68"/>
  <c r="K23" i="68"/>
  <c r="J23" i="68"/>
  <c r="I23" i="68"/>
  <c r="H23" i="68"/>
  <c r="G23" i="68"/>
  <c r="F23" i="68"/>
  <c r="E23" i="68"/>
  <c r="C23" i="68"/>
  <c r="AG23" i="68"/>
  <c r="AC22" i="68"/>
  <c r="AC23" i="68" s="1"/>
  <c r="AE69" i="68"/>
  <c r="AD69" i="68"/>
  <c r="AC69" i="68"/>
  <c r="AB69" i="68"/>
  <c r="AA69" i="68"/>
  <c r="Z69" i="68"/>
  <c r="Y69" i="68"/>
  <c r="X69" i="68"/>
  <c r="W69" i="68"/>
  <c r="V69" i="68"/>
  <c r="U69" i="68"/>
  <c r="T69" i="68"/>
  <c r="S69" i="68"/>
  <c r="R69" i="68"/>
  <c r="Q69" i="68"/>
  <c r="P69" i="68"/>
  <c r="O69" i="68"/>
  <c r="N69" i="68"/>
  <c r="M69" i="68"/>
  <c r="L69" i="68"/>
  <c r="K69" i="68"/>
  <c r="J69" i="68"/>
  <c r="I69" i="68"/>
  <c r="H69" i="68"/>
  <c r="G69" i="68"/>
  <c r="F69" i="68"/>
  <c r="E69" i="68"/>
  <c r="D69" i="68"/>
  <c r="C69" i="68"/>
  <c r="S21" i="59"/>
  <c r="V20" i="59"/>
  <c r="U20" i="59"/>
  <c r="T20" i="59"/>
  <c r="R20" i="59"/>
  <c r="Q20" i="59"/>
  <c r="P20" i="59"/>
  <c r="O20" i="59"/>
  <c r="N20" i="59"/>
  <c r="M20" i="59"/>
  <c r="L20" i="59"/>
  <c r="K20" i="59"/>
  <c r="J20" i="59"/>
  <c r="I20" i="59"/>
  <c r="H20" i="59"/>
  <c r="G20" i="59"/>
  <c r="F20" i="59"/>
  <c r="E20" i="59"/>
  <c r="D20" i="59"/>
  <c r="C20" i="59"/>
  <c r="V19" i="59"/>
  <c r="U19" i="59"/>
  <c r="T19" i="59"/>
  <c r="R19" i="59"/>
  <c r="Q19" i="59"/>
  <c r="P19" i="59"/>
  <c r="O19" i="59"/>
  <c r="N19" i="59"/>
  <c r="M19" i="59"/>
  <c r="L19" i="59"/>
  <c r="K19" i="59"/>
  <c r="J19" i="59"/>
  <c r="I19" i="59"/>
  <c r="H19" i="59"/>
  <c r="G19" i="59"/>
  <c r="F19" i="59"/>
  <c r="E19" i="59"/>
  <c r="D19" i="59"/>
  <c r="C19" i="59"/>
  <c r="V18" i="59"/>
  <c r="U18" i="59"/>
  <c r="T18" i="59"/>
  <c r="R18" i="59"/>
  <c r="Q18" i="59"/>
  <c r="P18" i="59"/>
  <c r="O18" i="59"/>
  <c r="N18" i="59"/>
  <c r="M18" i="59"/>
  <c r="L18" i="59"/>
  <c r="K18" i="59"/>
  <c r="J18" i="59"/>
  <c r="I18" i="59"/>
  <c r="H18" i="59"/>
  <c r="G18" i="59"/>
  <c r="F18" i="59"/>
  <c r="E18" i="59"/>
  <c r="D18" i="59"/>
  <c r="C18" i="59"/>
  <c r="V15" i="59"/>
  <c r="U15" i="59"/>
  <c r="T15" i="59"/>
  <c r="S15" i="59"/>
  <c r="R15" i="59"/>
  <c r="Q15" i="59"/>
  <c r="P15" i="59"/>
  <c r="O15" i="59"/>
  <c r="N15" i="59"/>
  <c r="M15" i="59"/>
  <c r="L15" i="59"/>
  <c r="K15" i="59"/>
  <c r="J15" i="59"/>
  <c r="I15" i="59"/>
  <c r="H15" i="59"/>
  <c r="G15" i="59"/>
  <c r="F15" i="59"/>
  <c r="E15" i="59"/>
  <c r="D15" i="59"/>
  <c r="C15" i="59"/>
  <c r="V9" i="59"/>
  <c r="U9" i="59"/>
  <c r="T9" i="59"/>
  <c r="S9" i="59"/>
  <c r="R9" i="59"/>
  <c r="Q9" i="59"/>
  <c r="P9" i="59"/>
  <c r="O9" i="59"/>
  <c r="N9" i="59"/>
  <c r="M9" i="59"/>
  <c r="L9" i="59"/>
  <c r="K9" i="59"/>
  <c r="J9" i="59"/>
  <c r="I9" i="59"/>
  <c r="H9" i="59"/>
  <c r="G9" i="59"/>
  <c r="F9" i="59"/>
  <c r="E9" i="59"/>
  <c r="D9" i="59"/>
  <c r="C9" i="59"/>
  <c r="AI10" i="66"/>
  <c r="AH10" i="66"/>
  <c r="AG10" i="66"/>
  <c r="AF10" i="66"/>
  <c r="AE10" i="66"/>
  <c r="AD10" i="66"/>
  <c r="AC10" i="66"/>
  <c r="AB10" i="66"/>
  <c r="AA10" i="66"/>
  <c r="Z10" i="66"/>
  <c r="Y10" i="66"/>
  <c r="X10" i="66"/>
  <c r="W10" i="66"/>
  <c r="V10" i="66"/>
  <c r="U10" i="66"/>
  <c r="T10" i="66"/>
  <c r="S10" i="66"/>
  <c r="R10" i="66"/>
  <c r="Q10" i="66"/>
  <c r="P10" i="66"/>
  <c r="O10" i="66"/>
  <c r="N10" i="66"/>
  <c r="M10" i="66"/>
  <c r="L10" i="66"/>
  <c r="K10" i="66"/>
  <c r="J10" i="66"/>
  <c r="I10" i="66"/>
  <c r="H10" i="66"/>
  <c r="G10" i="66"/>
  <c r="F10" i="66"/>
  <c r="E10" i="66"/>
  <c r="D10" i="66"/>
  <c r="C10" i="66"/>
  <c r="V69" i="55"/>
  <c r="U69" i="55" s="1"/>
  <c r="T69" i="55" s="1"/>
  <c r="S69" i="55" s="1"/>
  <c r="R69" i="55" s="1"/>
  <c r="Q69" i="55" s="1"/>
  <c r="P69" i="55" s="1"/>
  <c r="O69" i="55" s="1"/>
  <c r="N69" i="55" s="1"/>
  <c r="M69" i="55" s="1"/>
  <c r="L69" i="55" s="1"/>
  <c r="K69" i="55" s="1"/>
  <c r="J69" i="55" s="1"/>
  <c r="I69" i="55" s="1"/>
  <c r="H69" i="55" s="1"/>
  <c r="G69" i="55" s="1"/>
  <c r="AH23" i="55"/>
  <c r="AG23" i="55"/>
  <c r="AF23" i="55"/>
  <c r="AE23" i="55"/>
  <c r="AD23" i="55"/>
  <c r="AC23" i="55"/>
  <c r="AB23" i="55"/>
  <c r="AA23" i="55"/>
  <c r="Z23" i="55"/>
  <c r="Y23" i="55"/>
  <c r="X23" i="55"/>
  <c r="W23" i="55"/>
  <c r="V23" i="55"/>
  <c r="U23" i="55"/>
  <c r="T23" i="55"/>
  <c r="S23" i="55"/>
  <c r="R23" i="55"/>
  <c r="Q23" i="55"/>
  <c r="P23" i="55"/>
  <c r="O23" i="55"/>
  <c r="N23" i="55"/>
  <c r="M23" i="55"/>
  <c r="L23" i="55"/>
  <c r="K23" i="55"/>
  <c r="J23" i="55"/>
  <c r="I23" i="55"/>
  <c r="H23" i="55"/>
  <c r="G23" i="55"/>
  <c r="F23" i="55"/>
  <c r="E23" i="55"/>
  <c r="D23" i="55"/>
  <c r="C23" i="55"/>
  <c r="AI13" i="55"/>
  <c r="AH13" i="55"/>
  <c r="AE13" i="55"/>
  <c r="AD13" i="55"/>
  <c r="AC13" i="55"/>
  <c r="AB13" i="55"/>
  <c r="AA13" i="55"/>
  <c r="Z13" i="55"/>
  <c r="Y13" i="55"/>
  <c r="X13" i="55"/>
  <c r="W13" i="55"/>
  <c r="V13" i="55"/>
  <c r="U13" i="55"/>
  <c r="T13" i="55"/>
  <c r="S13" i="55"/>
  <c r="R13" i="55"/>
  <c r="Q13" i="55"/>
  <c r="P13" i="55"/>
  <c r="O13" i="55"/>
  <c r="N13" i="55"/>
  <c r="M13" i="55"/>
  <c r="L13" i="55"/>
  <c r="K13" i="55"/>
  <c r="J13" i="55"/>
  <c r="I13" i="55"/>
  <c r="H13" i="55"/>
  <c r="G13" i="55"/>
  <c r="F13" i="55"/>
  <c r="E13" i="55"/>
  <c r="D13" i="55"/>
  <c r="C13" i="55"/>
  <c r="AG13" i="55"/>
  <c r="AF13" i="55"/>
  <c r="AG4" i="55"/>
  <c r="AF4" i="55"/>
  <c r="AE4" i="55"/>
  <c r="AD4" i="55"/>
  <c r="AC4" i="55"/>
  <c r="AB4" i="55"/>
  <c r="AA4" i="55"/>
  <c r="Z4" i="55"/>
  <c r="X4" i="55"/>
  <c r="W4" i="55"/>
  <c r="V4" i="55"/>
  <c r="U4" i="55"/>
  <c r="T4" i="55"/>
  <c r="S4" i="55"/>
  <c r="R4" i="55"/>
  <c r="Q4" i="55"/>
  <c r="M4" i="55"/>
  <c r="L4" i="55"/>
  <c r="K4" i="55"/>
  <c r="J4" i="55"/>
  <c r="I4" i="55"/>
  <c r="H4" i="55"/>
  <c r="G4" i="55"/>
  <c r="F4" i="55"/>
  <c r="E4" i="55"/>
  <c r="D4" i="55"/>
  <c r="C4" i="55"/>
  <c r="AI25" i="65"/>
  <c r="AH25" i="65"/>
  <c r="AG25" i="65"/>
  <c r="AF25" i="65"/>
  <c r="AE25" i="65"/>
  <c r="AD25" i="65"/>
  <c r="AC25" i="65"/>
  <c r="AB25" i="65"/>
  <c r="AA25" i="65"/>
  <c r="Z25" i="65"/>
  <c r="Y25" i="65"/>
  <c r="X25" i="65"/>
  <c r="W25" i="65"/>
  <c r="V25" i="65"/>
  <c r="U25" i="65"/>
  <c r="T25" i="65"/>
  <c r="R25" i="65"/>
  <c r="Q25" i="65"/>
  <c r="P25" i="65"/>
  <c r="O25" i="65"/>
  <c r="N25" i="65"/>
  <c r="M25" i="65"/>
  <c r="L25" i="65"/>
  <c r="K25" i="65"/>
  <c r="J25" i="65"/>
  <c r="I25" i="65"/>
  <c r="H25" i="65"/>
  <c r="G25" i="65"/>
  <c r="F25" i="65"/>
  <c r="E25" i="65"/>
  <c r="D25" i="65"/>
  <c r="C25" i="65"/>
  <c r="AI24" i="65"/>
  <c r="AH24" i="65"/>
  <c r="AG24" i="65"/>
  <c r="AF24" i="65"/>
  <c r="AE24" i="65"/>
  <c r="AD24" i="65"/>
  <c r="AC24" i="65"/>
  <c r="AB24" i="65"/>
  <c r="AA24" i="65"/>
  <c r="Z24" i="65"/>
  <c r="Y24" i="65"/>
  <c r="X24" i="65"/>
  <c r="W24" i="65"/>
  <c r="V24" i="65"/>
  <c r="U24" i="65"/>
  <c r="T24" i="65"/>
  <c r="R24" i="65"/>
  <c r="Q24" i="65"/>
  <c r="P24" i="65"/>
  <c r="O24" i="65"/>
  <c r="N24" i="65"/>
  <c r="M24" i="65"/>
  <c r="L24" i="65"/>
  <c r="K24" i="65"/>
  <c r="J24" i="65"/>
  <c r="I24" i="65"/>
  <c r="H24" i="65"/>
  <c r="G24" i="65"/>
  <c r="F24" i="65"/>
  <c r="E24" i="65"/>
  <c r="D24" i="65"/>
  <c r="C24" i="65"/>
  <c r="AI23" i="65"/>
  <c r="AH23" i="65"/>
  <c r="AG23" i="65"/>
  <c r="AF23" i="65"/>
  <c r="AE23" i="65"/>
  <c r="AD23" i="65"/>
  <c r="AC23" i="65"/>
  <c r="AB23" i="65"/>
  <c r="AA23" i="65"/>
  <c r="Z23" i="65"/>
  <c r="Y23" i="65"/>
  <c r="X23" i="65"/>
  <c r="W23" i="65"/>
  <c r="V23" i="65"/>
  <c r="U23" i="65"/>
  <c r="T23" i="65"/>
  <c r="R23" i="65"/>
  <c r="Q23" i="65"/>
  <c r="P23" i="65"/>
  <c r="O23" i="65"/>
  <c r="N23" i="65"/>
  <c r="M23" i="65"/>
  <c r="L23" i="65"/>
  <c r="K23" i="65"/>
  <c r="J23" i="65"/>
  <c r="I23" i="65"/>
  <c r="H23" i="65"/>
  <c r="G23" i="65"/>
  <c r="F23" i="65"/>
  <c r="E23" i="65"/>
  <c r="D23" i="65"/>
  <c r="C23" i="65"/>
  <c r="AI22" i="65"/>
  <c r="AH22" i="65"/>
  <c r="AG22" i="65"/>
  <c r="AF22" i="65"/>
  <c r="AE22" i="65"/>
  <c r="AD22" i="65"/>
  <c r="AC22" i="65"/>
  <c r="AB22" i="65"/>
  <c r="AA22" i="65"/>
  <c r="Z22" i="65"/>
  <c r="Y22" i="65"/>
  <c r="X22" i="65"/>
  <c r="W22" i="65"/>
  <c r="V22" i="65"/>
  <c r="U22" i="65"/>
  <c r="T22" i="65"/>
  <c r="R22" i="65"/>
  <c r="Q22" i="65"/>
  <c r="P22" i="65"/>
  <c r="O22" i="65"/>
  <c r="N22" i="65"/>
  <c r="M22" i="65"/>
  <c r="L22" i="65"/>
  <c r="K22" i="65"/>
  <c r="J22" i="65"/>
  <c r="I22" i="65"/>
  <c r="H22" i="65"/>
  <c r="G22" i="65"/>
  <c r="F22" i="65"/>
  <c r="E22" i="65"/>
  <c r="D22" i="65"/>
  <c r="C22" i="65"/>
  <c r="AJ24" i="65"/>
  <c r="AJ23" i="65"/>
  <c r="S89" i="71"/>
  <c r="R89" i="71"/>
  <c r="Q89" i="71"/>
  <c r="M89" i="71"/>
  <c r="L89" i="71"/>
  <c r="K89" i="71"/>
  <c r="J89" i="71"/>
  <c r="I89" i="71"/>
  <c r="H89" i="71"/>
  <c r="G89" i="71"/>
  <c r="F89" i="71"/>
  <c r="E89" i="71"/>
  <c r="D89" i="71"/>
  <c r="C89" i="71"/>
  <c r="AI88" i="71"/>
  <c r="AH88" i="71"/>
  <c r="AG88" i="71"/>
  <c r="AF88" i="71"/>
  <c r="AE88" i="71"/>
  <c r="AD88" i="71"/>
  <c r="AC88" i="71"/>
  <c r="AB88" i="71"/>
  <c r="AA88" i="71"/>
  <c r="Z88" i="71"/>
  <c r="Y88" i="71"/>
  <c r="X88" i="71"/>
  <c r="W88" i="71"/>
  <c r="V88" i="71"/>
  <c r="U88" i="71"/>
  <c r="T88" i="71"/>
  <c r="S88" i="71"/>
  <c r="R88" i="71"/>
  <c r="Q88" i="71"/>
  <c r="M88" i="71"/>
  <c r="L88" i="71"/>
  <c r="K88" i="71"/>
  <c r="J88" i="71"/>
  <c r="I88" i="71"/>
  <c r="H88" i="71"/>
  <c r="G88" i="71"/>
  <c r="F88" i="71"/>
  <c r="E88" i="71"/>
  <c r="D88" i="71"/>
  <c r="C88" i="71"/>
  <c r="AI87" i="71"/>
  <c r="AH87" i="71"/>
  <c r="AG87" i="71"/>
  <c r="AF87" i="71"/>
  <c r="AE87" i="71"/>
  <c r="AD87" i="71"/>
  <c r="AC87" i="71"/>
  <c r="AB87" i="71"/>
  <c r="AA87" i="71"/>
  <c r="Z87" i="71"/>
  <c r="Y87" i="71"/>
  <c r="X87" i="71"/>
  <c r="W87" i="71"/>
  <c r="V87" i="71"/>
  <c r="U87" i="71"/>
  <c r="T87" i="71"/>
  <c r="S87" i="71"/>
  <c r="R87" i="71"/>
  <c r="Q87" i="71"/>
  <c r="M87" i="71"/>
  <c r="L87" i="71"/>
  <c r="K87" i="71"/>
  <c r="J87" i="71"/>
  <c r="I87" i="71"/>
  <c r="H87" i="71"/>
  <c r="G87" i="71"/>
  <c r="F87" i="71"/>
  <c r="E87" i="71"/>
  <c r="D87" i="71"/>
  <c r="C87" i="71"/>
  <c r="AI86" i="71"/>
  <c r="AH86" i="71"/>
  <c r="AG86" i="71"/>
  <c r="AF86" i="71"/>
  <c r="AE86" i="71"/>
  <c r="AD86" i="71"/>
  <c r="AC86" i="71"/>
  <c r="AB86" i="71"/>
  <c r="AA86" i="71"/>
  <c r="Z86" i="71"/>
  <c r="Y86" i="71"/>
  <c r="X86" i="71"/>
  <c r="W86" i="71"/>
  <c r="V86" i="71"/>
  <c r="U86" i="71"/>
  <c r="T86" i="71"/>
  <c r="S86" i="71"/>
  <c r="R86" i="71"/>
  <c r="Q86" i="71"/>
  <c r="M86" i="71"/>
  <c r="L86" i="71"/>
  <c r="K86" i="71"/>
  <c r="J86" i="71"/>
  <c r="I86" i="71"/>
  <c r="H86" i="71"/>
  <c r="G86" i="71"/>
  <c r="F86" i="71"/>
  <c r="E86" i="71"/>
  <c r="D86" i="71"/>
  <c r="C86" i="71"/>
  <c r="AI84" i="71"/>
  <c r="AH84" i="71"/>
  <c r="AG84" i="71"/>
  <c r="AF84" i="71"/>
  <c r="AE84" i="71"/>
  <c r="AD84" i="71"/>
  <c r="AC84" i="71"/>
  <c r="AB84" i="71"/>
  <c r="AA84" i="71"/>
  <c r="Z84" i="71"/>
  <c r="Y84" i="71"/>
  <c r="X84" i="71"/>
  <c r="W84" i="71"/>
  <c r="V84" i="71"/>
  <c r="U84" i="71"/>
  <c r="T84" i="71"/>
  <c r="S84" i="71"/>
  <c r="R84" i="71"/>
  <c r="Q84" i="71"/>
  <c r="AI83" i="71"/>
  <c r="AH83" i="71"/>
  <c r="AG83" i="71"/>
  <c r="AF83" i="71"/>
  <c r="AE83" i="71"/>
  <c r="AD83" i="71"/>
  <c r="AC83" i="71"/>
  <c r="AB83" i="71"/>
  <c r="AA83" i="71"/>
  <c r="Z83" i="71"/>
  <c r="Y83" i="71"/>
  <c r="X83" i="71"/>
  <c r="W83" i="71"/>
  <c r="V83" i="71"/>
  <c r="U83" i="71"/>
  <c r="T83" i="71"/>
  <c r="S83" i="71"/>
  <c r="R83" i="71"/>
  <c r="Q83" i="71"/>
  <c r="M83" i="71"/>
  <c r="L83" i="71"/>
  <c r="K83" i="71"/>
  <c r="J83" i="71"/>
  <c r="I83" i="71"/>
  <c r="H83" i="71"/>
  <c r="G83" i="71"/>
  <c r="F83" i="71"/>
  <c r="E83" i="71"/>
  <c r="D83" i="71"/>
  <c r="C83" i="71"/>
  <c r="AI82" i="71"/>
  <c r="AH82" i="71"/>
  <c r="AG82" i="71"/>
  <c r="AF82" i="71"/>
  <c r="AE82" i="71"/>
  <c r="AD82" i="71"/>
  <c r="AC82" i="71"/>
  <c r="AB82" i="71"/>
  <c r="AA82" i="71"/>
  <c r="Z82" i="71"/>
  <c r="Y82" i="71"/>
  <c r="X82" i="71"/>
  <c r="W82" i="71"/>
  <c r="V82" i="71"/>
  <c r="U82" i="71"/>
  <c r="T82" i="71"/>
  <c r="S82" i="71"/>
  <c r="R82" i="71"/>
  <c r="Q82" i="71"/>
  <c r="M82" i="71"/>
  <c r="L82" i="71"/>
  <c r="K82" i="71"/>
  <c r="J82" i="71"/>
  <c r="I82" i="71"/>
  <c r="H82" i="71"/>
  <c r="G82" i="71"/>
  <c r="F82" i="71"/>
  <c r="E82" i="71"/>
  <c r="D82" i="71"/>
  <c r="C82" i="71"/>
  <c r="AI81" i="71"/>
  <c r="AH81" i="71"/>
  <c r="AG81" i="71"/>
  <c r="AF81" i="71"/>
  <c r="AE81" i="71"/>
  <c r="AD81" i="71"/>
  <c r="AC81" i="71"/>
  <c r="AB81" i="71"/>
  <c r="AA81" i="71"/>
  <c r="Z81" i="71"/>
  <c r="Y81" i="71"/>
  <c r="X81" i="71"/>
  <c r="W81" i="71"/>
  <c r="V81" i="71"/>
  <c r="U81" i="71"/>
  <c r="T81" i="71"/>
  <c r="S81" i="71"/>
  <c r="R81" i="71"/>
  <c r="Q81" i="71"/>
  <c r="M81" i="71"/>
  <c r="L81" i="71"/>
  <c r="K81" i="71"/>
  <c r="J81" i="71"/>
  <c r="I81" i="71"/>
  <c r="H81" i="71"/>
  <c r="G81" i="71"/>
  <c r="F81" i="71"/>
  <c r="E81" i="71"/>
  <c r="D81" i="71"/>
  <c r="C81" i="71"/>
  <c r="AI80" i="71"/>
  <c r="AH80" i="71"/>
  <c r="AG80" i="71"/>
  <c r="AF80" i="71"/>
  <c r="AE80" i="71"/>
  <c r="AD80" i="71"/>
  <c r="AC80" i="71"/>
  <c r="AB80" i="71"/>
  <c r="AA80" i="71"/>
  <c r="Z80" i="71"/>
  <c r="Y80" i="71"/>
  <c r="X80" i="71"/>
  <c r="W80" i="71"/>
  <c r="V80" i="71"/>
  <c r="U80" i="71"/>
  <c r="T80" i="71"/>
  <c r="S80" i="71"/>
  <c r="R80" i="71"/>
  <c r="Q80" i="71"/>
  <c r="M80" i="71"/>
  <c r="L80" i="71"/>
  <c r="K80" i="71"/>
  <c r="J80" i="71"/>
  <c r="I80" i="71"/>
  <c r="H80" i="71"/>
  <c r="G80" i="71"/>
  <c r="F80" i="71"/>
  <c r="E80" i="71"/>
  <c r="D80" i="71"/>
  <c r="C80" i="71"/>
  <c r="AI79" i="71"/>
  <c r="AH79" i="71"/>
  <c r="AG79" i="71"/>
  <c r="AF79" i="71"/>
  <c r="AE79" i="71"/>
  <c r="AD79" i="71"/>
  <c r="AC79" i="71"/>
  <c r="AB79" i="71"/>
  <c r="AA79" i="71"/>
  <c r="Z79" i="71"/>
  <c r="Y79" i="71"/>
  <c r="X79" i="71"/>
  <c r="W79" i="71"/>
  <c r="V79" i="71"/>
  <c r="U79" i="71"/>
  <c r="T79" i="71"/>
  <c r="S79" i="71"/>
  <c r="R79" i="71"/>
  <c r="Q79" i="71"/>
  <c r="M79" i="71"/>
  <c r="L79" i="71"/>
  <c r="K79" i="71"/>
  <c r="J79" i="71"/>
  <c r="I79" i="71"/>
  <c r="H79" i="71"/>
  <c r="G79" i="71"/>
  <c r="F79" i="71"/>
  <c r="E79" i="71"/>
  <c r="D79" i="71"/>
  <c r="C79" i="71"/>
  <c r="AI78" i="71"/>
  <c r="AH78" i="71"/>
  <c r="AG78" i="71"/>
  <c r="AF78" i="71"/>
  <c r="AE78" i="71"/>
  <c r="AD78" i="71"/>
  <c r="AC78" i="71"/>
  <c r="AB78" i="71"/>
  <c r="AA78" i="71"/>
  <c r="Z78" i="71"/>
  <c r="Y78" i="71"/>
  <c r="X78" i="71"/>
  <c r="W78" i="71"/>
  <c r="V78" i="71"/>
  <c r="U78" i="71"/>
  <c r="T78" i="71"/>
  <c r="S78" i="71"/>
  <c r="R78" i="71"/>
  <c r="Q78" i="71"/>
  <c r="M78" i="71"/>
  <c r="L78" i="71"/>
  <c r="K78" i="71"/>
  <c r="J78" i="71"/>
  <c r="I78" i="71"/>
  <c r="H78" i="71"/>
  <c r="G78" i="71"/>
  <c r="F78" i="71"/>
  <c r="E78" i="71"/>
  <c r="D78" i="71"/>
  <c r="C78" i="71"/>
  <c r="AI77" i="71"/>
  <c r="AH77" i="71"/>
  <c r="AG77" i="71"/>
  <c r="AF77" i="71"/>
  <c r="AE77" i="71"/>
  <c r="AD77" i="71"/>
  <c r="AC77" i="71"/>
  <c r="AB77" i="71"/>
  <c r="AA77" i="71"/>
  <c r="Z77" i="71"/>
  <c r="Y77" i="71"/>
  <c r="X77" i="71"/>
  <c r="W77" i="71"/>
  <c r="V77" i="71"/>
  <c r="U77" i="71"/>
  <c r="T77" i="71"/>
  <c r="S77" i="71"/>
  <c r="R77" i="71"/>
  <c r="Q77" i="71"/>
  <c r="M77" i="71"/>
  <c r="L77" i="71"/>
  <c r="K77" i="71"/>
  <c r="J77" i="71"/>
  <c r="I77" i="71"/>
  <c r="H77" i="71"/>
  <c r="G77" i="71"/>
  <c r="F77" i="71"/>
  <c r="E77" i="71"/>
  <c r="D77" i="71"/>
  <c r="C77" i="71"/>
  <c r="AI76" i="71"/>
  <c r="AH76" i="71"/>
  <c r="AG76" i="71"/>
  <c r="AF76" i="71"/>
  <c r="AE76" i="71"/>
  <c r="AD76" i="71"/>
  <c r="AC76" i="71"/>
  <c r="AB76" i="71"/>
  <c r="AA76" i="71"/>
  <c r="Z76" i="71"/>
  <c r="Y76" i="71"/>
  <c r="X76" i="71"/>
  <c r="W76" i="71"/>
  <c r="V76" i="71"/>
  <c r="U76" i="71"/>
  <c r="T76" i="71"/>
  <c r="S76" i="71"/>
  <c r="R76" i="71"/>
  <c r="Q76" i="71"/>
  <c r="M76" i="71"/>
  <c r="L76" i="71"/>
  <c r="K76" i="71"/>
  <c r="J76" i="71"/>
  <c r="I76" i="71"/>
  <c r="H76" i="71"/>
  <c r="G76" i="71"/>
  <c r="F76" i="71"/>
  <c r="E76" i="71"/>
  <c r="D76" i="71"/>
  <c r="C76" i="71"/>
  <c r="AI75" i="71"/>
  <c r="AH75" i="71"/>
  <c r="AG75" i="71"/>
  <c r="AF75" i="71"/>
  <c r="AE75" i="71"/>
  <c r="AD75" i="71"/>
  <c r="AC75" i="71"/>
  <c r="AB75" i="71"/>
  <c r="AA75" i="71"/>
  <c r="Z75" i="71"/>
  <c r="Y75" i="71"/>
  <c r="X75" i="71"/>
  <c r="W75" i="71"/>
  <c r="V75" i="71"/>
  <c r="U75" i="71"/>
  <c r="T75" i="71"/>
  <c r="S75" i="71"/>
  <c r="R75" i="71"/>
  <c r="Q75" i="71"/>
  <c r="M75" i="71"/>
  <c r="L75" i="71"/>
  <c r="K75" i="71"/>
  <c r="J75" i="71"/>
  <c r="I75" i="71"/>
  <c r="H75" i="71"/>
  <c r="G75" i="71"/>
  <c r="F75" i="71"/>
  <c r="E75" i="71"/>
  <c r="D75" i="71"/>
  <c r="C75" i="71"/>
  <c r="AI74" i="71"/>
  <c r="AH74" i="71"/>
  <c r="AG74" i="71"/>
  <c r="AF74" i="71"/>
  <c r="AE74" i="71"/>
  <c r="AD74" i="71"/>
  <c r="AC74" i="71"/>
  <c r="AB74" i="71"/>
  <c r="AA74" i="71"/>
  <c r="Z74" i="71"/>
  <c r="Y74" i="71"/>
  <c r="X74" i="71"/>
  <c r="W74" i="71"/>
  <c r="V74" i="71"/>
  <c r="U74" i="71"/>
  <c r="T74" i="71"/>
  <c r="S74" i="71"/>
  <c r="R74" i="71"/>
  <c r="Q74" i="71"/>
  <c r="M74" i="71"/>
  <c r="L74" i="71"/>
  <c r="K74" i="71"/>
  <c r="J74" i="71"/>
  <c r="I74" i="71"/>
  <c r="H74" i="71"/>
  <c r="G74" i="71"/>
  <c r="F74" i="71"/>
  <c r="E74" i="71"/>
  <c r="D74" i="71"/>
  <c r="C74" i="71"/>
  <c r="AI73" i="71"/>
  <c r="AH73" i="71"/>
  <c r="AG73" i="71"/>
  <c r="AF73" i="71"/>
  <c r="AE73" i="71"/>
  <c r="AD73" i="71"/>
  <c r="AC73" i="71"/>
  <c r="AB73" i="71"/>
  <c r="AA73" i="71"/>
  <c r="Z73" i="71"/>
  <c r="Y73" i="71"/>
  <c r="X73" i="71"/>
  <c r="W73" i="71"/>
  <c r="V73" i="71"/>
  <c r="U73" i="71"/>
  <c r="T73" i="71"/>
  <c r="S73" i="71"/>
  <c r="R73" i="71"/>
  <c r="Q73" i="71"/>
  <c r="M73" i="71"/>
  <c r="L73" i="71"/>
  <c r="K73" i="71"/>
  <c r="J73" i="71"/>
  <c r="I73" i="71"/>
  <c r="H73" i="71"/>
  <c r="G73" i="71"/>
  <c r="F73" i="71"/>
  <c r="E73" i="71"/>
  <c r="D73" i="71"/>
  <c r="C73" i="71"/>
  <c r="AI72" i="71"/>
  <c r="AH72" i="71"/>
  <c r="AG72" i="71"/>
  <c r="AF72" i="71"/>
  <c r="AE72" i="71"/>
  <c r="AD72" i="71"/>
  <c r="AC72" i="71"/>
  <c r="AB72" i="71"/>
  <c r="AA72" i="71"/>
  <c r="Z72" i="71"/>
  <c r="Y72" i="71"/>
  <c r="X72" i="71"/>
  <c r="W72" i="71"/>
  <c r="V72" i="71"/>
  <c r="U72" i="71"/>
  <c r="T72" i="71"/>
  <c r="S72" i="71"/>
  <c r="R72" i="71"/>
  <c r="Q72" i="71"/>
  <c r="M72" i="71"/>
  <c r="L72" i="71"/>
  <c r="K72" i="71"/>
  <c r="J72" i="71"/>
  <c r="I72" i="71"/>
  <c r="H72" i="71"/>
  <c r="G72" i="71"/>
  <c r="F72" i="71"/>
  <c r="E72" i="71"/>
  <c r="D72" i="71"/>
  <c r="C72" i="71"/>
  <c r="AI71" i="71"/>
  <c r="AH71" i="71"/>
  <c r="AG71" i="71"/>
  <c r="AF71" i="71"/>
  <c r="AE71" i="71"/>
  <c r="AD71" i="71"/>
  <c r="AC71" i="71"/>
  <c r="AB71" i="71"/>
  <c r="AA71" i="71"/>
  <c r="Z71" i="71"/>
  <c r="Y71" i="71"/>
  <c r="X71" i="71"/>
  <c r="W71" i="71"/>
  <c r="V71" i="71"/>
  <c r="U71" i="71"/>
  <c r="T71" i="71"/>
  <c r="S71" i="71"/>
  <c r="R71" i="71"/>
  <c r="Q71" i="71"/>
  <c r="M71" i="71"/>
  <c r="L71" i="71"/>
  <c r="K71" i="71"/>
  <c r="J71" i="71"/>
  <c r="I71" i="71"/>
  <c r="H71" i="71"/>
  <c r="G71" i="71"/>
  <c r="F71" i="71"/>
  <c r="E71" i="71"/>
  <c r="D71" i="71"/>
  <c r="C71" i="71"/>
  <c r="AI70" i="71"/>
  <c r="AH70" i="71"/>
  <c r="AG70" i="71"/>
  <c r="AF70" i="71"/>
  <c r="AE70" i="71"/>
  <c r="AD70" i="71"/>
  <c r="AC70" i="71"/>
  <c r="AB70" i="71"/>
  <c r="AA70" i="71"/>
  <c r="Z70" i="71"/>
  <c r="Y70" i="71"/>
  <c r="X70" i="71"/>
  <c r="W70" i="71"/>
  <c r="V70" i="71"/>
  <c r="U70" i="71"/>
  <c r="T70" i="71"/>
  <c r="S70" i="71"/>
  <c r="R70" i="71"/>
  <c r="Q70" i="71"/>
  <c r="M70" i="71"/>
  <c r="L70" i="71"/>
  <c r="K70" i="71"/>
  <c r="J70" i="71"/>
  <c r="I70" i="71"/>
  <c r="H70" i="71"/>
  <c r="G70" i="71"/>
  <c r="F70" i="71"/>
  <c r="E70" i="71"/>
  <c r="D70" i="71"/>
  <c r="C70" i="71"/>
  <c r="AI69" i="71"/>
  <c r="AH69" i="71"/>
  <c r="AG69" i="71"/>
  <c r="AF69" i="71"/>
  <c r="AE69" i="71"/>
  <c r="AD69" i="71"/>
  <c r="AC69" i="71"/>
  <c r="AB69" i="71"/>
  <c r="AA69" i="71"/>
  <c r="Z69" i="71"/>
  <c r="Y69" i="71"/>
  <c r="X69" i="71"/>
  <c r="W69" i="71"/>
  <c r="AI68" i="71"/>
  <c r="AH68" i="71"/>
  <c r="AG68" i="71"/>
  <c r="AF68" i="71"/>
  <c r="AE68" i="71"/>
  <c r="AD68" i="71"/>
  <c r="AC68" i="71"/>
  <c r="AB68" i="71"/>
  <c r="AA68" i="71"/>
  <c r="Z68" i="71"/>
  <c r="Y68" i="71"/>
  <c r="X68" i="71"/>
  <c r="W68" i="71"/>
  <c r="V68" i="71"/>
  <c r="U68" i="71"/>
  <c r="T68" i="71"/>
  <c r="S68" i="71"/>
  <c r="R68" i="71"/>
  <c r="Q68" i="71"/>
  <c r="M68" i="71"/>
  <c r="L68" i="71"/>
  <c r="K68" i="71"/>
  <c r="J68" i="71"/>
  <c r="I68" i="71"/>
  <c r="H68" i="71"/>
  <c r="G68" i="71"/>
  <c r="F68" i="71"/>
  <c r="E68" i="71"/>
  <c r="D68" i="71"/>
  <c r="C68" i="71"/>
  <c r="AI67" i="71"/>
  <c r="AH67" i="71"/>
  <c r="AG67" i="71"/>
  <c r="AF67" i="71"/>
  <c r="AE67" i="71"/>
  <c r="AD67" i="71"/>
  <c r="AC67" i="71"/>
  <c r="AB67" i="71"/>
  <c r="AA67" i="71"/>
  <c r="Z67" i="71"/>
  <c r="Y67" i="71"/>
  <c r="X67" i="71"/>
  <c r="W67" i="71"/>
  <c r="V67" i="71"/>
  <c r="U67" i="71"/>
  <c r="T67" i="71"/>
  <c r="S67" i="71"/>
  <c r="R67" i="71"/>
  <c r="Q67" i="71"/>
  <c r="M67" i="71"/>
  <c r="L67" i="71"/>
  <c r="K67" i="71"/>
  <c r="J67" i="71"/>
  <c r="I67" i="71"/>
  <c r="H67" i="71"/>
  <c r="G67" i="71"/>
  <c r="F67" i="71"/>
  <c r="E67" i="71"/>
  <c r="D67" i="71"/>
  <c r="C67" i="71"/>
  <c r="AI66" i="71"/>
  <c r="AH66" i="71"/>
  <c r="AG66" i="71"/>
  <c r="AF66" i="71"/>
  <c r="AE66" i="71"/>
  <c r="AD66" i="71"/>
  <c r="AC66" i="71"/>
  <c r="AB66" i="71"/>
  <c r="AA66" i="71"/>
  <c r="Z66" i="71"/>
  <c r="Y66" i="71"/>
  <c r="X66" i="71"/>
  <c r="W66" i="71"/>
  <c r="V66" i="71"/>
  <c r="U66" i="71"/>
  <c r="T66" i="71"/>
  <c r="S66" i="71"/>
  <c r="R66" i="71"/>
  <c r="Q66" i="71"/>
  <c r="M66" i="71"/>
  <c r="L66" i="71"/>
  <c r="K66" i="71"/>
  <c r="J66" i="71"/>
  <c r="I66" i="71"/>
  <c r="H66" i="71"/>
  <c r="G66" i="71"/>
  <c r="F66" i="71"/>
  <c r="E66" i="71"/>
  <c r="D66" i="71"/>
  <c r="C66" i="71"/>
  <c r="AI65" i="71"/>
  <c r="AH65" i="71"/>
  <c r="AG65" i="71"/>
  <c r="AF65" i="71"/>
  <c r="AE65" i="71"/>
  <c r="AD65" i="71"/>
  <c r="AC65" i="71"/>
  <c r="AB65" i="71"/>
  <c r="AA65" i="71"/>
  <c r="Z65" i="71"/>
  <c r="Y65" i="71"/>
  <c r="X65" i="71"/>
  <c r="W65" i="71"/>
  <c r="V65" i="71"/>
  <c r="U65" i="71"/>
  <c r="T65" i="71"/>
  <c r="S65" i="71"/>
  <c r="R65" i="71"/>
  <c r="Q65" i="71"/>
  <c r="M65" i="71"/>
  <c r="L65" i="71"/>
  <c r="K65" i="71"/>
  <c r="J65" i="71"/>
  <c r="I65" i="71"/>
  <c r="H65" i="71"/>
  <c r="G65" i="71"/>
  <c r="F65" i="71"/>
  <c r="E65" i="71"/>
  <c r="D65" i="71"/>
  <c r="C65" i="71"/>
  <c r="AI64" i="71"/>
  <c r="AH64" i="71"/>
  <c r="AG64" i="71"/>
  <c r="AF64" i="71"/>
  <c r="AE64" i="71"/>
  <c r="AD64" i="71"/>
  <c r="AC64" i="71"/>
  <c r="AB64" i="71"/>
  <c r="AA64" i="71"/>
  <c r="Z64" i="71"/>
  <c r="Y64" i="71"/>
  <c r="X64" i="71"/>
  <c r="W64" i="71"/>
  <c r="V64" i="71"/>
  <c r="U64" i="71"/>
  <c r="T64" i="71"/>
  <c r="S64" i="71"/>
  <c r="R64" i="71"/>
  <c r="Q64" i="71"/>
  <c r="M64" i="71"/>
  <c r="L64" i="71"/>
  <c r="K64" i="71"/>
  <c r="J64" i="71"/>
  <c r="I64" i="71"/>
  <c r="H64" i="71"/>
  <c r="G64" i="71"/>
  <c r="F64" i="71"/>
  <c r="E64" i="71"/>
  <c r="D64" i="71"/>
  <c r="C64" i="71"/>
  <c r="AI61" i="71"/>
  <c r="AH61" i="71"/>
  <c r="AG61" i="71"/>
  <c r="AF61" i="71"/>
  <c r="AE61" i="71"/>
  <c r="AD61" i="71"/>
  <c r="AC61" i="71"/>
  <c r="AB61" i="71"/>
  <c r="AA61" i="71"/>
  <c r="Z61" i="71"/>
  <c r="Y61" i="71"/>
  <c r="X61" i="71"/>
  <c r="W61" i="71"/>
  <c r="V61" i="71"/>
  <c r="U61" i="71"/>
  <c r="T61" i="71"/>
  <c r="S61" i="71"/>
  <c r="R61" i="71"/>
  <c r="Q61" i="71"/>
  <c r="P61" i="71"/>
  <c r="O61" i="71"/>
  <c r="N61" i="71"/>
  <c r="M61" i="71"/>
  <c r="L61" i="71"/>
  <c r="K61" i="71"/>
  <c r="J61" i="71"/>
  <c r="I61" i="71"/>
  <c r="H61" i="71"/>
  <c r="G61" i="71"/>
  <c r="F61" i="71"/>
  <c r="E61" i="71"/>
  <c r="D61" i="71"/>
  <c r="C61" i="71"/>
  <c r="AI32" i="71"/>
  <c r="AH32" i="71"/>
  <c r="AG32" i="71"/>
  <c r="AF32" i="71"/>
  <c r="AE32" i="71"/>
  <c r="AD32" i="71"/>
  <c r="AC32" i="71"/>
  <c r="AB32" i="71"/>
  <c r="AA32" i="71"/>
  <c r="Z32" i="71"/>
  <c r="Y32" i="71"/>
  <c r="X32" i="71"/>
  <c r="W32" i="71"/>
  <c r="V32" i="71"/>
  <c r="U32" i="71"/>
  <c r="T32" i="71"/>
  <c r="S32" i="71"/>
  <c r="R32" i="71"/>
  <c r="Q32" i="71"/>
  <c r="P32" i="71"/>
  <c r="O32" i="71"/>
  <c r="N32" i="71"/>
  <c r="M32" i="71"/>
  <c r="L32" i="71"/>
  <c r="K32" i="71"/>
  <c r="J32" i="71"/>
  <c r="I32" i="71"/>
  <c r="H32" i="71"/>
  <c r="G32" i="71"/>
  <c r="F32" i="71"/>
  <c r="E32" i="71"/>
  <c r="D32" i="71"/>
  <c r="C32" i="71"/>
  <c r="AH23" i="53"/>
  <c r="AG23" i="53"/>
  <c r="AF23" i="53"/>
  <c r="AE23" i="53"/>
  <c r="AC23" i="53"/>
  <c r="AB23" i="53"/>
  <c r="AA23" i="53"/>
  <c r="X23" i="53"/>
  <c r="W23" i="53"/>
  <c r="V23" i="53"/>
  <c r="U23" i="53"/>
  <c r="T23" i="53"/>
  <c r="S23" i="53"/>
  <c r="R23" i="53"/>
  <c r="Q23" i="53"/>
  <c r="P23" i="53"/>
  <c r="O23" i="53"/>
  <c r="N23" i="53"/>
  <c r="M23" i="53"/>
  <c r="L23" i="53"/>
  <c r="K23" i="53"/>
  <c r="J23" i="53"/>
  <c r="I23" i="53"/>
  <c r="H23" i="53"/>
  <c r="G23" i="53"/>
  <c r="F23" i="53"/>
  <c r="E23" i="53"/>
  <c r="D23" i="53"/>
  <c r="C23" i="53"/>
  <c r="AD22" i="53"/>
  <c r="AD24" i="53" s="1"/>
  <c r="Z22" i="53"/>
  <c r="Z24" i="53" s="1"/>
  <c r="Y22" i="53"/>
  <c r="Y24" i="53" s="1"/>
  <c r="AH21" i="53"/>
  <c r="AG21" i="53"/>
  <c r="AF21" i="53"/>
  <c r="AE21" i="53"/>
  <c r="AC21" i="53"/>
  <c r="AB21" i="53"/>
  <c r="AA21" i="53"/>
  <c r="X21" i="53"/>
  <c r="W21" i="53"/>
  <c r="V21" i="53"/>
  <c r="U21" i="53"/>
  <c r="T21" i="53"/>
  <c r="S21" i="53"/>
  <c r="R21" i="53"/>
  <c r="Q21" i="53"/>
  <c r="P21" i="53"/>
  <c r="O21" i="53"/>
  <c r="N21" i="53"/>
  <c r="M21" i="53"/>
  <c r="L21" i="53"/>
  <c r="K21" i="53"/>
  <c r="J21" i="53"/>
  <c r="I21" i="53"/>
  <c r="H21" i="53"/>
  <c r="G21" i="53"/>
  <c r="F21" i="53"/>
  <c r="E21" i="53"/>
  <c r="D21" i="53"/>
  <c r="C21" i="53"/>
  <c r="AH20" i="53"/>
  <c r="AG20" i="53"/>
  <c r="AF20" i="53"/>
  <c r="AE20" i="53"/>
  <c r="AC20" i="53"/>
  <c r="AB20" i="53"/>
  <c r="AA20" i="53"/>
  <c r="X20" i="53"/>
  <c r="W20" i="53"/>
  <c r="V20" i="53"/>
  <c r="U20" i="53"/>
  <c r="T20" i="53"/>
  <c r="S20" i="53"/>
  <c r="R20" i="53"/>
  <c r="Q20" i="53"/>
  <c r="P20" i="53"/>
  <c r="O20" i="53"/>
  <c r="N20" i="53"/>
  <c r="M20" i="53"/>
  <c r="L20" i="53"/>
  <c r="K20" i="53"/>
  <c r="J20" i="53"/>
  <c r="I20" i="53"/>
  <c r="H20" i="53"/>
  <c r="G20" i="53"/>
  <c r="F20" i="53"/>
  <c r="E20" i="53"/>
  <c r="D20" i="53"/>
  <c r="C20" i="53"/>
  <c r="AH15" i="53"/>
  <c r="AH17" i="53" s="1"/>
  <c r="AG15" i="53"/>
  <c r="AG17" i="53" s="1"/>
  <c r="AF15" i="53"/>
  <c r="AF17" i="53" s="1"/>
  <c r="AE15" i="53"/>
  <c r="AE17" i="53" s="1"/>
  <c r="AD15" i="53"/>
  <c r="AD17" i="53" s="1"/>
  <c r="AC15" i="53"/>
  <c r="AC17" i="53" s="1"/>
  <c r="AB15" i="53"/>
  <c r="AB17" i="53" s="1"/>
  <c r="AA15" i="53"/>
  <c r="AA17" i="53" s="1"/>
  <c r="Z15" i="53"/>
  <c r="Z17" i="53" s="1"/>
  <c r="Y15" i="53"/>
  <c r="Y17" i="53" s="1"/>
  <c r="X15" i="53"/>
  <c r="X17" i="53" s="1"/>
  <c r="W15" i="53"/>
  <c r="W17" i="53" s="1"/>
  <c r="V15" i="53"/>
  <c r="V17" i="53" s="1"/>
  <c r="U15" i="53"/>
  <c r="U17" i="53" s="1"/>
  <c r="T15" i="53"/>
  <c r="T17" i="53" s="1"/>
  <c r="S15" i="53"/>
  <c r="S17" i="53" s="1"/>
  <c r="R15" i="53"/>
  <c r="R17" i="53" s="1"/>
  <c r="Q15" i="53"/>
  <c r="Q17" i="53" s="1"/>
  <c r="P15" i="53"/>
  <c r="P17" i="53" s="1"/>
  <c r="O15" i="53"/>
  <c r="O17" i="53" s="1"/>
  <c r="N15" i="53"/>
  <c r="N17" i="53" s="1"/>
  <c r="M15" i="53"/>
  <c r="M17" i="53" s="1"/>
  <c r="L15" i="53"/>
  <c r="L17" i="53" s="1"/>
  <c r="K15" i="53"/>
  <c r="K17" i="53" s="1"/>
  <c r="J15" i="53"/>
  <c r="J17" i="53" s="1"/>
  <c r="I15" i="53"/>
  <c r="I17" i="53" s="1"/>
  <c r="H15" i="53"/>
  <c r="H17" i="53" s="1"/>
  <c r="G15" i="53"/>
  <c r="G17" i="53" s="1"/>
  <c r="F15" i="53"/>
  <c r="F17" i="53" s="1"/>
  <c r="E15" i="53"/>
  <c r="E17" i="53" s="1"/>
  <c r="D15" i="53"/>
  <c r="D17" i="53" s="1"/>
  <c r="C15" i="53"/>
  <c r="C17" i="53" s="1"/>
  <c r="AJ23" i="53"/>
  <c r="AI8" i="53"/>
  <c r="AH8" i="53"/>
  <c r="AH10" i="53" s="1"/>
  <c r="AG8" i="53"/>
  <c r="AG10" i="53" s="1"/>
  <c r="AF8" i="53"/>
  <c r="AF10" i="53" s="1"/>
  <c r="AE8" i="53"/>
  <c r="AE10" i="53" s="1"/>
  <c r="AD8" i="53"/>
  <c r="AD10" i="53" s="1"/>
  <c r="AC8" i="53"/>
  <c r="AC10" i="53" s="1"/>
  <c r="AB8" i="53"/>
  <c r="AB10" i="53" s="1"/>
  <c r="AA8" i="53"/>
  <c r="AA10" i="53" s="1"/>
  <c r="Z8" i="53"/>
  <c r="Z10" i="53" s="1"/>
  <c r="Y8" i="53"/>
  <c r="Y10" i="53" s="1"/>
  <c r="X8" i="53"/>
  <c r="X10" i="53" s="1"/>
  <c r="W8" i="53"/>
  <c r="W10" i="53" s="1"/>
  <c r="V8" i="53"/>
  <c r="V10" i="53" s="1"/>
  <c r="U8" i="53"/>
  <c r="U10" i="53" s="1"/>
  <c r="T8" i="53"/>
  <c r="T10" i="53" s="1"/>
  <c r="S8" i="53"/>
  <c r="S10" i="53" s="1"/>
  <c r="R8" i="53"/>
  <c r="R10" i="53" s="1"/>
  <c r="Q8" i="53"/>
  <c r="Q10" i="53" s="1"/>
  <c r="P8" i="53"/>
  <c r="P10" i="53" s="1"/>
  <c r="O8" i="53"/>
  <c r="O10" i="53" s="1"/>
  <c r="N8" i="53"/>
  <c r="N10" i="53" s="1"/>
  <c r="M8" i="53"/>
  <c r="M10" i="53" s="1"/>
  <c r="L8" i="53"/>
  <c r="L10" i="53" s="1"/>
  <c r="K8" i="53"/>
  <c r="K10" i="53" s="1"/>
  <c r="J8" i="53"/>
  <c r="J10" i="53" s="1"/>
  <c r="I8" i="53"/>
  <c r="I10" i="53" s="1"/>
  <c r="H8" i="53"/>
  <c r="H10" i="53" s="1"/>
  <c r="G8" i="53"/>
  <c r="G10" i="53" s="1"/>
  <c r="F8" i="53"/>
  <c r="F10" i="53" s="1"/>
  <c r="E8" i="53"/>
  <c r="E10" i="53" s="1"/>
  <c r="D8" i="53"/>
  <c r="D10" i="53" s="1"/>
  <c r="C8" i="53"/>
  <c r="C10" i="53" s="1"/>
  <c r="AJ21" i="53"/>
  <c r="AH50" i="52"/>
  <c r="AG50" i="52"/>
  <c r="AF50" i="52"/>
  <c r="AE50" i="52"/>
  <c r="AD50" i="52"/>
  <c r="AC50" i="52"/>
  <c r="AB50" i="52"/>
  <c r="AA50" i="52"/>
  <c r="Z50" i="52"/>
  <c r="X50" i="52"/>
  <c r="W50" i="52"/>
  <c r="V50" i="52"/>
  <c r="U50" i="52"/>
  <c r="T50" i="52"/>
  <c r="S50" i="52"/>
  <c r="R50" i="52"/>
  <c r="Q50" i="52"/>
  <c r="P50" i="52"/>
  <c r="O50" i="52"/>
  <c r="N50" i="52"/>
  <c r="M50" i="52"/>
  <c r="L50" i="52"/>
  <c r="K50" i="52"/>
  <c r="J50" i="52"/>
  <c r="I50" i="52"/>
  <c r="H50" i="52"/>
  <c r="G50" i="52"/>
  <c r="F50" i="52"/>
  <c r="E50" i="52"/>
  <c r="D50" i="52"/>
  <c r="C50" i="52"/>
  <c r="AH49" i="52"/>
  <c r="AG49" i="52"/>
  <c r="AF49" i="52"/>
  <c r="AE49" i="52"/>
  <c r="AD49" i="52"/>
  <c r="AB49" i="52"/>
  <c r="AA49" i="52"/>
  <c r="Z49" i="52"/>
  <c r="Y49" i="52"/>
  <c r="X49" i="52"/>
  <c r="W49" i="52"/>
  <c r="V49" i="52"/>
  <c r="U49" i="52"/>
  <c r="T49" i="52"/>
  <c r="S49" i="52"/>
  <c r="R49" i="52"/>
  <c r="Q49" i="52"/>
  <c r="P49" i="52"/>
  <c r="O49" i="52"/>
  <c r="N49" i="52"/>
  <c r="M49" i="52"/>
  <c r="L49" i="52"/>
  <c r="K49" i="52"/>
  <c r="J49" i="52"/>
  <c r="I49" i="52"/>
  <c r="H49" i="52"/>
  <c r="G49" i="52"/>
  <c r="F49" i="52"/>
  <c r="E49" i="52"/>
  <c r="D49" i="52"/>
  <c r="C49" i="52"/>
  <c r="AH48" i="52"/>
  <c r="AG48" i="52"/>
  <c r="AF48" i="52"/>
  <c r="AE48" i="52"/>
  <c r="AD48" i="52"/>
  <c r="AB48" i="52"/>
  <c r="AA48" i="52"/>
  <c r="Z48" i="52"/>
  <c r="Y48" i="52"/>
  <c r="X48" i="52"/>
  <c r="W48" i="52"/>
  <c r="V48" i="52"/>
  <c r="U48" i="52"/>
  <c r="T48" i="52"/>
  <c r="S48" i="52"/>
  <c r="R48" i="52"/>
  <c r="Q48" i="52"/>
  <c r="P48" i="52"/>
  <c r="O48" i="52"/>
  <c r="N48" i="52"/>
  <c r="M48" i="52"/>
  <c r="L48" i="52"/>
  <c r="K48" i="52"/>
  <c r="J48" i="52"/>
  <c r="I48" i="52"/>
  <c r="H48" i="52"/>
  <c r="G48" i="52"/>
  <c r="F48" i="52"/>
  <c r="E48" i="52"/>
  <c r="D48" i="52"/>
  <c r="C48" i="52"/>
  <c r="AH46" i="52"/>
  <c r="AG46" i="52"/>
  <c r="AF46" i="52"/>
  <c r="AE46" i="52"/>
  <c r="AD46" i="52"/>
  <c r="AC46" i="52"/>
  <c r="AB46" i="52"/>
  <c r="AA46" i="52"/>
  <c r="Z46" i="52"/>
  <c r="X46" i="52"/>
  <c r="W46" i="52"/>
  <c r="V46" i="52"/>
  <c r="U46" i="52"/>
  <c r="T46" i="52"/>
  <c r="S46" i="52"/>
  <c r="R46" i="52"/>
  <c r="Q46" i="52"/>
  <c r="P46" i="52"/>
  <c r="O46" i="52"/>
  <c r="N46" i="52"/>
  <c r="M46" i="52"/>
  <c r="L46" i="52"/>
  <c r="K46" i="52"/>
  <c r="J46" i="52"/>
  <c r="I46" i="52"/>
  <c r="H46" i="52"/>
  <c r="G46" i="52"/>
  <c r="F46" i="52"/>
  <c r="E46" i="52"/>
  <c r="D46" i="52"/>
  <c r="C46" i="52"/>
  <c r="AH45" i="52"/>
  <c r="AG45" i="52"/>
  <c r="AF45" i="52"/>
  <c r="AE45" i="52"/>
  <c r="AD45" i="52"/>
  <c r="AB45" i="52"/>
  <c r="AA45" i="52"/>
  <c r="Z45" i="52"/>
  <c r="Y45" i="52"/>
  <c r="X45" i="52"/>
  <c r="W45" i="52"/>
  <c r="V45" i="52"/>
  <c r="U45" i="52"/>
  <c r="T45" i="52"/>
  <c r="S45" i="52"/>
  <c r="R45" i="52"/>
  <c r="Q45" i="52"/>
  <c r="P45" i="52"/>
  <c r="O45" i="52"/>
  <c r="N45" i="52"/>
  <c r="M45" i="52"/>
  <c r="L45" i="52"/>
  <c r="K45" i="52"/>
  <c r="J45" i="52"/>
  <c r="I45" i="52"/>
  <c r="H45" i="52"/>
  <c r="G45" i="52"/>
  <c r="F45" i="52"/>
  <c r="E45" i="52"/>
  <c r="D45" i="52"/>
  <c r="C45" i="52"/>
  <c r="AH43" i="52"/>
  <c r="AG43" i="52"/>
  <c r="AF43" i="52"/>
  <c r="AE43" i="52"/>
  <c r="AD43" i="52"/>
  <c r="AB43" i="52"/>
  <c r="AA43" i="52"/>
  <c r="Z43" i="52"/>
  <c r="AH42" i="52"/>
  <c r="AG42" i="52"/>
  <c r="AF42" i="52"/>
  <c r="AE42" i="52"/>
  <c r="AD42" i="52"/>
  <c r="AB42" i="52"/>
  <c r="AA42" i="52"/>
  <c r="Z42" i="52"/>
  <c r="Y42" i="52"/>
  <c r="X42" i="52"/>
  <c r="W42" i="52"/>
  <c r="V42" i="52"/>
  <c r="U42" i="52"/>
  <c r="T42" i="52"/>
  <c r="S42" i="52"/>
  <c r="R42" i="52"/>
  <c r="Q42" i="52"/>
  <c r="P42" i="52"/>
  <c r="O42" i="52"/>
  <c r="N42" i="52"/>
  <c r="M42" i="52"/>
  <c r="L42" i="52"/>
  <c r="K42" i="52"/>
  <c r="J42" i="52"/>
  <c r="I42" i="52"/>
  <c r="H42" i="52"/>
  <c r="G42" i="52"/>
  <c r="F42" i="52"/>
  <c r="E42" i="52"/>
  <c r="D42" i="52"/>
  <c r="C42" i="52"/>
  <c r="AH41" i="52"/>
  <c r="AG41" i="52"/>
  <c r="AF41" i="52"/>
  <c r="AE41" i="52"/>
  <c r="AD41" i="52"/>
  <c r="AB41" i="52"/>
  <c r="AA41" i="52"/>
  <c r="Z41" i="52"/>
  <c r="Y41" i="52"/>
  <c r="X41" i="52"/>
  <c r="W41" i="52"/>
  <c r="V41" i="52"/>
  <c r="U41" i="52"/>
  <c r="T41" i="52"/>
  <c r="S41" i="52"/>
  <c r="R41" i="52"/>
  <c r="Q41" i="52"/>
  <c r="P41" i="52"/>
  <c r="O41" i="52"/>
  <c r="N41" i="52"/>
  <c r="M41" i="52"/>
  <c r="L41" i="52"/>
  <c r="K41" i="52"/>
  <c r="J41" i="52"/>
  <c r="I41" i="52"/>
  <c r="H41" i="52"/>
  <c r="G41" i="52"/>
  <c r="F41" i="52"/>
  <c r="E41" i="52"/>
  <c r="D41" i="52"/>
  <c r="C41" i="52"/>
  <c r="AH47" i="52"/>
  <c r="AG47" i="52"/>
  <c r="AF47" i="52"/>
  <c r="AE47" i="52"/>
  <c r="AD47" i="52"/>
  <c r="AB47" i="52"/>
  <c r="AA47" i="52"/>
  <c r="Z47" i="52"/>
  <c r="Y47" i="52"/>
  <c r="X47" i="52"/>
  <c r="W47" i="52"/>
  <c r="V47" i="52"/>
  <c r="U47" i="52"/>
  <c r="T47" i="52"/>
  <c r="S47" i="52"/>
  <c r="R47" i="52"/>
  <c r="Q47" i="52"/>
  <c r="P47" i="52"/>
  <c r="O47" i="52"/>
  <c r="N47" i="52"/>
  <c r="M47" i="52"/>
  <c r="L47" i="52"/>
  <c r="K47" i="52"/>
  <c r="J47" i="52"/>
  <c r="I47" i="52"/>
  <c r="H47" i="52"/>
  <c r="G47" i="52"/>
  <c r="F47" i="52"/>
  <c r="E47" i="52"/>
  <c r="D47" i="52"/>
  <c r="C47" i="52"/>
  <c r="AH40" i="52"/>
  <c r="AG40" i="52"/>
  <c r="AF40" i="52"/>
  <c r="AE40" i="52"/>
  <c r="AD40" i="52"/>
  <c r="AB40" i="52"/>
  <c r="AA40" i="52"/>
  <c r="Z40" i="52"/>
  <c r="Y40" i="52"/>
  <c r="X40" i="52"/>
  <c r="W40" i="52"/>
  <c r="V40" i="52"/>
  <c r="U40" i="52"/>
  <c r="T40" i="52"/>
  <c r="S40" i="52"/>
  <c r="R40" i="52"/>
  <c r="Q40" i="52"/>
  <c r="P40" i="52"/>
  <c r="O40" i="52"/>
  <c r="N40" i="52"/>
  <c r="M40" i="52"/>
  <c r="L40" i="52"/>
  <c r="K40" i="52"/>
  <c r="J40" i="52"/>
  <c r="I40" i="52"/>
  <c r="H40" i="52"/>
  <c r="G40" i="52"/>
  <c r="F40" i="52"/>
  <c r="E40" i="52"/>
  <c r="D40" i="52"/>
  <c r="C40" i="52"/>
  <c r="AH39" i="52"/>
  <c r="AG39" i="52"/>
  <c r="AF39" i="52"/>
  <c r="AE39" i="52"/>
  <c r="AD39" i="52"/>
  <c r="AB39" i="52"/>
  <c r="AA39" i="52"/>
  <c r="Z39" i="52"/>
  <c r="Y39" i="52"/>
  <c r="X39" i="52"/>
  <c r="W39" i="52"/>
  <c r="V39" i="52"/>
  <c r="U39" i="52"/>
  <c r="T39" i="52"/>
  <c r="S39" i="52"/>
  <c r="R39" i="52"/>
  <c r="Q39" i="52"/>
  <c r="P39" i="52"/>
  <c r="O39" i="52"/>
  <c r="N39" i="52"/>
  <c r="M39" i="52"/>
  <c r="L39" i="52"/>
  <c r="K39" i="52"/>
  <c r="J39" i="52"/>
  <c r="I39" i="52"/>
  <c r="H39" i="52"/>
  <c r="G39" i="52"/>
  <c r="F39" i="52"/>
  <c r="E39" i="52"/>
  <c r="D39" i="52"/>
  <c r="C39" i="52"/>
  <c r="AH38" i="52"/>
  <c r="AG38" i="52"/>
  <c r="AF38" i="52"/>
  <c r="AE38" i="52"/>
  <c r="AD38" i="52"/>
  <c r="AB38" i="52"/>
  <c r="AA38" i="52"/>
  <c r="Z38" i="52"/>
  <c r="Y38" i="52"/>
  <c r="X38" i="52"/>
  <c r="W38" i="52"/>
  <c r="V38" i="52"/>
  <c r="U38" i="52"/>
  <c r="T38" i="52"/>
  <c r="S38" i="52"/>
  <c r="R38" i="52"/>
  <c r="Q38" i="52"/>
  <c r="P38" i="52"/>
  <c r="O38" i="52"/>
  <c r="N38" i="52"/>
  <c r="M38" i="52"/>
  <c r="L38" i="52"/>
  <c r="K38" i="52"/>
  <c r="J38" i="52"/>
  <c r="I38" i="52"/>
  <c r="H38" i="52"/>
  <c r="G38" i="52"/>
  <c r="F38" i="52"/>
  <c r="E38" i="52"/>
  <c r="D38" i="52"/>
  <c r="C38" i="52"/>
  <c r="AI35" i="52"/>
  <c r="AH35" i="52"/>
  <c r="AG35" i="52"/>
  <c r="AF35" i="52"/>
  <c r="AE35" i="52"/>
  <c r="AD35" i="52"/>
  <c r="AC35" i="52"/>
  <c r="AB35" i="52"/>
  <c r="AA35" i="52"/>
  <c r="Z35" i="52"/>
  <c r="Y35" i="52"/>
  <c r="X35" i="52"/>
  <c r="W35" i="52"/>
  <c r="V35" i="52"/>
  <c r="U35" i="52"/>
  <c r="T35" i="52"/>
  <c r="S35" i="52"/>
  <c r="R35" i="52"/>
  <c r="Q35" i="52"/>
  <c r="P35" i="52"/>
  <c r="O35" i="52"/>
  <c r="N35" i="52"/>
  <c r="M35" i="52"/>
  <c r="L35" i="52"/>
  <c r="K35" i="52"/>
  <c r="J35" i="52"/>
  <c r="I35" i="52"/>
  <c r="H35" i="52"/>
  <c r="G35" i="52"/>
  <c r="F35" i="52"/>
  <c r="E35" i="52"/>
  <c r="D35" i="52"/>
  <c r="C35" i="52"/>
  <c r="AI19" i="52"/>
  <c r="AH19" i="52"/>
  <c r="AG19" i="52"/>
  <c r="AF19" i="52"/>
  <c r="AE19" i="52"/>
  <c r="AD19" i="52"/>
  <c r="AC19" i="52"/>
  <c r="AB19" i="52"/>
  <c r="AA19" i="52"/>
  <c r="Z19" i="52"/>
  <c r="Y19" i="52"/>
  <c r="X19" i="52"/>
  <c r="W19" i="52"/>
  <c r="V19" i="52"/>
  <c r="U19" i="52"/>
  <c r="T19" i="52"/>
  <c r="S19" i="52"/>
  <c r="R19" i="52"/>
  <c r="Q19" i="52"/>
  <c r="P19" i="52"/>
  <c r="O19" i="52"/>
  <c r="N19" i="52"/>
  <c r="M19" i="52"/>
  <c r="L19" i="52"/>
  <c r="K19" i="52"/>
  <c r="J19" i="52"/>
  <c r="I19" i="52"/>
  <c r="H19" i="52"/>
  <c r="G19" i="52"/>
  <c r="F19" i="52"/>
  <c r="E19" i="52"/>
  <c r="D19" i="52"/>
  <c r="C19" i="52"/>
  <c r="Z57" i="49"/>
  <c r="Y57" i="49"/>
  <c r="Q57" i="49"/>
  <c r="C42" i="49"/>
  <c r="AD39" i="49"/>
  <c r="AC39" i="49"/>
  <c r="AB39" i="49"/>
  <c r="AA39" i="49"/>
  <c r="Z39" i="49"/>
  <c r="Y39" i="49"/>
  <c r="X39" i="49"/>
  <c r="W39" i="49"/>
  <c r="V39" i="49"/>
  <c r="U39" i="49"/>
  <c r="T39" i="49"/>
  <c r="S39" i="49"/>
  <c r="R39" i="49"/>
  <c r="Q39" i="49"/>
  <c r="P39" i="49"/>
  <c r="O39" i="49"/>
  <c r="N39" i="49"/>
  <c r="M39" i="49"/>
  <c r="L39" i="49"/>
  <c r="K39" i="49"/>
  <c r="J39" i="49"/>
  <c r="I39" i="49"/>
  <c r="H39" i="49"/>
  <c r="G39" i="49"/>
  <c r="F39" i="49"/>
  <c r="E39" i="49"/>
  <c r="D39" i="49"/>
  <c r="C39" i="49"/>
  <c r="AI21" i="49"/>
  <c r="AI57" i="49" s="1"/>
  <c r="AH21" i="49"/>
  <c r="AG21" i="49"/>
  <c r="AD21" i="49"/>
  <c r="AC21" i="49"/>
  <c r="AB21" i="49"/>
  <c r="AA21" i="49"/>
  <c r="Z21" i="49"/>
  <c r="Y21" i="49"/>
  <c r="X21" i="49"/>
  <c r="W21" i="49"/>
  <c r="W22" i="49" s="1"/>
  <c r="V21" i="49"/>
  <c r="U21" i="49"/>
  <c r="T21" i="49"/>
  <c r="S21" i="49"/>
  <c r="R21" i="49"/>
  <c r="Q21" i="49"/>
  <c r="Q22" i="49" s="1"/>
  <c r="P21" i="49"/>
  <c r="O21" i="49"/>
  <c r="N21" i="49"/>
  <c r="M21" i="49"/>
  <c r="L21" i="49"/>
  <c r="K21" i="49"/>
  <c r="J21" i="49"/>
  <c r="I21" i="49"/>
  <c r="H21" i="49"/>
  <c r="G21" i="49"/>
  <c r="F21" i="49"/>
  <c r="E21" i="49"/>
  <c r="D21" i="49"/>
  <c r="C21" i="49"/>
  <c r="AJ29" i="48"/>
  <c r="AI29" i="48"/>
  <c r="AH29" i="48"/>
  <c r="AG29" i="48"/>
  <c r="AF29" i="48"/>
  <c r="AE29" i="48"/>
  <c r="AD29" i="48"/>
  <c r="AC29" i="48"/>
  <c r="AB29" i="48"/>
  <c r="AA29" i="48"/>
  <c r="Z29" i="48"/>
  <c r="Y29" i="48"/>
  <c r="X29" i="48"/>
  <c r="W29" i="48"/>
  <c r="V29" i="48"/>
  <c r="U29" i="48"/>
  <c r="T29" i="48"/>
  <c r="S29" i="48"/>
  <c r="R29" i="48"/>
  <c r="Q29" i="48"/>
  <c r="P29" i="48"/>
  <c r="O29" i="48"/>
  <c r="N29" i="48"/>
  <c r="M29" i="48"/>
  <c r="L29" i="48"/>
  <c r="K29" i="48"/>
  <c r="J29" i="48"/>
  <c r="I29" i="48"/>
  <c r="H29" i="48"/>
  <c r="G29" i="48"/>
  <c r="F29" i="48"/>
  <c r="E29" i="48"/>
  <c r="D29" i="48"/>
  <c r="C29" i="48"/>
  <c r="AJ24" i="48"/>
  <c r="AI24" i="48"/>
  <c r="AH24" i="48"/>
  <c r="AG24" i="48"/>
  <c r="AF24" i="48"/>
  <c r="AE24" i="48"/>
  <c r="AD24" i="48"/>
  <c r="AC24" i="48"/>
  <c r="AB24" i="48"/>
  <c r="AA24" i="48"/>
  <c r="Z24" i="48"/>
  <c r="Y24" i="48"/>
  <c r="X24" i="48"/>
  <c r="W24" i="48"/>
  <c r="V24" i="48"/>
  <c r="U24" i="48"/>
  <c r="T24" i="48"/>
  <c r="S24" i="48"/>
  <c r="R24" i="48"/>
  <c r="Q24" i="48"/>
  <c r="P24" i="48"/>
  <c r="O24" i="48"/>
  <c r="N24" i="48"/>
  <c r="M24" i="48"/>
  <c r="L24" i="48"/>
  <c r="K24" i="48"/>
  <c r="J24" i="48"/>
  <c r="I24" i="48"/>
  <c r="H24" i="48"/>
  <c r="G24" i="48"/>
  <c r="F24" i="48"/>
  <c r="E24" i="48"/>
  <c r="D24" i="48"/>
  <c r="C24" i="48"/>
  <c r="M24" i="72"/>
  <c r="AE8" i="72"/>
  <c r="AE21" i="72" s="1"/>
  <c r="AD8" i="72"/>
  <c r="AD21" i="72" s="1"/>
  <c r="AC8" i="72"/>
  <c r="AC21" i="72" s="1"/>
  <c r="AC24" i="72" s="1"/>
  <c r="AB8" i="72"/>
  <c r="AB21" i="72" s="1"/>
  <c r="AB24" i="72" s="1"/>
  <c r="AA8" i="72"/>
  <c r="AA21" i="72" s="1"/>
  <c r="AA24" i="72" s="1"/>
  <c r="Z8" i="72"/>
  <c r="Z21" i="72" s="1"/>
  <c r="Z24" i="72" s="1"/>
  <c r="Y8" i="72"/>
  <c r="Y21" i="72" s="1"/>
  <c r="Y24" i="72" s="1"/>
  <c r="X8" i="72"/>
  <c r="X21" i="72" s="1"/>
  <c r="X24" i="72" s="1"/>
  <c r="W8" i="72"/>
  <c r="W21" i="72" s="1"/>
  <c r="W24" i="72" s="1"/>
  <c r="V8" i="72"/>
  <c r="V21" i="72" s="1"/>
  <c r="V24" i="72" s="1"/>
  <c r="U8" i="72"/>
  <c r="U21" i="72" s="1"/>
  <c r="U24" i="72" s="1"/>
  <c r="T8" i="72"/>
  <c r="T21" i="72" s="1"/>
  <c r="T24" i="72" s="1"/>
  <c r="S8" i="72"/>
  <c r="S21" i="72" s="1"/>
  <c r="S24" i="72" s="1"/>
  <c r="R8" i="72"/>
  <c r="R21" i="72" s="1"/>
  <c r="R24" i="72" s="1"/>
  <c r="Q8" i="72"/>
  <c r="Q21" i="72" s="1"/>
  <c r="Q24" i="72" s="1"/>
  <c r="P8" i="72"/>
  <c r="P21" i="72" s="1"/>
  <c r="P24" i="72" s="1"/>
  <c r="O8" i="72"/>
  <c r="O21" i="72" s="1"/>
  <c r="O24" i="72" s="1"/>
  <c r="N8" i="72"/>
  <c r="N21" i="72" s="1"/>
  <c r="N24" i="72" s="1"/>
  <c r="M8" i="72"/>
  <c r="L8" i="72"/>
  <c r="L21" i="72" s="1"/>
  <c r="L24" i="72" s="1"/>
  <c r="K8" i="72"/>
  <c r="K21" i="72" s="1"/>
  <c r="K24" i="72" s="1"/>
  <c r="J8" i="72"/>
  <c r="J21" i="72" s="1"/>
  <c r="J24" i="72" s="1"/>
  <c r="I8" i="72"/>
  <c r="I21" i="72" s="1"/>
  <c r="I24" i="72" s="1"/>
  <c r="H8" i="72"/>
  <c r="H21" i="72" s="1"/>
  <c r="H24" i="72" s="1"/>
  <c r="G8" i="72"/>
  <c r="G21" i="72" s="1"/>
  <c r="G24" i="72" s="1"/>
  <c r="F8" i="72"/>
  <c r="F21" i="72" s="1"/>
  <c r="F24" i="72" s="1"/>
  <c r="E8" i="72"/>
  <c r="E21" i="72" s="1"/>
  <c r="E24" i="72" s="1"/>
  <c r="D8" i="72"/>
  <c r="D21" i="72" s="1"/>
  <c r="D24" i="72" s="1"/>
  <c r="C8" i="72"/>
  <c r="C21" i="72" s="1"/>
  <c r="C24" i="72" s="1"/>
  <c r="AF8" i="72"/>
  <c r="AL112" i="46"/>
  <c r="AK112" i="46"/>
  <c r="AJ112" i="46"/>
  <c r="AI112" i="46"/>
  <c r="AH112" i="46"/>
  <c r="AG112" i="46"/>
  <c r="AE112" i="46"/>
  <c r="AD112" i="46"/>
  <c r="AB112" i="46"/>
  <c r="AA112" i="46"/>
  <c r="Z112" i="46"/>
  <c r="Y112" i="46"/>
  <c r="X112" i="46"/>
  <c r="W112" i="46"/>
  <c r="V112" i="46"/>
  <c r="U112" i="46"/>
  <c r="T112" i="46"/>
  <c r="AL111" i="46"/>
  <c r="AK111" i="46"/>
  <c r="AJ111" i="46"/>
  <c r="AI111" i="46"/>
  <c r="AH111" i="46"/>
  <c r="AG111" i="46"/>
  <c r="AE111" i="46"/>
  <c r="AD111" i="46"/>
  <c r="AB111" i="46"/>
  <c r="AA111" i="46"/>
  <c r="Z111" i="46"/>
  <c r="Y111" i="46"/>
  <c r="X111" i="46"/>
  <c r="W111" i="46"/>
  <c r="V111" i="46"/>
  <c r="U111" i="46"/>
  <c r="T111" i="46"/>
  <c r="AL110" i="46"/>
  <c r="AK110" i="46"/>
  <c r="AJ110" i="46"/>
  <c r="AI110" i="46"/>
  <c r="AH110" i="46"/>
  <c r="AG110" i="46"/>
  <c r="AE110" i="46"/>
  <c r="AD110" i="46"/>
  <c r="AB110" i="46"/>
  <c r="AA110" i="46"/>
  <c r="Z110" i="46"/>
  <c r="Y110" i="46"/>
  <c r="X110" i="46"/>
  <c r="W110" i="46"/>
  <c r="V110" i="46"/>
  <c r="U110" i="46"/>
  <c r="T110" i="46"/>
  <c r="S110" i="46"/>
  <c r="R110" i="46"/>
  <c r="Q110" i="46"/>
  <c r="P110" i="46"/>
  <c r="O110" i="46"/>
  <c r="N110" i="46"/>
  <c r="M110" i="46"/>
  <c r="L110" i="46"/>
  <c r="K110" i="46"/>
  <c r="J110" i="46"/>
  <c r="I110" i="46"/>
  <c r="H110" i="46"/>
  <c r="G110" i="46"/>
  <c r="F110" i="46"/>
  <c r="E110" i="46"/>
  <c r="D110" i="46"/>
  <c r="C110" i="46"/>
  <c r="AN109" i="46"/>
  <c r="AL109" i="46"/>
  <c r="AA109" i="46"/>
  <c r="Z109" i="46"/>
  <c r="Y109" i="46"/>
  <c r="X109" i="46"/>
  <c r="W109" i="46"/>
  <c r="AN108" i="46"/>
  <c r="AL108" i="46"/>
  <c r="AI108" i="46"/>
  <c r="AG108" i="46"/>
  <c r="AE108" i="46"/>
  <c r="AD108" i="46"/>
  <c r="AA108" i="46"/>
  <c r="Z108" i="46"/>
  <c r="W108" i="46"/>
  <c r="U108" i="46"/>
  <c r="T108" i="46"/>
  <c r="S108" i="46"/>
  <c r="AL107" i="46"/>
  <c r="AK107" i="46"/>
  <c r="AJ107" i="46"/>
  <c r="AI107" i="46"/>
  <c r="AH107" i="46"/>
  <c r="AG107" i="46"/>
  <c r="AE107" i="46"/>
  <c r="AD107" i="46"/>
  <c r="AB107" i="46"/>
  <c r="AA107" i="46"/>
  <c r="Z107" i="46"/>
  <c r="Y107" i="46"/>
  <c r="X107" i="46"/>
  <c r="V107" i="46"/>
  <c r="U107" i="46"/>
  <c r="T107" i="46"/>
  <c r="S107" i="46"/>
  <c r="S106" i="46"/>
  <c r="S103" i="46"/>
  <c r="S90" i="46"/>
  <c r="S112" i="46" s="1"/>
  <c r="AN111" i="46"/>
  <c r="S88" i="46"/>
  <c r="W83" i="46"/>
  <c r="W107" i="46" s="1"/>
  <c r="AL77" i="46"/>
  <c r="AK77" i="46"/>
  <c r="AJ77" i="46"/>
  <c r="AI77" i="46"/>
  <c r="AE77" i="46"/>
  <c r="AA77" i="46"/>
  <c r="Z77" i="46"/>
  <c r="Y77" i="46"/>
  <c r="X77" i="46"/>
  <c r="V77" i="46"/>
  <c r="Q77" i="46"/>
  <c r="P77" i="46"/>
  <c r="O77" i="46"/>
  <c r="N77" i="46"/>
  <c r="M77" i="46"/>
  <c r="J77" i="46"/>
  <c r="AL76" i="46"/>
  <c r="AK76" i="46"/>
  <c r="AJ76" i="46"/>
  <c r="AI76" i="46"/>
  <c r="AE76" i="46"/>
  <c r="AA76" i="46"/>
  <c r="Z76" i="46"/>
  <c r="Y76" i="46"/>
  <c r="X76" i="46"/>
  <c r="V76" i="46"/>
  <c r="Q76" i="46"/>
  <c r="P76" i="46"/>
  <c r="O76" i="46"/>
  <c r="N76" i="46"/>
  <c r="M76" i="46"/>
  <c r="J76" i="46"/>
  <c r="AL75" i="46"/>
  <c r="AK75" i="46"/>
  <c r="AJ75" i="46"/>
  <c r="AI75" i="46"/>
  <c r="AE75" i="46"/>
  <c r="AA75" i="46"/>
  <c r="Z75" i="46"/>
  <c r="Y75" i="46"/>
  <c r="X75" i="46"/>
  <c r="V75" i="46"/>
  <c r="Q75" i="46"/>
  <c r="P75" i="46"/>
  <c r="O75" i="46"/>
  <c r="N75" i="46"/>
  <c r="M75" i="46"/>
  <c r="J75" i="46"/>
  <c r="AL72" i="46"/>
  <c r="AK72" i="46"/>
  <c r="AJ72" i="46"/>
  <c r="AI72" i="46"/>
  <c r="AH72" i="46"/>
  <c r="AG72" i="46"/>
  <c r="AF72" i="46"/>
  <c r="AE72" i="46"/>
  <c r="AD72" i="46"/>
  <c r="AC72" i="46"/>
  <c r="AB72" i="46"/>
  <c r="AA72" i="46"/>
  <c r="Z72" i="46"/>
  <c r="Y72" i="46"/>
  <c r="X72" i="46"/>
  <c r="W72" i="46"/>
  <c r="V72" i="46"/>
  <c r="U72" i="46"/>
  <c r="T72" i="46"/>
  <c r="S72" i="46"/>
  <c r="R72" i="46"/>
  <c r="Q72" i="46"/>
  <c r="P72" i="46"/>
  <c r="O72" i="46"/>
  <c r="N72" i="46"/>
  <c r="M72" i="46"/>
  <c r="J72" i="46"/>
  <c r="AL66" i="46"/>
  <c r="AK66" i="46"/>
  <c r="AJ66" i="46"/>
  <c r="AI66" i="46"/>
  <c r="AH66" i="46"/>
  <c r="AG66" i="46"/>
  <c r="AF66" i="46"/>
  <c r="AE66" i="46"/>
  <c r="AD66" i="46"/>
  <c r="AC66" i="46"/>
  <c r="AB66" i="46"/>
  <c r="AA66" i="46"/>
  <c r="Z66" i="46"/>
  <c r="Y66" i="46"/>
  <c r="X66" i="46"/>
  <c r="W66" i="46"/>
  <c r="V66" i="46"/>
  <c r="U66" i="46"/>
  <c r="T66" i="46"/>
  <c r="S66" i="46"/>
  <c r="R66" i="46"/>
  <c r="Q66" i="46"/>
  <c r="P66" i="46"/>
  <c r="O66" i="46"/>
  <c r="N66" i="46"/>
  <c r="M66" i="46"/>
  <c r="L66" i="46"/>
  <c r="K66" i="46"/>
  <c r="J66" i="46"/>
  <c r="AN75" i="46"/>
  <c r="AJ58" i="46"/>
  <c r="AI58" i="46"/>
  <c r="AG58" i="46"/>
  <c r="AA58" i="46"/>
  <c r="Z58" i="46"/>
  <c r="Y58" i="46"/>
  <c r="X58" i="46"/>
  <c r="V58" i="46"/>
  <c r="Q58" i="46"/>
  <c r="P58" i="46"/>
  <c r="O58" i="46"/>
  <c r="N58" i="46"/>
  <c r="M58" i="46"/>
  <c r="L58" i="46"/>
  <c r="K58" i="46"/>
  <c r="J58" i="46"/>
  <c r="AJ57" i="46"/>
  <c r="AI57" i="46"/>
  <c r="AG57" i="46"/>
  <c r="AA57" i="46"/>
  <c r="Z57" i="46"/>
  <c r="Y57" i="46"/>
  <c r="X57" i="46"/>
  <c r="V57" i="46"/>
  <c r="Q57" i="46"/>
  <c r="P57" i="46"/>
  <c r="O57" i="46"/>
  <c r="N57" i="46"/>
  <c r="M57" i="46"/>
  <c r="L57" i="46"/>
  <c r="K57" i="46"/>
  <c r="J57" i="46"/>
  <c r="AJ56" i="46"/>
  <c r="AI56" i="46"/>
  <c r="AG56" i="46"/>
  <c r="AA56" i="46"/>
  <c r="Z56" i="46"/>
  <c r="Y56" i="46"/>
  <c r="X56" i="46"/>
  <c r="V56" i="46"/>
  <c r="Q56" i="46"/>
  <c r="P56" i="46"/>
  <c r="O56" i="46"/>
  <c r="N56" i="46"/>
  <c r="M56" i="46"/>
  <c r="L56" i="46"/>
  <c r="K56" i="46"/>
  <c r="J56" i="46"/>
  <c r="AL53" i="46"/>
  <c r="AK53" i="46"/>
  <c r="AJ53" i="46"/>
  <c r="AI53" i="46"/>
  <c r="AH53" i="46"/>
  <c r="AG53" i="46"/>
  <c r="AF53" i="46"/>
  <c r="AE53" i="46"/>
  <c r="AD53" i="46"/>
  <c r="AC53" i="46"/>
  <c r="AB53" i="46"/>
  <c r="AA53" i="46"/>
  <c r="Z53" i="46"/>
  <c r="Y53" i="46"/>
  <c r="X53" i="46"/>
  <c r="W53" i="46"/>
  <c r="V53" i="46"/>
  <c r="U53" i="46"/>
  <c r="T53" i="46"/>
  <c r="S53" i="46"/>
  <c r="R53" i="46"/>
  <c r="Q53" i="46"/>
  <c r="P53" i="46"/>
  <c r="O53" i="46"/>
  <c r="N53" i="46"/>
  <c r="M53" i="46"/>
  <c r="L53" i="46"/>
  <c r="K53" i="46"/>
  <c r="J53" i="46"/>
  <c r="AL47" i="46"/>
  <c r="AK47" i="46"/>
  <c r="AJ47" i="46"/>
  <c r="AI47" i="46"/>
  <c r="AH47" i="46"/>
  <c r="AG47" i="46"/>
  <c r="AF47" i="46"/>
  <c r="AE47" i="46"/>
  <c r="AD47" i="46"/>
  <c r="AC47" i="46"/>
  <c r="AB47" i="46"/>
  <c r="AA47" i="46"/>
  <c r="Z47" i="46"/>
  <c r="Y47" i="46"/>
  <c r="X47" i="46"/>
  <c r="W47" i="46"/>
  <c r="V47" i="46"/>
  <c r="U47" i="46"/>
  <c r="T47" i="46"/>
  <c r="S47" i="46"/>
  <c r="R47" i="46"/>
  <c r="Q47" i="46"/>
  <c r="P47" i="46"/>
  <c r="O47" i="46"/>
  <c r="N47" i="46"/>
  <c r="M47" i="46"/>
  <c r="L47" i="46"/>
  <c r="K47" i="46"/>
  <c r="J47" i="46"/>
  <c r="AL39" i="46"/>
  <c r="AK39" i="46"/>
  <c r="AJ39" i="46"/>
  <c r="AI39" i="46"/>
  <c r="AH39" i="46"/>
  <c r="AG39" i="46"/>
  <c r="AA39" i="46"/>
  <c r="Z39" i="46"/>
  <c r="Y39" i="46"/>
  <c r="X39" i="46"/>
  <c r="V39" i="46"/>
  <c r="T39" i="46"/>
  <c r="S39" i="46"/>
  <c r="R39" i="46"/>
  <c r="Q39" i="46"/>
  <c r="P39" i="46"/>
  <c r="O39" i="46"/>
  <c r="N39" i="46"/>
  <c r="M39" i="46"/>
  <c r="L39" i="46"/>
  <c r="K39" i="46"/>
  <c r="J39" i="46"/>
  <c r="AL38" i="46"/>
  <c r="AK38" i="46"/>
  <c r="AJ38" i="46"/>
  <c r="AI38" i="46"/>
  <c r="AH38" i="46"/>
  <c r="AG38" i="46"/>
  <c r="AA38" i="46"/>
  <c r="Z38" i="46"/>
  <c r="X38" i="46"/>
  <c r="V38" i="46"/>
  <c r="T38" i="46"/>
  <c r="S38" i="46"/>
  <c r="R38" i="46"/>
  <c r="Q38" i="46"/>
  <c r="P38" i="46"/>
  <c r="O38" i="46"/>
  <c r="N38" i="46"/>
  <c r="M38" i="46"/>
  <c r="L38" i="46"/>
  <c r="K38" i="46"/>
  <c r="J38" i="46"/>
  <c r="AL37" i="46"/>
  <c r="AK37" i="46"/>
  <c r="AJ37" i="46"/>
  <c r="AI37" i="46"/>
  <c r="AH37" i="46"/>
  <c r="AG37" i="46"/>
  <c r="AA37" i="46"/>
  <c r="Z37" i="46"/>
  <c r="Y37" i="46"/>
  <c r="X37" i="46"/>
  <c r="V37" i="46"/>
  <c r="T37" i="46"/>
  <c r="S37" i="46"/>
  <c r="R37" i="46"/>
  <c r="Q37" i="46"/>
  <c r="P37" i="46"/>
  <c r="O37" i="46"/>
  <c r="N37" i="46"/>
  <c r="M37" i="46"/>
  <c r="L37" i="46"/>
  <c r="K37" i="46"/>
  <c r="J37" i="46"/>
  <c r="AL34" i="46"/>
  <c r="AK34" i="46"/>
  <c r="AJ34" i="46"/>
  <c r="AI34" i="46"/>
  <c r="AH34" i="46"/>
  <c r="AG34" i="46"/>
  <c r="AF34" i="46"/>
  <c r="AE34" i="46"/>
  <c r="AD34" i="46"/>
  <c r="AC34" i="46"/>
  <c r="AB34" i="46"/>
  <c r="AA34" i="46"/>
  <c r="Z34" i="46"/>
  <c r="Y34" i="46"/>
  <c r="X34" i="46"/>
  <c r="W34" i="46"/>
  <c r="V34" i="46"/>
  <c r="U34" i="46"/>
  <c r="T34" i="46"/>
  <c r="S34" i="46"/>
  <c r="R34" i="46"/>
  <c r="Q34" i="46"/>
  <c r="P34" i="46"/>
  <c r="O34" i="46"/>
  <c r="N34" i="46"/>
  <c r="M34" i="46"/>
  <c r="L34" i="46"/>
  <c r="K34" i="46"/>
  <c r="J34" i="46"/>
  <c r="AL28" i="46"/>
  <c r="AK28" i="46"/>
  <c r="AJ28" i="46"/>
  <c r="AI28" i="46"/>
  <c r="AH28" i="46"/>
  <c r="AG28" i="46"/>
  <c r="AF28" i="46"/>
  <c r="AE28" i="46"/>
  <c r="AD28" i="46"/>
  <c r="AC28" i="46"/>
  <c r="AB28" i="46"/>
  <c r="AA28" i="46"/>
  <c r="Z28" i="46"/>
  <c r="Y28" i="46"/>
  <c r="X28" i="46"/>
  <c r="W28" i="46"/>
  <c r="V28" i="46"/>
  <c r="U28" i="46"/>
  <c r="T28" i="46"/>
  <c r="S28" i="46"/>
  <c r="R28" i="46"/>
  <c r="Q28" i="46"/>
  <c r="P28" i="46"/>
  <c r="O28" i="46"/>
  <c r="N28" i="46"/>
  <c r="M28" i="46"/>
  <c r="L28" i="46"/>
  <c r="K28" i="46"/>
  <c r="J28" i="46"/>
  <c r="AN21" i="46"/>
  <c r="AL21" i="46"/>
  <c r="AK21" i="46"/>
  <c r="AJ21" i="46"/>
  <c r="AH21" i="46"/>
  <c r="AC21" i="46"/>
  <c r="AB21" i="46"/>
  <c r="W21" i="46"/>
  <c r="U21" i="46"/>
  <c r="AG20" i="46"/>
  <c r="AF20" i="46"/>
  <c r="AE20" i="46"/>
  <c r="AD20" i="46"/>
  <c r="AA20" i="46"/>
  <c r="Z20" i="46"/>
  <c r="Y20" i="46"/>
  <c r="X20" i="46"/>
  <c r="V20" i="46"/>
  <c r="T20" i="46"/>
  <c r="S20" i="46"/>
  <c r="R20" i="46"/>
  <c r="Q20" i="46"/>
  <c r="P20" i="46"/>
  <c r="O20" i="46"/>
  <c r="N20" i="46"/>
  <c r="M20" i="46"/>
  <c r="L20" i="46"/>
  <c r="K20" i="46"/>
  <c r="J20" i="46"/>
  <c r="I20" i="46"/>
  <c r="H20" i="46"/>
  <c r="G20" i="46"/>
  <c r="F20" i="46"/>
  <c r="E20" i="46"/>
  <c r="D20" i="46"/>
  <c r="C20" i="46"/>
  <c r="AG19" i="46"/>
  <c r="AF19" i="46"/>
  <c r="AE19" i="46"/>
  <c r="AD19" i="46"/>
  <c r="AA19" i="46"/>
  <c r="Z19" i="46"/>
  <c r="Y19" i="46"/>
  <c r="X19" i="46"/>
  <c r="V19" i="46"/>
  <c r="T19" i="46"/>
  <c r="S19" i="46"/>
  <c r="R19" i="46"/>
  <c r="Q19" i="46"/>
  <c r="P19" i="46"/>
  <c r="O19" i="46"/>
  <c r="N19" i="46"/>
  <c r="M19" i="46"/>
  <c r="L19" i="46"/>
  <c r="K19" i="46"/>
  <c r="J19" i="46"/>
  <c r="I19" i="46"/>
  <c r="H19" i="46"/>
  <c r="G19" i="46"/>
  <c r="F19" i="46"/>
  <c r="E19" i="46"/>
  <c r="D19" i="46"/>
  <c r="C19" i="46"/>
  <c r="AG18" i="46"/>
  <c r="AF18" i="46"/>
  <c r="AE18" i="46"/>
  <c r="AD18" i="46"/>
  <c r="AA18" i="46"/>
  <c r="Z18" i="46"/>
  <c r="Y18" i="46"/>
  <c r="X18" i="46"/>
  <c r="V18" i="46"/>
  <c r="T18" i="46"/>
  <c r="S18" i="46"/>
  <c r="R18" i="46"/>
  <c r="Q18" i="46"/>
  <c r="P18" i="46"/>
  <c r="O18" i="46"/>
  <c r="N18" i="46"/>
  <c r="M18" i="46"/>
  <c r="L18" i="46"/>
  <c r="K18" i="46"/>
  <c r="J18" i="46"/>
  <c r="I18" i="46"/>
  <c r="H18" i="46"/>
  <c r="G18" i="46"/>
  <c r="F18" i="46"/>
  <c r="E18" i="46"/>
  <c r="D18" i="46"/>
  <c r="C18" i="46"/>
  <c r="AL15" i="46"/>
  <c r="AK15" i="46"/>
  <c r="AJ15" i="46"/>
  <c r="AI15" i="46"/>
  <c r="AH15" i="46"/>
  <c r="AG15" i="46"/>
  <c r="AF15" i="46"/>
  <c r="AE15" i="46"/>
  <c r="AD15" i="46"/>
  <c r="AC15" i="46"/>
  <c r="AB15" i="46"/>
  <c r="AA15" i="46"/>
  <c r="Z15" i="46"/>
  <c r="Y15" i="46"/>
  <c r="X15" i="46"/>
  <c r="W15" i="46"/>
  <c r="V15" i="46"/>
  <c r="U15" i="46"/>
  <c r="T15" i="46"/>
  <c r="S15" i="46"/>
  <c r="R15" i="46"/>
  <c r="Q15" i="46"/>
  <c r="P15" i="46"/>
  <c r="O15" i="46"/>
  <c r="N15" i="46"/>
  <c r="M15" i="46"/>
  <c r="L15" i="46"/>
  <c r="K15" i="46"/>
  <c r="J15" i="46"/>
  <c r="I15" i="46"/>
  <c r="H15" i="46"/>
  <c r="G15" i="46"/>
  <c r="F15" i="46"/>
  <c r="E15" i="46"/>
  <c r="D15" i="46"/>
  <c r="C15" i="46"/>
  <c r="AL9" i="46"/>
  <c r="AK9" i="46"/>
  <c r="AJ9" i="46"/>
  <c r="AI9" i="46"/>
  <c r="AH9" i="46"/>
  <c r="AG9" i="46"/>
  <c r="AF9" i="46"/>
  <c r="AE9" i="46"/>
  <c r="AD9" i="46"/>
  <c r="AC9" i="46"/>
  <c r="AB9" i="46"/>
  <c r="AA9" i="46"/>
  <c r="Z9" i="46"/>
  <c r="Y9" i="46"/>
  <c r="X9" i="46"/>
  <c r="W9" i="46"/>
  <c r="V9" i="46"/>
  <c r="U9" i="46"/>
  <c r="T9" i="46"/>
  <c r="S9" i="46"/>
  <c r="R9" i="46"/>
  <c r="Q9" i="46"/>
  <c r="P9" i="46"/>
  <c r="O9" i="46"/>
  <c r="N9" i="46"/>
  <c r="M9" i="46"/>
  <c r="L9" i="46"/>
  <c r="K9" i="46"/>
  <c r="J9" i="46"/>
  <c r="I9" i="46"/>
  <c r="H9" i="46"/>
  <c r="G9" i="46"/>
  <c r="F9" i="46"/>
  <c r="E9" i="46"/>
  <c r="D9" i="46"/>
  <c r="C9" i="46"/>
  <c r="AJ33" i="45"/>
  <c r="AB33" i="45"/>
  <c r="AA33" i="45"/>
  <c r="Z33" i="45"/>
  <c r="Y33" i="45"/>
  <c r="X33" i="45"/>
  <c r="W33" i="45"/>
  <c r="R33" i="45"/>
  <c r="AI32" i="45"/>
  <c r="AH32" i="45"/>
  <c r="AG32" i="45"/>
  <c r="AF32" i="45"/>
  <c r="AE32" i="45"/>
  <c r="AD32" i="45"/>
  <c r="AC32" i="45"/>
  <c r="U32" i="45"/>
  <c r="T32" i="45"/>
  <c r="S32" i="45"/>
  <c r="Q32" i="45"/>
  <c r="P32" i="45"/>
  <c r="O32" i="45"/>
  <c r="N32" i="45"/>
  <c r="M32" i="45"/>
  <c r="L32" i="45"/>
  <c r="K32" i="45"/>
  <c r="J32" i="45"/>
  <c r="I32" i="45"/>
  <c r="H32" i="45"/>
  <c r="G32" i="45"/>
  <c r="F32" i="45"/>
  <c r="E32" i="45"/>
  <c r="D32" i="45"/>
  <c r="C32" i="45"/>
  <c r="AI31" i="45"/>
  <c r="AH31" i="45"/>
  <c r="AG31" i="45"/>
  <c r="AF31" i="45"/>
  <c r="AE31" i="45"/>
  <c r="AD31" i="45"/>
  <c r="AC31" i="45"/>
  <c r="V31" i="45"/>
  <c r="U31" i="45"/>
  <c r="T31" i="45"/>
  <c r="S31" i="45"/>
  <c r="Q31" i="45"/>
  <c r="P31" i="45"/>
  <c r="O31" i="45"/>
  <c r="N31" i="45"/>
  <c r="M31" i="45"/>
  <c r="L31" i="45"/>
  <c r="K31" i="45"/>
  <c r="J31" i="45"/>
  <c r="I31" i="45"/>
  <c r="H31" i="45"/>
  <c r="G31" i="45"/>
  <c r="F31" i="45"/>
  <c r="E31" i="45"/>
  <c r="D31" i="45"/>
  <c r="C31" i="45"/>
  <c r="AI30" i="45"/>
  <c r="AH30" i="45"/>
  <c r="AG30" i="45"/>
  <c r="AF30" i="45"/>
  <c r="AE30" i="45"/>
  <c r="AD30" i="45"/>
  <c r="AC30" i="45"/>
  <c r="V30" i="45"/>
  <c r="U30" i="45"/>
  <c r="T30" i="45"/>
  <c r="S30" i="45"/>
  <c r="Q30" i="45"/>
  <c r="P30" i="45"/>
  <c r="O30" i="45"/>
  <c r="N30" i="45"/>
  <c r="M30" i="45"/>
  <c r="L30" i="45"/>
  <c r="K30" i="45"/>
  <c r="J30" i="45"/>
  <c r="I30" i="45"/>
  <c r="H30" i="45"/>
  <c r="G30" i="45"/>
  <c r="F30" i="45"/>
  <c r="E30" i="45"/>
  <c r="D30" i="45"/>
  <c r="C30" i="45"/>
  <c r="AI29" i="45"/>
  <c r="AH29" i="45"/>
  <c r="AG29" i="45"/>
  <c r="AF29" i="45"/>
  <c r="AE29" i="45"/>
  <c r="AD29" i="45"/>
  <c r="AC29" i="45"/>
  <c r="V29" i="45"/>
  <c r="U29" i="45"/>
  <c r="T29" i="45"/>
  <c r="S29" i="45"/>
  <c r="Q29" i="45"/>
  <c r="P29" i="45"/>
  <c r="O29" i="45"/>
  <c r="N29" i="45"/>
  <c r="M29" i="45"/>
  <c r="L29" i="45"/>
  <c r="K29" i="45"/>
  <c r="J29" i="45"/>
  <c r="I29" i="45"/>
  <c r="H29" i="45"/>
  <c r="G29" i="45"/>
  <c r="F29" i="45"/>
  <c r="E29" i="45"/>
  <c r="D29" i="45"/>
  <c r="C29" i="45"/>
  <c r="AI28" i="45"/>
  <c r="AH28" i="45"/>
  <c r="AG28" i="45"/>
  <c r="AF28" i="45"/>
  <c r="AE28" i="45"/>
  <c r="AD28" i="45"/>
  <c r="AC28" i="45"/>
  <c r="V28" i="45"/>
  <c r="U28" i="45"/>
  <c r="T28" i="45"/>
  <c r="S28" i="45"/>
  <c r="Q28" i="45"/>
  <c r="P28" i="45"/>
  <c r="O28" i="45"/>
  <c r="N28" i="45"/>
  <c r="M28" i="45"/>
  <c r="L28" i="45"/>
  <c r="K28" i="45"/>
  <c r="J28" i="45"/>
  <c r="I28" i="45"/>
  <c r="H28" i="45"/>
  <c r="G28" i="45"/>
  <c r="F28" i="45"/>
  <c r="E28" i="45"/>
  <c r="D28" i="45"/>
  <c r="C28" i="45"/>
  <c r="AI27" i="45"/>
  <c r="AH27" i="45"/>
  <c r="AG27" i="45"/>
  <c r="AF27" i="45"/>
  <c r="AE27" i="45"/>
  <c r="AD27" i="45"/>
  <c r="AC27" i="45"/>
  <c r="V27" i="45"/>
  <c r="U27" i="45"/>
  <c r="T27" i="45"/>
  <c r="S27" i="45"/>
  <c r="Q27" i="45"/>
  <c r="P27" i="45"/>
  <c r="O27" i="45"/>
  <c r="N27" i="45"/>
  <c r="M27" i="45"/>
  <c r="L27" i="45"/>
  <c r="K27" i="45"/>
  <c r="J27" i="45"/>
  <c r="I27" i="45"/>
  <c r="H27" i="45"/>
  <c r="G27" i="45"/>
  <c r="F27" i="45"/>
  <c r="E27" i="45"/>
  <c r="D27" i="45"/>
  <c r="C27" i="45"/>
  <c r="AI26" i="45"/>
  <c r="AH26" i="45"/>
  <c r="AG26" i="45"/>
  <c r="AF26" i="45"/>
  <c r="AE26" i="45"/>
  <c r="AD26" i="45"/>
  <c r="AC26" i="45"/>
  <c r="V26" i="45"/>
  <c r="U26" i="45"/>
  <c r="T26" i="45"/>
  <c r="S26" i="45"/>
  <c r="Q26" i="45"/>
  <c r="P26" i="45"/>
  <c r="O26" i="45"/>
  <c r="N26" i="45"/>
  <c r="M26" i="45"/>
  <c r="L26" i="45"/>
  <c r="K26" i="45"/>
  <c r="J26" i="45"/>
  <c r="I26" i="45"/>
  <c r="H26" i="45"/>
  <c r="G26" i="45"/>
  <c r="F26" i="45"/>
  <c r="E26" i="45"/>
  <c r="D26" i="45"/>
  <c r="C26" i="45"/>
  <c r="AJ23" i="45"/>
  <c r="AI23" i="45"/>
  <c r="AH23" i="45"/>
  <c r="AG23" i="45"/>
  <c r="AF23" i="45"/>
  <c r="AE23" i="45"/>
  <c r="AD23" i="45"/>
  <c r="AC23" i="45"/>
  <c r="AB23" i="45"/>
  <c r="AA23" i="45"/>
  <c r="Z23" i="45"/>
  <c r="Y23" i="45"/>
  <c r="X23" i="45"/>
  <c r="W23" i="45"/>
  <c r="V23" i="45"/>
  <c r="U23" i="45"/>
  <c r="T23" i="45"/>
  <c r="S23" i="45"/>
  <c r="R23" i="45"/>
  <c r="Q23" i="45"/>
  <c r="P23" i="45"/>
  <c r="O23" i="45"/>
  <c r="N23" i="45"/>
  <c r="M23" i="45"/>
  <c r="L23" i="45"/>
  <c r="K23" i="45"/>
  <c r="J23" i="45"/>
  <c r="I23" i="45"/>
  <c r="H23" i="45"/>
  <c r="G23" i="45"/>
  <c r="F23" i="45"/>
  <c r="E23" i="45"/>
  <c r="D23" i="45"/>
  <c r="C23" i="45"/>
  <c r="AJ13" i="45"/>
  <c r="AI13" i="45"/>
  <c r="AH13" i="45"/>
  <c r="AG13" i="45"/>
  <c r="AF13" i="45"/>
  <c r="AF14" i="45" s="1"/>
  <c r="AE13" i="45"/>
  <c r="AE14" i="45" s="1"/>
  <c r="AD13" i="45"/>
  <c r="AD14" i="45" s="1"/>
  <c r="AC13" i="45"/>
  <c r="AC14" i="45" s="1"/>
  <c r="AB13" i="45"/>
  <c r="AB14" i="45" s="1"/>
  <c r="AA13" i="45"/>
  <c r="AA14" i="45" s="1"/>
  <c r="Z13" i="45"/>
  <c r="Y13" i="45"/>
  <c r="X13" i="45"/>
  <c r="X14" i="45" s="1"/>
  <c r="W13" i="45"/>
  <c r="W14" i="45" s="1"/>
  <c r="V13" i="45"/>
  <c r="V14" i="45" s="1"/>
  <c r="U13" i="45"/>
  <c r="U14" i="45" s="1"/>
  <c r="T13" i="45"/>
  <c r="T14" i="45" s="1"/>
  <c r="S13" i="45"/>
  <c r="S14" i="45" s="1"/>
  <c r="R13" i="45"/>
  <c r="R14" i="45" s="1"/>
  <c r="Q13" i="45"/>
  <c r="Q14" i="45" s="1"/>
  <c r="P13" i="45"/>
  <c r="P14" i="45" s="1"/>
  <c r="O13" i="45"/>
  <c r="O14" i="45" s="1"/>
  <c r="N13" i="45"/>
  <c r="N14" i="45" s="1"/>
  <c r="M13" i="45"/>
  <c r="M14" i="45" s="1"/>
  <c r="L13" i="45"/>
  <c r="L14" i="45" s="1"/>
  <c r="K13" i="45"/>
  <c r="K14" i="45" s="1"/>
  <c r="J13" i="45"/>
  <c r="J14" i="45" s="1"/>
  <c r="I13" i="45"/>
  <c r="I14" i="45" s="1"/>
  <c r="H13" i="45"/>
  <c r="H14" i="45" s="1"/>
  <c r="G13" i="45"/>
  <c r="G14" i="45" s="1"/>
  <c r="F13" i="45"/>
  <c r="F14" i="45" s="1"/>
  <c r="E13" i="45"/>
  <c r="E14" i="45" s="1"/>
  <c r="D13" i="45"/>
  <c r="D14" i="45" s="1"/>
  <c r="C13" i="45"/>
  <c r="C14" i="45" s="1"/>
  <c r="AK32" i="45"/>
  <c r="AK31" i="45"/>
  <c r="AK28" i="45"/>
  <c r="AK27" i="45"/>
  <c r="AB25" i="44"/>
  <c r="AB32" i="44" s="1"/>
  <c r="AB38" i="44" s="1"/>
  <c r="AK19" i="44"/>
  <c r="AG19" i="44"/>
  <c r="AF19" i="44"/>
  <c r="AE19" i="44"/>
  <c r="AD19" i="44"/>
  <c r="AC19" i="44"/>
  <c r="AB19" i="44"/>
  <c r="AA19" i="44"/>
  <c r="Z19" i="44"/>
  <c r="Y19" i="44"/>
  <c r="X19" i="44"/>
  <c r="W19" i="44"/>
  <c r="V19" i="44"/>
  <c r="U19" i="44"/>
  <c r="T19" i="44"/>
  <c r="S19" i="44"/>
  <c r="R19" i="44"/>
  <c r="Q19" i="44"/>
  <c r="P19" i="44"/>
  <c r="O19" i="44"/>
  <c r="N19" i="44"/>
  <c r="M19" i="44"/>
  <c r="L19" i="44"/>
  <c r="K19" i="44"/>
  <c r="J19" i="44"/>
  <c r="I19" i="44"/>
  <c r="H19" i="44"/>
  <c r="G19" i="44"/>
  <c r="F19" i="44"/>
  <c r="E19" i="44"/>
  <c r="D19" i="44"/>
  <c r="C19" i="44"/>
  <c r="AH15" i="44"/>
  <c r="AG15" i="44"/>
  <c r="AF15" i="44"/>
  <c r="AE15" i="44"/>
  <c r="AD15" i="44"/>
  <c r="AC15" i="44"/>
  <c r="AB15" i="44"/>
  <c r="AA15" i="44"/>
  <c r="Z15" i="44"/>
  <c r="Y15" i="44"/>
  <c r="X15" i="44"/>
  <c r="W15" i="44"/>
  <c r="V15" i="44"/>
  <c r="U15" i="44"/>
  <c r="T15" i="44"/>
  <c r="S15" i="44"/>
  <c r="R15" i="44"/>
  <c r="Q15" i="44"/>
  <c r="P15" i="44"/>
  <c r="O15" i="44"/>
  <c r="N15" i="44"/>
  <c r="M15" i="44"/>
  <c r="L15" i="44"/>
  <c r="K15" i="44"/>
  <c r="J15" i="44"/>
  <c r="I15" i="44"/>
  <c r="H15" i="44"/>
  <c r="G15" i="44"/>
  <c r="F15" i="44"/>
  <c r="E15" i="44"/>
  <c r="D15" i="44"/>
  <c r="C15" i="44"/>
  <c r="AJ12" i="44"/>
  <c r="AJ18" i="44" s="1"/>
  <c r="AI12" i="44"/>
  <c r="AH12" i="44"/>
  <c r="AG12" i="44"/>
  <c r="AF12" i="44"/>
  <c r="AE12" i="44"/>
  <c r="AD12" i="44"/>
  <c r="AC12" i="44"/>
  <c r="AB12" i="44"/>
  <c r="AA12" i="44"/>
  <c r="Z12" i="44"/>
  <c r="Y12" i="44"/>
  <c r="X12" i="44"/>
  <c r="W12" i="44"/>
  <c r="V12" i="44"/>
  <c r="U12" i="44"/>
  <c r="T12" i="44"/>
  <c r="S12" i="44"/>
  <c r="R12" i="44"/>
  <c r="Q12" i="44"/>
  <c r="P12" i="44"/>
  <c r="O12" i="44"/>
  <c r="N12" i="44"/>
  <c r="M12" i="44"/>
  <c r="L12" i="44"/>
  <c r="K12" i="44"/>
  <c r="J12" i="44"/>
  <c r="I12" i="44"/>
  <c r="H12" i="44"/>
  <c r="G12" i="44"/>
  <c r="F12" i="44"/>
  <c r="E12" i="44"/>
  <c r="D12" i="44"/>
  <c r="C12" i="44"/>
  <c r="Y42" i="42"/>
  <c r="M42" i="42"/>
  <c r="Y41" i="42"/>
  <c r="M41" i="42"/>
  <c r="Y40" i="42"/>
  <c r="M40" i="42"/>
  <c r="Y39" i="42"/>
  <c r="M39" i="42"/>
  <c r="Y38" i="42"/>
  <c r="M38" i="42"/>
  <c r="Y37" i="42"/>
  <c r="M37" i="42"/>
  <c r="Y36" i="42"/>
  <c r="M36" i="42"/>
  <c r="Y35" i="42"/>
  <c r="M35" i="42"/>
  <c r="Y34" i="42"/>
  <c r="M34" i="42"/>
  <c r="Y33" i="42"/>
  <c r="M33" i="42"/>
  <c r="Y32" i="42"/>
  <c r="M32" i="42"/>
  <c r="Y31" i="42"/>
  <c r="M31" i="42"/>
  <c r="Y30" i="42"/>
  <c r="M30" i="42"/>
  <c r="Y29" i="42"/>
  <c r="M29" i="42"/>
  <c r="Y27" i="42"/>
  <c r="M27" i="42"/>
  <c r="Y26" i="42"/>
  <c r="M26" i="42"/>
  <c r="Y25" i="42"/>
  <c r="M25" i="42"/>
  <c r="Y24" i="42"/>
  <c r="M24" i="42"/>
  <c r="Y23" i="42"/>
  <c r="M23" i="42"/>
  <c r="Y22" i="42"/>
  <c r="M22" i="42"/>
  <c r="Y21" i="42"/>
  <c r="M21" i="42"/>
  <c r="Y20" i="42"/>
  <c r="M20" i="42"/>
  <c r="Y19" i="42"/>
  <c r="M19" i="42"/>
  <c r="Y18" i="42"/>
  <c r="M18" i="42"/>
  <c r="Y17" i="42"/>
  <c r="M17" i="42"/>
  <c r="Y16" i="42"/>
  <c r="M16" i="42"/>
  <c r="Y15" i="42"/>
  <c r="M15" i="42"/>
  <c r="Y14" i="42"/>
  <c r="M14" i="42"/>
  <c r="Y13" i="42"/>
  <c r="M13" i="42"/>
  <c r="M12" i="42"/>
  <c r="M11" i="42"/>
  <c r="M10" i="42"/>
  <c r="M9" i="42"/>
  <c r="M8" i="42"/>
  <c r="M7" i="42"/>
  <c r="M6" i="42"/>
  <c r="AG62" i="39"/>
  <c r="AE62" i="39"/>
  <c r="AD62" i="39"/>
  <c r="AC62" i="39"/>
  <c r="AB62" i="39"/>
  <c r="AA62" i="39"/>
  <c r="Z62" i="39"/>
  <c r="Y62" i="39"/>
  <c r="X62" i="39"/>
  <c r="W62" i="39"/>
  <c r="V62" i="39"/>
  <c r="U62" i="39"/>
  <c r="T62" i="39"/>
  <c r="AG53" i="39"/>
  <c r="AF53" i="39"/>
  <c r="AE53" i="39"/>
  <c r="AD53" i="39"/>
  <c r="AC53" i="39"/>
  <c r="AB53" i="39"/>
  <c r="AA53" i="39"/>
  <c r="Z53" i="39"/>
  <c r="Y53" i="39"/>
  <c r="X53" i="39"/>
  <c r="W53" i="39"/>
  <c r="V53" i="39"/>
  <c r="U53" i="39"/>
  <c r="T53" i="39"/>
  <c r="AG49" i="39"/>
  <c r="AF49" i="39"/>
  <c r="AE49" i="39"/>
  <c r="AD49" i="39"/>
  <c r="AC49" i="39"/>
  <c r="AB49" i="39"/>
  <c r="AA49" i="39"/>
  <c r="Z49" i="39"/>
  <c r="Y49" i="39"/>
  <c r="X49" i="39"/>
  <c r="W49" i="39"/>
  <c r="V49" i="39"/>
  <c r="U49" i="39"/>
  <c r="T49" i="39"/>
  <c r="AJ40" i="39"/>
  <c r="AI40" i="39"/>
  <c r="AH40" i="39"/>
  <c r="AG40" i="39"/>
  <c r="AF40" i="39"/>
  <c r="AE40" i="39"/>
  <c r="AD40" i="39"/>
  <c r="AC40" i="39"/>
  <c r="AB40" i="39"/>
  <c r="AA40" i="39"/>
  <c r="Z40" i="39"/>
  <c r="Y40" i="39"/>
  <c r="X40" i="39"/>
  <c r="W40" i="39"/>
  <c r="V40" i="39"/>
  <c r="U40" i="39"/>
  <c r="T40" i="39"/>
  <c r="AJ31" i="39"/>
  <c r="AI31" i="39"/>
  <c r="AH31" i="39"/>
  <c r="AG31" i="39"/>
  <c r="AF31" i="39"/>
  <c r="AE31" i="39"/>
  <c r="AD31" i="39"/>
  <c r="AC31" i="39"/>
  <c r="AB31" i="39"/>
  <c r="AA31" i="39"/>
  <c r="Z31" i="39"/>
  <c r="Y31" i="39"/>
  <c r="X31" i="39"/>
  <c r="W31" i="39"/>
  <c r="V31" i="39"/>
  <c r="U31" i="39"/>
  <c r="T31" i="39"/>
  <c r="AJ27" i="39"/>
  <c r="AI27" i="39"/>
  <c r="AH27" i="39"/>
  <c r="AG27" i="39"/>
  <c r="AF27" i="39"/>
  <c r="AE27" i="39"/>
  <c r="AD27" i="39"/>
  <c r="AC27" i="39"/>
  <c r="AB27" i="39"/>
  <c r="AA27" i="39"/>
  <c r="Z27" i="39"/>
  <c r="Y27" i="39"/>
  <c r="X27" i="39"/>
  <c r="W27" i="39"/>
  <c r="V27" i="39"/>
  <c r="U27" i="39"/>
  <c r="T27" i="39"/>
  <c r="AJ18" i="39"/>
  <c r="AI18" i="39"/>
  <c r="AH18" i="39"/>
  <c r="AG18" i="39"/>
  <c r="AF18" i="39"/>
  <c r="AE18" i="39"/>
  <c r="AD18" i="39"/>
  <c r="AC18" i="39"/>
  <c r="AB18" i="39"/>
  <c r="AA18" i="39"/>
  <c r="Z18" i="39"/>
  <c r="Y18" i="39"/>
  <c r="X18" i="39"/>
  <c r="W18" i="39"/>
  <c r="V18" i="39"/>
  <c r="U18" i="39"/>
  <c r="T18" i="39"/>
  <c r="AJ9" i="39"/>
  <c r="AI9" i="39"/>
  <c r="AH9" i="39"/>
  <c r="AG9" i="39"/>
  <c r="AF9" i="39"/>
  <c r="AE9" i="39"/>
  <c r="AD9" i="39"/>
  <c r="AC9" i="39"/>
  <c r="AB9" i="39"/>
  <c r="AA9" i="39"/>
  <c r="Z9" i="39"/>
  <c r="Y9" i="39"/>
  <c r="X9" i="39"/>
  <c r="W9" i="39"/>
  <c r="V9" i="39"/>
  <c r="U9" i="39"/>
  <c r="T9" i="39"/>
  <c r="I432" i="38"/>
  <c r="F432" i="38"/>
  <c r="E432" i="38"/>
  <c r="D432" i="38"/>
  <c r="C432" i="38"/>
  <c r="I425" i="38"/>
  <c r="F425" i="38"/>
  <c r="E425" i="38"/>
  <c r="D425" i="38"/>
  <c r="C425" i="38"/>
  <c r="I418" i="38"/>
  <c r="F418" i="38"/>
  <c r="E418" i="38"/>
  <c r="D418" i="38"/>
  <c r="C418" i="38"/>
  <c r="I410" i="38"/>
  <c r="F410" i="38"/>
  <c r="E410" i="38"/>
  <c r="D410" i="38"/>
  <c r="C410" i="38"/>
  <c r="I403" i="38"/>
  <c r="F403" i="38"/>
  <c r="E403" i="38"/>
  <c r="D403" i="38"/>
  <c r="C403" i="38"/>
  <c r="I396" i="38"/>
  <c r="F396" i="38"/>
  <c r="E396" i="38"/>
  <c r="D396" i="38"/>
  <c r="C396" i="38"/>
  <c r="I389" i="38"/>
  <c r="F389" i="38"/>
  <c r="E389" i="38"/>
  <c r="D389" i="38"/>
  <c r="C389" i="38"/>
  <c r="I382" i="38"/>
  <c r="F382" i="38"/>
  <c r="E382" i="38"/>
  <c r="D382" i="38"/>
  <c r="C382" i="38"/>
  <c r="I375" i="38"/>
  <c r="F375" i="38"/>
  <c r="E375" i="38"/>
  <c r="D375" i="38"/>
  <c r="C375" i="38"/>
  <c r="I368" i="38"/>
  <c r="F368" i="38"/>
  <c r="E368" i="38"/>
  <c r="D368" i="38"/>
  <c r="C368" i="38"/>
  <c r="I360" i="38"/>
  <c r="F360" i="38"/>
  <c r="E360" i="38"/>
  <c r="D360" i="38"/>
  <c r="C360" i="38"/>
  <c r="I352" i="38"/>
  <c r="F352" i="38"/>
  <c r="E352" i="38"/>
  <c r="D352" i="38"/>
  <c r="C352" i="38"/>
  <c r="I344" i="38"/>
  <c r="F344" i="38"/>
  <c r="E344" i="38"/>
  <c r="D344" i="38"/>
  <c r="C344" i="38"/>
  <c r="I336" i="38"/>
  <c r="F336" i="38"/>
  <c r="E336" i="38"/>
  <c r="D336" i="38"/>
  <c r="C336" i="38"/>
  <c r="I328" i="38"/>
  <c r="F328" i="38"/>
  <c r="E328" i="38"/>
  <c r="D328" i="38"/>
  <c r="C328" i="38"/>
  <c r="I320" i="38"/>
  <c r="F320" i="38"/>
  <c r="E320" i="38"/>
  <c r="D320" i="38"/>
  <c r="C320" i="38"/>
  <c r="I311" i="38"/>
  <c r="F311" i="38"/>
  <c r="E311" i="38"/>
  <c r="D311" i="38"/>
  <c r="C311" i="38"/>
  <c r="I303" i="38"/>
  <c r="F303" i="38"/>
  <c r="E303" i="38"/>
  <c r="D303" i="38"/>
  <c r="C303" i="38"/>
  <c r="I295" i="38"/>
  <c r="F295" i="38"/>
  <c r="E295" i="38"/>
  <c r="D295" i="38"/>
  <c r="C295" i="38"/>
  <c r="I286" i="38"/>
  <c r="F286" i="38"/>
  <c r="E286" i="38"/>
  <c r="D286" i="38"/>
  <c r="C286" i="38"/>
  <c r="I277" i="38"/>
  <c r="F277" i="38"/>
  <c r="E277" i="38"/>
  <c r="D277" i="38"/>
  <c r="C277" i="38"/>
  <c r="I268" i="38"/>
  <c r="F268" i="38"/>
  <c r="E268" i="38"/>
  <c r="D268" i="38"/>
  <c r="C268" i="38"/>
  <c r="I259" i="38"/>
  <c r="F259" i="38"/>
  <c r="E259" i="38"/>
  <c r="D259" i="38"/>
  <c r="C259" i="38"/>
  <c r="I250" i="38"/>
  <c r="F250" i="38"/>
  <c r="E250" i="38"/>
  <c r="D250" i="38"/>
  <c r="C250" i="38"/>
  <c r="I241" i="38"/>
  <c r="F241" i="38"/>
  <c r="E241" i="38"/>
  <c r="D241" i="38"/>
  <c r="C241" i="38"/>
  <c r="I232" i="38"/>
  <c r="F232" i="38"/>
  <c r="E232" i="38"/>
  <c r="D232" i="38"/>
  <c r="C232" i="38"/>
  <c r="I222" i="38"/>
  <c r="F222" i="38"/>
  <c r="E222" i="38"/>
  <c r="D222" i="38"/>
  <c r="C222" i="38"/>
  <c r="I212" i="38"/>
  <c r="F212" i="38"/>
  <c r="E212" i="38"/>
  <c r="D212" i="38"/>
  <c r="C212" i="38"/>
  <c r="I202" i="38"/>
  <c r="F202" i="38"/>
  <c r="E202" i="38"/>
  <c r="D202" i="38"/>
  <c r="C202" i="38"/>
  <c r="I193" i="38"/>
  <c r="F193" i="38"/>
  <c r="E193" i="38"/>
  <c r="D193" i="38"/>
  <c r="C193" i="38"/>
  <c r="I184" i="38"/>
  <c r="F184" i="38"/>
  <c r="E184" i="38"/>
  <c r="D184" i="38"/>
  <c r="C184" i="38"/>
  <c r="I175" i="38"/>
  <c r="F175" i="38"/>
  <c r="E175" i="38"/>
  <c r="D175" i="38"/>
  <c r="C175" i="38"/>
  <c r="I157" i="38"/>
  <c r="F157" i="38"/>
  <c r="E157" i="38"/>
  <c r="D157" i="38"/>
  <c r="C157" i="38"/>
  <c r="T265" i="36"/>
  <c r="T264" i="36"/>
  <c r="T258" i="36"/>
  <c r="T257" i="36"/>
  <c r="T256" i="36"/>
  <c r="T255" i="36"/>
  <c r="T254" i="36"/>
  <c r="T253" i="36"/>
  <c r="T250" i="36"/>
  <c r="T249" i="36"/>
  <c r="T248" i="36"/>
  <c r="T247" i="36"/>
  <c r="T246" i="36"/>
  <c r="T245" i="36"/>
  <c r="T234" i="36"/>
  <c r="T233" i="36"/>
  <c r="T232" i="36"/>
  <c r="T231" i="36"/>
  <c r="T230" i="36"/>
  <c r="T229" i="36"/>
  <c r="T226" i="36"/>
  <c r="T225" i="36"/>
  <c r="T224" i="36"/>
  <c r="T223" i="36"/>
  <c r="T222" i="36"/>
  <c r="T221" i="36"/>
  <c r="T218" i="36"/>
  <c r="T217" i="36"/>
  <c r="T216" i="36"/>
  <c r="T215" i="36"/>
  <c r="T214" i="36"/>
  <c r="T213" i="36"/>
  <c r="T212" i="36"/>
  <c r="T209" i="36"/>
  <c r="T208" i="36"/>
  <c r="T207" i="36"/>
  <c r="T206" i="36"/>
  <c r="T205" i="36"/>
  <c r="T204" i="36"/>
  <c r="T203" i="36"/>
  <c r="T191" i="36"/>
  <c r="T190" i="36"/>
  <c r="T189" i="36"/>
  <c r="T188" i="36"/>
  <c r="T187" i="36"/>
  <c r="T186" i="36"/>
  <c r="T185" i="36"/>
  <c r="T182" i="36"/>
  <c r="T181" i="36"/>
  <c r="T180" i="36"/>
  <c r="T179" i="36"/>
  <c r="T178" i="36"/>
  <c r="T177" i="36"/>
  <c r="T176" i="36"/>
  <c r="T173" i="36"/>
  <c r="T172" i="36"/>
  <c r="T171" i="36"/>
  <c r="T170" i="36"/>
  <c r="T169" i="36"/>
  <c r="T168" i="36"/>
  <c r="T167" i="36"/>
  <c r="T164" i="36"/>
  <c r="T163" i="36"/>
  <c r="T162" i="36"/>
  <c r="T161" i="36"/>
  <c r="T160" i="36"/>
  <c r="T159" i="36"/>
  <c r="T158" i="36"/>
  <c r="T155" i="36"/>
  <c r="T154" i="36"/>
  <c r="T153" i="36"/>
  <c r="T152" i="36"/>
  <c r="T151" i="36"/>
  <c r="T150" i="36"/>
  <c r="T149" i="36"/>
  <c r="T146" i="36"/>
  <c r="T145" i="36"/>
  <c r="T144" i="36"/>
  <c r="T143" i="36"/>
  <c r="T142" i="36"/>
  <c r="T141" i="36"/>
  <c r="F139" i="36"/>
  <c r="F147" i="36" s="1"/>
  <c r="F156" i="36" s="1"/>
  <c r="F165" i="36" s="1"/>
  <c r="F174" i="36" s="1"/>
  <c r="F183" i="36" s="1"/>
  <c r="F192" i="36" s="1"/>
  <c r="F201" i="36" s="1"/>
  <c r="F210" i="36" s="1"/>
  <c r="F219" i="36" s="1"/>
  <c r="F227" i="36" s="1"/>
  <c r="F235" i="36" s="1"/>
  <c r="F243" i="36" s="1"/>
  <c r="F251" i="36" s="1"/>
  <c r="F259" i="36" s="1"/>
  <c r="F267" i="36" s="1"/>
  <c r="F277" i="36" s="1"/>
  <c r="F287" i="36" s="1"/>
  <c r="F297" i="36" s="1"/>
  <c r="F307" i="36" s="1"/>
  <c r="F317" i="36" s="1"/>
  <c r="F327" i="36" s="1"/>
  <c r="T138" i="36"/>
  <c r="T137" i="36"/>
  <c r="T136" i="36"/>
  <c r="T135" i="36"/>
  <c r="G133" i="36"/>
  <c r="G139" i="36" s="1"/>
  <c r="G147" i="36" s="1"/>
  <c r="G156" i="36" s="1"/>
  <c r="G165" i="36" s="1"/>
  <c r="G174" i="36" s="1"/>
  <c r="G183" i="36" s="1"/>
  <c r="G192" i="36" s="1"/>
  <c r="G201" i="36" s="1"/>
  <c r="G210" i="36" s="1"/>
  <c r="G219" i="36" s="1"/>
  <c r="G227" i="36" s="1"/>
  <c r="G235" i="36" s="1"/>
  <c r="G243" i="36" s="1"/>
  <c r="G251" i="36" s="1"/>
  <c r="G259" i="36" s="1"/>
  <c r="G267" i="36" s="1"/>
  <c r="G277" i="36" s="1"/>
  <c r="G287" i="36" s="1"/>
  <c r="G297" i="36" s="1"/>
  <c r="G307" i="36" s="1"/>
  <c r="G317" i="36" s="1"/>
  <c r="G327" i="36" s="1"/>
  <c r="T132" i="36"/>
  <c r="T131" i="36"/>
  <c r="T130" i="36"/>
  <c r="T129" i="36"/>
  <c r="O127" i="36"/>
  <c r="O133" i="36" s="1"/>
  <c r="O139" i="36" s="1"/>
  <c r="O147" i="36" s="1"/>
  <c r="O156" i="36" s="1"/>
  <c r="O165" i="36" s="1"/>
  <c r="O174" i="36" s="1"/>
  <c r="O183" i="36" s="1"/>
  <c r="O192" i="36" s="1"/>
  <c r="O201" i="36" s="1"/>
  <c r="O210" i="36" s="1"/>
  <c r="O219" i="36" s="1"/>
  <c r="O227" i="36" s="1"/>
  <c r="O235" i="36" s="1"/>
  <c r="O243" i="36" s="1"/>
  <c r="O251" i="36" s="1"/>
  <c r="O259" i="36" s="1"/>
  <c r="O267" i="36" s="1"/>
  <c r="O277" i="36" s="1"/>
  <c r="O287" i="36" s="1"/>
  <c r="O297" i="36" s="1"/>
  <c r="O307" i="36" s="1"/>
  <c r="O317" i="36" s="1"/>
  <c r="O327" i="36" s="1"/>
  <c r="O337" i="36" s="1"/>
  <c r="D127" i="36"/>
  <c r="D133" i="36" s="1"/>
  <c r="D139" i="36" s="1"/>
  <c r="D147" i="36" s="1"/>
  <c r="D156" i="36" s="1"/>
  <c r="D165" i="36" s="1"/>
  <c r="D174" i="36" s="1"/>
  <c r="D183" i="36" s="1"/>
  <c r="D192" i="36" s="1"/>
  <c r="D201" i="36" s="1"/>
  <c r="D210" i="36" s="1"/>
  <c r="D219" i="36" s="1"/>
  <c r="D227" i="36" s="1"/>
  <c r="D235" i="36" s="1"/>
  <c r="D243" i="36" s="1"/>
  <c r="D251" i="36" s="1"/>
  <c r="D259" i="36" s="1"/>
  <c r="D267" i="36" s="1"/>
  <c r="D277" i="36" s="1"/>
  <c r="D287" i="36" s="1"/>
  <c r="D297" i="36" s="1"/>
  <c r="D307" i="36" s="1"/>
  <c r="D317" i="36" s="1"/>
  <c r="D327" i="36" s="1"/>
  <c r="T126" i="36"/>
  <c r="T125" i="36"/>
  <c r="T124" i="36"/>
  <c r="T123" i="36"/>
  <c r="T122" i="36"/>
  <c r="T121" i="36"/>
  <c r="T120" i="36"/>
  <c r="T112" i="36"/>
  <c r="T109" i="36"/>
  <c r="T108" i="36"/>
  <c r="T107" i="36"/>
  <c r="T106" i="36"/>
  <c r="T105" i="36"/>
  <c r="T102" i="36"/>
  <c r="T101" i="36"/>
  <c r="T100" i="36"/>
  <c r="T99" i="36"/>
  <c r="T96" i="36"/>
  <c r="T95" i="36"/>
  <c r="T94" i="36"/>
  <c r="T93" i="36"/>
  <c r="T92" i="36"/>
  <c r="T89" i="36"/>
  <c r="T88" i="36"/>
  <c r="T85" i="36"/>
  <c r="T84" i="36"/>
  <c r="T83" i="36"/>
  <c r="T82" i="36"/>
  <c r="T79" i="36"/>
  <c r="T78" i="36"/>
  <c r="T77" i="36"/>
  <c r="T76" i="36"/>
  <c r="S74" i="36"/>
  <c r="S80" i="36" s="1"/>
  <c r="S86" i="36" s="1"/>
  <c r="S90" i="36" s="1"/>
  <c r="S97" i="36" s="1"/>
  <c r="S103" i="36" s="1"/>
  <c r="S110" i="36" s="1"/>
  <c r="S118" i="36" s="1"/>
  <c r="S127" i="36" s="1"/>
  <c r="S133" i="36" s="1"/>
  <c r="S139" i="36" s="1"/>
  <c r="S147" i="36" s="1"/>
  <c r="R74" i="36"/>
  <c r="R80" i="36" s="1"/>
  <c r="R86" i="36" s="1"/>
  <c r="R90" i="36" s="1"/>
  <c r="R97" i="36" s="1"/>
  <c r="R103" i="36" s="1"/>
  <c r="R110" i="36" s="1"/>
  <c r="R118" i="36" s="1"/>
  <c r="R127" i="36" s="1"/>
  <c r="R133" i="36" s="1"/>
  <c r="R139" i="36" s="1"/>
  <c r="R147" i="36" s="1"/>
  <c r="Q74" i="36"/>
  <c r="Q80" i="36" s="1"/>
  <c r="Q86" i="36" s="1"/>
  <c r="Q90" i="36" s="1"/>
  <c r="Q97" i="36" s="1"/>
  <c r="Q103" i="36" s="1"/>
  <c r="Q110" i="36" s="1"/>
  <c r="Q118" i="36" s="1"/>
  <c r="Q127" i="36" s="1"/>
  <c r="Q133" i="36" s="1"/>
  <c r="Q139" i="36" s="1"/>
  <c r="Q147" i="36" s="1"/>
  <c r="Q156" i="36" s="1"/>
  <c r="Q165" i="36" s="1"/>
  <c r="Q174" i="36" s="1"/>
  <c r="Q183" i="36" s="1"/>
  <c r="Q192" i="36" s="1"/>
  <c r="Q201" i="36" s="1"/>
  <c r="Q210" i="36" s="1"/>
  <c r="Q219" i="36" s="1"/>
  <c r="Q227" i="36" s="1"/>
  <c r="Q235" i="36" s="1"/>
  <c r="Q243" i="36" s="1"/>
  <c r="Q251" i="36" s="1"/>
  <c r="P74" i="36"/>
  <c r="P80" i="36" s="1"/>
  <c r="P86" i="36" s="1"/>
  <c r="P90" i="36" s="1"/>
  <c r="P97" i="36" s="1"/>
  <c r="P103" i="36" s="1"/>
  <c r="P110" i="36" s="1"/>
  <c r="P118" i="36" s="1"/>
  <c r="P127" i="36" s="1"/>
  <c r="P133" i="36" s="1"/>
  <c r="P139" i="36" s="1"/>
  <c r="P147" i="36" s="1"/>
  <c r="P156" i="36" s="1"/>
  <c r="P165" i="36" s="1"/>
  <c r="P174" i="36" s="1"/>
  <c r="P183" i="36" s="1"/>
  <c r="P192" i="36" s="1"/>
  <c r="P201" i="36" s="1"/>
  <c r="P210" i="36" s="1"/>
  <c r="P219" i="36" s="1"/>
  <c r="P227" i="36" s="1"/>
  <c r="P235" i="36" s="1"/>
  <c r="P243" i="36" s="1"/>
  <c r="P251" i="36" s="1"/>
  <c r="K74" i="36"/>
  <c r="K80" i="36" s="1"/>
  <c r="K86" i="36" s="1"/>
  <c r="K90" i="36" s="1"/>
  <c r="K97" i="36" s="1"/>
  <c r="K103" i="36" s="1"/>
  <c r="K110" i="36" s="1"/>
  <c r="K118" i="36" s="1"/>
  <c r="K127" i="36" s="1"/>
  <c r="K133" i="36" s="1"/>
  <c r="K139" i="36" s="1"/>
  <c r="K147" i="36" s="1"/>
  <c r="L74" i="36"/>
  <c r="L80" i="36" s="1"/>
  <c r="L86" i="36" s="1"/>
  <c r="L90" i="36" s="1"/>
  <c r="L97" i="36" s="1"/>
  <c r="L103" i="36" s="1"/>
  <c r="L110" i="36" s="1"/>
  <c r="L118" i="36" s="1"/>
  <c r="L127" i="36" s="1"/>
  <c r="L133" i="36" s="1"/>
  <c r="L139" i="36" s="1"/>
  <c r="L147" i="36" s="1"/>
  <c r="L156" i="36" s="1"/>
  <c r="L165" i="36" s="1"/>
  <c r="L174" i="36" s="1"/>
  <c r="L183" i="36" s="1"/>
  <c r="L192" i="36" s="1"/>
  <c r="L201" i="36" s="1"/>
  <c r="L210" i="36" s="1"/>
  <c r="L219" i="36" s="1"/>
  <c r="L227" i="36" s="1"/>
  <c r="L235" i="36" s="1"/>
  <c r="L243" i="36" s="1"/>
  <c r="L251" i="36" s="1"/>
  <c r="L259" i="36" s="1"/>
  <c r="L267" i="36" s="1"/>
  <c r="L277" i="36" s="1"/>
  <c r="L287" i="36" s="1"/>
  <c r="L297" i="36" s="1"/>
  <c r="L307" i="36" s="1"/>
  <c r="L317" i="36" s="1"/>
  <c r="L327" i="36" s="1"/>
  <c r="N74" i="36"/>
  <c r="N80" i="36" s="1"/>
  <c r="N86" i="36" s="1"/>
  <c r="N90" i="36" s="1"/>
  <c r="N97" i="36" s="1"/>
  <c r="N103" i="36" s="1"/>
  <c r="N110" i="36" s="1"/>
  <c r="N118" i="36" s="1"/>
  <c r="N127" i="36" s="1"/>
  <c r="N133" i="36" s="1"/>
  <c r="N139" i="36" s="1"/>
  <c r="N147" i="36" s="1"/>
  <c r="N156" i="36" s="1"/>
  <c r="N165" i="36" s="1"/>
  <c r="N174" i="36" s="1"/>
  <c r="N183" i="36" s="1"/>
  <c r="N192" i="36" s="1"/>
  <c r="N201" i="36" s="1"/>
  <c r="N210" i="36" s="1"/>
  <c r="N219" i="36" s="1"/>
  <c r="N227" i="36" s="1"/>
  <c r="N235" i="36" s="1"/>
  <c r="N243" i="36" s="1"/>
  <c r="N251" i="36" s="1"/>
  <c r="N259" i="36" s="1"/>
  <c r="N267" i="36" s="1"/>
  <c r="N277" i="36" s="1"/>
  <c r="N287" i="36" s="1"/>
  <c r="N297" i="36" s="1"/>
  <c r="N307" i="36" s="1"/>
  <c r="N317" i="36" s="1"/>
  <c r="N327" i="36" s="1"/>
  <c r="N337" i="36" s="1"/>
  <c r="E74" i="36"/>
  <c r="E80" i="36" s="1"/>
  <c r="E86" i="36" s="1"/>
  <c r="E90" i="36" s="1"/>
  <c r="E97" i="36" s="1"/>
  <c r="E103" i="36" s="1"/>
  <c r="E110" i="36" s="1"/>
  <c r="E118" i="36" s="1"/>
  <c r="E127" i="36" s="1"/>
  <c r="E133" i="36" s="1"/>
  <c r="E139" i="36" s="1"/>
  <c r="E147" i="36" s="1"/>
  <c r="E156" i="36" s="1"/>
  <c r="E165" i="36" s="1"/>
  <c r="E174" i="36" s="1"/>
  <c r="E183" i="36" s="1"/>
  <c r="E192" i="36" s="1"/>
  <c r="E201" i="36" s="1"/>
  <c r="E210" i="36" s="1"/>
  <c r="E219" i="36" s="1"/>
  <c r="E227" i="36" s="1"/>
  <c r="E235" i="36" s="1"/>
  <c r="E243" i="36" s="1"/>
  <c r="E251" i="36" s="1"/>
  <c r="E259" i="36" s="1"/>
  <c r="E267" i="36" s="1"/>
  <c r="E277" i="36" s="1"/>
  <c r="E287" i="36" s="1"/>
  <c r="E297" i="36" s="1"/>
  <c r="E307" i="36" s="1"/>
  <c r="E317" i="36" s="1"/>
  <c r="E327" i="36" s="1"/>
  <c r="C74" i="36"/>
  <c r="C80" i="36" s="1"/>
  <c r="C86" i="36" s="1"/>
  <c r="C90" i="36" s="1"/>
  <c r="C97" i="36" s="1"/>
  <c r="C103" i="36" s="1"/>
  <c r="C110" i="36" s="1"/>
  <c r="C118" i="36" s="1"/>
  <c r="C127" i="36" s="1"/>
  <c r="C133" i="36" s="1"/>
  <c r="C139" i="36" s="1"/>
  <c r="C147" i="36" s="1"/>
  <c r="C156" i="36" s="1"/>
  <c r="C165" i="36" s="1"/>
  <c r="C174" i="36" s="1"/>
  <c r="C183" i="36" s="1"/>
  <c r="C192" i="36" s="1"/>
  <c r="C201" i="36" s="1"/>
  <c r="C210" i="36" s="1"/>
  <c r="C219" i="36" s="1"/>
  <c r="C227" i="36" s="1"/>
  <c r="C235" i="36" s="1"/>
  <c r="C243" i="36" s="1"/>
  <c r="C251" i="36" s="1"/>
  <c r="C259" i="36" s="1"/>
  <c r="C267" i="36" s="1"/>
  <c r="C277" i="36" s="1"/>
  <c r="C287" i="36" s="1"/>
  <c r="C297" i="36" s="1"/>
  <c r="C307" i="36" s="1"/>
  <c r="C317" i="36" s="1"/>
  <c r="C327" i="36" s="1"/>
  <c r="T73" i="36"/>
  <c r="T72" i="36"/>
  <c r="T71" i="36"/>
  <c r="T68" i="36"/>
  <c r="T67" i="36"/>
  <c r="T66" i="36"/>
  <c r="E65" i="36"/>
  <c r="T65" i="36" s="1"/>
  <c r="T64" i="36"/>
  <c r="T61" i="36"/>
  <c r="T60" i="36"/>
  <c r="T59" i="36"/>
  <c r="T58" i="36"/>
  <c r="T55" i="36"/>
  <c r="T54" i="36"/>
  <c r="T53" i="36"/>
  <c r="T52" i="36"/>
  <c r="T51" i="36"/>
  <c r="T48" i="36"/>
  <c r="T47" i="36"/>
  <c r="T46" i="36"/>
  <c r="T45" i="36"/>
  <c r="T44" i="36"/>
  <c r="T43" i="36"/>
  <c r="T42" i="36"/>
  <c r="T39" i="36"/>
  <c r="T38" i="36"/>
  <c r="T37" i="36"/>
  <c r="T36" i="36"/>
  <c r="T35" i="36"/>
  <c r="T34" i="36"/>
  <c r="T33" i="36"/>
  <c r="T30" i="36"/>
  <c r="T29" i="36"/>
  <c r="T28" i="36"/>
  <c r="T27" i="36"/>
  <c r="T26" i="36"/>
  <c r="T25" i="36"/>
  <c r="T22" i="36"/>
  <c r="T21" i="36"/>
  <c r="T20" i="36"/>
  <c r="T19" i="36"/>
  <c r="T18" i="36"/>
  <c r="S16" i="36"/>
  <c r="S23" i="36" s="1"/>
  <c r="S31" i="36" s="1"/>
  <c r="S40" i="36" s="1"/>
  <c r="S49" i="36" s="1"/>
  <c r="S56" i="36" s="1"/>
  <c r="S62" i="36" s="1"/>
  <c r="R16" i="36"/>
  <c r="R23" i="36" s="1"/>
  <c r="R31" i="36" s="1"/>
  <c r="R40" i="36" s="1"/>
  <c r="R49" i="36" s="1"/>
  <c r="R56" i="36" s="1"/>
  <c r="R62" i="36" s="1"/>
  <c r="Q16" i="36"/>
  <c r="Q23" i="36" s="1"/>
  <c r="Q31" i="36" s="1"/>
  <c r="Q40" i="36" s="1"/>
  <c r="Q49" i="36" s="1"/>
  <c r="Q56" i="36" s="1"/>
  <c r="Q62" i="36" s="1"/>
  <c r="P16" i="36"/>
  <c r="P23" i="36" s="1"/>
  <c r="P31" i="36" s="1"/>
  <c r="P40" i="36" s="1"/>
  <c r="P49" i="36" s="1"/>
  <c r="P56" i="36" s="1"/>
  <c r="P62" i="36" s="1"/>
  <c r="K16" i="36"/>
  <c r="K23" i="36" s="1"/>
  <c r="K31" i="36" s="1"/>
  <c r="K40" i="36" s="1"/>
  <c r="K49" i="36" s="1"/>
  <c r="K56" i="36" s="1"/>
  <c r="K62" i="36" s="1"/>
  <c r="L16" i="36"/>
  <c r="L23" i="36" s="1"/>
  <c r="L31" i="36" s="1"/>
  <c r="L40" i="36" s="1"/>
  <c r="L49" i="36" s="1"/>
  <c r="L56" i="36" s="1"/>
  <c r="N16" i="36"/>
  <c r="N23" i="36" s="1"/>
  <c r="N31" i="36" s="1"/>
  <c r="N40" i="36" s="1"/>
  <c r="N49" i="36" s="1"/>
  <c r="N56" i="36" s="1"/>
  <c r="N62" i="36" s="1"/>
  <c r="E16" i="36"/>
  <c r="E23" i="36" s="1"/>
  <c r="E31" i="36" s="1"/>
  <c r="E40" i="36" s="1"/>
  <c r="E49" i="36" s="1"/>
  <c r="E56" i="36" s="1"/>
  <c r="E62" i="36" s="1"/>
  <c r="C16" i="36"/>
  <c r="C23" i="36" s="1"/>
  <c r="C31" i="36" s="1"/>
  <c r="C40" i="36" s="1"/>
  <c r="C49" i="36" s="1"/>
  <c r="C56" i="36" s="1"/>
  <c r="C62" i="36" s="1"/>
  <c r="T15" i="36"/>
  <c r="T14" i="36"/>
  <c r="T13" i="36"/>
  <c r="T12" i="36"/>
  <c r="T11" i="36"/>
  <c r="T10" i="36"/>
  <c r="T9" i="36"/>
  <c r="T8" i="36"/>
  <c r="O33" i="34"/>
  <c r="O34" i="34" s="1"/>
  <c r="N33" i="34"/>
  <c r="N34" i="34" s="1"/>
  <c r="M33" i="34"/>
  <c r="M34" i="34" s="1"/>
  <c r="L33" i="34"/>
  <c r="L34" i="34" s="1"/>
  <c r="K33" i="34"/>
  <c r="K34" i="34" s="1"/>
  <c r="J33" i="34"/>
  <c r="J34" i="34" s="1"/>
  <c r="I33" i="34"/>
  <c r="I34" i="34" s="1"/>
  <c r="H33" i="34"/>
  <c r="H34" i="34" s="1"/>
  <c r="G33" i="34"/>
  <c r="G34" i="34" s="1"/>
  <c r="F33" i="34"/>
  <c r="E33" i="34"/>
  <c r="D33" i="34"/>
  <c r="C33" i="34"/>
  <c r="C34" i="34" s="1"/>
  <c r="CZ25" i="34"/>
  <c r="CW25" i="34"/>
  <c r="CQ25" i="34"/>
  <c r="CN25" i="34"/>
  <c r="CH25" i="34"/>
  <c r="BS25" i="34"/>
  <c r="BM25" i="34"/>
  <c r="BJ25" i="34"/>
  <c r="BG25" i="34"/>
  <c r="BD25" i="34"/>
  <c r="CZ26" i="34"/>
  <c r="CW26" i="34"/>
  <c r="CQ26" i="34"/>
  <c r="CN26" i="34"/>
  <c r="CH26" i="34"/>
  <c r="BS26" i="34"/>
  <c r="BM26" i="34"/>
  <c r="BJ26" i="34"/>
  <c r="BG26" i="34"/>
  <c r="BD26" i="34"/>
  <c r="AI26" i="34"/>
  <c r="AI24" i="34" s="1"/>
  <c r="AF26" i="34"/>
  <c r="AF24" i="34" s="1"/>
  <c r="AC26" i="34"/>
  <c r="W26" i="34"/>
  <c r="T26" i="34"/>
  <c r="Q26" i="34"/>
  <c r="N26" i="34"/>
  <c r="K26" i="34"/>
  <c r="H26" i="34"/>
  <c r="E26" i="34"/>
  <c r="DC23" i="34"/>
  <c r="DB23" i="34"/>
  <c r="DA23" i="34"/>
  <c r="CZ23" i="34"/>
  <c r="CY23" i="34"/>
  <c r="CX23" i="34"/>
  <c r="CW23" i="34"/>
  <c r="CV23" i="34"/>
  <c r="CU23" i="34"/>
  <c r="CQ23" i="34"/>
  <c r="CP23" i="34"/>
  <c r="CO23" i="34"/>
  <c r="CN23" i="34"/>
  <c r="CM23" i="34"/>
  <c r="CL23" i="34"/>
  <c r="CK23" i="34"/>
  <c r="CJ23" i="34"/>
  <c r="CI23" i="34"/>
  <c r="CH23" i="34"/>
  <c r="CG23" i="34"/>
  <c r="CF23" i="34"/>
  <c r="CE23" i="34"/>
  <c r="CD23" i="34"/>
  <c r="CC23" i="34"/>
  <c r="CB23" i="34"/>
  <c r="CA23" i="34"/>
  <c r="BZ23" i="34"/>
  <c r="BY23" i="34"/>
  <c r="BX23" i="34"/>
  <c r="BW23" i="34"/>
  <c r="BV23" i="34"/>
  <c r="BU23" i="34"/>
  <c r="BT23" i="34"/>
  <c r="BS23" i="34"/>
  <c r="BR23" i="34"/>
  <c r="BQ23" i="34"/>
  <c r="BP23" i="34"/>
  <c r="BO23" i="34"/>
  <c r="BN23" i="34"/>
  <c r="BM23" i="34"/>
  <c r="BL23" i="34"/>
  <c r="BK23" i="34"/>
  <c r="BJ23" i="34"/>
  <c r="BI23" i="34"/>
  <c r="BH23" i="34"/>
  <c r="BG23" i="34"/>
  <c r="BF23" i="34"/>
  <c r="BE23" i="34"/>
  <c r="BC23" i="34"/>
  <c r="BB23" i="34"/>
  <c r="BA23" i="34"/>
  <c r="AZ23" i="34"/>
  <c r="AY23" i="34"/>
  <c r="AX23" i="34"/>
  <c r="AW23" i="34"/>
  <c r="AV23" i="34"/>
  <c r="AU23" i="34"/>
  <c r="AT23" i="34"/>
  <c r="AS23" i="34"/>
  <c r="AR23" i="34"/>
  <c r="AQ23" i="34"/>
  <c r="AP23" i="34"/>
  <c r="AO23" i="34"/>
  <c r="AN23" i="34"/>
  <c r="AL23" i="34"/>
  <c r="AK23" i="34"/>
  <c r="AJ23" i="34"/>
  <c r="AH23" i="34"/>
  <c r="AG23" i="34"/>
  <c r="AE23" i="34"/>
  <c r="AD23" i="34"/>
  <c r="AB23" i="34"/>
  <c r="AA23" i="34"/>
  <c r="Z23" i="34"/>
  <c r="Y23" i="34"/>
  <c r="X23" i="34"/>
  <c r="V23" i="34"/>
  <c r="U23" i="34"/>
  <c r="S23" i="34"/>
  <c r="R23" i="34"/>
  <c r="P23" i="34"/>
  <c r="O23" i="34"/>
  <c r="M23" i="34"/>
  <c r="L23" i="34"/>
  <c r="J23" i="34"/>
  <c r="I23" i="34"/>
  <c r="G23" i="34"/>
  <c r="F23" i="34"/>
  <c r="D23" i="34"/>
  <c r="C23" i="34"/>
  <c r="BD22" i="34"/>
  <c r="BD23" i="34" s="1"/>
  <c r="AI22" i="34"/>
  <c r="AI23" i="34" s="1"/>
  <c r="AF22" i="34"/>
  <c r="AF23" i="34" s="1"/>
  <c r="AC22" i="34"/>
  <c r="AC23" i="34" s="1"/>
  <c r="W22" i="34"/>
  <c r="W23" i="34" s="1"/>
  <c r="T22" i="34"/>
  <c r="T23" i="34" s="1"/>
  <c r="Q22" i="34"/>
  <c r="Q23" i="34" s="1"/>
  <c r="N22" i="34"/>
  <c r="N23" i="34" s="1"/>
  <c r="K22" i="34"/>
  <c r="K23" i="34" s="1"/>
  <c r="H22" i="34"/>
  <c r="H23" i="34" s="1"/>
  <c r="E22" i="34"/>
  <c r="E23" i="34" s="1"/>
  <c r="CY21" i="34"/>
  <c r="CX21" i="34"/>
  <c r="CP21" i="34"/>
  <c r="CO21" i="34"/>
  <c r="CM21" i="34"/>
  <c r="CL21" i="34"/>
  <c r="CK21" i="34"/>
  <c r="CJ21" i="34"/>
  <c r="CI21" i="34"/>
  <c r="CG21" i="34"/>
  <c r="CF21" i="34"/>
  <c r="CD21" i="34"/>
  <c r="CC21" i="34"/>
  <c r="CB21" i="34"/>
  <c r="CA21" i="34"/>
  <c r="BZ21" i="34"/>
  <c r="BY21" i="34"/>
  <c r="BX21" i="34"/>
  <c r="BW21" i="34"/>
  <c r="BV21" i="34"/>
  <c r="BU21" i="34"/>
  <c r="BT21" i="34"/>
  <c r="BR21" i="34"/>
  <c r="BQ21" i="34"/>
  <c r="BO21" i="34"/>
  <c r="BN21" i="34"/>
  <c r="BL21" i="34"/>
  <c r="BK21" i="34"/>
  <c r="BI21" i="34"/>
  <c r="BH21" i="34"/>
  <c r="BF21" i="34"/>
  <c r="BE21" i="34"/>
  <c r="BC21" i="34"/>
  <c r="BB21" i="34"/>
  <c r="BA21" i="34"/>
  <c r="AZ21" i="34"/>
  <c r="AY21" i="34"/>
  <c r="AX21" i="34"/>
  <c r="AW21" i="34"/>
  <c r="AV21" i="34"/>
  <c r="AU21" i="34"/>
  <c r="AT21" i="34"/>
  <c r="AS21" i="34"/>
  <c r="AR21" i="34"/>
  <c r="AQ21" i="34"/>
  <c r="AP21" i="34"/>
  <c r="AO21" i="34"/>
  <c r="AN21" i="34"/>
  <c r="AL21" i="34"/>
  <c r="AK21" i="34"/>
  <c r="AJ21" i="34"/>
  <c r="AH21" i="34"/>
  <c r="AG21" i="34"/>
  <c r="AE21" i="34"/>
  <c r="AD21" i="34"/>
  <c r="AB21" i="34"/>
  <c r="AA21" i="34"/>
  <c r="Y21" i="34"/>
  <c r="X21" i="34"/>
  <c r="V21" i="34"/>
  <c r="U21" i="34"/>
  <c r="S21" i="34"/>
  <c r="R21" i="34"/>
  <c r="P21" i="34"/>
  <c r="O21" i="34"/>
  <c r="M21" i="34"/>
  <c r="L21" i="34"/>
  <c r="J21" i="34"/>
  <c r="I21" i="34"/>
  <c r="G21" i="34"/>
  <c r="F21" i="34"/>
  <c r="D21" i="34"/>
  <c r="C21" i="34"/>
  <c r="DC20" i="34"/>
  <c r="CW20" i="34"/>
  <c r="CN20" i="34"/>
  <c r="CH20" i="34"/>
  <c r="CE20" i="34"/>
  <c r="BP20" i="34"/>
  <c r="BM20" i="34"/>
  <c r="BJ20" i="34"/>
  <c r="BG20" i="34"/>
  <c r="BD20" i="34"/>
  <c r="AC20" i="34"/>
  <c r="Z20" i="34"/>
  <c r="Z21" i="34" s="1"/>
  <c r="W20" i="34"/>
  <c r="T20" i="34"/>
  <c r="Q20" i="34"/>
  <c r="N20" i="34"/>
  <c r="K20" i="34"/>
  <c r="H20" i="34"/>
  <c r="E20" i="34"/>
  <c r="DC19" i="34"/>
  <c r="CW19" i="34"/>
  <c r="CN19" i="34"/>
  <c r="CH19" i="34"/>
  <c r="BS19" i="34"/>
  <c r="BP19" i="34"/>
  <c r="BM19" i="34"/>
  <c r="BJ19" i="34"/>
  <c r="BG19" i="34"/>
  <c r="BD19" i="34"/>
  <c r="AI19" i="34"/>
  <c r="AF19" i="34"/>
  <c r="AC19" i="34"/>
  <c r="W19" i="34"/>
  <c r="T19" i="34"/>
  <c r="Q19" i="34"/>
  <c r="N19" i="34"/>
  <c r="K19" i="34"/>
  <c r="H19" i="34"/>
  <c r="E19" i="34"/>
  <c r="DC18" i="34"/>
  <c r="CW18" i="34"/>
  <c r="CN18" i="34"/>
  <c r="CH18" i="34"/>
  <c r="BS18" i="34"/>
  <c r="BP18" i="34"/>
  <c r="BM18" i="34"/>
  <c r="BJ18" i="34"/>
  <c r="BG18" i="34"/>
  <c r="BD18" i="34"/>
  <c r="AI18" i="34"/>
  <c r="AF18" i="34"/>
  <c r="AC18" i="34"/>
  <c r="W18" i="34"/>
  <c r="T18" i="34"/>
  <c r="Q18" i="34"/>
  <c r="N18" i="34"/>
  <c r="K18" i="34"/>
  <c r="H18" i="34"/>
  <c r="E18" i="34"/>
  <c r="DC17" i="34"/>
  <c r="CW17" i="34"/>
  <c r="CN17" i="34"/>
  <c r="CH17" i="34"/>
  <c r="CE17" i="34"/>
  <c r="BP17" i="34"/>
  <c r="BM17" i="34"/>
  <c r="BJ17" i="34"/>
  <c r="BG17" i="34"/>
  <c r="BD17" i="34"/>
  <c r="AC17" i="34"/>
  <c r="DC15" i="34"/>
  <c r="CN15" i="34"/>
  <c r="CH15" i="34"/>
  <c r="CZ12" i="34"/>
  <c r="CW12" i="34"/>
  <c r="CQ12" i="34"/>
  <c r="CN12" i="34"/>
  <c r="CH12" i="34"/>
  <c r="BS12" i="34"/>
  <c r="BP12" i="34"/>
  <c r="CZ11" i="34"/>
  <c r="CW11" i="34"/>
  <c r="CQ11" i="34"/>
  <c r="CN11" i="34"/>
  <c r="CH11" i="34"/>
  <c r="BS11" i="34"/>
  <c r="BP11" i="34"/>
  <c r="BM11" i="34"/>
  <c r="BJ11" i="34"/>
  <c r="BG11" i="34"/>
  <c r="CZ16" i="34"/>
  <c r="CW16" i="34"/>
  <c r="CQ16" i="34"/>
  <c r="CN16" i="34"/>
  <c r="CH16" i="34"/>
  <c r="BS16" i="34"/>
  <c r="BP16" i="34"/>
  <c r="BM16" i="34"/>
  <c r="BJ16" i="34"/>
  <c r="BG16" i="34"/>
  <c r="BD16" i="34"/>
  <c r="AI16" i="34"/>
  <c r="AF16" i="34"/>
  <c r="AC16" i="34"/>
  <c r="CZ10" i="34"/>
  <c r="CW10" i="34"/>
  <c r="CQ10" i="34"/>
  <c r="CN10" i="34"/>
  <c r="CH10" i="34"/>
  <c r="BS10" i="34"/>
  <c r="BP10" i="34"/>
  <c r="BM10" i="34"/>
  <c r="BJ10" i="34"/>
  <c r="BG10" i="34"/>
  <c r="BD10" i="34"/>
  <c r="AI10" i="34"/>
  <c r="AF10" i="34"/>
  <c r="AC10" i="34"/>
  <c r="W10" i="34"/>
  <c r="T10" i="34"/>
  <c r="Q10" i="34"/>
  <c r="N10" i="34"/>
  <c r="K10" i="34"/>
  <c r="H10" i="34"/>
  <c r="E10" i="34"/>
  <c r="CZ9" i="34"/>
  <c r="CW9" i="34"/>
  <c r="CQ9" i="34"/>
  <c r="CN9" i="34"/>
  <c r="CH9" i="34"/>
  <c r="BS9" i="34"/>
  <c r="BP9" i="34"/>
  <c r="BM9" i="34"/>
  <c r="BJ9" i="34"/>
  <c r="BG9" i="34"/>
  <c r="BD9" i="34"/>
  <c r="AI9" i="34"/>
  <c r="AF9" i="34"/>
  <c r="AC9" i="34"/>
  <c r="W9" i="34"/>
  <c r="T9" i="34"/>
  <c r="Q9" i="34"/>
  <c r="N9" i="34"/>
  <c r="K9" i="34"/>
  <c r="H9" i="34"/>
  <c r="E9" i="34"/>
  <c r="CZ8" i="34"/>
  <c r="CW8" i="34"/>
  <c r="CQ8" i="34"/>
  <c r="CN8" i="34"/>
  <c r="CH8" i="34"/>
  <c r="BS8" i="34"/>
  <c r="BP8" i="34"/>
  <c r="BM8" i="34"/>
  <c r="BJ8" i="34"/>
  <c r="BG8" i="34"/>
  <c r="BD8" i="34"/>
  <c r="CZ7" i="34"/>
  <c r="CW7" i="34"/>
  <c r="CQ7" i="34"/>
  <c r="CN7" i="34"/>
  <c r="CH7" i="34"/>
  <c r="BS7" i="34"/>
  <c r="BP7" i="34"/>
  <c r="BM7" i="34"/>
  <c r="BJ7" i="34"/>
  <c r="BG7" i="34"/>
  <c r="BD7" i="34"/>
  <c r="AI7" i="34"/>
  <c r="AF7" i="34"/>
  <c r="AC7" i="34"/>
  <c r="W7" i="34"/>
  <c r="T7" i="34"/>
  <c r="Q7" i="34"/>
  <c r="N7" i="34"/>
  <c r="K7" i="34"/>
  <c r="H7" i="34"/>
  <c r="E7" i="34"/>
  <c r="AB45" i="33"/>
  <c r="AA45" i="33"/>
  <c r="Z45" i="33"/>
  <c r="Y45" i="33"/>
  <c r="AJ44" i="33"/>
  <c r="AI44" i="33"/>
  <c r="AH44" i="33"/>
  <c r="AG44" i="33"/>
  <c r="AF44" i="33"/>
  <c r="AE44" i="33"/>
  <c r="AD44" i="33"/>
  <c r="AC44" i="33"/>
  <c r="X44" i="33"/>
  <c r="W44" i="33"/>
  <c r="AJ43" i="33"/>
  <c r="AI43" i="33"/>
  <c r="AH43" i="33"/>
  <c r="AG43" i="33"/>
  <c r="AF43" i="33"/>
  <c r="AE43" i="33"/>
  <c r="AD43" i="33"/>
  <c r="AC43" i="33"/>
  <c r="X43" i="33"/>
  <c r="W43" i="33"/>
  <c r="AB42" i="33"/>
  <c r="AA42" i="33"/>
  <c r="Z42" i="33"/>
  <c r="Y42" i="33"/>
  <c r="X42" i="33"/>
  <c r="W42" i="33"/>
  <c r="AJ41" i="33"/>
  <c r="AI41" i="33"/>
  <c r="AE41" i="33"/>
  <c r="AD41" i="33"/>
  <c r="AC41" i="33"/>
  <c r="AB41" i="33"/>
  <c r="V41" i="33"/>
  <c r="U41" i="33"/>
  <c r="T41" i="33"/>
  <c r="S41" i="33"/>
  <c r="R41" i="33"/>
  <c r="Q41" i="33"/>
  <c r="P41" i="33"/>
  <c r="O41" i="33"/>
  <c r="N41" i="33"/>
  <c r="M41" i="33"/>
  <c r="L41" i="33"/>
  <c r="K41" i="33"/>
  <c r="J41" i="33"/>
  <c r="I41" i="33"/>
  <c r="H41" i="33"/>
  <c r="G41" i="33"/>
  <c r="F41" i="33"/>
  <c r="E41" i="33"/>
  <c r="D41" i="33"/>
  <c r="C41" i="33"/>
  <c r="AK40" i="33"/>
  <c r="AJ40" i="33"/>
  <c r="AI40" i="33"/>
  <c r="AH40" i="33"/>
  <c r="AG40" i="33"/>
  <c r="AF40" i="33"/>
  <c r="AE40" i="33"/>
  <c r="AD40" i="33"/>
  <c r="AC40" i="33"/>
  <c r="AB40" i="33"/>
  <c r="V40" i="33"/>
  <c r="U40" i="33"/>
  <c r="T40" i="33"/>
  <c r="S40" i="33"/>
  <c r="R40" i="33"/>
  <c r="Q40" i="33"/>
  <c r="P40" i="33"/>
  <c r="O40" i="33"/>
  <c r="N40" i="33"/>
  <c r="M40" i="33"/>
  <c r="L40" i="33"/>
  <c r="K40" i="33"/>
  <c r="J40" i="33"/>
  <c r="I40" i="33"/>
  <c r="H40" i="33"/>
  <c r="G40" i="33"/>
  <c r="F40" i="33"/>
  <c r="E40" i="33"/>
  <c r="D40" i="33"/>
  <c r="C40" i="33"/>
  <c r="AJ39" i="33"/>
  <c r="AI39" i="33"/>
  <c r="AH39" i="33"/>
  <c r="AG39" i="33"/>
  <c r="AF39" i="33"/>
  <c r="AE39" i="33"/>
  <c r="AD39" i="33"/>
  <c r="AC39" i="33"/>
  <c r="V39" i="33"/>
  <c r="U39" i="33"/>
  <c r="T39" i="33"/>
  <c r="S39" i="33"/>
  <c r="R39" i="33"/>
  <c r="Q39" i="33"/>
  <c r="P39" i="33"/>
  <c r="O39" i="33"/>
  <c r="N39" i="33"/>
  <c r="M39" i="33"/>
  <c r="L39" i="33"/>
  <c r="K39" i="33"/>
  <c r="J39" i="33"/>
  <c r="I39" i="33"/>
  <c r="H39" i="33"/>
  <c r="G39" i="33"/>
  <c r="F39" i="33"/>
  <c r="E39" i="33"/>
  <c r="D39" i="33"/>
  <c r="C39" i="33"/>
  <c r="AJ38" i="33"/>
  <c r="AI38" i="33"/>
  <c r="AE38" i="33"/>
  <c r="AD38" i="33"/>
  <c r="AC38" i="33"/>
  <c r="V38" i="33"/>
  <c r="U38" i="33"/>
  <c r="T38" i="33"/>
  <c r="S38" i="33"/>
  <c r="R38" i="33"/>
  <c r="Q38" i="33"/>
  <c r="P38" i="33"/>
  <c r="O38" i="33"/>
  <c r="N38" i="33"/>
  <c r="M38" i="33"/>
  <c r="L38" i="33"/>
  <c r="K38" i="33"/>
  <c r="J38" i="33"/>
  <c r="I38" i="33"/>
  <c r="H38" i="33"/>
  <c r="G38" i="33"/>
  <c r="F38" i="33"/>
  <c r="E38" i="33"/>
  <c r="D38" i="33"/>
  <c r="C38" i="33"/>
  <c r="AJ37" i="33"/>
  <c r="AI37" i="33"/>
  <c r="AH37" i="33"/>
  <c r="AG37" i="33"/>
  <c r="AF37" i="33"/>
  <c r="AE37" i="33"/>
  <c r="AD37" i="33"/>
  <c r="AC37" i="33"/>
  <c r="V37" i="33"/>
  <c r="U37" i="33"/>
  <c r="T37" i="33"/>
  <c r="S37" i="33"/>
  <c r="R37" i="33"/>
  <c r="Q37" i="33"/>
  <c r="P37" i="33"/>
  <c r="O37" i="33"/>
  <c r="N37" i="33"/>
  <c r="M37" i="33"/>
  <c r="L37" i="33"/>
  <c r="K37" i="33"/>
  <c r="J37" i="33"/>
  <c r="I37" i="33"/>
  <c r="H37" i="33"/>
  <c r="G37" i="33"/>
  <c r="F37" i="33"/>
  <c r="E37" i="33"/>
  <c r="D37" i="33"/>
  <c r="C37" i="33"/>
  <c r="AJ35" i="33"/>
  <c r="AI35" i="33"/>
  <c r="AH35" i="33"/>
  <c r="AG35" i="33"/>
  <c r="AF35" i="33"/>
  <c r="AE35" i="33"/>
  <c r="AD35" i="33"/>
  <c r="AC35" i="33"/>
  <c r="V35" i="33"/>
  <c r="U35" i="33"/>
  <c r="T35" i="33"/>
  <c r="S35" i="33"/>
  <c r="R35" i="33"/>
  <c r="Q35" i="33"/>
  <c r="P35" i="33"/>
  <c r="O35" i="33"/>
  <c r="N35" i="33"/>
  <c r="M35" i="33"/>
  <c r="L35" i="33"/>
  <c r="K35" i="33"/>
  <c r="J35" i="33"/>
  <c r="I35" i="33"/>
  <c r="H35" i="33"/>
  <c r="G35" i="33"/>
  <c r="F35" i="33"/>
  <c r="E35" i="33"/>
  <c r="D35" i="33"/>
  <c r="C35" i="33"/>
  <c r="AJ34" i="33"/>
  <c r="AI34" i="33"/>
  <c r="AH34" i="33"/>
  <c r="AG34" i="33"/>
  <c r="AF34" i="33"/>
  <c r="AE34" i="33"/>
  <c r="AD34" i="33"/>
  <c r="AC34" i="33"/>
  <c r="V34" i="33"/>
  <c r="U34" i="33"/>
  <c r="T34" i="33"/>
  <c r="S34" i="33"/>
  <c r="R34" i="33"/>
  <c r="Q34" i="33"/>
  <c r="P34" i="33"/>
  <c r="O34" i="33"/>
  <c r="N34" i="33"/>
  <c r="M34" i="33"/>
  <c r="L34" i="33"/>
  <c r="K34" i="33"/>
  <c r="J34" i="33"/>
  <c r="I34" i="33"/>
  <c r="H34" i="33"/>
  <c r="G34" i="33"/>
  <c r="F34" i="33"/>
  <c r="E34" i="33"/>
  <c r="D34" i="33"/>
  <c r="C34" i="33"/>
  <c r="AJ31" i="33"/>
  <c r="AI31" i="33"/>
  <c r="AH31" i="33"/>
  <c r="AG31" i="33"/>
  <c r="AF31" i="33"/>
  <c r="AE31" i="33"/>
  <c r="AD31" i="33"/>
  <c r="AC31" i="33"/>
  <c r="AB31" i="33"/>
  <c r="AA31" i="33"/>
  <c r="Z31" i="33"/>
  <c r="Y31" i="33"/>
  <c r="X31" i="33"/>
  <c r="W31" i="33"/>
  <c r="AJ28" i="33"/>
  <c r="AI28" i="33"/>
  <c r="AH28" i="33"/>
  <c r="AG28" i="33"/>
  <c r="AF28" i="33"/>
  <c r="AE28" i="33"/>
  <c r="AD28" i="33"/>
  <c r="AC28" i="33"/>
  <c r="AB28" i="33"/>
  <c r="AA28" i="33"/>
  <c r="Z28" i="33"/>
  <c r="Y28" i="33"/>
  <c r="X28" i="33"/>
  <c r="W28" i="33"/>
  <c r="V28" i="33"/>
  <c r="U28" i="33"/>
  <c r="T28" i="33"/>
  <c r="S28" i="33"/>
  <c r="R28" i="33"/>
  <c r="Q28" i="33"/>
  <c r="P28" i="33"/>
  <c r="O28" i="33"/>
  <c r="N28" i="33"/>
  <c r="M28" i="33"/>
  <c r="L28" i="33"/>
  <c r="K28" i="33"/>
  <c r="J28" i="33"/>
  <c r="I28" i="33"/>
  <c r="H28" i="33"/>
  <c r="G28" i="33"/>
  <c r="F28" i="33"/>
  <c r="E28" i="33"/>
  <c r="D28" i="33"/>
  <c r="C28" i="33"/>
  <c r="AJ17" i="33"/>
  <c r="AI17" i="33"/>
  <c r="AH17" i="33"/>
  <c r="AG17" i="33"/>
  <c r="AF17" i="33"/>
  <c r="AE17" i="33"/>
  <c r="AD17" i="33"/>
  <c r="AC17" i="33"/>
  <c r="AB17" i="33"/>
  <c r="AA17" i="33"/>
  <c r="Z17" i="33"/>
  <c r="Y17" i="33"/>
  <c r="X17" i="33"/>
  <c r="W17" i="33"/>
  <c r="AJ14" i="33"/>
  <c r="AI14" i="33"/>
  <c r="AI18" i="33" s="1"/>
  <c r="AE14" i="33"/>
  <c r="AE18" i="33" s="1"/>
  <c r="AD14" i="33"/>
  <c r="AD18" i="33" s="1"/>
  <c r="AC14" i="33"/>
  <c r="AC18" i="33" s="1"/>
  <c r="AB14" i="33"/>
  <c r="AB18" i="33" s="1"/>
  <c r="AA14" i="33"/>
  <c r="Z14" i="33"/>
  <c r="Y14" i="33"/>
  <c r="X14" i="33"/>
  <c r="W14" i="33"/>
  <c r="W18" i="33" s="1"/>
  <c r="V14" i="33"/>
  <c r="V18" i="33" s="1"/>
  <c r="U14" i="33"/>
  <c r="U18" i="33" s="1"/>
  <c r="T14" i="33"/>
  <c r="T18" i="33" s="1"/>
  <c r="S14" i="33"/>
  <c r="S18" i="33" s="1"/>
  <c r="R14" i="33"/>
  <c r="R18" i="33" s="1"/>
  <c r="Q14" i="33"/>
  <c r="Q18" i="33" s="1"/>
  <c r="P14" i="33"/>
  <c r="P18" i="33" s="1"/>
  <c r="O14" i="33"/>
  <c r="O18" i="33" s="1"/>
  <c r="N14" i="33"/>
  <c r="N18" i="33" s="1"/>
  <c r="M14" i="33"/>
  <c r="M18" i="33" s="1"/>
  <c r="L14" i="33"/>
  <c r="L18" i="33" s="1"/>
  <c r="K14" i="33"/>
  <c r="K18" i="33" s="1"/>
  <c r="J14" i="33"/>
  <c r="J18" i="33" s="1"/>
  <c r="I14" i="33"/>
  <c r="I18" i="33" s="1"/>
  <c r="H14" i="33"/>
  <c r="H18" i="33" s="1"/>
  <c r="G14" i="33"/>
  <c r="G18" i="33" s="1"/>
  <c r="F14" i="33"/>
  <c r="F18" i="33" s="1"/>
  <c r="E14" i="33"/>
  <c r="E18" i="33" s="1"/>
  <c r="D14" i="33"/>
  <c r="D18" i="33" s="1"/>
  <c r="C14" i="33"/>
  <c r="C18" i="33" s="1"/>
  <c r="AH38" i="33"/>
  <c r="AG38" i="33"/>
  <c r="AF38" i="33"/>
  <c r="AK39" i="33"/>
  <c r="AK35" i="33"/>
  <c r="AB51" i="61"/>
  <c r="AA51" i="61"/>
  <c r="Z51" i="61"/>
  <c r="Y51" i="61"/>
  <c r="X51" i="61"/>
  <c r="W51" i="61"/>
  <c r="R51" i="61"/>
  <c r="Q51" i="61"/>
  <c r="P51" i="61"/>
  <c r="O51" i="61"/>
  <c r="AI50" i="61"/>
  <c r="AH50" i="61"/>
  <c r="AG50" i="61"/>
  <c r="AF50" i="61"/>
  <c r="AE50" i="61"/>
  <c r="AD50" i="61"/>
  <c r="AC50" i="61"/>
  <c r="V50" i="61"/>
  <c r="U50" i="61"/>
  <c r="T50" i="61"/>
  <c r="S50" i="61"/>
  <c r="N50" i="61"/>
  <c r="M50" i="61"/>
  <c r="L50" i="61"/>
  <c r="K50" i="61"/>
  <c r="J50" i="61"/>
  <c r="I50" i="61"/>
  <c r="H50" i="61"/>
  <c r="G50" i="61"/>
  <c r="F50" i="61"/>
  <c r="E50" i="61"/>
  <c r="D50" i="61"/>
  <c r="C50" i="61"/>
  <c r="AI49" i="61"/>
  <c r="AH49" i="61"/>
  <c r="AG49" i="61"/>
  <c r="AF49" i="61"/>
  <c r="AE49" i="61"/>
  <c r="AD49" i="61"/>
  <c r="AC49" i="61"/>
  <c r="V49" i="61"/>
  <c r="U49" i="61"/>
  <c r="T49" i="61"/>
  <c r="S49" i="61"/>
  <c r="N49" i="61"/>
  <c r="M49" i="61"/>
  <c r="L49" i="61"/>
  <c r="K49" i="61"/>
  <c r="J49" i="61"/>
  <c r="I49" i="61"/>
  <c r="H49" i="61"/>
  <c r="G49" i="61"/>
  <c r="E49" i="61"/>
  <c r="D49" i="61"/>
  <c r="AA48" i="61"/>
  <c r="Z48" i="61"/>
  <c r="Y48" i="61"/>
  <c r="X48" i="61"/>
  <c r="W48" i="61"/>
  <c r="AK47" i="61"/>
  <c r="AJ47" i="61"/>
  <c r="AI47" i="61"/>
  <c r="AH47" i="61"/>
  <c r="AG47" i="61"/>
  <c r="AF47" i="61"/>
  <c r="AE47" i="61"/>
  <c r="AD47" i="61"/>
  <c r="AC47" i="61"/>
  <c r="AB47" i="61"/>
  <c r="T47" i="61"/>
  <c r="S47" i="61"/>
  <c r="R47" i="61"/>
  <c r="Q47" i="61"/>
  <c r="P47" i="61"/>
  <c r="O47" i="61"/>
  <c r="N47" i="61"/>
  <c r="M47" i="61"/>
  <c r="L47" i="61"/>
  <c r="K47" i="61"/>
  <c r="J47" i="61"/>
  <c r="I47" i="61"/>
  <c r="H47" i="61"/>
  <c r="G47" i="61"/>
  <c r="F47" i="61"/>
  <c r="E47" i="61"/>
  <c r="D47" i="61"/>
  <c r="C47" i="61"/>
  <c r="AK46" i="61"/>
  <c r="AJ46" i="61"/>
  <c r="AI46" i="61"/>
  <c r="AH46" i="61"/>
  <c r="AG46" i="61"/>
  <c r="AF46" i="61"/>
  <c r="AE46" i="61"/>
  <c r="AD46" i="61"/>
  <c r="AC46" i="61"/>
  <c r="AB46" i="61"/>
  <c r="V46" i="61"/>
  <c r="U46" i="61"/>
  <c r="T46" i="61"/>
  <c r="S46" i="61"/>
  <c r="R46" i="61"/>
  <c r="Q46" i="61"/>
  <c r="P46" i="61"/>
  <c r="O46" i="61"/>
  <c r="N46" i="61"/>
  <c r="M46" i="61"/>
  <c r="L46" i="61"/>
  <c r="K46" i="61"/>
  <c r="J46" i="61"/>
  <c r="I46" i="61"/>
  <c r="H46" i="61"/>
  <c r="G46" i="61"/>
  <c r="F46" i="61"/>
  <c r="E46" i="61"/>
  <c r="D46" i="61"/>
  <c r="C46" i="61"/>
  <c r="AK45" i="61"/>
  <c r="AJ45" i="61"/>
  <c r="AI45" i="61"/>
  <c r="AH45" i="61"/>
  <c r="AG45" i="61"/>
  <c r="AF45" i="61"/>
  <c r="AE45" i="61"/>
  <c r="AD45" i="61"/>
  <c r="AC45" i="61"/>
  <c r="AB45" i="61"/>
  <c r="V45" i="61"/>
  <c r="U45" i="61"/>
  <c r="T45" i="61"/>
  <c r="S45" i="61"/>
  <c r="R45" i="61"/>
  <c r="Q45" i="61"/>
  <c r="P45" i="61"/>
  <c r="O45" i="61"/>
  <c r="N45" i="61"/>
  <c r="M45" i="61"/>
  <c r="L45" i="61"/>
  <c r="K45" i="61"/>
  <c r="J45" i="61"/>
  <c r="I45" i="61"/>
  <c r="H45" i="61"/>
  <c r="G45" i="61"/>
  <c r="F45" i="61"/>
  <c r="E45" i="61"/>
  <c r="D45" i="61"/>
  <c r="C45" i="61"/>
  <c r="AI44" i="61"/>
  <c r="AH44" i="61"/>
  <c r="AG44" i="61"/>
  <c r="AF44" i="61"/>
  <c r="AE44" i="61"/>
  <c r="AD44" i="61"/>
  <c r="AC44" i="61"/>
  <c r="V44" i="61"/>
  <c r="U44" i="61"/>
  <c r="T44" i="61"/>
  <c r="S44" i="61"/>
  <c r="R44" i="61"/>
  <c r="Q44" i="61"/>
  <c r="P44" i="61"/>
  <c r="O44" i="61"/>
  <c r="N44" i="61"/>
  <c r="M44" i="61"/>
  <c r="L44" i="61"/>
  <c r="K44" i="61"/>
  <c r="J44" i="61"/>
  <c r="I44" i="61"/>
  <c r="H44" i="61"/>
  <c r="G44" i="61"/>
  <c r="F44" i="61"/>
  <c r="E44" i="61"/>
  <c r="D44" i="61"/>
  <c r="C44" i="61"/>
  <c r="AI43" i="61"/>
  <c r="AH43" i="61"/>
  <c r="AG43" i="61"/>
  <c r="AF43" i="61"/>
  <c r="AE43" i="61"/>
  <c r="AD43" i="61"/>
  <c r="AC43" i="61"/>
  <c r="V43" i="61"/>
  <c r="U43" i="61"/>
  <c r="T43" i="61"/>
  <c r="S43" i="61"/>
  <c r="R43" i="61"/>
  <c r="Q43" i="61"/>
  <c r="P43" i="61"/>
  <c r="O43" i="61"/>
  <c r="N43" i="61"/>
  <c r="M43" i="61"/>
  <c r="L43" i="61"/>
  <c r="K43" i="61"/>
  <c r="J43" i="61"/>
  <c r="I43" i="61"/>
  <c r="H43" i="61"/>
  <c r="G43" i="61"/>
  <c r="F43" i="61"/>
  <c r="E43" i="61"/>
  <c r="D43" i="61"/>
  <c r="C43" i="61"/>
  <c r="AI42" i="61"/>
  <c r="AH42" i="61"/>
  <c r="AG42" i="61"/>
  <c r="AF42" i="61"/>
  <c r="AE42" i="61"/>
  <c r="AD42" i="61"/>
  <c r="AC42" i="61"/>
  <c r="V42" i="61"/>
  <c r="U42" i="61"/>
  <c r="T42" i="61"/>
  <c r="S42" i="61"/>
  <c r="R42" i="61"/>
  <c r="Q42" i="61"/>
  <c r="P42" i="61"/>
  <c r="O42" i="61"/>
  <c r="N42" i="61"/>
  <c r="M42" i="61"/>
  <c r="L42" i="61"/>
  <c r="K42" i="61"/>
  <c r="J42" i="61"/>
  <c r="I42" i="61"/>
  <c r="H42" i="61"/>
  <c r="G42" i="61"/>
  <c r="F42" i="61"/>
  <c r="E42" i="61"/>
  <c r="D42" i="61"/>
  <c r="C42" i="61"/>
  <c r="AI41" i="61"/>
  <c r="AH41" i="61"/>
  <c r="AG41" i="61"/>
  <c r="AF41" i="61"/>
  <c r="AE41" i="61"/>
  <c r="AD41" i="61"/>
  <c r="AC41" i="61"/>
  <c r="V41" i="61"/>
  <c r="U41" i="61"/>
  <c r="T41" i="61"/>
  <c r="S41" i="61"/>
  <c r="R41" i="61"/>
  <c r="Q41" i="61"/>
  <c r="P41" i="61"/>
  <c r="O41" i="61"/>
  <c r="N41" i="61"/>
  <c r="M41" i="61"/>
  <c r="L41" i="61"/>
  <c r="K41" i="61"/>
  <c r="J41" i="61"/>
  <c r="I41" i="61"/>
  <c r="H41" i="61"/>
  <c r="G41" i="61"/>
  <c r="F41" i="61"/>
  <c r="E41" i="61"/>
  <c r="D41" i="61"/>
  <c r="C41" i="61"/>
  <c r="AI40" i="61"/>
  <c r="AH40" i="61"/>
  <c r="AG40" i="61"/>
  <c r="AF40" i="61"/>
  <c r="AE40" i="61"/>
  <c r="AD40" i="61"/>
  <c r="AC40" i="61"/>
  <c r="V40" i="61"/>
  <c r="U40" i="61"/>
  <c r="T40" i="61"/>
  <c r="S40" i="61"/>
  <c r="R40" i="61"/>
  <c r="Q40" i="61"/>
  <c r="P40" i="61"/>
  <c r="O40" i="61"/>
  <c r="N40" i="61"/>
  <c r="M40" i="61"/>
  <c r="L40" i="61"/>
  <c r="K40" i="61"/>
  <c r="J40" i="61"/>
  <c r="I40" i="61"/>
  <c r="H40" i="61"/>
  <c r="G40" i="61"/>
  <c r="F40" i="61"/>
  <c r="E40" i="61"/>
  <c r="D40" i="61"/>
  <c r="C40" i="61"/>
  <c r="AI39" i="61"/>
  <c r="AH39" i="61"/>
  <c r="AG39" i="61"/>
  <c r="AF39" i="61"/>
  <c r="AE39" i="61"/>
  <c r="AD39" i="61"/>
  <c r="AC39" i="61"/>
  <c r="V39" i="61"/>
  <c r="U39" i="61"/>
  <c r="T39" i="61"/>
  <c r="S39" i="61"/>
  <c r="R39" i="61"/>
  <c r="Q39" i="61"/>
  <c r="P39" i="61"/>
  <c r="O39" i="61"/>
  <c r="N39" i="61"/>
  <c r="M39" i="61"/>
  <c r="L39" i="61"/>
  <c r="K39" i="61"/>
  <c r="J39" i="61"/>
  <c r="I39" i="61"/>
  <c r="H39" i="61"/>
  <c r="G39" i="61"/>
  <c r="F39" i="61"/>
  <c r="E39" i="61"/>
  <c r="D39" i="61"/>
  <c r="C39" i="61"/>
  <c r="AI38" i="61"/>
  <c r="AH38" i="61"/>
  <c r="AG38" i="61"/>
  <c r="AF38" i="61"/>
  <c r="AE38" i="61"/>
  <c r="AD38" i="61"/>
  <c r="AC38" i="61"/>
  <c r="V38" i="61"/>
  <c r="U38" i="61"/>
  <c r="T38" i="61"/>
  <c r="S38" i="61"/>
  <c r="R38" i="61"/>
  <c r="Q38" i="61"/>
  <c r="P38" i="61"/>
  <c r="AI35" i="61"/>
  <c r="AH35" i="61"/>
  <c r="AG35" i="61"/>
  <c r="AF35" i="61"/>
  <c r="AE35" i="61"/>
  <c r="AD35" i="61"/>
  <c r="AC35" i="61"/>
  <c r="AB35" i="61"/>
  <c r="AA35" i="61"/>
  <c r="Z35" i="61"/>
  <c r="Y35" i="61"/>
  <c r="X35" i="61"/>
  <c r="W35" i="61"/>
  <c r="V35" i="61"/>
  <c r="U35" i="61"/>
  <c r="T35" i="61"/>
  <c r="S35" i="61"/>
  <c r="R35" i="61"/>
  <c r="Q35" i="61"/>
  <c r="P35" i="61"/>
  <c r="O35" i="61"/>
  <c r="N35" i="61"/>
  <c r="M35" i="61"/>
  <c r="L35" i="61"/>
  <c r="K35" i="61"/>
  <c r="J35" i="61"/>
  <c r="I35" i="61"/>
  <c r="H35" i="61"/>
  <c r="G35" i="61"/>
  <c r="F35" i="61"/>
  <c r="E35" i="61"/>
  <c r="D35" i="61"/>
  <c r="C35" i="61"/>
  <c r="AI32" i="61"/>
  <c r="AH32" i="61"/>
  <c r="AG32" i="61"/>
  <c r="AF32" i="61"/>
  <c r="AE32" i="61"/>
  <c r="AD32" i="61"/>
  <c r="AC32" i="61"/>
  <c r="AB32" i="61"/>
  <c r="AA32" i="61"/>
  <c r="Z32" i="61"/>
  <c r="Y32" i="61"/>
  <c r="X32" i="61"/>
  <c r="W32" i="61"/>
  <c r="V32" i="61"/>
  <c r="U32" i="61"/>
  <c r="T32" i="61"/>
  <c r="S32" i="61"/>
  <c r="R32" i="61"/>
  <c r="Q32" i="61"/>
  <c r="P32" i="61"/>
  <c r="O32" i="61"/>
  <c r="N32" i="61"/>
  <c r="M32" i="61"/>
  <c r="L32" i="61"/>
  <c r="K32" i="61"/>
  <c r="J32" i="61"/>
  <c r="I32" i="61"/>
  <c r="H32" i="61"/>
  <c r="G32" i="61"/>
  <c r="F32" i="61"/>
  <c r="E32" i="61"/>
  <c r="D32" i="61"/>
  <c r="C32" i="61"/>
  <c r="AI19" i="61"/>
  <c r="AI20" i="61" s="1"/>
  <c r="AH19" i="61"/>
  <c r="AH20" i="61" s="1"/>
  <c r="AG19" i="61"/>
  <c r="AG20" i="61" s="1"/>
  <c r="AF19" i="61"/>
  <c r="AF20" i="61" s="1"/>
  <c r="AE19" i="61"/>
  <c r="AE20" i="61" s="1"/>
  <c r="AD19" i="61"/>
  <c r="AD20" i="61" s="1"/>
  <c r="AC19" i="61"/>
  <c r="AC20" i="61" s="1"/>
  <c r="AB19" i="61"/>
  <c r="AB20" i="61" s="1"/>
  <c r="AA19" i="61"/>
  <c r="AA20" i="61" s="1"/>
  <c r="Z19" i="61"/>
  <c r="Z20" i="61" s="1"/>
  <c r="Y19" i="61"/>
  <c r="Y20" i="61" s="1"/>
  <c r="X19" i="61"/>
  <c r="X20" i="61" s="1"/>
  <c r="W19" i="61"/>
  <c r="W20" i="61" s="1"/>
  <c r="V19" i="61"/>
  <c r="V20" i="61" s="1"/>
  <c r="U19" i="61"/>
  <c r="U20" i="61" s="1"/>
  <c r="T19" i="61"/>
  <c r="T20" i="61" s="1"/>
  <c r="S19" i="61"/>
  <c r="S20" i="61" s="1"/>
  <c r="R19" i="61"/>
  <c r="R20" i="61" s="1"/>
  <c r="Q19" i="61"/>
  <c r="Q20" i="61" s="1"/>
  <c r="P19" i="61"/>
  <c r="P20" i="61" s="1"/>
  <c r="O19" i="61"/>
  <c r="O20" i="61" s="1"/>
  <c r="N19" i="61"/>
  <c r="N20" i="61" s="1"/>
  <c r="M19" i="61"/>
  <c r="M20" i="61" s="1"/>
  <c r="L19" i="61"/>
  <c r="L20" i="61" s="1"/>
  <c r="K19" i="61"/>
  <c r="K20" i="61" s="1"/>
  <c r="J19" i="61"/>
  <c r="J20" i="61" s="1"/>
  <c r="I19" i="61"/>
  <c r="I20" i="61" s="1"/>
  <c r="H19" i="61"/>
  <c r="H20" i="61" s="1"/>
  <c r="G19" i="61"/>
  <c r="G20" i="61" s="1"/>
  <c r="E19" i="61"/>
  <c r="E20" i="61" s="1"/>
  <c r="D19" i="61"/>
  <c r="D20" i="61" s="1"/>
  <c r="AI16" i="61"/>
  <c r="AH16" i="61"/>
  <c r="AG16" i="61"/>
  <c r="AF16" i="61"/>
  <c r="AE16" i="61"/>
  <c r="AD16" i="61"/>
  <c r="AC16" i="61"/>
  <c r="AB16" i="61"/>
  <c r="AA16" i="61"/>
  <c r="Z16" i="61"/>
  <c r="Y16" i="61"/>
  <c r="X16" i="61"/>
  <c r="W16" i="61"/>
  <c r="V16" i="61"/>
  <c r="U16" i="61"/>
  <c r="T16" i="61"/>
  <c r="S16" i="61"/>
  <c r="R16" i="61"/>
  <c r="Q16" i="61"/>
  <c r="P16" i="61"/>
  <c r="O16" i="61"/>
  <c r="N16" i="61"/>
  <c r="M16" i="61"/>
  <c r="L16" i="61"/>
  <c r="K16" i="61"/>
  <c r="J16" i="61"/>
  <c r="I16" i="61"/>
  <c r="H16" i="61"/>
  <c r="G16" i="61"/>
  <c r="F16" i="61"/>
  <c r="F17" i="61" s="1"/>
  <c r="E16" i="61"/>
  <c r="D16" i="61"/>
  <c r="C16" i="61"/>
  <c r="C17" i="61" s="1"/>
  <c r="AJ41" i="61"/>
  <c r="AJ40" i="61"/>
  <c r="AJ30" i="32"/>
  <c r="AI29" i="32"/>
  <c r="AH29" i="32"/>
  <c r="AG29" i="32"/>
  <c r="AF29" i="32"/>
  <c r="AE29" i="32"/>
  <c r="AD29" i="32"/>
  <c r="AC29" i="32"/>
  <c r="AB29" i="32"/>
  <c r="AA29" i="32"/>
  <c r="Z29" i="32"/>
  <c r="Y29" i="32"/>
  <c r="X29" i="32"/>
  <c r="W29" i="32"/>
  <c r="V29" i="32"/>
  <c r="U29" i="32"/>
  <c r="T29" i="32"/>
  <c r="S29" i="32"/>
  <c r="R29" i="32"/>
  <c r="Q29" i="32"/>
  <c r="P29" i="32"/>
  <c r="O29" i="32"/>
  <c r="N29" i="32"/>
  <c r="M29" i="32"/>
  <c r="L29" i="32"/>
  <c r="K29" i="32"/>
  <c r="J29" i="32"/>
  <c r="I29" i="32"/>
  <c r="H29" i="32"/>
  <c r="G29" i="32"/>
  <c r="F29" i="32"/>
  <c r="E29" i="32"/>
  <c r="D29" i="32"/>
  <c r="C29" i="32"/>
  <c r="AI28" i="32"/>
  <c r="AH28" i="32"/>
  <c r="AG28" i="32"/>
  <c r="AF28" i="32"/>
  <c r="AE28" i="32"/>
  <c r="AD28" i="32"/>
  <c r="AC28" i="32"/>
  <c r="AB28" i="32"/>
  <c r="AA28" i="32"/>
  <c r="Z28" i="32"/>
  <c r="Y28" i="32"/>
  <c r="X28" i="32"/>
  <c r="W28" i="32"/>
  <c r="V28" i="32"/>
  <c r="U28" i="32"/>
  <c r="T28" i="32"/>
  <c r="S28" i="32"/>
  <c r="R28" i="32"/>
  <c r="Q28" i="32"/>
  <c r="P28" i="32"/>
  <c r="O28" i="32"/>
  <c r="N28" i="32"/>
  <c r="M28" i="32"/>
  <c r="L28" i="32"/>
  <c r="K28" i="32"/>
  <c r="J28" i="32"/>
  <c r="I28" i="32"/>
  <c r="H28" i="32"/>
  <c r="G28" i="32"/>
  <c r="F28" i="32"/>
  <c r="E28" i="32"/>
  <c r="D28" i="32"/>
  <c r="C28" i="32"/>
  <c r="AI27" i="32"/>
  <c r="AH27" i="32"/>
  <c r="AG27" i="32"/>
  <c r="AF27" i="32"/>
  <c r="AE27" i="32"/>
  <c r="AD27" i="32"/>
  <c r="AC27" i="32"/>
  <c r="AB27" i="32"/>
  <c r="AA27" i="32"/>
  <c r="Z27" i="32"/>
  <c r="Y27" i="32"/>
  <c r="X27" i="32"/>
  <c r="W27" i="32"/>
  <c r="V27" i="32"/>
  <c r="U27" i="32"/>
  <c r="T27" i="32"/>
  <c r="S27" i="32"/>
  <c r="R27" i="32"/>
  <c r="Q27" i="32"/>
  <c r="P27" i="32"/>
  <c r="O27" i="32"/>
  <c r="N27" i="32"/>
  <c r="M27" i="32"/>
  <c r="L27" i="32"/>
  <c r="K27" i="32"/>
  <c r="J27" i="32"/>
  <c r="I27" i="32"/>
  <c r="H27" i="32"/>
  <c r="G27" i="32"/>
  <c r="F27" i="32"/>
  <c r="E27" i="32"/>
  <c r="D27" i="32"/>
  <c r="C27" i="32"/>
  <c r="AI26" i="32"/>
  <c r="AH26" i="32"/>
  <c r="AG26" i="32"/>
  <c r="AF26" i="32"/>
  <c r="AE26" i="32"/>
  <c r="AD26" i="32"/>
  <c r="AC26" i="32"/>
  <c r="AB26" i="32"/>
  <c r="AA26" i="32"/>
  <c r="Z26" i="32"/>
  <c r="X26" i="32"/>
  <c r="W26" i="32"/>
  <c r="V26" i="32"/>
  <c r="U26" i="32"/>
  <c r="T26" i="32"/>
  <c r="S26" i="32"/>
  <c r="R26" i="32"/>
  <c r="Q26" i="32"/>
  <c r="P26" i="32"/>
  <c r="O26" i="32"/>
  <c r="N26" i="32"/>
  <c r="M26" i="32"/>
  <c r="L26" i="32"/>
  <c r="K26" i="32"/>
  <c r="J26" i="32"/>
  <c r="I26" i="32"/>
  <c r="H26" i="32"/>
  <c r="G26" i="32"/>
  <c r="F26" i="32"/>
  <c r="E26" i="32"/>
  <c r="D26" i="32"/>
  <c r="C26" i="32"/>
  <c r="AI25" i="32"/>
  <c r="AH25" i="32"/>
  <c r="AG25" i="32"/>
  <c r="AF25" i="32"/>
  <c r="AE25" i="32"/>
  <c r="AD25" i="32"/>
  <c r="AC25" i="32"/>
  <c r="AB25" i="32"/>
  <c r="AA25" i="32"/>
  <c r="Z25" i="32"/>
  <c r="X25" i="32"/>
  <c r="W25" i="32"/>
  <c r="V25" i="32"/>
  <c r="U25" i="32"/>
  <c r="T25" i="32"/>
  <c r="S25" i="32"/>
  <c r="R25" i="32"/>
  <c r="Q25" i="32"/>
  <c r="P25" i="32"/>
  <c r="O25" i="32"/>
  <c r="N25" i="32"/>
  <c r="M25" i="32"/>
  <c r="L25" i="32"/>
  <c r="K25" i="32"/>
  <c r="J25" i="32"/>
  <c r="I25" i="32"/>
  <c r="H25" i="32"/>
  <c r="G25" i="32"/>
  <c r="F25" i="32"/>
  <c r="E25" i="32"/>
  <c r="D25" i="32"/>
  <c r="C25" i="32"/>
  <c r="AA24" i="32"/>
  <c r="Z24" i="32"/>
  <c r="C24" i="32"/>
  <c r="AA21" i="32"/>
  <c r="AB15" i="32" s="1"/>
  <c r="AB21" i="32" s="1"/>
  <c r="AC15" i="32" s="1"/>
  <c r="AC21" i="32" s="1"/>
  <c r="AD15" i="32" s="1"/>
  <c r="AD21" i="32" s="1"/>
  <c r="AE15" i="32" s="1"/>
  <c r="AE21" i="32" s="1"/>
  <c r="AF15" i="32" s="1"/>
  <c r="AF21" i="32" s="1"/>
  <c r="AG15" i="32" s="1"/>
  <c r="AG21" i="32" s="1"/>
  <c r="AH15" i="32" s="1"/>
  <c r="AH21" i="32" s="1"/>
  <c r="Z21" i="32"/>
  <c r="V21" i="32"/>
  <c r="W15" i="32" s="1"/>
  <c r="W21" i="32" s="1"/>
  <c r="X15" i="32" s="1"/>
  <c r="X21" i="32" s="1"/>
  <c r="Y15" i="32" s="1"/>
  <c r="U21" i="32"/>
  <c r="T21" i="32"/>
  <c r="Q21" i="32"/>
  <c r="R15" i="32" s="1"/>
  <c r="R21" i="32" s="1"/>
  <c r="S15" i="32" s="1"/>
  <c r="S21" i="32" s="1"/>
  <c r="P21" i="32"/>
  <c r="O21" i="32"/>
  <c r="C21" i="32"/>
  <c r="D15" i="32" s="1"/>
  <c r="D21" i="32" s="1"/>
  <c r="E15" i="32" s="1"/>
  <c r="E21" i="32" s="1"/>
  <c r="F15" i="32" s="1"/>
  <c r="F21" i="32" s="1"/>
  <c r="G15" i="32" s="1"/>
  <c r="G21" i="32" s="1"/>
  <c r="H15" i="32" s="1"/>
  <c r="H21" i="32" s="1"/>
  <c r="I15" i="32" s="1"/>
  <c r="I21" i="32" s="1"/>
  <c r="J15" i="32" s="1"/>
  <c r="J21" i="32" s="1"/>
  <c r="K15" i="32" s="1"/>
  <c r="K21" i="32" s="1"/>
  <c r="L15" i="32" s="1"/>
  <c r="L21" i="32" s="1"/>
  <c r="M15" i="32" s="1"/>
  <c r="M21" i="32" s="1"/>
  <c r="N15" i="32" s="1"/>
  <c r="N21" i="32" s="1"/>
  <c r="Y17" i="32"/>
  <c r="Y16" i="32"/>
  <c r="K13" i="32"/>
  <c r="AA12" i="32"/>
  <c r="Z12" i="32"/>
  <c r="Z13" i="32" s="1"/>
  <c r="V12" i="32"/>
  <c r="W6" i="32" s="1"/>
  <c r="W12" i="32" s="1"/>
  <c r="U12" i="32"/>
  <c r="U13" i="32" s="1"/>
  <c r="T12" i="32"/>
  <c r="Q12" i="32"/>
  <c r="R6" i="32" s="1"/>
  <c r="P12" i="32"/>
  <c r="O12" i="32"/>
  <c r="C12" i="32"/>
  <c r="AK27" i="32"/>
  <c r="AK26" i="32"/>
  <c r="Y8" i="32"/>
  <c r="Y7" i="32"/>
  <c r="L6" i="32"/>
  <c r="AI30" i="31"/>
  <c r="AI29" i="31" s="1"/>
  <c r="Q30" i="31"/>
  <c r="Q29" i="31" s="1"/>
  <c r="AH28" i="31"/>
  <c r="AG28" i="31"/>
  <c r="AF28" i="31"/>
  <c r="AE28" i="31"/>
  <c r="AD28" i="31"/>
  <c r="AC28" i="31"/>
  <c r="AB28" i="31"/>
  <c r="AA28" i="31"/>
  <c r="Z28" i="31"/>
  <c r="Y28" i="31"/>
  <c r="X28" i="31"/>
  <c r="W28" i="31"/>
  <c r="V28" i="31"/>
  <c r="U28" i="31"/>
  <c r="T28" i="31"/>
  <c r="S28" i="31"/>
  <c r="R28" i="31"/>
  <c r="P28" i="31"/>
  <c r="O28" i="31"/>
  <c r="N28" i="31"/>
  <c r="M28" i="31"/>
  <c r="L28" i="31"/>
  <c r="K28" i="31"/>
  <c r="J28" i="31"/>
  <c r="I28" i="31"/>
  <c r="H28" i="31"/>
  <c r="G28" i="31"/>
  <c r="F28" i="31"/>
  <c r="E28" i="31"/>
  <c r="D28" i="31"/>
  <c r="C28" i="31"/>
  <c r="AH27" i="31"/>
  <c r="AG27" i="31"/>
  <c r="AF27" i="31"/>
  <c r="AE27" i="31"/>
  <c r="AD27" i="31"/>
  <c r="AC27" i="31"/>
  <c r="AB27" i="31"/>
  <c r="AA27" i="31"/>
  <c r="Z27" i="31"/>
  <c r="Y27" i="31"/>
  <c r="X27" i="31"/>
  <c r="W27" i="31"/>
  <c r="V27" i="31"/>
  <c r="U27" i="31"/>
  <c r="T27" i="31"/>
  <c r="S27" i="31"/>
  <c r="R27" i="31"/>
  <c r="P27" i="31"/>
  <c r="O27" i="31"/>
  <c r="N27" i="31"/>
  <c r="M27" i="31"/>
  <c r="L27" i="31"/>
  <c r="K27" i="31"/>
  <c r="J27" i="31"/>
  <c r="I27" i="31"/>
  <c r="H27" i="31"/>
  <c r="G27" i="31"/>
  <c r="F27" i="31"/>
  <c r="E27" i="31"/>
  <c r="D27" i="31"/>
  <c r="C27" i="31"/>
  <c r="AH26" i="31"/>
  <c r="AG26" i="31"/>
  <c r="AF26" i="31"/>
  <c r="AE26" i="31"/>
  <c r="AD26" i="31"/>
  <c r="AC26" i="31"/>
  <c r="AB26" i="31"/>
  <c r="AA26" i="31"/>
  <c r="Z26" i="31"/>
  <c r="Y26" i="31"/>
  <c r="X26" i="31"/>
  <c r="W26" i="31"/>
  <c r="V26" i="31"/>
  <c r="U26" i="31"/>
  <c r="T26" i="31"/>
  <c r="S26" i="31"/>
  <c r="R26" i="31"/>
  <c r="P26" i="31"/>
  <c r="O26" i="31"/>
  <c r="N26" i="31"/>
  <c r="M26" i="31"/>
  <c r="L26" i="31"/>
  <c r="K26" i="31"/>
  <c r="J26" i="31"/>
  <c r="I26" i="31"/>
  <c r="H26" i="31"/>
  <c r="G26" i="31"/>
  <c r="F26" i="31"/>
  <c r="E26" i="31"/>
  <c r="D26" i="31"/>
  <c r="C26" i="31"/>
  <c r="AH25" i="31"/>
  <c r="AG25" i="31"/>
  <c r="AF25" i="31"/>
  <c r="AE25" i="31"/>
  <c r="AD25" i="31"/>
  <c r="AC25" i="31"/>
  <c r="AB25" i="31"/>
  <c r="AA25" i="31"/>
  <c r="Z25" i="31"/>
  <c r="Y25" i="31"/>
  <c r="X25" i="31"/>
  <c r="W25" i="31"/>
  <c r="V25" i="31"/>
  <c r="U25" i="31"/>
  <c r="T25" i="31"/>
  <c r="S25" i="31"/>
  <c r="R25" i="31"/>
  <c r="P25" i="31"/>
  <c r="O25" i="31"/>
  <c r="N25" i="31"/>
  <c r="M25" i="31"/>
  <c r="L25" i="31"/>
  <c r="K25" i="31"/>
  <c r="J25" i="31"/>
  <c r="I25" i="31"/>
  <c r="H25" i="31"/>
  <c r="G25" i="31"/>
  <c r="F25" i="31"/>
  <c r="E25" i="31"/>
  <c r="D25" i="31"/>
  <c r="C25" i="31"/>
  <c r="AH24" i="31"/>
  <c r="AG24" i="31"/>
  <c r="AF24" i="31"/>
  <c r="AE24" i="31"/>
  <c r="AD24" i="31"/>
  <c r="AC24" i="31"/>
  <c r="AB24" i="31"/>
  <c r="AA24" i="31"/>
  <c r="Z24" i="31"/>
  <c r="Y24" i="31"/>
  <c r="X24" i="31"/>
  <c r="W24" i="31"/>
  <c r="V24" i="31"/>
  <c r="U24" i="31"/>
  <c r="T24" i="31"/>
  <c r="S24" i="31"/>
  <c r="R24" i="31"/>
  <c r="P24" i="31"/>
  <c r="O24" i="31"/>
  <c r="N24" i="31"/>
  <c r="M24" i="31"/>
  <c r="L24" i="31"/>
  <c r="K24" i="31"/>
  <c r="J24" i="31"/>
  <c r="I24" i="31"/>
  <c r="H24" i="31"/>
  <c r="G24" i="31"/>
  <c r="F24" i="31"/>
  <c r="E24" i="31"/>
  <c r="D24" i="31"/>
  <c r="C24" i="31"/>
  <c r="AI21" i="31"/>
  <c r="AI20" i="31" s="1"/>
  <c r="AH21" i="31"/>
  <c r="AH20" i="31" s="1"/>
  <c r="AG21" i="31"/>
  <c r="AG20" i="31" s="1"/>
  <c r="AF21" i="31"/>
  <c r="AF20" i="31" s="1"/>
  <c r="AE21" i="31"/>
  <c r="AE20" i="31" s="1"/>
  <c r="AD21" i="31"/>
  <c r="AD20" i="31" s="1"/>
  <c r="AC21" i="31"/>
  <c r="AC20" i="31" s="1"/>
  <c r="AB21" i="31"/>
  <c r="AB20" i="31" s="1"/>
  <c r="AA21" i="31"/>
  <c r="AA20" i="31" s="1"/>
  <c r="Z21" i="31"/>
  <c r="Z20" i="31" s="1"/>
  <c r="Y21" i="31"/>
  <c r="Y20" i="31" s="1"/>
  <c r="X21" i="31"/>
  <c r="X20" i="31" s="1"/>
  <c r="W21" i="31"/>
  <c r="W20" i="31" s="1"/>
  <c r="V21" i="31"/>
  <c r="V20" i="31" s="1"/>
  <c r="U21" i="31"/>
  <c r="U20" i="31" s="1"/>
  <c r="T21" i="31"/>
  <c r="T20" i="31" s="1"/>
  <c r="S21" i="31"/>
  <c r="S20" i="31" s="1"/>
  <c r="R21" i="31"/>
  <c r="R20" i="31" s="1"/>
  <c r="Q21" i="31"/>
  <c r="Q20" i="31" s="1"/>
  <c r="P21" i="31"/>
  <c r="P20" i="31" s="1"/>
  <c r="O21" i="31"/>
  <c r="O20" i="31" s="1"/>
  <c r="N21" i="31"/>
  <c r="N20" i="31" s="1"/>
  <c r="M21" i="31"/>
  <c r="M20" i="31" s="1"/>
  <c r="L21" i="31"/>
  <c r="L20" i="31" s="1"/>
  <c r="K21" i="31"/>
  <c r="K20" i="31" s="1"/>
  <c r="J21" i="31"/>
  <c r="J20" i="31" s="1"/>
  <c r="I21" i="31"/>
  <c r="I20" i="31" s="1"/>
  <c r="H21" i="31"/>
  <c r="H20" i="31" s="1"/>
  <c r="G21" i="31"/>
  <c r="G20" i="31" s="1"/>
  <c r="F21" i="31"/>
  <c r="F20" i="31" s="1"/>
  <c r="E21" i="31"/>
  <c r="E20" i="31" s="1"/>
  <c r="D21" i="31"/>
  <c r="D20" i="31" s="1"/>
  <c r="C21" i="31"/>
  <c r="C20" i="31" s="1"/>
  <c r="AI12" i="31"/>
  <c r="AI11" i="31" s="1"/>
  <c r="AH12" i="31"/>
  <c r="AH11" i="31" s="1"/>
  <c r="AG12" i="31"/>
  <c r="AG11" i="31" s="1"/>
  <c r="AF12" i="31"/>
  <c r="AF11" i="31" s="1"/>
  <c r="AE12" i="31"/>
  <c r="AE11" i="31" s="1"/>
  <c r="AD12" i="31"/>
  <c r="AD11" i="31" s="1"/>
  <c r="AC12" i="31"/>
  <c r="AC11" i="31" s="1"/>
  <c r="AB12" i="31"/>
  <c r="AB11" i="31" s="1"/>
  <c r="AA12" i="31"/>
  <c r="AA11" i="31" s="1"/>
  <c r="Z12" i="31"/>
  <c r="Z11" i="31" s="1"/>
  <c r="Y12" i="31"/>
  <c r="X12" i="31"/>
  <c r="X11" i="31" s="1"/>
  <c r="W12" i="31"/>
  <c r="W11" i="31" s="1"/>
  <c r="V12" i="31"/>
  <c r="V11" i="31" s="1"/>
  <c r="U12" i="31"/>
  <c r="U11" i="31" s="1"/>
  <c r="T12" i="31"/>
  <c r="T11" i="31" s="1"/>
  <c r="S12" i="31"/>
  <c r="S11" i="31" s="1"/>
  <c r="R12" i="31"/>
  <c r="R11" i="31" s="1"/>
  <c r="Q12" i="31"/>
  <c r="Q11" i="31" s="1"/>
  <c r="P12" i="31"/>
  <c r="P11" i="31" s="1"/>
  <c r="O12" i="31"/>
  <c r="O11" i="31" s="1"/>
  <c r="N12" i="31"/>
  <c r="N11" i="31" s="1"/>
  <c r="M12" i="31"/>
  <c r="M11" i="31" s="1"/>
  <c r="L12" i="31"/>
  <c r="L11" i="31" s="1"/>
  <c r="K12" i="31"/>
  <c r="K11" i="31" s="1"/>
  <c r="J12" i="31"/>
  <c r="J11" i="31" s="1"/>
  <c r="I12" i="31"/>
  <c r="H12" i="31"/>
  <c r="H11" i="31" s="1"/>
  <c r="G12" i="31"/>
  <c r="G11" i="31" s="1"/>
  <c r="F12" i="31"/>
  <c r="F11" i="31" s="1"/>
  <c r="E12" i="31"/>
  <c r="E11" i="31" s="1"/>
  <c r="D12" i="31"/>
  <c r="D11" i="31" s="1"/>
  <c r="C12" i="31"/>
  <c r="C11" i="31" s="1"/>
  <c r="AJ27" i="31"/>
  <c r="AJ26" i="31"/>
  <c r="AH24" i="30"/>
  <c r="AG24" i="30"/>
  <c r="AF24" i="30"/>
  <c r="AE24" i="30"/>
  <c r="AD24" i="30"/>
  <c r="AC24" i="30"/>
  <c r="AB24" i="30"/>
  <c r="V24" i="30"/>
  <c r="U24" i="30"/>
  <c r="T24" i="30"/>
  <c r="S24" i="30"/>
  <c r="N24" i="30"/>
  <c r="M24" i="30"/>
  <c r="L24" i="30"/>
  <c r="K24" i="30"/>
  <c r="J24" i="30"/>
  <c r="I24" i="30"/>
  <c r="H24" i="30"/>
  <c r="G24" i="30"/>
  <c r="F24" i="30"/>
  <c r="E24" i="30"/>
  <c r="D24" i="30"/>
  <c r="C24" i="30"/>
  <c r="AJ22" i="30"/>
  <c r="AJ25" i="30" s="1"/>
  <c r="AA22" i="30"/>
  <c r="AA25" i="30" s="1"/>
  <c r="Z22" i="30"/>
  <c r="Z25" i="30" s="1"/>
  <c r="Y22" i="30"/>
  <c r="Y25" i="30" s="1"/>
  <c r="X22" i="30"/>
  <c r="X25" i="30" s="1"/>
  <c r="W22" i="30"/>
  <c r="W25" i="30" s="1"/>
  <c r="R22" i="30"/>
  <c r="R25" i="30" s="1"/>
  <c r="Q22" i="30"/>
  <c r="Q25" i="30" s="1"/>
  <c r="P22" i="30"/>
  <c r="P25" i="30" s="1"/>
  <c r="O22" i="30"/>
  <c r="O25" i="30" s="1"/>
  <c r="AI21" i="30"/>
  <c r="AI22" i="30" s="1"/>
  <c r="AH21" i="30"/>
  <c r="AH22" i="30" s="1"/>
  <c r="AG21" i="30"/>
  <c r="AG22" i="30" s="1"/>
  <c r="AF21" i="30"/>
  <c r="AF22" i="30" s="1"/>
  <c r="AE21" i="30"/>
  <c r="AE22" i="30" s="1"/>
  <c r="AD21" i="30"/>
  <c r="AD22" i="30" s="1"/>
  <c r="AC21" i="30"/>
  <c r="AC22" i="30" s="1"/>
  <c r="AB21" i="30"/>
  <c r="AB22" i="30" s="1"/>
  <c r="V21" i="30"/>
  <c r="V22" i="30" s="1"/>
  <c r="U21" i="30"/>
  <c r="U22" i="30" s="1"/>
  <c r="T21" i="30"/>
  <c r="T22" i="30" s="1"/>
  <c r="S21" i="30"/>
  <c r="S22" i="30" s="1"/>
  <c r="N21" i="30"/>
  <c r="N22" i="30" s="1"/>
  <c r="M21" i="30"/>
  <c r="M22" i="30" s="1"/>
  <c r="L21" i="30"/>
  <c r="L22" i="30" s="1"/>
  <c r="K21" i="30"/>
  <c r="K22" i="30" s="1"/>
  <c r="J21" i="30"/>
  <c r="J22" i="30" s="1"/>
  <c r="I21" i="30"/>
  <c r="I22" i="30" s="1"/>
  <c r="H21" i="30"/>
  <c r="H22" i="30" s="1"/>
  <c r="G21" i="30"/>
  <c r="G22" i="30" s="1"/>
  <c r="F21" i="30"/>
  <c r="F22" i="30" s="1"/>
  <c r="E21" i="30"/>
  <c r="E22" i="30" s="1"/>
  <c r="D21" i="30"/>
  <c r="D22" i="30" s="1"/>
  <c r="C21" i="30"/>
  <c r="C22" i="30" s="1"/>
  <c r="AJ15" i="30"/>
  <c r="AJ18" i="30" s="1"/>
  <c r="AI15" i="30"/>
  <c r="AI18" i="30" s="1"/>
  <c r="AH15" i="30"/>
  <c r="AH18" i="30" s="1"/>
  <c r="AG15" i="30"/>
  <c r="AG18" i="30" s="1"/>
  <c r="AF15" i="30"/>
  <c r="AF18" i="30" s="1"/>
  <c r="AE15" i="30"/>
  <c r="AE18" i="30" s="1"/>
  <c r="AD15" i="30"/>
  <c r="AD18" i="30" s="1"/>
  <c r="AC15" i="30"/>
  <c r="AC18" i="30" s="1"/>
  <c r="AB15" i="30"/>
  <c r="AB18" i="30" s="1"/>
  <c r="AA15" i="30"/>
  <c r="AA18" i="30" s="1"/>
  <c r="Z15" i="30"/>
  <c r="Z18" i="30" s="1"/>
  <c r="Y15" i="30"/>
  <c r="Y18" i="30" s="1"/>
  <c r="X15" i="30"/>
  <c r="X18" i="30" s="1"/>
  <c r="W15" i="30"/>
  <c r="W18" i="30" s="1"/>
  <c r="V15" i="30"/>
  <c r="V18" i="30" s="1"/>
  <c r="U15" i="30"/>
  <c r="U18" i="30" s="1"/>
  <c r="T15" i="30"/>
  <c r="T18" i="30" s="1"/>
  <c r="S15" i="30"/>
  <c r="S18" i="30" s="1"/>
  <c r="R15" i="30"/>
  <c r="R18" i="30" s="1"/>
  <c r="Q15" i="30"/>
  <c r="Q18" i="30" s="1"/>
  <c r="P15" i="30"/>
  <c r="P18" i="30" s="1"/>
  <c r="O15" i="30"/>
  <c r="O18" i="30" s="1"/>
  <c r="N15" i="30"/>
  <c r="N18" i="30" s="1"/>
  <c r="M15" i="30"/>
  <c r="M18" i="30" s="1"/>
  <c r="L15" i="30"/>
  <c r="L18" i="30" s="1"/>
  <c r="K15" i="30"/>
  <c r="K18" i="30" s="1"/>
  <c r="J15" i="30"/>
  <c r="J18" i="30" s="1"/>
  <c r="I15" i="30"/>
  <c r="I18" i="30" s="1"/>
  <c r="H15" i="30"/>
  <c r="H18" i="30" s="1"/>
  <c r="G15" i="30"/>
  <c r="G18" i="30" s="1"/>
  <c r="F15" i="30"/>
  <c r="F18" i="30" s="1"/>
  <c r="E15" i="30"/>
  <c r="E18" i="30" s="1"/>
  <c r="D15" i="30"/>
  <c r="D18" i="30" s="1"/>
  <c r="C15" i="30"/>
  <c r="C18" i="30" s="1"/>
  <c r="AK15" i="30"/>
  <c r="AJ10" i="30"/>
  <c r="AI10" i="30"/>
  <c r="AH10" i="30"/>
  <c r="AG10" i="30"/>
  <c r="AF10" i="30"/>
  <c r="AE10" i="30"/>
  <c r="AD10" i="30"/>
  <c r="AC10" i="30"/>
  <c r="AB10" i="30"/>
  <c r="AA10" i="30"/>
  <c r="Z10" i="30"/>
  <c r="Y10" i="30"/>
  <c r="X10" i="30"/>
  <c r="W10" i="30"/>
  <c r="V10" i="30"/>
  <c r="U10" i="30"/>
  <c r="T10" i="30"/>
  <c r="S10" i="30"/>
  <c r="R10" i="30"/>
  <c r="R12" i="30" s="1"/>
  <c r="Q10" i="30"/>
  <c r="Q12" i="30" s="1"/>
  <c r="P10" i="30"/>
  <c r="O10" i="30"/>
  <c r="N10" i="30"/>
  <c r="N12" i="30" s="1"/>
  <c r="M10" i="30"/>
  <c r="L10" i="30"/>
  <c r="K10" i="30"/>
  <c r="J10" i="30"/>
  <c r="I10" i="30"/>
  <c r="I12" i="30" s="1"/>
  <c r="H10" i="30"/>
  <c r="G10" i="30"/>
  <c r="F10" i="30"/>
  <c r="F12" i="30" s="1"/>
  <c r="E10" i="30"/>
  <c r="D10" i="30"/>
  <c r="C10" i="30"/>
  <c r="AH18" i="29"/>
  <c r="AG18" i="29"/>
  <c r="AF18" i="29"/>
  <c r="AE18" i="29"/>
  <c r="AD18" i="29"/>
  <c r="AC18" i="29"/>
  <c r="AB18" i="29"/>
  <c r="Q18" i="29"/>
  <c r="P18" i="29"/>
  <c r="AJ17" i="29"/>
  <c r="AI17" i="29"/>
  <c r="AA17" i="29"/>
  <c r="Z17" i="29"/>
  <c r="Y17" i="29"/>
  <c r="X17" i="29"/>
  <c r="W17" i="29"/>
  <c r="V17" i="29"/>
  <c r="U17" i="29"/>
  <c r="T17" i="29"/>
  <c r="S17" i="29"/>
  <c r="R17" i="29"/>
  <c r="O17" i="29"/>
  <c r="N17" i="29"/>
  <c r="M17" i="29"/>
  <c r="L17" i="29"/>
  <c r="K17" i="29"/>
  <c r="J17" i="29"/>
  <c r="I17" i="29"/>
  <c r="H17" i="29"/>
  <c r="G17" i="29"/>
  <c r="F17" i="29"/>
  <c r="E17" i="29"/>
  <c r="D17" i="29"/>
  <c r="C17" i="29"/>
  <c r="AJ16" i="29"/>
  <c r="AI16" i="29"/>
  <c r="AA16" i="29"/>
  <c r="Z16" i="29"/>
  <c r="Y16" i="29"/>
  <c r="X16" i="29"/>
  <c r="W16" i="29"/>
  <c r="V16" i="29"/>
  <c r="U16" i="29"/>
  <c r="T16" i="29"/>
  <c r="S16" i="29"/>
  <c r="R16" i="29"/>
  <c r="O16" i="29"/>
  <c r="N16" i="29"/>
  <c r="M16" i="29"/>
  <c r="L16" i="29"/>
  <c r="K16" i="29"/>
  <c r="J16" i="29"/>
  <c r="I16" i="29"/>
  <c r="H16" i="29"/>
  <c r="G16" i="29"/>
  <c r="F16" i="29"/>
  <c r="E16" i="29"/>
  <c r="D16" i="29"/>
  <c r="C16" i="29"/>
  <c r="AJ13" i="29"/>
  <c r="AI13" i="29"/>
  <c r="AH13" i="29"/>
  <c r="AG13" i="29"/>
  <c r="AF13" i="29"/>
  <c r="AE13" i="29"/>
  <c r="AD13" i="29"/>
  <c r="AC13" i="29"/>
  <c r="AB13" i="29"/>
  <c r="AA13" i="29"/>
  <c r="Z13" i="29"/>
  <c r="Y13" i="29"/>
  <c r="X13" i="29"/>
  <c r="W13" i="29"/>
  <c r="V13" i="29"/>
  <c r="U13" i="29"/>
  <c r="T13" i="29"/>
  <c r="S13" i="29"/>
  <c r="R13" i="29"/>
  <c r="Q13" i="29"/>
  <c r="P13" i="29"/>
  <c r="O13" i="29"/>
  <c r="N13" i="29"/>
  <c r="M13" i="29"/>
  <c r="L13" i="29"/>
  <c r="K13" i="29"/>
  <c r="J13" i="29"/>
  <c r="I13" i="29"/>
  <c r="H13" i="29"/>
  <c r="G13" i="29"/>
  <c r="F13" i="29"/>
  <c r="E13" i="29"/>
  <c r="D13" i="29"/>
  <c r="C13" i="29"/>
  <c r="AJ8" i="29"/>
  <c r="AI8" i="29"/>
  <c r="AH8" i="29"/>
  <c r="AG8" i="29"/>
  <c r="AF8" i="29"/>
  <c r="AE8" i="29"/>
  <c r="AD8" i="29"/>
  <c r="AC8" i="29"/>
  <c r="AB8" i="29"/>
  <c r="AA8" i="29"/>
  <c r="Z8" i="29"/>
  <c r="Y8" i="29"/>
  <c r="X8" i="29"/>
  <c r="W8" i="29"/>
  <c r="V8" i="29"/>
  <c r="U8" i="29"/>
  <c r="T8" i="29"/>
  <c r="S8" i="29"/>
  <c r="R8" i="29"/>
  <c r="Q8" i="29"/>
  <c r="P8" i="29"/>
  <c r="O8" i="29"/>
  <c r="N8" i="29"/>
  <c r="M8" i="29"/>
  <c r="L8" i="29"/>
  <c r="K8" i="29"/>
  <c r="K9" i="29" s="1"/>
  <c r="J8" i="29"/>
  <c r="J9" i="29" s="1"/>
  <c r="I8" i="29"/>
  <c r="I9" i="29" s="1"/>
  <c r="H8" i="29"/>
  <c r="H9" i="29" s="1"/>
  <c r="G8" i="29"/>
  <c r="G9" i="29" s="1"/>
  <c r="F8" i="29"/>
  <c r="F9" i="29" s="1"/>
  <c r="E8" i="29"/>
  <c r="E9" i="29" s="1"/>
  <c r="D8" i="29"/>
  <c r="D9" i="29" s="1"/>
  <c r="C8" i="29"/>
  <c r="C9" i="29" s="1"/>
  <c r="J32" i="26"/>
  <c r="I32" i="26"/>
  <c r="H32" i="26"/>
  <c r="G32" i="26"/>
  <c r="F32" i="26"/>
  <c r="E32" i="26"/>
  <c r="D32" i="26"/>
  <c r="C32" i="26"/>
  <c r="J31" i="26"/>
  <c r="I31" i="26"/>
  <c r="H31" i="26"/>
  <c r="G31" i="26"/>
  <c r="F31" i="26"/>
  <c r="E31" i="26"/>
  <c r="D31" i="26"/>
  <c r="C31" i="26"/>
  <c r="J30" i="26"/>
  <c r="I30" i="26"/>
  <c r="H30" i="26"/>
  <c r="G30" i="26"/>
  <c r="F30" i="26"/>
  <c r="E30" i="26"/>
  <c r="D30" i="26"/>
  <c r="C30" i="26"/>
  <c r="J29" i="26"/>
  <c r="I29" i="26"/>
  <c r="H29" i="26"/>
  <c r="G29" i="26"/>
  <c r="F29" i="26"/>
  <c r="E29" i="26"/>
  <c r="D29" i="26"/>
  <c r="C29" i="26"/>
  <c r="AJ20" i="26"/>
  <c r="AJ22" i="26" s="1"/>
  <c r="AJ23" i="26" s="1"/>
  <c r="AI20" i="26"/>
  <c r="AI22" i="26" s="1"/>
  <c r="AI23" i="26" s="1"/>
  <c r="AH20" i="26"/>
  <c r="AG20" i="26"/>
  <c r="AG22" i="26" s="1"/>
  <c r="AG23" i="26" s="1"/>
  <c r="AF20" i="26"/>
  <c r="AF22" i="26" s="1"/>
  <c r="AE20" i="26"/>
  <c r="AE22" i="26" s="1"/>
  <c r="AD20" i="26"/>
  <c r="AC20" i="26"/>
  <c r="AB20" i="26"/>
  <c r="AB22" i="26" s="1"/>
  <c r="AB23" i="26" s="1"/>
  <c r="AA20" i="26"/>
  <c r="AA22" i="26" s="1"/>
  <c r="AA23" i="26" s="1"/>
  <c r="Z20" i="26"/>
  <c r="Y20" i="26"/>
  <c r="Y22" i="26" s="1"/>
  <c r="Y23" i="26" s="1"/>
  <c r="X20" i="26"/>
  <c r="W20" i="26"/>
  <c r="W22" i="26" s="1"/>
  <c r="V20" i="26"/>
  <c r="U20" i="26"/>
  <c r="T20" i="26"/>
  <c r="T22" i="26" s="1"/>
  <c r="T23" i="26" s="1"/>
  <c r="S20" i="26"/>
  <c r="S22" i="26" s="1"/>
  <c r="S23" i="26" s="1"/>
  <c r="R20" i="26"/>
  <c r="Q20" i="26"/>
  <c r="Q22" i="26" s="1"/>
  <c r="Q23" i="26" s="1"/>
  <c r="P20" i="26"/>
  <c r="P22" i="26" s="1"/>
  <c r="P23" i="26" s="1"/>
  <c r="O20" i="26"/>
  <c r="O22" i="26" s="1"/>
  <c r="N20" i="26"/>
  <c r="M20" i="26"/>
  <c r="L20" i="26"/>
  <c r="L22" i="26" s="1"/>
  <c r="L23" i="26" s="1"/>
  <c r="K20" i="26"/>
  <c r="K22" i="26" s="1"/>
  <c r="J20" i="26"/>
  <c r="I20" i="26"/>
  <c r="I22" i="26" s="1"/>
  <c r="I23" i="26" s="1"/>
  <c r="H20" i="26"/>
  <c r="G20" i="26"/>
  <c r="G22" i="26" s="1"/>
  <c r="F20" i="26"/>
  <c r="E20" i="26"/>
  <c r="D20" i="26"/>
  <c r="D22" i="26" s="1"/>
  <c r="D23" i="26" s="1"/>
  <c r="C20" i="26"/>
  <c r="C22" i="26" s="1"/>
  <c r="C23" i="26" s="1"/>
  <c r="AJ10" i="26"/>
  <c r="AI10" i="26"/>
  <c r="AI12" i="26" s="1"/>
  <c r="AI13" i="26" s="1"/>
  <c r="AH10" i="26"/>
  <c r="AH12" i="26" s="1"/>
  <c r="AH13" i="26" s="1"/>
  <c r="AG10" i="26"/>
  <c r="AG12" i="26" s="1"/>
  <c r="AF10" i="26"/>
  <c r="AE10" i="26"/>
  <c r="AD10" i="26"/>
  <c r="AD12" i="26" s="1"/>
  <c r="AD13" i="26" s="1"/>
  <c r="AC10" i="26"/>
  <c r="AB10" i="26"/>
  <c r="AA10" i="26"/>
  <c r="AA12" i="26" s="1"/>
  <c r="AA13" i="26" s="1"/>
  <c r="Z10" i="26"/>
  <c r="Y10" i="26"/>
  <c r="Y12" i="26" s="1"/>
  <c r="X10" i="26"/>
  <c r="W10" i="26"/>
  <c r="V10" i="26"/>
  <c r="V12" i="26" s="1"/>
  <c r="V13" i="26" s="1"/>
  <c r="U10" i="26"/>
  <c r="U12" i="26" s="1"/>
  <c r="U13" i="26" s="1"/>
  <c r="T10" i="26"/>
  <c r="S10" i="26"/>
  <c r="S12" i="26" s="1"/>
  <c r="S13" i="26" s="1"/>
  <c r="R10" i="26"/>
  <c r="R12" i="26" s="1"/>
  <c r="Q10" i="26"/>
  <c r="Q12" i="26" s="1"/>
  <c r="P10" i="26"/>
  <c r="O10" i="26"/>
  <c r="N10" i="26"/>
  <c r="N12" i="26" s="1"/>
  <c r="N13" i="26" s="1"/>
  <c r="M10" i="26"/>
  <c r="M12" i="26" s="1"/>
  <c r="L10" i="26"/>
  <c r="K10" i="26"/>
  <c r="K12" i="26" s="1"/>
  <c r="K13" i="26" s="1"/>
  <c r="J10" i="26"/>
  <c r="J12" i="26" s="1"/>
  <c r="J13" i="26" s="1"/>
  <c r="I10" i="26"/>
  <c r="I12" i="26" s="1"/>
  <c r="H10" i="26"/>
  <c r="G10" i="26"/>
  <c r="F10" i="26"/>
  <c r="F12" i="26" s="1"/>
  <c r="F13" i="26" s="1"/>
  <c r="E10" i="26"/>
  <c r="E12" i="26" s="1"/>
  <c r="E13" i="26" s="1"/>
  <c r="D10" i="26"/>
  <c r="C10" i="26"/>
  <c r="C12" i="26" s="1"/>
  <c r="C13" i="26" s="1"/>
  <c r="N371" i="23"/>
  <c r="M371" i="23"/>
  <c r="L371" i="23"/>
  <c r="G371" i="23"/>
  <c r="F371" i="23"/>
  <c r="E371" i="23"/>
  <c r="N364" i="23"/>
  <c r="M364" i="23"/>
  <c r="L364" i="23"/>
  <c r="G364" i="23"/>
  <c r="F364" i="23"/>
  <c r="E364" i="23"/>
  <c r="N356" i="23"/>
  <c r="M356" i="23"/>
  <c r="L356" i="23"/>
  <c r="G356" i="23"/>
  <c r="F356" i="23"/>
  <c r="E356" i="23"/>
  <c r="N348" i="23"/>
  <c r="M348" i="23"/>
  <c r="L348" i="23"/>
  <c r="G348" i="23"/>
  <c r="F348" i="23"/>
  <c r="E348" i="23"/>
  <c r="N341" i="23"/>
  <c r="M341" i="23"/>
  <c r="L341" i="23"/>
  <c r="G341" i="23"/>
  <c r="F341" i="23"/>
  <c r="E341" i="23"/>
  <c r="N334" i="23"/>
  <c r="M334" i="23"/>
  <c r="L334" i="23"/>
  <c r="G334" i="23"/>
  <c r="F334" i="23"/>
  <c r="E334" i="23"/>
  <c r="N327" i="23"/>
  <c r="M327" i="23"/>
  <c r="L327" i="23"/>
  <c r="G327" i="23"/>
  <c r="F327" i="23"/>
  <c r="E327" i="23"/>
  <c r="N320" i="23"/>
  <c r="M320" i="23"/>
  <c r="L320" i="23"/>
  <c r="G320" i="23"/>
  <c r="F320" i="23"/>
  <c r="E320" i="23"/>
  <c r="N313" i="23"/>
  <c r="M313" i="23"/>
  <c r="L313" i="23"/>
  <c r="G313" i="23"/>
  <c r="F313" i="23"/>
  <c r="E313" i="23"/>
  <c r="N306" i="23"/>
  <c r="M306" i="23"/>
  <c r="L306" i="23"/>
  <c r="G306" i="23"/>
  <c r="F306" i="23"/>
  <c r="E306" i="23"/>
  <c r="N299" i="23"/>
  <c r="M299" i="23"/>
  <c r="L299" i="23"/>
  <c r="G299" i="23"/>
  <c r="F299" i="23"/>
  <c r="E299" i="23"/>
  <c r="N293" i="23"/>
  <c r="M293" i="23"/>
  <c r="L293" i="23"/>
  <c r="G293" i="23"/>
  <c r="F293" i="23"/>
  <c r="E293" i="23"/>
  <c r="N287" i="23"/>
  <c r="M287" i="23"/>
  <c r="L287" i="23"/>
  <c r="G287" i="23"/>
  <c r="F287" i="23"/>
  <c r="E287" i="23"/>
  <c r="N281" i="23"/>
  <c r="M281" i="23"/>
  <c r="L281" i="23"/>
  <c r="G281" i="23"/>
  <c r="F281" i="23"/>
  <c r="E281" i="23"/>
  <c r="N273" i="23"/>
  <c r="M273" i="23"/>
  <c r="L273" i="23"/>
  <c r="G273" i="23"/>
  <c r="F273" i="23"/>
  <c r="E273" i="23"/>
  <c r="N257" i="23"/>
  <c r="M257" i="23"/>
  <c r="L257" i="23"/>
  <c r="G257" i="23"/>
  <c r="F257" i="23"/>
  <c r="E257" i="23"/>
  <c r="N250" i="23"/>
  <c r="M250" i="23"/>
  <c r="L250" i="23"/>
  <c r="G250" i="23"/>
  <c r="F250" i="23"/>
  <c r="E250" i="23"/>
  <c r="N243" i="23"/>
  <c r="M243" i="23"/>
  <c r="L243" i="23"/>
  <c r="G243" i="23"/>
  <c r="F243" i="23"/>
  <c r="E243" i="23"/>
  <c r="N236" i="23"/>
  <c r="M236" i="23"/>
  <c r="L236" i="23"/>
  <c r="G236" i="23"/>
  <c r="F236" i="23"/>
  <c r="E236" i="23"/>
  <c r="N229" i="23"/>
  <c r="M229" i="23"/>
  <c r="L229" i="23"/>
  <c r="G229" i="23"/>
  <c r="F229" i="23"/>
  <c r="E229" i="23"/>
  <c r="N221" i="23"/>
  <c r="M221" i="23"/>
  <c r="L221" i="23"/>
  <c r="G221" i="23"/>
  <c r="F221" i="23"/>
  <c r="E221" i="23"/>
  <c r="N212" i="23"/>
  <c r="M212" i="23"/>
  <c r="L212" i="23"/>
  <c r="G212" i="23"/>
  <c r="F212" i="23"/>
  <c r="E212" i="23"/>
  <c r="N194" i="23"/>
  <c r="M194" i="23"/>
  <c r="L194" i="23"/>
  <c r="G194" i="23"/>
  <c r="F194" i="23"/>
  <c r="E194" i="23"/>
  <c r="N185" i="23"/>
  <c r="M185" i="23"/>
  <c r="L185" i="23"/>
  <c r="G185" i="23"/>
  <c r="F185" i="23"/>
  <c r="E185" i="23"/>
  <c r="N176" i="23"/>
  <c r="M176" i="23"/>
  <c r="L176" i="23"/>
  <c r="G176" i="23"/>
  <c r="F176" i="23"/>
  <c r="E176" i="23"/>
  <c r="N167" i="23"/>
  <c r="M167" i="23"/>
  <c r="L167" i="23"/>
  <c r="G167" i="23"/>
  <c r="F167" i="23"/>
  <c r="E167" i="23"/>
  <c r="N159" i="23"/>
  <c r="M159" i="23"/>
  <c r="L159" i="23"/>
  <c r="G159" i="23"/>
  <c r="F159" i="23"/>
  <c r="E159" i="23"/>
  <c r="N151" i="23"/>
  <c r="M151" i="23"/>
  <c r="L151" i="23"/>
  <c r="G151" i="23"/>
  <c r="F151" i="23"/>
  <c r="E151" i="23"/>
  <c r="N143" i="23"/>
  <c r="M143" i="23"/>
  <c r="L143" i="23"/>
  <c r="G143" i="23"/>
  <c r="F143" i="23"/>
  <c r="E143" i="23"/>
  <c r="N135" i="23"/>
  <c r="M135" i="23"/>
  <c r="L135" i="23"/>
  <c r="G135" i="23"/>
  <c r="F135" i="23"/>
  <c r="E135" i="23"/>
  <c r="N127" i="23"/>
  <c r="M127" i="23"/>
  <c r="L127" i="23"/>
  <c r="G127" i="23"/>
  <c r="F127" i="23"/>
  <c r="E127" i="23"/>
  <c r="N119" i="23"/>
  <c r="M119" i="23"/>
  <c r="L119" i="23"/>
  <c r="G119" i="23"/>
  <c r="F119" i="23"/>
  <c r="E119" i="23"/>
  <c r="AI13" i="24"/>
  <c r="AH13" i="24"/>
  <c r="AG13" i="24"/>
  <c r="AF13" i="24"/>
  <c r="AE13" i="24"/>
  <c r="AD13" i="24"/>
  <c r="AC13" i="24"/>
  <c r="AB13" i="24"/>
  <c r="AA13" i="24"/>
  <c r="Z13" i="24"/>
  <c r="X13" i="24"/>
  <c r="W13" i="24"/>
  <c r="V13" i="24"/>
  <c r="U13" i="24"/>
  <c r="T13" i="24"/>
  <c r="S13" i="24"/>
  <c r="R13" i="24"/>
  <c r="Q13" i="24"/>
  <c r="P13" i="24"/>
  <c r="O13" i="24"/>
  <c r="N13" i="24"/>
  <c r="M13" i="24"/>
  <c r="L13" i="24"/>
  <c r="K13" i="24"/>
  <c r="J13" i="24"/>
  <c r="I13" i="24"/>
  <c r="H13" i="24"/>
  <c r="G13" i="24"/>
  <c r="F13" i="24"/>
  <c r="E13" i="24"/>
  <c r="D13" i="24"/>
  <c r="C13" i="24"/>
  <c r="N25" i="13"/>
  <c r="M25" i="13"/>
  <c r="L25" i="13"/>
  <c r="K25" i="13"/>
  <c r="J25" i="13"/>
  <c r="I25" i="13"/>
  <c r="H25" i="13"/>
  <c r="G25" i="13"/>
  <c r="F25" i="13"/>
  <c r="E25" i="13"/>
  <c r="D25" i="13"/>
  <c r="C25" i="13"/>
  <c r="N24" i="13"/>
  <c r="M24" i="13"/>
  <c r="L24" i="13"/>
  <c r="K24" i="13"/>
  <c r="J24" i="13"/>
  <c r="I24" i="13"/>
  <c r="H24" i="13"/>
  <c r="G24" i="13"/>
  <c r="F24" i="13"/>
  <c r="E24" i="13"/>
  <c r="D24" i="13"/>
  <c r="C24" i="13"/>
  <c r="N22" i="13"/>
  <c r="M22" i="13"/>
  <c r="L22" i="13"/>
  <c r="K22" i="13"/>
  <c r="J22" i="13"/>
  <c r="I22" i="13"/>
  <c r="H22" i="13"/>
  <c r="G22" i="13"/>
  <c r="F22" i="13"/>
  <c r="E22" i="13"/>
  <c r="D22" i="13"/>
  <c r="C22" i="13"/>
  <c r="N21" i="13"/>
  <c r="M21" i="13"/>
  <c r="L21" i="13"/>
  <c r="K21" i="13"/>
  <c r="J21" i="13"/>
  <c r="I21" i="13"/>
  <c r="H21" i="13"/>
  <c r="G21" i="13"/>
  <c r="F21" i="13"/>
  <c r="E21" i="13"/>
  <c r="N20" i="13"/>
  <c r="M20" i="13"/>
  <c r="L20" i="13"/>
  <c r="K20" i="13"/>
  <c r="J20" i="13"/>
  <c r="I20" i="13"/>
  <c r="H20" i="13"/>
  <c r="G20" i="13"/>
  <c r="F20" i="13"/>
  <c r="E20" i="13"/>
  <c r="D20" i="13"/>
  <c r="C20" i="13"/>
  <c r="N19" i="13"/>
  <c r="M19" i="13"/>
  <c r="L19" i="13"/>
  <c r="K19" i="13"/>
  <c r="J19" i="13"/>
  <c r="I19" i="13"/>
  <c r="H19" i="13"/>
  <c r="G19" i="13"/>
  <c r="F19" i="13"/>
  <c r="E19" i="13"/>
  <c r="D19" i="13"/>
  <c r="C19" i="13"/>
  <c r="O18" i="13"/>
  <c r="N18" i="13"/>
  <c r="M18" i="13"/>
  <c r="L18" i="13"/>
  <c r="K18" i="13"/>
  <c r="J18" i="13"/>
  <c r="I18" i="13"/>
  <c r="H18" i="13"/>
  <c r="G18" i="13"/>
  <c r="F18" i="13"/>
  <c r="E18" i="13"/>
  <c r="D18" i="13"/>
  <c r="C18" i="13"/>
  <c r="BB110" i="77"/>
  <c r="BA110" i="77"/>
  <c r="BB109" i="77"/>
  <c r="BA109" i="77"/>
  <c r="G109" i="77"/>
  <c r="C109" i="77"/>
  <c r="BB108" i="77"/>
  <c r="BA108" i="77"/>
  <c r="G108" i="77"/>
  <c r="C108" i="77"/>
  <c r="BB107" i="77"/>
  <c r="BA107" i="77"/>
  <c r="G107" i="77"/>
  <c r="C107" i="77"/>
  <c r="BB106" i="77"/>
  <c r="BA106" i="77"/>
  <c r="G106" i="77"/>
  <c r="C106" i="77"/>
  <c r="BB105" i="77"/>
  <c r="BA105" i="77"/>
  <c r="G105" i="77"/>
  <c r="C105" i="77"/>
  <c r="BB104" i="77"/>
  <c r="BA104" i="77"/>
  <c r="G104" i="77"/>
  <c r="C104" i="77"/>
  <c r="BB103" i="77"/>
  <c r="BA103" i="77"/>
  <c r="G103" i="77"/>
  <c r="C103" i="77"/>
  <c r="BB102" i="77"/>
  <c r="BA102" i="77"/>
  <c r="G102" i="77"/>
  <c r="C102" i="77"/>
  <c r="BB101" i="77"/>
  <c r="BA101" i="77"/>
  <c r="G101" i="77"/>
  <c r="C101" i="77"/>
  <c r="G100" i="77"/>
  <c r="C100" i="77"/>
  <c r="G99" i="77"/>
  <c r="C99" i="77"/>
  <c r="G98" i="77"/>
  <c r="C98" i="77"/>
  <c r="G97" i="77"/>
  <c r="C97" i="77"/>
  <c r="G96" i="77"/>
  <c r="C96" i="77"/>
  <c r="G95" i="77"/>
  <c r="C95" i="77"/>
  <c r="G94" i="77"/>
  <c r="C94" i="77"/>
  <c r="G93" i="77"/>
  <c r="C93" i="77"/>
  <c r="G92" i="77"/>
  <c r="C92" i="77"/>
  <c r="G91" i="77"/>
  <c r="C91" i="77"/>
  <c r="G90" i="77"/>
  <c r="C90" i="77"/>
  <c r="G89" i="77"/>
  <c r="C89" i="77"/>
  <c r="G88" i="77"/>
  <c r="C88" i="77"/>
  <c r="G87" i="77"/>
  <c r="C87" i="77"/>
  <c r="G86" i="77"/>
  <c r="C86" i="77"/>
  <c r="G85" i="77"/>
  <c r="C85" i="77"/>
  <c r="G84" i="77"/>
  <c r="C84" i="77"/>
  <c r="G83" i="77"/>
  <c r="C83" i="77"/>
  <c r="G82" i="77"/>
  <c r="C82" i="77"/>
  <c r="G81" i="77"/>
  <c r="C81" i="77"/>
  <c r="G80" i="77"/>
  <c r="C80" i="77"/>
  <c r="G79" i="77"/>
  <c r="C79" i="77"/>
  <c r="G78" i="77"/>
  <c r="C78" i="77"/>
  <c r="G77" i="77"/>
  <c r="C77" i="77"/>
  <c r="G76" i="77"/>
  <c r="C76" i="77"/>
  <c r="G75" i="77"/>
  <c r="C75" i="77"/>
  <c r="G74" i="77"/>
  <c r="C74" i="77"/>
  <c r="G73" i="77"/>
  <c r="C73" i="77"/>
  <c r="G72" i="77"/>
  <c r="C72" i="77"/>
  <c r="G71" i="77"/>
  <c r="C71" i="77"/>
  <c r="G70" i="77"/>
  <c r="C70" i="77"/>
  <c r="G69" i="77"/>
  <c r="C69" i="77"/>
  <c r="G68" i="77"/>
  <c r="C68" i="77"/>
  <c r="G67" i="77"/>
  <c r="C67" i="77"/>
  <c r="G66" i="77"/>
  <c r="C66" i="77"/>
  <c r="G65" i="77"/>
  <c r="C65" i="77"/>
  <c r="G64" i="77"/>
  <c r="C64" i="77"/>
  <c r="G63" i="77"/>
  <c r="C63" i="77"/>
  <c r="G62" i="77"/>
  <c r="C62" i="77"/>
  <c r="G61" i="77"/>
  <c r="C61" i="77"/>
  <c r="G60" i="77"/>
  <c r="C60" i="77"/>
  <c r="G59" i="77"/>
  <c r="C59" i="77"/>
  <c r="G58" i="77"/>
  <c r="C58" i="77"/>
  <c r="G57" i="77"/>
  <c r="C57" i="77"/>
  <c r="G56" i="77"/>
  <c r="C56" i="77"/>
  <c r="G55" i="77"/>
  <c r="C55" i="77"/>
  <c r="G54" i="77"/>
  <c r="C54" i="77"/>
  <c r="G53" i="77"/>
  <c r="C53" i="77"/>
  <c r="G52" i="77"/>
  <c r="C52" i="77"/>
  <c r="C51" i="77"/>
  <c r="C50" i="77"/>
  <c r="C49" i="77"/>
  <c r="C48" i="77"/>
  <c r="C47" i="77"/>
  <c r="C46" i="77"/>
  <c r="C45" i="77"/>
  <c r="C44" i="77"/>
  <c r="C43" i="77"/>
  <c r="C42" i="77"/>
  <c r="C41" i="77"/>
  <c r="C40" i="77"/>
  <c r="C39" i="77"/>
  <c r="C38" i="77"/>
  <c r="C37" i="77"/>
  <c r="C36" i="77"/>
  <c r="C35" i="77"/>
  <c r="C34" i="77"/>
  <c r="C33" i="77"/>
  <c r="C32" i="77"/>
  <c r="C31" i="77"/>
  <c r="C30" i="77"/>
  <c r="C29" i="77"/>
  <c r="C28" i="77"/>
  <c r="C27" i="77"/>
  <c r="C26" i="77"/>
  <c r="C25" i="77"/>
  <c r="C24" i="77"/>
  <c r="C23" i="77"/>
  <c r="C22" i="77"/>
  <c r="C21" i="77"/>
  <c r="C20" i="77"/>
  <c r="C19" i="77"/>
  <c r="C18" i="77"/>
  <c r="C17" i="77"/>
  <c r="C16" i="77"/>
  <c r="C15" i="77"/>
  <c r="C14" i="77"/>
  <c r="C13" i="77"/>
  <c r="C12" i="77"/>
  <c r="C11" i="77"/>
  <c r="C10" i="77"/>
  <c r="C9" i="77"/>
  <c r="C8" i="77"/>
  <c r="C7" i="77"/>
  <c r="C6" i="77"/>
  <c r="C5" i="77"/>
  <c r="H105" i="76"/>
  <c r="H104" i="76"/>
  <c r="H103" i="76"/>
  <c r="H102" i="76"/>
  <c r="E101" i="76"/>
  <c r="H100" i="76"/>
  <c r="H99" i="76"/>
  <c r="H98" i="76"/>
  <c r="H97" i="76"/>
  <c r="E96" i="76"/>
  <c r="H95" i="76"/>
  <c r="H94" i="76"/>
  <c r="H93" i="76"/>
  <c r="E92" i="76"/>
  <c r="H91" i="76"/>
  <c r="H90" i="76"/>
  <c r="H89" i="76"/>
  <c r="H88" i="76"/>
  <c r="H87" i="76"/>
  <c r="E86" i="76"/>
  <c r="H85" i="76"/>
  <c r="H84" i="76"/>
  <c r="H83" i="76"/>
  <c r="H82" i="76"/>
  <c r="H81" i="76"/>
  <c r="E80" i="76"/>
  <c r="H79" i="76"/>
  <c r="H78" i="76"/>
  <c r="E74" i="76"/>
  <c r="H68" i="76"/>
  <c r="E68" i="76"/>
  <c r="J66" i="76"/>
  <c r="J65" i="76" s="1"/>
  <c r="H65" i="76"/>
  <c r="E65" i="76"/>
  <c r="E64" i="76"/>
  <c r="E63" i="76" s="1"/>
  <c r="H63" i="76"/>
  <c r="J62" i="76"/>
  <c r="J61" i="76"/>
  <c r="H61" i="76"/>
  <c r="J60" i="76"/>
  <c r="H60" i="76"/>
  <c r="J59" i="76"/>
  <c r="J58" i="76"/>
  <c r="E57" i="76"/>
  <c r="J56" i="76"/>
  <c r="J55" i="76"/>
  <c r="J54" i="76"/>
  <c r="J53" i="76"/>
  <c r="J52" i="76"/>
  <c r="J51" i="76"/>
  <c r="H50" i="76"/>
  <c r="E50" i="76"/>
  <c r="J49" i="76"/>
  <c r="J48" i="76"/>
  <c r="E47" i="76"/>
  <c r="J47" i="76" s="1"/>
  <c r="E46" i="76"/>
  <c r="J46" i="76" s="1"/>
  <c r="J44" i="76"/>
  <c r="J43" i="76"/>
  <c r="J42" i="76"/>
  <c r="J41" i="76"/>
  <c r="H40" i="76"/>
  <c r="E40" i="76"/>
  <c r="J39" i="76"/>
  <c r="J38" i="76"/>
  <c r="J37" i="76"/>
  <c r="J36" i="76"/>
  <c r="J35" i="76"/>
  <c r="H33" i="76"/>
  <c r="E33" i="76"/>
  <c r="J32" i="76"/>
  <c r="J31" i="76"/>
  <c r="J317" i="73"/>
  <c r="K317" i="73" s="1"/>
  <c r="L317" i="73" s="1"/>
  <c r="M317" i="73" s="1"/>
  <c r="N317" i="73" s="1"/>
  <c r="O317" i="73" s="1"/>
  <c r="P317" i="73" s="1"/>
  <c r="Q317" i="73" s="1"/>
  <c r="R317" i="73" s="1"/>
  <c r="S317" i="73" s="1"/>
  <c r="T317" i="73" s="1"/>
  <c r="U317" i="73" s="1"/>
  <c r="V317" i="73" s="1"/>
  <c r="W317" i="73" s="1"/>
  <c r="X317" i="73" s="1"/>
  <c r="Y317" i="73" s="1"/>
  <c r="Z317" i="73" s="1"/>
  <c r="AA317" i="73" s="1"/>
  <c r="AB317" i="73" s="1"/>
  <c r="AC317" i="73" s="1"/>
  <c r="AD317" i="73" s="1"/>
  <c r="AE317" i="73" s="1"/>
  <c r="AF317" i="73" s="1"/>
  <c r="AG317" i="73" s="1"/>
  <c r="AH317" i="73" s="1"/>
  <c r="AI317" i="73" s="1"/>
  <c r="AJ317" i="73" s="1"/>
  <c r="AK317" i="73" s="1"/>
  <c r="AL317" i="73" s="1"/>
  <c r="AM317" i="73" s="1"/>
  <c r="AN317" i="73" s="1"/>
  <c r="BQ179" i="73"/>
  <c r="BP179" i="73"/>
  <c r="BO179" i="73"/>
  <c r="BN179" i="73"/>
  <c r="BM179" i="73"/>
  <c r="BL179" i="73"/>
  <c r="BK179" i="73"/>
  <c r="BJ179" i="73"/>
  <c r="BI179" i="73"/>
  <c r="BH179" i="73"/>
  <c r="BG179" i="73"/>
  <c r="BF179" i="73"/>
  <c r="BE179" i="73"/>
  <c r="BD179" i="73"/>
  <c r="BC179" i="73"/>
  <c r="BB179" i="73"/>
  <c r="BA179" i="73"/>
  <c r="AZ179" i="73"/>
  <c r="AY179" i="73"/>
  <c r="AX179" i="73"/>
  <c r="AW179" i="73"/>
  <c r="AV179" i="73"/>
  <c r="AU179" i="73"/>
  <c r="AT179" i="73"/>
  <c r="AS179" i="73"/>
  <c r="AR179" i="73"/>
  <c r="AQ179" i="73"/>
  <c r="AP179" i="73"/>
  <c r="AO179" i="73"/>
  <c r="AN179" i="73"/>
  <c r="AL179" i="73"/>
  <c r="AK179" i="73"/>
  <c r="AJ179" i="73"/>
  <c r="AI179" i="73"/>
  <c r="AH179" i="73"/>
  <c r="AG179" i="73"/>
  <c r="AF179" i="73"/>
  <c r="AE179" i="73"/>
  <c r="AD179" i="73"/>
  <c r="AC179" i="73"/>
  <c r="AB179" i="73"/>
  <c r="AA179" i="73"/>
  <c r="Z179" i="73"/>
  <c r="Y179" i="73"/>
  <c r="X179" i="73"/>
  <c r="W179" i="73"/>
  <c r="V179" i="73"/>
  <c r="U179" i="73"/>
  <c r="T179" i="73"/>
  <c r="S179" i="73"/>
  <c r="R179" i="73"/>
  <c r="Q179" i="73"/>
  <c r="P179" i="73"/>
  <c r="O179" i="73"/>
  <c r="N179" i="73"/>
  <c r="M179" i="73"/>
  <c r="L179" i="73"/>
  <c r="K179" i="73"/>
  <c r="J179" i="73"/>
  <c r="I179" i="73"/>
  <c r="H179" i="73"/>
  <c r="G179" i="73"/>
  <c r="F179" i="73"/>
  <c r="E179" i="73"/>
  <c r="D179" i="73"/>
  <c r="C179" i="73"/>
  <c r="BQ171" i="73"/>
  <c r="BP171" i="73"/>
  <c r="BO171" i="73"/>
  <c r="BN171" i="73"/>
  <c r="AX171" i="73"/>
  <c r="AX321" i="73" s="1"/>
  <c r="AW171" i="73"/>
  <c r="AW321" i="73" s="1"/>
  <c r="AV171" i="73"/>
  <c r="AV321" i="73" s="1"/>
  <c r="AU171" i="73"/>
  <c r="AU321" i="73" s="1"/>
  <c r="AT171" i="73"/>
  <c r="AT321" i="73" s="1"/>
  <c r="AS171" i="73"/>
  <c r="AR171" i="73"/>
  <c r="AQ171" i="73"/>
  <c r="AP171" i="73"/>
  <c r="AO171" i="73"/>
  <c r="AN171" i="73"/>
  <c r="AL171" i="73"/>
  <c r="AK171" i="73"/>
  <c r="AJ171" i="73"/>
  <c r="AI171" i="73"/>
  <c r="AH171" i="73"/>
  <c r="AG171" i="73"/>
  <c r="AF171" i="73"/>
  <c r="AE171" i="73"/>
  <c r="AD171" i="73"/>
  <c r="AC171" i="73"/>
  <c r="AB171" i="73"/>
  <c r="AA171" i="73"/>
  <c r="Z171" i="73"/>
  <c r="Y171" i="73"/>
  <c r="X171" i="73"/>
  <c r="W171" i="73"/>
  <c r="V171" i="73"/>
  <c r="U171" i="73"/>
  <c r="T171" i="73"/>
  <c r="S171" i="73"/>
  <c r="R171" i="73"/>
  <c r="Q171" i="73"/>
  <c r="P171" i="73"/>
  <c r="O171" i="73"/>
  <c r="N171" i="73"/>
  <c r="M171" i="73"/>
  <c r="L171" i="73"/>
  <c r="K171" i="73"/>
  <c r="J171" i="73"/>
  <c r="I171" i="73"/>
  <c r="H171" i="73"/>
  <c r="G171" i="73"/>
  <c r="F171" i="73"/>
  <c r="E171" i="73"/>
  <c r="D171" i="73"/>
  <c r="C171" i="73"/>
  <c r="AY167" i="73"/>
  <c r="AZ167" i="73" s="1"/>
  <c r="BQ163" i="73"/>
  <c r="BP163" i="73"/>
  <c r="BO163" i="73"/>
  <c r="BN163" i="73"/>
  <c r="BM163" i="73"/>
  <c r="BL163" i="73"/>
  <c r="BL320" i="73" s="1"/>
  <c r="BK163" i="73"/>
  <c r="BK320" i="73" s="1"/>
  <c r="BJ163" i="73"/>
  <c r="BJ320" i="73" s="1"/>
  <c r="BI163" i="73"/>
  <c r="BI320" i="73" s="1"/>
  <c r="BH163" i="73"/>
  <c r="BH320" i="73" s="1"/>
  <c r="BG163" i="73"/>
  <c r="BG320" i="73" s="1"/>
  <c r="BF163" i="73"/>
  <c r="BF320" i="73" s="1"/>
  <c r="BE163" i="73"/>
  <c r="BE320" i="73" s="1"/>
  <c r="BD163" i="73"/>
  <c r="BD320" i="73" s="1"/>
  <c r="BC163" i="73"/>
  <c r="BC320" i="73" s="1"/>
  <c r="BB163" i="73"/>
  <c r="BB320" i="73" s="1"/>
  <c r="BA163" i="73"/>
  <c r="BA320" i="73" s="1"/>
  <c r="AZ163" i="73"/>
  <c r="AZ320" i="73" s="1"/>
  <c r="AY163" i="73"/>
  <c r="AY320" i="73" s="1"/>
  <c r="AX163" i="73"/>
  <c r="AX320" i="73" s="1"/>
  <c r="AW163" i="73"/>
  <c r="AW320" i="73" s="1"/>
  <c r="AR163" i="73"/>
  <c r="AQ163" i="73"/>
  <c r="AP163" i="73"/>
  <c r="AO163" i="73"/>
  <c r="AN163" i="73"/>
  <c r="AL163" i="73"/>
  <c r="AK163" i="73"/>
  <c r="AJ163" i="73"/>
  <c r="AI163" i="73"/>
  <c r="AH163" i="73"/>
  <c r="AG163" i="73"/>
  <c r="AF163" i="73"/>
  <c r="AE163" i="73"/>
  <c r="AD163" i="73"/>
  <c r="AC163" i="73"/>
  <c r="AB163" i="73"/>
  <c r="AA163" i="73"/>
  <c r="Z163" i="73"/>
  <c r="Y163" i="73"/>
  <c r="X163" i="73"/>
  <c r="W163" i="73"/>
  <c r="V163" i="73"/>
  <c r="K163" i="73"/>
  <c r="J163" i="73"/>
  <c r="I163" i="73"/>
  <c r="H163" i="73"/>
  <c r="G163" i="73"/>
  <c r="F163" i="73"/>
  <c r="E163" i="73"/>
  <c r="D163" i="73"/>
  <c r="C163" i="73"/>
  <c r="AV158" i="73"/>
  <c r="AV163" i="73" s="1"/>
  <c r="AV320" i="73" s="1"/>
  <c r="AU158" i="73"/>
  <c r="AU163" i="73" s="1"/>
  <c r="AU320" i="73" s="1"/>
  <c r="AT158" i="73"/>
  <c r="AT163" i="73" s="1"/>
  <c r="AT320" i="73" s="1"/>
  <c r="AS158" i="73"/>
  <c r="AS163" i="73" s="1"/>
  <c r="BQ155" i="73"/>
  <c r="BP155" i="73"/>
  <c r="BO155" i="73"/>
  <c r="BN155" i="73"/>
  <c r="BM155" i="73"/>
  <c r="BL155" i="73"/>
  <c r="BK155" i="73"/>
  <c r="BJ155" i="73"/>
  <c r="BI155" i="73"/>
  <c r="BH155" i="73"/>
  <c r="BG155" i="73"/>
  <c r="BF155" i="73"/>
  <c r="BE155" i="73"/>
  <c r="BD155" i="73"/>
  <c r="BC155" i="73"/>
  <c r="BB155" i="73"/>
  <c r="BA155" i="73"/>
  <c r="AZ155" i="73"/>
  <c r="AY155" i="73"/>
  <c r="AX155" i="73"/>
  <c r="AW155" i="73"/>
  <c r="AV155" i="73"/>
  <c r="AU155" i="73"/>
  <c r="AT155" i="73"/>
  <c r="AS155" i="73"/>
  <c r="AR155" i="73"/>
  <c r="AQ155" i="73"/>
  <c r="AP155" i="73"/>
  <c r="AO155" i="73"/>
  <c r="AN155" i="73"/>
  <c r="AL155" i="73"/>
  <c r="AK155" i="73"/>
  <c r="AJ155" i="73"/>
  <c r="AI155" i="73"/>
  <c r="AH155" i="73"/>
  <c r="AG155" i="73"/>
  <c r="AF155" i="73"/>
  <c r="AE155" i="73"/>
  <c r="AD155" i="73"/>
  <c r="AC155" i="73"/>
  <c r="AB155" i="73"/>
  <c r="AA155" i="73"/>
  <c r="Z155" i="73"/>
  <c r="Y155" i="73"/>
  <c r="X155" i="73"/>
  <c r="W155" i="73"/>
  <c r="V155" i="73"/>
  <c r="U155" i="73"/>
  <c r="T155" i="73"/>
  <c r="S155" i="73"/>
  <c r="R155" i="73"/>
  <c r="Q155" i="73"/>
  <c r="P155" i="73"/>
  <c r="O155" i="73"/>
  <c r="N155" i="73"/>
  <c r="M155" i="73"/>
  <c r="L155" i="73"/>
  <c r="K155" i="73"/>
  <c r="J155" i="73"/>
  <c r="I155" i="73"/>
  <c r="H155" i="73"/>
  <c r="G155" i="73"/>
  <c r="F155" i="73"/>
  <c r="E155" i="73"/>
  <c r="D155" i="73"/>
  <c r="C155" i="73"/>
  <c r="BJ147" i="73"/>
  <c r="BI147" i="73"/>
  <c r="BH147" i="73"/>
  <c r="BG147" i="73"/>
  <c r="BF147" i="73"/>
  <c r="BE147" i="73"/>
  <c r="BD147" i="73"/>
  <c r="BC147" i="73"/>
  <c r="BB147" i="73"/>
  <c r="BA147" i="73"/>
  <c r="AZ147" i="73"/>
  <c r="AY147" i="73"/>
  <c r="AX147" i="73"/>
  <c r="AW147" i="73"/>
  <c r="AV147" i="73"/>
  <c r="AU147" i="73"/>
  <c r="AT147" i="73"/>
  <c r="AS147" i="73"/>
  <c r="AS321" i="73" s="1"/>
  <c r="AR147" i="73"/>
  <c r="AR321" i="73" s="1"/>
  <c r="AQ147" i="73"/>
  <c r="AQ321" i="73" s="1"/>
  <c r="AP147" i="73"/>
  <c r="AP321" i="73" s="1"/>
  <c r="AO147" i="73"/>
  <c r="AO321" i="73" s="1"/>
  <c r="AN147" i="73"/>
  <c r="AL147" i="73"/>
  <c r="AK147" i="73"/>
  <c r="AJ147" i="73"/>
  <c r="AI147" i="73"/>
  <c r="AH147" i="73"/>
  <c r="AG147" i="73"/>
  <c r="AF147" i="73"/>
  <c r="AE147" i="73"/>
  <c r="AD147" i="73"/>
  <c r="AC147" i="73"/>
  <c r="AB147" i="73"/>
  <c r="AA147" i="73"/>
  <c r="Z147" i="73"/>
  <c r="Y147" i="73"/>
  <c r="X147" i="73"/>
  <c r="W147" i="73"/>
  <c r="V147" i="73"/>
  <c r="U147" i="73"/>
  <c r="T147" i="73"/>
  <c r="S147" i="73"/>
  <c r="R147" i="73"/>
  <c r="Q147" i="73"/>
  <c r="P147" i="73"/>
  <c r="O147" i="73"/>
  <c r="N147" i="73"/>
  <c r="M147" i="73"/>
  <c r="L147" i="73"/>
  <c r="K147" i="73"/>
  <c r="J147" i="73"/>
  <c r="I147" i="73"/>
  <c r="H147" i="73"/>
  <c r="G147" i="73"/>
  <c r="F147" i="73"/>
  <c r="E147" i="73"/>
  <c r="D147" i="73"/>
  <c r="C147" i="73"/>
  <c r="BJ139" i="73"/>
  <c r="BI139" i="73"/>
  <c r="BH139" i="73"/>
  <c r="BG139" i="73"/>
  <c r="BF139" i="73"/>
  <c r="BE139" i="73"/>
  <c r="BD139" i="73"/>
  <c r="BC139" i="73"/>
  <c r="BB139" i="73"/>
  <c r="BA139" i="73"/>
  <c r="AZ139" i="73"/>
  <c r="AY139" i="73"/>
  <c r="AX139" i="73"/>
  <c r="AW139" i="73"/>
  <c r="AR139" i="73"/>
  <c r="AR320" i="73" s="1"/>
  <c r="AQ139" i="73"/>
  <c r="AQ320" i="73" s="1"/>
  <c r="AP139" i="73"/>
  <c r="AP320" i="73" s="1"/>
  <c r="AO139" i="73"/>
  <c r="AO320" i="73" s="1"/>
  <c r="AN139" i="73"/>
  <c r="AL139" i="73"/>
  <c r="AK139" i="73"/>
  <c r="AJ139" i="73"/>
  <c r="AI139" i="73"/>
  <c r="AH139" i="73"/>
  <c r="AG139" i="73"/>
  <c r="AF139" i="73"/>
  <c r="AE139" i="73"/>
  <c r="AD139" i="73"/>
  <c r="AC139" i="73"/>
  <c r="AB139" i="73"/>
  <c r="AA139" i="73"/>
  <c r="Z139" i="73"/>
  <c r="Y139" i="73"/>
  <c r="X139" i="73"/>
  <c r="W139" i="73"/>
  <c r="V139" i="73"/>
  <c r="K139" i="73"/>
  <c r="J139" i="73"/>
  <c r="I139" i="73"/>
  <c r="H139" i="73"/>
  <c r="G139" i="73"/>
  <c r="F139" i="73"/>
  <c r="E139" i="73"/>
  <c r="D139" i="73"/>
  <c r="C139" i="73"/>
  <c r="AV134" i="73"/>
  <c r="AV139" i="73" s="1"/>
  <c r="AU134" i="73"/>
  <c r="AU139" i="73" s="1"/>
  <c r="AT134" i="73"/>
  <c r="AT139" i="73" s="1"/>
  <c r="AS134" i="73"/>
  <c r="AS139" i="73" s="1"/>
  <c r="AS320" i="73" s="1"/>
  <c r="BJ131" i="73"/>
  <c r="BI131" i="73"/>
  <c r="BH131" i="73"/>
  <c r="BG131" i="73"/>
  <c r="BF131" i="73"/>
  <c r="BE131" i="73"/>
  <c r="BD131" i="73"/>
  <c r="BC131" i="73"/>
  <c r="BB131" i="73"/>
  <c r="BA131" i="73"/>
  <c r="AZ131" i="73"/>
  <c r="AY131" i="73"/>
  <c r="AX131" i="73"/>
  <c r="AW131" i="73"/>
  <c r="AV131" i="73"/>
  <c r="AU131" i="73"/>
  <c r="AT131" i="73"/>
  <c r="AS131" i="73"/>
  <c r="AR131" i="73"/>
  <c r="AQ131" i="73"/>
  <c r="AP131" i="73"/>
  <c r="AO131" i="73"/>
  <c r="AN131" i="73"/>
  <c r="AL131" i="73"/>
  <c r="AK131" i="73"/>
  <c r="AJ131" i="73"/>
  <c r="AI131" i="73"/>
  <c r="AH131" i="73"/>
  <c r="AG131" i="73"/>
  <c r="AF131" i="73"/>
  <c r="AE131" i="73"/>
  <c r="AD131" i="73"/>
  <c r="AC131" i="73"/>
  <c r="AB131" i="73"/>
  <c r="AA131" i="73"/>
  <c r="Z131" i="73"/>
  <c r="Y131" i="73"/>
  <c r="X131" i="73"/>
  <c r="W131" i="73"/>
  <c r="V131" i="73"/>
  <c r="U131" i="73"/>
  <c r="T131" i="73"/>
  <c r="S131" i="73"/>
  <c r="R131" i="73"/>
  <c r="Q131" i="73"/>
  <c r="P131" i="73"/>
  <c r="O131" i="73"/>
  <c r="N131" i="73"/>
  <c r="M131" i="73"/>
  <c r="L131" i="73"/>
  <c r="K131" i="73"/>
  <c r="J131" i="73"/>
  <c r="I131" i="73"/>
  <c r="H131" i="73"/>
  <c r="G131" i="73"/>
  <c r="F131" i="73"/>
  <c r="E131" i="73"/>
  <c r="D131" i="73"/>
  <c r="C131" i="73"/>
  <c r="BD123" i="73"/>
  <c r="BC123" i="73"/>
  <c r="BB123" i="73"/>
  <c r="BA123" i="73"/>
  <c r="AZ123" i="73"/>
  <c r="AY123" i="73"/>
  <c r="AX123" i="73"/>
  <c r="AW123" i="73"/>
  <c r="AV123" i="73"/>
  <c r="AU123" i="73"/>
  <c r="AT123" i="73"/>
  <c r="AS123" i="73"/>
  <c r="AR123" i="73"/>
  <c r="AQ123" i="73"/>
  <c r="AP123" i="73"/>
  <c r="AO123" i="73"/>
  <c r="AN123" i="73"/>
  <c r="AL123" i="73"/>
  <c r="AK123" i="73"/>
  <c r="AJ123" i="73"/>
  <c r="AI123" i="73"/>
  <c r="AH123" i="73"/>
  <c r="AG123" i="73"/>
  <c r="AF123" i="73"/>
  <c r="AE123" i="73"/>
  <c r="AD123" i="73"/>
  <c r="AC123" i="73"/>
  <c r="AB123" i="73"/>
  <c r="AA123" i="73"/>
  <c r="Z123" i="73"/>
  <c r="Y123" i="73"/>
  <c r="X123" i="73"/>
  <c r="W123" i="73"/>
  <c r="V123" i="73"/>
  <c r="U123" i="73"/>
  <c r="T123" i="73"/>
  <c r="S123" i="73"/>
  <c r="R123" i="73"/>
  <c r="Q123" i="73"/>
  <c r="P123" i="73"/>
  <c r="O123" i="73"/>
  <c r="N123" i="73"/>
  <c r="M123" i="73"/>
  <c r="L123" i="73"/>
  <c r="K123" i="73"/>
  <c r="J123" i="73"/>
  <c r="I123" i="73"/>
  <c r="H123" i="73"/>
  <c r="G123" i="73"/>
  <c r="F123" i="73"/>
  <c r="E123" i="73"/>
  <c r="D123" i="73"/>
  <c r="C123" i="73"/>
  <c r="AS115" i="73"/>
  <c r="AR115" i="73"/>
  <c r="AQ115" i="73"/>
  <c r="AP115" i="73"/>
  <c r="AO115" i="73"/>
  <c r="AN115" i="73"/>
  <c r="AN321" i="73" s="1"/>
  <c r="AL115" i="73"/>
  <c r="AL321" i="73" s="1"/>
  <c r="AK115" i="73"/>
  <c r="AK321" i="73" s="1"/>
  <c r="AJ115" i="73"/>
  <c r="AJ321" i="73" s="1"/>
  <c r="AI115" i="73"/>
  <c r="AI321" i="73" s="1"/>
  <c r="AH115" i="73"/>
  <c r="AH321" i="73" s="1"/>
  <c r="AG115" i="73"/>
  <c r="AG321" i="73" s="1"/>
  <c r="AF115" i="73"/>
  <c r="AF321" i="73" s="1"/>
  <c r="AE115" i="73"/>
  <c r="AE321" i="73" s="1"/>
  <c r="AD115" i="73"/>
  <c r="AD321" i="73" s="1"/>
  <c r="AC115" i="73"/>
  <c r="AC321" i="73" s="1"/>
  <c r="AB115" i="73"/>
  <c r="AB321" i="73" s="1"/>
  <c r="AA115" i="73"/>
  <c r="AA321" i="73" s="1"/>
  <c r="Z115" i="73"/>
  <c r="Z321" i="73" s="1"/>
  <c r="Y115" i="73"/>
  <c r="Y321" i="73" s="1"/>
  <c r="X115" i="73"/>
  <c r="X321" i="73" s="1"/>
  <c r="W115" i="73"/>
  <c r="W321" i="73" s="1"/>
  <c r="U115" i="73"/>
  <c r="T115" i="73"/>
  <c r="S115" i="73"/>
  <c r="R115" i="73"/>
  <c r="Q115" i="73"/>
  <c r="P115" i="73"/>
  <c r="O115" i="73"/>
  <c r="N115" i="73"/>
  <c r="M115" i="73"/>
  <c r="L115" i="73"/>
  <c r="K115" i="73"/>
  <c r="J115" i="73"/>
  <c r="I115" i="73"/>
  <c r="H115" i="73"/>
  <c r="G115" i="73"/>
  <c r="F115" i="73"/>
  <c r="E115" i="73"/>
  <c r="D115" i="73"/>
  <c r="C115" i="73"/>
  <c r="V111" i="73"/>
  <c r="V115" i="73" s="1"/>
  <c r="V321" i="73" s="1"/>
  <c r="AR107" i="73"/>
  <c r="AQ107" i="73"/>
  <c r="AP107" i="73"/>
  <c r="AO107" i="73"/>
  <c r="AN107" i="73"/>
  <c r="AN320" i="73" s="1"/>
  <c r="AL107" i="73"/>
  <c r="AL320" i="73" s="1"/>
  <c r="AK107" i="73"/>
  <c r="AK320" i="73" s="1"/>
  <c r="AJ107" i="73"/>
  <c r="AJ320" i="73" s="1"/>
  <c r="AI107" i="73"/>
  <c r="AI320" i="73" s="1"/>
  <c r="AH107" i="73"/>
  <c r="AH320" i="73" s="1"/>
  <c r="AG107" i="73"/>
  <c r="AG320" i="73" s="1"/>
  <c r="AF107" i="73"/>
  <c r="AF320" i="73" s="1"/>
  <c r="AE107" i="73"/>
  <c r="AE320" i="73" s="1"/>
  <c r="U107" i="73"/>
  <c r="U320" i="73" s="1"/>
  <c r="T107" i="73"/>
  <c r="T320" i="73" s="1"/>
  <c r="S107" i="73"/>
  <c r="S320" i="73" s="1"/>
  <c r="R107" i="73"/>
  <c r="R320" i="73" s="1"/>
  <c r="Q107" i="73"/>
  <c r="Q320" i="73" s="1"/>
  <c r="P107" i="73"/>
  <c r="O107" i="73"/>
  <c r="N107" i="73"/>
  <c r="M107" i="73"/>
  <c r="L107" i="73"/>
  <c r="K107" i="73"/>
  <c r="J107" i="73"/>
  <c r="I107" i="73"/>
  <c r="H107" i="73"/>
  <c r="G107" i="73"/>
  <c r="F107" i="73"/>
  <c r="E107" i="73"/>
  <c r="D107" i="73"/>
  <c r="C107" i="73"/>
  <c r="AD105" i="73"/>
  <c r="AD107" i="73" s="1"/>
  <c r="AD320" i="73" s="1"/>
  <c r="AC105" i="73"/>
  <c r="AC107" i="73" s="1"/>
  <c r="AC320" i="73" s="1"/>
  <c r="AB105" i="73"/>
  <c r="AB107" i="73" s="1"/>
  <c r="AB320" i="73" s="1"/>
  <c r="AA105" i="73"/>
  <c r="AA107" i="73" s="1"/>
  <c r="AA320" i="73" s="1"/>
  <c r="Z105" i="73"/>
  <c r="Z107" i="73" s="1"/>
  <c r="Z320" i="73" s="1"/>
  <c r="Y105" i="73"/>
  <c r="Y107" i="73" s="1"/>
  <c r="Y320" i="73" s="1"/>
  <c r="X105" i="73"/>
  <c r="X107" i="73" s="1"/>
  <c r="X320" i="73" s="1"/>
  <c r="W105" i="73"/>
  <c r="W107" i="73" s="1"/>
  <c r="W320" i="73" s="1"/>
  <c r="V103" i="73"/>
  <c r="V107" i="73" s="1"/>
  <c r="V320" i="73" s="1"/>
  <c r="AS102" i="73"/>
  <c r="AS107" i="73" s="1"/>
  <c r="AS99" i="73"/>
  <c r="AR99" i="73"/>
  <c r="AQ99" i="73"/>
  <c r="AP99" i="73"/>
  <c r="AO99" i="73"/>
  <c r="AN99" i="73"/>
  <c r="AL99" i="73"/>
  <c r="AK99" i="73"/>
  <c r="AJ99" i="73"/>
  <c r="AI99" i="73"/>
  <c r="AH99" i="73"/>
  <c r="AG99" i="73"/>
  <c r="AF99" i="73"/>
  <c r="AE99" i="73"/>
  <c r="U99" i="73"/>
  <c r="T99" i="73"/>
  <c r="S99" i="73"/>
  <c r="R99" i="73"/>
  <c r="Q99" i="73"/>
  <c r="P99" i="73"/>
  <c r="O99" i="73"/>
  <c r="N99" i="73"/>
  <c r="M99" i="73"/>
  <c r="L99" i="73"/>
  <c r="K99" i="73"/>
  <c r="J99" i="73"/>
  <c r="I99" i="73"/>
  <c r="H99" i="73"/>
  <c r="G99" i="73"/>
  <c r="F99" i="73"/>
  <c r="E99" i="73"/>
  <c r="D99" i="73"/>
  <c r="C99" i="73"/>
  <c r="AD97" i="73"/>
  <c r="AD99" i="73" s="1"/>
  <c r="AC97" i="73"/>
  <c r="AC99" i="73" s="1"/>
  <c r="AB97" i="73"/>
  <c r="AB99" i="73" s="1"/>
  <c r="AA97" i="73"/>
  <c r="AA99" i="73" s="1"/>
  <c r="Z97" i="73"/>
  <c r="Z99" i="73" s="1"/>
  <c r="Y97" i="73"/>
  <c r="Y99" i="73" s="1"/>
  <c r="X97" i="73"/>
  <c r="X99" i="73" s="1"/>
  <c r="W97" i="73"/>
  <c r="W99" i="73" s="1"/>
  <c r="V95" i="73"/>
  <c r="V99" i="73" s="1"/>
  <c r="AS91" i="73"/>
  <c r="AQ91" i="73"/>
  <c r="AP91" i="73"/>
  <c r="AO91" i="73"/>
  <c r="AN91" i="73"/>
  <c r="AL91" i="73"/>
  <c r="AK91" i="73"/>
  <c r="AJ91" i="73"/>
  <c r="AI91" i="73"/>
  <c r="AH91" i="73"/>
  <c r="AG91" i="73"/>
  <c r="AF91" i="73"/>
  <c r="AE91" i="73"/>
  <c r="AD91" i="73"/>
  <c r="AC91" i="73"/>
  <c r="AB91" i="73"/>
  <c r="AA91" i="73"/>
  <c r="Z91" i="73"/>
  <c r="Y91" i="73"/>
  <c r="X91" i="73"/>
  <c r="W91" i="73"/>
  <c r="V91" i="73"/>
  <c r="U91" i="73"/>
  <c r="T91" i="73"/>
  <c r="S91" i="73"/>
  <c r="R91" i="73"/>
  <c r="Q91" i="73"/>
  <c r="P91" i="73"/>
  <c r="O91" i="73"/>
  <c r="N91" i="73"/>
  <c r="M91" i="73"/>
  <c r="L91" i="73"/>
  <c r="K91" i="73"/>
  <c r="J91" i="73"/>
  <c r="I91" i="73"/>
  <c r="H91" i="73"/>
  <c r="G91" i="73"/>
  <c r="F91" i="73"/>
  <c r="E91" i="73"/>
  <c r="D91" i="73"/>
  <c r="C91" i="73"/>
  <c r="AR87" i="73"/>
  <c r="AR91" i="73" s="1"/>
  <c r="AS83" i="73"/>
  <c r="AR83" i="73"/>
  <c r="AQ83" i="73"/>
  <c r="AP83" i="73"/>
  <c r="AO83" i="73"/>
  <c r="AN83" i="73"/>
  <c r="AL83" i="73"/>
  <c r="AK83" i="73"/>
  <c r="AJ83" i="73"/>
  <c r="AI83" i="73"/>
  <c r="AH83" i="73"/>
  <c r="AG83" i="73"/>
  <c r="AF83" i="73"/>
  <c r="AE83" i="73"/>
  <c r="AD83" i="73"/>
  <c r="AC83" i="73"/>
  <c r="AB83" i="73"/>
  <c r="AA83" i="73"/>
  <c r="Z83" i="73"/>
  <c r="Y83" i="73"/>
  <c r="X83" i="73"/>
  <c r="W83" i="73"/>
  <c r="U83" i="73"/>
  <c r="U321" i="73" s="1"/>
  <c r="T83" i="73"/>
  <c r="T321" i="73" s="1"/>
  <c r="S83" i="73"/>
  <c r="S321" i="73" s="1"/>
  <c r="R83" i="73"/>
  <c r="R321" i="73" s="1"/>
  <c r="Q83" i="73"/>
  <c r="Q321" i="73" s="1"/>
  <c r="P83" i="73"/>
  <c r="O83" i="73"/>
  <c r="N83" i="73"/>
  <c r="M83" i="73"/>
  <c r="L83" i="73"/>
  <c r="K83" i="73"/>
  <c r="J83" i="73"/>
  <c r="I83" i="73"/>
  <c r="H83" i="73"/>
  <c r="G83" i="73"/>
  <c r="F83" i="73"/>
  <c r="E83" i="73"/>
  <c r="D83" i="73"/>
  <c r="C83" i="73"/>
  <c r="V79" i="73"/>
  <c r="V83" i="73" s="1"/>
  <c r="AS73" i="73"/>
  <c r="AR73" i="73"/>
  <c r="AQ73" i="73"/>
  <c r="AP73" i="73"/>
  <c r="AO73" i="73"/>
  <c r="AN73" i="73"/>
  <c r="AL73" i="73"/>
  <c r="AK73" i="73"/>
  <c r="AJ73" i="73"/>
  <c r="AI73" i="73"/>
  <c r="AH73" i="73"/>
  <c r="AG73" i="73"/>
  <c r="AF73" i="73"/>
  <c r="AE73" i="73"/>
  <c r="AD73" i="73"/>
  <c r="AC73" i="73"/>
  <c r="AB73" i="73"/>
  <c r="AA73" i="73"/>
  <c r="Z73" i="73"/>
  <c r="Y73" i="73"/>
  <c r="X73" i="73"/>
  <c r="W73" i="73"/>
  <c r="U73" i="73"/>
  <c r="T73" i="73"/>
  <c r="S73" i="73"/>
  <c r="R73" i="73"/>
  <c r="Q73" i="73"/>
  <c r="P73" i="73"/>
  <c r="O73" i="73"/>
  <c r="N73" i="73"/>
  <c r="M73" i="73"/>
  <c r="L73" i="73"/>
  <c r="K73" i="73"/>
  <c r="J73" i="73"/>
  <c r="I73" i="73"/>
  <c r="H73" i="73"/>
  <c r="G73" i="73"/>
  <c r="F73" i="73"/>
  <c r="E73" i="73"/>
  <c r="D73" i="73"/>
  <c r="C73" i="73"/>
  <c r="V69" i="73"/>
  <c r="V73" i="73" s="1"/>
  <c r="AS63" i="73"/>
  <c r="AR63" i="73"/>
  <c r="AQ63" i="73"/>
  <c r="AP63" i="73"/>
  <c r="AO63" i="73"/>
  <c r="AN63" i="73"/>
  <c r="AL63" i="73"/>
  <c r="AK63" i="73"/>
  <c r="AJ63" i="73"/>
  <c r="AI63" i="73"/>
  <c r="AH63" i="73"/>
  <c r="AG63" i="73"/>
  <c r="AF63" i="73"/>
  <c r="AE63" i="73"/>
  <c r="AD63" i="73"/>
  <c r="AC63" i="73"/>
  <c r="AB63" i="73"/>
  <c r="AA63" i="73"/>
  <c r="Z63" i="73"/>
  <c r="Y63" i="73"/>
  <c r="X63" i="73"/>
  <c r="W63" i="73"/>
  <c r="U63" i="73"/>
  <c r="T63" i="73"/>
  <c r="S63" i="73"/>
  <c r="R63" i="73"/>
  <c r="Q63" i="73"/>
  <c r="P63" i="73"/>
  <c r="O63" i="73"/>
  <c r="N63" i="73"/>
  <c r="M63" i="73"/>
  <c r="L63" i="73"/>
  <c r="K63" i="73"/>
  <c r="J63" i="73"/>
  <c r="I63" i="73"/>
  <c r="H63" i="73"/>
  <c r="G63" i="73"/>
  <c r="F63" i="73"/>
  <c r="E63" i="73"/>
  <c r="D63" i="73"/>
  <c r="C63" i="73"/>
  <c r="V59" i="73"/>
  <c r="V63" i="73" s="1"/>
  <c r="AS55" i="73"/>
  <c r="AR55" i="73"/>
  <c r="AQ55" i="73"/>
  <c r="AP55" i="73"/>
  <c r="AO55" i="73"/>
  <c r="AN55" i="73"/>
  <c r="AL55" i="73"/>
  <c r="AK55" i="73"/>
  <c r="AJ55" i="73"/>
  <c r="AI55" i="73"/>
  <c r="AH55" i="73"/>
  <c r="AG55" i="73"/>
  <c r="AF55" i="73"/>
  <c r="AE55" i="73"/>
  <c r="AD55" i="73"/>
  <c r="AC55" i="73"/>
  <c r="AB55" i="73"/>
  <c r="AA55" i="73"/>
  <c r="Z55" i="73"/>
  <c r="Y55" i="73"/>
  <c r="X55" i="73"/>
  <c r="W55" i="73"/>
  <c r="V55" i="73"/>
  <c r="U55" i="73"/>
  <c r="T55" i="73"/>
  <c r="S55" i="73"/>
  <c r="R55" i="73"/>
  <c r="Q55" i="73"/>
  <c r="P55" i="73"/>
  <c r="O55" i="73"/>
  <c r="N55" i="73"/>
  <c r="M55" i="73"/>
  <c r="L55" i="73"/>
  <c r="K55" i="73"/>
  <c r="J55" i="73"/>
  <c r="I55" i="73"/>
  <c r="H55" i="73"/>
  <c r="G55" i="73"/>
  <c r="F55" i="73"/>
  <c r="E55" i="73"/>
  <c r="D55" i="73"/>
  <c r="C55" i="73"/>
  <c r="BW243" i="73"/>
  <c r="BV243" i="73"/>
  <c r="BU243" i="73"/>
  <c r="BT243" i="73"/>
  <c r="BS243" i="73"/>
  <c r="BR243" i="73"/>
  <c r="BQ243" i="73"/>
  <c r="BP243" i="73"/>
  <c r="BO243" i="73"/>
  <c r="BN243" i="73"/>
  <c r="BM243" i="73"/>
  <c r="BL243" i="73"/>
  <c r="BK243" i="73"/>
  <c r="BJ243" i="73"/>
  <c r="BI243" i="73"/>
  <c r="BH243" i="73"/>
  <c r="BG243" i="73"/>
  <c r="BF243" i="73"/>
  <c r="BE243" i="73"/>
  <c r="BD243" i="73"/>
  <c r="BC243" i="73"/>
  <c r="BB243" i="73"/>
  <c r="BA243" i="73"/>
  <c r="AZ243" i="73"/>
  <c r="AY243" i="73"/>
  <c r="AX243" i="73"/>
  <c r="AW243" i="73"/>
  <c r="AV243" i="73"/>
  <c r="AU243" i="73"/>
  <c r="AT243" i="73"/>
  <c r="AS243" i="73"/>
  <c r="AR243" i="73"/>
  <c r="AQ243" i="73"/>
  <c r="AP243" i="73"/>
  <c r="AO243" i="73"/>
  <c r="AN243" i="73"/>
  <c r="AL243" i="73"/>
  <c r="AK243" i="73"/>
  <c r="AJ243" i="73"/>
  <c r="AI243" i="73"/>
  <c r="AH243" i="73"/>
  <c r="AG243" i="73"/>
  <c r="AF243" i="73"/>
  <c r="AE243" i="73"/>
  <c r="AD243" i="73"/>
  <c r="AC243" i="73"/>
  <c r="AB243" i="73"/>
  <c r="AA243" i="73"/>
  <c r="Z243" i="73"/>
  <c r="Y243" i="73"/>
  <c r="X243" i="73"/>
  <c r="W243" i="73"/>
  <c r="V243" i="73"/>
  <c r="U243" i="73"/>
  <c r="T243" i="73"/>
  <c r="S243" i="73"/>
  <c r="R243" i="73"/>
  <c r="Q243" i="73"/>
  <c r="P243" i="73"/>
  <c r="O243" i="73"/>
  <c r="N243" i="73"/>
  <c r="M243" i="73"/>
  <c r="L243" i="73"/>
  <c r="K243" i="73"/>
  <c r="J243" i="73"/>
  <c r="I243" i="73"/>
  <c r="H243" i="73"/>
  <c r="G243" i="73"/>
  <c r="F243" i="73"/>
  <c r="E243" i="73"/>
  <c r="D243" i="73"/>
  <c r="C243" i="73"/>
  <c r="BM215" i="73"/>
  <c r="BL215" i="73"/>
  <c r="BK215" i="73"/>
  <c r="BJ215" i="73"/>
  <c r="BI215" i="73"/>
  <c r="BH215" i="73"/>
  <c r="BG215" i="73"/>
  <c r="BF215" i="73"/>
  <c r="BE215" i="73"/>
  <c r="BD215" i="73"/>
  <c r="BC215" i="73"/>
  <c r="BB215" i="73"/>
  <c r="BA215" i="73"/>
  <c r="AZ215" i="73"/>
  <c r="AY215" i="73"/>
  <c r="AX215" i="73"/>
  <c r="AW215" i="73"/>
  <c r="AV215" i="73"/>
  <c r="AU215" i="73"/>
  <c r="AT215" i="73"/>
  <c r="AS215" i="73"/>
  <c r="AR215" i="73"/>
  <c r="AQ215" i="73"/>
  <c r="AP215" i="73"/>
  <c r="AO215" i="73"/>
  <c r="AN215" i="73"/>
  <c r="AL215" i="73"/>
  <c r="AK215" i="73"/>
  <c r="AJ215" i="73"/>
  <c r="AI215" i="73"/>
  <c r="AH215" i="73"/>
  <c r="AG215" i="73"/>
  <c r="AF215" i="73"/>
  <c r="AE215" i="73"/>
  <c r="AD215" i="73"/>
  <c r="AC215" i="73"/>
  <c r="AB215" i="73"/>
  <c r="AA215" i="73"/>
  <c r="Z215" i="73"/>
  <c r="Y215" i="73"/>
  <c r="X215" i="73"/>
  <c r="W215" i="73"/>
  <c r="V215" i="73"/>
  <c r="U215" i="73"/>
  <c r="T215" i="73"/>
  <c r="S215" i="73"/>
  <c r="R215" i="73"/>
  <c r="Q215" i="73"/>
  <c r="P215" i="73"/>
  <c r="O215" i="73"/>
  <c r="N215" i="73"/>
  <c r="M215" i="73"/>
  <c r="L215" i="73"/>
  <c r="K215" i="73"/>
  <c r="J215" i="73"/>
  <c r="I215" i="73"/>
  <c r="H215" i="73"/>
  <c r="G215" i="73"/>
  <c r="F215" i="73"/>
  <c r="E215" i="73"/>
  <c r="D215" i="73"/>
  <c r="C215" i="73"/>
  <c r="AD152" i="9"/>
  <c r="Z152" i="9" s="1"/>
  <c r="V152" i="9" s="1"/>
  <c r="R152" i="9" s="1"/>
  <c r="AD150" i="9"/>
  <c r="AC150" i="9" s="1"/>
  <c r="AB150" i="9" s="1"/>
  <c r="AA150" i="9" s="1"/>
  <c r="Z149" i="9"/>
  <c r="X149" i="9" s="1"/>
  <c r="W149" i="9" s="1"/>
  <c r="V149" i="9" s="1"/>
  <c r="U149" i="9" s="1"/>
  <c r="T149" i="9" s="1"/>
  <c r="S149" i="9" s="1"/>
  <c r="R149" i="9" s="1"/>
  <c r="Q149" i="9" s="1"/>
  <c r="P149" i="9" s="1"/>
  <c r="O149" i="9" s="1"/>
  <c r="P52" i="9"/>
  <c r="O52" i="9"/>
  <c r="N52" i="9"/>
  <c r="M52" i="9"/>
  <c r="L52" i="9"/>
  <c r="K52" i="9"/>
  <c r="J52" i="9"/>
  <c r="I52" i="9"/>
  <c r="H52" i="9"/>
  <c r="G52" i="9"/>
  <c r="F52" i="9"/>
  <c r="E52" i="9"/>
  <c r="D52" i="9"/>
  <c r="C52" i="9"/>
  <c r="AQ49" i="9"/>
  <c r="AP49" i="9"/>
  <c r="AO49" i="9"/>
  <c r="AN49" i="9"/>
  <c r="AM49" i="9"/>
  <c r="AL49" i="9"/>
  <c r="AK49" i="9"/>
  <c r="AJ49" i="9"/>
  <c r="AI49" i="9"/>
  <c r="AH49" i="9"/>
  <c r="AG49" i="9"/>
  <c r="AF49" i="9"/>
  <c r="AD49" i="9"/>
  <c r="AC49" i="9"/>
  <c r="AB49" i="9"/>
  <c r="AA49" i="9"/>
  <c r="Z49" i="9"/>
  <c r="Y49" i="9"/>
  <c r="X49" i="9"/>
  <c r="W49" i="9"/>
  <c r="V49" i="9"/>
  <c r="U49" i="9"/>
  <c r="T49" i="9"/>
  <c r="S49" i="9"/>
  <c r="R49" i="9"/>
  <c r="Q49" i="9"/>
  <c r="Q50" i="9" s="1"/>
  <c r="P49" i="9"/>
  <c r="P50" i="9" s="1"/>
  <c r="O49" i="9"/>
  <c r="O50" i="9" s="1"/>
  <c r="N49" i="9"/>
  <c r="N50" i="9" s="1"/>
  <c r="M49" i="9"/>
  <c r="M50" i="9" s="1"/>
  <c r="L49" i="9"/>
  <c r="L50" i="9" s="1"/>
  <c r="K49" i="9"/>
  <c r="K50" i="9" s="1"/>
  <c r="J49" i="9"/>
  <c r="J50" i="9" s="1"/>
  <c r="I49" i="9"/>
  <c r="I50" i="9" s="1"/>
  <c r="H49" i="9"/>
  <c r="H50" i="9" s="1"/>
  <c r="G49" i="9"/>
  <c r="G50" i="9" s="1"/>
  <c r="F49" i="9"/>
  <c r="F50" i="9" s="1"/>
  <c r="E49" i="9"/>
  <c r="E50" i="9" s="1"/>
  <c r="D49" i="9"/>
  <c r="D50" i="9" s="1"/>
  <c r="C49" i="9"/>
  <c r="C50" i="9" s="1"/>
  <c r="AR45" i="9"/>
  <c r="AQ45" i="9"/>
  <c r="AP45" i="9"/>
  <c r="AO45" i="9"/>
  <c r="AN45" i="9"/>
  <c r="AL45" i="9"/>
  <c r="AK45" i="9"/>
  <c r="AJ45" i="9"/>
  <c r="AI45" i="9"/>
  <c r="AG45" i="9"/>
  <c r="AF45" i="9"/>
  <c r="AE45" i="9"/>
  <c r="AD45" i="9"/>
  <c r="AC45" i="9"/>
  <c r="AB45" i="9"/>
  <c r="AA45" i="9"/>
  <c r="Z45" i="9"/>
  <c r="Y45" i="9"/>
  <c r="X45" i="9"/>
  <c r="W45" i="9"/>
  <c r="V45" i="9"/>
  <c r="U45" i="9"/>
  <c r="T45" i="9"/>
  <c r="S45" i="9"/>
  <c r="R45" i="9"/>
  <c r="Q45" i="9"/>
  <c r="P45" i="9"/>
  <c r="O45" i="9"/>
  <c r="N45" i="9"/>
  <c r="M45" i="9"/>
  <c r="L45" i="9"/>
  <c r="K45" i="9"/>
  <c r="AQ18" i="9"/>
  <c r="AP18" i="9"/>
  <c r="AO18" i="9"/>
  <c r="AN18" i="9"/>
  <c r="AL18" i="9"/>
  <c r="AK18" i="9"/>
  <c r="AJ18" i="9"/>
  <c r="AI18" i="9"/>
  <c r="AH18" i="9"/>
  <c r="AG18" i="9"/>
  <c r="AF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X17" i="9"/>
  <c r="AQ13" i="9"/>
  <c r="AP13" i="9"/>
  <c r="AO13" i="9"/>
  <c r="AN13" i="9"/>
  <c r="AM13" i="9"/>
  <c r="AL13" i="9"/>
  <c r="AK13" i="9"/>
  <c r="AJ13" i="9"/>
  <c r="AI13" i="9"/>
  <c r="AH13" i="9"/>
  <c r="AG13" i="9"/>
  <c r="AF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H12" i="9"/>
  <c r="AG12" i="9"/>
  <c r="AF12" i="9"/>
  <c r="Z12" i="9"/>
  <c r="Y12" i="9"/>
  <c r="X12" i="9"/>
  <c r="W12" i="9"/>
  <c r="V12" i="9"/>
  <c r="U12" i="9"/>
  <c r="T12" i="9"/>
  <c r="S12" i="9"/>
  <c r="R12" i="9"/>
  <c r="Q12" i="9"/>
  <c r="P12" i="9"/>
  <c r="O12" i="9"/>
  <c r="N12" i="9"/>
  <c r="M12" i="9"/>
  <c r="L12" i="9"/>
  <c r="K12" i="9"/>
  <c r="J12" i="9"/>
  <c r="I12" i="9"/>
  <c r="H12" i="9"/>
  <c r="G12" i="9"/>
  <c r="F12" i="9"/>
  <c r="E12" i="9"/>
  <c r="D12" i="9"/>
  <c r="C12" i="9"/>
  <c r="P241" i="79"/>
  <c r="R241" i="79" s="1"/>
  <c r="P240" i="79"/>
  <c r="R240" i="79" s="1"/>
  <c r="P239" i="79"/>
  <c r="R239" i="79" s="1"/>
  <c r="P238" i="79"/>
  <c r="P237" i="79"/>
  <c r="R237" i="79" s="1"/>
  <c r="P236" i="79"/>
  <c r="R236" i="79" s="1"/>
  <c r="P235" i="79"/>
  <c r="R235" i="79" s="1"/>
  <c r="P234" i="79"/>
  <c r="R234" i="79" s="1"/>
  <c r="P233" i="79"/>
  <c r="R233" i="79" s="1"/>
  <c r="R230" i="79"/>
  <c r="R229" i="79"/>
  <c r="R228" i="79"/>
  <c r="R227" i="79"/>
  <c r="P224" i="79"/>
  <c r="R224" i="79" s="1"/>
  <c r="P223" i="79"/>
  <c r="R223" i="79" s="1"/>
  <c r="P222" i="79"/>
  <c r="R222" i="79" s="1"/>
  <c r="P221" i="79"/>
  <c r="R221" i="79" s="1"/>
  <c r="P218" i="79"/>
  <c r="R218" i="79" s="1"/>
  <c r="P217" i="79"/>
  <c r="R217" i="79" s="1"/>
  <c r="P216" i="79"/>
  <c r="R216" i="79" s="1"/>
  <c r="P213" i="79"/>
  <c r="R213" i="79" s="1"/>
  <c r="P212" i="79"/>
  <c r="R212" i="79" s="1"/>
  <c r="P211" i="79"/>
  <c r="R211" i="79" s="1"/>
  <c r="P210" i="79"/>
  <c r="R210" i="79" s="1"/>
  <c r="P209" i="79"/>
  <c r="R209" i="79" s="1"/>
  <c r="P208" i="79"/>
  <c r="R208" i="79" s="1"/>
  <c r="P207" i="79"/>
  <c r="R207" i="79" s="1"/>
  <c r="P206" i="79"/>
  <c r="R206" i="79" s="1"/>
  <c r="P205" i="79"/>
  <c r="R205" i="79" s="1"/>
  <c r="P204" i="79"/>
  <c r="R204" i="79" s="1"/>
  <c r="P201" i="79"/>
  <c r="R201" i="79" s="1"/>
  <c r="P200" i="79"/>
  <c r="R200" i="79" s="1"/>
  <c r="P198" i="79"/>
  <c r="R198" i="79" s="1"/>
  <c r="P197" i="79"/>
  <c r="R197" i="79" s="1"/>
  <c r="P196" i="79"/>
  <c r="R196" i="79" s="1"/>
  <c r="P195" i="79"/>
  <c r="R195" i="79" s="1"/>
  <c r="P194" i="79"/>
  <c r="R194" i="79" s="1"/>
  <c r="P191" i="79"/>
  <c r="R191" i="79" s="1"/>
  <c r="P190" i="79"/>
  <c r="R190" i="79" s="1"/>
  <c r="P188" i="79"/>
  <c r="R188" i="79" s="1"/>
  <c r="P187" i="79"/>
  <c r="R187" i="79" s="1"/>
  <c r="P186" i="79"/>
  <c r="R186" i="79" s="1"/>
  <c r="P185" i="79"/>
  <c r="R185" i="79" s="1"/>
  <c r="P184" i="79"/>
  <c r="R184" i="79" s="1"/>
  <c r="P181" i="79"/>
  <c r="R181" i="79" s="1"/>
  <c r="P180" i="79"/>
  <c r="R180" i="79" s="1"/>
  <c r="P178" i="79"/>
  <c r="R178" i="79" s="1"/>
  <c r="P177" i="79"/>
  <c r="R177" i="79" s="1"/>
  <c r="P176" i="79"/>
  <c r="R176" i="79" s="1"/>
  <c r="P175" i="79"/>
  <c r="R175" i="79" s="1"/>
  <c r="P172" i="79"/>
  <c r="R172" i="79" s="1"/>
  <c r="P171" i="79"/>
  <c r="R171" i="79" s="1"/>
  <c r="R169" i="79"/>
  <c r="P168" i="79"/>
  <c r="R168" i="79" s="1"/>
  <c r="P167" i="79"/>
  <c r="R167" i="79" s="1"/>
  <c r="P166" i="79"/>
  <c r="R166" i="79" s="1"/>
  <c r="R163" i="79"/>
  <c r="R162" i="79"/>
  <c r="R161" i="79"/>
  <c r="R159" i="79"/>
  <c r="P158" i="79"/>
  <c r="R158" i="79" s="1"/>
  <c r="P157" i="79"/>
  <c r="R157" i="79" s="1"/>
  <c r="R156" i="79"/>
  <c r="R155" i="79"/>
  <c r="R154" i="79"/>
  <c r="P151" i="79"/>
  <c r="R151" i="79" s="1"/>
  <c r="P150" i="79"/>
  <c r="R150" i="79" s="1"/>
  <c r="P149" i="79"/>
  <c r="R149" i="79" s="1"/>
  <c r="P147" i="79"/>
  <c r="R147" i="79" s="1"/>
  <c r="P146" i="79"/>
  <c r="R146" i="79" s="1"/>
  <c r="P145" i="79"/>
  <c r="R145" i="79" s="1"/>
  <c r="P144" i="79"/>
  <c r="R144" i="79" s="1"/>
  <c r="P143" i="79"/>
  <c r="R143" i="79" s="1"/>
  <c r="P142" i="79"/>
  <c r="R142" i="79" s="1"/>
  <c r="R139" i="79"/>
  <c r="R138" i="79"/>
  <c r="R137" i="79"/>
  <c r="P135" i="79"/>
  <c r="R135" i="79" s="1"/>
  <c r="P134" i="79"/>
  <c r="R134" i="79" s="1"/>
  <c r="P133" i="79"/>
  <c r="R133" i="79" s="1"/>
  <c r="R132" i="79"/>
  <c r="R131" i="79"/>
  <c r="P130" i="79"/>
  <c r="R130" i="79" s="1"/>
  <c r="P127" i="79"/>
  <c r="R127" i="79" s="1"/>
  <c r="P126" i="79"/>
  <c r="R126" i="79" s="1"/>
  <c r="P125" i="79"/>
  <c r="R125" i="79" s="1"/>
  <c r="P123" i="79"/>
  <c r="R123" i="79" s="1"/>
  <c r="P122" i="79"/>
  <c r="R122" i="79" s="1"/>
  <c r="P121" i="79"/>
  <c r="R121" i="79" s="1"/>
  <c r="P120" i="79"/>
  <c r="R120" i="79" s="1"/>
  <c r="P119" i="79"/>
  <c r="R119" i="79" s="1"/>
  <c r="P118" i="79"/>
  <c r="R118" i="79" s="1"/>
  <c r="Q116" i="79"/>
  <c r="Q128" i="79" s="1"/>
  <c r="Q140" i="79" s="1"/>
  <c r="Q152" i="79" s="1"/>
  <c r="Q164" i="79" s="1"/>
  <c r="Q173" i="79" s="1"/>
  <c r="Q182" i="79" s="1"/>
  <c r="Q192" i="79" s="1"/>
  <c r="Q202" i="79" s="1"/>
  <c r="Q214" i="79" s="1"/>
  <c r="Q219" i="79" s="1"/>
  <c r="Q225" i="79" s="1"/>
  <c r="Q231" i="79" s="1"/>
  <c r="Q242" i="79" s="1"/>
  <c r="Q246" i="79" s="1"/>
  <c r="Q252" i="79" s="1"/>
  <c r="Q258" i="79" s="1"/>
  <c r="Q268" i="79" s="1"/>
  <c r="P115" i="79"/>
  <c r="R115" i="79" s="1"/>
  <c r="P111" i="79"/>
  <c r="P110" i="79"/>
  <c r="P107" i="79"/>
  <c r="P104" i="79"/>
  <c r="R104" i="79" s="1"/>
  <c r="R103" i="79"/>
  <c r="R102" i="79"/>
  <c r="R99" i="79"/>
  <c r="R98" i="79"/>
  <c r="P97" i="79"/>
  <c r="R97" i="79" s="1"/>
  <c r="R94" i="79"/>
  <c r="R93" i="79"/>
  <c r="R92" i="79"/>
  <c r="R89" i="79"/>
  <c r="R88" i="79"/>
  <c r="P87" i="79"/>
  <c r="R87" i="79" s="1"/>
  <c r="H85" i="79"/>
  <c r="H95" i="79" s="1"/>
  <c r="H105" i="79" s="1"/>
  <c r="H116" i="79" s="1"/>
  <c r="H128" i="79" s="1"/>
  <c r="H140" i="79" s="1"/>
  <c r="H152" i="79" s="1"/>
  <c r="H164" i="79" s="1"/>
  <c r="H173" i="79" s="1"/>
  <c r="H182" i="79" s="1"/>
  <c r="H192" i="79" s="1"/>
  <c r="H202" i="79" s="1"/>
  <c r="H214" i="79" s="1"/>
  <c r="H219" i="79" s="1"/>
  <c r="H225" i="79" s="1"/>
  <c r="H231" i="79" s="1"/>
  <c r="H242" i="79" s="1"/>
  <c r="H246" i="79" s="1"/>
  <c r="H252" i="79" s="1"/>
  <c r="H258" i="79" s="1"/>
  <c r="H268" i="79" s="1"/>
  <c r="G85" i="79"/>
  <c r="G95" i="79" s="1"/>
  <c r="G105" i="79" s="1"/>
  <c r="G116" i="79" s="1"/>
  <c r="G128" i="79" s="1"/>
  <c r="G140" i="79" s="1"/>
  <c r="G152" i="79" s="1"/>
  <c r="G164" i="79" s="1"/>
  <c r="G173" i="79" s="1"/>
  <c r="G182" i="79" s="1"/>
  <c r="G192" i="79" s="1"/>
  <c r="G202" i="79" s="1"/>
  <c r="G214" i="79" s="1"/>
  <c r="G219" i="79" s="1"/>
  <c r="G225" i="79" s="1"/>
  <c r="G231" i="79" s="1"/>
  <c r="F85" i="79"/>
  <c r="F95" i="79" s="1"/>
  <c r="F105" i="79" s="1"/>
  <c r="F116" i="79" s="1"/>
  <c r="F128" i="79" s="1"/>
  <c r="F140" i="79" s="1"/>
  <c r="F152" i="79" s="1"/>
  <c r="F164" i="79" s="1"/>
  <c r="F173" i="79" s="1"/>
  <c r="F182" i="79" s="1"/>
  <c r="F192" i="79" s="1"/>
  <c r="F202" i="79" s="1"/>
  <c r="F214" i="79" s="1"/>
  <c r="F219" i="79" s="1"/>
  <c r="F225" i="79" s="1"/>
  <c r="F231" i="79" s="1"/>
  <c r="P84" i="79"/>
  <c r="R84" i="79" s="1"/>
  <c r="P83" i="79"/>
  <c r="R83" i="79" s="1"/>
  <c r="P82" i="79"/>
  <c r="R82" i="79" s="1"/>
  <c r="R80" i="79"/>
  <c r="R79" i="79"/>
  <c r="P78" i="79"/>
  <c r="R78" i="79" s="1"/>
  <c r="P77" i="79"/>
  <c r="R77" i="79" s="1"/>
  <c r="P74" i="79"/>
  <c r="R74" i="79" s="1"/>
  <c r="R73" i="79"/>
  <c r="R72" i="79"/>
  <c r="R70" i="79"/>
  <c r="R69" i="79"/>
  <c r="P68" i="79"/>
  <c r="R68" i="79" s="1"/>
  <c r="N66" i="79"/>
  <c r="N75" i="79" s="1"/>
  <c r="N85" i="79" s="1"/>
  <c r="N95" i="79" s="1"/>
  <c r="N105" i="79" s="1"/>
  <c r="N116" i="79" s="1"/>
  <c r="N128" i="79" s="1"/>
  <c r="N140" i="79" s="1"/>
  <c r="N152" i="79" s="1"/>
  <c r="N164" i="79" s="1"/>
  <c r="N173" i="79" s="1"/>
  <c r="N182" i="79" s="1"/>
  <c r="N192" i="79" s="1"/>
  <c r="N202" i="79" s="1"/>
  <c r="N214" i="79" s="1"/>
  <c r="N219" i="79" s="1"/>
  <c r="N225" i="79" s="1"/>
  <c r="N231" i="79" s="1"/>
  <c r="N242" i="79" s="1"/>
  <c r="N246" i="79" s="1"/>
  <c r="N252" i="79" s="1"/>
  <c r="N258" i="79" s="1"/>
  <c r="N268" i="79" s="1"/>
  <c r="P65" i="79"/>
  <c r="R65" i="79" s="1"/>
  <c r="P64" i="79"/>
  <c r="R64" i="79" s="1"/>
  <c r="P63" i="79"/>
  <c r="R63" i="79" s="1"/>
  <c r="P60" i="79"/>
  <c r="R60" i="79" s="1"/>
  <c r="P59" i="79"/>
  <c r="R59" i="79" s="1"/>
  <c r="P56" i="79"/>
  <c r="R56" i="79" s="1"/>
  <c r="P55" i="79"/>
  <c r="R55" i="79" s="1"/>
  <c r="P54" i="79"/>
  <c r="R54" i="79" s="1"/>
  <c r="P53" i="79"/>
  <c r="R53" i="79" s="1"/>
  <c r="P52" i="79"/>
  <c r="R52" i="79" s="1"/>
  <c r="P51" i="79"/>
  <c r="R51" i="79" s="1"/>
  <c r="P50" i="79"/>
  <c r="R50" i="79" s="1"/>
  <c r="P47" i="79"/>
  <c r="R47" i="79" s="1"/>
  <c r="P45" i="79"/>
  <c r="R45" i="79" s="1"/>
  <c r="Q43" i="79"/>
  <c r="Q48" i="79" s="1"/>
  <c r="Q57" i="79" s="1"/>
  <c r="Q61" i="79" s="1"/>
  <c r="Q66" i="79" s="1"/>
  <c r="Q75" i="79" s="1"/>
  <c r="Q85" i="79" s="1"/>
  <c r="P42" i="79"/>
  <c r="R42" i="79" s="1"/>
  <c r="N41" i="79"/>
  <c r="N46" i="79" s="1"/>
  <c r="P46" i="79" s="1"/>
  <c r="R46" i="79" s="1"/>
  <c r="O40" i="79"/>
  <c r="P40" i="79" s="1"/>
  <c r="R40" i="79" s="1"/>
  <c r="P37" i="79"/>
  <c r="R37" i="79" s="1"/>
  <c r="P36" i="79"/>
  <c r="R36" i="79" s="1"/>
  <c r="P33" i="79"/>
  <c r="R33" i="79" s="1"/>
  <c r="P32" i="79"/>
  <c r="R32" i="79" s="1"/>
  <c r="P31" i="79"/>
  <c r="R31" i="79" s="1"/>
  <c r="P30" i="79"/>
  <c r="R30" i="79" s="1"/>
  <c r="P29" i="79"/>
  <c r="R29" i="79" s="1"/>
  <c r="P28" i="79"/>
  <c r="R28" i="79" s="1"/>
  <c r="P27" i="79"/>
  <c r="R27" i="79" s="1"/>
  <c r="P26" i="79"/>
  <c r="R26" i="79" s="1"/>
  <c r="P23" i="79"/>
  <c r="R23" i="79" s="1"/>
  <c r="P22" i="79"/>
  <c r="R22" i="79" s="1"/>
  <c r="P21" i="79"/>
  <c r="R21" i="79" s="1"/>
  <c r="P20" i="79"/>
  <c r="R20" i="79" s="1"/>
  <c r="P19" i="79"/>
  <c r="R19" i="79" s="1"/>
  <c r="Q17" i="79"/>
  <c r="Q24" i="79" s="1"/>
  <c r="O17" i="79"/>
  <c r="O24" i="79" s="1"/>
  <c r="O34" i="79" s="1"/>
  <c r="O38" i="79" s="1"/>
  <c r="N17" i="79"/>
  <c r="N24" i="79" s="1"/>
  <c r="N34" i="79" s="1"/>
  <c r="N38" i="79" s="1"/>
  <c r="M17" i="79"/>
  <c r="M24" i="79" s="1"/>
  <c r="M34" i="79" s="1"/>
  <c r="M38" i="79" s="1"/>
  <c r="M43" i="79" s="1"/>
  <c r="M48" i="79" s="1"/>
  <c r="M57" i="79" s="1"/>
  <c r="M61" i="79" s="1"/>
  <c r="M66" i="79" s="1"/>
  <c r="M75" i="79" s="1"/>
  <c r="M85" i="79" s="1"/>
  <c r="M95" i="79" s="1"/>
  <c r="M105" i="79" s="1"/>
  <c r="M116" i="79" s="1"/>
  <c r="M128" i="79" s="1"/>
  <c r="M140" i="79" s="1"/>
  <c r="M152" i="79" s="1"/>
  <c r="M164" i="79" s="1"/>
  <c r="M173" i="79" s="1"/>
  <c r="M182" i="79" s="1"/>
  <c r="M192" i="79" s="1"/>
  <c r="M202" i="79" s="1"/>
  <c r="M214" i="79" s="1"/>
  <c r="M219" i="79" s="1"/>
  <c r="M225" i="79" s="1"/>
  <c r="M231" i="79" s="1"/>
  <c r="M242" i="79" s="1"/>
  <c r="L17" i="79"/>
  <c r="L24" i="79" s="1"/>
  <c r="L34" i="79" s="1"/>
  <c r="L38" i="79" s="1"/>
  <c r="L43" i="79" s="1"/>
  <c r="L48" i="79" s="1"/>
  <c r="L57" i="79" s="1"/>
  <c r="L61" i="79" s="1"/>
  <c r="L66" i="79" s="1"/>
  <c r="L75" i="79" s="1"/>
  <c r="L85" i="79" s="1"/>
  <c r="L95" i="79" s="1"/>
  <c r="L105" i="79" s="1"/>
  <c r="L116" i="79" s="1"/>
  <c r="L128" i="79" s="1"/>
  <c r="L140" i="79" s="1"/>
  <c r="L152" i="79" s="1"/>
  <c r="L164" i="79" s="1"/>
  <c r="L173" i="79" s="1"/>
  <c r="L182" i="79" s="1"/>
  <c r="L192" i="79" s="1"/>
  <c r="L202" i="79" s="1"/>
  <c r="L214" i="79" s="1"/>
  <c r="L219" i="79" s="1"/>
  <c r="L225" i="79" s="1"/>
  <c r="L231" i="79" s="1"/>
  <c r="L242" i="79" s="1"/>
  <c r="L246" i="79" s="1"/>
  <c r="L252" i="79" s="1"/>
  <c r="L258" i="79" s="1"/>
  <c r="L268" i="79" s="1"/>
  <c r="K17" i="79"/>
  <c r="K24" i="79" s="1"/>
  <c r="K34" i="79" s="1"/>
  <c r="K38" i="79" s="1"/>
  <c r="K43" i="79" s="1"/>
  <c r="K48" i="79" s="1"/>
  <c r="K57" i="79" s="1"/>
  <c r="K61" i="79" s="1"/>
  <c r="K66" i="79" s="1"/>
  <c r="K75" i="79" s="1"/>
  <c r="K85" i="79" s="1"/>
  <c r="K95" i="79" s="1"/>
  <c r="K105" i="79" s="1"/>
  <c r="K116" i="79" s="1"/>
  <c r="K128" i="79" s="1"/>
  <c r="K140" i="79" s="1"/>
  <c r="K152" i="79" s="1"/>
  <c r="K164" i="79" s="1"/>
  <c r="K173" i="79" s="1"/>
  <c r="K182" i="79" s="1"/>
  <c r="K192" i="79" s="1"/>
  <c r="K202" i="79" s="1"/>
  <c r="K214" i="79" s="1"/>
  <c r="K219" i="79" s="1"/>
  <c r="K225" i="79" s="1"/>
  <c r="K231" i="79" s="1"/>
  <c r="K242" i="79" s="1"/>
  <c r="K246" i="79" s="1"/>
  <c r="K252" i="79" s="1"/>
  <c r="K258" i="79" s="1"/>
  <c r="K268" i="79" s="1"/>
  <c r="I17" i="79"/>
  <c r="I24" i="79" s="1"/>
  <c r="I34" i="79" s="1"/>
  <c r="I38" i="79" s="1"/>
  <c r="I43" i="79" s="1"/>
  <c r="I48" i="79" s="1"/>
  <c r="I57" i="79" s="1"/>
  <c r="I61" i="79" s="1"/>
  <c r="I66" i="79" s="1"/>
  <c r="I75" i="79" s="1"/>
  <c r="I85" i="79" s="1"/>
  <c r="I95" i="79" s="1"/>
  <c r="I105" i="79" s="1"/>
  <c r="I116" i="79" s="1"/>
  <c r="I128" i="79" s="1"/>
  <c r="I140" i="79" s="1"/>
  <c r="I152" i="79" s="1"/>
  <c r="I164" i="79" s="1"/>
  <c r="I173" i="79" s="1"/>
  <c r="I182" i="79" s="1"/>
  <c r="I192" i="79" s="1"/>
  <c r="I202" i="79" s="1"/>
  <c r="I214" i="79" s="1"/>
  <c r="I219" i="79" s="1"/>
  <c r="I225" i="79" s="1"/>
  <c r="I231" i="79" s="1"/>
  <c r="I242" i="79" s="1"/>
  <c r="I246" i="79" s="1"/>
  <c r="I252" i="79" s="1"/>
  <c r="I258" i="79" s="1"/>
  <c r="I268" i="79" s="1"/>
  <c r="G17" i="79"/>
  <c r="G24" i="79" s="1"/>
  <c r="G34" i="79" s="1"/>
  <c r="G38" i="79" s="1"/>
  <c r="G43" i="79" s="1"/>
  <c r="G48" i="79" s="1"/>
  <c r="G57" i="79" s="1"/>
  <c r="F17" i="79"/>
  <c r="F24" i="79" s="1"/>
  <c r="F34" i="79" s="1"/>
  <c r="F38" i="79" s="1"/>
  <c r="F43" i="79" s="1"/>
  <c r="F48" i="79" s="1"/>
  <c r="F57" i="79" s="1"/>
  <c r="D17" i="79"/>
  <c r="D24" i="79" s="1"/>
  <c r="D34" i="79" s="1"/>
  <c r="D38" i="79" s="1"/>
  <c r="D43" i="79" s="1"/>
  <c r="D48" i="79" s="1"/>
  <c r="D57" i="79" s="1"/>
  <c r="D61" i="79" s="1"/>
  <c r="D66" i="79" s="1"/>
  <c r="D75" i="79" s="1"/>
  <c r="D85" i="79" s="1"/>
  <c r="D95" i="79" s="1"/>
  <c r="D105" i="79" s="1"/>
  <c r="D116" i="79" s="1"/>
  <c r="D128" i="79" s="1"/>
  <c r="D140" i="79" s="1"/>
  <c r="D152" i="79" s="1"/>
  <c r="D164" i="79" s="1"/>
  <c r="D173" i="79" s="1"/>
  <c r="D182" i="79" s="1"/>
  <c r="D192" i="79" s="1"/>
  <c r="D202" i="79" s="1"/>
  <c r="D214" i="79" s="1"/>
  <c r="D219" i="79" s="1"/>
  <c r="D225" i="79" s="1"/>
  <c r="D231" i="79" s="1"/>
  <c r="C17" i="79"/>
  <c r="C24" i="79" s="1"/>
  <c r="P16" i="79"/>
  <c r="R16" i="79" s="1"/>
  <c r="P15" i="79"/>
  <c r="R15" i="79" s="1"/>
  <c r="P14" i="79"/>
  <c r="R14" i="79" s="1"/>
  <c r="P13" i="79"/>
  <c r="R13" i="79" s="1"/>
  <c r="P12" i="79"/>
  <c r="R12" i="79" s="1"/>
  <c r="P11" i="79"/>
  <c r="R11" i="79" s="1"/>
  <c r="P10" i="79"/>
  <c r="R10" i="79" s="1"/>
  <c r="P9" i="79"/>
  <c r="R9" i="79" s="1"/>
  <c r="P8" i="79"/>
  <c r="R8" i="79" s="1"/>
  <c r="P6" i="79"/>
  <c r="O37" i="67"/>
  <c r="O33" i="67" s="1"/>
  <c r="H37" i="67"/>
  <c r="H33" i="67" s="1"/>
  <c r="AH33" i="67"/>
  <c r="AG33" i="67"/>
  <c r="AF33" i="67"/>
  <c r="AE33" i="67"/>
  <c r="AD33" i="67"/>
  <c r="AC33" i="67"/>
  <c r="AB33" i="67"/>
  <c r="AA33" i="67"/>
  <c r="Z33" i="67"/>
  <c r="Y33" i="67"/>
  <c r="X33" i="67"/>
  <c r="W33" i="67"/>
  <c r="V33" i="67"/>
  <c r="U33" i="67"/>
  <c r="T33" i="67"/>
  <c r="S33" i="67"/>
  <c r="R33" i="67"/>
  <c r="Q33" i="67"/>
  <c r="P33" i="67"/>
  <c r="N33" i="67"/>
  <c r="M33" i="67"/>
  <c r="L33" i="67"/>
  <c r="K33" i="67"/>
  <c r="J33" i="67"/>
  <c r="I33" i="67"/>
  <c r="G33" i="67"/>
  <c r="F33" i="67"/>
  <c r="E33" i="67"/>
  <c r="D33" i="67"/>
  <c r="C33" i="67"/>
  <c r="AH29" i="67"/>
  <c r="AG29" i="67"/>
  <c r="AF29" i="67"/>
  <c r="AE29" i="67"/>
  <c r="AD29" i="67"/>
  <c r="AC29" i="67"/>
  <c r="AB29" i="67"/>
  <c r="AA29" i="67"/>
  <c r="Z29" i="67"/>
  <c r="Y29" i="67"/>
  <c r="X29" i="67"/>
  <c r="W29" i="67"/>
  <c r="V29" i="67"/>
  <c r="U29" i="67"/>
  <c r="T29" i="67"/>
  <c r="S29" i="67"/>
  <c r="R29" i="67"/>
  <c r="Q29" i="67"/>
  <c r="P29" i="67"/>
  <c r="O29" i="67"/>
  <c r="N29" i="67"/>
  <c r="M29" i="67"/>
  <c r="L29" i="67"/>
  <c r="K29" i="67"/>
  <c r="J29" i="67"/>
  <c r="I29" i="67"/>
  <c r="H29" i="67"/>
  <c r="G29" i="67"/>
  <c r="F29" i="67"/>
  <c r="E29" i="67"/>
  <c r="D29" i="67"/>
  <c r="C29"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F22" i="67"/>
  <c r="E22" i="67"/>
  <c r="D22" i="67"/>
  <c r="C22" i="67"/>
  <c r="AH17" i="67"/>
  <c r="AH20" i="67" s="1"/>
  <c r="AG17" i="67"/>
  <c r="AG20" i="67" s="1"/>
  <c r="AF17" i="67"/>
  <c r="AF20" i="67" s="1"/>
  <c r="AE17" i="67"/>
  <c r="AE20" i="67" s="1"/>
  <c r="AD17" i="67"/>
  <c r="AD20" i="67" s="1"/>
  <c r="AC17" i="67"/>
  <c r="AC20" i="67" s="1"/>
  <c r="AB17" i="67"/>
  <c r="AB20" i="67" s="1"/>
  <c r="AA17" i="67"/>
  <c r="AA20" i="67" s="1"/>
  <c r="Z17" i="67"/>
  <c r="Z20" i="67" s="1"/>
  <c r="Y17" i="67"/>
  <c r="Y20" i="67" s="1"/>
  <c r="X17" i="67"/>
  <c r="X20" i="67" s="1"/>
  <c r="W17" i="67"/>
  <c r="W20" i="67" s="1"/>
  <c r="V17" i="67"/>
  <c r="V20" i="67" s="1"/>
  <c r="U17" i="67"/>
  <c r="U20" i="67" s="1"/>
  <c r="T17" i="67"/>
  <c r="T20" i="67" s="1"/>
  <c r="S17" i="67"/>
  <c r="S20" i="67" s="1"/>
  <c r="R17" i="67"/>
  <c r="R20" i="67" s="1"/>
  <c r="Q17" i="67"/>
  <c r="Q20" i="67" s="1"/>
  <c r="AH13" i="67"/>
  <c r="AG13" i="67"/>
  <c r="AF13" i="67"/>
  <c r="AE13" i="67"/>
  <c r="AD13" i="67"/>
  <c r="AC13" i="67"/>
  <c r="AB13" i="67"/>
  <c r="AA13" i="67"/>
  <c r="Z13" i="67"/>
  <c r="Y13" i="67"/>
  <c r="X13" i="67"/>
  <c r="W13" i="67"/>
  <c r="V13" i="67"/>
  <c r="U13" i="67"/>
  <c r="T13" i="67"/>
  <c r="S13" i="67"/>
  <c r="R13" i="67"/>
  <c r="Q13" i="67"/>
  <c r="P13" i="67"/>
  <c r="O13" i="67"/>
  <c r="N13" i="67"/>
  <c r="M13" i="67"/>
  <c r="L13" i="67"/>
  <c r="K13" i="67"/>
  <c r="J13" i="67"/>
  <c r="I13" i="67"/>
  <c r="H13" i="67"/>
  <c r="G13" i="67"/>
  <c r="F13" i="67"/>
  <c r="E13" i="67"/>
  <c r="D13" i="67"/>
  <c r="C13" i="67"/>
  <c r="AH9" i="67"/>
  <c r="AG9" i="67"/>
  <c r="AF9" i="67"/>
  <c r="AE9" i="67"/>
  <c r="AD9" i="67"/>
  <c r="AC9" i="67"/>
  <c r="AB9" i="67"/>
  <c r="AA9" i="67"/>
  <c r="Z9" i="67"/>
  <c r="Y9" i="67"/>
  <c r="X9" i="67"/>
  <c r="W9" i="67"/>
  <c r="V9" i="67"/>
  <c r="U9" i="67"/>
  <c r="T9" i="67"/>
  <c r="S9" i="67"/>
  <c r="R9" i="67"/>
  <c r="Q9" i="67"/>
  <c r="P9" i="67"/>
  <c r="O9" i="67"/>
  <c r="N9" i="67"/>
  <c r="M9" i="67"/>
  <c r="L9" i="67"/>
  <c r="K9" i="67"/>
  <c r="J9" i="67"/>
  <c r="I9" i="67"/>
  <c r="H9" i="67"/>
  <c r="G9" i="67"/>
  <c r="F9" i="67"/>
  <c r="E9" i="67"/>
  <c r="D9" i="67"/>
  <c r="C9" i="67"/>
  <c r="R101" i="63"/>
  <c r="Q101" i="63" s="1"/>
  <c r="P101" i="63" s="1"/>
  <c r="O101" i="63" s="1"/>
  <c r="N101" i="63" s="1"/>
  <c r="M101" i="63" s="1"/>
  <c r="L101" i="63" s="1"/>
  <c r="K101" i="63" s="1"/>
  <c r="J101" i="63" s="1"/>
  <c r="I101" i="63" s="1"/>
  <c r="H101" i="63" s="1"/>
  <c r="G101" i="63" s="1"/>
  <c r="F101" i="63" s="1"/>
  <c r="E101" i="63" s="1"/>
  <c r="D101" i="63" s="1"/>
  <c r="C101" i="63" s="1"/>
  <c r="AE94" i="63"/>
  <c r="AF93" i="63" s="1"/>
  <c r="AD94" i="63"/>
  <c r="AC94" i="63"/>
  <c r="AD93" i="63" s="1"/>
  <c r="AB94" i="63"/>
  <c r="AA94" i="63"/>
  <c r="AB93" i="63" s="1"/>
  <c r="Z94" i="63"/>
  <c r="Y94" i="63"/>
  <c r="Z93" i="63" s="1"/>
  <c r="X94" i="63"/>
  <c r="Y93" i="63" s="1"/>
  <c r="W94" i="63"/>
  <c r="X93" i="63" s="1"/>
  <c r="V94" i="63"/>
  <c r="W93" i="63" s="1"/>
  <c r="U94" i="63"/>
  <c r="V93" i="63" s="1"/>
  <c r="T94" i="63"/>
  <c r="R94" i="63"/>
  <c r="Q94" i="63"/>
  <c r="P94" i="63"/>
  <c r="O94" i="63"/>
  <c r="N94" i="63"/>
  <c r="M94" i="63"/>
  <c r="L94" i="63"/>
  <c r="K94" i="63"/>
  <c r="J94" i="63"/>
  <c r="I94" i="63"/>
  <c r="H94" i="63"/>
  <c r="G94" i="63"/>
  <c r="F94" i="63"/>
  <c r="E94" i="63"/>
  <c r="D94" i="63"/>
  <c r="C94" i="63"/>
  <c r="O93" i="63"/>
  <c r="N93" i="63"/>
  <c r="M93" i="63"/>
  <c r="L93" i="63"/>
  <c r="K93" i="63"/>
  <c r="J93" i="63"/>
  <c r="I93" i="63"/>
  <c r="H93" i="63"/>
  <c r="G93" i="63"/>
  <c r="F93" i="63"/>
  <c r="E93" i="63"/>
  <c r="D93" i="63"/>
  <c r="C93" i="63"/>
  <c r="E91" i="63"/>
  <c r="D91" i="63"/>
  <c r="AE87" i="63"/>
  <c r="AD87" i="63"/>
  <c r="AC87" i="63"/>
  <c r="AB87" i="63"/>
  <c r="AA87" i="63"/>
  <c r="Z87" i="63"/>
  <c r="Y87" i="63"/>
  <c r="X87" i="63"/>
  <c r="W87" i="63"/>
  <c r="V87" i="63"/>
  <c r="U87" i="63"/>
  <c r="T87" i="63"/>
  <c r="S87" i="63"/>
  <c r="R87" i="63"/>
  <c r="Q87" i="63"/>
  <c r="P87" i="63"/>
  <c r="O87" i="63"/>
  <c r="N87" i="63"/>
  <c r="M87" i="63"/>
  <c r="K87" i="63"/>
  <c r="J87" i="63"/>
  <c r="H87" i="63"/>
  <c r="G87" i="63"/>
  <c r="F87" i="63"/>
  <c r="E87" i="63"/>
  <c r="D87" i="63"/>
  <c r="C87" i="63"/>
  <c r="I84" i="63"/>
  <c r="I87" i="63" s="1"/>
  <c r="L81" i="63"/>
  <c r="L87" i="63" s="1"/>
  <c r="AE79" i="63"/>
  <c r="AD79" i="63"/>
  <c r="AC79" i="63"/>
  <c r="AB79" i="63"/>
  <c r="AA79" i="63"/>
  <c r="Z79" i="63"/>
  <c r="Y79" i="63"/>
  <c r="X79" i="63"/>
  <c r="W79" i="63"/>
  <c r="V79" i="63"/>
  <c r="U79" i="63"/>
  <c r="S79" i="63"/>
  <c r="P79" i="63"/>
  <c r="O79" i="63"/>
  <c r="N79" i="63"/>
  <c r="M79" i="63"/>
  <c r="J79" i="63"/>
  <c r="I79" i="63"/>
  <c r="H79" i="63"/>
  <c r="G79" i="63"/>
  <c r="F79" i="63"/>
  <c r="E79" i="63"/>
  <c r="D79" i="63"/>
  <c r="C79" i="63"/>
  <c r="L68" i="63"/>
  <c r="T66" i="63"/>
  <c r="T79" i="63" s="1"/>
  <c r="R66" i="63"/>
  <c r="R79" i="63" s="1"/>
  <c r="Q66" i="63"/>
  <c r="Q79" i="63" s="1"/>
  <c r="L66" i="63"/>
  <c r="K66" i="63"/>
  <c r="L65" i="63"/>
  <c r="K65" i="63"/>
  <c r="O56" i="63"/>
  <c r="AE54" i="63"/>
  <c r="AD54" i="63"/>
  <c r="AC54" i="63"/>
  <c r="AB54" i="63"/>
  <c r="AA54" i="63"/>
  <c r="Z54" i="63"/>
  <c r="Y54" i="63"/>
  <c r="X54" i="63"/>
  <c r="W54" i="63"/>
  <c r="V54" i="63"/>
  <c r="U54" i="63"/>
  <c r="T54" i="63"/>
  <c r="R54" i="63"/>
  <c r="Q54" i="63"/>
  <c r="P54" i="63"/>
  <c r="O54" i="63"/>
  <c r="N54" i="63"/>
  <c r="M54" i="63"/>
  <c r="G54" i="63"/>
  <c r="D54" i="63"/>
  <c r="C54" i="63"/>
  <c r="S53" i="63"/>
  <c r="S54" i="63" s="1"/>
  <c r="L50" i="63"/>
  <c r="L54" i="63" s="1"/>
  <c r="K50" i="63"/>
  <c r="K54" i="63" s="1"/>
  <c r="I50" i="63"/>
  <c r="I54" i="63" s="1"/>
  <c r="E48" i="63"/>
  <c r="E54" i="63" s="1"/>
  <c r="J47" i="63"/>
  <c r="J54" i="63" s="1"/>
  <c r="H46" i="63"/>
  <c r="H54" i="63" s="1"/>
  <c r="F46" i="63"/>
  <c r="F54" i="63" s="1"/>
  <c r="AE45" i="63"/>
  <c r="AD45" i="63"/>
  <c r="AC45" i="63"/>
  <c r="AB45" i="63"/>
  <c r="AA45" i="63"/>
  <c r="I40" i="63"/>
  <c r="Z29" i="63"/>
  <c r="Z45" i="63" s="1"/>
  <c r="Y29" i="63"/>
  <c r="Y45" i="63" s="1"/>
  <c r="X29" i="63"/>
  <c r="X45" i="63" s="1"/>
  <c r="W29" i="63"/>
  <c r="W45" i="63" s="1"/>
  <c r="V45" i="63"/>
  <c r="U29" i="63"/>
  <c r="U45" i="63" s="1"/>
  <c r="T29" i="63"/>
  <c r="T45" i="63" s="1"/>
  <c r="S29" i="63"/>
  <c r="S45" i="63" s="1"/>
  <c r="R29" i="63"/>
  <c r="R45" i="63" s="1"/>
  <c r="Q29" i="63"/>
  <c r="Q45" i="63" s="1"/>
  <c r="P29" i="63"/>
  <c r="P45" i="63" s="1"/>
  <c r="O29" i="63"/>
  <c r="O45" i="63" s="1"/>
  <c r="N29" i="63"/>
  <c r="N45" i="63" s="1"/>
  <c r="M29" i="63"/>
  <c r="M45" i="63" s="1"/>
  <c r="L29" i="63"/>
  <c r="L45" i="63" s="1"/>
  <c r="K29" i="63"/>
  <c r="J29" i="63"/>
  <c r="I29" i="63"/>
  <c r="H29" i="63"/>
  <c r="H45" i="63" s="1"/>
  <c r="G29" i="63"/>
  <c r="F29" i="63"/>
  <c r="F45" i="63" s="1"/>
  <c r="E29" i="63"/>
  <c r="E45" i="63" s="1"/>
  <c r="D29" i="63"/>
  <c r="D45" i="63" s="1"/>
  <c r="C29" i="63"/>
  <c r="C45" i="63" s="1"/>
  <c r="K21" i="63"/>
  <c r="J21" i="63"/>
  <c r="I21" i="63"/>
  <c r="G21" i="63"/>
  <c r="AE18" i="63"/>
  <c r="E18" i="63"/>
  <c r="D18" i="63"/>
  <c r="C18" i="63"/>
  <c r="AE13" i="63"/>
  <c r="AD13" i="63"/>
  <c r="AC13" i="63"/>
  <c r="AB13" i="63"/>
  <c r="AA13" i="63"/>
  <c r="Z13" i="63"/>
  <c r="Y13" i="63"/>
  <c r="X13" i="63"/>
  <c r="W13" i="63"/>
  <c r="V13" i="63"/>
  <c r="U13" i="63"/>
  <c r="T13" i="63"/>
  <c r="S13" i="63"/>
  <c r="AE12" i="63"/>
  <c r="AD12" i="63"/>
  <c r="AC12" i="63"/>
  <c r="AB12" i="63"/>
  <c r="AA12" i="63"/>
  <c r="Z12" i="63"/>
  <c r="Y12" i="63"/>
  <c r="X12" i="63"/>
  <c r="W12" i="63"/>
  <c r="V12" i="63"/>
  <c r="U12" i="63"/>
  <c r="S12" i="63"/>
  <c r="P12" i="63"/>
  <c r="O12" i="63"/>
  <c r="N12" i="63"/>
  <c r="M12" i="63"/>
  <c r="J12" i="63"/>
  <c r="I12" i="63"/>
  <c r="H12" i="63"/>
  <c r="G12" i="63"/>
  <c r="F12" i="63"/>
  <c r="E12" i="63"/>
  <c r="D12" i="63"/>
  <c r="C12" i="63"/>
  <c r="AC11" i="63"/>
  <c r="AB11" i="63"/>
  <c r="I9" i="63"/>
  <c r="H9" i="63"/>
  <c r="G9" i="63"/>
  <c r="F9" i="63"/>
  <c r="E9" i="63"/>
  <c r="D9" i="63"/>
  <c r="C9" i="63"/>
  <c r="I8" i="63"/>
  <c r="H8" i="63"/>
  <c r="G8" i="63"/>
  <c r="F8" i="63"/>
  <c r="E8" i="63"/>
  <c r="D8" i="63"/>
  <c r="C8" i="63"/>
  <c r="I7" i="63"/>
  <c r="H7" i="63"/>
  <c r="G7" i="63"/>
  <c r="F7" i="63"/>
  <c r="E7" i="63"/>
  <c r="D7" i="63"/>
  <c r="C7" i="63"/>
  <c r="AJ58" i="12"/>
  <c r="AH58" i="12"/>
  <c r="AG58" i="12"/>
  <c r="AF58" i="12"/>
  <c r="AE58" i="12"/>
  <c r="AD57" i="12"/>
  <c r="AC57" i="12" s="1"/>
  <c r="AB57" i="12" s="1"/>
  <c r="AA57" i="12" s="1"/>
  <c r="Z57" i="12" s="1"/>
  <c r="Y57" i="12" s="1"/>
  <c r="X57" i="12" s="1"/>
  <c r="W57" i="12" s="1"/>
  <c r="V57" i="12" s="1"/>
  <c r="U57" i="12" s="1"/>
  <c r="T57" i="12" s="1"/>
  <c r="S57" i="12" s="1"/>
  <c r="R57" i="12" s="1"/>
  <c r="Q57" i="12" s="1"/>
  <c r="P57" i="12" s="1"/>
  <c r="O57" i="12" s="1"/>
  <c r="N57" i="12" s="1"/>
  <c r="M57" i="12" s="1"/>
  <c r="L57" i="12" s="1"/>
  <c r="K57" i="12" s="1"/>
  <c r="J57" i="12" s="1"/>
  <c r="I57" i="12" s="1"/>
  <c r="H57" i="12" s="1"/>
  <c r="G57" i="12" s="1"/>
  <c r="F57" i="12" s="1"/>
  <c r="E57" i="12" s="1"/>
  <c r="D57" i="12" s="1"/>
  <c r="C57" i="12" s="1"/>
  <c r="AB53" i="12"/>
  <c r="Z53" i="12"/>
  <c r="Y53" i="12"/>
  <c r="X53" i="12"/>
  <c r="W53" i="12"/>
  <c r="V53" i="12"/>
  <c r="U53" i="12"/>
  <c r="T53" i="12"/>
  <c r="S53" i="12"/>
  <c r="R53" i="12"/>
  <c r="Q53" i="12"/>
  <c r="P53" i="12"/>
  <c r="O53" i="12"/>
  <c r="AD49" i="12"/>
  <c r="AC49" i="12"/>
  <c r="AB49" i="12"/>
  <c r="AA49" i="12"/>
  <c r="Z49" i="12"/>
  <c r="Y49" i="12"/>
  <c r="X49" i="12"/>
  <c r="W49" i="12"/>
  <c r="V49" i="12"/>
  <c r="U49" i="12"/>
  <c r="T49" i="12"/>
  <c r="S49" i="12"/>
  <c r="R49" i="12"/>
  <c r="Q49" i="12"/>
  <c r="P49" i="12"/>
  <c r="O49" i="12"/>
  <c r="N49" i="12"/>
  <c r="M49" i="12"/>
  <c r="L49" i="12"/>
  <c r="K49" i="12"/>
  <c r="J49" i="12"/>
  <c r="I49" i="12"/>
  <c r="H49" i="12"/>
  <c r="G49" i="12"/>
  <c r="F49" i="12"/>
  <c r="E49" i="12"/>
  <c r="D49" i="12"/>
  <c r="C49" i="12"/>
  <c r="AD46" i="12"/>
  <c r="AC46" i="12"/>
  <c r="AB46" i="12"/>
  <c r="AA46" i="12"/>
  <c r="Z46" i="12"/>
  <c r="Y46" i="12"/>
  <c r="X46" i="12"/>
  <c r="W46" i="12"/>
  <c r="V46" i="12"/>
  <c r="U46" i="12"/>
  <c r="T46" i="12"/>
  <c r="S46" i="12"/>
  <c r="R46" i="12"/>
  <c r="Q46" i="12"/>
  <c r="P46" i="12"/>
  <c r="O46" i="12"/>
  <c r="N46" i="12"/>
  <c r="M46" i="12"/>
  <c r="L46" i="12"/>
  <c r="K46" i="12"/>
  <c r="J46" i="12"/>
  <c r="I46" i="12"/>
  <c r="H46" i="12"/>
  <c r="G46" i="12"/>
  <c r="F46" i="12"/>
  <c r="E46" i="12"/>
  <c r="D46" i="12"/>
  <c r="C46" i="12"/>
  <c r="AD45" i="12"/>
  <c r="AC45" i="12"/>
  <c r="AB45" i="12"/>
  <c r="AA45" i="12"/>
  <c r="Z45" i="12"/>
  <c r="Y45" i="12"/>
  <c r="X45" i="12"/>
  <c r="W45" i="12"/>
  <c r="V45" i="12"/>
  <c r="U45" i="12"/>
  <c r="T45" i="12"/>
  <c r="S45" i="12"/>
  <c r="R45" i="12"/>
  <c r="Q45" i="12"/>
  <c r="P45" i="12"/>
  <c r="O45" i="12"/>
  <c r="N45" i="12"/>
  <c r="M45" i="12"/>
  <c r="L45" i="12"/>
  <c r="K45" i="12"/>
  <c r="J45" i="12"/>
  <c r="I45" i="12"/>
  <c r="H45" i="12"/>
  <c r="G45" i="12"/>
  <c r="F45" i="12"/>
  <c r="E45" i="12"/>
  <c r="D45" i="12"/>
  <c r="C45" i="12"/>
  <c r="AP43" i="12"/>
  <c r="AO43" i="12"/>
  <c r="AN43" i="12"/>
  <c r="AL43" i="12"/>
  <c r="AK43" i="12"/>
  <c r="AJ43" i="12"/>
  <c r="AI43" i="12"/>
  <c r="AH43" i="12"/>
  <c r="AG43" i="12"/>
  <c r="AF43" i="12"/>
  <c r="AE43" i="12"/>
  <c r="AD43" i="12"/>
  <c r="AC43" i="12"/>
  <c r="AB43" i="12"/>
  <c r="Z43" i="12"/>
  <c r="Y43" i="12"/>
  <c r="X43" i="12"/>
  <c r="W43" i="12"/>
  <c r="V43" i="12"/>
  <c r="U43" i="12"/>
  <c r="T43" i="12"/>
  <c r="S43" i="12"/>
  <c r="R43" i="12"/>
  <c r="Q43" i="12"/>
  <c r="P43" i="12"/>
  <c r="O43" i="12"/>
  <c r="N43" i="12"/>
  <c r="M43" i="12"/>
  <c r="L43" i="12"/>
  <c r="K43" i="12"/>
  <c r="J43" i="12"/>
  <c r="I43" i="12"/>
  <c r="H43" i="12"/>
  <c r="G43" i="12"/>
  <c r="F43" i="12"/>
  <c r="E43" i="12"/>
  <c r="D43" i="12"/>
  <c r="C43" i="12"/>
  <c r="AP41" i="12"/>
  <c r="AO41" i="12"/>
  <c r="AN41" i="12"/>
  <c r="AL41" i="12"/>
  <c r="AK41" i="12"/>
  <c r="AJ41" i="12"/>
  <c r="AI41" i="12"/>
  <c r="AH41" i="12"/>
  <c r="AG41" i="12"/>
  <c r="AF41" i="12"/>
  <c r="AE41" i="12"/>
  <c r="AD41" i="12"/>
  <c r="AC41" i="12"/>
  <c r="AB41" i="12"/>
  <c r="Z41" i="12"/>
  <c r="Y41" i="12"/>
  <c r="X41" i="12"/>
  <c r="W41" i="12"/>
  <c r="V41" i="12"/>
  <c r="U41" i="12"/>
  <c r="T41" i="12"/>
  <c r="S41" i="12"/>
  <c r="R41" i="12"/>
  <c r="Q41" i="12"/>
  <c r="P41" i="12"/>
  <c r="O41" i="12"/>
  <c r="N41" i="12"/>
  <c r="M41" i="12"/>
  <c r="L41" i="12"/>
  <c r="K41" i="12"/>
  <c r="J41" i="12"/>
  <c r="I41" i="12"/>
  <c r="H41" i="12"/>
  <c r="G41" i="12"/>
  <c r="F41" i="12"/>
  <c r="E41" i="12"/>
  <c r="D41" i="12"/>
  <c r="C41" i="12"/>
  <c r="AP40" i="12"/>
  <c r="AO40" i="12"/>
  <c r="AN40" i="12"/>
  <c r="AL40" i="12"/>
  <c r="AK40" i="12"/>
  <c r="AJ40" i="12"/>
  <c r="AI40" i="12"/>
  <c r="AH40" i="12"/>
  <c r="AG40" i="12"/>
  <c r="AF40" i="12"/>
  <c r="AE40" i="12"/>
  <c r="AD40" i="12"/>
  <c r="AC40" i="12"/>
  <c r="AB40" i="12"/>
  <c r="AA40" i="12"/>
  <c r="Z40" i="12"/>
  <c r="Y40" i="12"/>
  <c r="X40" i="12"/>
  <c r="W40" i="12"/>
  <c r="V40" i="12"/>
  <c r="U40" i="12"/>
  <c r="T40" i="12"/>
  <c r="S40" i="12"/>
  <c r="R40" i="12"/>
  <c r="Q40" i="12"/>
  <c r="P40" i="12"/>
  <c r="O40" i="12"/>
  <c r="N40" i="12"/>
  <c r="M40" i="12"/>
  <c r="L40" i="12"/>
  <c r="K40" i="12"/>
  <c r="J40" i="12"/>
  <c r="I40" i="12"/>
  <c r="H40" i="12"/>
  <c r="G40" i="12"/>
  <c r="F40" i="12"/>
  <c r="E40" i="12"/>
  <c r="D40" i="12"/>
  <c r="C40" i="12"/>
  <c r="AP38" i="12"/>
  <c r="AO38" i="12"/>
  <c r="AN38" i="12"/>
  <c r="AL38" i="12"/>
  <c r="AK38" i="12"/>
  <c r="AJ38" i="12"/>
  <c r="AI38" i="12"/>
  <c r="AH38" i="12"/>
  <c r="AG38" i="12"/>
  <c r="AF38" i="12"/>
  <c r="AE38" i="12"/>
  <c r="AD38" i="12"/>
  <c r="AC38" i="12"/>
  <c r="AB38" i="12"/>
  <c r="AA38" i="12"/>
  <c r="Z38" i="12"/>
  <c r="Y38" i="12"/>
  <c r="X38" i="12"/>
  <c r="W38" i="12"/>
  <c r="V38" i="12"/>
  <c r="U38" i="12"/>
  <c r="T38" i="12"/>
  <c r="S38" i="12"/>
  <c r="R38" i="12"/>
  <c r="Q38" i="12"/>
  <c r="P38" i="12"/>
  <c r="O38" i="12"/>
  <c r="AP37" i="12"/>
  <c r="AO37" i="12"/>
  <c r="AN37" i="12"/>
  <c r="AL37" i="12"/>
  <c r="AK37" i="12"/>
  <c r="AJ37" i="12"/>
  <c r="AI37" i="12"/>
  <c r="AH37" i="12"/>
  <c r="AG37" i="12"/>
  <c r="AF37" i="12"/>
  <c r="AE37" i="12"/>
  <c r="AD37" i="12"/>
  <c r="AC37" i="12"/>
  <c r="AB37" i="12"/>
  <c r="AA37" i="12"/>
  <c r="Z37" i="12"/>
  <c r="Y37" i="12"/>
  <c r="X37" i="12"/>
  <c r="W37" i="12"/>
  <c r="V37" i="12"/>
  <c r="U37" i="12"/>
  <c r="T37" i="12"/>
  <c r="S37" i="12"/>
  <c r="R37" i="12"/>
  <c r="Q37" i="12"/>
  <c r="P37" i="12"/>
  <c r="O37" i="12"/>
  <c r="AQ36" i="12"/>
  <c r="N36" i="12"/>
  <c r="M36" i="12"/>
  <c r="L36" i="12"/>
  <c r="K36" i="12"/>
  <c r="J36" i="12"/>
  <c r="I36" i="12"/>
  <c r="H36" i="12"/>
  <c r="G36" i="12"/>
  <c r="F36" i="12"/>
  <c r="E36" i="12"/>
  <c r="D36" i="12"/>
  <c r="C36" i="12"/>
  <c r="AB33" i="12"/>
  <c r="AA33" i="12"/>
  <c r="Z33" i="12"/>
  <c r="Y33" i="12"/>
  <c r="X33" i="12"/>
  <c r="W33" i="12"/>
  <c r="V33" i="12"/>
  <c r="U33" i="12"/>
  <c r="T33" i="12"/>
  <c r="S33" i="12"/>
  <c r="Q33" i="12"/>
  <c r="P33" i="12"/>
  <c r="O33" i="12"/>
  <c r="N33" i="12"/>
  <c r="M33" i="12"/>
  <c r="L33" i="12"/>
  <c r="K33" i="12"/>
  <c r="J33" i="12"/>
  <c r="I33" i="12"/>
  <c r="H33" i="12"/>
  <c r="G33" i="12"/>
  <c r="F33" i="12"/>
  <c r="E33" i="12"/>
  <c r="D33" i="12"/>
  <c r="C33" i="12"/>
  <c r="AB32" i="12"/>
  <c r="AA32" i="12"/>
  <c r="Z32" i="12"/>
  <c r="Y32" i="12"/>
  <c r="X32" i="12"/>
  <c r="W32" i="12"/>
  <c r="V32" i="12"/>
  <c r="U32" i="12"/>
  <c r="T32" i="12"/>
  <c r="S32" i="12"/>
  <c r="R32" i="12"/>
  <c r="Q32" i="12"/>
  <c r="O32" i="12"/>
  <c r="N32" i="12"/>
  <c r="M32" i="12"/>
  <c r="L32" i="12"/>
  <c r="K32" i="12"/>
  <c r="J32" i="12"/>
  <c r="I32" i="12"/>
  <c r="H32" i="12"/>
  <c r="G32" i="12"/>
  <c r="F32" i="12"/>
  <c r="E32" i="12"/>
  <c r="D32" i="12"/>
  <c r="C32" i="12"/>
  <c r="AB31" i="12"/>
  <c r="AA31" i="12"/>
  <c r="Z31" i="12"/>
  <c r="Y31" i="12"/>
  <c r="X31" i="12"/>
  <c r="W31" i="12"/>
  <c r="V31" i="12"/>
  <c r="U31" i="12"/>
  <c r="T31" i="12"/>
  <c r="S31" i="12"/>
  <c r="R31" i="12"/>
  <c r="Q31" i="12"/>
  <c r="P31" i="12"/>
  <c r="O31" i="12"/>
  <c r="N31" i="12"/>
  <c r="M31" i="12"/>
  <c r="L31" i="12"/>
  <c r="K31" i="12"/>
  <c r="J31" i="12"/>
  <c r="I31" i="12"/>
  <c r="H31" i="12"/>
  <c r="G31" i="12"/>
  <c r="F31" i="12"/>
  <c r="E31" i="12"/>
  <c r="D31" i="12"/>
  <c r="C31" i="12"/>
  <c r="AB30" i="12"/>
  <c r="AA30" i="12"/>
  <c r="Z30" i="12"/>
  <c r="Y30" i="12"/>
  <c r="X30" i="12"/>
  <c r="W30" i="12"/>
  <c r="V30" i="12"/>
  <c r="U30" i="12"/>
  <c r="T30" i="12"/>
  <c r="S30" i="12"/>
  <c r="R30" i="12"/>
  <c r="Q30" i="12"/>
  <c r="P30" i="12"/>
  <c r="O30" i="12"/>
  <c r="N30" i="12"/>
  <c r="M30" i="12"/>
  <c r="L30" i="12"/>
  <c r="K30" i="12"/>
  <c r="J30" i="12"/>
  <c r="I30" i="12"/>
  <c r="H30" i="12"/>
  <c r="G30" i="12"/>
  <c r="F30" i="12"/>
  <c r="E30" i="12"/>
  <c r="D30" i="12"/>
  <c r="C30" i="12"/>
  <c r="AB29" i="12"/>
  <c r="AA29" i="12"/>
  <c r="Z29" i="12"/>
  <c r="Y29" i="12"/>
  <c r="X29" i="12"/>
  <c r="W29" i="12"/>
  <c r="V29" i="12"/>
  <c r="U29" i="12"/>
  <c r="T29" i="12"/>
  <c r="S29" i="12"/>
  <c r="R29" i="12"/>
  <c r="Q29" i="12"/>
  <c r="P29" i="12"/>
  <c r="O29" i="12"/>
  <c r="N29" i="12"/>
  <c r="M29" i="12"/>
  <c r="L29" i="12"/>
  <c r="K29" i="12"/>
  <c r="J29" i="12"/>
  <c r="I29" i="12"/>
  <c r="H29" i="12"/>
  <c r="G29" i="12"/>
  <c r="F29" i="12"/>
  <c r="E29" i="12"/>
  <c r="D29" i="12"/>
  <c r="C29" i="12"/>
  <c r="Z28" i="12"/>
  <c r="Y28" i="12"/>
  <c r="W28" i="12"/>
  <c r="V28" i="12"/>
  <c r="U28" i="12"/>
  <c r="T28" i="12"/>
  <c r="S28" i="12"/>
  <c r="R28" i="12"/>
  <c r="Q28" i="12"/>
  <c r="P28" i="12"/>
  <c r="O28" i="12"/>
  <c r="N28" i="12"/>
  <c r="M28" i="12"/>
  <c r="L28" i="12"/>
  <c r="K28" i="12"/>
  <c r="J28" i="12"/>
  <c r="I28" i="12"/>
  <c r="H28" i="12"/>
  <c r="G28" i="12"/>
  <c r="F28" i="12"/>
  <c r="E28" i="12"/>
  <c r="D28" i="12"/>
  <c r="C28" i="12"/>
  <c r="AB27" i="12"/>
  <c r="AA27" i="12"/>
  <c r="Z27" i="12"/>
  <c r="Y27" i="12"/>
  <c r="W27" i="12"/>
  <c r="V27" i="12"/>
  <c r="U27" i="12"/>
  <c r="T27" i="12"/>
  <c r="S27" i="12"/>
  <c r="R27" i="12"/>
  <c r="Q27" i="12"/>
  <c r="P27" i="12"/>
  <c r="O27" i="12"/>
  <c r="N27" i="12"/>
  <c r="M27" i="12"/>
  <c r="L27" i="12"/>
  <c r="K27" i="12"/>
  <c r="J27" i="12"/>
  <c r="I27" i="12"/>
  <c r="H27" i="12"/>
  <c r="G27" i="12"/>
  <c r="F27" i="12"/>
  <c r="E27" i="12"/>
  <c r="D27" i="12"/>
  <c r="C27" i="12"/>
  <c r="Z26" i="12"/>
  <c r="Y26" i="12"/>
  <c r="X26" i="12"/>
  <c r="W26" i="12"/>
  <c r="V26" i="12"/>
  <c r="U26" i="12"/>
  <c r="T26" i="12"/>
  <c r="S26" i="12"/>
  <c r="R26" i="12"/>
  <c r="Q26" i="12"/>
  <c r="P26" i="12"/>
  <c r="O26" i="12"/>
  <c r="N26" i="12"/>
  <c r="M26" i="12"/>
  <c r="L26" i="12"/>
  <c r="K26" i="12"/>
  <c r="J26" i="12"/>
  <c r="I26" i="12"/>
  <c r="H26" i="12"/>
  <c r="G26" i="12"/>
  <c r="F26" i="12"/>
  <c r="E26" i="12"/>
  <c r="D26" i="12"/>
  <c r="C26" i="12"/>
  <c r="AB25" i="12"/>
  <c r="AA25" i="12"/>
  <c r="Z25" i="12"/>
  <c r="Y25" i="12"/>
  <c r="X25" i="12"/>
  <c r="W25" i="12"/>
  <c r="V25" i="12"/>
  <c r="U25" i="12"/>
  <c r="T25" i="12"/>
  <c r="S25" i="12"/>
  <c r="R25" i="12"/>
  <c r="Q25" i="12"/>
  <c r="P25" i="12"/>
  <c r="O25" i="12"/>
  <c r="N25" i="12"/>
  <c r="M25" i="12"/>
  <c r="L25" i="12"/>
  <c r="K25" i="12"/>
  <c r="J25" i="12"/>
  <c r="I25" i="12"/>
  <c r="H25" i="12"/>
  <c r="G25" i="12"/>
  <c r="F25" i="12"/>
  <c r="E25" i="12"/>
  <c r="D25" i="12"/>
  <c r="C25" i="12"/>
  <c r="AD23" i="12"/>
  <c r="X23" i="12"/>
  <c r="W23" i="12"/>
  <c r="V23" i="12"/>
  <c r="U23" i="12"/>
  <c r="T23" i="12"/>
  <c r="S23" i="12"/>
  <c r="R23" i="12"/>
  <c r="Q23" i="12"/>
  <c r="P23" i="12"/>
  <c r="O23" i="12"/>
  <c r="N23" i="12"/>
  <c r="M23" i="12"/>
  <c r="L23" i="12"/>
  <c r="K23" i="12"/>
  <c r="J23" i="12"/>
  <c r="I23" i="12"/>
  <c r="H23" i="12"/>
  <c r="G23" i="12"/>
  <c r="F23" i="12"/>
  <c r="E23" i="12"/>
  <c r="D23" i="12"/>
  <c r="C23" i="12"/>
  <c r="AR22" i="12"/>
  <c r="AP22" i="12"/>
  <c r="AO22" i="12"/>
  <c r="AL22" i="12"/>
  <c r="AB22" i="12"/>
  <c r="AA22" i="12"/>
  <c r="Z22" i="12"/>
  <c r="Y22" i="12"/>
  <c r="X22" i="12"/>
  <c r="W22" i="12"/>
  <c r="V22" i="12"/>
  <c r="U22" i="12"/>
  <c r="T22" i="12"/>
  <c r="S22" i="12"/>
  <c r="Q22" i="12"/>
  <c r="P22" i="12"/>
  <c r="O22" i="12"/>
  <c r="N22" i="12"/>
  <c r="M22" i="12"/>
  <c r="L22" i="12"/>
  <c r="K22" i="12"/>
  <c r="J22" i="12"/>
  <c r="I22" i="12"/>
  <c r="H22" i="12"/>
  <c r="G22" i="12"/>
  <c r="F22" i="12"/>
  <c r="E22" i="12"/>
  <c r="D22" i="12"/>
  <c r="C22" i="12"/>
  <c r="AR20" i="12"/>
  <c r="AD20" i="12"/>
  <c r="Z20" i="12"/>
  <c r="Y20" i="12"/>
  <c r="X20" i="12"/>
  <c r="W20" i="12"/>
  <c r="V20" i="12"/>
  <c r="U20" i="12"/>
  <c r="T20" i="12"/>
  <c r="S20" i="12"/>
  <c r="R20" i="12"/>
  <c r="Q20" i="12"/>
  <c r="P20" i="12"/>
  <c r="O20" i="12"/>
  <c r="N20" i="12"/>
  <c r="M20" i="12"/>
  <c r="L20" i="12"/>
  <c r="K20" i="12"/>
  <c r="J20" i="12"/>
  <c r="I20" i="12"/>
  <c r="H20" i="12"/>
  <c r="G20" i="12"/>
  <c r="F20" i="12"/>
  <c r="E20" i="12"/>
  <c r="D20" i="12"/>
  <c r="C20" i="12"/>
  <c r="Z19" i="12"/>
  <c r="Y19" i="12"/>
  <c r="X19" i="12"/>
  <c r="W19" i="12"/>
  <c r="V19" i="12"/>
  <c r="U19" i="12"/>
  <c r="T19" i="12"/>
  <c r="S19" i="12"/>
  <c r="R19" i="12"/>
  <c r="Q19" i="12"/>
  <c r="P19" i="12"/>
  <c r="O19" i="12"/>
  <c r="N19" i="12"/>
  <c r="M19" i="12"/>
  <c r="L19" i="12"/>
  <c r="K19" i="12"/>
  <c r="J19" i="12"/>
  <c r="I19" i="12"/>
  <c r="H19" i="12"/>
  <c r="G19" i="12"/>
  <c r="F19" i="12"/>
  <c r="E19" i="12"/>
  <c r="D19" i="12"/>
  <c r="C19" i="12"/>
  <c r="AR18" i="12"/>
  <c r="AP18" i="12"/>
  <c r="AO18" i="12"/>
  <c r="AL18" i="12"/>
  <c r="AK18" i="12"/>
  <c r="AR17" i="12"/>
  <c r="AP17" i="12"/>
  <c r="AO17" i="12"/>
  <c r="AR16" i="12"/>
  <c r="AP16" i="12"/>
  <c r="AR15" i="12"/>
  <c r="AP15" i="12"/>
  <c r="AO15" i="12"/>
  <c r="AN15" i="12"/>
  <c r="AL15" i="12"/>
  <c r="AK15" i="12"/>
  <c r="AD15" i="12"/>
  <c r="AP13" i="12"/>
  <c r="AO13" i="12"/>
  <c r="AN13" i="12"/>
  <c r="AL13" i="12"/>
  <c r="AK13" i="12"/>
  <c r="AJ13" i="12"/>
  <c r="AI13" i="12"/>
  <c r="AH13" i="12"/>
  <c r="AG13" i="12"/>
  <c r="AF13" i="12"/>
  <c r="AE13" i="12"/>
  <c r="AD13" i="12"/>
  <c r="AC13" i="12"/>
  <c r="AB13" i="12"/>
  <c r="AA13" i="12"/>
  <c r="Z13" i="12"/>
  <c r="Y13" i="12"/>
  <c r="X13" i="12"/>
  <c r="W13" i="12"/>
  <c r="V13" i="12"/>
  <c r="U13" i="12"/>
  <c r="T13" i="12"/>
  <c r="Q13" i="12"/>
  <c r="P13" i="12"/>
  <c r="N13" i="12"/>
  <c r="M13" i="12"/>
  <c r="L13" i="12"/>
  <c r="K13" i="12"/>
  <c r="J13" i="12"/>
  <c r="I13" i="12"/>
  <c r="H13" i="12"/>
  <c r="G13" i="12"/>
  <c r="F13" i="12"/>
  <c r="E13" i="12"/>
  <c r="D13" i="12"/>
  <c r="C13" i="12"/>
  <c r="AP11" i="12"/>
  <c r="AO11" i="12"/>
  <c r="AN11" i="12"/>
  <c r="AL11" i="12"/>
  <c r="AK11" i="12"/>
  <c r="AJ11" i="12"/>
  <c r="AI11" i="12"/>
  <c r="AH11" i="12"/>
  <c r="AG11" i="12"/>
  <c r="AF11" i="12"/>
  <c r="AE11" i="12"/>
  <c r="AD11" i="12"/>
  <c r="AC11" i="12"/>
  <c r="AB11" i="12"/>
  <c r="AA11" i="12"/>
  <c r="Z11" i="12"/>
  <c r="Y11" i="12"/>
  <c r="X11" i="12"/>
  <c r="W11" i="12"/>
  <c r="V11" i="12"/>
  <c r="U11" i="12"/>
  <c r="T11" i="12"/>
  <c r="S11" i="12"/>
  <c r="Q11" i="12"/>
  <c r="P11" i="12"/>
  <c r="O11" i="12"/>
  <c r="N11" i="12"/>
  <c r="M11" i="12"/>
  <c r="L11" i="12"/>
  <c r="K11" i="12"/>
  <c r="J11" i="12"/>
  <c r="I11" i="12"/>
  <c r="H11" i="12"/>
  <c r="G11" i="12"/>
  <c r="F11" i="12"/>
  <c r="E11" i="12"/>
  <c r="D11" i="12"/>
  <c r="C11" i="12"/>
  <c r="N10" i="12"/>
  <c r="M10" i="12"/>
  <c r="L10" i="12"/>
  <c r="K10" i="12"/>
  <c r="J10" i="12"/>
  <c r="I10" i="12"/>
  <c r="H10" i="12"/>
  <c r="G10" i="12"/>
  <c r="F10" i="12"/>
  <c r="E10" i="12"/>
  <c r="D10" i="12"/>
  <c r="C10" i="12"/>
  <c r="AP9" i="12"/>
  <c r="AO9" i="12"/>
  <c r="AN9" i="12"/>
  <c r="AL9" i="12"/>
  <c r="AK9" i="12"/>
  <c r="AJ9" i="12"/>
  <c r="AI9" i="12"/>
  <c r="AH9" i="12"/>
  <c r="AG9" i="12"/>
  <c r="AF9" i="12"/>
  <c r="AE9" i="12"/>
  <c r="AD9" i="12"/>
  <c r="AC9" i="12"/>
  <c r="AB9" i="12"/>
  <c r="AA9" i="12"/>
  <c r="Z9" i="12"/>
  <c r="Y9" i="12"/>
  <c r="X9" i="12"/>
  <c r="W9" i="12"/>
  <c r="V9" i="12"/>
  <c r="U9" i="12"/>
  <c r="T9" i="12"/>
  <c r="S9" i="12"/>
  <c r="R9" i="12"/>
  <c r="Q9" i="12"/>
  <c r="P9" i="12"/>
  <c r="O9" i="12"/>
  <c r="AB4" i="12"/>
  <c r="AA4" i="12"/>
  <c r="Z4" i="12"/>
  <c r="Y4" i="12"/>
  <c r="X4" i="12"/>
  <c r="W4" i="12"/>
  <c r="V4" i="12"/>
  <c r="U4" i="12"/>
  <c r="T4" i="12"/>
  <c r="R4" i="12"/>
  <c r="Q4" i="12"/>
  <c r="P4" i="12"/>
  <c r="O4" i="12"/>
  <c r="AB3" i="12"/>
  <c r="AA3" i="12"/>
  <c r="Z3" i="12"/>
  <c r="Y3" i="12"/>
  <c r="X3" i="12"/>
  <c r="W3" i="12"/>
  <c r="V3" i="12"/>
  <c r="U3" i="12"/>
  <c r="T3" i="12"/>
  <c r="S3" i="12"/>
  <c r="R3" i="12"/>
  <c r="Q3" i="12"/>
  <c r="P3" i="12"/>
  <c r="O3" i="12"/>
  <c r="AH84" i="10"/>
  <c r="AG84" i="10"/>
  <c r="AF84" i="10"/>
  <c r="AE84" i="10"/>
  <c r="AD84" i="10"/>
  <c r="AB84" i="10"/>
  <c r="AA84" i="10"/>
  <c r="W84" i="10"/>
  <c r="V84" i="10"/>
  <c r="U84" i="10"/>
  <c r="T84" i="10"/>
  <c r="S84" i="10"/>
  <c r="Q84" i="10"/>
  <c r="O84" i="10"/>
  <c r="N84" i="10"/>
  <c r="M84" i="10"/>
  <c r="L84" i="10"/>
  <c r="K84" i="10"/>
  <c r="J84" i="10"/>
  <c r="I84" i="10"/>
  <c r="H84" i="10"/>
  <c r="G84" i="10"/>
  <c r="F84" i="10"/>
  <c r="E84" i="10"/>
  <c r="D84" i="10"/>
  <c r="C84" i="10"/>
  <c r="AD83" i="10"/>
  <c r="AC83" i="10" s="1"/>
  <c r="AB83" i="10" s="1"/>
  <c r="AA83" i="10" s="1"/>
  <c r="Z83" i="10" s="1"/>
  <c r="Y83" i="10" s="1"/>
  <c r="X83" i="10" s="1"/>
  <c r="W83" i="10" s="1"/>
  <c r="V83" i="10" s="1"/>
  <c r="U83" i="10" s="1"/>
  <c r="T83" i="10" s="1"/>
  <c r="S83" i="10" s="1"/>
  <c r="R83" i="10" s="1"/>
  <c r="Q83" i="10" s="1"/>
  <c r="P83" i="10" s="1"/>
  <c r="O83" i="10" s="1"/>
  <c r="N83" i="10" s="1"/>
  <c r="M83" i="10" s="1"/>
  <c r="L83" i="10" s="1"/>
  <c r="K83" i="10" s="1"/>
  <c r="J83" i="10" s="1"/>
  <c r="I83" i="10" s="1"/>
  <c r="H83" i="10" s="1"/>
  <c r="G83" i="10" s="1"/>
  <c r="F83" i="10" s="1"/>
  <c r="E83" i="10" s="1"/>
  <c r="D83" i="10" s="1"/>
  <c r="C83" i="10" s="1"/>
  <c r="AQ37" i="10"/>
  <c r="AP37" i="10"/>
  <c r="AN37" i="10"/>
  <c r="AL37" i="10"/>
  <c r="AK37" i="10"/>
  <c r="AF37" i="10"/>
  <c r="AE37" i="10"/>
  <c r="AD37" i="10"/>
  <c r="AC37" i="10"/>
  <c r="AB37" i="10"/>
  <c r="AA37" i="10"/>
  <c r="Z37" i="10"/>
  <c r="Y37" i="10"/>
  <c r="X37" i="10"/>
  <c r="W37" i="10"/>
  <c r="V37" i="10"/>
  <c r="U37" i="10"/>
  <c r="T37" i="10"/>
  <c r="S37" i="10"/>
  <c r="R37" i="10"/>
  <c r="Q37" i="10"/>
  <c r="P37" i="10"/>
  <c r="O37" i="10"/>
  <c r="P33" i="10"/>
  <c r="X29" i="10"/>
  <c r="X84" i="10" s="1"/>
  <c r="R24" i="10"/>
  <c r="R22" i="12" s="1"/>
  <c r="AC23" i="10"/>
  <c r="N14" i="10"/>
  <c r="N16" i="10" s="1"/>
  <c r="M14" i="10"/>
  <c r="M16" i="10" s="1"/>
  <c r="L14" i="10"/>
  <c r="K14" i="10"/>
  <c r="K16" i="10" s="1"/>
  <c r="J14" i="10"/>
  <c r="J16" i="10" s="1"/>
  <c r="I14" i="10"/>
  <c r="I16" i="10" s="1"/>
  <c r="H14" i="10"/>
  <c r="G14" i="10"/>
  <c r="G16" i="10" s="1"/>
  <c r="F14" i="10"/>
  <c r="F16" i="10" s="1"/>
  <c r="E14" i="10"/>
  <c r="E16" i="10" s="1"/>
  <c r="D14" i="10"/>
  <c r="D16" i="10" s="1"/>
  <c r="C14" i="10"/>
  <c r="C16" i="10" s="1"/>
  <c r="AQ10" i="10"/>
  <c r="AP10" i="10"/>
  <c r="AP7" i="12" s="1"/>
  <c r="AO10" i="10"/>
  <c r="AO7" i="12" s="1"/>
  <c r="AN10" i="10"/>
  <c r="AS8" i="2" s="1"/>
  <c r="AL10" i="10"/>
  <c r="AL7" i="12" s="1"/>
  <c r="AK10" i="10"/>
  <c r="AK12" i="10" s="1"/>
  <c r="AK14" i="10" s="1"/>
  <c r="AK16" i="10" s="1"/>
  <c r="AJ10" i="10"/>
  <c r="AJ12" i="10" s="1"/>
  <c r="AJ14" i="10" s="1"/>
  <c r="AJ16" i="10" s="1"/>
  <c r="AI10" i="10"/>
  <c r="AI7" i="12" s="1"/>
  <c r="AH10" i="10"/>
  <c r="AH7" i="12" s="1"/>
  <c r="AG10" i="10"/>
  <c r="AG7" i="12" s="1"/>
  <c r="AF10" i="10"/>
  <c r="AK8" i="2" s="1"/>
  <c r="AE10" i="10"/>
  <c r="AE12" i="10" s="1"/>
  <c r="AE14" i="10" s="1"/>
  <c r="AE16" i="10" s="1"/>
  <c r="AD10" i="10"/>
  <c r="AD7" i="12" s="1"/>
  <c r="AC10" i="10"/>
  <c r="AC12" i="10" s="1"/>
  <c r="AC14" i="10" s="1"/>
  <c r="AC16" i="10" s="1"/>
  <c r="AB10" i="10"/>
  <c r="AB12" i="10" s="1"/>
  <c r="AB14" i="10" s="1"/>
  <c r="AB16" i="10" s="1"/>
  <c r="AA10" i="10"/>
  <c r="AA12" i="10" s="1"/>
  <c r="Z10" i="10"/>
  <c r="Z7" i="12" s="1"/>
  <c r="Y10" i="10"/>
  <c r="Y7" i="12" s="1"/>
  <c r="X10" i="10"/>
  <c r="AC8" i="2" s="1"/>
  <c r="W10" i="10"/>
  <c r="W12" i="10" s="1"/>
  <c r="V10" i="10"/>
  <c r="V7" i="12" s="1"/>
  <c r="U10" i="10"/>
  <c r="U12" i="10" s="1"/>
  <c r="U14" i="10" s="1"/>
  <c r="U16" i="10" s="1"/>
  <c r="T10" i="10"/>
  <c r="T12" i="10" s="1"/>
  <c r="T14" i="10" s="1"/>
  <c r="T16" i="10" s="1"/>
  <c r="S10" i="10"/>
  <c r="S7" i="12" s="1"/>
  <c r="R10" i="10"/>
  <c r="R7" i="12" s="1"/>
  <c r="Q10" i="10"/>
  <c r="Q7" i="12" s="1"/>
  <c r="P10" i="10"/>
  <c r="U8" i="2" s="1"/>
  <c r="O10" i="10"/>
  <c r="O12" i="10" s="1"/>
  <c r="O14" i="10" s="1"/>
  <c r="O16" i="10" s="1"/>
  <c r="N10" i="10"/>
  <c r="M10" i="10"/>
  <c r="M7" i="12" s="1"/>
  <c r="L10" i="10"/>
  <c r="L7" i="12" s="1"/>
  <c r="K10" i="10"/>
  <c r="K7" i="12" s="1"/>
  <c r="J10" i="10"/>
  <c r="J7" i="12" s="1"/>
  <c r="I10" i="10"/>
  <c r="I7" i="12" s="1"/>
  <c r="H10" i="10"/>
  <c r="H7" i="12" s="1"/>
  <c r="G10" i="10"/>
  <c r="G7" i="12" s="1"/>
  <c r="F10" i="10"/>
  <c r="E10" i="10"/>
  <c r="E7" i="12" s="1"/>
  <c r="D10" i="10"/>
  <c r="D7" i="12" s="1"/>
  <c r="C10" i="10"/>
  <c r="C7" i="12" s="1"/>
  <c r="AD106" i="1"/>
  <c r="AC106" i="1" s="1"/>
  <c r="AB106" i="1" s="1"/>
  <c r="AA106" i="1" s="1"/>
  <c r="Z106" i="1" s="1"/>
  <c r="Y106" i="1" s="1"/>
  <c r="X106" i="1" s="1"/>
  <c r="W106" i="1" s="1"/>
  <c r="V106" i="1" s="1"/>
  <c r="U106" i="1" s="1"/>
  <c r="T106" i="1" s="1"/>
  <c r="S106" i="1" s="1"/>
  <c r="R106" i="1" s="1"/>
  <c r="Q106" i="1" s="1"/>
  <c r="P106" i="1" s="1"/>
  <c r="O106" i="1" s="1"/>
  <c r="N106" i="1" s="1"/>
  <c r="M106" i="1" s="1"/>
  <c r="L106" i="1" s="1"/>
  <c r="K106" i="1" s="1"/>
  <c r="J106" i="1" s="1"/>
  <c r="I106" i="1" s="1"/>
  <c r="H106" i="1" s="1"/>
  <c r="G106" i="1" s="1"/>
  <c r="F106" i="1" s="1"/>
  <c r="E106" i="1" s="1"/>
  <c r="D106" i="1" s="1"/>
  <c r="C106" i="1" s="1"/>
  <c r="AA44" i="1"/>
  <c r="AA43" i="12" s="1"/>
  <c r="AA42" i="1"/>
  <c r="AR37" i="12"/>
  <c r="AQ37" i="1"/>
  <c r="AP37" i="1"/>
  <c r="AN37" i="1"/>
  <c r="AL37" i="1"/>
  <c r="AK37" i="1"/>
  <c r="AJ37" i="1"/>
  <c r="AI37" i="1"/>
  <c r="AF37" i="1"/>
  <c r="AE37" i="1"/>
  <c r="AD37" i="1"/>
  <c r="AC37" i="1"/>
  <c r="AB37" i="1"/>
  <c r="AA37" i="1"/>
  <c r="Z37" i="1"/>
  <c r="Y37" i="1"/>
  <c r="X37" i="1"/>
  <c r="W37" i="1"/>
  <c r="V37" i="1"/>
  <c r="U37" i="1"/>
  <c r="T37" i="1"/>
  <c r="S37" i="1"/>
  <c r="R37" i="1"/>
  <c r="Q37" i="1"/>
  <c r="P37" i="1"/>
  <c r="O37" i="1"/>
  <c r="X26" i="1"/>
  <c r="X27" i="12" s="1"/>
  <c r="S14" i="1"/>
  <c r="R14" i="1"/>
  <c r="R13" i="12" s="1"/>
  <c r="O14" i="1"/>
  <c r="N13" i="1"/>
  <c r="N15" i="1" s="1"/>
  <c r="M13" i="1"/>
  <c r="M15" i="1" s="1"/>
  <c r="L13" i="1"/>
  <c r="L15" i="1" s="1"/>
  <c r="K13" i="1"/>
  <c r="K15" i="1" s="1"/>
  <c r="J13" i="1"/>
  <c r="J15" i="1" s="1"/>
  <c r="I13" i="1"/>
  <c r="I15" i="1" s="1"/>
  <c r="H13" i="1"/>
  <c r="H15" i="1" s="1"/>
  <c r="G13" i="1"/>
  <c r="G15" i="1" s="1"/>
  <c r="F13" i="1"/>
  <c r="F15" i="1" s="1"/>
  <c r="E13" i="1"/>
  <c r="E15" i="1" s="1"/>
  <c r="D13" i="1"/>
  <c r="D15" i="1" s="1"/>
  <c r="C13" i="1"/>
  <c r="C15" i="1" s="1"/>
  <c r="R12" i="1"/>
  <c r="R11" i="12" s="1"/>
  <c r="AQ9" i="1"/>
  <c r="AP9" i="1"/>
  <c r="AP6" i="12" s="1"/>
  <c r="AO9" i="1"/>
  <c r="AN9" i="1"/>
  <c r="AS7" i="2" s="1"/>
  <c r="AL9" i="1"/>
  <c r="AL11" i="1" s="1"/>
  <c r="AL13" i="1" s="1"/>
  <c r="AL15" i="1" s="1"/>
  <c r="AK9" i="1"/>
  <c r="AK6" i="12" s="1"/>
  <c r="AJ9" i="1"/>
  <c r="AJ6" i="12" s="1"/>
  <c r="AI9" i="1"/>
  <c r="AI6" i="12" s="1"/>
  <c r="AH9" i="1"/>
  <c r="AH6" i="12" s="1"/>
  <c r="AG9" i="1"/>
  <c r="AG6" i="12" s="1"/>
  <c r="AF9" i="1"/>
  <c r="AK7" i="2" s="1"/>
  <c r="AE9" i="1"/>
  <c r="AE6" i="12" s="1"/>
  <c r="AD9" i="1"/>
  <c r="AD11" i="1" s="1"/>
  <c r="AC9" i="1"/>
  <c r="AC6" i="12" s="1"/>
  <c r="AB9" i="1"/>
  <c r="AB6" i="12" s="1"/>
  <c r="AA9" i="1"/>
  <c r="AA6" i="12" s="1"/>
  <c r="Z9" i="1"/>
  <c r="Z6" i="12" s="1"/>
  <c r="Y9" i="1"/>
  <c r="Y6" i="12" s="1"/>
  <c r="X9" i="1"/>
  <c r="AC7" i="2" s="1"/>
  <c r="W9" i="1"/>
  <c r="W6" i="12" s="1"/>
  <c r="V9" i="1"/>
  <c r="V6" i="12" s="1"/>
  <c r="U9" i="1"/>
  <c r="U6" i="12" s="1"/>
  <c r="T9" i="1"/>
  <c r="T6" i="12" s="1"/>
  <c r="S9" i="1"/>
  <c r="S6" i="12" s="1"/>
  <c r="R9" i="1"/>
  <c r="R6" i="12" s="1"/>
  <c r="Q9" i="1"/>
  <c r="Q6" i="12" s="1"/>
  <c r="P9" i="1"/>
  <c r="O9" i="1"/>
  <c r="O6" i="12" s="1"/>
  <c r="N9" i="1"/>
  <c r="N6" i="12" s="1"/>
  <c r="M9" i="1"/>
  <c r="M6" i="12" s="1"/>
  <c r="L9" i="1"/>
  <c r="L6" i="12" s="1"/>
  <c r="K9" i="1"/>
  <c r="K6" i="12" s="1"/>
  <c r="J9" i="1"/>
  <c r="J10" i="1" s="1"/>
  <c r="I9" i="1"/>
  <c r="I6" i="12" s="1"/>
  <c r="H9" i="1"/>
  <c r="H6" i="12" s="1"/>
  <c r="G9" i="1"/>
  <c r="F9" i="1"/>
  <c r="F10" i="1" s="1"/>
  <c r="E9" i="1"/>
  <c r="E6" i="12" s="1"/>
  <c r="D9" i="1"/>
  <c r="D6" i="12" s="1"/>
  <c r="C9" i="1"/>
  <c r="C6" i="12" s="1"/>
  <c r="AI39" i="2"/>
  <c r="AH39" i="2" s="1"/>
  <c r="AG39" i="2" s="1"/>
  <c r="AF39" i="2" s="1"/>
  <c r="AE39" i="2" s="1"/>
  <c r="AD39" i="2" s="1"/>
  <c r="AC39" i="2" s="1"/>
  <c r="AB39" i="2" s="1"/>
  <c r="AA39" i="2" s="1"/>
  <c r="Z39" i="2" s="1"/>
  <c r="Y39" i="2" s="1"/>
  <c r="X39" i="2" s="1"/>
  <c r="W39" i="2" s="1"/>
  <c r="V39" i="2" s="1"/>
  <c r="U39" i="2" s="1"/>
  <c r="T39" i="2" s="1"/>
  <c r="S39" i="2" s="1"/>
  <c r="R39" i="2" s="1"/>
  <c r="Q39" i="2" s="1"/>
  <c r="P39" i="2" s="1"/>
  <c r="O39" i="2" s="1"/>
  <c r="N39" i="2" s="1"/>
  <c r="M39" i="2" s="1"/>
  <c r="L39" i="2" s="1"/>
  <c r="K39" i="2" s="1"/>
  <c r="J39" i="2" s="1"/>
  <c r="I39" i="2" s="1"/>
  <c r="H39" i="2" s="1"/>
  <c r="V30" i="2"/>
  <c r="U30" i="2"/>
  <c r="T30" i="2"/>
  <c r="S30" i="2"/>
  <c r="R30" i="2"/>
  <c r="Q30" i="2"/>
  <c r="P30" i="2"/>
  <c r="O30" i="2"/>
  <c r="N30" i="2"/>
  <c r="M30" i="2"/>
  <c r="L30" i="2"/>
  <c r="K30" i="2"/>
  <c r="J30" i="2"/>
  <c r="I30" i="2"/>
  <c r="H30" i="2"/>
  <c r="AL28" i="2"/>
  <c r="U18" i="63" s="1"/>
  <c r="C25" i="2"/>
  <c r="AQ20" i="2"/>
  <c r="AU21" i="2"/>
  <c r="AR21" i="2"/>
  <c r="AQ21" i="2"/>
  <c r="AP21" i="2"/>
  <c r="AO21" i="2"/>
  <c r="AN21" i="2"/>
  <c r="AL21" i="2"/>
  <c r="AK21" i="2"/>
  <c r="AJ21" i="2"/>
  <c r="AI21" i="2"/>
  <c r="AH21" i="2"/>
  <c r="AG21" i="2"/>
  <c r="AF21" i="2"/>
  <c r="AE21" i="2"/>
  <c r="AD21" i="2"/>
  <c r="AC21" i="2"/>
  <c r="AB21" i="2"/>
  <c r="AA21" i="2"/>
  <c r="Z21" i="2"/>
  <c r="Y21" i="2"/>
  <c r="X21" i="2"/>
  <c r="W21" i="2"/>
  <c r="V21" i="2"/>
  <c r="V24" i="2" s="1"/>
  <c r="U21" i="2"/>
  <c r="U24" i="2" s="1"/>
  <c r="T21" i="2"/>
  <c r="T24" i="2" s="1"/>
  <c r="E21" i="2"/>
  <c r="D21" i="2"/>
  <c r="AN18" i="2"/>
  <c r="AM18" i="2"/>
  <c r="W18" i="2"/>
  <c r="E18" i="2"/>
  <c r="D18" i="2"/>
  <c r="AN17" i="2"/>
  <c r="AM17" i="2"/>
  <c r="W17" i="2"/>
  <c r="G17" i="2"/>
  <c r="F17" i="2"/>
  <c r="W14" i="2"/>
  <c r="W11" i="2" s="1"/>
  <c r="AV11" i="2"/>
  <c r="AU11" i="2"/>
  <c r="AT11" i="2"/>
  <c r="AS11" i="2"/>
  <c r="AR11" i="2"/>
  <c r="AM52" i="9" s="1"/>
  <c r="AQ11" i="2"/>
  <c r="AP11" i="2"/>
  <c r="AO11" i="2"/>
  <c r="AN11" i="2"/>
  <c r="AL11" i="2"/>
  <c r="AK11" i="2"/>
  <c r="AJ11" i="2"/>
  <c r="AI11" i="2"/>
  <c r="AH11" i="2"/>
  <c r="AG11" i="2"/>
  <c r="AF11" i="2"/>
  <c r="AE11" i="2"/>
  <c r="AD11" i="2"/>
  <c r="AC11" i="2"/>
  <c r="AB11" i="2"/>
  <c r="AA11" i="2"/>
  <c r="Z11" i="2"/>
  <c r="Y11" i="2"/>
  <c r="X11" i="2"/>
  <c r="G11" i="2"/>
  <c r="F11" i="2"/>
  <c r="E11" i="2"/>
  <c r="D11" i="2"/>
  <c r="C11" i="2"/>
  <c r="V10" i="2"/>
  <c r="U10" i="2"/>
  <c r="T10" i="2"/>
  <c r="G10" i="2"/>
  <c r="F10" i="2"/>
  <c r="E6" i="2"/>
  <c r="E10" i="2" s="1"/>
  <c r="D6" i="2"/>
  <c r="D10" i="2" s="1"/>
  <c r="C6" i="2"/>
  <c r="C10" i="2" s="1"/>
  <c r="Z95" i="3"/>
  <c r="V95" i="3"/>
  <c r="V96" i="3" s="1"/>
  <c r="AY78" i="3"/>
  <c r="AX78" i="3"/>
  <c r="AW78" i="3"/>
  <c r="AV78" i="3"/>
  <c r="AU78" i="3"/>
  <c r="AT78" i="3"/>
  <c r="AS78" i="3"/>
  <c r="AR78" i="3"/>
  <c r="AQ78" i="3"/>
  <c r="AP78" i="3"/>
  <c r="AO78" i="3"/>
  <c r="AN78" i="3"/>
  <c r="AL78" i="3"/>
  <c r="AK78" i="3"/>
  <c r="AJ78" i="3"/>
  <c r="AI78" i="3"/>
  <c r="AH78" i="3"/>
  <c r="AG78" i="3"/>
  <c r="AE78" i="3"/>
  <c r="AD78" i="3"/>
  <c r="AC78" i="3"/>
  <c r="AB78" i="3"/>
  <c r="AA78" i="3"/>
  <c r="Z78" i="3"/>
  <c r="Y78" i="3"/>
  <c r="X78" i="3"/>
  <c r="W78" i="3"/>
  <c r="V78" i="3"/>
  <c r="U78" i="3"/>
  <c r="T78" i="3"/>
  <c r="S78" i="3"/>
  <c r="R78" i="3"/>
  <c r="Q78" i="3"/>
  <c r="P78" i="3"/>
  <c r="O78" i="3"/>
  <c r="N78" i="3"/>
  <c r="M78" i="3"/>
  <c r="L78" i="3"/>
  <c r="K78" i="3"/>
  <c r="C17" i="9" s="1"/>
  <c r="J78" i="3"/>
  <c r="I78" i="3"/>
  <c r="H78" i="3"/>
  <c r="G78" i="3"/>
  <c r="F78" i="3"/>
  <c r="E78" i="3"/>
  <c r="D78" i="3"/>
  <c r="C78" i="3"/>
  <c r="AY61" i="3"/>
  <c r="AX61" i="3"/>
  <c r="AW61" i="3"/>
  <c r="AV61" i="3"/>
  <c r="AU61" i="3"/>
  <c r="AT61" i="3"/>
  <c r="AS61" i="3"/>
  <c r="AR61" i="3"/>
  <c r="AQ61" i="3"/>
  <c r="AP61" i="3"/>
  <c r="AO61" i="3"/>
  <c r="AN61" i="3"/>
  <c r="AL61" i="3"/>
  <c r="AK61" i="3"/>
  <c r="AJ61" i="3"/>
  <c r="AI61" i="3"/>
  <c r="AH61" i="3"/>
  <c r="AG61" i="3"/>
  <c r="AE61" i="3"/>
  <c r="AD61" i="3"/>
  <c r="AC61" i="3"/>
  <c r="AB61" i="3"/>
  <c r="AA61" i="3"/>
  <c r="Z61" i="3"/>
  <c r="Y61" i="3"/>
  <c r="X61" i="3"/>
  <c r="W61" i="3"/>
  <c r="V61" i="3"/>
  <c r="U61" i="3"/>
  <c r="T61" i="3"/>
  <c r="S61" i="3"/>
  <c r="R61" i="3"/>
  <c r="Q61" i="3"/>
  <c r="P61" i="3"/>
  <c r="O61" i="3"/>
  <c r="N61" i="3"/>
  <c r="M61" i="3"/>
  <c r="L61" i="3"/>
  <c r="K61" i="3"/>
  <c r="J61" i="3"/>
  <c r="I61" i="3"/>
  <c r="H61" i="3"/>
  <c r="G61" i="3"/>
  <c r="F61" i="3"/>
  <c r="E61" i="3"/>
  <c r="D61" i="3"/>
  <c r="C61" i="3"/>
  <c r="AC60" i="3"/>
  <c r="AB60" i="3"/>
  <c r="AA60" i="3"/>
  <c r="Z60" i="3"/>
  <c r="Y60" i="3"/>
  <c r="X60" i="3"/>
  <c r="W60" i="3"/>
  <c r="V60" i="3"/>
  <c r="U60" i="3"/>
  <c r="T60" i="3"/>
  <c r="G50" i="3"/>
  <c r="G42" i="3" s="1"/>
  <c r="E50" i="3"/>
  <c r="E42" i="3" s="1"/>
  <c r="D50" i="3"/>
  <c r="D42" i="3" s="1"/>
  <c r="C50" i="3"/>
  <c r="C42" i="3" s="1"/>
  <c r="Y46" i="3"/>
  <c r="AY42" i="3"/>
  <c r="AQ7" i="9" s="1"/>
  <c r="AX42" i="3"/>
  <c r="AP7" i="9" s="1"/>
  <c r="AW42" i="3"/>
  <c r="AO7" i="9" s="1"/>
  <c r="AV42" i="3"/>
  <c r="AN7" i="9" s="1"/>
  <c r="AU42" i="3"/>
  <c r="AM7" i="9" s="1"/>
  <c r="AT42" i="3"/>
  <c r="AL7" i="9" s="1"/>
  <c r="AS42" i="3"/>
  <c r="AK7" i="9" s="1"/>
  <c r="AR42" i="3"/>
  <c r="AJ7" i="9" s="1"/>
  <c r="AQ42" i="3"/>
  <c r="AI7" i="9" s="1"/>
  <c r="AP42" i="3"/>
  <c r="AH7" i="9" s="1"/>
  <c r="AO42" i="3"/>
  <c r="AG7" i="9" s="1"/>
  <c r="AN42" i="3"/>
  <c r="AF7" i="9" s="1"/>
  <c r="AL42" i="3"/>
  <c r="AD7" i="9" s="1"/>
  <c r="AK42" i="3"/>
  <c r="AC7" i="9" s="1"/>
  <c r="AJ42" i="3"/>
  <c r="AB7" i="9" s="1"/>
  <c r="AI42" i="3"/>
  <c r="AA7" i="9" s="1"/>
  <c r="AH42" i="3"/>
  <c r="Z7" i="9" s="1"/>
  <c r="AG42" i="3"/>
  <c r="Y7" i="9" s="1"/>
  <c r="AE42" i="3"/>
  <c r="W7" i="9" s="1"/>
  <c r="AD42" i="3"/>
  <c r="V7" i="9" s="1"/>
  <c r="AC42" i="3"/>
  <c r="U7" i="9" s="1"/>
  <c r="AB42" i="3"/>
  <c r="T7" i="9" s="1"/>
  <c r="AA42" i="3"/>
  <c r="S7" i="9" s="1"/>
  <c r="Z42" i="3"/>
  <c r="R7" i="9" s="1"/>
  <c r="X42" i="3"/>
  <c r="P7" i="9" s="1"/>
  <c r="W42" i="3"/>
  <c r="O7" i="9" s="1"/>
  <c r="V42" i="3"/>
  <c r="N7" i="9" s="1"/>
  <c r="U42" i="3"/>
  <c r="M7" i="9" s="1"/>
  <c r="T42" i="3"/>
  <c r="L7" i="9" s="1"/>
  <c r="S42" i="3"/>
  <c r="K7" i="9" s="1"/>
  <c r="R42" i="3"/>
  <c r="J7" i="9" s="1"/>
  <c r="Q42" i="3"/>
  <c r="I7" i="9" s="1"/>
  <c r="P42" i="3"/>
  <c r="H7" i="9" s="1"/>
  <c r="O42" i="3"/>
  <c r="G7" i="9" s="1"/>
  <c r="N42" i="3"/>
  <c r="F7" i="9" s="1"/>
  <c r="M42" i="3"/>
  <c r="E7" i="9" s="1"/>
  <c r="L42" i="3"/>
  <c r="D7" i="9" s="1"/>
  <c r="K42" i="3"/>
  <c r="C7" i="9" s="1"/>
  <c r="J42" i="3"/>
  <c r="I42" i="3"/>
  <c r="H42" i="3"/>
  <c r="F42" i="3"/>
  <c r="AY40" i="3"/>
  <c r="AQ12" i="9" s="1"/>
  <c r="AX40" i="3"/>
  <c r="AP12" i="9" s="1"/>
  <c r="AW40" i="3"/>
  <c r="AV40" i="3"/>
  <c r="AU40" i="3"/>
  <c r="AM12" i="9" s="1"/>
  <c r="AT40" i="3"/>
  <c r="AS40" i="3"/>
  <c r="AR40" i="3"/>
  <c r="AQ40" i="3"/>
  <c r="AL40" i="3"/>
  <c r="AK40" i="3"/>
  <c r="AJ40" i="3"/>
  <c r="AI40" i="3"/>
  <c r="AH40" i="3"/>
  <c r="AG40" i="3"/>
  <c r="AE40" i="3"/>
  <c r="AD40" i="3"/>
  <c r="AC40" i="3"/>
  <c r="AB40" i="3"/>
  <c r="AA40" i="3"/>
  <c r="Z40" i="3"/>
  <c r="Y40" i="3"/>
  <c r="X40" i="3"/>
  <c r="W40" i="3"/>
  <c r="V40" i="3"/>
  <c r="U40" i="3"/>
  <c r="T40" i="3"/>
  <c r="S40" i="3"/>
  <c r="R40" i="3"/>
  <c r="Q40" i="3"/>
  <c r="P40" i="3"/>
  <c r="O40" i="3"/>
  <c r="N40" i="3"/>
  <c r="M40" i="3"/>
  <c r="L40" i="3"/>
  <c r="K40" i="3"/>
  <c r="J40" i="3"/>
  <c r="I40" i="3"/>
  <c r="H40" i="3"/>
  <c r="G40" i="3"/>
  <c r="AC38" i="3"/>
  <c r="AB38" i="3"/>
  <c r="AA38" i="3"/>
  <c r="Z38" i="3"/>
  <c r="Y38" i="3"/>
  <c r="X38" i="3"/>
  <c r="W38" i="3"/>
  <c r="V38" i="3"/>
  <c r="U38" i="3"/>
  <c r="T38" i="3"/>
  <c r="AX33" i="3"/>
  <c r="AW33" i="3"/>
  <c r="AV33" i="3"/>
  <c r="AU33" i="3"/>
  <c r="AT33" i="3"/>
  <c r="AS33" i="3"/>
  <c r="AR33" i="3"/>
  <c r="AQ33" i="3"/>
  <c r="AP33" i="3"/>
  <c r="AO33" i="3"/>
  <c r="AN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I33" i="3"/>
  <c r="H33" i="3"/>
  <c r="G33" i="3"/>
  <c r="F33" i="3"/>
  <c r="E33" i="3"/>
  <c r="D33" i="3"/>
  <c r="C33" i="3"/>
  <c r="AX23" i="3"/>
  <c r="AW23" i="3"/>
  <c r="AV23" i="3"/>
  <c r="AU23" i="3"/>
  <c r="AT23" i="3"/>
  <c r="AS23" i="3"/>
  <c r="AR23" i="3"/>
  <c r="AQ23" i="3"/>
  <c r="AP23" i="3"/>
  <c r="AO23" i="3"/>
  <c r="AN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D23" i="3"/>
  <c r="C23" i="3"/>
  <c r="S20" i="3"/>
  <c r="R20" i="3"/>
  <c r="Q20" i="3"/>
  <c r="P20" i="3"/>
  <c r="O20" i="3"/>
  <c r="N20" i="3"/>
  <c r="M20" i="3"/>
  <c r="L20" i="3"/>
  <c r="K20" i="3"/>
  <c r="J20" i="3"/>
  <c r="I20" i="3"/>
  <c r="H20" i="3"/>
  <c r="G20" i="3"/>
  <c r="AX6" i="3"/>
  <c r="AW6" i="3"/>
  <c r="AV6" i="3"/>
  <c r="AU6" i="3"/>
  <c r="AT6" i="3"/>
  <c r="AS6" i="3"/>
  <c r="AR6" i="3"/>
  <c r="AQ6" i="3"/>
  <c r="AP6" i="3"/>
  <c r="AO6" i="3"/>
  <c r="AN6" i="3"/>
  <c r="AL6" i="3"/>
  <c r="AK6" i="3"/>
  <c r="AJ6" i="3"/>
  <c r="AI6" i="3"/>
  <c r="AH6" i="3"/>
  <c r="AG6" i="3"/>
  <c r="AE6" i="3"/>
  <c r="AD6" i="3"/>
  <c r="AC6" i="3"/>
  <c r="AB6" i="3"/>
  <c r="AA6" i="3"/>
  <c r="Z6" i="3"/>
  <c r="Y6" i="3"/>
  <c r="X6" i="3"/>
  <c r="W6" i="3"/>
  <c r="V6" i="3"/>
  <c r="U6" i="3"/>
  <c r="T6" i="3"/>
  <c r="S6" i="3"/>
  <c r="R6" i="3"/>
  <c r="Q6" i="3"/>
  <c r="P6" i="3"/>
  <c r="O6" i="3"/>
  <c r="N6" i="3"/>
  <c r="M6" i="3"/>
  <c r="L6" i="3"/>
  <c r="K6" i="3"/>
  <c r="J6" i="3"/>
  <c r="I6" i="3"/>
  <c r="H6" i="3"/>
  <c r="G6" i="3"/>
  <c r="F6" i="3"/>
  <c r="E6" i="3"/>
  <c r="D6" i="3"/>
  <c r="C6" i="3"/>
  <c r="AA161" i="83"/>
  <c r="V161" i="83"/>
  <c r="Q161" i="83"/>
  <c r="L161" i="83"/>
  <c r="G161" i="83"/>
  <c r="AA150" i="83"/>
  <c r="V150" i="83"/>
  <c r="Q150" i="83"/>
  <c r="L150" i="83"/>
  <c r="G150" i="83"/>
  <c r="P148" i="83"/>
  <c r="Q148" i="83" s="1"/>
  <c r="R147" i="83" s="1"/>
  <c r="V147" i="83" s="1"/>
  <c r="O148" i="83"/>
  <c r="N148" i="83"/>
  <c r="M148" i="83"/>
  <c r="K148" i="83"/>
  <c r="L148" i="83" s="1"/>
  <c r="J148" i="83"/>
  <c r="I148" i="83"/>
  <c r="H148" i="83"/>
  <c r="F148" i="83"/>
  <c r="E148" i="83"/>
  <c r="D148" i="83"/>
  <c r="C148" i="83"/>
  <c r="C145" i="83" s="1"/>
  <c r="P147" i="83"/>
  <c r="O147" i="83"/>
  <c r="N147" i="83"/>
  <c r="K147" i="83"/>
  <c r="J147" i="83"/>
  <c r="I147" i="83"/>
  <c r="G147" i="83"/>
  <c r="F147" i="83"/>
  <c r="E147" i="83"/>
  <c r="D147" i="83"/>
  <c r="AY143" i="83"/>
  <c r="AX143" i="83"/>
  <c r="AY139" i="83"/>
  <c r="AX139" i="83"/>
  <c r="AY138" i="83"/>
  <c r="AX138" i="83"/>
  <c r="AY137" i="83"/>
  <c r="AX137" i="83"/>
  <c r="P134" i="83"/>
  <c r="O134" i="83"/>
  <c r="N134" i="83"/>
  <c r="K134" i="83"/>
  <c r="J134" i="83"/>
  <c r="I134" i="83"/>
  <c r="F134" i="83"/>
  <c r="E134" i="83"/>
  <c r="D134" i="83"/>
  <c r="C134" i="83"/>
  <c r="AA130" i="83"/>
  <c r="V130" i="83"/>
  <c r="Q130" i="83"/>
  <c r="L130" i="83"/>
  <c r="G130" i="83"/>
  <c r="AY128" i="83"/>
  <c r="AX128" i="83"/>
  <c r="BB127" i="83"/>
  <c r="BA127" i="83"/>
  <c r="AZ127" i="83"/>
  <c r="AY127" i="83"/>
  <c r="AX127" i="83"/>
  <c r="Q127" i="83"/>
  <c r="L127" i="83"/>
  <c r="G127" i="83"/>
  <c r="AY124" i="83"/>
  <c r="AX124" i="83"/>
  <c r="Q124" i="83"/>
  <c r="L124" i="83"/>
  <c r="G124" i="83"/>
  <c r="AY122" i="83"/>
  <c r="AX122" i="83"/>
  <c r="AY121" i="83"/>
  <c r="AX121" i="83"/>
  <c r="AY118" i="83"/>
  <c r="AX118" i="83"/>
  <c r="Q118" i="83"/>
  <c r="L118" i="83"/>
  <c r="G118" i="83"/>
  <c r="AY117" i="83"/>
  <c r="AX117" i="83"/>
  <c r="Q117" i="83"/>
  <c r="L117" i="83"/>
  <c r="M147" i="83" s="1"/>
  <c r="G117" i="83"/>
  <c r="H147" i="83" s="1"/>
  <c r="L147" i="83" s="1"/>
  <c r="AY116" i="83"/>
  <c r="AX116" i="83"/>
  <c r="AA116" i="83"/>
  <c r="V116" i="83"/>
  <c r="Q116" i="83"/>
  <c r="L116" i="83"/>
  <c r="G116" i="83"/>
  <c r="AY115" i="83"/>
  <c r="AX115" i="83"/>
  <c r="AY113" i="83"/>
  <c r="AX113" i="83"/>
  <c r="AY112" i="83"/>
  <c r="AX112" i="83"/>
  <c r="AY111" i="83"/>
  <c r="AX111" i="83"/>
  <c r="AA110" i="83"/>
  <c r="U110" i="83"/>
  <c r="V110" i="83" s="1"/>
  <c r="O110" i="83"/>
  <c r="Q110" i="83" s="1"/>
  <c r="K110" i="83"/>
  <c r="L110" i="83" s="1"/>
  <c r="F110" i="83"/>
  <c r="G110" i="83" s="1"/>
  <c r="AY107" i="83"/>
  <c r="AX107" i="83"/>
  <c r="AY103" i="83"/>
  <c r="AX103" i="83"/>
  <c r="AY101" i="83"/>
  <c r="AX101" i="83"/>
  <c r="AY98" i="83"/>
  <c r="AX98" i="83"/>
  <c r="AY95" i="83"/>
  <c r="AX95" i="83"/>
  <c r="AY93" i="83"/>
  <c r="AX93" i="83"/>
  <c r="AY92" i="83"/>
  <c r="AX92" i="83"/>
  <c r="AA92" i="83"/>
  <c r="V92" i="83"/>
  <c r="Q92" i="83"/>
  <c r="L92" i="83"/>
  <c r="G92" i="83"/>
  <c r="AY90" i="83"/>
  <c r="AX90" i="83"/>
  <c r="AY89" i="83"/>
  <c r="AX89" i="83"/>
  <c r="AY88" i="83"/>
  <c r="AX88" i="83"/>
  <c r="AY87" i="83"/>
  <c r="AX87" i="83"/>
  <c r="AY86" i="83"/>
  <c r="AX86" i="83"/>
  <c r="AA85" i="83"/>
  <c r="V85" i="83"/>
  <c r="O85" i="83"/>
  <c r="Q85" i="83" s="1"/>
  <c r="K85" i="83"/>
  <c r="L85" i="83" s="1"/>
  <c r="G85" i="83"/>
  <c r="AY82" i="83"/>
  <c r="AX82" i="83"/>
  <c r="L82" i="83"/>
  <c r="G82" i="83"/>
  <c r="AY78" i="83"/>
  <c r="AX78" i="83"/>
  <c r="O74" i="83"/>
  <c r="Q74" i="83" s="1"/>
  <c r="K74" i="83"/>
  <c r="J74" i="83"/>
  <c r="I74" i="83"/>
  <c r="H74" i="83"/>
  <c r="AA72" i="83"/>
  <c r="V72" i="83"/>
  <c r="Q72" i="83"/>
  <c r="L72" i="83"/>
  <c r="F72" i="83"/>
  <c r="G72" i="83" s="1"/>
  <c r="AY71" i="83"/>
  <c r="AX71" i="83"/>
  <c r="P71" i="83"/>
  <c r="N71" i="83"/>
  <c r="M71" i="83"/>
  <c r="L71" i="83"/>
  <c r="AY68" i="83"/>
  <c r="AX68" i="83"/>
  <c r="AY65" i="83"/>
  <c r="AX65" i="83"/>
  <c r="AY35" i="83"/>
  <c r="AX35" i="83"/>
  <c r="AA35" i="83"/>
  <c r="V35" i="83"/>
  <c r="Q35" i="83"/>
  <c r="L35" i="83"/>
  <c r="G35" i="83"/>
  <c r="AY31" i="83"/>
  <c r="AX31" i="83"/>
  <c r="AY29" i="83"/>
  <c r="AX29" i="83"/>
  <c r="AY28" i="83"/>
  <c r="AX28" i="83"/>
  <c r="AA23" i="83"/>
  <c r="U23" i="83"/>
  <c r="V23" i="83" s="1"/>
  <c r="Q23" i="83"/>
  <c r="L23" i="83"/>
  <c r="AY22" i="83"/>
  <c r="AX22" i="83"/>
  <c r="L20" i="83"/>
  <c r="G20" i="83"/>
  <c r="A138" i="8"/>
  <c r="AE7" i="2" l="1"/>
  <c r="AM133" i="9"/>
  <c r="AE30" i="9"/>
  <c r="AH30" i="9"/>
  <c r="AP133" i="9"/>
  <c r="AM14" i="9"/>
  <c r="H27" i="65"/>
  <c r="K27" i="65"/>
  <c r="X27" i="65"/>
  <c r="P30" i="32"/>
  <c r="AA27" i="65"/>
  <c r="D27" i="65"/>
  <c r="T27" i="65"/>
  <c r="U27" i="65"/>
  <c r="L27" i="65"/>
  <c r="Y27" i="65"/>
  <c r="T30" i="32"/>
  <c r="Z27" i="65"/>
  <c r="V30" i="32"/>
  <c r="AB27" i="65"/>
  <c r="V27" i="65"/>
  <c r="AD27" i="65"/>
  <c r="O27" i="65"/>
  <c r="M27" i="65"/>
  <c r="E27" i="65"/>
  <c r="AI27" i="65"/>
  <c r="AC27" i="65"/>
  <c r="R27" i="65"/>
  <c r="C27" i="65"/>
  <c r="J27" i="65"/>
  <c r="M153" i="80"/>
  <c r="M160" i="80" s="1"/>
  <c r="E153" i="80"/>
  <c r="E160" i="80" s="1"/>
  <c r="K153" i="80"/>
  <c r="K160" i="80" s="1"/>
  <c r="L153" i="80"/>
  <c r="L160" i="80" s="1"/>
  <c r="G337" i="36"/>
  <c r="G347" i="36" s="1"/>
  <c r="G358" i="36" s="1"/>
  <c r="C337" i="36"/>
  <c r="C347" i="36" s="1"/>
  <c r="C358" i="36" s="1"/>
  <c r="E337" i="36"/>
  <c r="E347" i="36" s="1"/>
  <c r="E358" i="36" s="1"/>
  <c r="D337" i="36"/>
  <c r="D347" i="36" s="1"/>
  <c r="D358" i="36" s="1"/>
  <c r="L337" i="36"/>
  <c r="L347" i="36" s="1"/>
  <c r="L358" i="36" s="1"/>
  <c r="F337" i="36"/>
  <c r="F347" i="36" s="1"/>
  <c r="F358" i="36" s="1"/>
  <c r="F27" i="65"/>
  <c r="CN24" i="34"/>
  <c r="AE27" i="65"/>
  <c r="CH24" i="34"/>
  <c r="P27" i="65"/>
  <c r="CQ24" i="34"/>
  <c r="BD24" i="34"/>
  <c r="CW24" i="34"/>
  <c r="Q51" i="9"/>
  <c r="Q52" i="9" s="1"/>
  <c r="Q53" i="9" s="1"/>
  <c r="I30" i="9"/>
  <c r="Q30" i="9"/>
  <c r="Y30" i="9"/>
  <c r="AP30" i="9"/>
  <c r="N278" i="79"/>
  <c r="N288" i="79" s="1"/>
  <c r="BS24" i="34"/>
  <c r="W27" i="65"/>
  <c r="G27" i="65"/>
  <c r="BJ24" i="34"/>
  <c r="J30" i="9"/>
  <c r="R30" i="9"/>
  <c r="AQ30" i="9"/>
  <c r="K30" i="9"/>
  <c r="S30" i="9"/>
  <c r="AJ30" i="9"/>
  <c r="N27" i="65"/>
  <c r="BG24" i="34"/>
  <c r="CZ24" i="34"/>
  <c r="BM24" i="34"/>
  <c r="Z30" i="9"/>
  <c r="AI30" i="9"/>
  <c r="AA30" i="9"/>
  <c r="AB30" i="9"/>
  <c r="AR30" i="9"/>
  <c r="L30" i="9"/>
  <c r="T30" i="9"/>
  <c r="AC30" i="9"/>
  <c r="AK30" i="9"/>
  <c r="M30" i="9"/>
  <c r="U30" i="9"/>
  <c r="AD30" i="9"/>
  <c r="AL30" i="9"/>
  <c r="N30" i="9"/>
  <c r="V30" i="9"/>
  <c r="AM30" i="9"/>
  <c r="G30" i="9"/>
  <c r="O30" i="9"/>
  <c r="W30" i="9"/>
  <c r="AF30" i="9"/>
  <c r="AN30" i="9"/>
  <c r="H30" i="9"/>
  <c r="P30" i="9"/>
  <c r="X30" i="9"/>
  <c r="AG30" i="9"/>
  <c r="AO30" i="9"/>
  <c r="I278" i="79"/>
  <c r="H278" i="79"/>
  <c r="K278" i="79"/>
  <c r="Q278" i="79"/>
  <c r="L278" i="79"/>
  <c r="I27" i="65"/>
  <c r="AF27" i="65"/>
  <c r="Q27" i="65"/>
  <c r="AC23" i="60"/>
  <c r="AH27" i="65"/>
  <c r="AF18" i="44"/>
  <c r="E51" i="52"/>
  <c r="M51" i="52"/>
  <c r="U51" i="52"/>
  <c r="AG27" i="65"/>
  <c r="Q40" i="46"/>
  <c r="Y40" i="46"/>
  <c r="AG40" i="46"/>
  <c r="L59" i="46"/>
  <c r="T59" i="46"/>
  <c r="AB59" i="46"/>
  <c r="AJ59" i="46"/>
  <c r="E32" i="68"/>
  <c r="U32" i="68"/>
  <c r="AP7" i="2"/>
  <c r="H138" i="9"/>
  <c r="P138" i="9"/>
  <c r="I138" i="9"/>
  <c r="Q138" i="9"/>
  <c r="K138" i="9"/>
  <c r="S138" i="9"/>
  <c r="R138" i="9"/>
  <c r="L138" i="9"/>
  <c r="T138" i="9"/>
  <c r="M138" i="9"/>
  <c r="U138" i="9"/>
  <c r="J138" i="9"/>
  <c r="N138" i="9"/>
  <c r="V138" i="9"/>
  <c r="G138" i="9"/>
  <c r="O138" i="9"/>
  <c r="D30" i="48"/>
  <c r="L30" i="48"/>
  <c r="T30" i="48"/>
  <c r="AB30" i="48"/>
  <c r="AJ30" i="48"/>
  <c r="Y18" i="44"/>
  <c r="AQ7" i="2"/>
  <c r="C25" i="30"/>
  <c r="K25" i="30"/>
  <c r="AB25" i="30"/>
  <c r="H18" i="29"/>
  <c r="Z18" i="29"/>
  <c r="I18" i="29"/>
  <c r="AA18" i="29"/>
  <c r="K32" i="68"/>
  <c r="S32" i="68"/>
  <c r="D145" i="83"/>
  <c r="H51" i="61"/>
  <c r="T51" i="61"/>
  <c r="AH51" i="61"/>
  <c r="X8" i="2"/>
  <c r="Y25" i="10"/>
  <c r="Y23" i="12" s="1"/>
  <c r="J40" i="46"/>
  <c r="R40" i="46"/>
  <c r="Z40" i="46"/>
  <c r="AH40" i="46"/>
  <c r="AE8" i="2"/>
  <c r="AM8" i="2"/>
  <c r="AN8" i="2"/>
  <c r="Q78" i="46"/>
  <c r="Y78" i="46"/>
  <c r="AG78" i="46"/>
  <c r="W8" i="2"/>
  <c r="Z7" i="2"/>
  <c r="AA7" i="2"/>
  <c r="AF7" i="2"/>
  <c r="AU8" i="2"/>
  <c r="R34" i="1"/>
  <c r="H90" i="71"/>
  <c r="P90" i="71"/>
  <c r="X90" i="71"/>
  <c r="AF90" i="71"/>
  <c r="H22" i="49"/>
  <c r="P22" i="49"/>
  <c r="X22" i="49"/>
  <c r="AH22" i="49"/>
  <c r="I22" i="49"/>
  <c r="J22" i="49"/>
  <c r="R22" i="49"/>
  <c r="C22" i="49"/>
  <c r="K22" i="49"/>
  <c r="S22" i="49"/>
  <c r="AA22" i="49"/>
  <c r="D22" i="49"/>
  <c r="L22" i="49"/>
  <c r="T22" i="49"/>
  <c r="AB22" i="49"/>
  <c r="E22" i="49"/>
  <c r="M22" i="49"/>
  <c r="U22" i="49"/>
  <c r="AC22" i="49"/>
  <c r="F22" i="49"/>
  <c r="N22" i="49"/>
  <c r="V22" i="49"/>
  <c r="AD22" i="49"/>
  <c r="G22" i="49"/>
  <c r="O22" i="49"/>
  <c r="AG22" i="49"/>
  <c r="J21" i="46"/>
  <c r="R21" i="46"/>
  <c r="AA32" i="68"/>
  <c r="D39" i="3"/>
  <c r="AG7" i="2"/>
  <c r="D21" i="59"/>
  <c r="H32" i="68"/>
  <c r="P32" i="68"/>
  <c r="X32" i="68"/>
  <c r="AT8" i="2"/>
  <c r="V8" i="2"/>
  <c r="Z25" i="10"/>
  <c r="Z84" i="10" s="1"/>
  <c r="L51" i="61"/>
  <c r="AD51" i="61"/>
  <c r="G22" i="53"/>
  <c r="G24" i="53" s="1"/>
  <c r="O22" i="53"/>
  <c r="O24" i="53" s="1"/>
  <c r="K90" i="71"/>
  <c r="S90" i="71"/>
  <c r="AA90" i="71"/>
  <c r="AI90" i="71"/>
  <c r="I51" i="61"/>
  <c r="U51" i="61"/>
  <c r="AI51" i="61"/>
  <c r="F21" i="59"/>
  <c r="AC45" i="33"/>
  <c r="C51" i="52"/>
  <c r="K51" i="52"/>
  <c r="S51" i="52"/>
  <c r="AA51" i="52"/>
  <c r="AI51" i="52"/>
  <c r="F32" i="68"/>
  <c r="V32" i="68"/>
  <c r="M90" i="71"/>
  <c r="U90" i="71"/>
  <c r="AC90" i="71"/>
  <c r="R93" i="63"/>
  <c r="N32" i="68"/>
  <c r="S93" i="63"/>
  <c r="T93" i="63"/>
  <c r="AE18" i="44"/>
  <c r="G21" i="59"/>
  <c r="U93" i="63"/>
  <c r="D51" i="61"/>
  <c r="C32" i="68"/>
  <c r="L32" i="68"/>
  <c r="T32" i="68"/>
  <c r="AB32" i="68"/>
  <c r="AR133" i="9"/>
  <c r="I133" i="9"/>
  <c r="Q133" i="9"/>
  <c r="H22" i="53"/>
  <c r="H24" i="53" s="1"/>
  <c r="P22" i="53"/>
  <c r="P24" i="53" s="1"/>
  <c r="Q93" i="63"/>
  <c r="M32" i="68"/>
  <c r="J133" i="9"/>
  <c r="K30" i="31"/>
  <c r="K29" i="31" s="1"/>
  <c r="AB30" i="31"/>
  <c r="AB29" i="31" s="1"/>
  <c r="E51" i="61"/>
  <c r="N51" i="61"/>
  <c r="AF51" i="61"/>
  <c r="J30" i="31"/>
  <c r="J29" i="31" s="1"/>
  <c r="M51" i="61"/>
  <c r="K133" i="9"/>
  <c r="AW39" i="3"/>
  <c r="AF8" i="2"/>
  <c r="L133" i="9"/>
  <c r="E25" i="30"/>
  <c r="AD25" i="30"/>
  <c r="U30" i="31"/>
  <c r="U29" i="31" s="1"/>
  <c r="AC30" i="31"/>
  <c r="AC29" i="31" s="1"/>
  <c r="G51" i="61"/>
  <c r="S51" i="61"/>
  <c r="AG51" i="61"/>
  <c r="AD45" i="33"/>
  <c r="F24" i="55"/>
  <c r="N24" i="55"/>
  <c r="V24" i="55"/>
  <c r="V25" i="55" s="1"/>
  <c r="AD24" i="55"/>
  <c r="AD25" i="55" s="1"/>
  <c r="H21" i="59"/>
  <c r="AH39" i="3"/>
  <c r="AP39" i="3"/>
  <c r="AX39" i="3"/>
  <c r="AL7" i="2"/>
  <c r="AJ8" i="2"/>
  <c r="AJ6" i="2" s="1"/>
  <c r="M133" i="9"/>
  <c r="P14" i="67"/>
  <c r="P17" i="67" s="1"/>
  <c r="P20" i="67" s="1"/>
  <c r="P39" i="67"/>
  <c r="F25" i="30"/>
  <c r="AE25" i="30"/>
  <c r="E30" i="31"/>
  <c r="E29" i="31" s="1"/>
  <c r="M30" i="31"/>
  <c r="M29" i="31" s="1"/>
  <c r="V30" i="31"/>
  <c r="V29" i="31" s="1"/>
  <c r="AD30" i="31"/>
  <c r="AD29" i="31" s="1"/>
  <c r="P40" i="46"/>
  <c r="X40" i="46"/>
  <c r="AF40" i="46"/>
  <c r="K59" i="46"/>
  <c r="S59" i="46"/>
  <c r="AA59" i="46"/>
  <c r="AI59" i="46"/>
  <c r="K30" i="48"/>
  <c r="L90" i="71"/>
  <c r="T90" i="71"/>
  <c r="AB90" i="71"/>
  <c r="I21" i="59"/>
  <c r="Q21" i="59"/>
  <c r="J32" i="68"/>
  <c r="R32" i="68"/>
  <c r="Z32" i="68"/>
  <c r="G51" i="68"/>
  <c r="O51" i="68"/>
  <c r="AE51" i="68"/>
  <c r="S30" i="31"/>
  <c r="S29" i="31" s="1"/>
  <c r="C30" i="31"/>
  <c r="C29" i="31" s="1"/>
  <c r="T30" i="31"/>
  <c r="T29" i="31" s="1"/>
  <c r="AQ7" i="12"/>
  <c r="AV8" i="2"/>
  <c r="F133" i="9"/>
  <c r="F134" i="9" s="1"/>
  <c r="F139" i="9" s="1"/>
  <c r="N133" i="9"/>
  <c r="V133" i="9"/>
  <c r="G25" i="30"/>
  <c r="F30" i="31"/>
  <c r="F29" i="31" s="1"/>
  <c r="N30" i="31"/>
  <c r="N29" i="31" s="1"/>
  <c r="W30" i="31"/>
  <c r="W29" i="31" s="1"/>
  <c r="AE30" i="31"/>
  <c r="AE29" i="31" s="1"/>
  <c r="W7" i="2"/>
  <c r="AO133" i="9"/>
  <c r="G133" i="9"/>
  <c r="O133" i="9"/>
  <c r="W133" i="9"/>
  <c r="J26" i="76"/>
  <c r="AG25" i="30"/>
  <c r="I13" i="31"/>
  <c r="I11" i="31"/>
  <c r="Y13" i="31"/>
  <c r="Y11" i="31"/>
  <c r="G30" i="31"/>
  <c r="G29" i="31" s="1"/>
  <c r="O30" i="31"/>
  <c r="O29" i="31" s="1"/>
  <c r="X30" i="31"/>
  <c r="X29" i="31" s="1"/>
  <c r="AF30" i="31"/>
  <c r="AF29" i="31" s="1"/>
  <c r="J51" i="61"/>
  <c r="V51" i="61"/>
  <c r="P78" i="46"/>
  <c r="X78" i="46"/>
  <c r="AF78" i="46"/>
  <c r="AA30" i="31"/>
  <c r="AA29" i="31" s="1"/>
  <c r="H133" i="9"/>
  <c r="P133" i="9"/>
  <c r="X133" i="9"/>
  <c r="I25" i="30"/>
  <c r="Y30" i="31"/>
  <c r="Y29" i="31" s="1"/>
  <c r="AG30" i="31"/>
  <c r="AG29" i="31" s="1"/>
  <c r="K51" i="61"/>
  <c r="AC51" i="61"/>
  <c r="K40" i="46"/>
  <c r="S40" i="46"/>
  <c r="AA40" i="46"/>
  <c r="AI40" i="46"/>
  <c r="N59" i="46"/>
  <c r="V59" i="46"/>
  <c r="AD59" i="46"/>
  <c r="AL59" i="46"/>
  <c r="U21" i="59"/>
  <c r="L40" i="46"/>
  <c r="T40" i="46"/>
  <c r="AB40" i="46"/>
  <c r="AJ40" i="46"/>
  <c r="O59" i="46"/>
  <c r="W59" i="46"/>
  <c r="AE59" i="46"/>
  <c r="J78" i="46"/>
  <c r="S78" i="46"/>
  <c r="AA78" i="46"/>
  <c r="AI78" i="46"/>
  <c r="T51" i="52"/>
  <c r="E22" i="53"/>
  <c r="E24" i="53" s="1"/>
  <c r="AU133" i="9"/>
  <c r="AU134" i="9" s="1"/>
  <c r="AT133" i="9"/>
  <c r="S133" i="9"/>
  <c r="T133" i="9"/>
  <c r="AG133" i="9"/>
  <c r="U133" i="9"/>
  <c r="AN133" i="9"/>
  <c r="AL133" i="9"/>
  <c r="AK133" i="9"/>
  <c r="AQ133" i="9"/>
  <c r="AS133" i="9"/>
  <c r="R133" i="9"/>
  <c r="AC32" i="68"/>
  <c r="G32" i="68"/>
  <c r="O32" i="68"/>
  <c r="W32" i="68"/>
  <c r="I32" i="68"/>
  <c r="Q32" i="68"/>
  <c r="Y32" i="68"/>
  <c r="J51" i="68"/>
  <c r="G51" i="52"/>
  <c r="O51" i="52"/>
  <c r="AE51" i="52"/>
  <c r="X51" i="52"/>
  <c r="AF51" i="52"/>
  <c r="W51" i="52"/>
  <c r="AE93" i="63"/>
  <c r="AD24" i="72"/>
  <c r="AE24" i="72"/>
  <c r="D90" i="3"/>
  <c r="I8" i="12"/>
  <c r="Q8" i="12"/>
  <c r="Y8" i="12"/>
  <c r="AG8" i="12"/>
  <c r="AQ6" i="12"/>
  <c r="AV7" i="2"/>
  <c r="AO6" i="12"/>
  <c r="AO8" i="12" s="1"/>
  <c r="E90" i="71"/>
  <c r="AK6" i="2"/>
  <c r="R8" i="12"/>
  <c r="Z8" i="12"/>
  <c r="AH8" i="12"/>
  <c r="AP8" i="12"/>
  <c r="D14" i="9"/>
  <c r="M134" i="83"/>
  <c r="Q134" i="83" s="1"/>
  <c r="U25" i="30"/>
  <c r="AH25" i="30"/>
  <c r="I145" i="83"/>
  <c r="H134" i="83"/>
  <c r="L134" i="83" s="1"/>
  <c r="X22" i="53"/>
  <c r="X24" i="53" s="1"/>
  <c r="W52" i="9"/>
  <c r="AE52" i="9"/>
  <c r="H74" i="76"/>
  <c r="P145" i="83"/>
  <c r="J145" i="83"/>
  <c r="M25" i="30"/>
  <c r="N25" i="30"/>
  <c r="BA112" i="77"/>
  <c r="BA146" i="77"/>
  <c r="BA147" i="77"/>
  <c r="BA156" i="77"/>
  <c r="BB159" i="77"/>
  <c r="I23" i="13"/>
  <c r="BA117" i="77"/>
  <c r="BB166" i="77"/>
  <c r="BA130" i="77"/>
  <c r="BA135" i="77"/>
  <c r="BB146" i="77"/>
  <c r="BB147" i="77"/>
  <c r="BA151" i="77"/>
  <c r="BA152" i="77"/>
  <c r="BA159" i="77"/>
  <c r="BA164" i="77"/>
  <c r="BA115" i="77"/>
  <c r="BB118" i="77"/>
  <c r="BA121" i="77"/>
  <c r="BB124" i="77"/>
  <c r="BA126" i="77"/>
  <c r="BB128" i="77"/>
  <c r="BB133" i="77"/>
  <c r="BB138" i="77"/>
  <c r="BB139" i="77"/>
  <c r="BA150" i="77"/>
  <c r="BA165" i="77"/>
  <c r="P25" i="13"/>
  <c r="BA154" i="77"/>
  <c r="BA120" i="77"/>
  <c r="BA125" i="77"/>
  <c r="BA134" i="77"/>
  <c r="BA141" i="77"/>
  <c r="BA142" i="77"/>
  <c r="BA153" i="77"/>
  <c r="BA158" i="77"/>
  <c r="BB148" i="77"/>
  <c r="BA113" i="77"/>
  <c r="BA119" i="77"/>
  <c r="BA129" i="77"/>
  <c r="BA140" i="77"/>
  <c r="BA143" i="77"/>
  <c r="BB149" i="77"/>
  <c r="BA157" i="77"/>
  <c r="BA163" i="77"/>
  <c r="D90" i="71"/>
  <c r="M14" i="67"/>
  <c r="M17" i="67" s="1"/>
  <c r="M20" i="67" s="1"/>
  <c r="Y26" i="32"/>
  <c r="AB23" i="60"/>
  <c r="BA111" i="77"/>
  <c r="BA123" i="77"/>
  <c r="BA127" i="77"/>
  <c r="BA132" i="77"/>
  <c r="BB134" i="77"/>
  <c r="BA137" i="77"/>
  <c r="BB141" i="77"/>
  <c r="BA148" i="77"/>
  <c r="BA155" i="77"/>
  <c r="BA161" i="77"/>
  <c r="BA166" i="77"/>
  <c r="BB151" i="77"/>
  <c r="BB152" i="77"/>
  <c r="BB164" i="77"/>
  <c r="BB115" i="77"/>
  <c r="BA118" i="77"/>
  <c r="BB121" i="77"/>
  <c r="BA124" i="77"/>
  <c r="BB126" i="77"/>
  <c r="BA128" i="77"/>
  <c r="BA133" i="77"/>
  <c r="BA138" i="77"/>
  <c r="BA139" i="77"/>
  <c r="BA145" i="77"/>
  <c r="BB150" i="77"/>
  <c r="BB154" i="77"/>
  <c r="BA162" i="77"/>
  <c r="BB165" i="77"/>
  <c r="AU7" i="2"/>
  <c r="AG8" i="2"/>
  <c r="BB116" i="77"/>
  <c r="BB122" i="77"/>
  <c r="BB131" i="77"/>
  <c r="BB136" i="77"/>
  <c r="BA144" i="77"/>
  <c r="BB160" i="77"/>
  <c r="F18" i="29"/>
  <c r="J13" i="31"/>
  <c r="O22" i="44"/>
  <c r="O23" i="44" s="1"/>
  <c r="BB111" i="77"/>
  <c r="BA114" i="77"/>
  <c r="BB123" i="77"/>
  <c r="BB127" i="77"/>
  <c r="BB132" i="77"/>
  <c r="BB137" i="77"/>
  <c r="BB155" i="77"/>
  <c r="BB161" i="77"/>
  <c r="V13" i="31"/>
  <c r="P22" i="44"/>
  <c r="P23" i="44" s="1"/>
  <c r="X22" i="44"/>
  <c r="AF22" i="44"/>
  <c r="AF23" i="44" s="1"/>
  <c r="AD57" i="49"/>
  <c r="I22" i="53"/>
  <c r="I24" i="53" s="1"/>
  <c r="Q22" i="53"/>
  <c r="Q24" i="53" s="1"/>
  <c r="AA22" i="53"/>
  <c r="AA24" i="53" s="1"/>
  <c r="J33" i="76"/>
  <c r="BB112" i="77"/>
  <c r="BB117" i="77"/>
  <c r="BB156" i="77"/>
  <c r="D21" i="46"/>
  <c r="L21" i="46"/>
  <c r="T21" i="46"/>
  <c r="AF21" i="46"/>
  <c r="G90" i="71"/>
  <c r="O90" i="71"/>
  <c r="W90" i="71"/>
  <c r="AE90" i="71"/>
  <c r="BB145" i="77"/>
  <c r="BB162" i="77"/>
  <c r="E21" i="46"/>
  <c r="M21" i="46"/>
  <c r="AG21" i="46"/>
  <c r="J21" i="59"/>
  <c r="N13" i="80"/>
  <c r="N20" i="80" s="1"/>
  <c r="N27" i="80" s="1"/>
  <c r="N34" i="80" s="1"/>
  <c r="N41" i="80" s="1"/>
  <c r="N48" i="80" s="1"/>
  <c r="N55" i="80" s="1"/>
  <c r="N62" i="80" s="1"/>
  <c r="N69" i="80" s="1"/>
  <c r="N76" i="80" s="1"/>
  <c r="N83" i="80" s="1"/>
  <c r="N90" i="80" s="1"/>
  <c r="N97" i="80" s="1"/>
  <c r="AO8" i="2"/>
  <c r="S39" i="67"/>
  <c r="AA39" i="67"/>
  <c r="N53" i="9"/>
  <c r="BB113" i="77"/>
  <c r="BA116" i="77"/>
  <c r="BB119" i="77"/>
  <c r="BA122" i="77"/>
  <c r="BB129" i="77"/>
  <c r="BA131" i="77"/>
  <c r="BA136" i="77"/>
  <c r="BB140" i="77"/>
  <c r="BB143" i="77"/>
  <c r="BB144" i="77"/>
  <c r="BA149" i="77"/>
  <c r="BB157" i="77"/>
  <c r="BA160" i="77"/>
  <c r="BB163" i="77"/>
  <c r="AH45" i="33"/>
  <c r="V33" i="45"/>
  <c r="Q59" i="46"/>
  <c r="Y59" i="46"/>
  <c r="AG59" i="46"/>
  <c r="F22" i="53"/>
  <c r="F24" i="53" s="1"/>
  <c r="N22" i="53"/>
  <c r="N24" i="53" s="1"/>
  <c r="V22" i="53"/>
  <c r="V24" i="53" s="1"/>
  <c r="AG22" i="53"/>
  <c r="AG24" i="53" s="1"/>
  <c r="I90" i="71"/>
  <c r="Q90" i="71"/>
  <c r="Y90" i="71"/>
  <c r="AG90" i="71"/>
  <c r="AH24" i="55"/>
  <c r="AH25" i="55" s="1"/>
  <c r="AI39" i="3"/>
  <c r="AQ39" i="3"/>
  <c r="X7" i="2"/>
  <c r="AM7" i="2"/>
  <c r="Y8" i="2"/>
  <c r="BB114" i="77"/>
  <c r="BB120" i="77"/>
  <c r="BB125" i="77"/>
  <c r="BB142" i="77"/>
  <c r="BB153" i="77"/>
  <c r="BB158" i="77"/>
  <c r="G21" i="46"/>
  <c r="O21" i="46"/>
  <c r="Y21" i="46"/>
  <c r="O40" i="46"/>
  <c r="W40" i="46"/>
  <c r="AE40" i="46"/>
  <c r="J59" i="46"/>
  <c r="R59" i="46"/>
  <c r="Z59" i="46"/>
  <c r="K39" i="3"/>
  <c r="AA39" i="3"/>
  <c r="Y7" i="2"/>
  <c r="J14" i="67"/>
  <c r="J17" i="67" s="1"/>
  <c r="J20" i="67" s="1"/>
  <c r="BB130" i="77"/>
  <c r="BB135" i="77"/>
  <c r="AF48" i="61"/>
  <c r="H21" i="46"/>
  <c r="P21" i="46"/>
  <c r="Z21" i="46"/>
  <c r="N78" i="46"/>
  <c r="V78" i="46"/>
  <c r="AD78" i="46"/>
  <c r="AL78" i="46"/>
  <c r="H57" i="49"/>
  <c r="AA57" i="49"/>
  <c r="J24" i="55"/>
  <c r="R24" i="55"/>
  <c r="R25" i="55" s="1"/>
  <c r="Z24" i="55"/>
  <c r="Z25" i="55" s="1"/>
  <c r="T8" i="2"/>
  <c r="AF39" i="3"/>
  <c r="AB7" i="2"/>
  <c r="E90" i="3"/>
  <c r="C39" i="3"/>
  <c r="S39" i="3"/>
  <c r="F90" i="3"/>
  <c r="AT7" i="2"/>
  <c r="AA8" i="2"/>
  <c r="AL8" i="2"/>
  <c r="H90" i="3"/>
  <c r="AB8" i="2"/>
  <c r="K145" i="83"/>
  <c r="E39" i="3"/>
  <c r="Z96" i="3"/>
  <c r="AD8" i="2"/>
  <c r="J12" i="30"/>
  <c r="J11" i="30"/>
  <c r="E14" i="67"/>
  <c r="E17" i="67" s="1"/>
  <c r="E20" i="67" s="1"/>
  <c r="T36" i="12"/>
  <c r="I14" i="67"/>
  <c r="I17" i="67" s="1"/>
  <c r="I20" i="67" s="1"/>
  <c r="F39" i="67"/>
  <c r="X39" i="67"/>
  <c r="AF39" i="67"/>
  <c r="O39" i="67"/>
  <c r="G14" i="67"/>
  <c r="G17" i="67" s="1"/>
  <c r="G20" i="67" s="1"/>
  <c r="O14" i="67"/>
  <c r="O17" i="67" s="1"/>
  <c r="O20" i="67" s="1"/>
  <c r="H14" i="67"/>
  <c r="H17" i="67" s="1"/>
  <c r="H20" i="67" s="1"/>
  <c r="AC12" i="26"/>
  <c r="AC13" i="26" s="1"/>
  <c r="C13" i="32"/>
  <c r="D6" i="32"/>
  <c r="D12" i="32" s="1"/>
  <c r="D13" i="32" s="1"/>
  <c r="AB6" i="32"/>
  <c r="AB24" i="32" s="1"/>
  <c r="AB30" i="32" s="1"/>
  <c r="Z13" i="31"/>
  <c r="BJ21" i="34"/>
  <c r="H18" i="44"/>
  <c r="AN27" i="34"/>
  <c r="I18" i="44"/>
  <c r="Q18" i="44"/>
  <c r="AG18" i="44"/>
  <c r="J25" i="30"/>
  <c r="D25" i="30"/>
  <c r="L25" i="30"/>
  <c r="AC25" i="30"/>
  <c r="C42" i="33"/>
  <c r="K42" i="33"/>
  <c r="S42" i="33"/>
  <c r="I22" i="44"/>
  <c r="I23" i="44" s="1"/>
  <c r="Q22" i="44"/>
  <c r="Y22" i="44"/>
  <c r="AG22" i="44"/>
  <c r="AG23" i="44" s="1"/>
  <c r="H33" i="45"/>
  <c r="P33" i="45"/>
  <c r="AE33" i="45"/>
  <c r="F30" i="48"/>
  <c r="N30" i="48"/>
  <c r="V30" i="48"/>
  <c r="AD30" i="48"/>
  <c r="AC24" i="55"/>
  <c r="AC25" i="55" s="1"/>
  <c r="I33" i="45"/>
  <c r="Q33" i="45"/>
  <c r="D22" i="53"/>
  <c r="D24" i="53" s="1"/>
  <c r="L22" i="53"/>
  <c r="L24" i="53" s="1"/>
  <c r="T22" i="53"/>
  <c r="T24" i="53" s="1"/>
  <c r="AE22" i="53"/>
  <c r="AE24" i="53" s="1"/>
  <c r="C21" i="46"/>
  <c r="K21" i="46"/>
  <c r="S21" i="46"/>
  <c r="AE21" i="46"/>
  <c r="F21" i="46"/>
  <c r="N21" i="46"/>
  <c r="AC51" i="52"/>
  <c r="S13" i="31"/>
  <c r="Z30" i="32"/>
  <c r="AI45" i="33"/>
  <c r="BS21" i="34"/>
  <c r="BS27" i="34" s="1"/>
  <c r="BN27" i="34"/>
  <c r="CL27" i="34"/>
  <c r="E18" i="44"/>
  <c r="M18" i="44"/>
  <c r="U18" i="44"/>
  <c r="AC18" i="44"/>
  <c r="K33" i="45"/>
  <c r="I60" i="68"/>
  <c r="Q60" i="68"/>
  <c r="R13" i="26"/>
  <c r="X22" i="26"/>
  <c r="X23" i="26" s="1"/>
  <c r="AA30" i="32"/>
  <c r="G42" i="33"/>
  <c r="O42" i="33"/>
  <c r="AE45" i="33"/>
  <c r="AJ45" i="33"/>
  <c r="AG27" i="34"/>
  <c r="AP27" i="34"/>
  <c r="AX27" i="34"/>
  <c r="BO27" i="34"/>
  <c r="BW27" i="34"/>
  <c r="CM27" i="34"/>
  <c r="CX27" i="34"/>
  <c r="F22" i="44"/>
  <c r="F23" i="44" s="1"/>
  <c r="V22" i="44"/>
  <c r="V23" i="44" s="1"/>
  <c r="M40" i="46"/>
  <c r="U40" i="46"/>
  <c r="AC40" i="46"/>
  <c r="AK40" i="46"/>
  <c r="P59" i="46"/>
  <c r="X59" i="46"/>
  <c r="E57" i="49"/>
  <c r="V57" i="49"/>
  <c r="J90" i="71"/>
  <c r="R90" i="71"/>
  <c r="Z90" i="71"/>
  <c r="AH90" i="71"/>
  <c r="D18" i="29"/>
  <c r="L18" i="29"/>
  <c r="J18" i="29"/>
  <c r="AI18" i="29"/>
  <c r="E13" i="31"/>
  <c r="U13" i="31"/>
  <c r="P48" i="61"/>
  <c r="AD48" i="61"/>
  <c r="D48" i="61"/>
  <c r="L48" i="61"/>
  <c r="H42" i="33"/>
  <c r="P42" i="33"/>
  <c r="X27" i="34"/>
  <c r="AH27" i="34"/>
  <c r="O18" i="44"/>
  <c r="E33" i="45"/>
  <c r="M33" i="45"/>
  <c r="C30" i="48"/>
  <c r="S30" i="48"/>
  <c r="AA30" i="48"/>
  <c r="AI30" i="48"/>
  <c r="E18" i="29"/>
  <c r="M18" i="29"/>
  <c r="AI48" i="61"/>
  <c r="AG45" i="33"/>
  <c r="P18" i="44"/>
  <c r="X18" i="44"/>
  <c r="AE22" i="44"/>
  <c r="AE23" i="44" s="1"/>
  <c r="M78" i="46"/>
  <c r="U78" i="46"/>
  <c r="AC78" i="46"/>
  <c r="AK78" i="46"/>
  <c r="G57" i="49"/>
  <c r="O57" i="49"/>
  <c r="X57" i="49"/>
  <c r="G39" i="67"/>
  <c r="Q39" i="67"/>
  <c r="Y39" i="67"/>
  <c r="M13" i="26"/>
  <c r="Q48" i="61"/>
  <c r="E48" i="61"/>
  <c r="M48" i="61"/>
  <c r="BD21" i="34"/>
  <c r="CQ21" i="34"/>
  <c r="CQ27" i="34" s="1"/>
  <c r="D34" i="34"/>
  <c r="H39" i="3"/>
  <c r="P39" i="3"/>
  <c r="X39" i="3"/>
  <c r="AG39" i="3"/>
  <c r="AO39" i="3"/>
  <c r="C90" i="3"/>
  <c r="I39" i="3"/>
  <c r="Q39" i="3"/>
  <c r="Y39" i="3"/>
  <c r="Y52" i="9"/>
  <c r="AG52" i="9"/>
  <c r="AO52" i="9"/>
  <c r="I39" i="67"/>
  <c r="R39" i="67"/>
  <c r="Z39" i="67"/>
  <c r="H22" i="26"/>
  <c r="H23" i="26" s="1"/>
  <c r="AF23" i="26"/>
  <c r="T18" i="29"/>
  <c r="H30" i="31"/>
  <c r="H29" i="31" s="1"/>
  <c r="P30" i="31"/>
  <c r="P29" i="31" s="1"/>
  <c r="Y25" i="32"/>
  <c r="Q30" i="32"/>
  <c r="R48" i="61"/>
  <c r="F48" i="61"/>
  <c r="N48" i="61"/>
  <c r="D42" i="33"/>
  <c r="L42" i="33"/>
  <c r="T42" i="33"/>
  <c r="J42" i="33"/>
  <c r="R42" i="33"/>
  <c r="CH21" i="34"/>
  <c r="CH27" i="34" s="1"/>
  <c r="Y27" i="34"/>
  <c r="Z12" i="26"/>
  <c r="Z13" i="26" s="1"/>
  <c r="C18" i="29"/>
  <c r="K18" i="29"/>
  <c r="U18" i="29"/>
  <c r="AJ18" i="29"/>
  <c r="T13" i="31"/>
  <c r="S48" i="61"/>
  <c r="AG48" i="61"/>
  <c r="C48" i="61"/>
  <c r="K48" i="61"/>
  <c r="CZ21" i="34"/>
  <c r="CZ27" i="34" s="1"/>
  <c r="P27" i="34"/>
  <c r="AJ27" i="34"/>
  <c r="AR27" i="34"/>
  <c r="J39" i="3"/>
  <c r="R39" i="3"/>
  <c r="Z39" i="3"/>
  <c r="K90" i="3"/>
  <c r="L16" i="10"/>
  <c r="L40" i="10" s="1"/>
  <c r="L43" i="10" s="1"/>
  <c r="F14" i="67"/>
  <c r="F17" i="67" s="1"/>
  <c r="F20" i="67" s="1"/>
  <c r="K14" i="67"/>
  <c r="K17" i="67" s="1"/>
  <c r="K20" i="67" s="1"/>
  <c r="E39" i="67"/>
  <c r="M39" i="67"/>
  <c r="U39" i="67"/>
  <c r="K39" i="67"/>
  <c r="T39" i="67"/>
  <c r="AB39" i="67"/>
  <c r="AF25" i="30"/>
  <c r="T48" i="61"/>
  <c r="AH48" i="61"/>
  <c r="H48" i="61"/>
  <c r="S90" i="3"/>
  <c r="D14" i="67"/>
  <c r="D17" i="67" s="1"/>
  <c r="D20" i="67" s="1"/>
  <c r="L14" i="67"/>
  <c r="L17" i="67" s="1"/>
  <c r="L20" i="67" s="1"/>
  <c r="C39" i="67"/>
  <c r="L39" i="67"/>
  <c r="I13" i="26"/>
  <c r="H25" i="30"/>
  <c r="V13" i="32"/>
  <c r="U48" i="61"/>
  <c r="I48" i="61"/>
  <c r="AE48" i="61"/>
  <c r="BP21" i="34"/>
  <c r="BP27" i="34" s="1"/>
  <c r="S27" i="34"/>
  <c r="AJ39" i="3"/>
  <c r="AR39" i="3"/>
  <c r="I90" i="3"/>
  <c r="J90" i="3"/>
  <c r="R90" i="3"/>
  <c r="Z90" i="3"/>
  <c r="AI90" i="3"/>
  <c r="AQ90" i="3"/>
  <c r="AY90" i="3"/>
  <c r="AY91" i="3" s="1"/>
  <c r="AA90" i="3"/>
  <c r="D39" i="67"/>
  <c r="V39" i="67"/>
  <c r="AD39" i="67"/>
  <c r="N18" i="29"/>
  <c r="X18" i="29"/>
  <c r="D30" i="31"/>
  <c r="D29" i="31" s="1"/>
  <c r="L30" i="31"/>
  <c r="L29" i="31" s="1"/>
  <c r="U30" i="32"/>
  <c r="V48" i="61"/>
  <c r="J48" i="61"/>
  <c r="F42" i="33"/>
  <c r="N42" i="33"/>
  <c r="V42" i="33"/>
  <c r="AF45" i="33"/>
  <c r="CE21" i="34"/>
  <c r="CE27" i="34" s="1"/>
  <c r="I27" i="34"/>
  <c r="AD27" i="34"/>
  <c r="BL27" i="34"/>
  <c r="BT27" i="34"/>
  <c r="CB27" i="34"/>
  <c r="CJ27" i="34"/>
  <c r="N22" i="44"/>
  <c r="N23" i="44" s="1"/>
  <c r="F39" i="3"/>
  <c r="G90" i="3"/>
  <c r="AJ90" i="3"/>
  <c r="N39" i="67"/>
  <c r="W39" i="67"/>
  <c r="AE39" i="67"/>
  <c r="H39" i="67"/>
  <c r="J50" i="76"/>
  <c r="K23" i="26"/>
  <c r="G18" i="29"/>
  <c r="Y18" i="29"/>
  <c r="W18" i="29"/>
  <c r="H13" i="31"/>
  <c r="C30" i="32"/>
  <c r="O30" i="32"/>
  <c r="AC48" i="61"/>
  <c r="G48" i="61"/>
  <c r="O48" i="61"/>
  <c r="AE51" i="61"/>
  <c r="I42" i="33"/>
  <c r="Q42" i="33"/>
  <c r="J27" i="34"/>
  <c r="U27" i="34"/>
  <c r="AV27" i="34"/>
  <c r="BE27" i="34"/>
  <c r="BU27" i="34"/>
  <c r="CC27" i="34"/>
  <c r="CK27" i="34"/>
  <c r="O71" i="83"/>
  <c r="Q71" i="83" s="1"/>
  <c r="G39" i="3"/>
  <c r="AN39" i="3"/>
  <c r="AV39" i="3"/>
  <c r="AR90" i="3"/>
  <c r="H16" i="10"/>
  <c r="H35" i="10" s="1"/>
  <c r="H36" i="10" s="1"/>
  <c r="H53" i="9"/>
  <c r="P53" i="9"/>
  <c r="O23" i="26"/>
  <c r="W23" i="26"/>
  <c r="E42" i="33"/>
  <c r="M42" i="33"/>
  <c r="U42" i="33"/>
  <c r="CN21" i="34"/>
  <c r="CN27" i="34" s="1"/>
  <c r="L27" i="34"/>
  <c r="AO27" i="34"/>
  <c r="AW27" i="34"/>
  <c r="BF27" i="34"/>
  <c r="BV27" i="34"/>
  <c r="CD27" i="34"/>
  <c r="AU27" i="34"/>
  <c r="BC27" i="34"/>
  <c r="D18" i="44"/>
  <c r="L18" i="44"/>
  <c r="T18" i="44"/>
  <c r="AB18" i="44"/>
  <c r="AD22" i="44"/>
  <c r="AD23" i="44" s="1"/>
  <c r="AF33" i="45"/>
  <c r="AD21" i="46"/>
  <c r="R78" i="46"/>
  <c r="Z78" i="46"/>
  <c r="AH78" i="46"/>
  <c r="N51" i="52"/>
  <c r="AI24" i="55"/>
  <c r="L21" i="59"/>
  <c r="G30" i="48"/>
  <c r="O30" i="48"/>
  <c r="W30" i="48"/>
  <c r="AE30" i="48"/>
  <c r="W22" i="53"/>
  <c r="W24" i="53" s="1"/>
  <c r="AH22" i="53"/>
  <c r="AH24" i="53" s="1"/>
  <c r="AF59" i="46"/>
  <c r="V51" i="52"/>
  <c r="C24" i="55"/>
  <c r="K24" i="55"/>
  <c r="S24" i="55"/>
  <c r="S25" i="55" s="1"/>
  <c r="AA24" i="55"/>
  <c r="AA25" i="55" s="1"/>
  <c r="R21" i="59"/>
  <c r="G22" i="44"/>
  <c r="G23" i="44" s="1"/>
  <c r="S33" i="45"/>
  <c r="I30" i="48"/>
  <c r="Q30" i="48"/>
  <c r="Y30" i="48"/>
  <c r="AG30" i="48"/>
  <c r="C21" i="59"/>
  <c r="K21" i="59"/>
  <c r="T21" i="59"/>
  <c r="AQ27" i="34"/>
  <c r="AY27" i="34"/>
  <c r="H22" i="44"/>
  <c r="H23" i="44" s="1"/>
  <c r="J22" i="44"/>
  <c r="J23" i="44" s="1"/>
  <c r="R22" i="44"/>
  <c r="R23" i="44" s="1"/>
  <c r="Z22" i="44"/>
  <c r="X21" i="46"/>
  <c r="I21" i="46"/>
  <c r="Q21" i="46"/>
  <c r="AH59" i="46"/>
  <c r="J30" i="48"/>
  <c r="R30" i="48"/>
  <c r="Z30" i="48"/>
  <c r="AH30" i="48"/>
  <c r="AD51" i="52"/>
  <c r="AZ27" i="34"/>
  <c r="BI27" i="34"/>
  <c r="BQ27" i="34"/>
  <c r="BY27" i="34"/>
  <c r="U33" i="45"/>
  <c r="AI33" i="45"/>
  <c r="I57" i="49"/>
  <c r="F57" i="49"/>
  <c r="C22" i="53"/>
  <c r="C24" i="53" s="1"/>
  <c r="K22" i="53"/>
  <c r="K24" i="53" s="1"/>
  <c r="S22" i="53"/>
  <c r="S24" i="53" s="1"/>
  <c r="AC22" i="53"/>
  <c r="AC24" i="53" s="1"/>
  <c r="M22" i="53"/>
  <c r="M24" i="53" s="1"/>
  <c r="U22" i="53"/>
  <c r="U24" i="53" s="1"/>
  <c r="E21" i="59"/>
  <c r="M21" i="59"/>
  <c r="V21" i="59"/>
  <c r="R27" i="34"/>
  <c r="AA27" i="34"/>
  <c r="G18" i="44"/>
  <c r="W18" i="44"/>
  <c r="J18" i="44"/>
  <c r="R18" i="44"/>
  <c r="Z18" i="44"/>
  <c r="AH18" i="44"/>
  <c r="D22" i="44"/>
  <c r="L22" i="44"/>
  <c r="L23" i="44" s="1"/>
  <c r="AB22" i="44"/>
  <c r="AB23" i="44" s="1"/>
  <c r="G33" i="45"/>
  <c r="O33" i="45"/>
  <c r="N40" i="46"/>
  <c r="V40" i="46"/>
  <c r="AD40" i="46"/>
  <c r="AL40" i="46"/>
  <c r="F51" i="52"/>
  <c r="G24" i="55"/>
  <c r="O24" i="55"/>
  <c r="W24" i="55"/>
  <c r="W25" i="55" s="1"/>
  <c r="AE24" i="55"/>
  <c r="AE25" i="55" s="1"/>
  <c r="C33" i="45"/>
  <c r="M59" i="46"/>
  <c r="U59" i="46"/>
  <c r="AC59" i="46"/>
  <c r="AK59" i="46"/>
  <c r="E30" i="48"/>
  <c r="U30" i="48"/>
  <c r="AC30" i="48"/>
  <c r="AG39" i="67"/>
  <c r="S25" i="30"/>
  <c r="H21" i="34"/>
  <c r="H27" i="34" s="1"/>
  <c r="AH39" i="67"/>
  <c r="T25" i="30"/>
  <c r="K21" i="34"/>
  <c r="K27" i="34" s="1"/>
  <c r="N145" i="83"/>
  <c r="J39" i="67"/>
  <c r="Y21" i="32"/>
  <c r="E145" i="83"/>
  <c r="T12" i="63"/>
  <c r="C14" i="67"/>
  <c r="AC39" i="67"/>
  <c r="V25" i="30"/>
  <c r="AI42" i="33"/>
  <c r="P57" i="49"/>
  <c r="J57" i="76"/>
  <c r="Z27" i="34"/>
  <c r="C90" i="71"/>
  <c r="G22" i="60"/>
  <c r="S18" i="29"/>
  <c r="L24" i="32"/>
  <c r="L30" i="32" s="1"/>
  <c r="W21" i="34"/>
  <c r="W27" i="34" s="1"/>
  <c r="AC21" i="34"/>
  <c r="AC27" i="34" s="1"/>
  <c r="AI21" i="46"/>
  <c r="AA21" i="46"/>
  <c r="T16" i="36"/>
  <c r="T23" i="36" s="1"/>
  <c r="T31" i="36" s="1"/>
  <c r="T40" i="36" s="1"/>
  <c r="T49" i="36" s="1"/>
  <c r="T56" i="36" s="1"/>
  <c r="T62" i="36" s="1"/>
  <c r="T69" i="36" s="1"/>
  <c r="T74" i="36" s="1"/>
  <c r="T80" i="36" s="1"/>
  <c r="T86" i="36" s="1"/>
  <c r="T90" i="36" s="1"/>
  <c r="T97" i="36" s="1"/>
  <c r="T103" i="36" s="1"/>
  <c r="T110" i="36" s="1"/>
  <c r="T118" i="36" s="1"/>
  <c r="T127" i="36" s="1"/>
  <c r="T133" i="36" s="1"/>
  <c r="T139" i="36" s="1"/>
  <c r="T147" i="36" s="1"/>
  <c r="T156" i="36" s="1"/>
  <c r="T165" i="36" s="1"/>
  <c r="T174" i="36" s="1"/>
  <c r="T183" i="36" s="1"/>
  <c r="T192" i="36" s="1"/>
  <c r="T201" i="36" s="1"/>
  <c r="T210" i="36" s="1"/>
  <c r="T219" i="36" s="1"/>
  <c r="T227" i="36" s="1"/>
  <c r="T235" i="36" s="1"/>
  <c r="J23" i="13"/>
  <c r="L12" i="63"/>
  <c r="K12" i="63"/>
  <c r="K45" i="63"/>
  <c r="J45" i="63"/>
  <c r="AJ84" i="71"/>
  <c r="AJ80" i="71"/>
  <c r="AJ88" i="71"/>
  <c r="P24" i="13"/>
  <c r="AG14" i="45"/>
  <c r="AJ74" i="71"/>
  <c r="AJ76" i="71"/>
  <c r="AJ77" i="71"/>
  <c r="W51" i="68"/>
  <c r="I51" i="68"/>
  <c r="Q51" i="68"/>
  <c r="Y51" i="68"/>
  <c r="R51" i="68"/>
  <c r="Z51" i="68"/>
  <c r="Y60" i="68"/>
  <c r="K51" i="68"/>
  <c r="S51" i="68"/>
  <c r="AA51" i="68"/>
  <c r="J60" i="68"/>
  <c r="R60" i="68"/>
  <c r="Z60" i="68"/>
  <c r="C51" i="68"/>
  <c r="L51" i="68"/>
  <c r="T51" i="68"/>
  <c r="AB51" i="68"/>
  <c r="K60" i="68"/>
  <c r="S60" i="68"/>
  <c r="AA60" i="68"/>
  <c r="C60" i="68"/>
  <c r="L60" i="68"/>
  <c r="T60" i="68"/>
  <c r="AB60" i="68"/>
  <c r="F51" i="68"/>
  <c r="N51" i="68"/>
  <c r="V51" i="68"/>
  <c r="AD51" i="68"/>
  <c r="E60" i="68"/>
  <c r="M60" i="68"/>
  <c r="U60" i="68"/>
  <c r="AC60" i="68"/>
  <c r="F60" i="68"/>
  <c r="N60" i="68"/>
  <c r="V60" i="68"/>
  <c r="AD60" i="68"/>
  <c r="H51" i="68"/>
  <c r="P51" i="68"/>
  <c r="X51" i="68"/>
  <c r="G60" i="68"/>
  <c r="O60" i="68"/>
  <c r="W60" i="68"/>
  <c r="AE60" i="68"/>
  <c r="P41" i="79"/>
  <c r="R41" i="79" s="1"/>
  <c r="N43" i="79"/>
  <c r="N48" i="79" s="1"/>
  <c r="N57" i="79" s="1"/>
  <c r="M246" i="79"/>
  <c r="M252" i="79" s="1"/>
  <c r="M258" i="79" s="1"/>
  <c r="M268" i="79" s="1"/>
  <c r="G242" i="79"/>
  <c r="G246" i="79" s="1"/>
  <c r="G252" i="79" s="1"/>
  <c r="G258" i="79" s="1"/>
  <c r="G268" i="79" s="1"/>
  <c r="G278" i="79" s="1"/>
  <c r="G288" i="79" s="1"/>
  <c r="G298" i="79" s="1"/>
  <c r="G308" i="79" s="1"/>
  <c r="G319" i="79" s="1"/>
  <c r="G330" i="79" s="1"/>
  <c r="G341" i="79" s="1"/>
  <c r="P17" i="79"/>
  <c r="D242" i="79"/>
  <c r="D246" i="79" s="1"/>
  <c r="D252" i="79" s="1"/>
  <c r="D258" i="79" s="1"/>
  <c r="D268" i="79" s="1"/>
  <c r="D278" i="79" s="1"/>
  <c r="D288" i="79" s="1"/>
  <c r="D298" i="79" s="1"/>
  <c r="D308" i="79" s="1"/>
  <c r="D319" i="79" s="1"/>
  <c r="D330" i="79" s="1"/>
  <c r="D341" i="79" s="1"/>
  <c r="O43" i="79"/>
  <c r="O48" i="79" s="1"/>
  <c r="O57" i="79" s="1"/>
  <c r="O61" i="79" s="1"/>
  <c r="O66" i="79" s="1"/>
  <c r="O75" i="79" s="1"/>
  <c r="O85" i="79" s="1"/>
  <c r="O95" i="79" s="1"/>
  <c r="O105" i="79" s="1"/>
  <c r="O116" i="79" s="1"/>
  <c r="O128" i="79" s="1"/>
  <c r="O140" i="79" s="1"/>
  <c r="O152" i="79" s="1"/>
  <c r="O164" i="79" s="1"/>
  <c r="O173" i="79" s="1"/>
  <c r="O182" i="79" s="1"/>
  <c r="O192" i="79" s="1"/>
  <c r="O202" i="79" s="1"/>
  <c r="O214" i="79" s="1"/>
  <c r="O219" i="79" s="1"/>
  <c r="O225" i="79" s="1"/>
  <c r="O231" i="79" s="1"/>
  <c r="O242" i="79" s="1"/>
  <c r="O246" i="79" s="1"/>
  <c r="O252" i="79" s="1"/>
  <c r="O258" i="79" s="1"/>
  <c r="O268" i="79" s="1"/>
  <c r="F242" i="79"/>
  <c r="F246" i="79" s="1"/>
  <c r="F252" i="79" s="1"/>
  <c r="F258" i="79" s="1"/>
  <c r="F268" i="79" s="1"/>
  <c r="F278" i="79" s="1"/>
  <c r="F288" i="79" s="1"/>
  <c r="F298" i="79" s="1"/>
  <c r="F308" i="79" s="1"/>
  <c r="F319" i="79" s="1"/>
  <c r="F330" i="79" s="1"/>
  <c r="F341" i="79" s="1"/>
  <c r="H24" i="55"/>
  <c r="P24" i="55"/>
  <c r="X24" i="55"/>
  <c r="X25" i="55" s="1"/>
  <c r="I24" i="55"/>
  <c r="Q24" i="55"/>
  <c r="Y24" i="55"/>
  <c r="Y25" i="55" s="1"/>
  <c r="E24" i="55"/>
  <c r="M24" i="55"/>
  <c r="U24" i="55"/>
  <c r="U25" i="55" s="1"/>
  <c r="AD42" i="33"/>
  <c r="AJ82" i="71"/>
  <c r="T240" i="36"/>
  <c r="AK44" i="33"/>
  <c r="AC42" i="33"/>
  <c r="T241" i="36"/>
  <c r="T266" i="36"/>
  <c r="AK18" i="30"/>
  <c r="AK37" i="33"/>
  <c r="AN112" i="46"/>
  <c r="AK10" i="30"/>
  <c r="AN37" i="46"/>
  <c r="AN56" i="46"/>
  <c r="AJ44" i="61"/>
  <c r="AH41" i="33"/>
  <c r="AJ25" i="65"/>
  <c r="AK41" i="33"/>
  <c r="AI22" i="67"/>
  <c r="AJ15" i="53"/>
  <c r="AJ17" i="53" s="1"/>
  <c r="AJ83" i="71"/>
  <c r="AJ39" i="61"/>
  <c r="AK31" i="33"/>
  <c r="AJ42" i="61"/>
  <c r="AJ50" i="61"/>
  <c r="AJ65" i="71"/>
  <c r="AK43" i="33"/>
  <c r="T238" i="36"/>
  <c r="AJ67" i="71"/>
  <c r="F101" i="80"/>
  <c r="AI13" i="67"/>
  <c r="AK8" i="29"/>
  <c r="AJ21" i="31"/>
  <c r="AJ20" i="31" s="1"/>
  <c r="AK28" i="32"/>
  <c r="AJ35" i="61"/>
  <c r="AK15" i="44"/>
  <c r="AJ75" i="71"/>
  <c r="AJ32" i="61"/>
  <c r="AK35" i="61"/>
  <c r="AJ71" i="71"/>
  <c r="M111" i="23"/>
  <c r="F148" i="38"/>
  <c r="AN15" i="46"/>
  <c r="AN72" i="46"/>
  <c r="AJ73" i="71"/>
  <c r="C104" i="80"/>
  <c r="C111" i="80" s="1"/>
  <c r="C118" i="80" s="1"/>
  <c r="C125" i="80" s="1"/>
  <c r="C132" i="80" s="1"/>
  <c r="C139" i="80" s="1"/>
  <c r="C146" i="80" s="1"/>
  <c r="CU21" i="34"/>
  <c r="CU27" i="34" s="1"/>
  <c r="D104" i="80"/>
  <c r="D111" i="80" s="1"/>
  <c r="D118" i="80" s="1"/>
  <c r="D125" i="80" s="1"/>
  <c r="D132" i="80" s="1"/>
  <c r="D139" i="80" s="1"/>
  <c r="D146" i="80" s="1"/>
  <c r="C23" i="13"/>
  <c r="E14" i="9"/>
  <c r="H8" i="12"/>
  <c r="F16" i="2"/>
  <c r="F19" i="2" s="1"/>
  <c r="F24" i="2" s="1"/>
  <c r="C12" i="12"/>
  <c r="C14" i="12" s="1"/>
  <c r="D11" i="10"/>
  <c r="AB35" i="10"/>
  <c r="AB36" i="10" s="1"/>
  <c r="V8" i="12"/>
  <c r="C40" i="10"/>
  <c r="C43" i="10" s="1"/>
  <c r="K40" i="10"/>
  <c r="K43" i="10" s="1"/>
  <c r="R12" i="10"/>
  <c r="R14" i="10" s="1"/>
  <c r="R16" i="10" s="1"/>
  <c r="R40" i="10" s="1"/>
  <c r="R43" i="10" s="1"/>
  <c r="I35" i="10"/>
  <c r="I36" i="10" s="1"/>
  <c r="AH12" i="10"/>
  <c r="AH14" i="10" s="1"/>
  <c r="AH16" i="10" s="1"/>
  <c r="AH35" i="10" s="1"/>
  <c r="E40" i="10"/>
  <c r="E43" i="10" s="1"/>
  <c r="M35" i="10"/>
  <c r="M36" i="10" s="1"/>
  <c r="AO12" i="10"/>
  <c r="AO14" i="10" s="1"/>
  <c r="AO16" i="10" s="1"/>
  <c r="AO35" i="10" s="1"/>
  <c r="F35" i="10"/>
  <c r="F36" i="10" s="1"/>
  <c r="N35" i="10"/>
  <c r="N36" i="10" s="1"/>
  <c r="N40" i="10"/>
  <c r="N43" i="10" s="1"/>
  <c r="AA7" i="12"/>
  <c r="AA8" i="12" s="1"/>
  <c r="AQ8" i="2"/>
  <c r="AP12" i="10"/>
  <c r="AI8" i="2"/>
  <c r="AI6" i="2" s="1"/>
  <c r="U40" i="10"/>
  <c r="U43" i="10" s="1"/>
  <c r="AC40" i="10"/>
  <c r="AK35" i="10"/>
  <c r="AK36" i="10" s="1"/>
  <c r="E10" i="1"/>
  <c r="W11" i="1"/>
  <c r="W10" i="12" s="1"/>
  <c r="W12" i="12" s="1"/>
  <c r="W14" i="12" s="1"/>
  <c r="D23" i="13"/>
  <c r="L23" i="13"/>
  <c r="AS6" i="2"/>
  <c r="K23" i="13"/>
  <c r="AN58" i="12"/>
  <c r="E23" i="13"/>
  <c r="M23" i="13"/>
  <c r="G23" i="13"/>
  <c r="F23" i="13"/>
  <c r="N23" i="13"/>
  <c r="H23" i="13"/>
  <c r="AC93" i="63"/>
  <c r="AB36" i="12"/>
  <c r="D8" i="12"/>
  <c r="R36" i="12"/>
  <c r="Z36" i="12"/>
  <c r="AH36" i="12"/>
  <c r="AP36" i="12"/>
  <c r="AJ36" i="12"/>
  <c r="O36" i="12"/>
  <c r="W36" i="12"/>
  <c r="AE36" i="12"/>
  <c r="AF87" i="63"/>
  <c r="AF12" i="63"/>
  <c r="S13" i="12"/>
  <c r="H86" i="76"/>
  <c r="AR9" i="12"/>
  <c r="E12" i="12"/>
  <c r="E14" i="12" s="1"/>
  <c r="M12" i="12"/>
  <c r="M14" i="12" s="1"/>
  <c r="L74" i="83"/>
  <c r="G134" i="83"/>
  <c r="F145" i="83"/>
  <c r="H145" i="83"/>
  <c r="P84" i="10"/>
  <c r="P32" i="12"/>
  <c r="P58" i="12" s="1"/>
  <c r="O13" i="12"/>
  <c r="L8" i="12"/>
  <c r="O145" i="83"/>
  <c r="AA41" i="12"/>
  <c r="AJ38" i="61"/>
  <c r="AJ79" i="71"/>
  <c r="D63" i="63"/>
  <c r="D6" i="63" s="1"/>
  <c r="D11" i="63" s="1"/>
  <c r="D14" i="63" s="1"/>
  <c r="H101" i="76"/>
  <c r="V36" i="12"/>
  <c r="AD36" i="12"/>
  <c r="AL36" i="12"/>
  <c r="I45" i="63"/>
  <c r="G45" i="63"/>
  <c r="K79" i="63"/>
  <c r="D53" i="9"/>
  <c r="L53" i="9"/>
  <c r="L79" i="63"/>
  <c r="J64" i="76"/>
  <c r="J63" i="76" s="1"/>
  <c r="H80" i="76"/>
  <c r="AK9" i="39"/>
  <c r="N14" i="67"/>
  <c r="N17" i="67" s="1"/>
  <c r="N20" i="67" s="1"/>
  <c r="C14" i="9"/>
  <c r="F53" i="9"/>
  <c r="J40" i="76"/>
  <c r="E45" i="76"/>
  <c r="E111" i="23"/>
  <c r="H96" i="76"/>
  <c r="AK13" i="29"/>
  <c r="AI24" i="30"/>
  <c r="AI25" i="30" s="1"/>
  <c r="AJ24" i="31"/>
  <c r="AJ28" i="31"/>
  <c r="AK49" i="61"/>
  <c r="AB48" i="61"/>
  <c r="AF21" i="34"/>
  <c r="AF27" i="34" s="1"/>
  <c r="E21" i="34"/>
  <c r="E27" i="34" s="1"/>
  <c r="AD33" i="45"/>
  <c r="V21" i="46"/>
  <c r="AN38" i="46"/>
  <c r="AN57" i="46"/>
  <c r="AN53" i="46"/>
  <c r="AJ66" i="71"/>
  <c r="AJ10" i="66"/>
  <c r="AN107" i="46"/>
  <c r="G20" i="60"/>
  <c r="C21" i="60"/>
  <c r="T22" i="44"/>
  <c r="T23" i="44" s="1"/>
  <c r="AK29" i="48"/>
  <c r="AJ22" i="65"/>
  <c r="D21" i="60"/>
  <c r="H57" i="76"/>
  <c r="F111" i="23"/>
  <c r="AK25" i="32"/>
  <c r="W24" i="32"/>
  <c r="W30" i="32" s="1"/>
  <c r="AK50" i="61"/>
  <c r="N21" i="34"/>
  <c r="N27" i="34" s="1"/>
  <c r="C148" i="38"/>
  <c r="AN9" i="46"/>
  <c r="AN76" i="46"/>
  <c r="M30" i="48"/>
  <c r="M57" i="49"/>
  <c r="N57" i="49"/>
  <c r="AJ78" i="71"/>
  <c r="G111" i="23"/>
  <c r="AK20" i="26"/>
  <c r="AK22" i="26" s="1"/>
  <c r="AK23" i="26" s="1"/>
  <c r="AK17" i="29"/>
  <c r="O18" i="29"/>
  <c r="AK29" i="32"/>
  <c r="D148" i="38"/>
  <c r="W22" i="44"/>
  <c r="W23" i="44" s="1"/>
  <c r="AF21" i="72"/>
  <c r="AJ64" i="71"/>
  <c r="AJ69" i="71"/>
  <c r="J45" i="76"/>
  <c r="H92" i="76"/>
  <c r="L111" i="23"/>
  <c r="R18" i="29"/>
  <c r="AJ43" i="61"/>
  <c r="AK38" i="33"/>
  <c r="T21" i="34"/>
  <c r="T27" i="34" s="1"/>
  <c r="E148" i="38"/>
  <c r="AJ22" i="44"/>
  <c r="AK29" i="45"/>
  <c r="AN77" i="46"/>
  <c r="AJ70" i="71"/>
  <c r="F13" i="80"/>
  <c r="F20" i="80" s="1"/>
  <c r="F27" i="80" s="1"/>
  <c r="F34" i="80" s="1"/>
  <c r="F41" i="80" s="1"/>
  <c r="F48" i="80" s="1"/>
  <c r="F55" i="80" s="1"/>
  <c r="F62" i="80" s="1"/>
  <c r="F69" i="80" s="1"/>
  <c r="F76" i="80" s="1"/>
  <c r="F83" i="80" s="1"/>
  <c r="F90" i="80" s="1"/>
  <c r="F97" i="80" s="1"/>
  <c r="N111" i="23"/>
  <c r="AK16" i="61"/>
  <c r="AJ19" i="61"/>
  <c r="AJ20" i="61" s="1"/>
  <c r="AF41" i="33"/>
  <c r="AJ42" i="33"/>
  <c r="I148" i="38"/>
  <c r="AK18" i="39"/>
  <c r="AK30" i="45"/>
  <c r="U36" i="12"/>
  <c r="AK36" i="12"/>
  <c r="C23" i="83"/>
  <c r="G12" i="12"/>
  <c r="G14" i="12" s="1"/>
  <c r="D23" i="83"/>
  <c r="E58" i="12"/>
  <c r="M58" i="12"/>
  <c r="U58" i="12"/>
  <c r="D58" i="12"/>
  <c r="I12" i="12"/>
  <c r="I14" i="12" s="1"/>
  <c r="P36" i="12"/>
  <c r="X36" i="12"/>
  <c r="AF36" i="12"/>
  <c r="AN36" i="12"/>
  <c r="AL58" i="12"/>
  <c r="K12" i="12"/>
  <c r="K14" i="12" s="1"/>
  <c r="AC36" i="12"/>
  <c r="C11" i="10"/>
  <c r="Q12" i="10"/>
  <c r="Q14" i="10" s="1"/>
  <c r="Q16" i="10" s="1"/>
  <c r="Q35" i="10" s="1"/>
  <c r="Q36" i="10" s="1"/>
  <c r="AI12" i="10"/>
  <c r="AI14" i="10" s="1"/>
  <c r="AI16" i="10" s="1"/>
  <c r="AC7" i="12"/>
  <c r="AC8" i="12" s="1"/>
  <c r="Z8" i="2"/>
  <c r="AH8" i="2"/>
  <c r="AH6" i="2" s="1"/>
  <c r="AP8" i="2"/>
  <c r="G58" i="12"/>
  <c r="O58" i="12"/>
  <c r="W58" i="12"/>
  <c r="E11" i="10"/>
  <c r="S12" i="10"/>
  <c r="S14" i="10" s="1"/>
  <c r="S16" i="10" s="1"/>
  <c r="C35" i="10"/>
  <c r="C36" i="10" s="1"/>
  <c r="AK7" i="12"/>
  <c r="AK8" i="12" s="1"/>
  <c r="Q36" i="12"/>
  <c r="Y36" i="12"/>
  <c r="AG36" i="12"/>
  <c r="K11" i="10"/>
  <c r="Y12" i="10"/>
  <c r="AQ12" i="10"/>
  <c r="E35" i="10"/>
  <c r="E36" i="10" s="1"/>
  <c r="AB58" i="12"/>
  <c r="C8" i="12"/>
  <c r="K8" i="12"/>
  <c r="AI8" i="12"/>
  <c r="L11" i="10"/>
  <c r="Z12" i="10"/>
  <c r="D12" i="12"/>
  <c r="D14" i="12" s="1"/>
  <c r="L12" i="12"/>
  <c r="L14" i="12" s="1"/>
  <c r="S36" i="12"/>
  <c r="AA36" i="12"/>
  <c r="AI36" i="12"/>
  <c r="M11" i="10"/>
  <c r="C58" i="12"/>
  <c r="K58" i="12"/>
  <c r="S58" i="12"/>
  <c r="E8" i="12"/>
  <c r="M8" i="12"/>
  <c r="AG12" i="10"/>
  <c r="AG14" i="10" s="1"/>
  <c r="AG16" i="10" s="1"/>
  <c r="U7" i="12"/>
  <c r="U8" i="12" s="1"/>
  <c r="F12" i="12"/>
  <c r="F14" i="12" s="1"/>
  <c r="N12" i="12"/>
  <c r="N14" i="12" s="1"/>
  <c r="L40" i="1"/>
  <c r="L43" i="1" s="1"/>
  <c r="L35" i="1"/>
  <c r="L36" i="1" s="1"/>
  <c r="I40" i="1"/>
  <c r="I43" i="1" s="1"/>
  <c r="I35" i="1"/>
  <c r="I36" i="1" s="1"/>
  <c r="AL40" i="1"/>
  <c r="AL43" i="1" s="1"/>
  <c r="AL35" i="1"/>
  <c r="R11" i="1"/>
  <c r="R13" i="1" s="1"/>
  <c r="R15" i="1" s="1"/>
  <c r="AP11" i="1"/>
  <c r="F6" i="12"/>
  <c r="D10" i="1"/>
  <c r="V11" i="1"/>
  <c r="V13" i="1" s="1"/>
  <c r="V15" i="1" s="1"/>
  <c r="V40" i="1" s="1"/>
  <c r="V43" i="1" s="1"/>
  <c r="AQ11" i="1"/>
  <c r="AD6" i="12"/>
  <c r="AD8" i="12" s="1"/>
  <c r="AR43" i="12"/>
  <c r="AL6" i="12"/>
  <c r="AL8" i="12" s="1"/>
  <c r="AO36" i="12"/>
  <c r="Z11" i="1"/>
  <c r="Z13" i="1" s="1"/>
  <c r="Z15" i="1" s="1"/>
  <c r="M10" i="1"/>
  <c r="AH11" i="1"/>
  <c r="AH13" i="1" s="1"/>
  <c r="AH15" i="1" s="1"/>
  <c r="AR11" i="12"/>
  <c r="J12" i="12"/>
  <c r="J14" i="12" s="1"/>
  <c r="AO58" i="12"/>
  <c r="N10" i="1"/>
  <c r="AI11" i="1"/>
  <c r="AJ11" i="1"/>
  <c r="AR58" i="12"/>
  <c r="H12" i="12"/>
  <c r="H14" i="12" s="1"/>
  <c r="AK58" i="12"/>
  <c r="L58" i="12"/>
  <c r="T58" i="12"/>
  <c r="K53" i="9"/>
  <c r="G16" i="2"/>
  <c r="G19" i="2" s="1"/>
  <c r="G24" i="2" s="1"/>
  <c r="S52" i="9"/>
  <c r="AA52" i="9"/>
  <c r="AI52" i="9"/>
  <c r="AQ52" i="9"/>
  <c r="AE63" i="63"/>
  <c r="AE92" i="63" s="1"/>
  <c r="G53" i="9"/>
  <c r="AL30" i="2"/>
  <c r="AC6" i="2"/>
  <c r="E63" i="63"/>
  <c r="E6" i="63" s="1"/>
  <c r="E11" i="63" s="1"/>
  <c r="E14" i="63" s="1"/>
  <c r="I53" i="9"/>
  <c r="AY94" i="77"/>
  <c r="AV103" i="77"/>
  <c r="T242" i="36"/>
  <c r="M43" i="42"/>
  <c r="AK16" i="29"/>
  <c r="AJ25" i="31"/>
  <c r="AG32" i="68"/>
  <c r="AJ13" i="24"/>
  <c r="AK14" i="33"/>
  <c r="AK18" i="33" s="1"/>
  <c r="AG14" i="33"/>
  <c r="AG18" i="33" s="1"/>
  <c r="T239" i="36"/>
  <c r="AK31" i="39"/>
  <c r="AK40" i="39"/>
  <c r="AK12" i="44"/>
  <c r="AK13" i="45"/>
  <c r="AJ68" i="71"/>
  <c r="N102" i="80"/>
  <c r="R12" i="81"/>
  <c r="S12" i="81" s="1"/>
  <c r="T12" i="81" s="1"/>
  <c r="U12" i="81" s="1"/>
  <c r="AF14" i="33"/>
  <c r="AF18" i="33" s="1"/>
  <c r="AK34" i="33"/>
  <c r="AI17" i="67"/>
  <c r="AI20" i="67" s="1"/>
  <c r="AK28" i="33"/>
  <c r="T262" i="36"/>
  <c r="AK27" i="39"/>
  <c r="DB21" i="34"/>
  <c r="DB27" i="34" s="1"/>
  <c r="AN39" i="46"/>
  <c r="AH14" i="33"/>
  <c r="AH18" i="33" s="1"/>
  <c r="T237" i="36"/>
  <c r="AK24" i="48"/>
  <c r="F102" i="80"/>
  <c r="AJ12" i="31"/>
  <c r="AJ11" i="31" s="1"/>
  <c r="T263" i="36"/>
  <c r="AJ13" i="55"/>
  <c r="AB14" i="63"/>
  <c r="AD13" i="1"/>
  <c r="AD15" i="1" s="1"/>
  <c r="T35" i="10"/>
  <c r="T36" i="10" s="1"/>
  <c r="T40" i="10"/>
  <c r="T43" i="10" s="1"/>
  <c r="C16" i="2"/>
  <c r="C19" i="2" s="1"/>
  <c r="C24" i="2" s="1"/>
  <c r="AJ35" i="10"/>
  <c r="AJ40" i="10"/>
  <c r="AR7" i="9"/>
  <c r="AR12" i="9"/>
  <c r="D16" i="2"/>
  <c r="D19" i="2" s="1"/>
  <c r="D24" i="2" s="1"/>
  <c r="C40" i="1"/>
  <c r="C43" i="1" s="1"/>
  <c r="C35" i="1"/>
  <c r="C36" i="1" s="1"/>
  <c r="Q147" i="83"/>
  <c r="M145" i="83"/>
  <c r="E16" i="2"/>
  <c r="E19" i="2" s="1"/>
  <c r="E24" i="2" s="1"/>
  <c r="D40" i="1"/>
  <c r="D43" i="1" s="1"/>
  <c r="D35" i="1"/>
  <c r="D36" i="1" s="1"/>
  <c r="D35" i="10"/>
  <c r="D36" i="10" s="1"/>
  <c r="D40" i="10"/>
  <c r="D43" i="10" s="1"/>
  <c r="E40" i="1"/>
  <c r="E43" i="1" s="1"/>
  <c r="E35" i="1"/>
  <c r="E36" i="1" s="1"/>
  <c r="M40" i="1"/>
  <c r="M43" i="1" s="1"/>
  <c r="M35" i="1"/>
  <c r="M36" i="1" s="1"/>
  <c r="O40" i="10"/>
  <c r="O43" i="10" s="1"/>
  <c r="O35" i="10"/>
  <c r="O36" i="10" s="1"/>
  <c r="AR49" i="9"/>
  <c r="F40" i="1"/>
  <c r="F43" i="1" s="1"/>
  <c r="F35" i="1"/>
  <c r="F36" i="1" s="1"/>
  <c r="N35" i="1"/>
  <c r="N36" i="1" s="1"/>
  <c r="N40" i="1"/>
  <c r="N43" i="1" s="1"/>
  <c r="J8" i="9"/>
  <c r="J6" i="9"/>
  <c r="R8" i="9"/>
  <c r="R6" i="9"/>
  <c r="AA8" i="9"/>
  <c r="AA6" i="9"/>
  <c r="AI8" i="9"/>
  <c r="AI6" i="9"/>
  <c r="AQ8" i="9"/>
  <c r="AQ6" i="9"/>
  <c r="AD12" i="9"/>
  <c r="AP14" i="9"/>
  <c r="Y42" i="3"/>
  <c r="Q6" i="9" s="1"/>
  <c r="C33" i="26"/>
  <c r="J17" i="9"/>
  <c r="R17" i="9"/>
  <c r="AA17" i="9"/>
  <c r="AI17" i="9"/>
  <c r="AQ17" i="9"/>
  <c r="P90" i="3"/>
  <c r="X90" i="3"/>
  <c r="AG90" i="3"/>
  <c r="AO90" i="3"/>
  <c r="AW90" i="3"/>
  <c r="AN7" i="2"/>
  <c r="L10" i="1"/>
  <c r="S11" i="1"/>
  <c r="AO11" i="1"/>
  <c r="AR38" i="12"/>
  <c r="AR36" i="12" s="1"/>
  <c r="AC21" i="12"/>
  <c r="AC58" i="12" s="1"/>
  <c r="AC84" i="10"/>
  <c r="AB40" i="10"/>
  <c r="AB43" i="10" s="1"/>
  <c r="AR40" i="12"/>
  <c r="H58" i="12"/>
  <c r="AA58" i="12"/>
  <c r="C6" i="9"/>
  <c r="C8" i="9"/>
  <c r="K6" i="9"/>
  <c r="K8" i="9"/>
  <c r="S6" i="9"/>
  <c r="S8" i="9"/>
  <c r="AB6" i="9"/>
  <c r="AB8" i="9"/>
  <c r="AJ6" i="9"/>
  <c r="AJ8" i="9"/>
  <c r="AI12" i="9"/>
  <c r="AQ14" i="9"/>
  <c r="D33" i="26"/>
  <c r="K17" i="9"/>
  <c r="S17" i="9"/>
  <c r="AB17" i="9"/>
  <c r="AJ17" i="9"/>
  <c r="Q90" i="3"/>
  <c r="AH90" i="3"/>
  <c r="AP90" i="3"/>
  <c r="AX90" i="3"/>
  <c r="AD7" i="2"/>
  <c r="AO7" i="2"/>
  <c r="C10" i="1"/>
  <c r="T11" i="1"/>
  <c r="AE11" i="1"/>
  <c r="G40" i="10"/>
  <c r="G43" i="10" s="1"/>
  <c r="G35" i="10"/>
  <c r="G36" i="10" s="1"/>
  <c r="I58" i="12"/>
  <c r="Q58" i="12"/>
  <c r="V63" i="63"/>
  <c r="V6" i="63" s="1"/>
  <c r="V11" i="63" s="1"/>
  <c r="V14" i="63" s="1"/>
  <c r="D6" i="9"/>
  <c r="D8" i="9"/>
  <c r="L6" i="9"/>
  <c r="L8" i="9"/>
  <c r="T6" i="9"/>
  <c r="T8" i="9"/>
  <c r="AC6" i="9"/>
  <c r="AC8" i="9"/>
  <c r="AK6" i="9"/>
  <c r="AK8" i="9"/>
  <c r="AJ12" i="9"/>
  <c r="D17" i="9"/>
  <c r="E33" i="26"/>
  <c r="L17" i="9"/>
  <c r="T17" i="9"/>
  <c r="AC17" i="9"/>
  <c r="AK17" i="9"/>
  <c r="G6" i="12"/>
  <c r="G8" i="12" s="1"/>
  <c r="G10" i="1"/>
  <c r="AG11" i="1"/>
  <c r="AA14" i="10"/>
  <c r="AA16" i="10" s="1"/>
  <c r="U35" i="10"/>
  <c r="U36" i="10" s="1"/>
  <c r="J58" i="12"/>
  <c r="C63" i="63"/>
  <c r="AF13" i="63"/>
  <c r="E6" i="9"/>
  <c r="E8" i="9"/>
  <c r="M6" i="9"/>
  <c r="M8" i="9"/>
  <c r="U6" i="9"/>
  <c r="U8" i="9"/>
  <c r="AD6" i="9"/>
  <c r="AD8" i="9"/>
  <c r="AL6" i="9"/>
  <c r="AL8" i="9"/>
  <c r="AR13" i="9"/>
  <c r="AF94" i="63"/>
  <c r="AG93" i="63" s="1"/>
  <c r="AK12" i="9"/>
  <c r="E17" i="9"/>
  <c r="F33" i="26"/>
  <c r="M17" i="9"/>
  <c r="U17" i="9"/>
  <c r="AD17" i="9"/>
  <c r="AL17" i="9"/>
  <c r="P6" i="12"/>
  <c r="P11" i="1"/>
  <c r="X6" i="12"/>
  <c r="X11" i="1"/>
  <c r="AF6" i="12"/>
  <c r="AF11" i="1"/>
  <c r="AN6" i="12"/>
  <c r="AN11" i="1"/>
  <c r="F7" i="12"/>
  <c r="F11" i="10"/>
  <c r="F9" i="12" s="1"/>
  <c r="N7" i="12"/>
  <c r="N8" i="12" s="1"/>
  <c r="N11" i="10"/>
  <c r="AD12" i="10"/>
  <c r="AD14" i="10" s="1"/>
  <c r="AD16" i="10" s="1"/>
  <c r="AE40" i="10"/>
  <c r="AE35" i="10"/>
  <c r="AE36" i="10" s="1"/>
  <c r="AI29" i="67"/>
  <c r="G148" i="83"/>
  <c r="F6" i="9"/>
  <c r="F8" i="9"/>
  <c r="N6" i="9"/>
  <c r="N8" i="9"/>
  <c r="V6" i="9"/>
  <c r="V8" i="9"/>
  <c r="AM6" i="9"/>
  <c r="AM8" i="9"/>
  <c r="L39" i="3"/>
  <c r="T39" i="3"/>
  <c r="AB39" i="3"/>
  <c r="AL12" i="9"/>
  <c r="F17" i="9"/>
  <c r="G33" i="26"/>
  <c r="N17" i="9"/>
  <c r="V17" i="9"/>
  <c r="AM17" i="9"/>
  <c r="L90" i="3"/>
  <c r="T90" i="3"/>
  <c r="AB90" i="3"/>
  <c r="AK90" i="3"/>
  <c r="AS90" i="3"/>
  <c r="Y11" i="1"/>
  <c r="G40" i="1"/>
  <c r="G43" i="1" s="1"/>
  <c r="G35" i="1"/>
  <c r="G36" i="1" s="1"/>
  <c r="H40" i="1"/>
  <c r="H43" i="1" s="1"/>
  <c r="H35" i="1"/>
  <c r="H36" i="1" s="1"/>
  <c r="W14" i="10"/>
  <c r="W16" i="10" s="1"/>
  <c r="AI9" i="67"/>
  <c r="P24" i="79"/>
  <c r="R24" i="79" s="1"/>
  <c r="C34" i="79"/>
  <c r="G8" i="9"/>
  <c r="G6" i="9"/>
  <c r="O8" i="9"/>
  <c r="O6" i="9"/>
  <c r="W8" i="9"/>
  <c r="W6" i="9"/>
  <c r="AF8" i="9"/>
  <c r="AF6" i="9"/>
  <c r="AN8" i="9"/>
  <c r="AN6" i="9"/>
  <c r="M39" i="3"/>
  <c r="U39" i="3"/>
  <c r="AC39" i="3"/>
  <c r="AK39" i="3"/>
  <c r="AS39" i="3"/>
  <c r="AA12" i="9"/>
  <c r="AR18" i="9"/>
  <c r="G17" i="9"/>
  <c r="H33" i="26"/>
  <c r="W17" i="9"/>
  <c r="AF17" i="9"/>
  <c r="AN17" i="9"/>
  <c r="M90" i="3"/>
  <c r="U90" i="3"/>
  <c r="AC90" i="3"/>
  <c r="AL90" i="3"/>
  <c r="AT90" i="3"/>
  <c r="H10" i="1"/>
  <c r="O11" i="1"/>
  <c r="P12" i="10"/>
  <c r="P14" i="10" s="1"/>
  <c r="P16" i="10" s="1"/>
  <c r="P7" i="12"/>
  <c r="X12" i="10"/>
  <c r="X7" i="12"/>
  <c r="AF12" i="10"/>
  <c r="AF14" i="10" s="1"/>
  <c r="AF16" i="10" s="1"/>
  <c r="AF7" i="12"/>
  <c r="AN12" i="10"/>
  <c r="AN14" i="10" s="1"/>
  <c r="AN16" i="10" s="1"/>
  <c r="AN7" i="12"/>
  <c r="J35" i="10"/>
  <c r="J36" i="10" s="1"/>
  <c r="J40" i="10"/>
  <c r="J43" i="10" s="1"/>
  <c r="AC35" i="10"/>
  <c r="AF54" i="63"/>
  <c r="H8" i="9"/>
  <c r="H6" i="9"/>
  <c r="P8" i="9"/>
  <c r="P6" i="9"/>
  <c r="Y8" i="9"/>
  <c r="Y6" i="9"/>
  <c r="AG8" i="9"/>
  <c r="AG6" i="9"/>
  <c r="AO8" i="9"/>
  <c r="AO6" i="9"/>
  <c r="N39" i="3"/>
  <c r="V39" i="3"/>
  <c r="AD39" i="3"/>
  <c r="AL39" i="3"/>
  <c r="AT39" i="3"/>
  <c r="AB12" i="9"/>
  <c r="AN12" i="9"/>
  <c r="H17" i="9"/>
  <c r="I33" i="26"/>
  <c r="P17" i="9"/>
  <c r="Y17" i="9"/>
  <c r="AG17" i="9"/>
  <c r="AO17" i="9"/>
  <c r="N90" i="3"/>
  <c r="V90" i="3"/>
  <c r="AD90" i="3"/>
  <c r="AU90" i="3"/>
  <c r="S8" i="12"/>
  <c r="I10" i="1"/>
  <c r="Q11" i="1"/>
  <c r="AA11" i="1"/>
  <c r="K40" i="1"/>
  <c r="K43" i="1" s="1"/>
  <c r="K35" i="1"/>
  <c r="K36" i="1" s="1"/>
  <c r="H11" i="10"/>
  <c r="AR13" i="12"/>
  <c r="K35" i="10"/>
  <c r="K36" i="10" s="1"/>
  <c r="AD58" i="12"/>
  <c r="F58" i="12"/>
  <c r="N58" i="12"/>
  <c r="V58" i="12"/>
  <c r="I8" i="9"/>
  <c r="I6" i="9"/>
  <c r="Z8" i="9"/>
  <c r="Z6" i="9"/>
  <c r="AH8" i="9"/>
  <c r="AH6" i="9"/>
  <c r="AP8" i="9"/>
  <c r="AP6" i="9"/>
  <c r="O39" i="3"/>
  <c r="W39" i="3"/>
  <c r="AE39" i="3"/>
  <c r="AU39" i="3"/>
  <c r="AC12" i="9"/>
  <c r="AO12" i="9"/>
  <c r="I17" i="9"/>
  <c r="J33" i="26"/>
  <c r="Q17" i="9"/>
  <c r="Z17" i="9"/>
  <c r="AH17" i="9"/>
  <c r="AP17" i="9"/>
  <c r="O90" i="3"/>
  <c r="W90" i="3"/>
  <c r="AE90" i="3"/>
  <c r="AN90" i="3"/>
  <c r="AV90" i="3"/>
  <c r="K10" i="1"/>
  <c r="AB11" i="1"/>
  <c r="J40" i="1"/>
  <c r="J43" i="1" s="1"/>
  <c r="J35" i="1"/>
  <c r="J36" i="1" s="1"/>
  <c r="V12" i="10"/>
  <c r="V14" i="10" s="1"/>
  <c r="V16" i="10" s="1"/>
  <c r="AL12" i="10"/>
  <c r="AL14" i="10" s="1"/>
  <c r="AL16" i="10" s="1"/>
  <c r="U63" i="63"/>
  <c r="U6" i="63" s="1"/>
  <c r="U11" i="63" s="1"/>
  <c r="U14" i="63" s="1"/>
  <c r="AI33" i="67"/>
  <c r="U11" i="1"/>
  <c r="AC11" i="1"/>
  <c r="AK11" i="1"/>
  <c r="G11" i="10"/>
  <c r="J6" i="12"/>
  <c r="J8" i="12" s="1"/>
  <c r="O7" i="12"/>
  <c r="O8" i="12" s="1"/>
  <c r="W7" i="12"/>
  <c r="W8" i="12" s="1"/>
  <c r="AE7" i="12"/>
  <c r="AE8" i="12" s="1"/>
  <c r="R12" i="63"/>
  <c r="P93" i="63"/>
  <c r="R6" i="79"/>
  <c r="R17" i="79" s="1"/>
  <c r="O17" i="9"/>
  <c r="I11" i="10"/>
  <c r="X28" i="12"/>
  <c r="X58" i="12" s="1"/>
  <c r="J11" i="10"/>
  <c r="J9" i="12" s="1"/>
  <c r="AA93" i="63"/>
  <c r="T7" i="12"/>
  <c r="T8" i="12" s="1"/>
  <c r="AB7" i="12"/>
  <c r="AB8" i="12" s="1"/>
  <c r="AJ7" i="12"/>
  <c r="AJ8" i="12" s="1"/>
  <c r="AR7" i="12"/>
  <c r="Q12" i="63"/>
  <c r="M14" i="9"/>
  <c r="U14" i="9"/>
  <c r="U52" i="9"/>
  <c r="AC52" i="9"/>
  <c r="AK52" i="9"/>
  <c r="F14" i="9"/>
  <c r="N14" i="9"/>
  <c r="V14" i="9"/>
  <c r="V52" i="9"/>
  <c r="AD52" i="9"/>
  <c r="AL52" i="9"/>
  <c r="BA167" i="73"/>
  <c r="AZ171" i="73"/>
  <c r="AZ321" i="73" s="1"/>
  <c r="G14" i="9"/>
  <c r="O14" i="9"/>
  <c r="W14" i="9"/>
  <c r="AE14" i="9"/>
  <c r="M53" i="9"/>
  <c r="H14" i="9"/>
  <c r="P14" i="9"/>
  <c r="X14" i="9"/>
  <c r="AF14" i="9"/>
  <c r="J53" i="9"/>
  <c r="O53" i="9"/>
  <c r="X52" i="9"/>
  <c r="AF52" i="9"/>
  <c r="AN52" i="9"/>
  <c r="I14" i="9"/>
  <c r="Q14" i="9"/>
  <c r="Y14" i="9"/>
  <c r="AG14" i="9"/>
  <c r="C53" i="9"/>
  <c r="J14" i="9"/>
  <c r="R14" i="9"/>
  <c r="Z14" i="9"/>
  <c r="AH14" i="9"/>
  <c r="R52" i="9"/>
  <c r="Z52" i="9"/>
  <c r="AP52" i="9"/>
  <c r="K14" i="9"/>
  <c r="S14" i="9"/>
  <c r="L14" i="9"/>
  <c r="T14" i="9"/>
  <c r="E53" i="9"/>
  <c r="T52" i="9"/>
  <c r="AB52" i="9"/>
  <c r="AJ52" i="9"/>
  <c r="AY171" i="73"/>
  <c r="AY321" i="73" s="1"/>
  <c r="AY105" i="77"/>
  <c r="AV105" i="77"/>
  <c r="AW90" i="77"/>
  <c r="AV94" i="77"/>
  <c r="AX97" i="77"/>
  <c r="AX93" i="77"/>
  <c r="AY107" i="77"/>
  <c r="E22" i="26"/>
  <c r="E23" i="26" s="1"/>
  <c r="M22" i="26"/>
  <c r="M23" i="26" s="1"/>
  <c r="U22" i="26"/>
  <c r="U23" i="26" s="1"/>
  <c r="AC22" i="26"/>
  <c r="AC23" i="26" s="1"/>
  <c r="D12" i="26"/>
  <c r="D13" i="26" s="1"/>
  <c r="L12" i="26"/>
  <c r="L13" i="26" s="1"/>
  <c r="T12" i="26"/>
  <c r="T13" i="26" s="1"/>
  <c r="AB12" i="26"/>
  <c r="AB13" i="26" s="1"/>
  <c r="AJ12" i="26"/>
  <c r="AJ13" i="26" s="1"/>
  <c r="G23" i="26"/>
  <c r="AE23" i="26"/>
  <c r="C11" i="30"/>
  <c r="C12" i="30"/>
  <c r="K12" i="30"/>
  <c r="S12" i="30"/>
  <c r="AK10" i="26"/>
  <c r="D12" i="30"/>
  <c r="D11" i="30"/>
  <c r="L12" i="30"/>
  <c r="T12" i="30"/>
  <c r="E12" i="30"/>
  <c r="E11" i="30"/>
  <c r="M12" i="30"/>
  <c r="U12" i="30"/>
  <c r="G12" i="26"/>
  <c r="G13" i="26" s="1"/>
  <c r="O12" i="26"/>
  <c r="O13" i="26" s="1"/>
  <c r="W12" i="26"/>
  <c r="W13" i="26" s="1"/>
  <c r="AE12" i="26"/>
  <c r="AE13" i="26" s="1"/>
  <c r="J22" i="26"/>
  <c r="J23" i="26" s="1"/>
  <c r="R22" i="26"/>
  <c r="R23" i="26" s="1"/>
  <c r="Z22" i="26"/>
  <c r="Z23" i="26" s="1"/>
  <c r="AH22" i="26"/>
  <c r="AH23" i="26" s="1"/>
  <c r="G12" i="30"/>
  <c r="G11" i="30"/>
  <c r="O12" i="30"/>
  <c r="Q13" i="26"/>
  <c r="Y13" i="26"/>
  <c r="AG13" i="26"/>
  <c r="H12" i="30"/>
  <c r="H11" i="30"/>
  <c r="P12" i="30"/>
  <c r="H12" i="26"/>
  <c r="H13" i="26" s="1"/>
  <c r="P12" i="26"/>
  <c r="P13" i="26" s="1"/>
  <c r="X12" i="26"/>
  <c r="X13" i="26" s="1"/>
  <c r="AF12" i="26"/>
  <c r="AF13" i="26" s="1"/>
  <c r="F22" i="26"/>
  <c r="F23" i="26" s="1"/>
  <c r="N22" i="26"/>
  <c r="N23" i="26" s="1"/>
  <c r="V22" i="26"/>
  <c r="V23" i="26" s="1"/>
  <c r="AD22" i="26"/>
  <c r="AD23" i="26" s="1"/>
  <c r="G13" i="31"/>
  <c r="I30" i="31"/>
  <c r="I29" i="31" s="1"/>
  <c r="R30" i="31"/>
  <c r="R29" i="31" s="1"/>
  <c r="Z30" i="31"/>
  <c r="Z29" i="31" s="1"/>
  <c r="AH30" i="31"/>
  <c r="AH29" i="31" s="1"/>
  <c r="AK22" i="30"/>
  <c r="F11" i="30"/>
  <c r="C13" i="31"/>
  <c r="AI15" i="32"/>
  <c r="AI21" i="32" s="1"/>
  <c r="AJ15" i="32" s="1"/>
  <c r="AJ21" i="32" s="1"/>
  <c r="AK15" i="32" s="1"/>
  <c r="AK21" i="32" s="1"/>
  <c r="C19" i="61"/>
  <c r="C20" i="61" s="1"/>
  <c r="C49" i="61"/>
  <c r="C51" i="61" s="1"/>
  <c r="I11" i="30"/>
  <c r="D13" i="31"/>
  <c r="W13" i="32"/>
  <c r="X6" i="32"/>
  <c r="F13" i="31"/>
  <c r="R12" i="32"/>
  <c r="R24" i="32"/>
  <c r="R30" i="32" s="1"/>
  <c r="F49" i="61"/>
  <c r="F51" i="61" s="1"/>
  <c r="F19" i="61"/>
  <c r="F20" i="61" s="1"/>
  <c r="AK19" i="61"/>
  <c r="AK20" i="61" s="1"/>
  <c r="AK32" i="61"/>
  <c r="X45" i="33"/>
  <c r="Q21" i="34"/>
  <c r="Q27" i="34" s="1"/>
  <c r="AB27" i="34"/>
  <c r="AL27" i="34"/>
  <c r="AT27" i="34"/>
  <c r="BB27" i="34"/>
  <c r="BK27" i="34"/>
  <c r="CA27" i="34"/>
  <c r="CI27" i="34"/>
  <c r="S156" i="36"/>
  <c r="S165" i="36" s="1"/>
  <c r="S174" i="36" s="1"/>
  <c r="S183" i="36" s="1"/>
  <c r="S192" i="36" s="1"/>
  <c r="S201" i="36" s="1"/>
  <c r="S210" i="36" s="1"/>
  <c r="S219" i="36" s="1"/>
  <c r="S227" i="36" s="1"/>
  <c r="S235" i="36" s="1"/>
  <c r="S243" i="36" s="1"/>
  <c r="S251" i="36" s="1"/>
  <c r="AJ49" i="61"/>
  <c r="AG41" i="33"/>
  <c r="BM21" i="34"/>
  <c r="AE27" i="34"/>
  <c r="AK17" i="33"/>
  <c r="C27" i="34"/>
  <c r="M27" i="34"/>
  <c r="V27" i="34"/>
  <c r="AJ16" i="61"/>
  <c r="AE42" i="33"/>
  <c r="DA21" i="34"/>
  <c r="D27" i="34"/>
  <c r="O27" i="34"/>
  <c r="K156" i="36"/>
  <c r="K165" i="36" s="1"/>
  <c r="L12" i="32"/>
  <c r="AF42" i="33"/>
  <c r="AI21" i="34"/>
  <c r="AI27" i="34" s="1"/>
  <c r="F27" i="34"/>
  <c r="BH27" i="34"/>
  <c r="BX27" i="34"/>
  <c r="CF27" i="34"/>
  <c r="CY27" i="34"/>
  <c r="P259" i="36"/>
  <c r="P267" i="36" s="1"/>
  <c r="P277" i="36" s="1"/>
  <c r="P287" i="36" s="1"/>
  <c r="P297" i="36" s="1"/>
  <c r="P307" i="36" s="1"/>
  <c r="P317" i="36" s="1"/>
  <c r="P327" i="36" s="1"/>
  <c r="P337" i="36" s="1"/>
  <c r="AG42" i="33"/>
  <c r="G27" i="34"/>
  <c r="CG27" i="34"/>
  <c r="CO27" i="34"/>
  <c r="Q259" i="36"/>
  <c r="Q267" i="36" s="1"/>
  <c r="Q277" i="36" s="1"/>
  <c r="Q287" i="36" s="1"/>
  <c r="Q297" i="36" s="1"/>
  <c r="Q307" i="36" s="1"/>
  <c r="Q317" i="36" s="1"/>
  <c r="Q327" i="36" s="1"/>
  <c r="Q337" i="36" s="1"/>
  <c r="AH42" i="33"/>
  <c r="W45" i="33"/>
  <c r="BG21" i="34"/>
  <c r="AK27" i="34"/>
  <c r="AS27" i="34"/>
  <c r="BA27" i="34"/>
  <c r="BR27" i="34"/>
  <c r="BZ27" i="34"/>
  <c r="CP27" i="34"/>
  <c r="R156" i="36"/>
  <c r="R165" i="36" s="1"/>
  <c r="R174" i="36" s="1"/>
  <c r="R183" i="36" s="1"/>
  <c r="R192" i="36" s="1"/>
  <c r="R201" i="36" s="1"/>
  <c r="R210" i="36" s="1"/>
  <c r="R219" i="36" s="1"/>
  <c r="R227" i="36" s="1"/>
  <c r="R235" i="36" s="1"/>
  <c r="R243" i="36" s="1"/>
  <c r="R251" i="36" s="1"/>
  <c r="T261" i="36"/>
  <c r="CV21" i="34"/>
  <c r="CV27" i="34" s="1"/>
  <c r="E34" i="34"/>
  <c r="F34" i="34"/>
  <c r="CW15" i="34"/>
  <c r="CW21" i="34" s="1"/>
  <c r="CW27" i="34" s="1"/>
  <c r="AI22" i="44"/>
  <c r="AI18" i="44"/>
  <c r="C18" i="44"/>
  <c r="K18" i="44"/>
  <c r="S18" i="44"/>
  <c r="AA18" i="44"/>
  <c r="C22" i="44"/>
  <c r="K22" i="44"/>
  <c r="K23" i="44" s="1"/>
  <c r="S22" i="44"/>
  <c r="S23" i="44" s="1"/>
  <c r="AA22" i="44"/>
  <c r="E22" i="44"/>
  <c r="M22" i="44"/>
  <c r="M23" i="44" s="1"/>
  <c r="U22" i="44"/>
  <c r="U23" i="44" s="1"/>
  <c r="AC22" i="44"/>
  <c r="AC23" i="44" s="1"/>
  <c r="AC25" i="44"/>
  <c r="AC32" i="44" s="1"/>
  <c r="AC38" i="44" s="1"/>
  <c r="F18" i="44"/>
  <c r="N18" i="44"/>
  <c r="V18" i="44"/>
  <c r="AD18" i="44"/>
  <c r="AH22" i="44"/>
  <c r="T33" i="45"/>
  <c r="AH33" i="45"/>
  <c r="D33" i="45"/>
  <c r="L33" i="45"/>
  <c r="F33" i="45"/>
  <c r="N33" i="45"/>
  <c r="AC33" i="45"/>
  <c r="J33" i="45"/>
  <c r="AG33" i="45"/>
  <c r="AK26" i="45"/>
  <c r="AN47" i="46"/>
  <c r="O78" i="46"/>
  <c r="W78" i="46"/>
  <c r="AE78" i="46"/>
  <c r="AN58" i="46"/>
  <c r="AN66" i="46"/>
  <c r="AN28" i="46"/>
  <c r="AN110" i="46"/>
  <c r="S104" i="46"/>
  <c r="T94" i="46"/>
  <c r="T103" i="46" s="1"/>
  <c r="S91" i="46"/>
  <c r="S111" i="46"/>
  <c r="AN34" i="46"/>
  <c r="T78" i="46"/>
  <c r="AB78" i="46"/>
  <c r="AJ78" i="46"/>
  <c r="H30" i="48"/>
  <c r="P30" i="48"/>
  <c r="X30" i="48"/>
  <c r="AF30" i="48"/>
  <c r="D57" i="49"/>
  <c r="L57" i="49"/>
  <c r="U57" i="49"/>
  <c r="I51" i="52"/>
  <c r="Q51" i="52"/>
  <c r="Y51" i="52"/>
  <c r="AG51" i="52"/>
  <c r="W57" i="49"/>
  <c r="J51" i="52"/>
  <c r="R51" i="52"/>
  <c r="Z51" i="52"/>
  <c r="AH51" i="52"/>
  <c r="D51" i="52"/>
  <c r="L51" i="52"/>
  <c r="AB51" i="52"/>
  <c r="R57" i="49"/>
  <c r="AB57" i="49"/>
  <c r="J57" i="49"/>
  <c r="S57" i="49"/>
  <c r="AC57" i="49"/>
  <c r="C57" i="49"/>
  <c r="K57" i="49"/>
  <c r="T57" i="49"/>
  <c r="H51" i="52"/>
  <c r="P51" i="52"/>
  <c r="AF22" i="53"/>
  <c r="AF24" i="53" s="1"/>
  <c r="AJ86" i="71"/>
  <c r="AJ72" i="71"/>
  <c r="AJ61" i="71"/>
  <c r="AJ8" i="53"/>
  <c r="AJ10" i="53" s="1"/>
  <c r="AJ11" i="53" s="1"/>
  <c r="AJ20" i="53"/>
  <c r="AJ22" i="53" s="1"/>
  <c r="AJ24" i="53" s="1"/>
  <c r="J22" i="53"/>
  <c r="J24" i="53" s="1"/>
  <c r="R22" i="53"/>
  <c r="R24" i="53" s="1"/>
  <c r="AB22" i="53"/>
  <c r="AB24" i="53" s="1"/>
  <c r="AJ81" i="71"/>
  <c r="F90" i="71"/>
  <c r="N90" i="71"/>
  <c r="V90" i="71"/>
  <c r="AD90" i="71"/>
  <c r="AJ87" i="71"/>
  <c r="AF24" i="55"/>
  <c r="AG24" i="55"/>
  <c r="AJ4" i="55"/>
  <c r="D24" i="55"/>
  <c r="L24" i="55"/>
  <c r="T24" i="55"/>
  <c r="T25" i="55" s="1"/>
  <c r="AB24" i="55"/>
  <c r="AB25" i="55" s="1"/>
  <c r="H60" i="68"/>
  <c r="P60" i="68"/>
  <c r="X60" i="68"/>
  <c r="AG60" i="68"/>
  <c r="N101" i="80"/>
  <c r="E51" i="68"/>
  <c r="M51" i="68"/>
  <c r="U51" i="68"/>
  <c r="AC51" i="68"/>
  <c r="H22" i="60"/>
  <c r="AD22" i="68"/>
  <c r="AY90" i="77"/>
  <c r="AX91" i="77"/>
  <c r="AW93" i="77"/>
  <c r="AV99" i="77"/>
  <c r="AX102" i="77"/>
  <c r="AX90" i="77"/>
  <c r="AY93" i="77"/>
  <c r="AU95" i="77"/>
  <c r="AY96" i="77"/>
  <c r="AX99" i="77"/>
  <c r="AW107" i="77"/>
  <c r="AU97" i="77"/>
  <c r="AW98" i="77"/>
  <c r="AX103" i="77"/>
  <c r="AV90" i="77"/>
  <c r="AU94" i="77"/>
  <c r="AV97" i="77"/>
  <c r="AY103" i="77"/>
  <c r="AW105" i="77"/>
  <c r="AY106" i="77"/>
  <c r="AV101" i="77"/>
  <c r="AX89" i="77"/>
  <c r="AV91" i="77"/>
  <c r="AU93" i="77"/>
  <c r="AW94" i="77"/>
  <c r="AV98" i="77"/>
  <c r="AV102" i="77"/>
  <c r="AV107" i="77"/>
  <c r="AU90" i="77"/>
  <c r="AV93" i="77"/>
  <c r="AX94" i="77"/>
  <c r="AY97" i="77"/>
  <c r="AU99" i="77"/>
  <c r="AY100" i="77"/>
  <c r="AX105" i="77"/>
  <c r="AX96" i="77"/>
  <c r="AW102" i="77"/>
  <c r="AU102" i="77"/>
  <c r="AY89" i="77"/>
  <c r="AU91" i="77"/>
  <c r="AY99" i="77"/>
  <c r="AW99" i="77"/>
  <c r="AY102" i="77"/>
  <c r="AW104" i="77"/>
  <c r="AU104" i="77"/>
  <c r="AW92" i="77"/>
  <c r="AU92" i="77"/>
  <c r="AY95" i="77"/>
  <c r="AW95" i="77"/>
  <c r="AW97" i="77"/>
  <c r="AV100" i="77"/>
  <c r="AV106" i="77"/>
  <c r="AW100" i="77"/>
  <c r="AU100" i="77"/>
  <c r="AW106" i="77"/>
  <c r="AU106" i="77"/>
  <c r="AU89" i="77"/>
  <c r="AY91" i="77"/>
  <c r="AW91" i="77"/>
  <c r="AV96" i="77"/>
  <c r="AX100" i="77"/>
  <c r="AX106" i="77"/>
  <c r="AW96" i="77"/>
  <c r="AU96" i="77"/>
  <c r="AW89" i="77"/>
  <c r="AY92" i="77"/>
  <c r="AU98" i="77"/>
  <c r="AU101" i="77"/>
  <c r="AU103" i="77"/>
  <c r="AY104" i="77"/>
  <c r="AU105" i="77"/>
  <c r="AW101" i="77"/>
  <c r="AW103" i="77"/>
  <c r="AX107" i="77"/>
  <c r="AV95" i="77"/>
  <c r="AX98" i="77"/>
  <c r="AX101" i="77"/>
  <c r="AY98" i="77"/>
  <c r="AY101" i="77"/>
  <c r="AV92" i="77"/>
  <c r="AX95" i="77"/>
  <c r="AV104" i="77"/>
  <c r="AV89" i="77"/>
  <c r="AX92" i="77"/>
  <c r="AX104" i="77"/>
  <c r="AU107" i="77"/>
  <c r="AE6" i="2" l="1"/>
  <c r="AM6" i="2"/>
  <c r="AM137" i="9"/>
  <c r="C17" i="67"/>
  <c r="C20" i="67" s="1"/>
  <c r="D349" i="79"/>
  <c r="F349" i="79"/>
  <c r="G349" i="79"/>
  <c r="BD27" i="34"/>
  <c r="E167" i="80"/>
  <c r="L167" i="80"/>
  <c r="L175" i="80" s="1"/>
  <c r="K167" i="80"/>
  <c r="K175" i="80" s="1"/>
  <c r="K183" i="80" s="1"/>
  <c r="K191" i="80" s="1"/>
  <c r="K199" i="80" s="1"/>
  <c r="K207" i="80" s="1"/>
  <c r="M167" i="80"/>
  <c r="M175" i="80" s="1"/>
  <c r="C153" i="80"/>
  <c r="C160" i="80" s="1"/>
  <c r="D153" i="80"/>
  <c r="D160" i="80" s="1"/>
  <c r="P347" i="36"/>
  <c r="P358" i="36" s="1"/>
  <c r="D370" i="36"/>
  <c r="D382" i="36" s="1"/>
  <c r="D394" i="36" s="1"/>
  <c r="D406" i="36" s="1"/>
  <c r="D418" i="36" s="1"/>
  <c r="D430" i="36" s="1"/>
  <c r="E370" i="36"/>
  <c r="E382" i="36" s="1"/>
  <c r="E394" i="36" s="1"/>
  <c r="E406" i="36" s="1"/>
  <c r="E418" i="36" s="1"/>
  <c r="E430" i="36" s="1"/>
  <c r="Q347" i="36"/>
  <c r="Q358" i="36" s="1"/>
  <c r="F370" i="36"/>
  <c r="F382" i="36" s="1"/>
  <c r="F394" i="36" s="1"/>
  <c r="F406" i="36" s="1"/>
  <c r="F418" i="36" s="1"/>
  <c r="F430" i="36" s="1"/>
  <c r="C370" i="36"/>
  <c r="C382" i="36" s="1"/>
  <c r="C394" i="36" s="1"/>
  <c r="C406" i="36" s="1"/>
  <c r="C418" i="36" s="1"/>
  <c r="C430" i="36" s="1"/>
  <c r="L370" i="36"/>
  <c r="L382" i="36" s="1"/>
  <c r="G370" i="36"/>
  <c r="G382" i="36" s="1"/>
  <c r="G394" i="36" s="1"/>
  <c r="G406" i="36" s="1"/>
  <c r="G418" i="36" s="1"/>
  <c r="G430" i="36" s="1"/>
  <c r="AD61" i="68"/>
  <c r="BG27" i="34"/>
  <c r="BJ27" i="34"/>
  <c r="BM27" i="34"/>
  <c r="E23" i="83"/>
  <c r="Q288" i="79"/>
  <c r="V12" i="81"/>
  <c r="AJ10" i="2"/>
  <c r="I288" i="79"/>
  <c r="I298" i="79" s="1"/>
  <c r="M278" i="79"/>
  <c r="L288" i="79"/>
  <c r="L298" i="79" s="1"/>
  <c r="L308" i="79" s="1"/>
  <c r="H288" i="79"/>
  <c r="H298" i="79" s="1"/>
  <c r="K288" i="79"/>
  <c r="AX91" i="3"/>
  <c r="AQ6" i="2"/>
  <c r="X91" i="3"/>
  <c r="Y84" i="10"/>
  <c r="AO40" i="10"/>
  <c r="AO43" i="10" s="1"/>
  <c r="AO45" i="10" s="1"/>
  <c r="AO48" i="10" s="1"/>
  <c r="E6" i="32"/>
  <c r="E12" i="32" s="1"/>
  <c r="AA6" i="2"/>
  <c r="AK33" i="45"/>
  <c r="AH40" i="10"/>
  <c r="AH43" i="10" s="1"/>
  <c r="AH45" i="10" s="1"/>
  <c r="AH48" i="10" s="1"/>
  <c r="AE61" i="68"/>
  <c r="Y58" i="12"/>
  <c r="P91" i="3"/>
  <c r="AP6" i="2"/>
  <c r="Y133" i="9"/>
  <c r="F91" i="3"/>
  <c r="V61" i="68"/>
  <c r="AU6" i="2"/>
  <c r="G61" i="68"/>
  <c r="AL6" i="2"/>
  <c r="W6" i="2"/>
  <c r="AB137" i="9"/>
  <c r="AQ137" i="9"/>
  <c r="Y137" i="9"/>
  <c r="AO137" i="9"/>
  <c r="AA137" i="9"/>
  <c r="J137" i="9"/>
  <c r="H137" i="9"/>
  <c r="AN137" i="9"/>
  <c r="L137" i="9"/>
  <c r="S137" i="9"/>
  <c r="AI137" i="9"/>
  <c r="Q137" i="9"/>
  <c r="AG137" i="9"/>
  <c r="G137" i="9"/>
  <c r="AD137" i="9"/>
  <c r="AF137" i="9"/>
  <c r="AE137" i="9"/>
  <c r="AK137" i="9"/>
  <c r="AP137" i="9"/>
  <c r="X137" i="9"/>
  <c r="U137" i="9"/>
  <c r="K137" i="9"/>
  <c r="Z137" i="9"/>
  <c r="I137" i="9"/>
  <c r="W137" i="9"/>
  <c r="V137" i="9"/>
  <c r="AC137" i="9"/>
  <c r="AJ137" i="9"/>
  <c r="R137" i="9"/>
  <c r="AH137" i="9"/>
  <c r="P137" i="9"/>
  <c r="M137" i="9"/>
  <c r="T137" i="9"/>
  <c r="O137" i="9"/>
  <c r="N137" i="9"/>
  <c r="AL137" i="9"/>
  <c r="Z6" i="2"/>
  <c r="D9" i="12"/>
  <c r="Z23" i="12"/>
  <c r="Q8" i="9"/>
  <c r="AF6" i="2"/>
  <c r="AG6" i="2"/>
  <c r="S91" i="3"/>
  <c r="AH91" i="3"/>
  <c r="AJ27" i="65"/>
  <c r="D91" i="3"/>
  <c r="AG57" i="49"/>
  <c r="AH57" i="49"/>
  <c r="AK22" i="44"/>
  <c r="Z14" i="10"/>
  <c r="Z16" i="10" s="1"/>
  <c r="Z35" i="10" s="1"/>
  <c r="R10" i="12"/>
  <c r="R12" i="12" s="1"/>
  <c r="R14" i="12" s="1"/>
  <c r="E9" i="12"/>
  <c r="AH10" i="12"/>
  <c r="AH12" i="12" s="1"/>
  <c r="AH14" i="12" s="1"/>
  <c r="H91" i="3"/>
  <c r="N298" i="79"/>
  <c r="Z10" i="12"/>
  <c r="Z12" i="12" s="1"/>
  <c r="Z14" i="12" s="1"/>
  <c r="AB91" i="3"/>
  <c r="AB12" i="32"/>
  <c r="AC6" i="32" s="1"/>
  <c r="Q91" i="3"/>
  <c r="AQ8" i="12"/>
  <c r="I91" i="3"/>
  <c r="K9" i="12"/>
  <c r="M61" i="68"/>
  <c r="AI91" i="3"/>
  <c r="R34" i="10"/>
  <c r="R33" i="12" s="1"/>
  <c r="R58" i="12" s="1"/>
  <c r="AE50" i="9"/>
  <c r="AE53" i="9" s="1"/>
  <c r="X11" i="30"/>
  <c r="AW91" i="3"/>
  <c r="AN78" i="46"/>
  <c r="F140" i="9"/>
  <c r="AD91" i="3"/>
  <c r="AQ91" i="3"/>
  <c r="Q61" i="68"/>
  <c r="Z91" i="3"/>
  <c r="O61" i="68"/>
  <c r="C91" i="3"/>
  <c r="AF133" i="9"/>
  <c r="Y6" i="2"/>
  <c r="AD133" i="9"/>
  <c r="AE133" i="9"/>
  <c r="U61" i="68"/>
  <c r="X61" i="68"/>
  <c r="E61" i="68"/>
  <c r="H61" i="68"/>
  <c r="P61" i="68"/>
  <c r="Z61" i="68"/>
  <c r="AE96" i="63"/>
  <c r="G91" i="3"/>
  <c r="I61" i="68"/>
  <c r="N61" i="68"/>
  <c r="S61" i="68"/>
  <c r="Y61" i="68"/>
  <c r="F61" i="68"/>
  <c r="R61" i="68"/>
  <c r="J61" i="68"/>
  <c r="W11" i="30"/>
  <c r="AR6" i="2"/>
  <c r="AP14" i="10"/>
  <c r="AP16" i="10" s="1"/>
  <c r="AP13" i="1"/>
  <c r="AP15" i="1" s="1"/>
  <c r="X6" i="2"/>
  <c r="AT6" i="2"/>
  <c r="AN91" i="3"/>
  <c r="AD50" i="9"/>
  <c r="AD53" i="9" s="1"/>
  <c r="K91" i="3"/>
  <c r="AA91" i="3"/>
  <c r="E91" i="3"/>
  <c r="AU91" i="3"/>
  <c r="AG91" i="3"/>
  <c r="J91" i="3"/>
  <c r="AV91" i="3"/>
  <c r="AJ91" i="3"/>
  <c r="AL36" i="1"/>
  <c r="AV6" i="2"/>
  <c r="AQ13" i="1"/>
  <c r="AQ15" i="1" s="1"/>
  <c r="AQ14" i="10"/>
  <c r="AQ16" i="10" s="1"/>
  <c r="AK10" i="2"/>
  <c r="AB6" i="2"/>
  <c r="AF50" i="9"/>
  <c r="AF53" i="9" s="1"/>
  <c r="C9" i="12"/>
  <c r="AC36" i="10"/>
  <c r="AK18" i="44"/>
  <c r="Y11" i="30"/>
  <c r="V11" i="30"/>
  <c r="D24" i="32"/>
  <c r="D30" i="32" s="1"/>
  <c r="Z50" i="9"/>
  <c r="Z53" i="9" s="1"/>
  <c r="AC50" i="9"/>
  <c r="AC53" i="9" s="1"/>
  <c r="AI10" i="2"/>
  <c r="AG11" i="30"/>
  <c r="AJ51" i="61"/>
  <c r="P23" i="13"/>
  <c r="AF24" i="72"/>
  <c r="AG25" i="55"/>
  <c r="AF25" i="55"/>
  <c r="AN50" i="9"/>
  <c r="AN53" i="9" s="1"/>
  <c r="W91" i="3"/>
  <c r="AR91" i="3"/>
  <c r="V35" i="1"/>
  <c r="Q40" i="10"/>
  <c r="Q43" i="10" s="1"/>
  <c r="Q45" i="10" s="1"/>
  <c r="Q48" i="10" s="1"/>
  <c r="AJ48" i="61"/>
  <c r="R91" i="3"/>
  <c r="H40" i="10"/>
  <c r="H43" i="10" s="1"/>
  <c r="H45" i="10" s="1"/>
  <c r="H48" i="10" s="1"/>
  <c r="L35" i="10"/>
  <c r="L36" i="10" s="1"/>
  <c r="AS91" i="3"/>
  <c r="AT91" i="3"/>
  <c r="AK91" i="3"/>
  <c r="AL91" i="3"/>
  <c r="N9" i="12"/>
  <c r="AO91" i="3"/>
  <c r="AH10" i="2"/>
  <c r="W61" i="68"/>
  <c r="AA61" i="68"/>
  <c r="AC61" i="68"/>
  <c r="AE91" i="3"/>
  <c r="AC91" i="3"/>
  <c r="AN59" i="46"/>
  <c r="AJ32" i="71"/>
  <c r="AJ90" i="71" s="1"/>
  <c r="AK42" i="33"/>
  <c r="AK45" i="33"/>
  <c r="L61" i="68"/>
  <c r="AB61" i="68"/>
  <c r="K61" i="68"/>
  <c r="T61" i="68"/>
  <c r="C61" i="68"/>
  <c r="AR52" i="9"/>
  <c r="AJ30" i="31"/>
  <c r="AJ29" i="31" s="1"/>
  <c r="AK48" i="61"/>
  <c r="D92" i="63"/>
  <c r="D96" i="63" s="1"/>
  <c r="DA27" i="34"/>
  <c r="AK18" i="29"/>
  <c r="DC21" i="34"/>
  <c r="DC27" i="34" s="1"/>
  <c r="AK30" i="48"/>
  <c r="F104" i="80"/>
  <c r="F111" i="80" s="1"/>
  <c r="F118" i="80" s="1"/>
  <c r="F125" i="80" s="1"/>
  <c r="F132" i="80" s="1"/>
  <c r="F139" i="80" s="1"/>
  <c r="F146" i="80" s="1"/>
  <c r="AF79" i="63"/>
  <c r="T243" i="36"/>
  <c r="T251" i="36" s="1"/>
  <c r="T259" i="36" s="1"/>
  <c r="T267" i="36" s="1"/>
  <c r="T277" i="36" s="1"/>
  <c r="T287" i="36" s="1"/>
  <c r="T297" i="36" s="1"/>
  <c r="T307" i="36" s="1"/>
  <c r="T317" i="36" s="1"/>
  <c r="T327" i="36" s="1"/>
  <c r="T337" i="36" s="1"/>
  <c r="T347" i="36" s="1"/>
  <c r="S11" i="30"/>
  <c r="AC43" i="10"/>
  <c r="AC45" i="10" s="1"/>
  <c r="AC48" i="10" s="1"/>
  <c r="AJ43" i="10"/>
  <c r="AJ45" i="10" s="1"/>
  <c r="AJ48" i="10" s="1"/>
  <c r="M9" i="12"/>
  <c r="M40" i="10"/>
  <c r="M43" i="10" s="1"/>
  <c r="M45" i="10" s="1"/>
  <c r="M48" i="10" s="1"/>
  <c r="AE43" i="10"/>
  <c r="AE45" i="10" s="1"/>
  <c r="AE48" i="10" s="1"/>
  <c r="U45" i="10"/>
  <c r="U48" i="10" s="1"/>
  <c r="C45" i="10"/>
  <c r="C48" i="10" s="1"/>
  <c r="E45" i="10"/>
  <c r="E48" i="10" s="1"/>
  <c r="AI35" i="10"/>
  <c r="K45" i="10"/>
  <c r="K48" i="10" s="1"/>
  <c r="I40" i="10"/>
  <c r="I43" i="10" s="1"/>
  <c r="AK40" i="10"/>
  <c r="AK43" i="10" s="1"/>
  <c r="S40" i="10"/>
  <c r="S43" i="10" s="1"/>
  <c r="S35" i="10"/>
  <c r="S36" i="10" s="1"/>
  <c r="N45" i="10"/>
  <c r="N48" i="10" s="1"/>
  <c r="R45" i="10"/>
  <c r="R48" i="10" s="1"/>
  <c r="AG40" i="10"/>
  <c r="J45" i="10"/>
  <c r="J48" i="10" s="1"/>
  <c r="G45" i="10"/>
  <c r="G48" i="10" s="1"/>
  <c r="AB45" i="10"/>
  <c r="AB48" i="10" s="1"/>
  <c r="O45" i="10"/>
  <c r="O48" i="10" s="1"/>
  <c r="D45" i="10"/>
  <c r="D48" i="10" s="1"/>
  <c r="L45" i="10"/>
  <c r="L48" i="10" s="1"/>
  <c r="V10" i="12"/>
  <c r="V12" i="12" s="1"/>
  <c r="V14" i="12" s="1"/>
  <c r="F40" i="10"/>
  <c r="F43" i="10" s="1"/>
  <c r="L9" i="12"/>
  <c r="T45" i="10"/>
  <c r="T48" i="10" s="1"/>
  <c r="W13" i="1"/>
  <c r="K45" i="1"/>
  <c r="K48" i="1" s="1"/>
  <c r="AL45" i="1"/>
  <c r="AL48" i="1" s="1"/>
  <c r="N45" i="1"/>
  <c r="N48" i="1" s="1"/>
  <c r="I45" i="1"/>
  <c r="I48" i="1" s="1"/>
  <c r="J45" i="1"/>
  <c r="J48" i="1" s="1"/>
  <c r="M45" i="1"/>
  <c r="M48" i="1" s="1"/>
  <c r="L45" i="1"/>
  <c r="L48" i="1" s="1"/>
  <c r="H45" i="1"/>
  <c r="H48" i="1" s="1"/>
  <c r="F45" i="1"/>
  <c r="F48" i="1" s="1"/>
  <c r="E45" i="1"/>
  <c r="E48" i="1" s="1"/>
  <c r="D45" i="1"/>
  <c r="D48" i="1" s="1"/>
  <c r="C45" i="1"/>
  <c r="C48" i="1" s="1"/>
  <c r="G45" i="1"/>
  <c r="G48" i="1" s="1"/>
  <c r="V45" i="1"/>
  <c r="V48" i="1" s="1"/>
  <c r="V29" i="9"/>
  <c r="AN6" i="2"/>
  <c r="AC10" i="2"/>
  <c r="AE10" i="2"/>
  <c r="AE6" i="63"/>
  <c r="AE11" i="63" s="1"/>
  <c r="AE14" i="63" s="1"/>
  <c r="AS10" i="2"/>
  <c r="AO6" i="2"/>
  <c r="E92" i="63"/>
  <c r="E96" i="63" s="1"/>
  <c r="AD6" i="2"/>
  <c r="Q11" i="30"/>
  <c r="AR17" i="9"/>
  <c r="F8" i="12"/>
  <c r="V92" i="63"/>
  <c r="AQ10" i="12"/>
  <c r="N29" i="9"/>
  <c r="AK51" i="61"/>
  <c r="X50" i="9"/>
  <c r="X53" i="9" s="1"/>
  <c r="Y14" i="10"/>
  <c r="Y16" i="10" s="1"/>
  <c r="AP10" i="12"/>
  <c r="AJ10" i="12"/>
  <c r="AJ12" i="12" s="1"/>
  <c r="AJ14" i="12" s="1"/>
  <c r="AJ13" i="1"/>
  <c r="AJ15" i="1" s="1"/>
  <c r="P8" i="12"/>
  <c r="AI10" i="12"/>
  <c r="AI12" i="12" s="1"/>
  <c r="AI14" i="12" s="1"/>
  <c r="AI13" i="1"/>
  <c r="AI15" i="1" s="1"/>
  <c r="U92" i="63"/>
  <c r="U96" i="63" s="1"/>
  <c r="AJ24" i="55"/>
  <c r="R259" i="36"/>
  <c r="S259" i="36"/>
  <c r="S267" i="36" s="1"/>
  <c r="S277" i="36" s="1"/>
  <c r="S287" i="36" s="1"/>
  <c r="S297" i="36" s="1"/>
  <c r="S307" i="36" s="1"/>
  <c r="S317" i="36" s="1"/>
  <c r="S327" i="36" s="1"/>
  <c r="S337" i="36" s="1"/>
  <c r="S113" i="46"/>
  <c r="S92" i="46"/>
  <c r="T82" i="46"/>
  <c r="X24" i="32"/>
  <c r="X30" i="32" s="1"/>
  <c r="X12" i="32"/>
  <c r="W13" i="31" s="1"/>
  <c r="S29" i="9"/>
  <c r="AK10" i="12"/>
  <c r="AK12" i="12" s="1"/>
  <c r="AK14" i="12" s="1"/>
  <c r="AK13" i="1"/>
  <c r="AK15" i="1" s="1"/>
  <c r="AL10" i="12"/>
  <c r="AL12" i="12" s="1"/>
  <c r="AL14" i="12" s="1"/>
  <c r="L91" i="3"/>
  <c r="AD35" i="10"/>
  <c r="AD36" i="10" s="1"/>
  <c r="AD40" i="10"/>
  <c r="S10" i="12"/>
  <c r="S12" i="12" s="1"/>
  <c r="S14" i="12" s="1"/>
  <c r="S13" i="1"/>
  <c r="S15" i="1" s="1"/>
  <c r="AN40" i="46"/>
  <c r="K174" i="36"/>
  <c r="K183" i="36" s="1"/>
  <c r="K192" i="36" s="1"/>
  <c r="K201" i="36" s="1"/>
  <c r="K210" i="36" s="1"/>
  <c r="K219" i="36" s="1"/>
  <c r="K227" i="36" s="1"/>
  <c r="K235" i="36" s="1"/>
  <c r="K243" i="36" s="1"/>
  <c r="K251" i="36" s="1"/>
  <c r="T29" i="9"/>
  <c r="K29" i="9"/>
  <c r="BA171" i="73"/>
  <c r="BA321" i="73" s="1"/>
  <c r="BB167" i="73"/>
  <c r="Y29" i="9"/>
  <c r="AC10" i="12"/>
  <c r="AC12" i="12" s="1"/>
  <c r="AC14" i="12" s="1"/>
  <c r="AC13" i="1"/>
  <c r="AC15" i="1" s="1"/>
  <c r="AA10" i="12"/>
  <c r="AA12" i="12" s="1"/>
  <c r="AA14" i="12" s="1"/>
  <c r="AA13" i="1"/>
  <c r="AA15" i="1" s="1"/>
  <c r="X14" i="10"/>
  <c r="X16" i="10" s="1"/>
  <c r="U91" i="3"/>
  <c r="W40" i="10"/>
  <c r="W43" i="10" s="1"/>
  <c r="W35" i="10"/>
  <c r="W36" i="10" s="1"/>
  <c r="Y10" i="12"/>
  <c r="Y12" i="12" s="1"/>
  <c r="Y14" i="12" s="1"/>
  <c r="Y13" i="1"/>
  <c r="Y15" i="1" s="1"/>
  <c r="AL14" i="9"/>
  <c r="AN10" i="12"/>
  <c r="AN13" i="1"/>
  <c r="AN15" i="1" s="1"/>
  <c r="AI14" i="9"/>
  <c r="Q7" i="9"/>
  <c r="Y90" i="3"/>
  <c r="Y91" i="3" s="1"/>
  <c r="AR14" i="9"/>
  <c r="AD35" i="1"/>
  <c r="AD40" i="1"/>
  <c r="AD43" i="1" s="1"/>
  <c r="AD23" i="68"/>
  <c r="AD32" i="68" s="1"/>
  <c r="AE22" i="68"/>
  <c r="AE23" i="68" s="1"/>
  <c r="AE32" i="68" s="1"/>
  <c r="N104" i="80"/>
  <c r="N111" i="80" s="1"/>
  <c r="N118" i="80" s="1"/>
  <c r="N125" i="80" s="1"/>
  <c r="N132" i="80" s="1"/>
  <c r="N139" i="80" s="1"/>
  <c r="N146" i="80" s="1"/>
  <c r="W29" i="9"/>
  <c r="L29" i="9"/>
  <c r="Q29" i="9"/>
  <c r="X29" i="9"/>
  <c r="U10" i="12"/>
  <c r="U12" i="12" s="1"/>
  <c r="U14" i="12" s="1"/>
  <c r="U13" i="1"/>
  <c r="U15" i="1" s="1"/>
  <c r="Q10" i="12"/>
  <c r="Q12" i="12" s="1"/>
  <c r="Q14" i="12" s="1"/>
  <c r="Q13" i="1"/>
  <c r="Q15" i="1" s="1"/>
  <c r="M91" i="3"/>
  <c r="AN8" i="12"/>
  <c r="AE10" i="12"/>
  <c r="AE12" i="12" s="1"/>
  <c r="AE14" i="12" s="1"/>
  <c r="AE13" i="1"/>
  <c r="AE15" i="1" s="1"/>
  <c r="AR6" i="9"/>
  <c r="AR8" i="9"/>
  <c r="AD10" i="12"/>
  <c r="AD12" i="12" s="1"/>
  <c r="AD14" i="12" s="1"/>
  <c r="R13" i="32"/>
  <c r="S6" i="32"/>
  <c r="O29" i="9"/>
  <c r="I29" i="9"/>
  <c r="P29" i="9"/>
  <c r="H29" i="9"/>
  <c r="G29" i="9"/>
  <c r="AI39" i="67"/>
  <c r="AB13" i="1"/>
  <c r="AB15" i="1" s="1"/>
  <c r="AB10" i="12"/>
  <c r="AB12" i="12" s="1"/>
  <c r="AB14" i="12" s="1"/>
  <c r="O91" i="3"/>
  <c r="AO14" i="9"/>
  <c r="I9" i="12"/>
  <c r="V91" i="3"/>
  <c r="P40" i="10"/>
  <c r="P43" i="10" s="1"/>
  <c r="P35" i="10"/>
  <c r="P36" i="10" s="1"/>
  <c r="AF10" i="12"/>
  <c r="AF12" i="12" s="1"/>
  <c r="AF14" i="12" s="1"/>
  <c r="AF13" i="1"/>
  <c r="AF15" i="1" s="1"/>
  <c r="G9" i="12"/>
  <c r="T13" i="1"/>
  <c r="T15" i="1" s="1"/>
  <c r="T10" i="12"/>
  <c r="T12" i="12" s="1"/>
  <c r="T14" i="12" s="1"/>
  <c r="AH29" i="9"/>
  <c r="N91" i="3"/>
  <c r="AF8" i="12"/>
  <c r="AJ14" i="9"/>
  <c r="AD14" i="9"/>
  <c r="T104" i="46"/>
  <c r="U94" i="46"/>
  <c r="U103" i="46" s="1"/>
  <c r="AK25" i="30"/>
  <c r="Z29" i="9"/>
  <c r="R40" i="1"/>
  <c r="R43" i="1" s="1"/>
  <c r="R35" i="1"/>
  <c r="R36" i="1" s="1"/>
  <c r="AC14" i="9"/>
  <c r="AN14" i="9"/>
  <c r="AN40" i="10"/>
  <c r="AN43" i="10" s="1"/>
  <c r="AN35" i="10"/>
  <c r="AN36" i="10" s="1"/>
  <c r="Z40" i="1"/>
  <c r="Z43" i="1" s="1"/>
  <c r="Z35" i="1"/>
  <c r="C38" i="79"/>
  <c r="P34" i="79"/>
  <c r="R34" i="79" s="1"/>
  <c r="X10" i="12"/>
  <c r="X12" i="12" s="1"/>
  <c r="X14" i="12" s="1"/>
  <c r="X13" i="1"/>
  <c r="X15" i="1" s="1"/>
  <c r="AK14" i="9"/>
  <c r="C6" i="63"/>
  <c r="C11" i="63" s="1"/>
  <c r="C14" i="63" s="1"/>
  <c r="C92" i="63"/>
  <c r="C96" i="63" s="1"/>
  <c r="AA40" i="10"/>
  <c r="AA43" i="10" s="1"/>
  <c r="AA35" i="10"/>
  <c r="AA36" i="10" s="1"/>
  <c r="AG10" i="12"/>
  <c r="AG12" i="12" s="1"/>
  <c r="AG14" i="12" s="1"/>
  <c r="AG13" i="1"/>
  <c r="AG15" i="1" s="1"/>
  <c r="M6" i="32"/>
  <c r="L13" i="32"/>
  <c r="U29" i="9"/>
  <c r="R29" i="9"/>
  <c r="AL35" i="10"/>
  <c r="AL36" i="10" s="1"/>
  <c r="AL40" i="10"/>
  <c r="AL43" i="10" s="1"/>
  <c r="O10" i="12"/>
  <c r="O12" i="12" s="1"/>
  <c r="O14" i="12" s="1"/>
  <c r="O13" i="1"/>
  <c r="O15" i="1" s="1"/>
  <c r="AH40" i="1"/>
  <c r="AH35" i="1"/>
  <c r="AD25" i="44"/>
  <c r="AD32" i="44" s="1"/>
  <c r="AD38" i="44" s="1"/>
  <c r="AK12" i="26"/>
  <c r="AK13" i="26" s="1"/>
  <c r="M29" i="9"/>
  <c r="J29" i="9"/>
  <c r="V35" i="10"/>
  <c r="V36" i="10" s="1"/>
  <c r="V40" i="10"/>
  <c r="V43" i="10" s="1"/>
  <c r="AR6" i="12"/>
  <c r="AR8" i="12" s="1"/>
  <c r="AB14" i="9"/>
  <c r="AF40" i="10"/>
  <c r="AF35" i="10"/>
  <c r="AF36" i="10" s="1"/>
  <c r="H9" i="12"/>
  <c r="AA14" i="9"/>
  <c r="T91" i="3"/>
  <c r="P10" i="12"/>
  <c r="P12" i="12" s="1"/>
  <c r="P14" i="12" s="1"/>
  <c r="P13" i="1"/>
  <c r="P15" i="1" s="1"/>
  <c r="AO10" i="12"/>
  <c r="AO13" i="1"/>
  <c r="AO15" i="1" s="1"/>
  <c r="AM10" i="2" l="1"/>
  <c r="AH50" i="9"/>
  <c r="AA11" i="30"/>
  <c r="AM50" i="9"/>
  <c r="AM53" i="9" s="1"/>
  <c r="AM29" i="9"/>
  <c r="AP29" i="9"/>
  <c r="Z11" i="53"/>
  <c r="AM16" i="2"/>
  <c r="M183" i="80"/>
  <c r="M191" i="80" s="1"/>
  <c r="M199" i="80" s="1"/>
  <c r="M207" i="80" s="1"/>
  <c r="L183" i="80"/>
  <c r="L191" i="80" s="1"/>
  <c r="G357" i="79"/>
  <c r="F357" i="79"/>
  <c r="D357" i="79"/>
  <c r="L394" i="36"/>
  <c r="L406" i="36" s="1"/>
  <c r="L418" i="36" s="1"/>
  <c r="L430" i="36" s="1"/>
  <c r="L442" i="36" s="1"/>
  <c r="E175" i="80"/>
  <c r="E183" i="80" s="1"/>
  <c r="E191" i="80" s="1"/>
  <c r="AP40" i="1"/>
  <c r="AP43" i="1" s="1"/>
  <c r="AP45" i="1" s="1"/>
  <c r="AP48" i="1" s="1"/>
  <c r="AQ35" i="1"/>
  <c r="AQ36" i="1" s="1"/>
  <c r="D167" i="80"/>
  <c r="C167" i="80"/>
  <c r="C175" i="80" s="1"/>
  <c r="C183" i="80" s="1"/>
  <c r="C191" i="80" s="1"/>
  <c r="C199" i="80" s="1"/>
  <c r="C207" i="80" s="1"/>
  <c r="N153" i="80"/>
  <c r="N160" i="80" s="1"/>
  <c r="F153" i="80"/>
  <c r="F160" i="80" s="1"/>
  <c r="AL50" i="9"/>
  <c r="AL53" i="9" s="1"/>
  <c r="AD11" i="30"/>
  <c r="S347" i="36"/>
  <c r="S358" i="36" s="1"/>
  <c r="AP50" i="9"/>
  <c r="AP53" i="9" s="1"/>
  <c r="H308" i="79"/>
  <c r="I308" i="79"/>
  <c r="Q370" i="36"/>
  <c r="P370" i="36"/>
  <c r="W11" i="53"/>
  <c r="AJ16" i="2"/>
  <c r="K298" i="79"/>
  <c r="Q298" i="79"/>
  <c r="M288" i="79"/>
  <c r="AE11" i="30"/>
  <c r="AQ10" i="2"/>
  <c r="E24" i="32"/>
  <c r="E30" i="32" s="1"/>
  <c r="Z58" i="12"/>
  <c r="W12" i="81"/>
  <c r="AP10" i="2"/>
  <c r="AK50" i="9"/>
  <c r="AK53" i="9" s="1"/>
  <c r="AB50" i="9"/>
  <c r="AB53" i="9" s="1"/>
  <c r="AG50" i="9"/>
  <c r="AG53" i="9" s="1"/>
  <c r="AA50" i="9"/>
  <c r="AA53" i="9" s="1"/>
  <c r="AH11" i="30"/>
  <c r="Y10" i="2"/>
  <c r="P11" i="30"/>
  <c r="S50" i="9"/>
  <c r="S53" i="9" s="1"/>
  <c r="AI11" i="30"/>
  <c r="AR10" i="2"/>
  <c r="U50" i="9"/>
  <c r="U53" i="9" s="1"/>
  <c r="R50" i="9"/>
  <c r="R53" i="9" s="1"/>
  <c r="AA10" i="2"/>
  <c r="L319" i="79"/>
  <c r="O11" i="30"/>
  <c r="V50" i="9"/>
  <c r="V53" i="9" s="1"/>
  <c r="Z10" i="2"/>
  <c r="AU10" i="2"/>
  <c r="K11" i="30"/>
  <c r="N11" i="30"/>
  <c r="AL10" i="2"/>
  <c r="Z11" i="30"/>
  <c r="AC133" i="9"/>
  <c r="AA13" i="31"/>
  <c r="AB13" i="32"/>
  <c r="U11" i="30"/>
  <c r="T11" i="30"/>
  <c r="AF10" i="2"/>
  <c r="AG10" i="2"/>
  <c r="AB133" i="9"/>
  <c r="Z133" i="9"/>
  <c r="F23" i="83"/>
  <c r="G23" i="83" s="1"/>
  <c r="AE17" i="2"/>
  <c r="AA133" i="9"/>
  <c r="W10" i="2"/>
  <c r="Z40" i="10"/>
  <c r="Z43" i="10" s="1"/>
  <c r="Z45" i="10" s="1"/>
  <c r="Z48" i="10" s="1"/>
  <c r="N308" i="79"/>
  <c r="AT10" i="2"/>
  <c r="X136" i="9"/>
  <c r="Z136" i="9"/>
  <c r="Y136" i="9"/>
  <c r="AH136" i="9"/>
  <c r="AR137" i="9"/>
  <c r="Y138" i="9"/>
  <c r="W136" i="9"/>
  <c r="M11" i="30"/>
  <c r="T50" i="9"/>
  <c r="T53" i="9" s="1"/>
  <c r="R84" i="10"/>
  <c r="R35" i="10"/>
  <c r="R36" i="10" s="1"/>
  <c r="AO50" i="9"/>
  <c r="AO53" i="9" s="1"/>
  <c r="AF11" i="30"/>
  <c r="L11" i="30"/>
  <c r="Q28" i="9"/>
  <c r="Q136" i="9"/>
  <c r="Q135" i="9" s="1"/>
  <c r="U28" i="9"/>
  <c r="U136" i="9"/>
  <c r="U135" i="9" s="1"/>
  <c r="H28" i="9"/>
  <c r="H136" i="9"/>
  <c r="H135" i="9" s="1"/>
  <c r="O28" i="9"/>
  <c r="O136" i="9"/>
  <c r="O135" i="9" s="1"/>
  <c r="L28" i="9"/>
  <c r="L136" i="9"/>
  <c r="L135" i="9" s="1"/>
  <c r="R28" i="9"/>
  <c r="R136" i="9"/>
  <c r="R135" i="9" s="1"/>
  <c r="G28" i="9"/>
  <c r="G136" i="9"/>
  <c r="G135" i="9" s="1"/>
  <c r="S28" i="9"/>
  <c r="S136" i="9"/>
  <c r="S135" i="9" s="1"/>
  <c r="P28" i="9"/>
  <c r="P136" i="9"/>
  <c r="P135" i="9" s="1"/>
  <c r="I28" i="9"/>
  <c r="I136" i="9"/>
  <c r="I135" i="9" s="1"/>
  <c r="K28" i="9"/>
  <c r="K136" i="9"/>
  <c r="K135" i="9" s="1"/>
  <c r="J28" i="9"/>
  <c r="J136" i="9"/>
  <c r="J135" i="9" s="1"/>
  <c r="T28" i="9"/>
  <c r="T136" i="9"/>
  <c r="T135" i="9" s="1"/>
  <c r="N28" i="9"/>
  <c r="N136" i="9"/>
  <c r="N135" i="9" s="1"/>
  <c r="M28" i="9"/>
  <c r="M136" i="9"/>
  <c r="M135" i="9" s="1"/>
  <c r="V28" i="9"/>
  <c r="V136" i="9"/>
  <c r="V135" i="9" s="1"/>
  <c r="AP12" i="12"/>
  <c r="AP14" i="12" s="1"/>
  <c r="X10" i="2"/>
  <c r="AQ35" i="10"/>
  <c r="W50" i="9"/>
  <c r="W53" i="9" s="1"/>
  <c r="AP35" i="10"/>
  <c r="AP40" i="10"/>
  <c r="AP43" i="10" s="1"/>
  <c r="AP45" i="10" s="1"/>
  <c r="AP48" i="10" s="1"/>
  <c r="AP35" i="1"/>
  <c r="U11" i="53"/>
  <c r="AH53" i="9"/>
  <c r="AQ40" i="1"/>
  <c r="Z36" i="1"/>
  <c r="V36" i="1"/>
  <c r="AV10" i="2"/>
  <c r="AQ50" i="9"/>
  <c r="AQ53" i="9" s="1"/>
  <c r="AD36" i="1"/>
  <c r="X11" i="53"/>
  <c r="AI16" i="2"/>
  <c r="AB10" i="2"/>
  <c r="Z36" i="10"/>
  <c r="AH16" i="2"/>
  <c r="AK16" i="2"/>
  <c r="V11" i="53"/>
  <c r="AO12" i="12"/>
  <c r="AO14" i="12" s="1"/>
  <c r="AJ25" i="55"/>
  <c r="W15" i="1"/>
  <c r="W40" i="1" s="1"/>
  <c r="W43" i="1" s="1"/>
  <c r="W45" i="1" s="1"/>
  <c r="W48" i="1" s="1"/>
  <c r="AF43" i="10"/>
  <c r="AF45" i="10" s="1"/>
  <c r="AF48" i="10" s="1"/>
  <c r="AG43" i="10"/>
  <c r="AG45" i="10" s="1"/>
  <c r="AG48" i="10" s="1"/>
  <c r="AD43" i="10"/>
  <c r="AD45" i="10" s="1"/>
  <c r="AD48" i="10" s="1"/>
  <c r="AI40" i="10"/>
  <c r="AG35" i="10"/>
  <c r="AG36" i="10" s="1"/>
  <c r="AA45" i="10"/>
  <c r="AA48" i="10" s="1"/>
  <c r="AK45" i="10"/>
  <c r="AK48" i="10" s="1"/>
  <c r="I45" i="10"/>
  <c r="I48" i="10" s="1"/>
  <c r="AL45" i="10"/>
  <c r="AL48" i="10" s="1"/>
  <c r="AN45" i="10"/>
  <c r="AN48" i="10" s="1"/>
  <c r="V45" i="10"/>
  <c r="V48" i="10" s="1"/>
  <c r="W45" i="10"/>
  <c r="W48" i="10" s="1"/>
  <c r="P45" i="10"/>
  <c r="P48" i="10" s="1"/>
  <c r="F45" i="10"/>
  <c r="F48" i="10" s="1"/>
  <c r="S45" i="10"/>
  <c r="S48" i="10" s="1"/>
  <c r="AH43" i="1"/>
  <c r="AH45" i="1" s="1"/>
  <c r="AH48" i="1" s="1"/>
  <c r="Z45" i="1"/>
  <c r="Z48" i="1" s="1"/>
  <c r="R45" i="1"/>
  <c r="R48" i="1" s="1"/>
  <c r="AD45" i="1"/>
  <c r="AD48" i="1" s="1"/>
  <c r="AO10" i="2"/>
  <c r="AC11" i="30"/>
  <c r="AJ50" i="9"/>
  <c r="AJ53" i="9" s="1"/>
  <c r="AF11" i="53"/>
  <c r="AS16" i="2"/>
  <c r="AD10" i="2"/>
  <c r="AN10" i="2"/>
  <c r="AJ29" i="9"/>
  <c r="AK29" i="9"/>
  <c r="Y50" i="9"/>
  <c r="Y53" i="9" s="1"/>
  <c r="AN12" i="12"/>
  <c r="AN14" i="12" s="1"/>
  <c r="P11" i="53"/>
  <c r="AQ12" i="12"/>
  <c r="AQ14" i="12" s="1"/>
  <c r="AI50" i="9"/>
  <c r="AI53" i="9" s="1"/>
  <c r="AB11" i="30"/>
  <c r="AE16" i="2"/>
  <c r="R11" i="53"/>
  <c r="AA29" i="9"/>
  <c r="AC16" i="2"/>
  <c r="R11" i="30"/>
  <c r="AI29" i="9"/>
  <c r="AQ40" i="10"/>
  <c r="Y35" i="10"/>
  <c r="Y40" i="10"/>
  <c r="Y43" i="10" s="1"/>
  <c r="AJ35" i="1"/>
  <c r="AJ40" i="1"/>
  <c r="AJ43" i="1" s="1"/>
  <c r="AI35" i="1"/>
  <c r="AI40" i="1"/>
  <c r="AE29" i="9"/>
  <c r="O40" i="1"/>
  <c r="O43" i="1" s="1"/>
  <c r="O35" i="1"/>
  <c r="O36" i="1" s="1"/>
  <c r="AG40" i="1"/>
  <c r="AG35" i="1"/>
  <c r="P38" i="79"/>
  <c r="R38" i="79" s="1"/>
  <c r="C43" i="79"/>
  <c r="AE40" i="1"/>
  <c r="AE43" i="1" s="1"/>
  <c r="AE35" i="1"/>
  <c r="Y28" i="9"/>
  <c r="S40" i="1"/>
  <c r="S35" i="1"/>
  <c r="S36" i="1" s="1"/>
  <c r="AD29" i="9"/>
  <c r="M24" i="32"/>
  <c r="M30" i="32" s="1"/>
  <c r="M12" i="32"/>
  <c r="X40" i="1"/>
  <c r="X43" i="1" s="1"/>
  <c r="X35" i="1"/>
  <c r="S12" i="32"/>
  <c r="S13" i="32" s="1"/>
  <c r="S24" i="32"/>
  <c r="S30" i="32" s="1"/>
  <c r="BB171" i="73"/>
  <c r="BB321" i="73" s="1"/>
  <c r="BC167" i="73"/>
  <c r="Y6" i="32"/>
  <c r="X13" i="32"/>
  <c r="AQ29" i="9"/>
  <c r="AC12" i="32"/>
  <c r="AC24" i="32"/>
  <c r="AC30" i="32" s="1"/>
  <c r="AB40" i="1"/>
  <c r="AB43" i="1" s="1"/>
  <c r="AB35" i="1"/>
  <c r="AN40" i="1"/>
  <c r="AN43" i="1" s="1"/>
  <c r="AN35" i="1"/>
  <c r="AO40" i="1"/>
  <c r="AO35" i="1"/>
  <c r="V94" i="46"/>
  <c r="V103" i="46" s="1"/>
  <c r="U104" i="46"/>
  <c r="AF40" i="1"/>
  <c r="AF43" i="1" s="1"/>
  <c r="AF35" i="1"/>
  <c r="AC40" i="1"/>
  <c r="AC43" i="1" s="1"/>
  <c r="AC35" i="1"/>
  <c r="AR10" i="12"/>
  <c r="AF29" i="9"/>
  <c r="U40" i="1"/>
  <c r="U43" i="1" s="1"/>
  <c r="U35" i="1"/>
  <c r="U36" i="1" s="1"/>
  <c r="AO29" i="9"/>
  <c r="AA40" i="1"/>
  <c r="AA43" i="1" s="1"/>
  <c r="AA35" i="1"/>
  <c r="AK40" i="1"/>
  <c r="AK43" i="1" s="1"/>
  <c r="AK35" i="1"/>
  <c r="AB29" i="9"/>
  <c r="T91" i="46"/>
  <c r="T106" i="46"/>
  <c r="AC29" i="9"/>
  <c r="T40" i="1"/>
  <c r="T43" i="1" s="1"/>
  <c r="T35" i="1"/>
  <c r="T36" i="1" s="1"/>
  <c r="X40" i="10"/>
  <c r="X43" i="10" s="1"/>
  <c r="X35" i="10"/>
  <c r="E13" i="32"/>
  <c r="F6" i="32"/>
  <c r="P40" i="1"/>
  <c r="P43" i="1" s="1"/>
  <c r="P35" i="1"/>
  <c r="P36" i="1" s="1"/>
  <c r="AE25" i="44"/>
  <c r="AE32" i="44" s="1"/>
  <c r="AE38" i="44" s="1"/>
  <c r="AG29" i="9"/>
  <c r="AR29" i="9"/>
  <c r="AL29" i="9"/>
  <c r="K259" i="36"/>
  <c r="K267" i="36" s="1"/>
  <c r="K277" i="36" s="1"/>
  <c r="K287" i="36" s="1"/>
  <c r="K297" i="36" s="1"/>
  <c r="K307" i="36" s="1"/>
  <c r="K317" i="36" s="1"/>
  <c r="K327" i="36" s="1"/>
  <c r="K337" i="36" s="1"/>
  <c r="AN29" i="9"/>
  <c r="Q40" i="1"/>
  <c r="Q43" i="1" s="1"/>
  <c r="Q35" i="1"/>
  <c r="Q36" i="1" s="1"/>
  <c r="Y40" i="1"/>
  <c r="Y43" i="1" s="1"/>
  <c r="Y35" i="1"/>
  <c r="R267" i="36"/>
  <c r="R277" i="36" s="1"/>
  <c r="R287" i="36" s="1"/>
  <c r="R297" i="36" s="1"/>
  <c r="R307" i="36" s="1"/>
  <c r="R317" i="36" s="1"/>
  <c r="R327" i="36" s="1"/>
  <c r="R337" i="36" s="1"/>
  <c r="AM19" i="2" l="1"/>
  <c r="AM24" i="2" s="1"/>
  <c r="AM136" i="9"/>
  <c r="AM135" i="9" s="1"/>
  <c r="AM28" i="9"/>
  <c r="D365" i="79"/>
  <c r="D373" i="79" s="1"/>
  <c r="D382" i="79" s="1"/>
  <c r="D391" i="79" s="1"/>
  <c r="F365" i="79"/>
  <c r="F373" i="79" s="1"/>
  <c r="F382" i="79" s="1"/>
  <c r="F391" i="79" s="1"/>
  <c r="G365" i="79"/>
  <c r="G373" i="79" s="1"/>
  <c r="G382" i="79" s="1"/>
  <c r="G391" i="79" s="1"/>
  <c r="I319" i="79"/>
  <c r="I330" i="79" s="1"/>
  <c r="I341" i="79" s="1"/>
  <c r="H319" i="79"/>
  <c r="L199" i="80"/>
  <c r="L207" i="80" s="1"/>
  <c r="D175" i="80"/>
  <c r="D183" i="80" s="1"/>
  <c r="D191" i="80" s="1"/>
  <c r="AP36" i="1"/>
  <c r="N167" i="80"/>
  <c r="N175" i="80" s="1"/>
  <c r="N183" i="80" s="1"/>
  <c r="N191" i="80" s="1"/>
  <c r="N199" i="80" s="1"/>
  <c r="N207" i="80" s="1"/>
  <c r="F167" i="80"/>
  <c r="F175" i="80" s="1"/>
  <c r="F183" i="80" s="1"/>
  <c r="F191" i="80" s="1"/>
  <c r="AH11" i="53"/>
  <c r="AE11" i="53"/>
  <c r="AP16" i="2"/>
  <c r="Y16" i="2"/>
  <c r="AA16" i="2"/>
  <c r="AJ19" i="2"/>
  <c r="R347" i="36"/>
  <c r="R358" i="36" s="1"/>
  <c r="R370" i="36" s="1"/>
  <c r="K347" i="36"/>
  <c r="K358" i="36" s="1"/>
  <c r="K370" i="36" s="1"/>
  <c r="P382" i="36"/>
  <c r="Q382" i="36"/>
  <c r="K308" i="79"/>
  <c r="Q308" i="79"/>
  <c r="S370" i="36"/>
  <c r="AQ36" i="10"/>
  <c r="AD11" i="53"/>
  <c r="AQ43" i="1"/>
  <c r="AQ45" i="1" s="1"/>
  <c r="AQ48" i="1" s="1"/>
  <c r="AQ16" i="2"/>
  <c r="M298" i="79"/>
  <c r="AZ138" i="9"/>
  <c r="L330" i="79"/>
  <c r="L341" i="79" s="1"/>
  <c r="N319" i="79"/>
  <c r="N330" i="79" s="1"/>
  <c r="N341" i="79" s="1"/>
  <c r="AR16" i="2"/>
  <c r="AC11" i="53"/>
  <c r="X12" i="81"/>
  <c r="AF16" i="2"/>
  <c r="Y11" i="53"/>
  <c r="AT16" i="2"/>
  <c r="W16" i="2"/>
  <c r="T11" i="53"/>
  <c r="AU16" i="2"/>
  <c r="Z16" i="2"/>
  <c r="AL16" i="2"/>
  <c r="S11" i="53"/>
  <c r="AG16" i="2"/>
  <c r="Y135" i="9"/>
  <c r="AF136" i="9"/>
  <c r="AV138" i="9"/>
  <c r="AL136" i="9"/>
  <c r="AQ136" i="9"/>
  <c r="AE136" i="9"/>
  <c r="AD136" i="9"/>
  <c r="AO136" i="9"/>
  <c r="AG136" i="9"/>
  <c r="AB136" i="9"/>
  <c r="AC136" i="9"/>
  <c r="AG138" i="9"/>
  <c r="AA136" i="9"/>
  <c r="AJ136" i="9"/>
  <c r="AI136" i="9"/>
  <c r="AN136" i="9"/>
  <c r="AR136" i="9"/>
  <c r="AK136" i="9"/>
  <c r="AP136" i="9"/>
  <c r="AU138" i="9"/>
  <c r="Z28" i="9"/>
  <c r="Z138" i="9"/>
  <c r="Z135" i="9" s="1"/>
  <c r="AH28" i="9"/>
  <c r="AH138" i="9"/>
  <c r="AH135" i="9" s="1"/>
  <c r="W28" i="9"/>
  <c r="W138" i="9"/>
  <c r="W135" i="9" s="1"/>
  <c r="X28" i="9"/>
  <c r="X138" i="9"/>
  <c r="X135" i="9" s="1"/>
  <c r="X16" i="2"/>
  <c r="AH19" i="2"/>
  <c r="AP36" i="10"/>
  <c r="AI19" i="2"/>
  <c r="AK36" i="1"/>
  <c r="AN36" i="1"/>
  <c r="Y36" i="1"/>
  <c r="AA36" i="1"/>
  <c r="AC36" i="1"/>
  <c r="AF36" i="1"/>
  <c r="AE36" i="1"/>
  <c r="AB36" i="1"/>
  <c r="AI11" i="53"/>
  <c r="AV16" i="2"/>
  <c r="O11" i="53"/>
  <c r="AB16" i="2"/>
  <c r="AK19" i="2"/>
  <c r="Y36" i="10"/>
  <c r="AD16" i="2"/>
  <c r="AC19" i="2"/>
  <c r="AE19" i="2"/>
  <c r="AS19" i="2"/>
  <c r="W35" i="1"/>
  <c r="AK11" i="30"/>
  <c r="Q11" i="53"/>
  <c r="AQ43" i="10"/>
  <c r="AQ45" i="10" s="1"/>
  <c r="AI43" i="10"/>
  <c r="AI45" i="10" s="1"/>
  <c r="AI48" i="10" s="1"/>
  <c r="Y45" i="10"/>
  <c r="Y48" i="10" s="1"/>
  <c r="X45" i="10"/>
  <c r="X48" i="10" s="1"/>
  <c r="AG43" i="1"/>
  <c r="AG45" i="1" s="1"/>
  <c r="AG48" i="1" s="1"/>
  <c r="AI43" i="1"/>
  <c r="AI45" i="1" s="1"/>
  <c r="AI48" i="1" s="1"/>
  <c r="AO43" i="1"/>
  <c r="AO45" i="1" s="1"/>
  <c r="AO48" i="1" s="1"/>
  <c r="S43" i="1"/>
  <c r="S45" i="1" s="1"/>
  <c r="S48" i="1" s="1"/>
  <c r="AJ45" i="1"/>
  <c r="AJ48" i="1" s="1"/>
  <c r="P45" i="1"/>
  <c r="P48" i="1" s="1"/>
  <c r="O45" i="1"/>
  <c r="O48" i="1" s="1"/>
  <c r="Y45" i="1"/>
  <c r="Y48" i="1" s="1"/>
  <c r="AA45" i="1"/>
  <c r="AA48" i="1" s="1"/>
  <c r="T45" i="1"/>
  <c r="T48" i="1" s="1"/>
  <c r="AN45" i="1"/>
  <c r="AN48" i="1" s="1"/>
  <c r="AE45" i="1"/>
  <c r="AE48" i="1" s="1"/>
  <c r="AK45" i="1"/>
  <c r="AK48" i="1" s="1"/>
  <c r="AF45" i="1"/>
  <c r="AF48" i="1" s="1"/>
  <c r="AB45" i="1"/>
  <c r="AB48" i="1" s="1"/>
  <c r="U45" i="1"/>
  <c r="U48" i="1" s="1"/>
  <c r="Q45" i="1"/>
  <c r="Q48" i="1" s="1"/>
  <c r="AC45" i="1"/>
  <c r="AC48" i="1" s="1"/>
  <c r="X45" i="1"/>
  <c r="X48" i="1" s="1"/>
  <c r="AB11" i="53"/>
  <c r="AO16" i="2"/>
  <c r="AG28" i="9"/>
  <c r="AR12" i="12"/>
  <c r="AR14" i="12" s="1"/>
  <c r="AN16" i="2"/>
  <c r="AA11" i="53"/>
  <c r="AR50" i="9"/>
  <c r="AR53" i="9" s="1"/>
  <c r="F24" i="32"/>
  <c r="F30" i="32" s="1"/>
  <c r="F12" i="32"/>
  <c r="AC13" i="32"/>
  <c r="AB13" i="31"/>
  <c r="AD6" i="32"/>
  <c r="AF25" i="44"/>
  <c r="AF32" i="44" s="1"/>
  <c r="AF38" i="44" s="1"/>
  <c r="BC171" i="73"/>
  <c r="BC321" i="73" s="1"/>
  <c r="BD167" i="73"/>
  <c r="W94" i="46"/>
  <c r="W103" i="46" s="1"/>
  <c r="V104" i="46"/>
  <c r="Y24" i="32"/>
  <c r="Y30" i="32" s="1"/>
  <c r="Y12" i="32"/>
  <c r="M13" i="32"/>
  <c r="N6" i="32"/>
  <c r="S4" i="12"/>
  <c r="P43" i="79"/>
  <c r="R43" i="79" s="1"/>
  <c r="C48" i="79"/>
  <c r="T92" i="46"/>
  <c r="T113" i="46"/>
  <c r="U82" i="46"/>
  <c r="Q319" i="79" l="1"/>
  <c r="AA19" i="2"/>
  <c r="H330" i="79"/>
  <c r="H341" i="79" s="1"/>
  <c r="H349" i="79" s="1"/>
  <c r="H357" i="79" s="1"/>
  <c r="D199" i="80"/>
  <c r="D207" i="80" s="1"/>
  <c r="Q394" i="36"/>
  <c r="Q406" i="36" s="1"/>
  <c r="Q418" i="36" s="1"/>
  <c r="Q430" i="36" s="1"/>
  <c r="Q442" i="36" s="1"/>
  <c r="P394" i="36"/>
  <c r="P406" i="36" s="1"/>
  <c r="P418" i="36" s="1"/>
  <c r="P430" i="36" s="1"/>
  <c r="P442" i="36" s="1"/>
  <c r="L349" i="79"/>
  <c r="AJ24" i="2"/>
  <c r="Y19" i="2"/>
  <c r="AP19" i="2"/>
  <c r="K319" i="79"/>
  <c r="N349" i="79"/>
  <c r="I349" i="79"/>
  <c r="W19" i="2"/>
  <c r="AR19" i="2"/>
  <c r="AQ19" i="2"/>
  <c r="AT19" i="2"/>
  <c r="AF19" i="2"/>
  <c r="Z19" i="2"/>
  <c r="AU19" i="2"/>
  <c r="K382" i="36"/>
  <c r="K394" i="36" s="1"/>
  <c r="K406" i="36" s="1"/>
  <c r="K418" i="36" s="1"/>
  <c r="K430" i="36" s="1"/>
  <c r="K442" i="36" s="1"/>
  <c r="R382" i="36"/>
  <c r="R394" i="36" s="1"/>
  <c r="R406" i="36" s="1"/>
  <c r="R418" i="36" s="1"/>
  <c r="R430" i="36" s="1"/>
  <c r="R442" i="36" s="1"/>
  <c r="S382" i="36"/>
  <c r="S394" i="36" s="1"/>
  <c r="S406" i="36" s="1"/>
  <c r="S418" i="36" s="1"/>
  <c r="S430" i="36" s="1"/>
  <c r="S442" i="36" s="1"/>
  <c r="M308" i="79"/>
  <c r="T370" i="36"/>
  <c r="BA138" i="9"/>
  <c r="Y12" i="81"/>
  <c r="Z12" i="81" s="1"/>
  <c r="T358" i="36"/>
  <c r="AE24" i="2"/>
  <c r="AG19" i="2"/>
  <c r="AY138" i="9"/>
  <c r="AL19" i="2"/>
  <c r="AS24" i="2"/>
  <c r="AW138" i="9"/>
  <c r="AI24" i="2"/>
  <c r="AC24" i="2"/>
  <c r="AK24" i="2"/>
  <c r="AH24" i="2"/>
  <c r="X19" i="2"/>
  <c r="AX138" i="9"/>
  <c r="AG135" i="9"/>
  <c r="AN138" i="9"/>
  <c r="AN135" i="9" s="1"/>
  <c r="AT138" i="9"/>
  <c r="AI28" i="9"/>
  <c r="AI138" i="9"/>
  <c r="AI135" i="9" s="1"/>
  <c r="AA28" i="9"/>
  <c r="AA138" i="9"/>
  <c r="AA135" i="9" s="1"/>
  <c r="AV19" i="2"/>
  <c r="W36" i="1"/>
  <c r="AB19" i="2"/>
  <c r="AO19" i="2"/>
  <c r="AN19" i="2"/>
  <c r="AD19" i="2"/>
  <c r="AN28" i="9"/>
  <c r="W104" i="46"/>
  <c r="X94" i="46"/>
  <c r="X103" i="46" s="1"/>
  <c r="AG25" i="44"/>
  <c r="AG32" i="44" s="1"/>
  <c r="AG38" i="44" s="1"/>
  <c r="F13" i="32"/>
  <c r="G6" i="32"/>
  <c r="Y13" i="32"/>
  <c r="X13" i="31"/>
  <c r="U91" i="46"/>
  <c r="U106" i="46"/>
  <c r="C57" i="79"/>
  <c r="P48" i="79"/>
  <c r="R48" i="79" s="1"/>
  <c r="BD171" i="73"/>
  <c r="BD321" i="73" s="1"/>
  <c r="BE167" i="73"/>
  <c r="AD12" i="32"/>
  <c r="AD24" i="32"/>
  <c r="AD30" i="32" s="1"/>
  <c r="N24" i="32"/>
  <c r="N30" i="32" s="1"/>
  <c r="N12" i="32"/>
  <c r="N13" i="32" s="1"/>
  <c r="N357" i="79" l="1"/>
  <c r="AH27" i="9"/>
  <c r="AM38" i="9"/>
  <c r="AM131" i="9"/>
  <c r="AM11" i="9"/>
  <c r="AM23" i="9"/>
  <c r="AM48" i="9"/>
  <c r="AM5" i="9"/>
  <c r="AM63" i="9"/>
  <c r="AM56" i="9"/>
  <c r="AM34" i="9"/>
  <c r="AK27" i="9"/>
  <c r="AA24" i="2"/>
  <c r="H365" i="79"/>
  <c r="H373" i="79" s="1"/>
  <c r="H382" i="79" s="1"/>
  <c r="H391" i="79" s="1"/>
  <c r="AJ27" i="9"/>
  <c r="Q330" i="79"/>
  <c r="Q341" i="79" s="1"/>
  <c r="BB28" i="9"/>
  <c r="BB26" i="9" s="1"/>
  <c r="BB138" i="9"/>
  <c r="BB135" i="9" s="1"/>
  <c r="BB139" i="9" s="1"/>
  <c r="N365" i="79"/>
  <c r="N373" i="79" s="1"/>
  <c r="N382" i="79" s="1"/>
  <c r="N391" i="79" s="1"/>
  <c r="L357" i="79"/>
  <c r="K330" i="79"/>
  <c r="K341" i="79" s="1"/>
  <c r="AU24" i="2"/>
  <c r="AT24" i="2"/>
  <c r="AF24" i="2"/>
  <c r="AQ24" i="2"/>
  <c r="AR24" i="2"/>
  <c r="Y24" i="2"/>
  <c r="W24" i="2"/>
  <c r="Z24" i="2"/>
  <c r="AP24" i="2"/>
  <c r="M319" i="79"/>
  <c r="AA12" i="81"/>
  <c r="T382" i="36"/>
  <c r="T394" i="36" s="1"/>
  <c r="T406" i="36" s="1"/>
  <c r="T418" i="36" s="1"/>
  <c r="T430" i="36" s="1"/>
  <c r="AL24" i="2"/>
  <c r="AB24" i="2"/>
  <c r="X24" i="2"/>
  <c r="AD24" i="2"/>
  <c r="AO24" i="2"/>
  <c r="AT27" i="9"/>
  <c r="AG24" i="2"/>
  <c r="AN24" i="2"/>
  <c r="AP138" i="9"/>
  <c r="AP135" i="9" s="1"/>
  <c r="AO138" i="9"/>
  <c r="AO135" i="9" s="1"/>
  <c r="AL138" i="9"/>
  <c r="AL135" i="9" s="1"/>
  <c r="AR138" i="9"/>
  <c r="AR135" i="9" s="1"/>
  <c r="AQ138" i="9"/>
  <c r="AQ135" i="9" s="1"/>
  <c r="AS138" i="9"/>
  <c r="AJ138" i="9"/>
  <c r="AJ135" i="9" s="1"/>
  <c r="AS27" i="9"/>
  <c r="AK28" i="9"/>
  <c r="AK138" i="9"/>
  <c r="AK135" i="9" s="1"/>
  <c r="AB28" i="9"/>
  <c r="AB138" i="9"/>
  <c r="AB135" i="9" s="1"/>
  <c r="AV24" i="2"/>
  <c r="AQ28" i="9"/>
  <c r="AR28" i="9"/>
  <c r="AL28" i="9"/>
  <c r="AJ28" i="9"/>
  <c r="AP28" i="9"/>
  <c r="AO28" i="9"/>
  <c r="AH25" i="44"/>
  <c r="AH32" i="44" s="1"/>
  <c r="AH38" i="44" s="1"/>
  <c r="G12" i="32"/>
  <c r="G24" i="32"/>
  <c r="G30" i="32" s="1"/>
  <c r="U113" i="46"/>
  <c r="U92" i="46"/>
  <c r="V82" i="46"/>
  <c r="X104" i="46"/>
  <c r="Y94" i="46"/>
  <c r="Y103" i="46" s="1"/>
  <c r="BE171" i="73"/>
  <c r="BE321" i="73" s="1"/>
  <c r="BF167" i="73"/>
  <c r="P57" i="79"/>
  <c r="R57" i="79" s="1"/>
  <c r="C61" i="79"/>
  <c r="AD13" i="32"/>
  <c r="AC13" i="31"/>
  <c r="AE6" i="32"/>
  <c r="L365" i="79" l="1"/>
  <c r="L373" i="79" s="1"/>
  <c r="L382" i="79" s="1"/>
  <c r="L391" i="79" s="1"/>
  <c r="BB140" i="9"/>
  <c r="BC138" i="9"/>
  <c r="BC135" i="9" s="1"/>
  <c r="BC28" i="9"/>
  <c r="BC26" i="9" s="1"/>
  <c r="AB12" i="81"/>
  <c r="AC12" i="81" s="1"/>
  <c r="AD12" i="81" s="1"/>
  <c r="AE12" i="81" s="1"/>
  <c r="M330" i="79"/>
  <c r="M341" i="79" s="1"/>
  <c r="Q349" i="79"/>
  <c r="Q357" i="79" s="1"/>
  <c r="K349" i="79"/>
  <c r="AT132" i="9"/>
  <c r="AT134" i="9" s="1"/>
  <c r="AS132" i="9"/>
  <c r="AS134" i="9" s="1"/>
  <c r="AD28" i="9"/>
  <c r="AD138" i="9"/>
  <c r="AD135" i="9" s="1"/>
  <c r="AC28" i="9"/>
  <c r="AC138" i="9"/>
  <c r="AC135" i="9" s="1"/>
  <c r="BF171" i="73"/>
  <c r="BF321" i="73" s="1"/>
  <c r="BG167" i="73"/>
  <c r="G13" i="32"/>
  <c r="H6" i="32"/>
  <c r="Y104" i="46"/>
  <c r="Z94" i="46"/>
  <c r="Z103" i="46" s="1"/>
  <c r="AI25" i="44"/>
  <c r="AI32" i="44" s="1"/>
  <c r="AI38" i="44" s="1"/>
  <c r="AE24" i="32"/>
  <c r="AE30" i="32" s="1"/>
  <c r="AE12" i="32"/>
  <c r="V106" i="46"/>
  <c r="V91" i="46"/>
  <c r="C66" i="79"/>
  <c r="P61" i="79"/>
  <c r="R61" i="79" s="1"/>
  <c r="BC139" i="9" l="1"/>
  <c r="BC140" i="9"/>
  <c r="BD138" i="9"/>
  <c r="Q365" i="79"/>
  <c r="Q373" i="79" s="1"/>
  <c r="Q382" i="79" s="1"/>
  <c r="M349" i="79"/>
  <c r="AJ25" i="44"/>
  <c r="AJ32" i="44" s="1"/>
  <c r="AJ38" i="44" s="1"/>
  <c r="P66" i="79"/>
  <c r="R66" i="79" s="1"/>
  <c r="C75" i="79"/>
  <c r="V113" i="46"/>
  <c r="W82" i="46"/>
  <c r="V92" i="46"/>
  <c r="BH167" i="73"/>
  <c r="BG171" i="73"/>
  <c r="BG321" i="73" s="1"/>
  <c r="AE13" i="32"/>
  <c r="AF6" i="32"/>
  <c r="AD13" i="31"/>
  <c r="H12" i="32"/>
  <c r="H24" i="32"/>
  <c r="H30" i="32" s="1"/>
  <c r="Z104" i="46"/>
  <c r="AA94" i="46"/>
  <c r="AA103" i="46" s="1"/>
  <c r="BE138" i="9" l="1"/>
  <c r="M357" i="79"/>
  <c r="AE28" i="9"/>
  <c r="AE138" i="9"/>
  <c r="AE135" i="9" s="1"/>
  <c r="AF28" i="9"/>
  <c r="AF138" i="9"/>
  <c r="AF135" i="9" s="1"/>
  <c r="AA104" i="46"/>
  <c r="AB94" i="46"/>
  <c r="AB103" i="46" s="1"/>
  <c r="H13" i="32"/>
  <c r="I6" i="32"/>
  <c r="BI167" i="73"/>
  <c r="BH171" i="73"/>
  <c r="BH321" i="73" s="1"/>
  <c r="W91" i="46"/>
  <c r="W106" i="46"/>
  <c r="AF24" i="32"/>
  <c r="AF30" i="32" s="1"/>
  <c r="AF12" i="32"/>
  <c r="AK25" i="44"/>
  <c r="AK32" i="44" s="1"/>
  <c r="C85" i="79"/>
  <c r="P75" i="79"/>
  <c r="R75" i="79" s="1"/>
  <c r="AM19" i="33" l="1"/>
  <c r="AM33" i="33" s="1"/>
  <c r="AM21" i="61"/>
  <c r="AM37" i="61" s="1"/>
  <c r="M365" i="79"/>
  <c r="M373" i="79" s="1"/>
  <c r="M382" i="79" s="1"/>
  <c r="M391" i="79" s="1"/>
  <c r="AK38" i="44"/>
  <c r="AL25" i="44"/>
  <c r="AL32" i="44" s="1"/>
  <c r="AB104" i="46"/>
  <c r="AC94" i="46"/>
  <c r="AC103" i="46" s="1"/>
  <c r="AD94" i="46" s="1"/>
  <c r="AD103" i="46" s="1"/>
  <c r="C95" i="79"/>
  <c r="P85" i="79"/>
  <c r="R85" i="79" s="1"/>
  <c r="W113" i="46"/>
  <c r="X82" i="46"/>
  <c r="W92" i="46"/>
  <c r="I12" i="32"/>
  <c r="I24" i="32"/>
  <c r="I30" i="32" s="1"/>
  <c r="AF13" i="32"/>
  <c r="AE13" i="31"/>
  <c r="AG6" i="32"/>
  <c r="BI171" i="73"/>
  <c r="BI321" i="73" s="1"/>
  <c r="BJ167" i="73"/>
  <c r="AM41" i="49" l="1"/>
  <c r="AM23" i="49"/>
  <c r="AM13" i="30"/>
  <c r="AM20" i="30"/>
  <c r="AM24" i="44"/>
  <c r="BL41" i="3"/>
  <c r="BK41" i="3"/>
  <c r="BJ41" i="3"/>
  <c r="BI41" i="3"/>
  <c r="BH41" i="3"/>
  <c r="BG41" i="3"/>
  <c r="AL38" i="44"/>
  <c r="AM25" i="44"/>
  <c r="AM32" i="44" s="1"/>
  <c r="BJ171" i="73"/>
  <c r="BJ321" i="73" s="1"/>
  <c r="BK167" i="73"/>
  <c r="X106" i="46"/>
  <c r="X91" i="46"/>
  <c r="I13" i="32"/>
  <c r="J6" i="32"/>
  <c r="P95" i="79"/>
  <c r="R95" i="79" s="1"/>
  <c r="C105" i="79"/>
  <c r="AG24" i="32"/>
  <c r="AG30" i="32" s="1"/>
  <c r="AG12" i="32"/>
  <c r="AD104" i="46"/>
  <c r="AE94" i="46"/>
  <c r="AE103" i="46" s="1"/>
  <c r="AN25" i="44" l="1"/>
  <c r="AM38" i="44"/>
  <c r="BM41" i="3"/>
  <c r="BK171" i="73"/>
  <c r="BK321" i="73" s="1"/>
  <c r="BL167" i="73"/>
  <c r="AH6" i="32"/>
  <c r="AG13" i="32"/>
  <c r="AF13" i="31"/>
  <c r="J12" i="32"/>
  <c r="J24" i="32"/>
  <c r="J30" i="32" s="1"/>
  <c r="AF94" i="46"/>
  <c r="AF103" i="46" s="1"/>
  <c r="AE104" i="46"/>
  <c r="X92" i="46"/>
  <c r="Y82" i="46"/>
  <c r="X113" i="46"/>
  <c r="C116" i="79"/>
  <c r="C128" i="79" s="1"/>
  <c r="C140" i="79" s="1"/>
  <c r="C152" i="79" s="1"/>
  <c r="C164" i="79" s="1"/>
  <c r="C173" i="79" s="1"/>
  <c r="C182" i="79" s="1"/>
  <c r="C192" i="79" s="1"/>
  <c r="C202" i="79" s="1"/>
  <c r="C214" i="79" s="1"/>
  <c r="P105" i="79"/>
  <c r="BO41" i="3" l="1"/>
  <c r="BN41" i="3"/>
  <c r="AM14" i="31"/>
  <c r="AM23" i="31"/>
  <c r="C219" i="79"/>
  <c r="C225" i="79" s="1"/>
  <c r="R105" i="79"/>
  <c r="R116" i="79" s="1"/>
  <c r="R128" i="79" s="1"/>
  <c r="R140" i="79" s="1"/>
  <c r="R152" i="79" s="1"/>
  <c r="R164" i="79" s="1"/>
  <c r="R173" i="79" s="1"/>
  <c r="R182" i="79" s="1"/>
  <c r="R192" i="79" s="1"/>
  <c r="R202" i="79" s="1"/>
  <c r="R214" i="79" s="1"/>
  <c r="R219" i="79" s="1"/>
  <c r="R225" i="79" s="1"/>
  <c r="R231" i="79" s="1"/>
  <c r="P116" i="79"/>
  <c r="P128" i="79" s="1"/>
  <c r="P140" i="79" s="1"/>
  <c r="P152" i="79" s="1"/>
  <c r="P164" i="79" s="1"/>
  <c r="P173" i="79" s="1"/>
  <c r="P182" i="79" s="1"/>
  <c r="P192" i="79" s="1"/>
  <c r="P202" i="79" s="1"/>
  <c r="P214" i="79" s="1"/>
  <c r="P219" i="79" s="1"/>
  <c r="P225" i="79" s="1"/>
  <c r="P231" i="79" s="1"/>
  <c r="Y106" i="46"/>
  <c r="Y91" i="46"/>
  <c r="BL171" i="73"/>
  <c r="BL321" i="73" s="1"/>
  <c r="BM167" i="73"/>
  <c r="BM171" i="73" s="1"/>
  <c r="AH24" i="32"/>
  <c r="AH30" i="32" s="1"/>
  <c r="AH12" i="32"/>
  <c r="AF104" i="46"/>
  <c r="AG94" i="46"/>
  <c r="AG103" i="46" s="1"/>
  <c r="J13" i="32"/>
  <c r="K6" i="32"/>
  <c r="K24" i="32" s="1"/>
  <c r="K30" i="32" s="1"/>
  <c r="C231" i="79" l="1"/>
  <c r="C242" i="79" s="1"/>
  <c r="P242" i="79"/>
  <c r="P246" i="79" s="1"/>
  <c r="P252" i="79" s="1"/>
  <c r="P258" i="79" s="1"/>
  <c r="P268" i="79" s="1"/>
  <c r="R242" i="79"/>
  <c r="R246" i="79" s="1"/>
  <c r="R252" i="79" s="1"/>
  <c r="R258" i="79" s="1"/>
  <c r="R268" i="79" s="1"/>
  <c r="AI6" i="32"/>
  <c r="AH13" i="32"/>
  <c r="AG13" i="31"/>
  <c r="AH94" i="46"/>
  <c r="AH103" i="46" s="1"/>
  <c r="AG104" i="46"/>
  <c r="Y113" i="46"/>
  <c r="Z82" i="46"/>
  <c r="Y92" i="46"/>
  <c r="C246" i="79" l="1"/>
  <c r="C252" i="79" s="1"/>
  <c r="Z106" i="46"/>
  <c r="Z91" i="46"/>
  <c r="AI24" i="32"/>
  <c r="AI30" i="32" s="1"/>
  <c r="AI12" i="32"/>
  <c r="AH104" i="46"/>
  <c r="AI94" i="46"/>
  <c r="AI103" i="46" s="1"/>
  <c r="C258" i="79" l="1"/>
  <c r="C268" i="79" s="1"/>
  <c r="AJ94" i="46"/>
  <c r="AJ103" i="46" s="1"/>
  <c r="AK94" i="46" s="1"/>
  <c r="AK103" i="46" s="1"/>
  <c r="AL94" i="46" s="1"/>
  <c r="AL103" i="46" s="1"/>
  <c r="AM94" i="46" s="1"/>
  <c r="AM103" i="46" s="1"/>
  <c r="AN94" i="46" s="1"/>
  <c r="AI104" i="46"/>
  <c r="AJ6" i="32"/>
  <c r="AJ12" i="32" s="1"/>
  <c r="AK6" i="32" s="1"/>
  <c r="AI13" i="32"/>
  <c r="Z113" i="46"/>
  <c r="Z92" i="46"/>
  <c r="AA82" i="46"/>
  <c r="C278" i="79" l="1"/>
  <c r="AK24" i="32"/>
  <c r="AK30" i="32" s="1"/>
  <c r="AK12" i="32"/>
  <c r="AA106" i="46"/>
  <c r="AA91" i="46"/>
  <c r="C288" i="79" l="1"/>
  <c r="C298" i="79" s="1"/>
  <c r="AB82" i="46"/>
  <c r="AA113" i="46"/>
  <c r="AA92" i="46"/>
  <c r="AK13" i="32"/>
  <c r="AJ13" i="31"/>
  <c r="C308" i="79" l="1"/>
  <c r="AB106" i="46"/>
  <c r="AB91" i="46"/>
  <c r="C319" i="79" l="1"/>
  <c r="C330" i="79" s="1"/>
  <c r="C341" i="79" s="1"/>
  <c r="AB92" i="46"/>
  <c r="AB113" i="46"/>
  <c r="AC82" i="46"/>
  <c r="C349" i="79" l="1"/>
  <c r="AC106" i="46"/>
  <c r="AC91" i="46"/>
  <c r="C357" i="79" l="1"/>
  <c r="AC113" i="46"/>
  <c r="AD82" i="46"/>
  <c r="C365" i="79" l="1"/>
  <c r="C373" i="79" s="1"/>
  <c r="C382" i="79" s="1"/>
  <c r="C391" i="79" s="1"/>
  <c r="AD106" i="46"/>
  <c r="AD91" i="46"/>
  <c r="AM161" i="83" l="1"/>
  <c r="AM150" i="83"/>
  <c r="AM116" i="83"/>
  <c r="AM130" i="83"/>
  <c r="AM92" i="83"/>
  <c r="AM35" i="83"/>
  <c r="AU150" i="83"/>
  <c r="AD92" i="46"/>
  <c r="AE82" i="46"/>
  <c r="AD113" i="46"/>
  <c r="AU130" i="83" l="1"/>
  <c r="AU92" i="83"/>
  <c r="AU116" i="83"/>
  <c r="AU35" i="83"/>
  <c r="AU161" i="83"/>
  <c r="AE106" i="46"/>
  <c r="AE91" i="46"/>
  <c r="AE113" i="46" l="1"/>
  <c r="AE92" i="46"/>
  <c r="AF82" i="46"/>
  <c r="AF106" i="46" l="1"/>
  <c r="AF91" i="46"/>
  <c r="AG82" i="46" l="1"/>
  <c r="AF92" i="46"/>
  <c r="AF113" i="46"/>
  <c r="AG106" i="46" l="1"/>
  <c r="AG91" i="46"/>
  <c r="AM17" i="63" l="1"/>
  <c r="AG92" i="46"/>
  <c r="AG113" i="46"/>
  <c r="AH82" i="46"/>
  <c r="AH106" i="46" l="1"/>
  <c r="AH91" i="46"/>
  <c r="AM41" i="3" l="1"/>
  <c r="AH113" i="46"/>
  <c r="AH92" i="46"/>
  <c r="AI82" i="46"/>
  <c r="AM11" i="39" l="1"/>
  <c r="AI106" i="46"/>
  <c r="AI91" i="46"/>
  <c r="AM15" i="26" l="1"/>
  <c r="AJ82" i="46"/>
  <c r="AI92" i="46"/>
  <c r="AI113" i="46"/>
  <c r="AM12" i="53" l="1"/>
  <c r="AM19" i="53"/>
  <c r="AM37" i="52"/>
  <c r="AM21" i="52"/>
  <c r="DG5" i="34"/>
  <c r="AM15" i="45"/>
  <c r="AM25" i="45"/>
  <c r="AM63" i="71"/>
  <c r="AM34" i="71"/>
  <c r="AJ91" i="46"/>
  <c r="AJ106" i="46"/>
  <c r="AM21" i="65" l="1"/>
  <c r="AM13" i="65"/>
  <c r="AM74" i="46"/>
  <c r="AM62" i="46"/>
  <c r="AM68" i="46"/>
  <c r="AM17" i="46"/>
  <c r="AM93" i="46"/>
  <c r="AM24" i="46"/>
  <c r="AM30" i="46"/>
  <c r="AM43" i="46"/>
  <c r="AM11" i="46"/>
  <c r="AM105" i="46"/>
  <c r="AM81" i="46"/>
  <c r="AM36" i="46"/>
  <c r="AM55" i="46"/>
  <c r="AM49" i="46"/>
  <c r="AM15" i="29"/>
  <c r="AM10" i="29"/>
  <c r="AJ113" i="46"/>
  <c r="AK82" i="46"/>
  <c r="AK91" i="46" l="1"/>
  <c r="AK106" i="46"/>
  <c r="AK113" i="46" l="1"/>
  <c r="AL82" i="46"/>
  <c r="AL106" i="46" l="1"/>
  <c r="AL91" i="46"/>
  <c r="AL113" i="46" l="1"/>
  <c r="AM82" i="46"/>
  <c r="AM106" i="46" l="1"/>
  <c r="AM91" i="46"/>
  <c r="AR39" i="12"/>
  <c r="AR34" i="12"/>
  <c r="S34" i="12"/>
  <c r="T34" i="12"/>
  <c r="I34" i="12"/>
  <c r="R34" i="12"/>
  <c r="AJ34" i="12"/>
  <c r="E34" i="12"/>
  <c r="AI34" i="12"/>
  <c r="W34" i="12"/>
  <c r="AK34" i="12"/>
  <c r="AL34" i="12"/>
  <c r="V34" i="12"/>
  <c r="AP34" i="12"/>
  <c r="Z34" i="12"/>
  <c r="AC34" i="12"/>
  <c r="AO34" i="12"/>
  <c r="Q34" i="12"/>
  <c r="AE34" i="12"/>
  <c r="H34" i="12"/>
  <c r="F34" i="12"/>
  <c r="AD34" i="12"/>
  <c r="L34" i="12"/>
  <c r="AQ34" i="12"/>
  <c r="AB34" i="12"/>
  <c r="O34" i="12"/>
  <c r="X34" i="12"/>
  <c r="P34" i="12"/>
  <c r="AG34" i="12"/>
  <c r="D34" i="12"/>
  <c r="Y34" i="12"/>
  <c r="G34" i="12"/>
  <c r="AN34" i="12"/>
  <c r="AB39" i="12"/>
  <c r="AA34" i="12"/>
  <c r="L39" i="12"/>
  <c r="N34" i="12"/>
  <c r="AH34" i="12"/>
  <c r="K34" i="12"/>
  <c r="AF34" i="12"/>
  <c r="U34" i="12"/>
  <c r="M34" i="12"/>
  <c r="AO39" i="12"/>
  <c r="T39" i="12"/>
  <c r="F39" i="12"/>
  <c r="AI39" i="12"/>
  <c r="AF39" i="12"/>
  <c r="V39" i="12"/>
  <c r="D39" i="12"/>
  <c r="W39" i="12"/>
  <c r="H39" i="12"/>
  <c r="AP39" i="12"/>
  <c r="M39" i="12"/>
  <c r="Q39" i="12"/>
  <c r="J39" i="12"/>
  <c r="J34" i="12"/>
  <c r="AD39" i="12"/>
  <c r="O39" i="12"/>
  <c r="C34" i="12"/>
  <c r="C39" i="12"/>
  <c r="AC39" i="12"/>
  <c r="G39" i="12"/>
  <c r="Z39" i="12"/>
  <c r="E39" i="12"/>
  <c r="AL39" i="12"/>
  <c r="R39" i="12"/>
  <c r="AQ39" i="12"/>
  <c r="AG39" i="12"/>
  <c r="AN39" i="12"/>
  <c r="AE39" i="12"/>
  <c r="AH24" i="9" s="1"/>
  <c r="AA39" i="12"/>
  <c r="N39" i="12"/>
  <c r="X39" i="12"/>
  <c r="U39" i="12"/>
  <c r="Y39" i="12"/>
  <c r="AH39" i="12"/>
  <c r="S39" i="12"/>
  <c r="I39" i="12"/>
  <c r="P39" i="12"/>
  <c r="K39" i="12"/>
  <c r="AK39" i="12"/>
  <c r="AJ39" i="12"/>
  <c r="AM24" i="9" s="1"/>
  <c r="AP24" i="9" l="1"/>
  <c r="AT15" i="9"/>
  <c r="AE24" i="9"/>
  <c r="AM16" i="9"/>
  <c r="AP15" i="9"/>
  <c r="AP19" i="9"/>
  <c r="AQ16" i="9"/>
  <c r="AM15" i="9"/>
  <c r="AM19" i="9"/>
  <c r="AN82" i="46"/>
  <c r="AM113" i="46"/>
  <c r="AS15" i="9"/>
  <c r="AO15" i="9"/>
  <c r="AQ15" i="9"/>
  <c r="AR15" i="9"/>
  <c r="L24" i="9"/>
  <c r="AL24" i="9"/>
  <c r="F24" i="9"/>
  <c r="AQ24" i="9"/>
  <c r="V24" i="9"/>
  <c r="AF24" i="9"/>
  <c r="P24" i="9"/>
  <c r="I24" i="9"/>
  <c r="AB24" i="9"/>
  <c r="T24" i="9"/>
  <c r="X24" i="9"/>
  <c r="AK24" i="9"/>
  <c r="J24" i="9"/>
  <c r="M24" i="9"/>
  <c r="AI24" i="9"/>
  <c r="W24" i="9"/>
  <c r="K24" i="9"/>
  <c r="AR24" i="9"/>
  <c r="O24" i="9"/>
  <c r="AN24" i="9"/>
  <c r="AA24" i="9"/>
  <c r="AO24" i="9"/>
  <c r="AG24" i="9"/>
  <c r="Z24" i="9"/>
  <c r="R24" i="9"/>
  <c r="Q24" i="9"/>
  <c r="G24" i="9"/>
  <c r="AJ24" i="9"/>
  <c r="U24" i="9"/>
  <c r="N24" i="9"/>
  <c r="H24" i="9"/>
  <c r="S24" i="9"/>
  <c r="AD24" i="9"/>
  <c r="AC24" i="9"/>
  <c r="Y24" i="9"/>
  <c r="G35" i="12"/>
  <c r="AQ35" i="12"/>
  <c r="AP35" i="12"/>
  <c r="AS19" i="9"/>
  <c r="AG35" i="12"/>
  <c r="AO35" i="12"/>
  <c r="AR35" i="12"/>
  <c r="X16" i="9"/>
  <c r="AA42" i="12"/>
  <c r="AA44" i="12" s="1"/>
  <c r="AA48" i="12" s="1"/>
  <c r="AH42" i="12"/>
  <c r="AH44" i="12" s="1"/>
  <c r="AH48" i="12" s="1"/>
  <c r="AN42" i="12"/>
  <c r="AN44" i="12" s="1"/>
  <c r="AN48" i="12" s="1"/>
  <c r="AC42" i="12"/>
  <c r="AC44" i="12" s="1"/>
  <c r="AC48" i="12" s="1"/>
  <c r="H42" i="12"/>
  <c r="H44" i="12" s="1"/>
  <c r="H48" i="12" s="1"/>
  <c r="T42" i="12"/>
  <c r="T44" i="12" s="1"/>
  <c r="T48" i="12" s="1"/>
  <c r="I42" i="12"/>
  <c r="I44" i="12" s="1"/>
  <c r="I48" i="12" s="1"/>
  <c r="AI42" i="12"/>
  <c r="AI44" i="12" s="1"/>
  <c r="AI48" i="12" s="1"/>
  <c r="S42" i="12"/>
  <c r="S44" i="12" s="1"/>
  <c r="S48" i="12" s="1"/>
  <c r="AJ42" i="12"/>
  <c r="AJ44" i="12" s="1"/>
  <c r="AJ48" i="12" s="1"/>
  <c r="Y42" i="12"/>
  <c r="Y44" i="12" s="1"/>
  <c r="Y48" i="12" s="1"/>
  <c r="AG42" i="12"/>
  <c r="AG44" i="12" s="1"/>
  <c r="AG48" i="12" s="1"/>
  <c r="C42" i="12"/>
  <c r="C44" i="12" s="1"/>
  <c r="C48" i="12" s="1"/>
  <c r="J42" i="12"/>
  <c r="J44" i="12" s="1"/>
  <c r="J48" i="12" s="1"/>
  <c r="W42" i="12"/>
  <c r="W44" i="12" s="1"/>
  <c r="W48" i="12" s="1"/>
  <c r="AO42" i="12"/>
  <c r="AO44" i="12" s="1"/>
  <c r="AO48" i="12" s="1"/>
  <c r="L42" i="12"/>
  <c r="L44" i="12" s="1"/>
  <c r="L48" i="12" s="1"/>
  <c r="Z42" i="12"/>
  <c r="Z44" i="12" s="1"/>
  <c r="Z48" i="12" s="1"/>
  <c r="G42" i="12"/>
  <c r="G44" i="12" s="1"/>
  <c r="G48" i="12" s="1"/>
  <c r="U42" i="12"/>
  <c r="U44" i="12" s="1"/>
  <c r="U48" i="12" s="1"/>
  <c r="AQ42" i="12"/>
  <c r="AQ44" i="12" s="1"/>
  <c r="AQ48" i="12" s="1"/>
  <c r="Q42" i="12"/>
  <c r="Q44" i="12" s="1"/>
  <c r="Q48" i="12" s="1"/>
  <c r="D42" i="12"/>
  <c r="D44" i="12" s="1"/>
  <c r="D48" i="12" s="1"/>
  <c r="AK42" i="12"/>
  <c r="AK44" i="12" s="1"/>
  <c r="AK48" i="12" s="1"/>
  <c r="X42" i="12"/>
  <c r="X44" i="12" s="1"/>
  <c r="X48" i="12" s="1"/>
  <c r="R42" i="12"/>
  <c r="R44" i="12" s="1"/>
  <c r="R48" i="12" s="1"/>
  <c r="V42" i="12"/>
  <c r="V44" i="12" s="1"/>
  <c r="V48" i="12" s="1"/>
  <c r="O42" i="12"/>
  <c r="O44" i="12" s="1"/>
  <c r="O48" i="12" s="1"/>
  <c r="AB42" i="12"/>
  <c r="AB44" i="12" s="1"/>
  <c r="AB48" i="12" s="1"/>
  <c r="AD42" i="12"/>
  <c r="AD44" i="12" s="1"/>
  <c r="AD48" i="12" s="1"/>
  <c r="AE42" i="12"/>
  <c r="AE44" i="12" s="1"/>
  <c r="AE48" i="12" s="1"/>
  <c r="F42" i="12"/>
  <c r="F44" i="12" s="1"/>
  <c r="F48" i="12" s="1"/>
  <c r="K42" i="12"/>
  <c r="K44" i="12" s="1"/>
  <c r="K48" i="12" s="1"/>
  <c r="AL42" i="12"/>
  <c r="AL44" i="12" s="1"/>
  <c r="AL48" i="12" s="1"/>
  <c r="M42" i="12"/>
  <c r="M44" i="12" s="1"/>
  <c r="M48" i="12" s="1"/>
  <c r="P42" i="12"/>
  <c r="P44" i="12" s="1"/>
  <c r="P48" i="12" s="1"/>
  <c r="N42" i="12"/>
  <c r="N44" i="12" s="1"/>
  <c r="N48" i="12" s="1"/>
  <c r="E42" i="12"/>
  <c r="E44" i="12" s="1"/>
  <c r="E48" i="12" s="1"/>
  <c r="AP42" i="12"/>
  <c r="AP44" i="12" s="1"/>
  <c r="AP48" i="12" s="1"/>
  <c r="AF42" i="12"/>
  <c r="AF44" i="12" s="1"/>
  <c r="AF48" i="12" s="1"/>
  <c r="L35" i="12"/>
  <c r="O20" i="9"/>
  <c r="O19" i="9"/>
  <c r="O16" i="9"/>
  <c r="O15" i="9"/>
  <c r="K20" i="9"/>
  <c r="K19" i="9"/>
  <c r="K16" i="9"/>
  <c r="H35" i="12"/>
  <c r="J20" i="9"/>
  <c r="C35" i="12"/>
  <c r="F16" i="9"/>
  <c r="F20" i="9"/>
  <c r="F19" i="9"/>
  <c r="M20" i="9"/>
  <c r="M16" i="9"/>
  <c r="M19" i="9"/>
  <c r="J35" i="12"/>
  <c r="Q20" i="9"/>
  <c r="Q19" i="9"/>
  <c r="N35" i="12"/>
  <c r="Q15" i="9"/>
  <c r="Q16" i="9"/>
  <c r="G20" i="9"/>
  <c r="G16" i="9"/>
  <c r="D35" i="12"/>
  <c r="G19" i="9"/>
  <c r="R15" i="9"/>
  <c r="O35" i="12"/>
  <c r="R20" i="9"/>
  <c r="R16" i="9"/>
  <c r="R19" i="9"/>
  <c r="Y19" i="9"/>
  <c r="Y15" i="9"/>
  <c r="Y20" i="9"/>
  <c r="V35" i="12"/>
  <c r="Y16" i="9"/>
  <c r="U20" i="9"/>
  <c r="R35" i="12"/>
  <c r="U16" i="9"/>
  <c r="U15" i="9"/>
  <c r="U19" i="9"/>
  <c r="X20" i="9"/>
  <c r="K35" i="12"/>
  <c r="N19" i="9"/>
  <c r="N15" i="9"/>
  <c r="N16" i="9"/>
  <c r="N20" i="9"/>
  <c r="AE15" i="9"/>
  <c r="AE20" i="9"/>
  <c r="AB35" i="12"/>
  <c r="AE16" i="9"/>
  <c r="AE19" i="9"/>
  <c r="AO16" i="9"/>
  <c r="AN15" i="9"/>
  <c r="AK35" i="12"/>
  <c r="AN19" i="9"/>
  <c r="E35" i="12"/>
  <c r="H20" i="9"/>
  <c r="H19" i="9"/>
  <c r="H16" i="9"/>
  <c r="U35" i="12"/>
  <c r="P16" i="9"/>
  <c r="P20" i="9"/>
  <c r="M35" i="12"/>
  <c r="P15" i="9"/>
  <c r="P19" i="9"/>
  <c r="AQ19" i="9"/>
  <c r="AN35" i="12"/>
  <c r="AR16" i="9"/>
  <c r="S15" i="9"/>
  <c r="S19" i="9"/>
  <c r="S16" i="9"/>
  <c r="S20" i="9"/>
  <c r="P35" i="12"/>
  <c r="AD35" i="12"/>
  <c r="AG15" i="9"/>
  <c r="AG20" i="9"/>
  <c r="AH16" i="9"/>
  <c r="AF16" i="9"/>
  <c r="AF15" i="9"/>
  <c r="AF19" i="9"/>
  <c r="AC35" i="12"/>
  <c r="AF20" i="9"/>
  <c r="AG16" i="9"/>
  <c r="AL35" i="12"/>
  <c r="AP16" i="9"/>
  <c r="AO19" i="9"/>
  <c r="Z15" i="9"/>
  <c r="Z16" i="9"/>
  <c r="W35" i="12"/>
  <c r="Z20" i="9"/>
  <c r="AR19" i="9"/>
  <c r="X15" i="9"/>
  <c r="AA15" i="9"/>
  <c r="AA16" i="9"/>
  <c r="AA20" i="9"/>
  <c r="AK16" i="9"/>
  <c r="I19" i="9"/>
  <c r="I20" i="9"/>
  <c r="I16" i="9"/>
  <c r="F35" i="12"/>
  <c r="AI20" i="9"/>
  <c r="AH15" i="9"/>
  <c r="AH20" i="9"/>
  <c r="AI16" i="9"/>
  <c r="AE35" i="12"/>
  <c r="AL15" i="9"/>
  <c r="AL19" i="9"/>
  <c r="AI35" i="12"/>
  <c r="AN16" i="9"/>
  <c r="AJ35" i="12"/>
  <c r="L20" i="9"/>
  <c r="I35" i="12"/>
  <c r="L19" i="9"/>
  <c r="L16" i="9"/>
  <c r="X19" i="9"/>
  <c r="AB20" i="9"/>
  <c r="AB16" i="9"/>
  <c r="Y35" i="12"/>
  <c r="AB15" i="9"/>
  <c r="AJ15" i="9"/>
  <c r="T15" i="9"/>
  <c r="T19" i="9"/>
  <c r="T20" i="9"/>
  <c r="Q35" i="12"/>
  <c r="T16" i="9"/>
  <c r="Z35" i="12"/>
  <c r="AC15" i="9"/>
  <c r="AC20" i="9"/>
  <c r="AC16" i="9"/>
  <c r="J16" i="9"/>
  <c r="V19" i="9"/>
  <c r="V15" i="9"/>
  <c r="V16" i="9"/>
  <c r="S35" i="12"/>
  <c r="V20" i="9"/>
  <c r="J19" i="9"/>
  <c r="AF35" i="12"/>
  <c r="AI15" i="9"/>
  <c r="AJ16" i="9"/>
  <c r="AK15" i="9"/>
  <c r="AH35" i="12"/>
  <c r="AK19" i="9"/>
  <c r="AL16" i="9"/>
  <c r="AD16" i="9"/>
  <c r="AD19" i="9"/>
  <c r="AD15" i="9"/>
  <c r="AA35" i="12"/>
  <c r="AD20" i="9"/>
  <c r="W16" i="9"/>
  <c r="T35" i="12"/>
  <c r="W19" i="9"/>
  <c r="W15" i="9"/>
  <c r="W20" i="9"/>
  <c r="AE25" i="9" l="1"/>
  <c r="AP25" i="9"/>
  <c r="AM25" i="9"/>
  <c r="AH25" i="9"/>
  <c r="AP50" i="12"/>
  <c r="AQ50" i="12"/>
  <c r="AL25" i="9"/>
  <c r="AD25" i="9"/>
  <c r="Z25" i="9"/>
  <c r="M25" i="9"/>
  <c r="I50" i="12"/>
  <c r="L25" i="9"/>
  <c r="H25" i="9"/>
  <c r="AD50" i="12"/>
  <c r="AG25" i="9"/>
  <c r="Q50" i="12"/>
  <c r="T25" i="9"/>
  <c r="W25" i="9"/>
  <c r="F50" i="12"/>
  <c r="I25" i="9"/>
  <c r="N50" i="12"/>
  <c r="Q25" i="9"/>
  <c r="AB50" i="12"/>
  <c r="C50" i="12"/>
  <c r="F25" i="9"/>
  <c r="H50" i="12"/>
  <c r="K25" i="9"/>
  <c r="AF50" i="12"/>
  <c r="AI25" i="9"/>
  <c r="S25" i="9"/>
  <c r="O50" i="12"/>
  <c r="R25" i="9"/>
  <c r="U50" i="12"/>
  <c r="X25" i="9"/>
  <c r="AG50" i="12"/>
  <c r="AJ25" i="9"/>
  <c r="D50" i="12"/>
  <c r="G25" i="9"/>
  <c r="M50" i="12"/>
  <c r="P25" i="9"/>
  <c r="V50" i="12"/>
  <c r="Y25" i="9"/>
  <c r="J25" i="9"/>
  <c r="AN50" i="12"/>
  <c r="AQ25" i="9"/>
  <c r="AF25" i="9"/>
  <c r="AO25" i="9"/>
  <c r="R50" i="12"/>
  <c r="U25" i="9"/>
  <c r="Z50" i="12"/>
  <c r="AC25" i="9"/>
  <c r="AJ50" i="12"/>
  <c r="AK25" i="9"/>
  <c r="AK50" i="12"/>
  <c r="AN25" i="9"/>
  <c r="AB25" i="9"/>
  <c r="K50" i="12"/>
  <c r="N25" i="9"/>
  <c r="X50" i="12"/>
  <c r="AA25" i="9"/>
  <c r="O25" i="9"/>
  <c r="V25" i="9"/>
  <c r="AL50" i="12"/>
  <c r="E50" i="12"/>
  <c r="J50" i="12"/>
  <c r="G50" i="12"/>
  <c r="AH50" i="12"/>
  <c r="AC50" i="12"/>
  <c r="AE50" i="12"/>
  <c r="Y50" i="12"/>
  <c r="S50" i="12"/>
  <c r="P50" i="12"/>
  <c r="AO50" i="12"/>
  <c r="L50" i="12"/>
  <c r="W50" i="12"/>
  <c r="K57" i="76"/>
  <c r="T50" i="12"/>
  <c r="AA50" i="12"/>
  <c r="AI50" i="12"/>
  <c r="W27" i="9" l="1"/>
  <c r="AI27" i="9"/>
  <c r="E26" i="2"/>
  <c r="E28" i="2" s="1"/>
  <c r="E30" i="2" s="1"/>
  <c r="H27" i="9"/>
  <c r="O27" i="9"/>
  <c r="S27" i="9"/>
  <c r="M27" i="9"/>
  <c r="V26" i="2"/>
  <c r="AC27" i="9"/>
  <c r="AV26" i="2"/>
  <c r="AM27" i="9"/>
  <c r="Q27" i="9"/>
  <c r="AO27" i="9"/>
  <c r="R27" i="9"/>
  <c r="K27" i="9"/>
  <c r="I27" i="9"/>
  <c r="P27" i="9"/>
  <c r="AA27" i="9"/>
  <c r="AG27" i="9"/>
  <c r="AF27" i="9"/>
  <c r="AS26" i="2"/>
  <c r="AS28" i="2" s="1"/>
  <c r="L27" i="9"/>
  <c r="AR27" i="9"/>
  <c r="C26" i="2"/>
  <c r="C28" i="2" s="1"/>
  <c r="C30" i="2" s="1"/>
  <c r="AN27" i="9"/>
  <c r="X27" i="9"/>
  <c r="AP27" i="9"/>
  <c r="U26" i="2"/>
  <c r="AQ27" i="9"/>
  <c r="F26" i="2"/>
  <c r="F28" i="2" s="1"/>
  <c r="F30" i="2" s="1"/>
  <c r="J27" i="9"/>
  <c r="U27" i="9"/>
  <c r="AA26" i="2"/>
  <c r="AA28" i="2" s="1"/>
  <c r="Y27" i="9"/>
  <c r="AB27" i="9"/>
  <c r="V27" i="9"/>
  <c r="AT26" i="2"/>
  <c r="AT28" i="2" s="1"/>
  <c r="T27" i="9"/>
  <c r="Z27" i="9"/>
  <c r="D26" i="2"/>
  <c r="D28" i="2" s="1"/>
  <c r="D30" i="2" s="1"/>
  <c r="N27" i="9"/>
  <c r="AP26" i="2"/>
  <c r="AP28" i="2" s="1"/>
  <c r="AP30" i="2" s="1"/>
  <c r="T26" i="2"/>
  <c r="G26" i="2"/>
  <c r="G28" i="2" s="1"/>
  <c r="G30" i="2" s="1"/>
  <c r="AD27" i="9"/>
  <c r="Z26" i="2"/>
  <c r="Z28" i="2" s="1"/>
  <c r="Y26" i="2"/>
  <c r="Y28" i="2" s="1"/>
  <c r="AE27" i="9"/>
  <c r="AQ26" i="2"/>
  <c r="AQ28" i="2" s="1"/>
  <c r="W26" i="2"/>
  <c r="W28" i="2" s="1"/>
  <c r="AN26" i="2"/>
  <c r="AN28" i="2" s="1"/>
  <c r="AN30" i="2" s="1"/>
  <c r="AO26" i="2"/>
  <c r="AO28" i="2" s="1"/>
  <c r="AO30" i="2" s="1"/>
  <c r="G27" i="9"/>
  <c r="X26" i="2"/>
  <c r="X28" i="2" s="1"/>
  <c r="AU26" i="2"/>
  <c r="AU28" i="2" s="1"/>
  <c r="AR26" i="2"/>
  <c r="AR28" i="2" s="1"/>
  <c r="AL27" i="9"/>
  <c r="AK26" i="2"/>
  <c r="AK28" i="2" s="1"/>
  <c r="AM132" i="9" l="1"/>
  <c r="AM134" i="9" s="1"/>
  <c r="AM26" i="9"/>
  <c r="AL132" i="9"/>
  <c r="AL134" i="9" s="1"/>
  <c r="AL139" i="9" s="1"/>
  <c r="AO132" i="9"/>
  <c r="AQ132" i="9"/>
  <c r="AQ134" i="9" s="1"/>
  <c r="AQ139" i="9" s="1"/>
  <c r="AP132" i="9"/>
  <c r="AP134" i="9" s="1"/>
  <c r="AP140" i="9" s="1"/>
  <c r="AR132" i="9"/>
  <c r="AR134" i="9" s="1"/>
  <c r="AR140" i="9" s="1"/>
  <c r="AN132" i="9"/>
  <c r="AN134" i="9" s="1"/>
  <c r="AN139" i="9" s="1"/>
  <c r="AB26" i="9"/>
  <c r="AB132" i="9"/>
  <c r="AB134" i="9" s="1"/>
  <c r="X26" i="9"/>
  <c r="X132" i="9"/>
  <c r="X134" i="9" s="1"/>
  <c r="H26" i="9"/>
  <c r="H132" i="9"/>
  <c r="H134" i="9" s="1"/>
  <c r="O26" i="9"/>
  <c r="O132" i="9"/>
  <c r="O134" i="9" s="1"/>
  <c r="AE26" i="9"/>
  <c r="AE132" i="9"/>
  <c r="AE134" i="9" s="1"/>
  <c r="U26" i="9"/>
  <c r="U132" i="9"/>
  <c r="U134" i="9" s="1"/>
  <c r="I26" i="9"/>
  <c r="I132" i="9"/>
  <c r="I134" i="9" s="1"/>
  <c r="S26" i="9"/>
  <c r="S132" i="9"/>
  <c r="S134" i="9" s="1"/>
  <c r="AK26" i="9"/>
  <c r="AK132" i="9"/>
  <c r="AK134" i="9" s="1"/>
  <c r="AH26" i="9"/>
  <c r="AH132" i="9"/>
  <c r="AH134" i="9" s="1"/>
  <c r="AI26" i="9"/>
  <c r="AI132" i="9"/>
  <c r="AI134" i="9" s="1"/>
  <c r="Y26" i="9"/>
  <c r="Y132" i="9"/>
  <c r="Y134" i="9" s="1"/>
  <c r="Q26" i="9"/>
  <c r="Q132" i="9"/>
  <c r="Q134" i="9" s="1"/>
  <c r="P26" i="9"/>
  <c r="P132" i="9"/>
  <c r="P134" i="9" s="1"/>
  <c r="J26" i="9"/>
  <c r="J132" i="9"/>
  <c r="J134" i="9" s="1"/>
  <c r="T26" i="9"/>
  <c r="T132" i="9"/>
  <c r="T134" i="9" s="1"/>
  <c r="L26" i="9"/>
  <c r="L132" i="9"/>
  <c r="L134" i="9" s="1"/>
  <c r="AJ26" i="9"/>
  <c r="AJ132" i="9"/>
  <c r="AJ134" i="9" s="1"/>
  <c r="AC26" i="9"/>
  <c r="AC132" i="9"/>
  <c r="AC134" i="9" s="1"/>
  <c r="W26" i="9"/>
  <c r="W132" i="9"/>
  <c r="W134" i="9" s="1"/>
  <c r="K26" i="9"/>
  <c r="K132" i="9"/>
  <c r="K134" i="9" s="1"/>
  <c r="AG26" i="9"/>
  <c r="AG132" i="9"/>
  <c r="AG134" i="9" s="1"/>
  <c r="AA26" i="9"/>
  <c r="AA132" i="9"/>
  <c r="AA134" i="9" s="1"/>
  <c r="N26" i="9"/>
  <c r="N132" i="9"/>
  <c r="N134" i="9" s="1"/>
  <c r="Z26" i="9"/>
  <c r="Z132" i="9"/>
  <c r="Z134" i="9" s="1"/>
  <c r="G26" i="9"/>
  <c r="G132" i="9"/>
  <c r="G134" i="9" s="1"/>
  <c r="AD26" i="9"/>
  <c r="AD132" i="9"/>
  <c r="AD134" i="9" s="1"/>
  <c r="V26" i="9"/>
  <c r="V132" i="9"/>
  <c r="V134" i="9" s="1"/>
  <c r="AF26" i="9"/>
  <c r="AF132" i="9"/>
  <c r="AF134" i="9" s="1"/>
  <c r="R26" i="9"/>
  <c r="R132" i="9"/>
  <c r="R134" i="9" s="1"/>
  <c r="M26" i="9"/>
  <c r="M132" i="9"/>
  <c r="M134" i="9" s="1"/>
  <c r="Y18" i="63"/>
  <c r="Y63" i="63" s="1"/>
  <c r="Y92" i="63" s="1"/>
  <c r="Y96" i="63" s="1"/>
  <c r="X18" i="63"/>
  <c r="X63" i="63" s="1"/>
  <c r="X92" i="63" s="1"/>
  <c r="X96" i="63" s="1"/>
  <c r="AN26" i="9"/>
  <c r="AL26" i="9"/>
  <c r="AQ26" i="9"/>
  <c r="AP26" i="9"/>
  <c r="AO26" i="9"/>
  <c r="K33" i="76"/>
  <c r="AR26" i="9"/>
  <c r="Z18" i="63"/>
  <c r="Z63" i="63" s="1"/>
  <c r="AQ30" i="2"/>
  <c r="X30" i="2"/>
  <c r="G18" i="63"/>
  <c r="G63" i="63" s="1"/>
  <c r="I18" i="63"/>
  <c r="I63" i="63" s="1"/>
  <c r="Z30" i="2"/>
  <c r="J18" i="63"/>
  <c r="J63" i="63" s="1"/>
  <c r="AA30" i="2"/>
  <c r="AU30" i="2"/>
  <c r="AD18" i="63"/>
  <c r="W18" i="63"/>
  <c r="W63" i="63" s="1"/>
  <c r="Y30" i="2"/>
  <c r="H18" i="63"/>
  <c r="H63" i="63" s="1"/>
  <c r="AB18" i="63"/>
  <c r="AB63" i="63" s="1"/>
  <c r="AB92" i="63" s="1"/>
  <c r="AB96" i="63" s="1"/>
  <c r="AS30" i="2"/>
  <c r="AT30" i="2"/>
  <c r="AC18" i="63"/>
  <c r="T18" i="63"/>
  <c r="T63" i="63" s="1"/>
  <c r="AK30" i="2"/>
  <c r="AA18" i="63"/>
  <c r="AR30" i="2"/>
  <c r="F18" i="63"/>
  <c r="F63" i="63" s="1"/>
  <c r="W30" i="2"/>
  <c r="AH26" i="2"/>
  <c r="AH28" i="2" s="1"/>
  <c r="Q18" i="63" s="1"/>
  <c r="Q63" i="63" s="1"/>
  <c r="AM140" i="9" l="1"/>
  <c r="AM139" i="9"/>
  <c r="AO134" i="9"/>
  <c r="AO140" i="9" s="1"/>
  <c r="AQ140" i="9"/>
  <c r="AL140" i="9"/>
  <c r="AN140" i="9"/>
  <c r="AP139" i="9"/>
  <c r="AR139" i="9"/>
  <c r="T140" i="9"/>
  <c r="T139" i="9"/>
  <c r="N140" i="9"/>
  <c r="N139" i="9"/>
  <c r="J140" i="9"/>
  <c r="J139" i="9"/>
  <c r="AI140" i="9"/>
  <c r="AI139" i="9"/>
  <c r="AE140" i="9"/>
  <c r="AE139" i="9"/>
  <c r="W140" i="9"/>
  <c r="W139" i="9"/>
  <c r="H139" i="9"/>
  <c r="H140" i="9"/>
  <c r="AC140" i="9"/>
  <c r="AC139" i="9"/>
  <c r="Z140" i="9"/>
  <c r="Z139" i="9"/>
  <c r="M140" i="9"/>
  <c r="M139" i="9"/>
  <c r="AA140" i="9"/>
  <c r="AA139" i="9"/>
  <c r="AJ140" i="9"/>
  <c r="AJ139" i="9"/>
  <c r="P139" i="9"/>
  <c r="P140" i="9"/>
  <c r="AH140" i="9"/>
  <c r="AH139" i="9"/>
  <c r="S140" i="9"/>
  <c r="S139" i="9"/>
  <c r="O140" i="9"/>
  <c r="O139" i="9"/>
  <c r="X139" i="9"/>
  <c r="X140" i="9"/>
  <c r="U140" i="9"/>
  <c r="U139" i="9"/>
  <c r="AD140" i="9"/>
  <c r="AD139" i="9"/>
  <c r="K140" i="9"/>
  <c r="K139" i="9"/>
  <c r="R140" i="9"/>
  <c r="R139" i="9"/>
  <c r="G140" i="9"/>
  <c r="G139" i="9"/>
  <c r="AG139" i="9"/>
  <c r="AG140" i="9"/>
  <c r="L140" i="9"/>
  <c r="L139" i="9"/>
  <c r="Q139" i="9"/>
  <c r="Q140" i="9"/>
  <c r="AK140" i="9"/>
  <c r="AK139" i="9"/>
  <c r="I139" i="9"/>
  <c r="I140" i="9"/>
  <c r="AB140" i="9"/>
  <c r="AB139" i="9"/>
  <c r="AF139" i="9"/>
  <c r="AF140" i="9"/>
  <c r="Y139" i="9"/>
  <c r="Y140" i="9"/>
  <c r="V140" i="9"/>
  <c r="V139" i="9"/>
  <c r="AD63" i="63"/>
  <c r="AD6" i="63" s="1"/>
  <c r="AD11" i="63" s="1"/>
  <c r="AD14" i="63" s="1"/>
  <c r="Y6" i="63"/>
  <c r="Y11" i="63" s="1"/>
  <c r="Y14" i="63" s="1"/>
  <c r="X6" i="63"/>
  <c r="X11" i="63" s="1"/>
  <c r="X14" i="63" s="1"/>
  <c r="K40" i="76"/>
  <c r="AC63" i="63"/>
  <c r="AA63" i="63"/>
  <c r="F6" i="63"/>
  <c r="F11" i="63" s="1"/>
  <c r="F14" i="63" s="1"/>
  <c r="F92" i="63"/>
  <c r="F96" i="63" s="1"/>
  <c r="G92" i="63"/>
  <c r="G96" i="63" s="1"/>
  <c r="G6" i="63"/>
  <c r="G11" i="63" s="1"/>
  <c r="G14" i="63" s="1"/>
  <c r="Q6" i="63"/>
  <c r="Q11" i="63" s="1"/>
  <c r="Q14" i="63" s="1"/>
  <c r="Q92" i="63"/>
  <c r="Q96" i="63" s="1"/>
  <c r="J92" i="63"/>
  <c r="J96" i="63" s="1"/>
  <c r="J6" i="63"/>
  <c r="J11" i="63" s="1"/>
  <c r="J14" i="63" s="1"/>
  <c r="T6" i="63"/>
  <c r="T11" i="63" s="1"/>
  <c r="T14" i="63" s="1"/>
  <c r="T92" i="63"/>
  <c r="T96" i="63" s="1"/>
  <c r="H92" i="63"/>
  <c r="H96" i="63" s="1"/>
  <c r="H6" i="63"/>
  <c r="H11" i="63" s="1"/>
  <c r="H14" i="63" s="1"/>
  <c r="W6" i="63"/>
  <c r="W11" i="63" s="1"/>
  <c r="W14" i="63" s="1"/>
  <c r="W92" i="63"/>
  <c r="W96" i="63" s="1"/>
  <c r="AH30" i="2"/>
  <c r="I6" i="63"/>
  <c r="I11" i="63" s="1"/>
  <c r="I14" i="63" s="1"/>
  <c r="I92" i="63"/>
  <c r="I96" i="63" s="1"/>
  <c r="Z6" i="63"/>
  <c r="Z11" i="63" s="1"/>
  <c r="Z14" i="63" s="1"/>
  <c r="Z92" i="63"/>
  <c r="Z96" i="63" s="1"/>
  <c r="AJ26" i="2"/>
  <c r="AJ28" i="2" s="1"/>
  <c r="K45" i="76" s="1"/>
  <c r="AO139" i="9" l="1"/>
  <c r="AD92" i="63"/>
  <c r="AD96" i="63" s="1"/>
  <c r="AA6" i="63"/>
  <c r="AA11" i="63" s="1"/>
  <c r="AA14" i="63" s="1"/>
  <c r="AA92" i="63"/>
  <c r="AA96" i="63" s="1"/>
  <c r="AC92" i="63"/>
  <c r="AC96" i="63" s="1"/>
  <c r="S18" i="63"/>
  <c r="S63" i="63" s="1"/>
  <c r="AJ30" i="2"/>
  <c r="AF26" i="2"/>
  <c r="AF28" i="2" s="1"/>
  <c r="O18" i="63" l="1"/>
  <c r="O63" i="63" s="1"/>
  <c r="AF30" i="2"/>
  <c r="S6" i="63"/>
  <c r="S11" i="63" s="1"/>
  <c r="S14" i="63" s="1"/>
  <c r="S92" i="63"/>
  <c r="S96" i="63" s="1"/>
  <c r="AI26" i="2"/>
  <c r="AI28" i="2" s="1"/>
  <c r="R18" i="63" l="1"/>
  <c r="R63" i="63" s="1"/>
  <c r="AI30" i="2"/>
  <c r="O6" i="63"/>
  <c r="O11" i="63" s="1"/>
  <c r="O14" i="63" s="1"/>
  <c r="O92" i="63"/>
  <c r="O96" i="63" s="1"/>
  <c r="AG26" i="2"/>
  <c r="AG28" i="2" s="1"/>
  <c r="P18" i="63" l="1"/>
  <c r="P63" i="63" s="1"/>
  <c r="P92" i="63" s="1"/>
  <c r="P96" i="63" s="1"/>
  <c r="K50" i="76"/>
  <c r="AG30" i="2"/>
  <c r="R6" i="63"/>
  <c r="R11" i="63" s="1"/>
  <c r="R14" i="63" s="1"/>
  <c r="R92" i="63"/>
  <c r="R96" i="63" s="1"/>
  <c r="AC26" i="2"/>
  <c r="AC28" i="2" s="1"/>
  <c r="P6" i="63" l="1"/>
  <c r="P11" i="63" s="1"/>
  <c r="P14" i="63" s="1"/>
  <c r="L18" i="63"/>
  <c r="L63" i="63" s="1"/>
  <c r="AC30" i="2"/>
  <c r="AE26" i="2"/>
  <c r="AE28" i="2" s="1"/>
  <c r="N18" i="63" l="1"/>
  <c r="N63" i="63" s="1"/>
  <c r="AE30" i="2"/>
  <c r="L92" i="63"/>
  <c r="L96" i="63" s="1"/>
  <c r="L6" i="63"/>
  <c r="L11" i="63" s="1"/>
  <c r="L14" i="63" s="1"/>
  <c r="AD26" i="2"/>
  <c r="AD28" i="2" s="1"/>
  <c r="M18" i="63" l="1"/>
  <c r="M63" i="63" s="1"/>
  <c r="M6" i="63" s="1"/>
  <c r="M11" i="63" s="1"/>
  <c r="M14" i="63" s="1"/>
  <c r="AD30" i="2"/>
  <c r="N6" i="63"/>
  <c r="N11" i="63" s="1"/>
  <c r="N14" i="63" s="1"/>
  <c r="N92" i="63"/>
  <c r="N96" i="63" s="1"/>
  <c r="AB26" i="2"/>
  <c r="AB28" i="2" s="1"/>
  <c r="M92" i="63" l="1"/>
  <c r="M96" i="63" s="1"/>
  <c r="K18" i="63"/>
  <c r="K63" i="63" s="1"/>
  <c r="AB30" i="2"/>
  <c r="K92" i="63" l="1"/>
  <c r="K96" i="63" s="1"/>
  <c r="K6" i="63"/>
  <c r="K11" i="63" s="1"/>
  <c r="K14" i="63" s="1"/>
  <c r="AR41" i="12" l="1"/>
  <c r="AR42" i="12" l="1"/>
  <c r="AR44" i="12" s="1"/>
  <c r="AR48" i="12" s="1"/>
  <c r="AF18" i="63"/>
  <c r="AR50" i="12" l="1"/>
  <c r="AR25" i="9"/>
  <c r="AX24" i="2" l="1"/>
  <c r="AX26" i="2" s="1"/>
  <c r="AX28" i="2" s="1"/>
  <c r="AS41" i="12"/>
  <c r="AS43" i="1"/>
  <c r="AS45" i="1" s="1"/>
  <c r="AS48" i="1" s="1"/>
  <c r="AS42" i="12" l="1"/>
  <c r="AS44" i="12" s="1"/>
  <c r="AS48" i="12" s="1"/>
  <c r="AG18" i="63"/>
  <c r="AX30" i="2"/>
  <c r="K26" i="76" l="1"/>
  <c r="AS50" i="12"/>
  <c r="AP77" i="71" l="1"/>
  <c r="AP69" i="71"/>
  <c r="BF40" i="3"/>
  <c r="AP66" i="71"/>
  <c r="AP76" i="71"/>
  <c r="AP75" i="71"/>
  <c r="AP67" i="71"/>
  <c r="AP68" i="71"/>
  <c r="AP80" i="71"/>
  <c r="AP81" i="71"/>
  <c r="AP72" i="71"/>
  <c r="AP71" i="71"/>
  <c r="AP82" i="71"/>
  <c r="AP74" i="71"/>
  <c r="AO14" i="45"/>
  <c r="AP78" i="71"/>
  <c r="AP70" i="71"/>
  <c r="AP83" i="71"/>
  <c r="AQ20" i="61"/>
  <c r="AP61" i="71"/>
  <c r="AP73" i="71"/>
  <c r="AP79" i="71"/>
  <c r="AP64" i="71"/>
  <c r="AL54" i="63"/>
  <c r="AX49" i="9"/>
  <c r="BF33" i="3"/>
  <c r="BF23" i="3"/>
  <c r="AX18" i="9"/>
  <c r="AX13" i="9"/>
  <c r="AL94" i="63"/>
  <c r="AM93" i="63" s="1"/>
  <c r="BF78" i="3"/>
  <c r="AQ18" i="33"/>
  <c r="V25" i="13"/>
  <c r="AL13" i="63"/>
  <c r="AK12" i="63"/>
  <c r="AN29" i="67"/>
  <c r="AO81" i="71"/>
  <c r="AO83" i="71"/>
  <c r="AO75" i="71"/>
  <c r="AO72" i="71"/>
  <c r="AW18" i="9"/>
  <c r="AN33" i="67"/>
  <c r="AO61" i="71"/>
  <c r="AO74" i="71"/>
  <c r="AK94" i="63"/>
  <c r="AW13" i="9"/>
  <c r="AN17" i="67"/>
  <c r="AN20" i="67" s="1"/>
  <c r="AN65" i="71"/>
  <c r="AO65" i="71"/>
  <c r="AN68" i="71"/>
  <c r="AO68" i="71"/>
  <c r="AO70" i="71"/>
  <c r="AO82" i="71"/>
  <c r="BE78" i="3"/>
  <c r="BE40" i="3"/>
  <c r="AP18" i="33"/>
  <c r="AN9" i="67"/>
  <c r="U25" i="13"/>
  <c r="AK13" i="63"/>
  <c r="AN13" i="67"/>
  <c r="AN76" i="71"/>
  <c r="AO76" i="71"/>
  <c r="AO73" i="71"/>
  <c r="AN22" i="67"/>
  <c r="BE61" i="3"/>
  <c r="AN14" i="45"/>
  <c r="AK79" i="63"/>
  <c r="AN67" i="71"/>
  <c r="AO67" i="71"/>
  <c r="AO71" i="71"/>
  <c r="AN69" i="71"/>
  <c r="AO69" i="71"/>
  <c r="AW49" i="9"/>
  <c r="AN77" i="71"/>
  <c r="AO77" i="71"/>
  <c r="AN66" i="71"/>
  <c r="AO66" i="71"/>
  <c r="AO78" i="71"/>
  <c r="AO80" i="71"/>
  <c r="AO20" i="61"/>
  <c r="AP20" i="61"/>
  <c r="U24" i="13"/>
  <c r="BE33" i="3"/>
  <c r="AO79" i="71"/>
  <c r="AN87" i="71"/>
  <c r="AO87" i="71"/>
  <c r="BE23" i="3"/>
  <c r="AO64" i="71"/>
  <c r="AN75" i="71"/>
  <c r="AJ12" i="63"/>
  <c r="AN81" i="71"/>
  <c r="AN73" i="71"/>
  <c r="BD78" i="3"/>
  <c r="BD6" i="3"/>
  <c r="AO18" i="33"/>
  <c r="T25" i="13"/>
  <c r="AJ13" i="63"/>
  <c r="AN83" i="71"/>
  <c r="AJ54" i="63"/>
  <c r="AN84" i="71"/>
  <c r="AV13" i="9"/>
  <c r="AJ94" i="63"/>
  <c r="AK93" i="63" s="1"/>
  <c r="BD61" i="3"/>
  <c r="AJ79" i="63"/>
  <c r="AN71" i="71"/>
  <c r="AV49" i="9"/>
  <c r="AN78" i="71"/>
  <c r="AN80" i="71"/>
  <c r="T24" i="13"/>
  <c r="BD33" i="3"/>
  <c r="AN79" i="71"/>
  <c r="AN88" i="71"/>
  <c r="BD23" i="3"/>
  <c r="AN72" i="71"/>
  <c r="AN64" i="71"/>
  <c r="AV18" i="9"/>
  <c r="BD42" i="3"/>
  <c r="AN61" i="71"/>
  <c r="AN74" i="71"/>
  <c r="AN70" i="71"/>
  <c r="AN82" i="71"/>
  <c r="AL14" i="45"/>
  <c r="AI12" i="63"/>
  <c r="AL9" i="67"/>
  <c r="AL29" i="67"/>
  <c r="BC23" i="3"/>
  <c r="AL17" i="67"/>
  <c r="AL20" i="67" s="1"/>
  <c r="BC61" i="3"/>
  <c r="AN18" i="33"/>
  <c r="AU49" i="9"/>
  <c r="AN20" i="61"/>
  <c r="AI13" i="63"/>
  <c r="S25" i="13"/>
  <c r="AU18" i="9"/>
  <c r="BC42" i="3"/>
  <c r="BC33" i="3"/>
  <c r="AL13" i="67"/>
  <c r="AL22" i="67"/>
  <c r="AU13" i="9"/>
  <c r="AI94" i="63"/>
  <c r="AJ93" i="63" s="1"/>
  <c r="AL79" i="71"/>
  <c r="AL87" i="71"/>
  <c r="AH12" i="63"/>
  <c r="AL72" i="71"/>
  <c r="AL68" i="71"/>
  <c r="AL67" i="71"/>
  <c r="AL69" i="71"/>
  <c r="AL66" i="71"/>
  <c r="AL71" i="71"/>
  <c r="AL76" i="71"/>
  <c r="AL77" i="71"/>
  <c r="AL78" i="71"/>
  <c r="AL80" i="71"/>
  <c r="AK75" i="71"/>
  <c r="AL75" i="71"/>
  <c r="AK88" i="71"/>
  <c r="AL88" i="71"/>
  <c r="AK65" i="71"/>
  <c r="AL65" i="71"/>
  <c r="AK81" i="71"/>
  <c r="AL81" i="71"/>
  <c r="AL64" i="71"/>
  <c r="AL73" i="71"/>
  <c r="AL70" i="71"/>
  <c r="AL74" i="71"/>
  <c r="AK84" i="71"/>
  <c r="AL84" i="71"/>
  <c r="AL83" i="71"/>
  <c r="AL82" i="71"/>
  <c r="AK66" i="71"/>
  <c r="AK68" i="71"/>
  <c r="AT49" i="9"/>
  <c r="AT18" i="9"/>
  <c r="AK72" i="71"/>
  <c r="AH13" i="63"/>
  <c r="R25" i="13"/>
  <c r="R24" i="13"/>
  <c r="AH94" i="63"/>
  <c r="AI93" i="63" s="1"/>
  <c r="AT13" i="9"/>
  <c r="AK69" i="71"/>
  <c r="BB40" i="3"/>
  <c r="AK87" i="71"/>
  <c r="BB33" i="3"/>
  <c r="BB78" i="3"/>
  <c r="AL20" i="61"/>
  <c r="BB23" i="3"/>
  <c r="BA78" i="3"/>
  <c r="AK67" i="71"/>
  <c r="BR199" i="73"/>
  <c r="BR190" i="73"/>
  <c r="BR181" i="73"/>
  <c r="BO190" i="73"/>
  <c r="BO199" i="73"/>
  <c r="BO181" i="73"/>
  <c r="BN181" i="73"/>
  <c r="BN199" i="73"/>
  <c r="BN190" i="73"/>
  <c r="BW190" i="73"/>
  <c r="BW181" i="73"/>
  <c r="BW199" i="73"/>
  <c r="BV181" i="73"/>
  <c r="BV199" i="73"/>
  <c r="BV190" i="73"/>
  <c r="BP199" i="73"/>
  <c r="BP190" i="73"/>
  <c r="BP181" i="73"/>
  <c r="BL199" i="73"/>
  <c r="BL181" i="73"/>
  <c r="BL190" i="73"/>
  <c r="BX190" i="73"/>
  <c r="BX199" i="73"/>
  <c r="BX181" i="73"/>
  <c r="BT199" i="73"/>
  <c r="BT190" i="73"/>
  <c r="BT181" i="73"/>
  <c r="BQ199" i="73"/>
  <c r="BQ181" i="73"/>
  <c r="BQ190" i="73"/>
  <c r="BK190" i="73"/>
  <c r="BK181" i="73"/>
  <c r="BK199" i="73"/>
  <c r="BM181" i="73"/>
  <c r="BM199" i="73"/>
  <c r="BM190" i="73"/>
  <c r="BS190" i="73"/>
  <c r="BS199" i="73"/>
  <c r="BS181" i="73"/>
  <c r="BU190" i="73"/>
  <c r="BU181" i="73"/>
  <c r="BU199" i="73"/>
  <c r="AG54" i="63"/>
  <c r="AJ17" i="67"/>
  <c r="AJ20" i="67" s="1"/>
  <c r="BA61" i="3"/>
  <c r="AS49" i="9"/>
  <c r="Q24" i="13"/>
  <c r="BA33" i="3"/>
  <c r="AJ9" i="67"/>
  <c r="AK76" i="71"/>
  <c r="AK61" i="71"/>
  <c r="AK64" i="71"/>
  <c r="AK32" i="71"/>
  <c r="BA23" i="3"/>
  <c r="AG79" i="63"/>
  <c r="AJ33" i="67"/>
  <c r="AJ13" i="67"/>
  <c r="AK73" i="71"/>
  <c r="AK70" i="71"/>
  <c r="AK74" i="71"/>
  <c r="Q25" i="13"/>
  <c r="AG94" i="63"/>
  <c r="AH93" i="63" s="1"/>
  <c r="AS13" i="9"/>
  <c r="BA6" i="3"/>
  <c r="AJ29" i="67"/>
  <c r="AJ22" i="67"/>
  <c r="AK83" i="71"/>
  <c r="AK82" i="71"/>
  <c r="AS18" i="9"/>
  <c r="BA40" i="3"/>
  <c r="BA42" i="3"/>
  <c r="AL18" i="33"/>
  <c r="AG87" i="63"/>
  <c r="AK77" i="71"/>
  <c r="AK71" i="71"/>
  <c r="AK79" i="71"/>
  <c r="AK78" i="71"/>
  <c r="AK80" i="71"/>
  <c r="AL93" i="63" l="1"/>
  <c r="BA30" i="9"/>
  <c r="BA25" i="9"/>
  <c r="AZ30" i="9"/>
  <c r="AU50" i="9"/>
  <c r="AU53" i="9" s="1"/>
  <c r="AV50" i="9"/>
  <c r="AV53" i="9" s="1"/>
  <c r="AY30" i="9"/>
  <c r="AT50" i="9"/>
  <c r="AT53" i="9" s="1"/>
  <c r="AX50" i="9"/>
  <c r="AX53" i="9" s="1"/>
  <c r="AS50" i="9"/>
  <c r="AS53" i="9" s="1"/>
  <c r="AS17" i="9"/>
  <c r="AS30" i="9"/>
  <c r="AT30" i="9"/>
  <c r="AS25" i="9"/>
  <c r="AP32" i="71"/>
  <c r="AP90" i="71" s="1"/>
  <c r="AP65" i="71"/>
  <c r="U23" i="13"/>
  <c r="BF6" i="3"/>
  <c r="BF42" i="3"/>
  <c r="AX7" i="9" s="1"/>
  <c r="AL12" i="63"/>
  <c r="AL79" i="63"/>
  <c r="V24" i="13"/>
  <c r="V23" i="13" s="1"/>
  <c r="BF61" i="3"/>
  <c r="AX17" i="9"/>
  <c r="AX12" i="9"/>
  <c r="AP23" i="44"/>
  <c r="AK90" i="71"/>
  <c r="AO32" i="71"/>
  <c r="AO90" i="71" s="1"/>
  <c r="AW12" i="9"/>
  <c r="AO23" i="44"/>
  <c r="AN39" i="67"/>
  <c r="AW17" i="9"/>
  <c r="BE42" i="3"/>
  <c r="BE6" i="3"/>
  <c r="AV17" i="9"/>
  <c r="T23" i="13"/>
  <c r="AN32" i="71"/>
  <c r="AN90" i="71" s="1"/>
  <c r="BD40" i="3"/>
  <c r="AN23" i="44" s="1"/>
  <c r="BD39" i="3"/>
  <c r="AV8" i="9"/>
  <c r="AV6" i="9"/>
  <c r="AV7" i="9"/>
  <c r="BD90" i="3"/>
  <c r="AU7" i="9"/>
  <c r="BB61" i="3"/>
  <c r="AK14" i="45"/>
  <c r="AL61" i="71"/>
  <c r="AL32" i="71"/>
  <c r="BB42" i="3"/>
  <c r="AT7" i="9" s="1"/>
  <c r="BB6" i="3"/>
  <c r="R23" i="13"/>
  <c r="AT25" i="9"/>
  <c r="AL23" i="44"/>
  <c r="AT12" i="9"/>
  <c r="AT17" i="9"/>
  <c r="Q23" i="13"/>
  <c r="CA190" i="73"/>
  <c r="CA199" i="73"/>
  <c r="CA181" i="73"/>
  <c r="I190" i="73"/>
  <c r="I181" i="73"/>
  <c r="I199" i="73"/>
  <c r="G199" i="73"/>
  <c r="G190" i="73"/>
  <c r="G181" i="73"/>
  <c r="M199" i="73"/>
  <c r="M181" i="73"/>
  <c r="M190" i="73"/>
  <c r="P199" i="73"/>
  <c r="P181" i="73"/>
  <c r="P190" i="73"/>
  <c r="S199" i="73"/>
  <c r="S190" i="73"/>
  <c r="S181" i="73"/>
  <c r="BY199" i="73"/>
  <c r="BY181" i="73"/>
  <c r="BY190" i="73"/>
  <c r="AE190" i="73"/>
  <c r="AE199" i="73"/>
  <c r="AE181" i="73"/>
  <c r="F199" i="73"/>
  <c r="F190" i="73"/>
  <c r="F181" i="73"/>
  <c r="W190" i="73"/>
  <c r="W199" i="73"/>
  <c r="W181" i="73"/>
  <c r="AC199" i="73"/>
  <c r="AC181" i="73"/>
  <c r="AC190" i="73"/>
  <c r="E199" i="73"/>
  <c r="E181" i="73"/>
  <c r="E190" i="73"/>
  <c r="AD190" i="73"/>
  <c r="AD199" i="73"/>
  <c r="AD181" i="73"/>
  <c r="BI199" i="73"/>
  <c r="BI181" i="73"/>
  <c r="BI190" i="73"/>
  <c r="AK199" i="73"/>
  <c r="AK181" i="73"/>
  <c r="AK190" i="73"/>
  <c r="C199" i="73"/>
  <c r="C181" i="73"/>
  <c r="C190" i="73"/>
  <c r="BZ199" i="73"/>
  <c r="BZ181" i="73"/>
  <c r="BZ190" i="73"/>
  <c r="AQ190" i="73"/>
  <c r="AQ199" i="73"/>
  <c r="AQ181" i="73"/>
  <c r="AA190" i="73"/>
  <c r="AA181" i="73"/>
  <c r="AA199" i="73"/>
  <c r="BH199" i="73"/>
  <c r="BH181" i="73"/>
  <c r="BH190" i="73"/>
  <c r="AY190" i="73"/>
  <c r="AY181" i="73"/>
  <c r="AY199" i="73"/>
  <c r="BF199" i="73"/>
  <c r="BF190" i="73"/>
  <c r="BF181" i="73"/>
  <c r="AV199" i="73"/>
  <c r="AV190" i="73"/>
  <c r="AV181" i="73"/>
  <c r="AI190" i="73"/>
  <c r="AI181" i="73"/>
  <c r="AI199" i="73"/>
  <c r="J181" i="73"/>
  <c r="J199" i="73"/>
  <c r="J190" i="73"/>
  <c r="AL190" i="73"/>
  <c r="AL181" i="73"/>
  <c r="AL199" i="73"/>
  <c r="D199" i="73"/>
  <c r="D181" i="73"/>
  <c r="D190" i="73"/>
  <c r="U199" i="73"/>
  <c r="U181" i="73"/>
  <c r="U190" i="73"/>
  <c r="O190" i="73"/>
  <c r="O199" i="73"/>
  <c r="O181" i="73"/>
  <c r="AX190" i="73"/>
  <c r="AX181" i="73"/>
  <c r="AX199" i="73"/>
  <c r="BG190" i="73"/>
  <c r="BG181" i="73"/>
  <c r="BG199" i="73"/>
  <c r="CC199" i="73"/>
  <c r="CC181" i="73"/>
  <c r="CC190" i="73"/>
  <c r="BJ190" i="73"/>
  <c r="BJ199" i="73"/>
  <c r="BJ181" i="73"/>
  <c r="R199" i="73"/>
  <c r="R181" i="73"/>
  <c r="R190" i="73"/>
  <c r="AT199" i="73"/>
  <c r="AT190" i="73"/>
  <c r="AT181" i="73"/>
  <c r="AU190" i="73"/>
  <c r="AU181" i="73"/>
  <c r="AU199" i="73"/>
  <c r="N190" i="73"/>
  <c r="N199" i="73"/>
  <c r="N181" i="73"/>
  <c r="CB199" i="73"/>
  <c r="CB190" i="73"/>
  <c r="CB181" i="73"/>
  <c r="Z199" i="73"/>
  <c r="Z181" i="73"/>
  <c r="Z190" i="73"/>
  <c r="BB199" i="73"/>
  <c r="BB190" i="73"/>
  <c r="BB181" i="73"/>
  <c r="H199" i="73"/>
  <c r="H190" i="73"/>
  <c r="H181" i="73"/>
  <c r="AO190" i="73"/>
  <c r="AO199" i="73"/>
  <c r="AO181" i="73"/>
  <c r="AS199" i="73"/>
  <c r="AS181" i="73"/>
  <c r="AS190" i="73"/>
  <c r="V190" i="73"/>
  <c r="V181" i="73"/>
  <c r="V199" i="73"/>
  <c r="AZ199" i="73"/>
  <c r="AZ190" i="73"/>
  <c r="AZ181" i="73"/>
  <c r="AP181" i="73"/>
  <c r="AP199" i="73"/>
  <c r="AP190" i="73"/>
  <c r="AN199" i="73"/>
  <c r="AN190" i="73"/>
  <c r="AN181" i="73"/>
  <c r="AH181" i="73"/>
  <c r="AH190" i="73"/>
  <c r="AH199" i="73"/>
  <c r="X199" i="73"/>
  <c r="X181" i="73"/>
  <c r="X190" i="73"/>
  <c r="AB199" i="73"/>
  <c r="AB181" i="73"/>
  <c r="AB190" i="73"/>
  <c r="T199" i="73"/>
  <c r="T181" i="73"/>
  <c r="T190" i="73"/>
  <c r="L199" i="73"/>
  <c r="L181" i="73"/>
  <c r="L190" i="73"/>
  <c r="K181" i="73"/>
  <c r="K190" i="73"/>
  <c r="K199" i="73"/>
  <c r="AW190" i="73"/>
  <c r="AW181" i="73"/>
  <c r="AW199" i="73"/>
  <c r="AG199" i="73"/>
  <c r="AG190" i="73"/>
  <c r="AG181" i="73"/>
  <c r="BD199" i="73"/>
  <c r="BD181" i="73"/>
  <c r="BD190" i="73"/>
  <c r="BE199" i="73"/>
  <c r="BE190" i="73"/>
  <c r="BE181" i="73"/>
  <c r="BC190" i="73"/>
  <c r="BC199" i="73"/>
  <c r="BC181" i="73"/>
  <c r="BA199" i="73"/>
  <c r="BA181" i="73"/>
  <c r="BA190" i="73"/>
  <c r="AJ199" i="73"/>
  <c r="AJ181" i="73"/>
  <c r="AJ190" i="73"/>
  <c r="Q199" i="73"/>
  <c r="Q190" i="73"/>
  <c r="Q181" i="73"/>
  <c r="Y190" i="73"/>
  <c r="Y199" i="73"/>
  <c r="Y181" i="73"/>
  <c r="AR199" i="73"/>
  <c r="AR181" i="73"/>
  <c r="AR190" i="73"/>
  <c r="AF199" i="73"/>
  <c r="AF190" i="73"/>
  <c r="AF181" i="73"/>
  <c r="AS7" i="9"/>
  <c r="BA90" i="3"/>
  <c r="AS12" i="9"/>
  <c r="AK23" i="44"/>
  <c r="AJ39" i="67"/>
  <c r="BA39" i="3"/>
  <c r="AS8" i="9"/>
  <c r="AS6" i="9"/>
  <c r="AS137" i="9" l="1"/>
  <c r="AZ137" i="9"/>
  <c r="BA137" i="9"/>
  <c r="AX6" i="9"/>
  <c r="BF90" i="3"/>
  <c r="AX8" i="9"/>
  <c r="BF39" i="3"/>
  <c r="BA24" i="9" s="1"/>
  <c r="AX14" i="9"/>
  <c r="AT137" i="9"/>
  <c r="AW14" i="9"/>
  <c r="BE90" i="3"/>
  <c r="AW7" i="9"/>
  <c r="BE39" i="3"/>
  <c r="AW6" i="9"/>
  <c r="AW8" i="9"/>
  <c r="AV12" i="9"/>
  <c r="BD91" i="3"/>
  <c r="AL90" i="71"/>
  <c r="AT8" i="9"/>
  <c r="BB39" i="3"/>
  <c r="BB90" i="3"/>
  <c r="AT6" i="9"/>
  <c r="AT14" i="9"/>
  <c r="AT16" i="9"/>
  <c r="AS24" i="9"/>
  <c r="AS14" i="9"/>
  <c r="AS16" i="9"/>
  <c r="BA91" i="3"/>
  <c r="BA29" i="9" l="1"/>
  <c r="AZ29" i="9"/>
  <c r="BF91" i="3"/>
  <c r="AV14" i="9"/>
  <c r="BE91" i="3"/>
  <c r="BB91" i="3"/>
  <c r="AT24" i="9"/>
  <c r="AT29" i="9"/>
  <c r="AS29" i="9"/>
  <c r="AZ136" i="9" l="1"/>
  <c r="AZ135" i="9" s="1"/>
  <c r="BA136" i="9"/>
  <c r="BA135" i="9" s="1"/>
  <c r="BA140" i="9" s="1"/>
  <c r="BA28" i="9"/>
  <c r="AZ28" i="9"/>
  <c r="AY29" i="9"/>
  <c r="AT136" i="9"/>
  <c r="AT135" i="9" s="1"/>
  <c r="AT139" i="9" s="1"/>
  <c r="AS136" i="9"/>
  <c r="AS135" i="9" s="1"/>
  <c r="AS140" i="9" s="1"/>
  <c r="AT28" i="9"/>
  <c r="AS28" i="9"/>
  <c r="AS26" i="9" s="1"/>
  <c r="BA139" i="9" l="1"/>
  <c r="AY28" i="9"/>
  <c r="AT140" i="9"/>
  <c r="AS139" i="9"/>
  <c r="AT26" i="9"/>
  <c r="AH79" i="63" l="1"/>
  <c r="AH54" i="63" l="1"/>
  <c r="AJ54" i="68" l="1"/>
  <c r="AJ45" i="68"/>
  <c r="AJ60" i="68" l="1"/>
  <c r="AJ50" i="68"/>
  <c r="AJ51" i="68" s="1"/>
  <c r="AJ31" i="68"/>
  <c r="AJ23" i="68"/>
  <c r="AJ61" i="68" l="1"/>
  <c r="AJ20" i="68"/>
  <c r="AJ32" i="68" s="1"/>
  <c r="AI79" i="63" l="1"/>
  <c r="L87" i="23" l="1"/>
  <c r="S24" i="13" l="1"/>
  <c r="S23" i="13" s="1"/>
  <c r="AW32" i="44" l="1"/>
  <c r="AX25" i="44" s="1"/>
  <c r="AX32" i="44" s="1"/>
  <c r="AY25" i="44" s="1"/>
  <c r="AY32" i="44" s="1"/>
  <c r="AY38" i="44" l="1"/>
  <c r="AZ25" i="44"/>
  <c r="AX38" i="44"/>
  <c r="AL33" i="67" l="1"/>
  <c r="AL39" i="67" s="1"/>
  <c r="P270" i="79" l="1"/>
  <c r="O278" i="79"/>
  <c r="O288" i="79" l="1"/>
  <c r="R270" i="79"/>
  <c r="R278" i="79" s="1"/>
  <c r="R288" i="79" s="1"/>
  <c r="R298" i="79" s="1"/>
  <c r="R308" i="79" s="1"/>
  <c r="R319" i="79" s="1"/>
  <c r="R330" i="79" s="1"/>
  <c r="R341" i="79" s="1"/>
  <c r="P278" i="79"/>
  <c r="P288" i="79" s="1"/>
  <c r="R349" i="79" l="1"/>
  <c r="P298" i="79"/>
  <c r="P308" i="79" s="1"/>
  <c r="P319" i="79" s="1"/>
  <c r="P330" i="79" s="1"/>
  <c r="O298" i="79"/>
  <c r="BC78" i="3"/>
  <c r="P341" i="79" l="1"/>
  <c r="BC90" i="3"/>
  <c r="AX30" i="9"/>
  <c r="AW30" i="9"/>
  <c r="AV30" i="9"/>
  <c r="AU30" i="9"/>
  <c r="AU17" i="9"/>
  <c r="O308" i="79"/>
  <c r="P349" i="79" l="1"/>
  <c r="AV137" i="9"/>
  <c r="AW137" i="9"/>
  <c r="O319" i="79"/>
  <c r="AU137" i="9"/>
  <c r="AX137" i="9"/>
  <c r="O330" i="79" l="1"/>
  <c r="E87" i="23"/>
  <c r="O341" i="79" l="1"/>
  <c r="AN22" i="26"/>
  <c r="AN23" i="26" s="1"/>
  <c r="O349" i="79" l="1"/>
  <c r="AN12" i="26"/>
  <c r="AN13" i="26" s="1"/>
  <c r="AI54" i="63" l="1"/>
  <c r="AI6" i="63" l="1"/>
  <c r="AI11" i="63" s="1"/>
  <c r="AI14" i="63" s="1"/>
  <c r="AU13" i="1" l="1"/>
  <c r="AU15" i="1" s="1"/>
  <c r="AU11" i="12"/>
  <c r="AU12" i="12" s="1"/>
  <c r="AU14" i="12" s="1"/>
  <c r="AU34" i="12" l="1"/>
  <c r="AU39" i="12"/>
  <c r="AU40" i="1"/>
  <c r="AU35" i="1"/>
  <c r="AV15" i="9" l="1"/>
  <c r="AU15" i="9"/>
  <c r="AV16" i="9"/>
  <c r="AU42" i="12"/>
  <c r="AU44" i="12" s="1"/>
  <c r="AU48" i="12" s="1"/>
  <c r="AU36" i="1"/>
  <c r="AU35" i="12"/>
  <c r="AU43" i="1"/>
  <c r="AU45" i="1" s="1"/>
  <c r="AU48" i="1" s="1"/>
  <c r="AV25" i="9" l="1"/>
  <c r="AU25" i="9"/>
  <c r="AU50" i="12"/>
  <c r="AW7" i="12" l="1"/>
  <c r="AW8" i="12" s="1"/>
  <c r="AW12" i="10" l="1"/>
  <c r="AW10" i="12" l="1"/>
  <c r="AW14" i="10"/>
  <c r="AW16" i="10" s="1"/>
  <c r="AW6" i="10"/>
  <c r="BB8" i="2"/>
  <c r="BB6" i="2" l="1"/>
  <c r="AW12" i="12"/>
  <c r="AW14" i="12" s="1"/>
  <c r="AW40" i="10"/>
  <c r="AW35" i="10"/>
  <c r="BB10" i="2" l="1"/>
  <c r="AW50" i="9"/>
  <c r="AW53" i="9" s="1"/>
  <c r="AP11" i="30"/>
  <c r="AW39" i="12"/>
  <c r="AZ24" i="9" s="1"/>
  <c r="AW34" i="12"/>
  <c r="AW43" i="10"/>
  <c r="AW45" i="10" s="1"/>
  <c r="AW48" i="10" s="1"/>
  <c r="AW36" i="10"/>
  <c r="AX15" i="9" l="1"/>
  <c r="AY16" i="9"/>
  <c r="AO11" i="53"/>
  <c r="BB16" i="2"/>
  <c r="BA16" i="9"/>
  <c r="AZ16" i="9"/>
  <c r="AZ15" i="9"/>
  <c r="AY15" i="9"/>
  <c r="AX16" i="9"/>
  <c r="AW16" i="9"/>
  <c r="AW42" i="12"/>
  <c r="AW44" i="12" s="1"/>
  <c r="AW48" i="12" s="1"/>
  <c r="AY24" i="9"/>
  <c r="AW15" i="9"/>
  <c r="AW35" i="12"/>
  <c r="BB19" i="2" l="1"/>
  <c r="AZ25" i="9"/>
  <c r="AW25" i="9"/>
  <c r="AX25" i="9"/>
  <c r="AW50" i="12"/>
  <c r="AY25" i="9"/>
  <c r="AZ27" i="9" l="1"/>
  <c r="AZ132" i="9" s="1"/>
  <c r="AZ134" i="9" s="1"/>
  <c r="AZ140" i="9" s="1"/>
  <c r="AY27" i="9"/>
  <c r="AY26" i="9" s="1"/>
  <c r="BB24" i="2"/>
  <c r="BB26" i="2" s="1"/>
  <c r="BB28" i="2" s="1"/>
  <c r="BB30" i="2" s="1"/>
  <c r="AW27" i="9"/>
  <c r="AW132" i="9" s="1"/>
  <c r="AW134" i="9" s="1"/>
  <c r="AX27" i="9"/>
  <c r="AX132" i="9" s="1"/>
  <c r="AX134" i="9" s="1"/>
  <c r="AZ139" i="9" l="1"/>
  <c r="AZ26" i="9"/>
  <c r="AY132" i="9"/>
  <c r="AY134" i="9" s="1"/>
  <c r="AK18" i="63"/>
  <c r="K22" i="76"/>
  <c r="K19" i="76"/>
  <c r="E315" i="73" l="1"/>
  <c r="AD189" i="77"/>
  <c r="AD117" i="77"/>
  <c r="AD164" i="77"/>
  <c r="AD21" i="77"/>
  <c r="AD172" i="77"/>
  <c r="AD171" i="77"/>
  <c r="F315" i="73" l="1"/>
  <c r="E314" i="73"/>
  <c r="E316" i="73" s="1"/>
  <c r="I63" i="23"/>
  <c r="I100" i="23"/>
  <c r="I98" i="23"/>
  <c r="BE41" i="3"/>
  <c r="I67" i="23"/>
  <c r="AD186" i="77"/>
  <c r="I64" i="23"/>
  <c r="I73" i="23"/>
  <c r="I69" i="23"/>
  <c r="I65" i="23"/>
  <c r="I81" i="23"/>
  <c r="AK63" i="68"/>
  <c r="I86" i="23"/>
  <c r="I85" i="23"/>
  <c r="AL17" i="63"/>
  <c r="AD177" i="77"/>
  <c r="AF63" i="68"/>
  <c r="I82" i="23"/>
  <c r="I59" i="23"/>
  <c r="AD175" i="77"/>
  <c r="I94" i="23"/>
  <c r="I54" i="23"/>
  <c r="I79" i="23"/>
  <c r="I56" i="23"/>
  <c r="I95" i="23"/>
  <c r="I58" i="23"/>
  <c r="AH63" i="68"/>
  <c r="I92" i="23"/>
  <c r="I83" i="23"/>
  <c r="I74" i="23"/>
  <c r="AD187" i="77"/>
  <c r="AD173" i="77"/>
  <c r="I62" i="23"/>
  <c r="AJ63" i="68"/>
  <c r="I72" i="23"/>
  <c r="AH17" i="63"/>
  <c r="I102" i="23"/>
  <c r="BB41" i="3"/>
  <c r="I68" i="23"/>
  <c r="I57" i="23"/>
  <c r="I103" i="23"/>
  <c r="AD188" i="77"/>
  <c r="I70" i="23"/>
  <c r="AI63" i="68"/>
  <c r="AD185" i="77"/>
  <c r="AD179" i="77"/>
  <c r="AK17" i="63"/>
  <c r="AL21" i="61"/>
  <c r="AL37" i="61" s="1"/>
  <c r="AD190" i="77"/>
  <c r="I75" i="23"/>
  <c r="I91" i="23"/>
  <c r="AD176" i="77"/>
  <c r="I55" i="23"/>
  <c r="AD174" i="77"/>
  <c r="I66" i="23"/>
  <c r="I60" i="23"/>
  <c r="I101" i="23"/>
  <c r="BC41" i="3"/>
  <c r="I88" i="23"/>
  <c r="BF41" i="3"/>
  <c r="AD184" i="77"/>
  <c r="AD178" i="77"/>
  <c r="I93" i="23"/>
  <c r="AD183" i="77"/>
  <c r="I96" i="23"/>
  <c r="I87" i="23"/>
  <c r="AL63" i="68"/>
  <c r="AD180" i="77"/>
  <c r="AL19" i="33"/>
  <c r="AL33" i="33" s="1"/>
  <c r="CU5" i="34"/>
  <c r="I71" i="23"/>
  <c r="I90" i="23"/>
  <c r="I76" i="23"/>
  <c r="I80" i="23"/>
  <c r="I89" i="23"/>
  <c r="I77" i="23"/>
  <c r="DD5" i="34"/>
  <c r="BD41" i="3"/>
  <c r="I368" i="23"/>
  <c r="U5" i="42"/>
  <c r="I97" i="23"/>
  <c r="T5" i="42"/>
  <c r="BA41" i="3"/>
  <c r="AD182" i="77"/>
  <c r="I99" i="23"/>
  <c r="I61" i="23"/>
  <c r="AL15" i="26"/>
  <c r="I148" i="23"/>
  <c r="C15" i="26"/>
  <c r="I78" i="23"/>
  <c r="S5" i="42"/>
  <c r="I324" i="23"/>
  <c r="W5" i="42"/>
  <c r="I118" i="23"/>
  <c r="I153" i="23"/>
  <c r="CX5" i="34"/>
  <c r="C24" i="44"/>
  <c r="I240" i="23"/>
  <c r="I230" i="23"/>
  <c r="I188" i="23"/>
  <c r="I175" i="23"/>
  <c r="I84" i="23"/>
  <c r="V5" i="42"/>
  <c r="AO88" i="71"/>
  <c r="I316" i="23"/>
  <c r="I233" i="23"/>
  <c r="I248" i="23"/>
  <c r="Z5" i="42"/>
  <c r="R5" i="42"/>
  <c r="I365" i="23"/>
  <c r="I183" i="23"/>
  <c r="AD163" i="77"/>
  <c r="I189" i="23"/>
  <c r="AD181" i="77"/>
  <c r="I165" i="23"/>
  <c r="I304" i="23"/>
  <c r="I126" i="23"/>
  <c r="I163" i="23"/>
  <c r="AI17" i="63"/>
  <c r="I168" i="23"/>
  <c r="AD121" i="77"/>
  <c r="I369" i="23"/>
  <c r="I364" i="23"/>
  <c r="DA5" i="34"/>
  <c r="AD129" i="77"/>
  <c r="I371" i="23"/>
  <c r="AA24" i="44"/>
  <c r="I213" i="23"/>
  <c r="Q5" i="42"/>
  <c r="AA21" i="61"/>
  <c r="AA37" i="61" s="1"/>
  <c r="I218" i="23"/>
  <c r="I349" i="23"/>
  <c r="AL24" i="44"/>
  <c r="I325" i="23"/>
  <c r="I310" i="23"/>
  <c r="I122" i="23"/>
  <c r="I353" i="23"/>
  <c r="AO84" i="71"/>
  <c r="D21" i="61"/>
  <c r="D37" i="61" s="1"/>
  <c r="I224" i="23"/>
  <c r="I228" i="23"/>
  <c r="I273" i="23"/>
  <c r="I246" i="23"/>
  <c r="I312" i="23"/>
  <c r="I326" i="23"/>
  <c r="AJ17" i="63"/>
  <c r="C21" i="61"/>
  <c r="C37" i="61" s="1"/>
  <c r="AD160" i="77"/>
  <c r="I355" i="23"/>
  <c r="I291" i="23"/>
  <c r="I269" i="23"/>
  <c r="I357" i="23"/>
  <c r="AD66" i="77"/>
  <c r="AD170" i="77"/>
  <c r="AD141" i="77"/>
  <c r="I359" i="23"/>
  <c r="I301" i="23"/>
  <c r="I169" i="23"/>
  <c r="I173" i="23"/>
  <c r="I190" i="23"/>
  <c r="I342" i="23"/>
  <c r="AD167" i="77"/>
  <c r="I299" i="23"/>
  <c r="I144" i="23"/>
  <c r="X5" i="42"/>
  <c r="I252" i="23"/>
  <c r="I106" i="23"/>
  <c r="I274" i="23"/>
  <c r="I336" i="23"/>
  <c r="I333" i="23"/>
  <c r="I309" i="23"/>
  <c r="I221" i="23"/>
  <c r="AD140" i="77"/>
  <c r="I222" i="23"/>
  <c r="I174" i="23"/>
  <c r="I335" i="23"/>
  <c r="AD139" i="77"/>
  <c r="AD158" i="77"/>
  <c r="C19" i="33"/>
  <c r="C33" i="33" s="1"/>
  <c r="I354" i="23"/>
  <c r="I245" i="23"/>
  <c r="I321" i="23"/>
  <c r="I207" i="23"/>
  <c r="AD94" i="77"/>
  <c r="AD128" i="77"/>
  <c r="I286" i="23"/>
  <c r="C5" i="34"/>
  <c r="I292" i="23"/>
  <c r="I225" i="23"/>
  <c r="I297" i="23"/>
  <c r="AD147" i="77"/>
  <c r="I223" i="23"/>
  <c r="I231" i="23"/>
  <c r="AG63" i="68"/>
  <c r="I160" i="23"/>
  <c r="I210" i="23"/>
  <c r="I356" i="23"/>
  <c r="AD79" i="77"/>
  <c r="P5" i="42"/>
  <c r="I348" i="23"/>
  <c r="AD81" i="77"/>
  <c r="I329" i="23"/>
  <c r="AD146" i="77"/>
  <c r="I314" i="23"/>
  <c r="AD51" i="77"/>
  <c r="AD122" i="77"/>
  <c r="I338" i="23"/>
  <c r="I282" i="23"/>
  <c r="AD15" i="77"/>
  <c r="I234" i="23"/>
  <c r="AD123" i="77"/>
  <c r="AD61" i="77"/>
  <c r="I300" i="23"/>
  <c r="AD125" i="77"/>
  <c r="I279" i="23"/>
  <c r="I116" i="23"/>
  <c r="I155" i="23"/>
  <c r="I108" i="23"/>
  <c r="AD138" i="77"/>
  <c r="I241" i="23"/>
  <c r="AD142" i="77"/>
  <c r="I270" i="23"/>
  <c r="AD45" i="77"/>
  <c r="AD103" i="77"/>
  <c r="AD46" i="77"/>
  <c r="I179" i="23"/>
  <c r="D24" i="44"/>
  <c r="I347" i="23"/>
  <c r="AD104" i="77"/>
  <c r="I323" i="23"/>
  <c r="AD13" i="77"/>
  <c r="I200" i="23"/>
  <c r="AD111" i="77"/>
  <c r="I194" i="23"/>
  <c r="I268" i="23"/>
  <c r="I117" i="23"/>
  <c r="I178" i="23"/>
  <c r="I199" i="23"/>
  <c r="I345" i="23"/>
  <c r="AD100" i="77"/>
  <c r="I208" i="23"/>
  <c r="I184" i="23"/>
  <c r="AD136" i="77"/>
  <c r="I235" i="23"/>
  <c r="AD168" i="77"/>
  <c r="I275" i="23"/>
  <c r="I288" i="23"/>
  <c r="I313" i="23"/>
  <c r="I253" i="23"/>
  <c r="I281" i="23"/>
  <c r="I298" i="23"/>
  <c r="I331" i="23"/>
  <c r="AD98" i="77"/>
  <c r="AD67" i="77"/>
  <c r="I350" i="23"/>
  <c r="AD153" i="77"/>
  <c r="AD108" i="77"/>
  <c r="I277" i="23"/>
  <c r="AD143" i="77"/>
  <c r="I285" i="23"/>
  <c r="I151" i="23"/>
  <c r="I167" i="23"/>
  <c r="AD8" i="77"/>
  <c r="I171" i="23"/>
  <c r="AD151" i="77"/>
  <c r="E41" i="3"/>
  <c r="AD37" i="77"/>
  <c r="I320" i="23"/>
  <c r="I318" i="23"/>
  <c r="I272" i="23"/>
  <c r="AD56" i="77"/>
  <c r="AD64" i="77"/>
  <c r="I170" i="23"/>
  <c r="I161" i="23"/>
  <c r="AD76" i="77"/>
  <c r="I236" i="23"/>
  <c r="I197" i="23"/>
  <c r="I209" i="23"/>
  <c r="AD30" i="77"/>
  <c r="I358" i="23"/>
  <c r="AD65" i="77"/>
  <c r="AD28" i="77"/>
  <c r="I143" i="23"/>
  <c r="AD53" i="77"/>
  <c r="I344" i="23"/>
  <c r="AD97" i="77"/>
  <c r="I362" i="23"/>
  <c r="I290" i="23"/>
  <c r="AE41" i="3"/>
  <c r="AS5" i="34"/>
  <c r="AD145" i="77"/>
  <c r="W19" i="33"/>
  <c r="W33" i="33" s="1"/>
  <c r="B138" i="8"/>
  <c r="F5" i="34"/>
  <c r="I214" i="23"/>
  <c r="I127" i="23"/>
  <c r="I104" i="23"/>
  <c r="AD41" i="77"/>
  <c r="AD12" i="53"/>
  <c r="AD135" i="77"/>
  <c r="AD48" i="77"/>
  <c r="AD157" i="77"/>
  <c r="I293" i="23"/>
  <c r="AD86" i="77"/>
  <c r="AD88" i="77"/>
  <c r="AD159" i="77"/>
  <c r="I249" i="23"/>
  <c r="AD74" i="77"/>
  <c r="I110" i="23"/>
  <c r="AB17" i="63"/>
  <c r="I115" i="23"/>
  <c r="AD148" i="77"/>
  <c r="AD84" i="77"/>
  <c r="I157" i="23"/>
  <c r="I219" i="23"/>
  <c r="AD85" i="77"/>
  <c r="I180" i="23"/>
  <c r="I308" i="23"/>
  <c r="AD73" i="77"/>
  <c r="AD43" i="77"/>
  <c r="I361" i="23"/>
  <c r="I343" i="23"/>
  <c r="I158" i="23"/>
  <c r="AD38" i="77"/>
  <c r="AD12" i="77"/>
  <c r="AR41" i="3"/>
  <c r="D15" i="26"/>
  <c r="I232" i="23"/>
  <c r="I212" i="23"/>
  <c r="AD71" i="77"/>
  <c r="I319" i="23"/>
  <c r="I247" i="23"/>
  <c r="I352" i="23"/>
  <c r="Y24" i="44"/>
  <c r="I294" i="23"/>
  <c r="AD169" i="77"/>
  <c r="I334" i="23"/>
  <c r="I284" i="23"/>
  <c r="I215" i="23"/>
  <c r="I242" i="23"/>
  <c r="AD39" i="77"/>
  <c r="I146" i="23"/>
  <c r="I239" i="23"/>
  <c r="AD63" i="77"/>
  <c r="I254" i="23"/>
  <c r="I257" i="23"/>
  <c r="AD93" i="77"/>
  <c r="I367" i="23"/>
  <c r="I250" i="23"/>
  <c r="I216" i="23"/>
  <c r="I177" i="23"/>
  <c r="I109" i="23"/>
  <c r="AD9" i="77"/>
  <c r="I205" i="23"/>
  <c r="I113" i="23"/>
  <c r="I229" i="23"/>
  <c r="I187" i="23"/>
  <c r="AD19" i="77"/>
  <c r="I202" i="23"/>
  <c r="AD6" i="77"/>
  <c r="AY41" i="3"/>
  <c r="AD70" i="77"/>
  <c r="I339" i="23"/>
  <c r="AD149" i="77"/>
  <c r="I121" i="23"/>
  <c r="I266" i="23"/>
  <c r="I150" i="23"/>
  <c r="I172" i="23"/>
  <c r="I152" i="23"/>
  <c r="AD14" i="77"/>
  <c r="I360" i="23"/>
  <c r="I181" i="23"/>
  <c r="I159" i="23"/>
  <c r="I289" i="23"/>
  <c r="I237" i="23"/>
  <c r="I123" i="23"/>
  <c r="I303" i="23"/>
  <c r="AD137" i="77"/>
  <c r="AD102" i="77"/>
  <c r="AD156" i="77"/>
  <c r="I192" i="23"/>
  <c r="I322" i="23"/>
  <c r="AD127" i="77"/>
  <c r="I256" i="23"/>
  <c r="AD62" i="77"/>
  <c r="AD134" i="77"/>
  <c r="AD58" i="77"/>
  <c r="AD162" i="77"/>
  <c r="I244" i="23"/>
  <c r="I307" i="23"/>
  <c r="AD120" i="77"/>
  <c r="AD18" i="77"/>
  <c r="AD130" i="77"/>
  <c r="I124" i="23"/>
  <c r="I332" i="23"/>
  <c r="AD16" i="77"/>
  <c r="AD114" i="77"/>
  <c r="I211" i="23"/>
  <c r="AD126" i="77"/>
  <c r="I366" i="23"/>
  <c r="I280" i="23"/>
  <c r="I283" i="23"/>
  <c r="I227" i="23"/>
  <c r="I302" i="23"/>
  <c r="AB41" i="3"/>
  <c r="I206" i="23"/>
  <c r="Q15" i="26"/>
  <c r="U24" i="44"/>
  <c r="I340" i="23"/>
  <c r="AD118" i="77"/>
  <c r="AD133" i="77"/>
  <c r="AV41" i="3"/>
  <c r="I351" i="23"/>
  <c r="I255" i="23"/>
  <c r="I238" i="23"/>
  <c r="AD50" i="77"/>
  <c r="AD95" i="77"/>
  <c r="AD109" i="77"/>
  <c r="AD59" i="77"/>
  <c r="AD10" i="77"/>
  <c r="AA19" i="33"/>
  <c r="AA33" i="33" s="1"/>
  <c r="AD90" i="77"/>
  <c r="AD150" i="77"/>
  <c r="I156" i="23"/>
  <c r="I196" i="23"/>
  <c r="I185" i="23"/>
  <c r="I306" i="23"/>
  <c r="I295" i="23"/>
  <c r="C41" i="3"/>
  <c r="I105" i="23"/>
  <c r="AD119" i="77"/>
  <c r="I135" i="23"/>
  <c r="I363" i="23"/>
  <c r="I195" i="23"/>
  <c r="AD110" i="77"/>
  <c r="I243" i="23"/>
  <c r="K21" i="61"/>
  <c r="K37" i="61" s="1"/>
  <c r="E24" i="44"/>
  <c r="I271" i="23"/>
  <c r="AA5" i="34"/>
  <c r="AJ24" i="44"/>
  <c r="AD11" i="77"/>
  <c r="AK24" i="44"/>
  <c r="AD29" i="77"/>
  <c r="M21" i="61"/>
  <c r="M37" i="61" s="1"/>
  <c r="I125" i="23"/>
  <c r="H21" i="61"/>
  <c r="H37" i="61" s="1"/>
  <c r="AP41" i="3"/>
  <c r="I198" i="23"/>
  <c r="AD60" i="77"/>
  <c r="I305" i="23"/>
  <c r="AD47" i="77"/>
  <c r="AD154" i="77"/>
  <c r="AD17" i="77"/>
  <c r="I182" i="23"/>
  <c r="AE24" i="44"/>
  <c r="AH15" i="26"/>
  <c r="AH41" i="3"/>
  <c r="H15" i="26"/>
  <c r="AD35" i="77"/>
  <c r="I111" i="23"/>
  <c r="AY5" i="34"/>
  <c r="AF19" i="33"/>
  <c r="AF33" i="33" s="1"/>
  <c r="I251" i="23"/>
  <c r="AD49" i="77"/>
  <c r="AD72" i="77"/>
  <c r="AD89" i="77"/>
  <c r="I145" i="23"/>
  <c r="AG5" i="34"/>
  <c r="AG21" i="61"/>
  <c r="AG37" i="61" s="1"/>
  <c r="S21" i="61"/>
  <c r="S37" i="61" s="1"/>
  <c r="I186" i="23"/>
  <c r="E21" i="61"/>
  <c r="E37" i="61" s="1"/>
  <c r="I317" i="23"/>
  <c r="AK15" i="26"/>
  <c r="I296" i="23"/>
  <c r="G21" i="61"/>
  <c r="G37" i="61" s="1"/>
  <c r="AD32" i="77"/>
  <c r="M15" i="26"/>
  <c r="R15" i="26"/>
  <c r="AD115" i="77"/>
  <c r="CC5" i="34"/>
  <c r="N21" i="61"/>
  <c r="N37" i="61" s="1"/>
  <c r="I337" i="23"/>
  <c r="I193" i="23"/>
  <c r="AH24" i="44"/>
  <c r="D41" i="3"/>
  <c r="K41" i="3"/>
  <c r="I107" i="23"/>
  <c r="I164" i="23"/>
  <c r="I220" i="23"/>
  <c r="D19" i="33"/>
  <c r="D33" i="33" s="1"/>
  <c r="AD54" i="77"/>
  <c r="AD124" i="77"/>
  <c r="AD24" i="77"/>
  <c r="AD83" i="77"/>
  <c r="AD21" i="61"/>
  <c r="AD37" i="61" s="1"/>
  <c r="AD5" i="34"/>
  <c r="AD132" i="77"/>
  <c r="I276" i="23"/>
  <c r="I114" i="23"/>
  <c r="AD75" i="77"/>
  <c r="AD69" i="77"/>
  <c r="AD77" i="77"/>
  <c r="I328" i="23"/>
  <c r="I287" i="23"/>
  <c r="AD105" i="77"/>
  <c r="I119" i="23"/>
  <c r="AD166" i="77"/>
  <c r="AC24" i="44"/>
  <c r="I149" i="23"/>
  <c r="AD34" i="77"/>
  <c r="I166" i="23"/>
  <c r="AD106" i="77"/>
  <c r="AD24" i="44"/>
  <c r="AD22" i="77"/>
  <c r="AD5" i="77"/>
  <c r="E17" i="63"/>
  <c r="AP5" i="34"/>
  <c r="R5" i="34"/>
  <c r="AD155" i="77"/>
  <c r="AG17" i="63"/>
  <c r="I17" i="63"/>
  <c r="AD26" i="77"/>
  <c r="BK5" i="34"/>
  <c r="R24" i="44"/>
  <c r="AW41" i="3"/>
  <c r="AB21" i="61"/>
  <c r="AB37" i="61" s="1"/>
  <c r="N19" i="33"/>
  <c r="N33" i="33" s="1"/>
  <c r="J41" i="3"/>
  <c r="L24" i="44"/>
  <c r="AD52" i="77"/>
  <c r="AI24" i="44"/>
  <c r="Y19" i="33"/>
  <c r="Y33" i="33" s="1"/>
  <c r="Z24" i="44"/>
  <c r="AD17" i="63"/>
  <c r="AJ19" i="33"/>
  <c r="N15" i="26"/>
  <c r="I370" i="23"/>
  <c r="I203" i="23"/>
  <c r="AD7" i="77"/>
  <c r="AD40" i="77"/>
  <c r="I327" i="23"/>
  <c r="G41" i="3"/>
  <c r="I267" i="23"/>
  <c r="I278" i="23"/>
  <c r="I346" i="23"/>
  <c r="AD101" i="77"/>
  <c r="AD107" i="77"/>
  <c r="I191" i="23"/>
  <c r="AG19" i="33"/>
  <c r="AG33" i="33" s="1"/>
  <c r="AD161" i="77"/>
  <c r="AD68" i="77"/>
  <c r="AD131" i="77"/>
  <c r="F17" i="63"/>
  <c r="Z21" i="61"/>
  <c r="Z37" i="61" s="1"/>
  <c r="J21" i="61"/>
  <c r="J37" i="61" s="1"/>
  <c r="CO5" i="34"/>
  <c r="I147" i="23"/>
  <c r="AF15" i="26"/>
  <c r="AC17" i="63"/>
  <c r="X19" i="33"/>
  <c r="X33" i="33" s="1"/>
  <c r="I330" i="23"/>
  <c r="I226" i="23"/>
  <c r="I112" i="23"/>
  <c r="AD99" i="77"/>
  <c r="AD82" i="77"/>
  <c r="I341" i="23"/>
  <c r="AD78" i="77"/>
  <c r="G15" i="26"/>
  <c r="AD91" i="77"/>
  <c r="AD31" i="77"/>
  <c r="I154" i="23"/>
  <c r="AD20" i="77"/>
  <c r="AD27" i="77"/>
  <c r="CI5" i="34"/>
  <c r="F21" i="61"/>
  <c r="F37" i="61" s="1"/>
  <c r="J24" i="44"/>
  <c r="E19" i="33"/>
  <c r="E33" i="33" s="1"/>
  <c r="W21" i="61"/>
  <c r="W37" i="61" s="1"/>
  <c r="AD113" i="77"/>
  <c r="I162" i="23"/>
  <c r="I217" i="23"/>
  <c r="AD80" i="77"/>
  <c r="AD144" i="77"/>
  <c r="N24" i="44"/>
  <c r="AD165" i="77"/>
  <c r="AE21" i="61"/>
  <c r="AE37" i="61" s="1"/>
  <c r="AC19" i="33"/>
  <c r="AC33" i="33" s="1"/>
  <c r="X17" i="63"/>
  <c r="AI21" i="61"/>
  <c r="AI37" i="61" s="1"/>
  <c r="AD33" i="77"/>
  <c r="AE19" i="33"/>
  <c r="AE33" i="33" s="1"/>
  <c r="V19" i="33"/>
  <c r="V33" i="33" s="1"/>
  <c r="X15" i="26"/>
  <c r="CF5" i="34"/>
  <c r="AH21" i="61"/>
  <c r="AH37" i="61" s="1"/>
  <c r="X41" i="3"/>
  <c r="AC21" i="61"/>
  <c r="AC37" i="61" s="1"/>
  <c r="AB24" i="44"/>
  <c r="L5" i="34"/>
  <c r="T17" i="63"/>
  <c r="T24" i="44"/>
  <c r="T41" i="3"/>
  <c r="W15" i="26"/>
  <c r="AA41" i="3"/>
  <c r="I176" i="23"/>
  <c r="AV5" i="34"/>
  <c r="V41" i="3"/>
  <c r="AI19" i="33"/>
  <c r="AI33" i="33" s="1"/>
  <c r="K24" i="44"/>
  <c r="AK21" i="61"/>
  <c r="AK37" i="61" s="1"/>
  <c r="O24" i="44"/>
  <c r="AE15" i="26"/>
  <c r="L21" i="61"/>
  <c r="L37" i="61" s="1"/>
  <c r="H19" i="33"/>
  <c r="H33" i="33" s="1"/>
  <c r="AL41" i="3"/>
  <c r="L19" i="33"/>
  <c r="L33" i="33" s="1"/>
  <c r="AD87" i="77"/>
  <c r="BB5" i="34"/>
  <c r="C17" i="63"/>
  <c r="K17" i="63"/>
  <c r="BN5" i="34"/>
  <c r="AG24" i="44"/>
  <c r="CL5" i="34"/>
  <c r="L17" i="63"/>
  <c r="M19" i="33"/>
  <c r="M33" i="33" s="1"/>
  <c r="U5" i="34"/>
  <c r="U17" i="63"/>
  <c r="X21" i="61"/>
  <c r="X37" i="61" s="1"/>
  <c r="H41" i="3"/>
  <c r="P41" i="3"/>
  <c r="J19" i="33"/>
  <c r="J33" i="33" s="1"/>
  <c r="U15" i="26"/>
  <c r="AD25" i="77"/>
  <c r="L15" i="26"/>
  <c r="N17" i="63"/>
  <c r="R41" i="3"/>
  <c r="AD19" i="33"/>
  <c r="AD33" i="33" s="1"/>
  <c r="AB19" i="33"/>
  <c r="AB33" i="33" s="1"/>
  <c r="AD152" i="77"/>
  <c r="I120" i="23"/>
  <c r="P21" i="61"/>
  <c r="P37" i="61" s="1"/>
  <c r="L41" i="3"/>
  <c r="AT41" i="3"/>
  <c r="U19" i="33"/>
  <c r="U33" i="33" s="1"/>
  <c r="BZ5" i="34"/>
  <c r="S19" i="33"/>
  <c r="S33" i="33" s="1"/>
  <c r="AD36" i="77"/>
  <c r="T19" i="33"/>
  <c r="T33" i="33" s="1"/>
  <c r="J15" i="26"/>
  <c r="F19" i="33"/>
  <c r="F33" i="33" s="1"/>
  <c r="S24" i="44"/>
  <c r="M17" i="63"/>
  <c r="AD42" i="77"/>
  <c r="AJ21" i="61"/>
  <c r="AJ37" i="61" s="1"/>
  <c r="M41" i="3"/>
  <c r="AC15" i="26"/>
  <c r="AD96" i="77"/>
  <c r="Q24" i="44"/>
  <c r="R19" i="33"/>
  <c r="R33" i="33" s="1"/>
  <c r="AD116" i="77"/>
  <c r="X24" i="44"/>
  <c r="AD23" i="77"/>
  <c r="AC41" i="3"/>
  <c r="I21" i="61"/>
  <c r="I37" i="61" s="1"/>
  <c r="BQ5" i="34"/>
  <c r="K15" i="26"/>
  <c r="K19" i="33"/>
  <c r="K33" i="33" s="1"/>
  <c r="AD44" i="77"/>
  <c r="AJ5" i="34"/>
  <c r="S41" i="3"/>
  <c r="O19" i="33"/>
  <c r="O33" i="33" s="1"/>
  <c r="AD57" i="77"/>
  <c r="S17" i="63"/>
  <c r="G19" i="33"/>
  <c r="G33" i="33" s="1"/>
  <c r="Z17" i="63"/>
  <c r="H17" i="63"/>
  <c r="H24" i="44"/>
  <c r="U41" i="3"/>
  <c r="V13" i="30"/>
  <c r="AI41" i="3"/>
  <c r="AD41" i="3"/>
  <c r="G17" i="63"/>
  <c r="AJ15" i="26"/>
  <c r="W24" i="44"/>
  <c r="I24" i="44"/>
  <c r="S15" i="26"/>
  <c r="AA17" i="63"/>
  <c r="AQ41" i="3"/>
  <c r="Y21" i="61"/>
  <c r="Y37" i="61" s="1"/>
  <c r="AD112" i="77"/>
  <c r="AK41" i="3"/>
  <c r="AH19" i="33"/>
  <c r="AH33" i="33" s="1"/>
  <c r="I315" i="23"/>
  <c r="P24" i="44"/>
  <c r="BH5" i="34"/>
  <c r="Z19" i="33"/>
  <c r="Z33" i="33" s="1"/>
  <c r="Z41" i="3"/>
  <c r="AK19" i="33"/>
  <c r="AK33" i="33" s="1"/>
  <c r="BW5" i="34"/>
  <c r="I5" i="34"/>
  <c r="AU41" i="3"/>
  <c r="O17" i="63"/>
  <c r="V24" i="44"/>
  <c r="D17" i="63"/>
  <c r="T15" i="26"/>
  <c r="Q21" i="61"/>
  <c r="Q37" i="61" s="1"/>
  <c r="AF17" i="63"/>
  <c r="AB15" i="26"/>
  <c r="AA15" i="26"/>
  <c r="Y17" i="63"/>
  <c r="U21" i="61"/>
  <c r="U37" i="61" s="1"/>
  <c r="AG15" i="26"/>
  <c r="Z15" i="26"/>
  <c r="AF21" i="61"/>
  <c r="AF37" i="61" s="1"/>
  <c r="AD15" i="26"/>
  <c r="O5" i="34"/>
  <c r="F24" i="44"/>
  <c r="J17" i="63"/>
  <c r="AD92" i="77"/>
  <c r="AJ41" i="3"/>
  <c r="Y15" i="26"/>
  <c r="AM5" i="34"/>
  <c r="N41" i="3"/>
  <c r="AS41" i="3"/>
  <c r="I204" i="23"/>
  <c r="E15" i="26"/>
  <c r="P19" i="33"/>
  <c r="P33" i="33" s="1"/>
  <c r="BE5" i="34"/>
  <c r="BT5" i="34"/>
  <c r="I41" i="3"/>
  <c r="Q41" i="3"/>
  <c r="O41" i="3"/>
  <c r="AX41" i="3"/>
  <c r="Q19" i="33"/>
  <c r="Q33" i="33" s="1"/>
  <c r="T21" i="61"/>
  <c r="T37" i="61" s="1"/>
  <c r="Q17" i="63"/>
  <c r="AD55" i="77"/>
  <c r="I19" i="33"/>
  <c r="I33" i="33" s="1"/>
  <c r="P15" i="26"/>
  <c r="Y41" i="3"/>
  <c r="X5" i="34"/>
  <c r="G24" i="44"/>
  <c r="F15" i="26"/>
  <c r="W41" i="3"/>
  <c r="I15" i="26"/>
  <c r="O21" i="61"/>
  <c r="O37" i="61" s="1"/>
  <c r="AI15" i="26"/>
  <c r="I311" i="23"/>
  <c r="R17" i="63"/>
  <c r="F41" i="3"/>
  <c r="O15" i="26"/>
  <c r="AG41" i="3"/>
  <c r="R21" i="61"/>
  <c r="R37" i="61" s="1"/>
  <c r="V15" i="26"/>
  <c r="M24" i="44"/>
  <c r="I201" i="23"/>
  <c r="W17" i="63"/>
  <c r="P17" i="63"/>
  <c r="AF24" i="44"/>
  <c r="AE17" i="63"/>
  <c r="V17" i="63"/>
  <c r="V21" i="61"/>
  <c r="V37" i="61" s="1"/>
  <c r="J22" i="9"/>
  <c r="J55" i="9" s="1"/>
  <c r="AM107" i="83"/>
  <c r="AM87" i="83"/>
  <c r="AM112" i="83"/>
  <c r="AM82" i="83"/>
  <c r="AX9" i="67" l="1"/>
  <c r="AX13" i="67"/>
  <c r="BO33" i="3"/>
  <c r="BO40" i="3"/>
  <c r="BG12" i="9" s="1"/>
  <c r="AZ20" i="61"/>
  <c r="AX22" i="67"/>
  <c r="BG18" i="9"/>
  <c r="BO61" i="3"/>
  <c r="AU94" i="63"/>
  <c r="BG13" i="9"/>
  <c r="Q291" i="77"/>
  <c r="L291" i="77"/>
  <c r="E291" i="77"/>
  <c r="K291" i="77"/>
  <c r="N291" i="77"/>
  <c r="D291" i="77"/>
  <c r="AQ291" i="77"/>
  <c r="AP291" i="77"/>
  <c r="BO23" i="3"/>
  <c r="AT54" i="63"/>
  <c r="AX66" i="71"/>
  <c r="AX68" i="71"/>
  <c r="AX81" i="71"/>
  <c r="AX69" i="71"/>
  <c r="AX72" i="71"/>
  <c r="AX83" i="71"/>
  <c r="AX73" i="71"/>
  <c r="AX85" i="71"/>
  <c r="AT94" i="63"/>
  <c r="AU93" i="63" s="1"/>
  <c r="AX74" i="71"/>
  <c r="BN33" i="3"/>
  <c r="AW33" i="67"/>
  <c r="AW17" i="67"/>
  <c r="AW20" i="67" s="1"/>
  <c r="AW9" i="67"/>
  <c r="AW22" i="67"/>
  <c r="AW29" i="67"/>
  <c r="AX76" i="71"/>
  <c r="AY20" i="61"/>
  <c r="AY18" i="33"/>
  <c r="AD24" i="13"/>
  <c r="AX70" i="71"/>
  <c r="AX77" i="71"/>
  <c r="AM20" i="83"/>
  <c r="AM25" i="83"/>
  <c r="AX79" i="71"/>
  <c r="AX80" i="71"/>
  <c r="AX67" i="71"/>
  <c r="D290" i="77"/>
  <c r="N290" i="77"/>
  <c r="L290" i="77"/>
  <c r="K290" i="77"/>
  <c r="E290" i="77"/>
  <c r="Q290" i="77"/>
  <c r="AX65" i="71"/>
  <c r="AX71" i="71"/>
  <c r="AX82" i="71"/>
  <c r="AX75" i="71"/>
  <c r="AX61" i="71"/>
  <c r="AX78" i="71"/>
  <c r="AX32" i="71"/>
  <c r="AX64" i="71"/>
  <c r="AD25" i="13"/>
  <c r="BF13" i="9"/>
  <c r="BF18" i="9"/>
  <c r="BF49" i="9"/>
  <c r="BF50" i="9" s="1"/>
  <c r="BF53" i="9" s="1"/>
  <c r="BN78" i="3"/>
  <c r="BN23" i="3"/>
  <c r="BN42" i="3"/>
  <c r="BF7" i="9" s="1"/>
  <c r="BN6" i="3"/>
  <c r="BN61" i="3"/>
  <c r="AX18" i="33"/>
  <c r="AX20" i="61"/>
  <c r="AV22" i="67"/>
  <c r="AS94" i="63"/>
  <c r="AT93" i="63" s="1"/>
  <c r="BE13" i="9"/>
  <c r="BE49" i="9"/>
  <c r="BE50" i="9" s="1"/>
  <c r="BE53" i="9" s="1"/>
  <c r="AV29" i="67"/>
  <c r="AV9" i="67"/>
  <c r="BE18" i="9"/>
  <c r="L289" i="77"/>
  <c r="E289" i="77"/>
  <c r="K289" i="77"/>
  <c r="D289" i="77"/>
  <c r="Q289" i="77"/>
  <c r="AC25" i="13"/>
  <c r="AV13" i="67"/>
  <c r="AB25" i="13"/>
  <c r="L288" i="77"/>
  <c r="K288" i="77"/>
  <c r="Q288" i="77"/>
  <c r="E288" i="77"/>
  <c r="D288" i="77"/>
  <c r="AU13" i="67"/>
  <c r="AU22" i="67"/>
  <c r="AU9" i="67"/>
  <c r="AP96" i="63"/>
  <c r="L287" i="77"/>
  <c r="D287" i="77"/>
  <c r="Q287" i="77"/>
  <c r="E287" i="77"/>
  <c r="K287" i="77"/>
  <c r="AT87" i="63" l="1"/>
  <c r="BG49" i="9"/>
  <c r="BG50" i="9" s="1"/>
  <c r="AZ18" i="33"/>
  <c r="AX29" i="67"/>
  <c r="BO6" i="3"/>
  <c r="BO39" i="3" s="1"/>
  <c r="BB291" i="77"/>
  <c r="BA291" i="77"/>
  <c r="R291" i="77"/>
  <c r="BG14" i="9"/>
  <c r="AT45" i="63"/>
  <c r="AT79" i="63"/>
  <c r="AW13" i="67"/>
  <c r="AW39" i="67"/>
  <c r="AD23" i="13"/>
  <c r="BB290" i="77"/>
  <c r="R290" i="77"/>
  <c r="AX90" i="71"/>
  <c r="BA290" i="77"/>
  <c r="AM45" i="63"/>
  <c r="AM63" i="63" s="1"/>
  <c r="AM87" i="63"/>
  <c r="BF17" i="9"/>
  <c r="BN39" i="3"/>
  <c r="BF8" i="9"/>
  <c r="BF6" i="9"/>
  <c r="BN40" i="3"/>
  <c r="BF12" i="9" s="1"/>
  <c r="BN90" i="3"/>
  <c r="AS87" i="63"/>
  <c r="BA289" i="77"/>
  <c r="BB289" i="77"/>
  <c r="R289" i="77"/>
  <c r="AR45" i="63"/>
  <c r="AR87" i="63"/>
  <c r="BM40" i="3"/>
  <c r="BA288" i="77"/>
  <c r="BB288" i="77"/>
  <c r="R288" i="77"/>
  <c r="R287" i="77"/>
  <c r="AM6" i="63" l="1"/>
  <c r="AM11" i="63" s="1"/>
  <c r="AM14" i="63" s="1"/>
  <c r="BN91" i="3"/>
  <c r="AM92" i="63"/>
  <c r="AM96" i="63" s="1"/>
  <c r="BF14" i="9"/>
  <c r="BE12" i="9"/>
  <c r="AS93" i="63"/>
  <c r="BA287" i="77"/>
  <c r="BB287" i="77"/>
  <c r="L286" i="77"/>
  <c r="K286" i="77"/>
  <c r="E286" i="77"/>
  <c r="Q286" i="77"/>
  <c r="D286" i="77"/>
  <c r="L285" i="77"/>
  <c r="D285" i="77"/>
  <c r="K285" i="77"/>
  <c r="E285" i="77"/>
  <c r="Q285" i="77"/>
  <c r="G315" i="73"/>
  <c r="F314" i="73"/>
  <c r="F316" i="73" s="1"/>
  <c r="L22" i="9"/>
  <c r="L55" i="9" s="1"/>
  <c r="AH87" i="63"/>
  <c r="AA264" i="77"/>
  <c r="AA272" i="77"/>
  <c r="AA258" i="77"/>
  <c r="AA275" i="77"/>
  <c r="AA256" i="77"/>
  <c r="AA274" i="77"/>
  <c r="AA251" i="77"/>
  <c r="AA253" i="77"/>
  <c r="AA278" i="77"/>
  <c r="AA262" i="77"/>
  <c r="AA269" i="77"/>
  <c r="AA261" i="77"/>
  <c r="AA270" i="77"/>
  <c r="AA254" i="77"/>
  <c r="AA268" i="77"/>
  <c r="AA277" i="77"/>
  <c r="AA276" i="77"/>
  <c r="AA271" i="77"/>
  <c r="AA259" i="77"/>
  <c r="AA257" i="77"/>
  <c r="AA266" i="77"/>
  <c r="AA273" i="77"/>
  <c r="AA260" i="77"/>
  <c r="AA255" i="77"/>
  <c r="AA263" i="77"/>
  <c r="AA267" i="77"/>
  <c r="AA252" i="77"/>
  <c r="AA265" i="77"/>
  <c r="AU29" i="67"/>
  <c r="AQ76" i="71"/>
  <c r="AQ72" i="71"/>
  <c r="AQ65" i="71"/>
  <c r="AQ73" i="71"/>
  <c r="AQ81" i="71"/>
  <c r="AQ66" i="71"/>
  <c r="AQ68" i="71"/>
  <c r="AQ80" i="71"/>
  <c r="AQ74" i="71"/>
  <c r="AQ83" i="71"/>
  <c r="BM61" i="3"/>
  <c r="AO17" i="67"/>
  <c r="AO20" i="67" s="1"/>
  <c r="BM33" i="3"/>
  <c r="AO13" i="67"/>
  <c r="BM23" i="3"/>
  <c r="M56" i="9"/>
  <c r="M138" i="8" s="1"/>
  <c r="M48" i="9"/>
  <c r="M11" i="9"/>
  <c r="M63" i="9"/>
  <c r="M34" i="9"/>
  <c r="M5" i="9"/>
  <c r="M38" i="9"/>
  <c r="M23" i="9"/>
  <c r="M131" i="9"/>
  <c r="V25" i="45"/>
  <c r="V15" i="45"/>
  <c r="M92" i="83"/>
  <c r="M35" i="83"/>
  <c r="M161" i="83"/>
  <c r="M150" i="83"/>
  <c r="M130" i="83"/>
  <c r="M116" i="83"/>
  <c r="AD56" i="9"/>
  <c r="AD34" i="9"/>
  <c r="AD38" i="9"/>
  <c r="AD48" i="9"/>
  <c r="AD5" i="9"/>
  <c r="AD23" i="9"/>
  <c r="AD63" i="9"/>
  <c r="AD11" i="9"/>
  <c r="AD131" i="9"/>
  <c r="AE49" i="46"/>
  <c r="AE105" i="46"/>
  <c r="AE81" i="46"/>
  <c r="AE93" i="46"/>
  <c r="AE24" i="46"/>
  <c r="AE30" i="46" s="1"/>
  <c r="AE36" i="46" s="1"/>
  <c r="AE62" i="46"/>
  <c r="AE43" i="46"/>
  <c r="AE74" i="46"/>
  <c r="AE17" i="46"/>
  <c r="AE68" i="46"/>
  <c r="AE11" i="46"/>
  <c r="AE55" i="46"/>
  <c r="AF23" i="9"/>
  <c r="AF11" i="9"/>
  <c r="AF38" i="9"/>
  <c r="AF34" i="9"/>
  <c r="AF5" i="9"/>
  <c r="AF63" i="9"/>
  <c r="AF131" i="9"/>
  <c r="AF48" i="9"/>
  <c r="AF56" i="9"/>
  <c r="AF63" i="71"/>
  <c r="AF34" i="71"/>
  <c r="AC14" i="31"/>
  <c r="AC23" i="31"/>
  <c r="G37" i="52"/>
  <c r="G21" i="52"/>
  <c r="AH131" i="9"/>
  <c r="AH56" i="9"/>
  <c r="AH5" i="9"/>
  <c r="AH38" i="9"/>
  <c r="AH34" i="9"/>
  <c r="AH48" i="9"/>
  <c r="AH23" i="9"/>
  <c r="AH63" i="9"/>
  <c r="AH11" i="9"/>
  <c r="E23" i="49"/>
  <c r="E41" i="49"/>
  <c r="AG75" i="73"/>
  <c r="AG101" i="73"/>
  <c r="AG65" i="73"/>
  <c r="AG93" i="73"/>
  <c r="AG49" i="73"/>
  <c r="AG85" i="73"/>
  <c r="AG57" i="73"/>
  <c r="AG109" i="73"/>
  <c r="AH12" i="53"/>
  <c r="AH19" i="53"/>
  <c r="Y277" i="77"/>
  <c r="K277" i="77"/>
  <c r="Q277" i="77"/>
  <c r="L277" i="77"/>
  <c r="E277" i="77"/>
  <c r="Z277" i="77"/>
  <c r="D277" i="77"/>
  <c r="D5" i="9"/>
  <c r="D11" i="9"/>
  <c r="D23" i="9"/>
  <c r="D38" i="9"/>
  <c r="D34" i="9"/>
  <c r="D131" i="9"/>
  <c r="D48" i="9"/>
  <c r="D63" i="9"/>
  <c r="D56" i="9"/>
  <c r="D138" i="8" s="1"/>
  <c r="AF19" i="53"/>
  <c r="AF12" i="53"/>
  <c r="AE49" i="73"/>
  <c r="AE85" i="73"/>
  <c r="AE57" i="73"/>
  <c r="AE109" i="73"/>
  <c r="AE65" i="73"/>
  <c r="AE75" i="73"/>
  <c r="AE101" i="73"/>
  <c r="AE93" i="73"/>
  <c r="Q261" i="77"/>
  <c r="K261" i="77"/>
  <c r="L261" i="77"/>
  <c r="E261" i="77"/>
  <c r="D261" i="77"/>
  <c r="C14" i="31"/>
  <c r="C23" i="31"/>
  <c r="J157" i="73"/>
  <c r="J149" i="73"/>
  <c r="J165" i="73"/>
  <c r="C233" i="77"/>
  <c r="D233" i="77"/>
  <c r="E233" i="77"/>
  <c r="K233" i="77"/>
  <c r="L233" i="77"/>
  <c r="T270" i="77"/>
  <c r="Y270" i="77"/>
  <c r="U270" i="77"/>
  <c r="E270" i="77"/>
  <c r="Q270" i="77"/>
  <c r="Z270" i="77"/>
  <c r="L270" i="77"/>
  <c r="W270" i="77"/>
  <c r="K270" i="77"/>
  <c r="D270" i="77"/>
  <c r="E227" i="77"/>
  <c r="L227" i="77"/>
  <c r="K227" i="77"/>
  <c r="D227" i="77"/>
  <c r="C227" i="77"/>
  <c r="Y251" i="77"/>
  <c r="V251" i="77"/>
  <c r="AP251" i="77"/>
  <c r="AR251" i="77"/>
  <c r="W251" i="77"/>
  <c r="N251" i="77"/>
  <c r="Z251" i="77"/>
  <c r="X251" i="77"/>
  <c r="AO251" i="77"/>
  <c r="AS251" i="77"/>
  <c r="T251" i="77"/>
  <c r="Q251" i="77"/>
  <c r="K251" i="77"/>
  <c r="C251" i="77"/>
  <c r="L251" i="77"/>
  <c r="D251" i="77"/>
  <c r="O251" i="77"/>
  <c r="E251" i="77"/>
  <c r="U251" i="77"/>
  <c r="AQ251" i="77"/>
  <c r="AA14" i="32"/>
  <c r="AA23" i="32"/>
  <c r="C13" i="65"/>
  <c r="C21" i="65"/>
  <c r="AL13" i="30"/>
  <c r="AL20" i="30"/>
  <c r="AK41" i="49"/>
  <c r="AK23" i="49"/>
  <c r="Q284" i="77"/>
  <c r="D284" i="77"/>
  <c r="AM37" i="83" s="1"/>
  <c r="L284" i="77"/>
  <c r="K284" i="77"/>
  <c r="E284" i="77"/>
  <c r="AM39" i="83" s="1"/>
  <c r="AL15" i="45"/>
  <c r="AL25" i="45"/>
  <c r="W282" i="77"/>
  <c r="K282" i="77"/>
  <c r="D282" i="77"/>
  <c r="Y282" i="77"/>
  <c r="U282" i="77"/>
  <c r="Q282" i="77"/>
  <c r="T282" i="77"/>
  <c r="E282" i="77"/>
  <c r="Z282" i="77"/>
  <c r="L282" i="77"/>
  <c r="AC63" i="71"/>
  <c r="AC34" i="71"/>
  <c r="U57" i="73"/>
  <c r="U75" i="73"/>
  <c r="U65" i="73"/>
  <c r="U101" i="73"/>
  <c r="U85" i="73"/>
  <c r="U49" i="73"/>
  <c r="U109" i="73"/>
  <c r="U93" i="73"/>
  <c r="AC49" i="46"/>
  <c r="AC24" i="46"/>
  <c r="AC30" i="46" s="1"/>
  <c r="AC36" i="46" s="1"/>
  <c r="AC11" i="46"/>
  <c r="AC68" i="46"/>
  <c r="AC55" i="46"/>
  <c r="AC43" i="46"/>
  <c r="AC17" i="46"/>
  <c r="AC105" i="46"/>
  <c r="AC81" i="46"/>
  <c r="AC93" i="46"/>
  <c r="AC74" i="46"/>
  <c r="AC62" i="46"/>
  <c r="R34" i="71"/>
  <c r="R63" i="71"/>
  <c r="V21" i="65"/>
  <c r="V13" i="65"/>
  <c r="Q23" i="31"/>
  <c r="Q14" i="31"/>
  <c r="K165" i="73"/>
  <c r="K149" i="73"/>
  <c r="K157" i="73"/>
  <c r="Z35" i="83"/>
  <c r="Z92" i="83"/>
  <c r="Z130" i="83"/>
  <c r="Z161" i="83"/>
  <c r="Z150" i="83"/>
  <c r="Z116" i="83"/>
  <c r="Q68" i="46"/>
  <c r="Q24" i="46"/>
  <c r="Q30" i="46" s="1"/>
  <c r="Q36" i="46" s="1"/>
  <c r="Q62" i="46"/>
  <c r="Q55" i="46"/>
  <c r="Q49" i="46"/>
  <c r="Q11" i="46"/>
  <c r="Q17" i="46"/>
  <c r="Q74" i="46"/>
  <c r="Q43" i="46"/>
  <c r="AG25" i="45"/>
  <c r="AG15" i="45"/>
  <c r="J49" i="46"/>
  <c r="J74" i="46"/>
  <c r="J55" i="46"/>
  <c r="J43" i="46"/>
  <c r="J11" i="46"/>
  <c r="J24" i="46"/>
  <c r="J30" i="46" s="1"/>
  <c r="J36" i="46" s="1"/>
  <c r="J62" i="46"/>
  <c r="J17" i="46"/>
  <c r="J68" i="46"/>
  <c r="AA49" i="46"/>
  <c r="AA24" i="46"/>
  <c r="AA30" i="46" s="1"/>
  <c r="AA36" i="46" s="1"/>
  <c r="AA93" i="46"/>
  <c r="AA11" i="46"/>
  <c r="AA74" i="46"/>
  <c r="AA62" i="46"/>
  <c r="AA81" i="46"/>
  <c r="AA68" i="46"/>
  <c r="AA43" i="46"/>
  <c r="AA17" i="46"/>
  <c r="AA105" i="46"/>
  <c r="AA55" i="46"/>
  <c r="AD13" i="65"/>
  <c r="AD21" i="65"/>
  <c r="N23" i="31"/>
  <c r="N14" i="31"/>
  <c r="Q13" i="65"/>
  <c r="Q21" i="65"/>
  <c r="I19" i="53"/>
  <c r="I12" i="53"/>
  <c r="AB23" i="49"/>
  <c r="AB41" i="49"/>
  <c r="G34" i="71"/>
  <c r="G63" i="71"/>
  <c r="H63" i="71"/>
  <c r="H34" i="71"/>
  <c r="AK23" i="32"/>
  <c r="AK14" i="32"/>
  <c r="N38" i="9"/>
  <c r="N56" i="9"/>
  <c r="N138" i="8" s="1"/>
  <c r="N131" i="9"/>
  <c r="N63" i="9"/>
  <c r="N23" i="9"/>
  <c r="N34" i="9"/>
  <c r="N48" i="9"/>
  <c r="N11" i="9"/>
  <c r="N5" i="9"/>
  <c r="AN141" i="73"/>
  <c r="AN125" i="73"/>
  <c r="AN133" i="73"/>
  <c r="H13" i="65"/>
  <c r="H21" i="65"/>
  <c r="Y101" i="73"/>
  <c r="Y109" i="73"/>
  <c r="Y65" i="73"/>
  <c r="Y75" i="73"/>
  <c r="Y57" i="73"/>
  <c r="Y49" i="73"/>
  <c r="Y93" i="73"/>
  <c r="Y85" i="73"/>
  <c r="AA21" i="39"/>
  <c r="AA11" i="39"/>
  <c r="K23" i="49"/>
  <c r="K41" i="49"/>
  <c r="R161" i="83"/>
  <c r="R92" i="83"/>
  <c r="R116" i="83"/>
  <c r="R35" i="83"/>
  <c r="R130" i="83"/>
  <c r="R150" i="83"/>
  <c r="P20" i="30"/>
  <c r="P13" i="30"/>
  <c r="W23" i="32"/>
  <c r="W14" i="32"/>
  <c r="AK15" i="45"/>
  <c r="AK25" i="45"/>
  <c r="AC12" i="53"/>
  <c r="AC19" i="53"/>
  <c r="AC165" i="73"/>
  <c r="AC149" i="73"/>
  <c r="AC157" i="73"/>
  <c r="X34" i="71"/>
  <c r="X63" i="71"/>
  <c r="AK38" i="9"/>
  <c r="AK23" i="9"/>
  <c r="AK34" i="9"/>
  <c r="AK48" i="9"/>
  <c r="AK63" i="9"/>
  <c r="AK56" i="9"/>
  <c r="AK131" i="9"/>
  <c r="AK11" i="9"/>
  <c r="AK5" i="9"/>
  <c r="N49" i="46"/>
  <c r="N62" i="46"/>
  <c r="N55" i="46"/>
  <c r="N74" i="46"/>
  <c r="N11" i="46"/>
  <c r="N68" i="46"/>
  <c r="N24" i="46"/>
  <c r="N30" i="46" s="1"/>
  <c r="N36" i="46" s="1"/>
  <c r="N43" i="46"/>
  <c r="N17" i="46"/>
  <c r="F35" i="83"/>
  <c r="F150" i="83"/>
  <c r="F92" i="83"/>
  <c r="F130" i="83"/>
  <c r="F116" i="83"/>
  <c r="F161" i="83"/>
  <c r="D34" i="71"/>
  <c r="D63" i="71"/>
  <c r="AB15" i="29"/>
  <c r="AB10" i="29"/>
  <c r="G20" i="30"/>
  <c r="G13" i="30"/>
  <c r="J161" i="83"/>
  <c r="J150" i="83"/>
  <c r="J35" i="83"/>
  <c r="J92" i="83"/>
  <c r="J116" i="83"/>
  <c r="J130" i="83"/>
  <c r="BB141" i="73"/>
  <c r="BB125" i="73"/>
  <c r="BB133" i="73"/>
  <c r="AF23" i="32"/>
  <c r="AF14" i="32"/>
  <c r="AD41" i="49"/>
  <c r="AD23" i="49"/>
  <c r="S41" i="49"/>
  <c r="S23" i="49"/>
  <c r="G25" i="45"/>
  <c r="G15" i="45"/>
  <c r="AH41" i="49"/>
  <c r="AH23" i="49"/>
  <c r="BH133" i="73"/>
  <c r="BH125" i="73"/>
  <c r="BH141" i="73"/>
  <c r="P21" i="52"/>
  <c r="P37" i="52"/>
  <c r="Z21" i="65"/>
  <c r="Z13" i="65"/>
  <c r="I35" i="83"/>
  <c r="I130" i="83"/>
  <c r="I161" i="83"/>
  <c r="I116" i="83"/>
  <c r="I92" i="83"/>
  <c r="I150" i="83"/>
  <c r="S11" i="59"/>
  <c r="S17" i="59"/>
  <c r="AH14" i="31"/>
  <c r="AH23" i="31"/>
  <c r="AO141" i="73"/>
  <c r="AO125" i="73"/>
  <c r="AO133" i="73"/>
  <c r="AG15" i="29"/>
  <c r="AG10" i="29"/>
  <c r="O11" i="39"/>
  <c r="O21" i="39"/>
  <c r="AA63" i="71"/>
  <c r="AA34" i="71"/>
  <c r="E116" i="83"/>
  <c r="E130" i="83"/>
  <c r="E161" i="83"/>
  <c r="E92" i="83"/>
  <c r="E150" i="83"/>
  <c r="E35" i="83"/>
  <c r="R41" i="49"/>
  <c r="R23" i="49"/>
  <c r="F13" i="30"/>
  <c r="F20" i="30"/>
  <c r="BC125" i="73"/>
  <c r="BC141" i="73"/>
  <c r="BC133" i="73"/>
  <c r="F131" i="9"/>
  <c r="F34" i="9"/>
  <c r="F48" i="9"/>
  <c r="F23" i="9"/>
  <c r="F63" i="9"/>
  <c r="F56" i="9"/>
  <c r="F138" i="8" s="1"/>
  <c r="F38" i="9"/>
  <c r="F5" i="9"/>
  <c r="F11" i="9"/>
  <c r="AH21" i="65"/>
  <c r="AH13" i="65"/>
  <c r="AI23" i="31"/>
  <c r="AI14" i="31"/>
  <c r="Z19" i="53"/>
  <c r="Z12" i="53"/>
  <c r="AH21" i="39"/>
  <c r="AH33" i="39" s="1"/>
  <c r="AH11" i="39"/>
  <c r="AI57" i="73"/>
  <c r="AI93" i="73"/>
  <c r="AI65" i="73"/>
  <c r="AI101" i="73"/>
  <c r="AI109" i="73"/>
  <c r="AI49" i="73"/>
  <c r="AI85" i="73"/>
  <c r="AI75" i="73"/>
  <c r="BJ125" i="73"/>
  <c r="BJ141" i="73"/>
  <c r="BJ133" i="73"/>
  <c r="M25" i="45"/>
  <c r="M15" i="45"/>
  <c r="P19" i="53"/>
  <c r="P12" i="53"/>
  <c r="AK157" i="73"/>
  <c r="AK165" i="73"/>
  <c r="AK149" i="73"/>
  <c r="L12" i="53"/>
  <c r="L19" i="53"/>
  <c r="R37" i="52"/>
  <c r="R21" i="52"/>
  <c r="O23" i="31"/>
  <c r="O14" i="31"/>
  <c r="Q21" i="39"/>
  <c r="Q11" i="39"/>
  <c r="BC165" i="73"/>
  <c r="BC157" i="73"/>
  <c r="BC149" i="73"/>
  <c r="BO165" i="73"/>
  <c r="BO157" i="73"/>
  <c r="BO149" i="73"/>
  <c r="E231" i="77"/>
  <c r="L231" i="77"/>
  <c r="C231" i="77"/>
  <c r="K231" i="77"/>
  <c r="D231" i="77"/>
  <c r="L273" i="77"/>
  <c r="D273" i="77"/>
  <c r="Z273" i="77"/>
  <c r="Q273" i="77"/>
  <c r="Y273" i="77"/>
  <c r="V273" i="77"/>
  <c r="T273" i="77"/>
  <c r="E273" i="77"/>
  <c r="U273" i="77"/>
  <c r="W273" i="77"/>
  <c r="X273" i="77"/>
  <c r="K273" i="77"/>
  <c r="G157" i="73"/>
  <c r="G149" i="73"/>
  <c r="G165" i="73"/>
  <c r="D260" i="77"/>
  <c r="K260" i="77"/>
  <c r="L260" i="77"/>
  <c r="Q260" i="77"/>
  <c r="E260" i="77"/>
  <c r="AL141" i="73"/>
  <c r="AL125" i="73"/>
  <c r="AL133" i="73"/>
  <c r="AJ141" i="73"/>
  <c r="AJ125" i="73"/>
  <c r="AJ133" i="73"/>
  <c r="U149" i="73"/>
  <c r="U157" i="73"/>
  <c r="U165" i="73"/>
  <c r="D228" i="77"/>
  <c r="C228" i="77"/>
  <c r="E228" i="77"/>
  <c r="L228" i="77"/>
  <c r="K228" i="77"/>
  <c r="AJ157" i="73"/>
  <c r="AJ149" i="73"/>
  <c r="AJ165" i="73"/>
  <c r="AE157" i="73"/>
  <c r="AE149" i="73"/>
  <c r="AE165" i="73"/>
  <c r="AT149" i="73"/>
  <c r="AT157" i="73"/>
  <c r="AT165" i="73"/>
  <c r="BG149" i="73"/>
  <c r="BG157" i="73"/>
  <c r="BG165" i="73"/>
  <c r="U19" i="53"/>
  <c r="U12" i="53"/>
  <c r="BM157" i="73"/>
  <c r="BM149" i="73"/>
  <c r="BM165" i="73"/>
  <c r="AA85" i="73"/>
  <c r="AA57" i="73"/>
  <c r="AA101" i="73"/>
  <c r="AA65" i="73"/>
  <c r="AA93" i="73"/>
  <c r="AA49" i="73"/>
  <c r="AA109" i="73"/>
  <c r="AA75" i="73"/>
  <c r="L245" i="77"/>
  <c r="E245" i="77"/>
  <c r="K245" i="77"/>
  <c r="C245" i="77"/>
  <c r="D245" i="77"/>
  <c r="C237" i="77"/>
  <c r="E237" i="77"/>
  <c r="K237" i="77"/>
  <c r="D237" i="77"/>
  <c r="L237" i="77"/>
  <c r="F165" i="73"/>
  <c r="F149" i="73"/>
  <c r="F157" i="73"/>
  <c r="L247" i="77"/>
  <c r="K247" i="77"/>
  <c r="C247" i="77"/>
  <c r="E247" i="77"/>
  <c r="D247" i="77"/>
  <c r="O247" i="77"/>
  <c r="Q247" i="77"/>
  <c r="N247" i="77"/>
  <c r="AA20" i="30"/>
  <c r="AA13" i="30"/>
  <c r="AL13" i="65"/>
  <c r="AL21" i="65"/>
  <c r="AG116" i="83"/>
  <c r="AG161" i="83"/>
  <c r="AG130" i="83"/>
  <c r="AG92" i="83"/>
  <c r="AG150" i="83"/>
  <c r="AG35" i="83"/>
  <c r="AQ87" i="71"/>
  <c r="AQ78" i="71"/>
  <c r="P34" i="71"/>
  <c r="P63" i="71"/>
  <c r="Y21" i="39"/>
  <c r="Y11" i="39"/>
  <c r="AK125" i="73"/>
  <c r="AK141" i="73"/>
  <c r="AK133" i="73"/>
  <c r="AD141" i="73"/>
  <c r="AD125" i="73"/>
  <c r="AD133" i="73"/>
  <c r="X11" i="39"/>
  <c r="X21" i="39"/>
  <c r="S75" i="73"/>
  <c r="S65" i="73"/>
  <c r="S101" i="73"/>
  <c r="S93" i="73"/>
  <c r="S85" i="73"/>
  <c r="S57" i="73"/>
  <c r="S49" i="73"/>
  <c r="S109" i="73"/>
  <c r="V165" i="73"/>
  <c r="V157" i="73"/>
  <c r="V149" i="73"/>
  <c r="B18" i="2"/>
  <c r="B21" i="2"/>
  <c r="B40" i="12"/>
  <c r="L63" i="71"/>
  <c r="L34" i="71"/>
  <c r="BF125" i="73"/>
  <c r="BF133" i="73"/>
  <c r="BF141" i="73"/>
  <c r="M21" i="52"/>
  <c r="M37" i="52"/>
  <c r="E20" i="30"/>
  <c r="E13" i="30"/>
  <c r="L230" i="77"/>
  <c r="C230" i="77"/>
  <c r="D230" i="77"/>
  <c r="K230" i="77"/>
  <c r="E230" i="77"/>
  <c r="I23" i="49"/>
  <c r="I41" i="49"/>
  <c r="R10" i="29"/>
  <c r="R15" i="29"/>
  <c r="N25" i="45"/>
  <c r="N15" i="45"/>
  <c r="S15" i="29"/>
  <c r="S10" i="29"/>
  <c r="AE21" i="65"/>
  <c r="AE13" i="65"/>
  <c r="U11" i="59"/>
  <c r="U17" i="59"/>
  <c r="S38" i="9"/>
  <c r="S48" i="9"/>
  <c r="S63" i="9"/>
  <c r="S131" i="9"/>
  <c r="S23" i="9"/>
  <c r="S5" i="9"/>
  <c r="S34" i="9"/>
  <c r="S56" i="9"/>
  <c r="S11" i="9"/>
  <c r="I25" i="45"/>
  <c r="I15" i="45"/>
  <c r="AA149" i="73"/>
  <c r="AA165" i="73"/>
  <c r="AA157" i="73"/>
  <c r="X13" i="65"/>
  <c r="X21" i="65"/>
  <c r="F11" i="46"/>
  <c r="F17" i="46"/>
  <c r="K21" i="52"/>
  <c r="K37" i="52"/>
  <c r="W34" i="71"/>
  <c r="W63" i="71"/>
  <c r="H15" i="45"/>
  <c r="H25" i="45"/>
  <c r="N23" i="49"/>
  <c r="N41" i="49"/>
  <c r="V109" i="73"/>
  <c r="V65" i="73"/>
  <c r="V101" i="73"/>
  <c r="V57" i="73"/>
  <c r="V75" i="73"/>
  <c r="V85" i="73"/>
  <c r="V93" i="73"/>
  <c r="V49" i="73"/>
  <c r="AE19" i="53"/>
  <c r="AE12" i="53"/>
  <c r="F14" i="31"/>
  <c r="F23" i="31"/>
  <c r="AJ13" i="65"/>
  <c r="AJ21" i="65"/>
  <c r="O56" i="9"/>
  <c r="O138" i="8" s="1"/>
  <c r="O131" i="9"/>
  <c r="O23" i="9"/>
  <c r="O48" i="9"/>
  <c r="O11" i="9"/>
  <c r="O34" i="9"/>
  <c r="O5" i="9"/>
  <c r="O38" i="9"/>
  <c r="O63" i="9"/>
  <c r="N21" i="39"/>
  <c r="N11" i="39"/>
  <c r="H92" i="83"/>
  <c r="H116" i="83"/>
  <c r="H150" i="83"/>
  <c r="H130" i="83"/>
  <c r="H35" i="83"/>
  <c r="H161" i="83"/>
  <c r="AD37" i="52"/>
  <c r="AD21" i="52"/>
  <c r="BF165" i="73"/>
  <c r="BF157" i="73"/>
  <c r="BF149" i="73"/>
  <c r="W10" i="29"/>
  <c r="W15" i="29"/>
  <c r="M21" i="65"/>
  <c r="M13" i="65"/>
  <c r="AL131" i="9"/>
  <c r="AL48" i="9"/>
  <c r="AL56" i="9"/>
  <c r="AL34" i="9"/>
  <c r="AL5" i="9"/>
  <c r="AL23" i="9"/>
  <c r="AL38" i="9"/>
  <c r="AL63" i="9"/>
  <c r="AL11" i="9"/>
  <c r="L15" i="45"/>
  <c r="L25" i="45"/>
  <c r="J34" i="71"/>
  <c r="J63" i="71"/>
  <c r="G21" i="39"/>
  <c r="G11" i="39"/>
  <c r="X43" i="46"/>
  <c r="X81" i="46"/>
  <c r="X74" i="46"/>
  <c r="X93" i="46"/>
  <c r="X68" i="46"/>
  <c r="X62" i="46"/>
  <c r="X55" i="46"/>
  <c r="X49" i="46"/>
  <c r="X24" i="46"/>
  <c r="X30" i="46" s="1"/>
  <c r="X36" i="46" s="1"/>
  <c r="X105" i="46"/>
  <c r="X11" i="46"/>
  <c r="X17" i="46"/>
  <c r="AG11" i="39"/>
  <c r="AG21" i="39"/>
  <c r="F12" i="53"/>
  <c r="F19" i="53"/>
  <c r="G19" i="53"/>
  <c r="G12" i="53"/>
  <c r="F25" i="45"/>
  <c r="F15" i="45"/>
  <c r="S21" i="39"/>
  <c r="S11" i="39"/>
  <c r="P11" i="39"/>
  <c r="P21" i="39"/>
  <c r="U25" i="45"/>
  <c r="U15" i="45"/>
  <c r="AF21" i="65"/>
  <c r="AF13" i="65"/>
  <c r="AC133" i="73"/>
  <c r="AC125" i="73"/>
  <c r="AC141" i="73"/>
  <c r="I14" i="31"/>
  <c r="I23" i="31"/>
  <c r="BQ165" i="73"/>
  <c r="BQ157" i="73"/>
  <c r="BQ149" i="73"/>
  <c r="AC15" i="29"/>
  <c r="AC10" i="29"/>
  <c r="Y165" i="73"/>
  <c r="Y157" i="73"/>
  <c r="Y149" i="73"/>
  <c r="AY53" i="9"/>
  <c r="AL105" i="46"/>
  <c r="AL55" i="46"/>
  <c r="AL62" i="46"/>
  <c r="AL68" i="46"/>
  <c r="AL30" i="46"/>
  <c r="AL81" i="46"/>
  <c r="AL11" i="46"/>
  <c r="AL43" i="46"/>
  <c r="AL36" i="46"/>
  <c r="AL49" i="46"/>
  <c r="AL17" i="46"/>
  <c r="AL24" i="46"/>
  <c r="AL93" i="46"/>
  <c r="AL74" i="46"/>
  <c r="E23" i="32"/>
  <c r="E14" i="32"/>
  <c r="Y37" i="52"/>
  <c r="Y21" i="52"/>
  <c r="AB21" i="65"/>
  <c r="AB13" i="65"/>
  <c r="S12" i="53"/>
  <c r="S19" i="53"/>
  <c r="AE15" i="45"/>
  <c r="AE25" i="45"/>
  <c r="AI11" i="39"/>
  <c r="AI21" i="39"/>
  <c r="AI33" i="39" s="1"/>
  <c r="Q125" i="73"/>
  <c r="Q133" i="73"/>
  <c r="Q141" i="73"/>
  <c r="AV133" i="73"/>
  <c r="AV141" i="73"/>
  <c r="AV125" i="73"/>
  <c r="L41" i="49"/>
  <c r="L23" i="49"/>
  <c r="G14" i="32"/>
  <c r="G23" i="32"/>
  <c r="E141" i="73"/>
  <c r="E133" i="73"/>
  <c r="E125" i="73"/>
  <c r="K11" i="39"/>
  <c r="K21" i="39"/>
  <c r="AG21" i="65"/>
  <c r="AG13" i="65"/>
  <c r="AJ17" i="46"/>
  <c r="AJ11" i="46"/>
  <c r="AJ43" i="46"/>
  <c r="AJ93" i="46"/>
  <c r="AJ24" i="46"/>
  <c r="AJ49" i="46"/>
  <c r="AJ62" i="46"/>
  <c r="AJ105" i="46"/>
  <c r="AJ81" i="46"/>
  <c r="AJ30" i="46"/>
  <c r="AJ74" i="46"/>
  <c r="AJ36" i="46"/>
  <c r="AJ55" i="46"/>
  <c r="AJ68" i="46"/>
  <c r="AE21" i="39"/>
  <c r="AE11" i="39"/>
  <c r="AF21" i="39"/>
  <c r="AF11" i="39"/>
  <c r="K25" i="45"/>
  <c r="K15" i="45"/>
  <c r="N10" i="29"/>
  <c r="N15" i="29"/>
  <c r="U14" i="32"/>
  <c r="U23" i="32"/>
  <c r="I11" i="59"/>
  <c r="I17" i="59"/>
  <c r="X65" i="73"/>
  <c r="X109" i="73"/>
  <c r="X75" i="73"/>
  <c r="X57" i="73"/>
  <c r="X101" i="73"/>
  <c r="X85" i="73"/>
  <c r="X93" i="73"/>
  <c r="X49" i="73"/>
  <c r="AH34" i="71"/>
  <c r="AH63" i="71"/>
  <c r="AW125" i="73"/>
  <c r="AW133" i="73"/>
  <c r="AW141" i="73"/>
  <c r="W13" i="30"/>
  <c r="W20" i="30"/>
  <c r="R13" i="30"/>
  <c r="R20" i="30"/>
  <c r="L57" i="73"/>
  <c r="L65" i="73"/>
  <c r="L49" i="73"/>
  <c r="L101" i="73"/>
  <c r="L85" i="73"/>
  <c r="L93" i="73"/>
  <c r="L109" i="73"/>
  <c r="L75" i="73"/>
  <c r="AP65" i="73"/>
  <c r="AP75" i="73"/>
  <c r="AP101" i="73"/>
  <c r="AP85" i="73"/>
  <c r="AP57" i="73"/>
  <c r="AP93" i="73"/>
  <c r="AP49" i="73"/>
  <c r="AP109" i="73"/>
  <c r="L125" i="73"/>
  <c r="L141" i="73"/>
  <c r="L133" i="73"/>
  <c r="AX165" i="73"/>
  <c r="AX157" i="73"/>
  <c r="AX149" i="73"/>
  <c r="AF109" i="73"/>
  <c r="AF65" i="73"/>
  <c r="AF101" i="73"/>
  <c r="AF75" i="73"/>
  <c r="AF49" i="73"/>
  <c r="AF93" i="73"/>
  <c r="AF57" i="73"/>
  <c r="AF85" i="73"/>
  <c r="BP157" i="73"/>
  <c r="BP149" i="73"/>
  <c r="BP165" i="73"/>
  <c r="AY149" i="73"/>
  <c r="AY165" i="73"/>
  <c r="AY157" i="73"/>
  <c r="E244" i="77"/>
  <c r="K244" i="77"/>
  <c r="C244" i="77"/>
  <c r="D244" i="77"/>
  <c r="L244" i="77"/>
  <c r="AZ133" i="73"/>
  <c r="AZ125" i="73"/>
  <c r="AZ141" i="73"/>
  <c r="L255" i="77"/>
  <c r="U255" i="77"/>
  <c r="AQ255" i="77"/>
  <c r="Z255" i="77"/>
  <c r="E255" i="77"/>
  <c r="X255" i="77"/>
  <c r="AR255" i="77"/>
  <c r="D255" i="77"/>
  <c r="V255" i="77"/>
  <c r="Q255" i="77"/>
  <c r="AO255" i="77"/>
  <c r="Y255" i="77"/>
  <c r="O255" i="77"/>
  <c r="T255" i="77"/>
  <c r="N255" i="77"/>
  <c r="K255" i="77"/>
  <c r="AS255" i="77"/>
  <c r="C255" i="77"/>
  <c r="W255" i="77"/>
  <c r="AP255" i="77"/>
  <c r="C133" i="9"/>
  <c r="C134" i="9" s="1"/>
  <c r="E133" i="9"/>
  <c r="E134" i="9" s="1"/>
  <c r="D133" i="9"/>
  <c r="D134" i="9" s="1"/>
  <c r="K229" i="77"/>
  <c r="L229" i="77"/>
  <c r="D229" i="77"/>
  <c r="C229" i="77"/>
  <c r="E229" i="77"/>
  <c r="M165" i="73"/>
  <c r="M157" i="73"/>
  <c r="M149" i="73"/>
  <c r="Y276" i="77"/>
  <c r="E276" i="77"/>
  <c r="Z276" i="77"/>
  <c r="K276" i="77"/>
  <c r="Q276" i="77"/>
  <c r="L276" i="77"/>
  <c r="U276" i="77"/>
  <c r="W276" i="77"/>
  <c r="T276" i="77"/>
  <c r="D276" i="77"/>
  <c r="Q271" i="77"/>
  <c r="E271" i="77"/>
  <c r="Y271" i="77"/>
  <c r="T271" i="77"/>
  <c r="W271" i="77"/>
  <c r="U271" i="77"/>
  <c r="D271" i="77"/>
  <c r="L271" i="77"/>
  <c r="K271" i="77"/>
  <c r="D259" i="77"/>
  <c r="Q259" i="77"/>
  <c r="L259" i="77"/>
  <c r="E259" i="77"/>
  <c r="K259" i="77"/>
  <c r="AK13" i="65"/>
  <c r="AK21" i="65"/>
  <c r="C250" i="77"/>
  <c r="N250" i="77"/>
  <c r="O250" i="77"/>
  <c r="E250" i="77"/>
  <c r="D250" i="77"/>
  <c r="L250" i="77"/>
  <c r="K250" i="77"/>
  <c r="Q250" i="77"/>
  <c r="AH161" i="83"/>
  <c r="AH130" i="83"/>
  <c r="AH92" i="83"/>
  <c r="AH150" i="83"/>
  <c r="AH35" i="83"/>
  <c r="AH116" i="83"/>
  <c r="AL150" i="83"/>
  <c r="AL116" i="83"/>
  <c r="AL35" i="83"/>
  <c r="AL92" i="83"/>
  <c r="AL130" i="83"/>
  <c r="AL161" i="83"/>
  <c r="AQ61" i="71"/>
  <c r="I125" i="73"/>
  <c r="I133" i="73"/>
  <c r="I141" i="73"/>
  <c r="AE34" i="71"/>
  <c r="AE63" i="71"/>
  <c r="D268" i="77"/>
  <c r="E268" i="77"/>
  <c r="T268" i="77"/>
  <c r="U268" i="77"/>
  <c r="L268" i="77"/>
  <c r="K268" i="77"/>
  <c r="Z268" i="77"/>
  <c r="Q268" i="77"/>
  <c r="W268" i="77"/>
  <c r="Y268" i="77"/>
  <c r="AC131" i="9"/>
  <c r="AC23" i="9"/>
  <c r="AC5" i="9"/>
  <c r="AC11" i="9"/>
  <c r="AC34" i="9"/>
  <c r="AC48" i="9"/>
  <c r="AC56" i="9"/>
  <c r="AC38" i="9"/>
  <c r="AC63" i="9"/>
  <c r="L48" i="9"/>
  <c r="L56" i="9"/>
  <c r="L138" i="8" s="1"/>
  <c r="L63" i="9"/>
  <c r="L131" i="9"/>
  <c r="L11" i="9"/>
  <c r="L38" i="9"/>
  <c r="L34" i="9"/>
  <c r="L23" i="9"/>
  <c r="L5" i="9"/>
  <c r="AJ13" i="30"/>
  <c r="AJ20" i="30"/>
  <c r="U34" i="71"/>
  <c r="U63" i="71"/>
  <c r="G41" i="49"/>
  <c r="G23" i="49"/>
  <c r="O37" i="52"/>
  <c r="O21" i="52"/>
  <c r="R25" i="45"/>
  <c r="R15" i="45"/>
  <c r="Q20" i="30"/>
  <c r="Q13" i="30"/>
  <c r="M23" i="49"/>
  <c r="M41" i="49"/>
  <c r="AI13" i="65"/>
  <c r="AI21" i="65"/>
  <c r="AH11" i="46"/>
  <c r="AH17" i="46"/>
  <c r="AH55" i="46"/>
  <c r="AH81" i="46"/>
  <c r="AH74" i="46"/>
  <c r="AH68" i="46"/>
  <c r="AH36" i="46"/>
  <c r="AH24" i="46"/>
  <c r="AH43" i="46"/>
  <c r="AH30" i="46"/>
  <c r="AH105" i="46"/>
  <c r="AH62" i="46"/>
  <c r="AH93" i="46"/>
  <c r="AH49" i="46"/>
  <c r="AA10" i="29"/>
  <c r="AA15" i="29"/>
  <c r="AG55" i="46"/>
  <c r="AG36" i="46"/>
  <c r="AG81" i="46"/>
  <c r="AG93" i="46"/>
  <c r="AG30" i="46"/>
  <c r="AG11" i="46"/>
  <c r="AG68" i="46"/>
  <c r="AG105" i="46"/>
  <c r="AG49" i="46"/>
  <c r="AG74" i="46"/>
  <c r="AG17" i="46"/>
  <c r="AG62" i="46"/>
  <c r="AG43" i="46"/>
  <c r="AG24" i="46"/>
  <c r="L14" i="31"/>
  <c r="L23" i="31"/>
  <c r="U13" i="30"/>
  <c r="U20" i="30"/>
  <c r="V23" i="49"/>
  <c r="V41" i="49"/>
  <c r="X19" i="53"/>
  <c r="X12" i="53"/>
  <c r="L21" i="39"/>
  <c r="L11" i="39"/>
  <c r="Z10" i="29"/>
  <c r="Z15" i="29"/>
  <c r="AJ11" i="9"/>
  <c r="AJ34" i="9"/>
  <c r="AJ5" i="9"/>
  <c r="AJ23" i="9"/>
  <c r="AJ56" i="9"/>
  <c r="AJ131" i="9"/>
  <c r="AJ48" i="9"/>
  <c r="AJ63" i="9"/>
  <c r="AJ38" i="9"/>
  <c r="AX133" i="73"/>
  <c r="AX125" i="73"/>
  <c r="AX141" i="73"/>
  <c r="N17" i="59"/>
  <c r="N11" i="59"/>
  <c r="AH25" i="45"/>
  <c r="AH15" i="45"/>
  <c r="V11" i="59"/>
  <c r="V17" i="59"/>
  <c r="S14" i="31"/>
  <c r="S23" i="31"/>
  <c r="W23" i="31"/>
  <c r="W14" i="31"/>
  <c r="T21" i="52"/>
  <c r="T37" i="52"/>
  <c r="AA12" i="53"/>
  <c r="AA19" i="53"/>
  <c r="V14" i="31"/>
  <c r="V23" i="31"/>
  <c r="S13" i="30"/>
  <c r="S20" i="30"/>
  <c r="J17" i="59"/>
  <c r="J11" i="59"/>
  <c r="AH133" i="73"/>
  <c r="AH125" i="73"/>
  <c r="AH141" i="73"/>
  <c r="AJ11" i="39"/>
  <c r="AJ21" i="39"/>
  <c r="AJ33" i="39" s="1"/>
  <c r="AJ15" i="45"/>
  <c r="AJ25" i="45"/>
  <c r="M19" i="53"/>
  <c r="M12" i="53"/>
  <c r="T25" i="45"/>
  <c r="T15" i="45"/>
  <c r="Q149" i="73"/>
  <c r="Q157" i="73"/>
  <c r="Q165" i="73"/>
  <c r="AE34" i="9"/>
  <c r="AE56" i="9"/>
  <c r="AE23" i="9"/>
  <c r="AE11" i="9"/>
  <c r="AE5" i="9"/>
  <c r="AE48" i="9"/>
  <c r="AE63" i="9"/>
  <c r="AE38" i="9"/>
  <c r="AE131" i="9"/>
  <c r="BA157" i="73"/>
  <c r="BA149" i="73"/>
  <c r="BA165" i="73"/>
  <c r="AG165" i="73"/>
  <c r="AG149" i="73"/>
  <c r="AG157" i="73"/>
  <c r="Z11" i="39"/>
  <c r="Z21" i="39"/>
  <c r="H48" i="9"/>
  <c r="H23" i="9"/>
  <c r="H63" i="9"/>
  <c r="H34" i="9"/>
  <c r="H5" i="9"/>
  <c r="H56" i="9"/>
  <c r="H138" i="8" s="1"/>
  <c r="H38" i="9"/>
  <c r="H131" i="9"/>
  <c r="H11" i="9"/>
  <c r="AI63" i="71"/>
  <c r="AI34" i="71"/>
  <c r="AB34" i="71"/>
  <c r="AB63" i="71"/>
  <c r="M23" i="31"/>
  <c r="M14" i="31"/>
  <c r="Y63" i="71"/>
  <c r="Y34" i="71"/>
  <c r="F21" i="52"/>
  <c r="F37" i="52"/>
  <c r="R23" i="31"/>
  <c r="R14" i="31"/>
  <c r="U5" i="9"/>
  <c r="U131" i="9"/>
  <c r="U56" i="9"/>
  <c r="U34" i="9"/>
  <c r="U63" i="9"/>
  <c r="U11" i="9"/>
  <c r="U48" i="9"/>
  <c r="U23" i="9"/>
  <c r="U38" i="9"/>
  <c r="I5" i="9"/>
  <c r="I63" i="9"/>
  <c r="I48" i="9"/>
  <c r="I38" i="9"/>
  <c r="I56" i="9"/>
  <c r="I138" i="8" s="1"/>
  <c r="I11" i="9"/>
  <c r="I131" i="9"/>
  <c r="I23" i="9"/>
  <c r="I34" i="9"/>
  <c r="U141" i="73"/>
  <c r="U133" i="73"/>
  <c r="U125" i="73"/>
  <c r="Z20" i="30"/>
  <c r="Z13" i="30"/>
  <c r="C56" i="9"/>
  <c r="C138" i="8" s="1"/>
  <c r="C131" i="9"/>
  <c r="C23" i="9"/>
  <c r="C34" i="9"/>
  <c r="C38" i="9"/>
  <c r="C63" i="9"/>
  <c r="C48" i="9"/>
  <c r="C11" i="9"/>
  <c r="C5" i="9"/>
  <c r="U37" i="52"/>
  <c r="U21" i="52"/>
  <c r="AI15" i="45"/>
  <c r="AI25" i="45"/>
  <c r="R11" i="59"/>
  <c r="R17" i="59"/>
  <c r="L149" i="73"/>
  <c r="L157" i="73"/>
  <c r="L165" i="73"/>
  <c r="AD93" i="73"/>
  <c r="AD75" i="73"/>
  <c r="AD65" i="73"/>
  <c r="AD57" i="73"/>
  <c r="AD49" i="73"/>
  <c r="AD109" i="73"/>
  <c r="AD85" i="73"/>
  <c r="AD101" i="73"/>
  <c r="H10" i="29"/>
  <c r="H15" i="29"/>
  <c r="BG125" i="73"/>
  <c r="BG133" i="73"/>
  <c r="BG141" i="73"/>
  <c r="N85" i="73"/>
  <c r="N65" i="73"/>
  <c r="N101" i="73"/>
  <c r="N109" i="73"/>
  <c r="N93" i="73"/>
  <c r="N49" i="73"/>
  <c r="N75" i="73"/>
  <c r="N57" i="73"/>
  <c r="I11" i="46"/>
  <c r="I17" i="46"/>
  <c r="AA23" i="31"/>
  <c r="AA14" i="31"/>
  <c r="AJ57" i="73"/>
  <c r="AJ85" i="73"/>
  <c r="AJ93" i="73"/>
  <c r="AJ49" i="73"/>
  <c r="AJ109" i="73"/>
  <c r="AJ101" i="73"/>
  <c r="AJ75" i="73"/>
  <c r="AJ65" i="73"/>
  <c r="AB141" i="73"/>
  <c r="AB125" i="73"/>
  <c r="AB133" i="73"/>
  <c r="F11" i="59"/>
  <c r="F17" i="59"/>
  <c r="U21" i="39"/>
  <c r="U11" i="39"/>
  <c r="AO75" i="73"/>
  <c r="AO49" i="73"/>
  <c r="AO57" i="73"/>
  <c r="AO65" i="73"/>
  <c r="AO93" i="73"/>
  <c r="AO101" i="73"/>
  <c r="AO85" i="73"/>
  <c r="AO109" i="73"/>
  <c r="T23" i="31"/>
  <c r="T14" i="31"/>
  <c r="V23" i="32"/>
  <c r="V14" i="32"/>
  <c r="AA15" i="45"/>
  <c r="AA25" i="45"/>
  <c r="AU149" i="73"/>
  <c r="AU157" i="73"/>
  <c r="AU165" i="73"/>
  <c r="R133" i="73"/>
  <c r="R125" i="73"/>
  <c r="R141" i="73"/>
  <c r="BK165" i="73"/>
  <c r="BK157" i="73"/>
  <c r="BK149" i="73"/>
  <c r="L267" i="77"/>
  <c r="D267" i="77"/>
  <c r="E267" i="77"/>
  <c r="Y267" i="77"/>
  <c r="K267" i="77"/>
  <c r="Q267" i="77"/>
  <c r="AI165" i="73"/>
  <c r="AI149" i="73"/>
  <c r="AI157" i="73"/>
  <c r="Y15" i="29"/>
  <c r="Y10" i="29"/>
  <c r="H11" i="59"/>
  <c r="H17" i="59"/>
  <c r="Y92" i="83"/>
  <c r="Y35" i="83"/>
  <c r="Y116" i="83"/>
  <c r="Y130" i="83"/>
  <c r="Y161" i="83"/>
  <c r="Y150" i="83"/>
  <c r="S25" i="45"/>
  <c r="S15" i="45"/>
  <c r="D149" i="73"/>
  <c r="D165" i="73"/>
  <c r="D157" i="73"/>
  <c r="D238" i="77"/>
  <c r="C238" i="77"/>
  <c r="E238" i="77"/>
  <c r="L238" i="77"/>
  <c r="K238" i="77"/>
  <c r="BH149" i="73"/>
  <c r="BH157" i="73"/>
  <c r="BH165" i="73"/>
  <c r="AB165" i="73"/>
  <c r="AB157" i="73"/>
  <c r="AB149" i="73"/>
  <c r="I13" i="65"/>
  <c r="I21" i="65"/>
  <c r="T165" i="73"/>
  <c r="T157" i="73"/>
  <c r="T149" i="73"/>
  <c r="AF157" i="73"/>
  <c r="AF149" i="73"/>
  <c r="AF165" i="73"/>
  <c r="O149" i="73"/>
  <c r="O165" i="73"/>
  <c r="O157" i="73"/>
  <c r="E263" i="77"/>
  <c r="D263" i="77"/>
  <c r="K263" i="77"/>
  <c r="Q263" i="77"/>
  <c r="L263" i="77"/>
  <c r="C17" i="46"/>
  <c r="C11" i="46"/>
  <c r="AQ70" i="71"/>
  <c r="AK63" i="71"/>
  <c r="AK34" i="71"/>
  <c r="C15" i="45"/>
  <c r="C25" i="45"/>
  <c r="AQ77" i="71"/>
  <c r="AI35" i="83"/>
  <c r="AI92" i="83"/>
  <c r="AI116" i="83"/>
  <c r="AI150" i="83"/>
  <c r="AI130" i="83"/>
  <c r="AI161" i="83"/>
  <c r="AL12" i="53"/>
  <c r="AL19" i="53"/>
  <c r="D15" i="45"/>
  <c r="D25" i="45"/>
  <c r="AL41" i="49"/>
  <c r="AL23" i="49"/>
  <c r="D280" i="77"/>
  <c r="Q280" i="77"/>
  <c r="Z280" i="77"/>
  <c r="K280" i="77"/>
  <c r="X280" i="77"/>
  <c r="W280" i="77"/>
  <c r="E280" i="77"/>
  <c r="T280" i="77"/>
  <c r="V280" i="77"/>
  <c r="L280" i="77"/>
  <c r="Y280" i="77"/>
  <c r="U280" i="77"/>
  <c r="AL15" i="29"/>
  <c r="AL10" i="29"/>
  <c r="AQ67" i="71"/>
  <c r="B41" i="12"/>
  <c r="B20" i="2"/>
  <c r="G11" i="46"/>
  <c r="G17" i="46"/>
  <c r="K14" i="31"/>
  <c r="K23" i="31"/>
  <c r="I14" i="32"/>
  <c r="I23" i="32"/>
  <c r="AD14" i="32"/>
  <c r="AD23" i="32"/>
  <c r="S55" i="46"/>
  <c r="S24" i="46"/>
  <c r="S30" i="46" s="1"/>
  <c r="S36" i="46" s="1"/>
  <c r="S105" i="46"/>
  <c r="S11" i="46"/>
  <c r="S74" i="46"/>
  <c r="S93" i="46"/>
  <c r="S43" i="46"/>
  <c r="S49" i="46"/>
  <c r="S68" i="46"/>
  <c r="S17" i="46"/>
  <c r="S81" i="46"/>
  <c r="S62" i="46"/>
  <c r="U23" i="31"/>
  <c r="U14" i="31"/>
  <c r="S23" i="32"/>
  <c r="S14" i="32"/>
  <c r="K68" i="46"/>
  <c r="K74" i="46"/>
  <c r="K49" i="46"/>
  <c r="K11" i="46"/>
  <c r="K55" i="46"/>
  <c r="K24" i="46"/>
  <c r="K30" i="46" s="1"/>
  <c r="K36" i="46" s="1"/>
  <c r="K17" i="46"/>
  <c r="K43" i="46"/>
  <c r="K62" i="46"/>
  <c r="AH15" i="29"/>
  <c r="AH10" i="29"/>
  <c r="AI10" i="29"/>
  <c r="AI15" i="29"/>
  <c r="AJ12" i="53"/>
  <c r="AJ19" i="53"/>
  <c r="Q25" i="45"/>
  <c r="Q15" i="45"/>
  <c r="AB25" i="45"/>
  <c r="AB15" i="45"/>
  <c r="Q14" i="32"/>
  <c r="Q23" i="32"/>
  <c r="S13" i="65"/>
  <c r="S21" i="65"/>
  <c r="AE23" i="49"/>
  <c r="AE41" i="49"/>
  <c r="W21" i="65"/>
  <c r="W13" i="65"/>
  <c r="Z23" i="32"/>
  <c r="Z14" i="32"/>
  <c r="AD25" i="45"/>
  <c r="AD15" i="45"/>
  <c r="V125" i="73"/>
  <c r="V133" i="73"/>
  <c r="V141" i="73"/>
  <c r="AD20" i="30"/>
  <c r="AD13" i="30"/>
  <c r="O14" i="32"/>
  <c r="O23" i="32"/>
  <c r="Q41" i="49"/>
  <c r="Q23" i="49"/>
  <c r="AG13" i="30"/>
  <c r="AG20" i="30"/>
  <c r="D11" i="59"/>
  <c r="D17" i="59"/>
  <c r="O20" i="30"/>
  <c r="O13" i="30"/>
  <c r="L15" i="29"/>
  <c r="L10" i="29"/>
  <c r="G11" i="59"/>
  <c r="G17" i="59"/>
  <c r="T55" i="46"/>
  <c r="T93" i="46"/>
  <c r="T11" i="46"/>
  <c r="T68" i="46"/>
  <c r="T24" i="46"/>
  <c r="T30" i="46" s="1"/>
  <c r="T36" i="46" s="1"/>
  <c r="T17" i="46"/>
  <c r="T105" i="46"/>
  <c r="T43" i="46"/>
  <c r="T74" i="46"/>
  <c r="T49" i="46"/>
  <c r="T62" i="46"/>
  <c r="T81" i="46"/>
  <c r="H21" i="52"/>
  <c r="H37" i="52"/>
  <c r="AF25" i="45"/>
  <c r="AF15" i="45"/>
  <c r="I15" i="29"/>
  <c r="I10" i="29"/>
  <c r="F21" i="65"/>
  <c r="F13" i="65"/>
  <c r="AC116" i="83"/>
  <c r="AC92" i="83"/>
  <c r="AC130" i="83"/>
  <c r="AC150" i="83"/>
  <c r="AC35" i="83"/>
  <c r="AC161" i="83"/>
  <c r="U23" i="49"/>
  <c r="U41" i="49"/>
  <c r="T11" i="39"/>
  <c r="T21" i="39"/>
  <c r="AI37" i="52"/>
  <c r="AI21" i="52"/>
  <c r="T21" i="65"/>
  <c r="T13" i="65"/>
  <c r="H23" i="32"/>
  <c r="H14" i="32"/>
  <c r="P14" i="32"/>
  <c r="P23" i="32"/>
  <c r="K125" i="73"/>
  <c r="K141" i="73"/>
  <c r="K133" i="73"/>
  <c r="T56" i="9"/>
  <c r="T115" i="8" s="1"/>
  <c r="T48" i="9"/>
  <c r="T38" i="9"/>
  <c r="T5" i="9"/>
  <c r="T23" i="9"/>
  <c r="T131" i="9"/>
  <c r="T34" i="9"/>
  <c r="T11" i="9"/>
  <c r="T63" i="9"/>
  <c r="P23" i="31"/>
  <c r="P14" i="31"/>
  <c r="Z157" i="73"/>
  <c r="Z149" i="73"/>
  <c r="Z165" i="73"/>
  <c r="I11" i="39"/>
  <c r="I21" i="39"/>
  <c r="R19" i="53"/>
  <c r="R12" i="53"/>
  <c r="O15" i="29"/>
  <c r="O10" i="29"/>
  <c r="L13" i="30"/>
  <c r="L20" i="30"/>
  <c r="AC23" i="49"/>
  <c r="AC41" i="49"/>
  <c r="E232" i="77"/>
  <c r="D232" i="77"/>
  <c r="L232" i="77"/>
  <c r="C232" i="77"/>
  <c r="K232" i="77"/>
  <c r="AA21" i="52"/>
  <c r="AA37" i="52"/>
  <c r="O133" i="73"/>
  <c r="O125" i="73"/>
  <c r="O141" i="73"/>
  <c r="P11" i="59"/>
  <c r="P17" i="59"/>
  <c r="H157" i="73"/>
  <c r="H149" i="73"/>
  <c r="H165" i="73"/>
  <c r="AU133" i="73"/>
  <c r="AU141" i="73"/>
  <c r="AU125" i="73"/>
  <c r="F11" i="39"/>
  <c r="F21" i="39"/>
  <c r="AO29" i="67"/>
  <c r="M93" i="73"/>
  <c r="M65" i="73"/>
  <c r="M109" i="73"/>
  <c r="M57" i="73"/>
  <c r="M101" i="73"/>
  <c r="M75" i="73"/>
  <c r="M49" i="73"/>
  <c r="M85" i="73"/>
  <c r="AL85" i="73"/>
  <c r="AL75" i="73"/>
  <c r="AL49" i="73"/>
  <c r="AL93" i="73"/>
  <c r="AL65" i="73"/>
  <c r="AL57" i="73"/>
  <c r="AL109" i="73"/>
  <c r="AL101" i="73"/>
  <c r="AB49" i="73"/>
  <c r="AB101" i="73"/>
  <c r="AB75" i="73"/>
  <c r="AB93" i="73"/>
  <c r="AB85" i="73"/>
  <c r="AB65" i="73"/>
  <c r="AB109" i="73"/>
  <c r="AB57" i="73"/>
  <c r="AA21" i="65"/>
  <c r="AA13" i="65"/>
  <c r="D37" i="52"/>
  <c r="D21" i="52"/>
  <c r="S141" i="73"/>
  <c r="S125" i="73"/>
  <c r="S133" i="73"/>
  <c r="E226" i="77"/>
  <c r="D226" i="77"/>
  <c r="C226" i="77"/>
  <c r="K226" i="77"/>
  <c r="L226" i="77"/>
  <c r="AT141" i="73"/>
  <c r="AT125" i="73"/>
  <c r="AT133" i="73"/>
  <c r="E246" i="77"/>
  <c r="K246" i="77"/>
  <c r="N246" i="77"/>
  <c r="O246" i="77"/>
  <c r="L246" i="77"/>
  <c r="D246" i="77"/>
  <c r="C246" i="77"/>
  <c r="E243" i="77"/>
  <c r="C243" i="77"/>
  <c r="D243" i="77"/>
  <c r="K243" i="77"/>
  <c r="L243" i="77"/>
  <c r="F23" i="49"/>
  <c r="F41" i="49"/>
  <c r="T125" i="73"/>
  <c r="T133" i="73"/>
  <c r="T141" i="73"/>
  <c r="Z272" i="77"/>
  <c r="E272" i="77"/>
  <c r="U272" i="77"/>
  <c r="K272" i="77"/>
  <c r="L272" i="77"/>
  <c r="D272" i="77"/>
  <c r="T272" i="77"/>
  <c r="Y272" i="77"/>
  <c r="W272" i="77"/>
  <c r="Q272" i="77"/>
  <c r="BN157" i="73"/>
  <c r="BN149" i="73"/>
  <c r="BN165" i="73"/>
  <c r="R14" i="32"/>
  <c r="R23" i="32"/>
  <c r="F85" i="73"/>
  <c r="F101" i="73"/>
  <c r="F93" i="73"/>
  <c r="F65" i="73"/>
  <c r="F75" i="73"/>
  <c r="F109" i="73"/>
  <c r="F57" i="73"/>
  <c r="F49" i="73"/>
  <c r="X141" i="73"/>
  <c r="X125" i="73"/>
  <c r="X133" i="73"/>
  <c r="C224" i="77"/>
  <c r="L224" i="77"/>
  <c r="K224" i="77"/>
  <c r="D224" i="77"/>
  <c r="E224" i="77"/>
  <c r="BL157" i="73"/>
  <c r="BL149" i="73"/>
  <c r="BL165" i="73"/>
  <c r="AK37" i="52"/>
  <c r="AK21" i="52"/>
  <c r="C14" i="32"/>
  <c r="C23" i="32"/>
  <c r="AL14" i="31"/>
  <c r="AL23" i="31"/>
  <c r="AJ21" i="52"/>
  <c r="AJ37" i="52"/>
  <c r="C19" i="53"/>
  <c r="C12" i="53"/>
  <c r="AE92" i="83"/>
  <c r="AE116" i="83"/>
  <c r="AE150" i="83"/>
  <c r="AE130" i="83"/>
  <c r="AE161" i="83"/>
  <c r="AE35" i="83"/>
  <c r="B11" i="12"/>
  <c r="B17" i="2"/>
  <c r="B13" i="12"/>
  <c r="B11" i="2"/>
  <c r="D12" i="53"/>
  <c r="D19" i="53"/>
  <c r="R74" i="46"/>
  <c r="R55" i="46"/>
  <c r="R11" i="46"/>
  <c r="R62" i="46"/>
  <c r="R49" i="46"/>
  <c r="R43" i="46"/>
  <c r="R68" i="46"/>
  <c r="R24" i="46"/>
  <c r="R30" i="46" s="1"/>
  <c r="R36" i="46" s="1"/>
  <c r="R17" i="46"/>
  <c r="T41" i="49"/>
  <c r="T23" i="49"/>
  <c r="T34" i="71"/>
  <c r="T63" i="71"/>
  <c r="W23" i="49"/>
  <c r="W41" i="49"/>
  <c r="AG23" i="32"/>
  <c r="AG14" i="32"/>
  <c r="T20" i="30"/>
  <c r="T13" i="30"/>
  <c r="AI20" i="30"/>
  <c r="AI13" i="30"/>
  <c r="D75" i="73"/>
  <c r="D101" i="73"/>
  <c r="D65" i="73"/>
  <c r="D57" i="73"/>
  <c r="D109" i="73"/>
  <c r="D49" i="73"/>
  <c r="D93" i="73"/>
  <c r="D85" i="73"/>
  <c r="AB131" i="9"/>
  <c r="AB23" i="9"/>
  <c r="AB34" i="9"/>
  <c r="AB48" i="9"/>
  <c r="AB11" i="9"/>
  <c r="AB56" i="9"/>
  <c r="AB63" i="9"/>
  <c r="AB38" i="9"/>
  <c r="AB5" i="9"/>
  <c r="P41" i="49"/>
  <c r="P23" i="49"/>
  <c r="V19" i="53"/>
  <c r="V12" i="53"/>
  <c r="S149" i="73"/>
  <c r="S165" i="73"/>
  <c r="S157" i="73"/>
  <c r="G14" i="31"/>
  <c r="G23" i="31"/>
  <c r="BA141" i="73"/>
  <c r="BA133" i="73"/>
  <c r="BA125" i="73"/>
  <c r="AB62" i="46"/>
  <c r="AB49" i="46"/>
  <c r="AB81" i="46"/>
  <c r="AB17" i="46"/>
  <c r="AB24" i="46"/>
  <c r="AB30" i="46" s="1"/>
  <c r="AB36" i="46" s="1"/>
  <c r="AB74" i="46"/>
  <c r="AB93" i="46"/>
  <c r="AB55" i="46"/>
  <c r="AB105" i="46"/>
  <c r="AB68" i="46"/>
  <c r="AB43" i="46"/>
  <c r="AB11" i="46"/>
  <c r="N133" i="73"/>
  <c r="N141" i="73"/>
  <c r="N125" i="73"/>
  <c r="B8" i="2"/>
  <c r="Q10" i="29"/>
  <c r="Q15" i="29"/>
  <c r="V63" i="71"/>
  <c r="V34" i="71"/>
  <c r="AC93" i="73"/>
  <c r="AC49" i="73"/>
  <c r="AC65" i="73"/>
  <c r="AC85" i="73"/>
  <c r="AC75" i="73"/>
  <c r="AC57" i="73"/>
  <c r="AC101" i="73"/>
  <c r="AC109" i="73"/>
  <c r="M14" i="32"/>
  <c r="M23" i="32"/>
  <c r="Y105" i="46"/>
  <c r="Y62" i="46"/>
  <c r="Y24" i="46"/>
  <c r="Y30" i="46" s="1"/>
  <c r="Y36" i="46" s="1"/>
  <c r="Y68" i="46"/>
  <c r="Y17" i="46"/>
  <c r="Y55" i="46"/>
  <c r="Y43" i="46"/>
  <c r="Y49" i="46"/>
  <c r="Y93" i="46"/>
  <c r="Y11" i="46"/>
  <c r="Y81" i="46"/>
  <c r="Y74" i="46"/>
  <c r="AJ34" i="71"/>
  <c r="AJ63" i="71"/>
  <c r="AG12" i="53"/>
  <c r="AG19" i="53"/>
  <c r="AB12" i="53"/>
  <c r="AB19" i="53"/>
  <c r="N130" i="83"/>
  <c r="N161" i="83"/>
  <c r="N150" i="83"/>
  <c r="N92" i="83"/>
  <c r="N116" i="83"/>
  <c r="N35" i="83"/>
  <c r="I37" i="52"/>
  <c r="I21" i="52"/>
  <c r="W12" i="53"/>
  <c r="W19" i="53"/>
  <c r="K11" i="59"/>
  <c r="K17" i="59"/>
  <c r="AO33" i="67"/>
  <c r="K14" i="32"/>
  <c r="K23" i="32"/>
  <c r="X13" i="30"/>
  <c r="X20" i="30"/>
  <c r="R131" i="9"/>
  <c r="R48" i="9"/>
  <c r="R56" i="9"/>
  <c r="R138" i="8" s="1"/>
  <c r="R23" i="9"/>
  <c r="R34" i="9"/>
  <c r="R63" i="9"/>
  <c r="R5" i="9"/>
  <c r="R11" i="9"/>
  <c r="R38" i="9"/>
  <c r="J37" i="52"/>
  <c r="J21" i="52"/>
  <c r="AF43" i="46"/>
  <c r="AF68" i="46"/>
  <c r="AF62" i="46"/>
  <c r="AF81" i="46"/>
  <c r="AF24" i="46"/>
  <c r="AF30" i="46" s="1"/>
  <c r="AF36" i="46" s="1"/>
  <c r="AF11" i="46"/>
  <c r="AF74" i="46"/>
  <c r="AF49" i="46"/>
  <c r="AF17" i="46"/>
  <c r="AF55" i="46"/>
  <c r="AF105" i="46"/>
  <c r="AF93" i="46"/>
  <c r="M20" i="30"/>
  <c r="M13" i="30"/>
  <c r="E157" i="73"/>
  <c r="E149" i="73"/>
  <c r="E165" i="73"/>
  <c r="V34" i="9"/>
  <c r="V5" i="9"/>
  <c r="V56" i="9"/>
  <c r="V138" i="8" s="1"/>
  <c r="V23" i="9"/>
  <c r="V63" i="9"/>
  <c r="V48" i="9"/>
  <c r="V131" i="9"/>
  <c r="V11" i="9"/>
  <c r="V38" i="9"/>
  <c r="AI48" i="9"/>
  <c r="AI38" i="9"/>
  <c r="AI131" i="9"/>
  <c r="AI11" i="9"/>
  <c r="AI23" i="9"/>
  <c r="AI56" i="9"/>
  <c r="AI63" i="9"/>
  <c r="AI5" i="9"/>
  <c r="AI34" i="9"/>
  <c r="AG37" i="52"/>
  <c r="AG21" i="52"/>
  <c r="P150" i="83"/>
  <c r="P161" i="83"/>
  <c r="P92" i="83"/>
  <c r="P35" i="83"/>
  <c r="P116" i="83"/>
  <c r="P130" i="83"/>
  <c r="AF10" i="29"/>
  <c r="AF15" i="29"/>
  <c r="X116" i="83"/>
  <c r="X92" i="83"/>
  <c r="X161" i="83"/>
  <c r="X130" i="83"/>
  <c r="X150" i="83"/>
  <c r="X35" i="83"/>
  <c r="Y15" i="45"/>
  <c r="Y25" i="45"/>
  <c r="L21" i="52"/>
  <c r="L37" i="52"/>
  <c r="T15" i="29"/>
  <c r="T10" i="29"/>
  <c r="L11" i="59"/>
  <c r="L17" i="59"/>
  <c r="E65" i="73"/>
  <c r="E85" i="73"/>
  <c r="E93" i="73"/>
  <c r="E57" i="73"/>
  <c r="E101" i="73"/>
  <c r="E109" i="73"/>
  <c r="E49" i="73"/>
  <c r="E75" i="73"/>
  <c r="Y63" i="9"/>
  <c r="Y48" i="9"/>
  <c r="Y23" i="9"/>
  <c r="Y131" i="9"/>
  <c r="Y38" i="9"/>
  <c r="Y56" i="9"/>
  <c r="Y5" i="9"/>
  <c r="Y11" i="9"/>
  <c r="Y34" i="9"/>
  <c r="Q17" i="59"/>
  <c r="Q11" i="59"/>
  <c r="W25" i="45"/>
  <c r="W15" i="45"/>
  <c r="H12" i="53"/>
  <c r="H19" i="53"/>
  <c r="D23" i="32"/>
  <c r="D14" i="32"/>
  <c r="AA63" i="9"/>
  <c r="AA23" i="9"/>
  <c r="AA48" i="9"/>
  <c r="AA38" i="9"/>
  <c r="AA34" i="9"/>
  <c r="AA11" i="9"/>
  <c r="AA5" i="9"/>
  <c r="AA56" i="9"/>
  <c r="AA131" i="9"/>
  <c r="V74" i="46"/>
  <c r="V55" i="46"/>
  <c r="V62" i="46"/>
  <c r="V93" i="46"/>
  <c r="V68" i="46"/>
  <c r="V24" i="46"/>
  <c r="V30" i="46" s="1"/>
  <c r="V36" i="46" s="1"/>
  <c r="V81" i="46"/>
  <c r="V105" i="46"/>
  <c r="V17" i="46"/>
  <c r="V43" i="46"/>
  <c r="V11" i="46"/>
  <c r="V49" i="46"/>
  <c r="R13" i="65"/>
  <c r="R21" i="65"/>
  <c r="N14" i="32"/>
  <c r="N23" i="32"/>
  <c r="AI19" i="53"/>
  <c r="AI12" i="53"/>
  <c r="M141" i="73"/>
  <c r="M125" i="73"/>
  <c r="M133" i="73"/>
  <c r="F63" i="71"/>
  <c r="F34" i="71"/>
  <c r="AQ133" i="73"/>
  <c r="AQ125" i="73"/>
  <c r="AQ141" i="73"/>
  <c r="W131" i="9"/>
  <c r="W11" i="9"/>
  <c r="W23" i="9"/>
  <c r="W63" i="9"/>
  <c r="W56" i="9"/>
  <c r="W34" i="9"/>
  <c r="W38" i="9"/>
  <c r="W48" i="9"/>
  <c r="W5" i="9"/>
  <c r="AK55" i="46"/>
  <c r="AK17" i="46"/>
  <c r="AK30" i="46"/>
  <c r="AK81" i="46"/>
  <c r="AK43" i="46"/>
  <c r="AK74" i="46"/>
  <c r="AK11" i="46"/>
  <c r="AK93" i="46"/>
  <c r="AK36" i="46"/>
  <c r="AK24" i="46"/>
  <c r="AK49" i="46"/>
  <c r="AK62" i="46"/>
  <c r="AK68" i="46"/>
  <c r="AK105" i="46"/>
  <c r="Q34" i="71"/>
  <c r="Q63" i="71"/>
  <c r="X11" i="9"/>
  <c r="X63" i="9"/>
  <c r="X56" i="9"/>
  <c r="X23" i="9"/>
  <c r="X48" i="9"/>
  <c r="X5" i="9"/>
  <c r="X38" i="9"/>
  <c r="X34" i="9"/>
  <c r="X131" i="9"/>
  <c r="AH20" i="30"/>
  <c r="AH13" i="30"/>
  <c r="X14" i="31"/>
  <c r="X23" i="31"/>
  <c r="Y23" i="31"/>
  <c r="Y14" i="31"/>
  <c r="BI165" i="73"/>
  <c r="BI157" i="73"/>
  <c r="BI149" i="73"/>
  <c r="G21" i="65"/>
  <c r="G13" i="65"/>
  <c r="AJ23" i="31"/>
  <c r="AJ14" i="31"/>
  <c r="Q19" i="53"/>
  <c r="Q12" i="53"/>
  <c r="R165" i="73"/>
  <c r="R149" i="73"/>
  <c r="R157" i="73"/>
  <c r="BE125" i="73"/>
  <c r="BE133" i="73"/>
  <c r="BE141" i="73"/>
  <c r="D125" i="73"/>
  <c r="D133" i="73"/>
  <c r="D141" i="73"/>
  <c r="O19" i="53"/>
  <c r="O12" i="53"/>
  <c r="J14" i="32"/>
  <c r="J23" i="32"/>
  <c r="AB37" i="52"/>
  <c r="AB21" i="52"/>
  <c r="X23" i="49"/>
  <c r="X41" i="49"/>
  <c r="F6" i="34"/>
  <c r="L6" i="34" s="1"/>
  <c r="R6" i="34" s="1"/>
  <c r="X6" i="34" s="1"/>
  <c r="AD6" i="34" s="1"/>
  <c r="AJ6" i="34" s="1"/>
  <c r="AP6" i="34" s="1"/>
  <c r="AY6" i="34" s="1"/>
  <c r="I6" i="34"/>
  <c r="O6" i="34" s="1"/>
  <c r="U6" i="34" s="1"/>
  <c r="AA6" i="34" s="1"/>
  <c r="AG6" i="34" s="1"/>
  <c r="AM6" i="34" s="1"/>
  <c r="O13" i="65"/>
  <c r="O21" i="65"/>
  <c r="AV157" i="73"/>
  <c r="AV149" i="73"/>
  <c r="AV165" i="73"/>
  <c r="Z25" i="45"/>
  <c r="Z15" i="45"/>
  <c r="G125" i="73"/>
  <c r="G133" i="73"/>
  <c r="G141" i="73"/>
  <c r="AO149" i="73"/>
  <c r="AO165" i="73"/>
  <c r="AO157" i="73"/>
  <c r="AD105" i="46"/>
  <c r="AD62" i="46"/>
  <c r="AD68" i="46"/>
  <c r="AD49" i="46"/>
  <c r="AD43" i="46"/>
  <c r="AD74" i="46"/>
  <c r="AD81" i="46"/>
  <c r="AD11" i="46"/>
  <c r="AD55" i="46"/>
  <c r="AD17" i="46"/>
  <c r="AD24" i="46"/>
  <c r="AD30" i="46" s="1"/>
  <c r="AD36" i="46" s="1"/>
  <c r="AD93" i="46"/>
  <c r="O41" i="49"/>
  <c r="O23" i="49"/>
  <c r="AR101" i="73"/>
  <c r="AR75" i="73"/>
  <c r="AR49" i="73"/>
  <c r="AR109" i="73"/>
  <c r="AR57" i="73"/>
  <c r="AR85" i="73"/>
  <c r="AR93" i="73"/>
  <c r="AR65" i="73"/>
  <c r="W57" i="73"/>
  <c r="W101" i="73"/>
  <c r="W49" i="73"/>
  <c r="W65" i="73"/>
  <c r="W75" i="73"/>
  <c r="W93" i="73"/>
  <c r="W109" i="73"/>
  <c r="W85" i="73"/>
  <c r="AW165" i="73"/>
  <c r="AW149" i="73"/>
  <c r="AW157" i="73"/>
  <c r="AZ157" i="73"/>
  <c r="AZ165" i="73"/>
  <c r="AZ149" i="73"/>
  <c r="E241" i="77"/>
  <c r="L241" i="77"/>
  <c r="C241" i="77"/>
  <c r="D241" i="77"/>
  <c r="K241" i="77"/>
  <c r="T109" i="73"/>
  <c r="T49" i="73"/>
  <c r="T101" i="73"/>
  <c r="T65" i="73"/>
  <c r="T85" i="73"/>
  <c r="T57" i="73"/>
  <c r="T75" i="73"/>
  <c r="T93" i="73"/>
  <c r="E15" i="29"/>
  <c r="E10" i="29"/>
  <c r="AC13" i="65"/>
  <c r="AC21" i="65"/>
  <c r="C92" i="83"/>
  <c r="C116" i="83"/>
  <c r="C161" i="83"/>
  <c r="C35" i="83"/>
  <c r="C150" i="83"/>
  <c r="C130" i="83"/>
  <c r="E239" i="77"/>
  <c r="D239" i="77"/>
  <c r="L239" i="77"/>
  <c r="K239" i="77"/>
  <c r="C239" i="77"/>
  <c r="R21" i="39"/>
  <c r="R11" i="39"/>
  <c r="BJ157" i="73"/>
  <c r="BJ149" i="73"/>
  <c r="BJ165" i="73"/>
  <c r="BE157" i="73"/>
  <c r="BE165" i="73"/>
  <c r="BE149" i="73"/>
  <c r="AN109" i="73"/>
  <c r="AN101" i="73"/>
  <c r="AN65" i="73"/>
  <c r="AN49" i="73"/>
  <c r="AN93" i="73"/>
  <c r="AN85" i="73"/>
  <c r="AN75" i="73"/>
  <c r="AN57" i="73"/>
  <c r="AO9" i="67"/>
  <c r="R57" i="73"/>
  <c r="R85" i="73"/>
  <c r="R101" i="73"/>
  <c r="R93" i="73"/>
  <c r="R65" i="73"/>
  <c r="R49" i="73"/>
  <c r="R109" i="73"/>
  <c r="R75" i="73"/>
  <c r="L249" i="77"/>
  <c r="Q249" i="77"/>
  <c r="C249" i="77"/>
  <c r="O249" i="77"/>
  <c r="E249" i="77"/>
  <c r="D249" i="77"/>
  <c r="K249" i="77"/>
  <c r="N249" i="77"/>
  <c r="C23" i="49"/>
  <c r="C41" i="49"/>
  <c r="C21" i="39"/>
  <c r="C11" i="39"/>
  <c r="Z252" i="77"/>
  <c r="W252" i="77"/>
  <c r="C252" i="77"/>
  <c r="Y252" i="77"/>
  <c r="O252" i="77"/>
  <c r="K252" i="77"/>
  <c r="T252" i="77"/>
  <c r="AP252" i="77"/>
  <c r="AO252" i="77"/>
  <c r="AQ252" i="77"/>
  <c r="U252" i="77"/>
  <c r="L252" i="77"/>
  <c r="Q252" i="77"/>
  <c r="V252" i="77"/>
  <c r="AS252" i="77"/>
  <c r="X252" i="77"/>
  <c r="E252" i="77"/>
  <c r="D252" i="77"/>
  <c r="N252" i="77"/>
  <c r="AR252" i="77"/>
  <c r="U275" i="77"/>
  <c r="Y275" i="77"/>
  <c r="K275" i="77"/>
  <c r="Q275" i="77"/>
  <c r="E275" i="77"/>
  <c r="L275" i="77"/>
  <c r="Z275" i="77"/>
  <c r="X275" i="77"/>
  <c r="D275" i="77"/>
  <c r="V275" i="77"/>
  <c r="T275" i="77"/>
  <c r="W275" i="77"/>
  <c r="E264" i="77"/>
  <c r="L264" i="77"/>
  <c r="Q264" i="77"/>
  <c r="K264" i="77"/>
  <c r="D264" i="77"/>
  <c r="AQ79" i="71"/>
  <c r="AQ82" i="71"/>
  <c r="AQ69" i="71"/>
  <c r="AD161" i="83"/>
  <c r="AD150" i="83"/>
  <c r="AD35" i="83"/>
  <c r="AD130" i="83"/>
  <c r="AD92" i="83"/>
  <c r="AD116" i="83"/>
  <c r="D281" i="77"/>
  <c r="L281" i="77"/>
  <c r="V281" i="77"/>
  <c r="W281" i="77"/>
  <c r="Q281" i="77"/>
  <c r="K281" i="77"/>
  <c r="T281" i="77"/>
  <c r="X281" i="77"/>
  <c r="U281" i="77"/>
  <c r="Z281" i="77"/>
  <c r="Y281" i="77"/>
  <c r="E281" i="77"/>
  <c r="AK19" i="53"/>
  <c r="AK12" i="53"/>
  <c r="AQ85" i="71"/>
  <c r="Z23" i="49"/>
  <c r="Z41" i="49"/>
  <c r="L279" i="77"/>
  <c r="E279" i="77"/>
  <c r="Y279" i="77"/>
  <c r="U279" i="77"/>
  <c r="K279" i="77"/>
  <c r="Z279" i="77"/>
  <c r="D279" i="77"/>
  <c r="W279" i="77"/>
  <c r="Q279" i="77"/>
  <c r="T279" i="77"/>
  <c r="AK21" i="39"/>
  <c r="AK33" i="39" s="1"/>
  <c r="AK11" i="39"/>
  <c r="T35" i="83"/>
  <c r="T92" i="83"/>
  <c r="T161" i="83"/>
  <c r="T150" i="83"/>
  <c r="T116" i="83"/>
  <c r="T130" i="83"/>
  <c r="AD15" i="29"/>
  <c r="AD10" i="29"/>
  <c r="G10" i="29"/>
  <c r="G15" i="29"/>
  <c r="K13" i="65"/>
  <c r="K21" i="65"/>
  <c r="W11" i="39"/>
  <c r="W21" i="39"/>
  <c r="K150" i="83"/>
  <c r="K130" i="83"/>
  <c r="K116" i="83"/>
  <c r="K161" i="83"/>
  <c r="K35" i="83"/>
  <c r="K92" i="83"/>
  <c r="M10" i="29"/>
  <c r="M15" i="29"/>
  <c r="P157" i="73"/>
  <c r="P165" i="73"/>
  <c r="P149" i="73"/>
  <c r="AB14" i="32"/>
  <c r="AB23" i="32"/>
  <c r="Q266" i="77"/>
  <c r="E266" i="77"/>
  <c r="L266" i="77"/>
  <c r="K266" i="77"/>
  <c r="D266" i="77"/>
  <c r="BD125" i="73"/>
  <c r="BD141" i="73"/>
  <c r="BD133" i="73"/>
  <c r="AB23" i="31"/>
  <c r="AB14" i="31"/>
  <c r="O65" i="73"/>
  <c r="O101" i="73"/>
  <c r="O49" i="73"/>
  <c r="O57" i="73"/>
  <c r="O109" i="73"/>
  <c r="O93" i="73"/>
  <c r="O75" i="73"/>
  <c r="O85" i="73"/>
  <c r="Y19" i="53"/>
  <c r="Y12" i="53"/>
  <c r="AE15" i="29"/>
  <c r="AE10" i="29"/>
  <c r="O25" i="45"/>
  <c r="O15" i="45"/>
  <c r="E63" i="71"/>
  <c r="E34" i="71"/>
  <c r="J10" i="29"/>
  <c r="J15" i="29"/>
  <c r="I13" i="30"/>
  <c r="I20" i="30"/>
  <c r="AG41" i="49"/>
  <c r="AG23" i="49"/>
  <c r="AG125" i="73"/>
  <c r="AG133" i="73"/>
  <c r="AG141" i="73"/>
  <c r="J21" i="65"/>
  <c r="J13" i="65"/>
  <c r="D10" i="29"/>
  <c r="D15" i="29"/>
  <c r="F15" i="29"/>
  <c r="F10" i="29"/>
  <c r="C157" i="73"/>
  <c r="C149" i="73"/>
  <c r="C165" i="73"/>
  <c r="Y21" i="65"/>
  <c r="Y13" i="65"/>
  <c r="N20" i="30"/>
  <c r="N13" i="30"/>
  <c r="X15" i="45"/>
  <c r="X25" i="45"/>
  <c r="E17" i="46"/>
  <c r="E11" i="46"/>
  <c r="AC11" i="39"/>
  <c r="AC21" i="39"/>
  <c r="P11" i="9"/>
  <c r="P48" i="9"/>
  <c r="P23" i="9"/>
  <c r="P5" i="9"/>
  <c r="P131" i="9"/>
  <c r="P56" i="9"/>
  <c r="P138" i="8" s="1"/>
  <c r="P38" i="9"/>
  <c r="P63" i="9"/>
  <c r="P34" i="9"/>
  <c r="T11" i="59"/>
  <c r="T17" i="59"/>
  <c r="K34" i="9"/>
  <c r="K48" i="9"/>
  <c r="K11" i="9"/>
  <c r="K23" i="9"/>
  <c r="K38" i="9"/>
  <c r="K56" i="9"/>
  <c r="K138" i="8" s="1"/>
  <c r="K63" i="9"/>
  <c r="K5" i="9"/>
  <c r="K131" i="9"/>
  <c r="M11" i="39"/>
  <c r="M21" i="39"/>
  <c r="N12" i="53"/>
  <c r="N19" i="53"/>
  <c r="D13" i="65"/>
  <c r="D21" i="65"/>
  <c r="AE23" i="31"/>
  <c r="AE14" i="31"/>
  <c r="E12" i="53"/>
  <c r="E19" i="53"/>
  <c r="W21" i="52"/>
  <c r="W37" i="52"/>
  <c r="AJ14" i="32"/>
  <c r="AJ23" i="32"/>
  <c r="P10" i="29"/>
  <c r="P15" i="29"/>
  <c r="M17" i="59"/>
  <c r="M11" i="59"/>
  <c r="AB150" i="83"/>
  <c r="AB92" i="83"/>
  <c r="AB161" i="83"/>
  <c r="AB35" i="83"/>
  <c r="AB130" i="83"/>
  <c r="AB116" i="83"/>
  <c r="Z55" i="46"/>
  <c r="Z105" i="46"/>
  <c r="Z43" i="46"/>
  <c r="Z24" i="46"/>
  <c r="Z30" i="46" s="1"/>
  <c r="Z36" i="46" s="1"/>
  <c r="Z81" i="46"/>
  <c r="Z11" i="46"/>
  <c r="Z93" i="46"/>
  <c r="Z62" i="46"/>
  <c r="Z49" i="46"/>
  <c r="Z68" i="46"/>
  <c r="Z74" i="46"/>
  <c r="Z17" i="46"/>
  <c r="AC20" i="30"/>
  <c r="AC13" i="30"/>
  <c r="J23" i="31"/>
  <c r="J14" i="31"/>
  <c r="AJ15" i="29"/>
  <c r="AJ10" i="29"/>
  <c r="J75" i="73"/>
  <c r="J85" i="73"/>
  <c r="J49" i="73"/>
  <c r="J93" i="73"/>
  <c r="J65" i="73"/>
  <c r="J101" i="73"/>
  <c r="J109" i="73"/>
  <c r="J57" i="73"/>
  <c r="X23" i="32"/>
  <c r="X14" i="32"/>
  <c r="H14" i="31"/>
  <c r="H23" i="31"/>
  <c r="E56" i="9"/>
  <c r="E138" i="8" s="1"/>
  <c r="E131" i="9"/>
  <c r="E63" i="9"/>
  <c r="E11" i="9"/>
  <c r="E34" i="9"/>
  <c r="E5" i="9"/>
  <c r="E48" i="9"/>
  <c r="E23" i="9"/>
  <c r="E38" i="9"/>
  <c r="U43" i="46"/>
  <c r="U49" i="46"/>
  <c r="U11" i="46"/>
  <c r="U81" i="46"/>
  <c r="U68" i="46"/>
  <c r="U24" i="46"/>
  <c r="U30" i="46" s="1"/>
  <c r="U36" i="46" s="1"/>
  <c r="U93" i="46"/>
  <c r="U17" i="46"/>
  <c r="U105" i="46"/>
  <c r="U62" i="46"/>
  <c r="U55" i="46"/>
  <c r="U74" i="46"/>
  <c r="D150" i="83"/>
  <c r="D92" i="83"/>
  <c r="D116" i="83"/>
  <c r="D130" i="83"/>
  <c r="D35" i="83"/>
  <c r="D161" i="83"/>
  <c r="AL149" i="73"/>
  <c r="AL157" i="73"/>
  <c r="AL165" i="73"/>
  <c r="P21" i="65"/>
  <c r="P13" i="65"/>
  <c r="L21" i="65"/>
  <c r="L13" i="65"/>
  <c r="E11" i="59"/>
  <c r="E17" i="59"/>
  <c r="W74" i="46"/>
  <c r="W105" i="46"/>
  <c r="W24" i="46"/>
  <c r="W30" i="46" s="1"/>
  <c r="W36" i="46" s="1"/>
  <c r="W11" i="46"/>
  <c r="W43" i="46"/>
  <c r="W49" i="46"/>
  <c r="W62" i="46"/>
  <c r="W68" i="46"/>
  <c r="W93" i="46"/>
  <c r="W55" i="46"/>
  <c r="W17" i="46"/>
  <c r="W81" i="46"/>
  <c r="H49" i="73"/>
  <c r="H109" i="73"/>
  <c r="H85" i="73"/>
  <c r="H65" i="73"/>
  <c r="H101" i="73"/>
  <c r="H75" i="73"/>
  <c r="H57" i="73"/>
  <c r="H93" i="73"/>
  <c r="AG23" i="31"/>
  <c r="AG14" i="31"/>
  <c r="D13" i="30"/>
  <c r="D20" i="30"/>
  <c r="AI14" i="32"/>
  <c r="AI23" i="32"/>
  <c r="T19" i="53"/>
  <c r="T12" i="53"/>
  <c r="AR133" i="73"/>
  <c r="AR141" i="73"/>
  <c r="AR125" i="73"/>
  <c r="E25" i="45"/>
  <c r="E15" i="45"/>
  <c r="AE23" i="32"/>
  <c r="AE14" i="32"/>
  <c r="P75" i="73"/>
  <c r="P93" i="73"/>
  <c r="P65" i="73"/>
  <c r="P57" i="73"/>
  <c r="P85" i="73"/>
  <c r="P109" i="73"/>
  <c r="P101" i="73"/>
  <c r="P49" i="73"/>
  <c r="G49" i="73"/>
  <c r="G109" i="73"/>
  <c r="G57" i="73"/>
  <c r="G85" i="73"/>
  <c r="G75" i="73"/>
  <c r="G93" i="73"/>
  <c r="G101" i="73"/>
  <c r="G65" i="73"/>
  <c r="I57" i="73"/>
  <c r="I65" i="73"/>
  <c r="I85" i="73"/>
  <c r="I93" i="73"/>
  <c r="I49" i="73"/>
  <c r="I101" i="73"/>
  <c r="I75" i="73"/>
  <c r="I109" i="73"/>
  <c r="Y23" i="32"/>
  <c r="Y14" i="32"/>
  <c r="L62" i="46"/>
  <c r="L11" i="46"/>
  <c r="L55" i="46"/>
  <c r="L49" i="46"/>
  <c r="L43" i="46"/>
  <c r="L68" i="46"/>
  <c r="L74" i="46"/>
  <c r="L17" i="46"/>
  <c r="L24" i="46"/>
  <c r="L30" i="46" s="1"/>
  <c r="L36" i="46" s="1"/>
  <c r="AO22" i="67"/>
  <c r="N21" i="52"/>
  <c r="N37" i="52"/>
  <c r="AH165" i="73"/>
  <c r="AH157" i="73"/>
  <c r="AH149" i="73"/>
  <c r="V37" i="52"/>
  <c r="V21" i="52"/>
  <c r="AF23" i="31"/>
  <c r="AF14" i="31"/>
  <c r="AE141" i="73"/>
  <c r="AE125" i="73"/>
  <c r="AE133" i="73"/>
  <c r="J20" i="30"/>
  <c r="J13" i="30"/>
  <c r="AE13" i="30"/>
  <c r="AE20" i="30"/>
  <c r="AH14" i="32"/>
  <c r="AH23" i="32"/>
  <c r="P15" i="45"/>
  <c r="P25" i="45"/>
  <c r="D248" i="77"/>
  <c r="Q248" i="77"/>
  <c r="K248" i="77"/>
  <c r="E248" i="77"/>
  <c r="C248" i="77"/>
  <c r="N248" i="77"/>
  <c r="L248" i="77"/>
  <c r="O248" i="77"/>
  <c r="E240" i="77"/>
  <c r="K240" i="77"/>
  <c r="D240" i="77"/>
  <c r="L240" i="77"/>
  <c r="C240" i="77"/>
  <c r="H17" i="46"/>
  <c r="H11" i="46"/>
  <c r="BD149" i="73"/>
  <c r="BD165" i="73"/>
  <c r="BD157" i="73"/>
  <c r="F133" i="73"/>
  <c r="F141" i="73"/>
  <c r="F125" i="73"/>
  <c r="BB165" i="73"/>
  <c r="BB149" i="73"/>
  <c r="BB157" i="73"/>
  <c r="AB21" i="39"/>
  <c r="AB11" i="39"/>
  <c r="C242" i="77"/>
  <c r="D242" i="77"/>
  <c r="L242" i="77"/>
  <c r="K242" i="77"/>
  <c r="E242" i="77"/>
  <c r="AQ253" i="77"/>
  <c r="W253" i="77"/>
  <c r="AS253" i="77"/>
  <c r="N253" i="77"/>
  <c r="Z253" i="77"/>
  <c r="C253" i="77"/>
  <c r="Y253" i="77"/>
  <c r="V253" i="77"/>
  <c r="AP253" i="77"/>
  <c r="U253" i="77"/>
  <c r="X253" i="77"/>
  <c r="O253" i="77"/>
  <c r="Q253" i="77"/>
  <c r="AR253" i="77"/>
  <c r="D253" i="77"/>
  <c r="E253" i="77"/>
  <c r="T253" i="77"/>
  <c r="AO253" i="77"/>
  <c r="K253" i="77"/>
  <c r="L253" i="77"/>
  <c r="Z57" i="73"/>
  <c r="Z109" i="73"/>
  <c r="Z93" i="73"/>
  <c r="Z49" i="73"/>
  <c r="Z85" i="73"/>
  <c r="Z65" i="73"/>
  <c r="Z101" i="73"/>
  <c r="Z75" i="73"/>
  <c r="T278" i="77"/>
  <c r="K278" i="77"/>
  <c r="W278" i="77"/>
  <c r="E278" i="77"/>
  <c r="X278" i="77"/>
  <c r="D278" i="77"/>
  <c r="L278" i="77"/>
  <c r="Y278" i="77"/>
  <c r="Z278" i="77"/>
  <c r="U278" i="77"/>
  <c r="V278" i="77"/>
  <c r="Q278" i="77"/>
  <c r="K262" i="77"/>
  <c r="E262" i="77"/>
  <c r="Q262" i="77"/>
  <c r="D262" i="77"/>
  <c r="L262" i="77"/>
  <c r="H125" i="73"/>
  <c r="H141" i="73"/>
  <c r="H133" i="73"/>
  <c r="I165" i="73"/>
  <c r="I149" i="73"/>
  <c r="I157" i="73"/>
  <c r="AS157" i="73"/>
  <c r="AS165" i="73"/>
  <c r="AS149" i="73"/>
  <c r="Z14" i="31"/>
  <c r="Z23" i="31"/>
  <c r="P141" i="73"/>
  <c r="P125" i="73"/>
  <c r="P133" i="73"/>
  <c r="AQ49" i="73"/>
  <c r="AQ57" i="73"/>
  <c r="AQ101" i="73"/>
  <c r="AQ93" i="73"/>
  <c r="AQ85" i="73"/>
  <c r="AQ75" i="73"/>
  <c r="AQ65" i="73"/>
  <c r="AQ109" i="73"/>
  <c r="AQ64" i="71"/>
  <c r="AQ32" i="71"/>
  <c r="D21" i="39"/>
  <c r="D11" i="39"/>
  <c r="Q265" i="77"/>
  <c r="L265" i="77"/>
  <c r="E265" i="77"/>
  <c r="D265" i="77"/>
  <c r="K265" i="77"/>
  <c r="G6" i="34"/>
  <c r="M6" i="34" s="1"/>
  <c r="S6" i="34" s="1"/>
  <c r="Y6" i="34" s="1"/>
  <c r="AE6" i="34" s="1"/>
  <c r="AK6" i="34" s="1"/>
  <c r="AQ6" i="34" s="1"/>
  <c r="AZ6" i="34" s="1"/>
  <c r="J6" i="34"/>
  <c r="P6" i="34" s="1"/>
  <c r="V6" i="34" s="1"/>
  <c r="AB6" i="34" s="1"/>
  <c r="AH6" i="34" s="1"/>
  <c r="AN6" i="34" s="1"/>
  <c r="AK14" i="31"/>
  <c r="AK23" i="31"/>
  <c r="AL11" i="39"/>
  <c r="AL21" i="52"/>
  <c r="AL37" i="52"/>
  <c r="L283" i="77"/>
  <c r="Z283" i="77"/>
  <c r="Y283" i="77"/>
  <c r="X283" i="77"/>
  <c r="K283" i="77"/>
  <c r="E283" i="77"/>
  <c r="D283" i="77"/>
  <c r="T283" i="77"/>
  <c r="Q283" i="77"/>
  <c r="W283" i="77"/>
  <c r="U283" i="77"/>
  <c r="AL63" i="71"/>
  <c r="AL34" i="71"/>
  <c r="S92" i="83"/>
  <c r="S130" i="83"/>
  <c r="S161" i="83"/>
  <c r="S35" i="83"/>
  <c r="S150" i="83"/>
  <c r="S116" i="83"/>
  <c r="Z63" i="71"/>
  <c r="Z34" i="71"/>
  <c r="AD11" i="39"/>
  <c r="AD21" i="39"/>
  <c r="E37" i="52"/>
  <c r="E21" i="52"/>
  <c r="BI133" i="73"/>
  <c r="BI141" i="73"/>
  <c r="BI125" i="73"/>
  <c r="D14" i="31"/>
  <c r="D23" i="31"/>
  <c r="K10" i="29"/>
  <c r="K15" i="29"/>
  <c r="AI133" i="73"/>
  <c r="AI125" i="73"/>
  <c r="AI141" i="73"/>
  <c r="C10" i="29"/>
  <c r="C15" i="29"/>
  <c r="B25" i="2"/>
  <c r="B43" i="12"/>
  <c r="H11" i="39"/>
  <c r="H21" i="39"/>
  <c r="E21" i="65"/>
  <c r="E13" i="65"/>
  <c r="J11" i="39"/>
  <c r="J21" i="39"/>
  <c r="V10" i="29"/>
  <c r="V15" i="29"/>
  <c r="Z38" i="9"/>
  <c r="Z63" i="9"/>
  <c r="Z131" i="9"/>
  <c r="Z34" i="9"/>
  <c r="Z56" i="9"/>
  <c r="Z23" i="9"/>
  <c r="Z48" i="9"/>
  <c r="Z5" i="9"/>
  <c r="Z11" i="9"/>
  <c r="U10" i="29"/>
  <c r="U15" i="29"/>
  <c r="S63" i="71"/>
  <c r="S34" i="71"/>
  <c r="Q37" i="52"/>
  <c r="Q21" i="52"/>
  <c r="G56" i="9"/>
  <c r="G138" i="8" s="1"/>
  <c r="G23" i="9"/>
  <c r="G34" i="9"/>
  <c r="G63" i="9"/>
  <c r="G11" i="9"/>
  <c r="G131" i="9"/>
  <c r="G38" i="9"/>
  <c r="G5" i="9"/>
  <c r="G48" i="9"/>
  <c r="K34" i="71"/>
  <c r="K63" i="71"/>
  <c r="AK13" i="30"/>
  <c r="AK20" i="30"/>
  <c r="X37" i="52"/>
  <c r="X21" i="52"/>
  <c r="J23" i="49"/>
  <c r="J41" i="49"/>
  <c r="J15" i="45"/>
  <c r="J25" i="45"/>
  <c r="E21" i="39"/>
  <c r="E11" i="39"/>
  <c r="H23" i="49"/>
  <c r="H41" i="49"/>
  <c r="AG63" i="71"/>
  <c r="AG34" i="71"/>
  <c r="E23" i="31"/>
  <c r="E14" i="31"/>
  <c r="W35" i="83"/>
  <c r="W130" i="83"/>
  <c r="W150" i="83"/>
  <c r="W92" i="83"/>
  <c r="W161" i="83"/>
  <c r="W116" i="83"/>
  <c r="O62" i="46"/>
  <c r="O11" i="46"/>
  <c r="O68" i="46"/>
  <c r="O74" i="46"/>
  <c r="O49" i="46"/>
  <c r="O55" i="46"/>
  <c r="O24" i="46"/>
  <c r="O30" i="46" s="1"/>
  <c r="O36" i="46" s="1"/>
  <c r="O43" i="46"/>
  <c r="O17" i="46"/>
  <c r="Y23" i="49"/>
  <c r="Y41" i="49"/>
  <c r="N63" i="71"/>
  <c r="N34" i="71"/>
  <c r="AF21" i="52"/>
  <c r="AF37" i="52"/>
  <c r="Q75" i="73"/>
  <c r="Q101" i="73"/>
  <c r="Q65" i="73"/>
  <c r="Q109" i="73"/>
  <c r="Q57" i="73"/>
  <c r="Q93" i="73"/>
  <c r="Q85" i="73"/>
  <c r="Q49" i="73"/>
  <c r="AI49" i="46"/>
  <c r="AI17" i="46"/>
  <c r="AI11" i="46"/>
  <c r="AI36" i="46"/>
  <c r="AI74" i="46"/>
  <c r="AI62" i="46"/>
  <c r="AI24" i="46"/>
  <c r="AI55" i="46"/>
  <c r="AI93" i="46"/>
  <c r="AI43" i="46"/>
  <c r="AI81" i="46"/>
  <c r="AI30" i="46"/>
  <c r="AI68" i="46"/>
  <c r="AI105" i="46"/>
  <c r="D17" i="46"/>
  <c r="D11" i="46"/>
  <c r="L23" i="32"/>
  <c r="L14" i="32"/>
  <c r="C133" i="73"/>
  <c r="C141" i="73"/>
  <c r="C125" i="73"/>
  <c r="Q131" i="9"/>
  <c r="Q63" i="9"/>
  <c r="Q48" i="9"/>
  <c r="Q11" i="9"/>
  <c r="Q23" i="9"/>
  <c r="Q34" i="9"/>
  <c r="Q38" i="9"/>
  <c r="Q5" i="9"/>
  <c r="Q56" i="9"/>
  <c r="Q138" i="8" s="1"/>
  <c r="AF20" i="30"/>
  <c r="AF13" i="30"/>
  <c r="O63" i="71"/>
  <c r="O34" i="71"/>
  <c r="O92" i="83"/>
  <c r="O116" i="83"/>
  <c r="O130" i="83"/>
  <c r="O35" i="83"/>
  <c r="O161" i="83"/>
  <c r="O150" i="83"/>
  <c r="AC21" i="52"/>
  <c r="AC37" i="52"/>
  <c r="AH37" i="52"/>
  <c r="AH21" i="52"/>
  <c r="AD63" i="71"/>
  <c r="AD34" i="71"/>
  <c r="AC25" i="45"/>
  <c r="AC15" i="45"/>
  <c r="P68" i="46"/>
  <c r="P17" i="46"/>
  <c r="P11" i="46"/>
  <c r="P43" i="46"/>
  <c r="P55" i="46"/>
  <c r="P24" i="46"/>
  <c r="P30" i="46" s="1"/>
  <c r="P36" i="46" s="1"/>
  <c r="P49" i="46"/>
  <c r="P74" i="46"/>
  <c r="P62" i="46"/>
  <c r="AJ23" i="49"/>
  <c r="AJ41" i="49"/>
  <c r="U161" i="83"/>
  <c r="U92" i="83"/>
  <c r="U150" i="83"/>
  <c r="U116" i="83"/>
  <c r="U130" i="83"/>
  <c r="U35" i="83"/>
  <c r="N21" i="65"/>
  <c r="N13" i="65"/>
  <c r="X15" i="29"/>
  <c r="X10" i="29"/>
  <c r="U13" i="65"/>
  <c r="U21" i="65"/>
  <c r="I63" i="71"/>
  <c r="I34" i="71"/>
  <c r="Z21" i="52"/>
  <c r="Z37" i="52"/>
  <c r="AH109" i="73"/>
  <c r="AH101" i="73"/>
  <c r="AH93" i="73"/>
  <c r="AH75" i="73"/>
  <c r="AH57" i="73"/>
  <c r="AH85" i="73"/>
  <c r="AH49" i="73"/>
  <c r="AH65" i="73"/>
  <c r="AB13" i="30"/>
  <c r="AB20" i="30"/>
  <c r="AF23" i="49"/>
  <c r="AF41" i="49"/>
  <c r="J125" i="73"/>
  <c r="J141" i="73"/>
  <c r="J133" i="73"/>
  <c r="K13" i="30"/>
  <c r="K20" i="30"/>
  <c r="S37" i="52"/>
  <c r="S21" i="52"/>
  <c r="K12" i="53"/>
  <c r="K19" i="53"/>
  <c r="AI23" i="49"/>
  <c r="AI41" i="49"/>
  <c r="Z141" i="73"/>
  <c r="Z125" i="73"/>
  <c r="Z133" i="73"/>
  <c r="AQ149" i="73"/>
  <c r="AQ165" i="73"/>
  <c r="AQ157" i="73"/>
  <c r="J131" i="9"/>
  <c r="J5" i="9"/>
  <c r="J34" i="9"/>
  <c r="J38" i="9"/>
  <c r="J56" i="9"/>
  <c r="J138" i="8" s="1"/>
  <c r="J11" i="9"/>
  <c r="J63" i="9"/>
  <c r="J48" i="9"/>
  <c r="J23" i="9"/>
  <c r="J19" i="53"/>
  <c r="J12" i="53"/>
  <c r="AG11" i="9"/>
  <c r="AG63" i="9"/>
  <c r="AG38" i="9"/>
  <c r="AG48" i="9"/>
  <c r="AG34" i="9"/>
  <c r="AG56" i="9"/>
  <c r="AG131" i="9"/>
  <c r="AG23" i="9"/>
  <c r="AG5" i="9"/>
  <c r="M55" i="46"/>
  <c r="M62" i="46"/>
  <c r="M49" i="46"/>
  <c r="M74" i="46"/>
  <c r="M24" i="46"/>
  <c r="M30" i="46" s="1"/>
  <c r="M36" i="46" s="1"/>
  <c r="M43" i="46"/>
  <c r="M68" i="46"/>
  <c r="M11" i="46"/>
  <c r="M17" i="46"/>
  <c r="AK15" i="29"/>
  <c r="AK10" i="29"/>
  <c r="D41" i="49"/>
  <c r="D23" i="49"/>
  <c r="AE21" i="52"/>
  <c r="AE37" i="52"/>
  <c r="AR157" i="73"/>
  <c r="AR149" i="73"/>
  <c r="AR165" i="73"/>
  <c r="D225" i="77"/>
  <c r="C225" i="77"/>
  <c r="K225" i="77"/>
  <c r="L225" i="77"/>
  <c r="E225" i="77"/>
  <c r="AC14" i="32"/>
  <c r="AC23" i="32"/>
  <c r="Y141" i="73"/>
  <c r="Y133" i="73"/>
  <c r="Y125" i="73"/>
  <c r="AY141" i="73"/>
  <c r="AY133" i="73"/>
  <c r="AY125" i="73"/>
  <c r="F23" i="32"/>
  <c r="F14" i="32"/>
  <c r="O17" i="59"/>
  <c r="O11" i="59"/>
  <c r="AD14" i="31"/>
  <c r="AD23" i="31"/>
  <c r="W141" i="73"/>
  <c r="W133" i="73"/>
  <c r="W125" i="73"/>
  <c r="AP165" i="73"/>
  <c r="AP157" i="73"/>
  <c r="AP149" i="73"/>
  <c r="H20" i="30"/>
  <c r="H13" i="30"/>
  <c r="AS85" i="73"/>
  <c r="AS93" i="73"/>
  <c r="AS65" i="73"/>
  <c r="AS109" i="73"/>
  <c r="AS101" i="73"/>
  <c r="AS75" i="73"/>
  <c r="AS49" i="73"/>
  <c r="AS57" i="73"/>
  <c r="K257" i="77"/>
  <c r="Q257" i="77"/>
  <c r="L257" i="77"/>
  <c r="E257" i="77"/>
  <c r="C257" i="77"/>
  <c r="D257" i="77"/>
  <c r="AP133" i="73"/>
  <c r="AP141" i="73"/>
  <c r="AP125" i="73"/>
  <c r="K93" i="73"/>
  <c r="K75" i="73"/>
  <c r="K49" i="73"/>
  <c r="K101" i="73"/>
  <c r="K65" i="73"/>
  <c r="K57" i="73"/>
  <c r="K85" i="73"/>
  <c r="K109" i="73"/>
  <c r="K235" i="77"/>
  <c r="C235" i="77"/>
  <c r="E235" i="77"/>
  <c r="L235" i="77"/>
  <c r="D235" i="77"/>
  <c r="L234" i="77"/>
  <c r="K234" i="77"/>
  <c r="C234" i="77"/>
  <c r="D234" i="77"/>
  <c r="E234" i="77"/>
  <c r="Y13" i="30"/>
  <c r="Y20" i="30"/>
  <c r="U254" i="77"/>
  <c r="K254" i="77"/>
  <c r="V254" i="77"/>
  <c r="C254" i="77"/>
  <c r="AP254" i="77"/>
  <c r="E254" i="77"/>
  <c r="W254" i="77"/>
  <c r="AQ254" i="77"/>
  <c r="Z254" i="77"/>
  <c r="O254" i="77"/>
  <c r="AR254" i="77"/>
  <c r="AO254" i="77"/>
  <c r="Q254" i="77"/>
  <c r="L254" i="77"/>
  <c r="T254" i="77"/>
  <c r="X254" i="77"/>
  <c r="AS254" i="77"/>
  <c r="Y254" i="77"/>
  <c r="D254" i="77"/>
  <c r="N254" i="77"/>
  <c r="W157" i="73"/>
  <c r="W165" i="73"/>
  <c r="W149" i="73"/>
  <c r="AN149" i="73"/>
  <c r="AN165" i="73"/>
  <c r="AN157" i="73"/>
  <c r="AA133" i="73"/>
  <c r="AA125" i="73"/>
  <c r="AA141" i="73"/>
  <c r="N157" i="73"/>
  <c r="N149" i="73"/>
  <c r="N165" i="73"/>
  <c r="M34" i="71"/>
  <c r="M63" i="71"/>
  <c r="C57" i="73"/>
  <c r="C101" i="73"/>
  <c r="C65" i="73"/>
  <c r="C85" i="73"/>
  <c r="C75" i="73"/>
  <c r="C109" i="73"/>
  <c r="C93" i="73"/>
  <c r="C49" i="73"/>
  <c r="AF125" i="73"/>
  <c r="AF141" i="73"/>
  <c r="AF133" i="73"/>
  <c r="AK57" i="73"/>
  <c r="AK65" i="73"/>
  <c r="AK85" i="73"/>
  <c r="AK75" i="73"/>
  <c r="AK101" i="73"/>
  <c r="AK93" i="73"/>
  <c r="AK109" i="73"/>
  <c r="AK49" i="73"/>
  <c r="V21" i="39"/>
  <c r="V11" i="39"/>
  <c r="AA23" i="49"/>
  <c r="AA41" i="49"/>
  <c r="L269" i="77"/>
  <c r="Q269" i="77"/>
  <c r="K269" i="77"/>
  <c r="D269" i="77"/>
  <c r="T269" i="77"/>
  <c r="U269" i="77"/>
  <c r="E269" i="77"/>
  <c r="Y269" i="77"/>
  <c r="Z269" i="77"/>
  <c r="W269" i="77"/>
  <c r="AS133" i="73"/>
  <c r="AS141" i="73"/>
  <c r="AS125" i="73"/>
  <c r="AD157" i="73"/>
  <c r="AD165" i="73"/>
  <c r="AD149" i="73"/>
  <c r="D236" i="77"/>
  <c r="C236" i="77"/>
  <c r="E236" i="77"/>
  <c r="L236" i="77"/>
  <c r="K236" i="77"/>
  <c r="X149" i="73"/>
  <c r="X157" i="73"/>
  <c r="X165" i="73"/>
  <c r="C17" i="59"/>
  <c r="C11" i="59"/>
  <c r="C63" i="71"/>
  <c r="C34" i="71"/>
  <c r="D256" i="77"/>
  <c r="N256" i="77"/>
  <c r="O256" i="77"/>
  <c r="L256" i="77"/>
  <c r="AO256" i="77"/>
  <c r="AQ256" i="77"/>
  <c r="T256" i="77"/>
  <c r="Z256" i="77"/>
  <c r="W256" i="77"/>
  <c r="K256" i="77"/>
  <c r="X256" i="77"/>
  <c r="E256" i="77"/>
  <c r="U256" i="77"/>
  <c r="Y256" i="77"/>
  <c r="V256" i="77"/>
  <c r="Q256" i="77"/>
  <c r="C256" i="77"/>
  <c r="AR256" i="77"/>
  <c r="AP256" i="77"/>
  <c r="AS256" i="77"/>
  <c r="U274" i="77"/>
  <c r="L274" i="77"/>
  <c r="Z274" i="77"/>
  <c r="V274" i="77"/>
  <c r="K274" i="77"/>
  <c r="T274" i="77"/>
  <c r="W274" i="77"/>
  <c r="D274" i="77"/>
  <c r="Y274" i="77"/>
  <c r="E274" i="77"/>
  <c r="X274" i="77"/>
  <c r="Q274" i="77"/>
  <c r="C20" i="30"/>
  <c r="C13" i="30"/>
  <c r="L223" i="77"/>
  <c r="C223" i="77"/>
  <c r="D223" i="77"/>
  <c r="K223" i="77"/>
  <c r="E223" i="77"/>
  <c r="AQ71" i="71"/>
  <c r="Q258" i="77"/>
  <c r="K258" i="77"/>
  <c r="D258" i="77"/>
  <c r="E258" i="77"/>
  <c r="L258" i="77"/>
  <c r="C21" i="52"/>
  <c r="C37" i="52"/>
  <c r="AQ75" i="71"/>
  <c r="AJ161" i="83"/>
  <c r="AJ92" i="83"/>
  <c r="AJ35" i="83"/>
  <c r="AJ116" i="83"/>
  <c r="AJ130" i="83"/>
  <c r="AJ150" i="83"/>
  <c r="AV6" i="34" l="1"/>
  <c r="AS6" i="34"/>
  <c r="AM41" i="83"/>
  <c r="BE14" i="9"/>
  <c r="BG29" i="9" s="1"/>
  <c r="BD29" i="9"/>
  <c r="Z23" i="13"/>
  <c r="R286" i="77"/>
  <c r="BB286" i="77"/>
  <c r="BA286" i="77"/>
  <c r="R285" i="77"/>
  <c r="BA285" i="77"/>
  <c r="BB285" i="77"/>
  <c r="H315" i="73"/>
  <c r="G314" i="73"/>
  <c r="G316" i="73" s="1"/>
  <c r="AP14" i="45"/>
  <c r="BA257" i="77"/>
  <c r="R284" i="77"/>
  <c r="BB280" i="77"/>
  <c r="BB258" i="77"/>
  <c r="R256" i="77"/>
  <c r="BB268" i="77"/>
  <c r="AQ90" i="71"/>
  <c r="BA277" i="77"/>
  <c r="BB284" i="77"/>
  <c r="BB260" i="77"/>
  <c r="BA282" i="77"/>
  <c r="BB233" i="77"/>
  <c r="BB239" i="77"/>
  <c r="BB270" i="77"/>
  <c r="BB261" i="77"/>
  <c r="BA268" i="77"/>
  <c r="BB267" i="77"/>
  <c r="BA276" i="77"/>
  <c r="BA261" i="77"/>
  <c r="R277" i="77"/>
  <c r="AW251" i="77"/>
  <c r="BB274" i="77"/>
  <c r="BB254" i="77"/>
  <c r="R250" i="77"/>
  <c r="R254" i="77"/>
  <c r="BB252" i="77"/>
  <c r="BB249" i="77"/>
  <c r="BA262" i="77"/>
  <c r="BB259" i="77"/>
  <c r="BB235" i="77"/>
  <c r="BA249" i="77"/>
  <c r="BA272" i="77"/>
  <c r="R268" i="77"/>
  <c r="R276" i="77"/>
  <c r="BB247" i="77"/>
  <c r="BB279" i="77"/>
  <c r="BA239" i="77"/>
  <c r="BB238" i="77"/>
  <c r="BA241" i="77"/>
  <c r="R267" i="77"/>
  <c r="BB250" i="77"/>
  <c r="R247" i="77"/>
  <c r="BA284" i="77"/>
  <c r="BA240" i="77"/>
  <c r="AY255" i="77"/>
  <c r="BB255" i="77"/>
  <c r="BA244" i="77"/>
  <c r="AV256" i="77"/>
  <c r="BA256" i="77"/>
  <c r="BB246" i="77"/>
  <c r="BA237" i="77"/>
  <c r="BA253" i="77"/>
  <c r="BB248" i="77"/>
  <c r="BA264" i="77"/>
  <c r="AX252" i="77"/>
  <c r="BA275" i="77"/>
  <c r="BA273" i="77"/>
  <c r="BM6" i="3"/>
  <c r="AY254" i="77"/>
  <c r="BB234" i="77"/>
  <c r="BB283" i="77"/>
  <c r="BB278" i="77"/>
  <c r="AX253" i="77"/>
  <c r="BB242" i="77"/>
  <c r="BB271" i="77"/>
  <c r="BB276" i="77"/>
  <c r="BB244" i="77"/>
  <c r="R260" i="77"/>
  <c r="W23" i="13"/>
  <c r="R258" i="77"/>
  <c r="BA274" i="77"/>
  <c r="BB236" i="77"/>
  <c r="R283" i="77"/>
  <c r="BB240" i="77"/>
  <c r="BA248" i="77"/>
  <c r="BA252" i="77"/>
  <c r="BB245" i="77"/>
  <c r="BB231" i="77"/>
  <c r="BF29" i="9" l="1"/>
  <c r="BE29" i="9"/>
  <c r="BD136" i="9"/>
  <c r="I315" i="73"/>
  <c r="H314" i="73"/>
  <c r="H316" i="73" s="1"/>
  <c r="Y43" i="39"/>
  <c r="Y55" i="39" s="1"/>
  <c r="Y33" i="39"/>
  <c r="AW254" i="77"/>
  <c r="S37" i="83"/>
  <c r="S39" i="83"/>
  <c r="AJ45" i="63"/>
  <c r="AJ63" i="63" s="1"/>
  <c r="R43" i="39"/>
  <c r="R55" i="39" s="1"/>
  <c r="R33" i="39"/>
  <c r="AE37" i="83"/>
  <c r="AE39" i="83"/>
  <c r="AC39" i="83"/>
  <c r="AC37" i="83"/>
  <c r="BC6" i="3"/>
  <c r="BC40" i="3"/>
  <c r="AM23" i="44" s="1"/>
  <c r="AH39" i="83"/>
  <c r="AM40" i="83" s="1"/>
  <c r="AH37" i="83"/>
  <c r="AM38" i="83" s="1"/>
  <c r="D139" i="9"/>
  <c r="D140" i="9"/>
  <c r="S33" i="39"/>
  <c r="S43" i="39"/>
  <c r="S55" i="39" s="1"/>
  <c r="AK87" i="63"/>
  <c r="R37" i="83"/>
  <c r="R39" i="83"/>
  <c r="AA43" i="39"/>
  <c r="AA55" i="39" s="1"/>
  <c r="AA33" i="39"/>
  <c r="Z37" i="83"/>
  <c r="Z39" i="83"/>
  <c r="BA258" i="77"/>
  <c r="BA236" i="77"/>
  <c r="W39" i="83"/>
  <c r="W37" i="83"/>
  <c r="AD33" i="39"/>
  <c r="AD43" i="39"/>
  <c r="AD55" i="39" s="1"/>
  <c r="BB262" i="77"/>
  <c r="R253" i="77"/>
  <c r="AI45" i="63"/>
  <c r="R264" i="77"/>
  <c r="AW252" i="77"/>
  <c r="C39" i="83"/>
  <c r="C37" i="83"/>
  <c r="BB272" i="77"/>
  <c r="BA246" i="77"/>
  <c r="AI39" i="83"/>
  <c r="AI37" i="83"/>
  <c r="BA238" i="77"/>
  <c r="L33" i="39"/>
  <c r="L43" i="39"/>
  <c r="L55" i="39" s="1"/>
  <c r="BA271" i="77"/>
  <c r="E140" i="9"/>
  <c r="E139" i="9"/>
  <c r="AX255" i="77"/>
  <c r="AE43" i="39"/>
  <c r="AE55" i="39" s="1"/>
  <c r="AE33" i="39"/>
  <c r="G43" i="39"/>
  <c r="G55" i="39" s="1"/>
  <c r="G33" i="39"/>
  <c r="AL87" i="63"/>
  <c r="BA228" i="77"/>
  <c r="BB273" i="77"/>
  <c r="I37" i="83"/>
  <c r="I39" i="83"/>
  <c r="R282" i="77"/>
  <c r="R251" i="77"/>
  <c r="AX251" i="77"/>
  <c r="BA227" i="77"/>
  <c r="BA233" i="77"/>
  <c r="M39" i="83"/>
  <c r="M37" i="83"/>
  <c r="AL45" i="63"/>
  <c r="AL63" i="63" s="1"/>
  <c r="AQ23" i="44"/>
  <c r="AW256" i="77"/>
  <c r="R269" i="77"/>
  <c r="V43" i="39"/>
  <c r="V55" i="39" s="1"/>
  <c r="V33" i="39"/>
  <c r="BA254" i="77"/>
  <c r="BA235" i="77"/>
  <c r="J33" i="39"/>
  <c r="J43" i="39"/>
  <c r="J55" i="39" s="1"/>
  <c r="BA265" i="77"/>
  <c r="R265" i="77"/>
  <c r="BB253" i="77"/>
  <c r="D37" i="83"/>
  <c r="D39" i="83"/>
  <c r="AB39" i="83"/>
  <c r="AB37" i="83"/>
  <c r="AK45" i="63"/>
  <c r="AK63" i="63" s="1"/>
  <c r="M43" i="39"/>
  <c r="M55" i="39" s="1"/>
  <c r="M33" i="39"/>
  <c r="AC33" i="39"/>
  <c r="AC43" i="39"/>
  <c r="AC55" i="39" s="1"/>
  <c r="R281" i="77"/>
  <c r="R275" i="77"/>
  <c r="W138" i="8"/>
  <c r="X37" i="83"/>
  <c r="X39" i="83"/>
  <c r="N39" i="83"/>
  <c r="N37" i="83"/>
  <c r="BA243" i="77"/>
  <c r="F43" i="39"/>
  <c r="F55" i="39" s="1"/>
  <c r="F33" i="39"/>
  <c r="BA267" i="77"/>
  <c r="R271" i="77"/>
  <c r="C140" i="9"/>
  <c r="C139" i="9"/>
  <c r="K33" i="39"/>
  <c r="K43" i="39"/>
  <c r="K55" i="39" s="1"/>
  <c r="AG43" i="39"/>
  <c r="AG55" i="39" s="1"/>
  <c r="AG33" i="39"/>
  <c r="N33" i="39"/>
  <c r="N43" i="39"/>
  <c r="N55" i="39" s="1"/>
  <c r="BA230" i="77"/>
  <c r="R273" i="77"/>
  <c r="BA251" i="77"/>
  <c r="AV251" i="77"/>
  <c r="R270" i="77"/>
  <c r="I33" i="39"/>
  <c r="I43" i="39"/>
  <c r="I55" i="39" s="1"/>
  <c r="Y37" i="83"/>
  <c r="Y39" i="83"/>
  <c r="AF43" i="39"/>
  <c r="AF55" i="39" s="1"/>
  <c r="AF33" i="39"/>
  <c r="AY256" i="77"/>
  <c r="AU256" i="77"/>
  <c r="BA269" i="77"/>
  <c r="BB269" i="77"/>
  <c r="AV254" i="77"/>
  <c r="BA234" i="77"/>
  <c r="BB257" i="77"/>
  <c r="E43" i="39"/>
  <c r="E55" i="39" s="1"/>
  <c r="E33" i="39"/>
  <c r="R262" i="77"/>
  <c r="AY253" i="77"/>
  <c r="R248" i="77"/>
  <c r="AH45" i="63"/>
  <c r="AH63" i="63" s="1"/>
  <c r="AH6" i="63" s="1"/>
  <c r="AH11" i="63" s="1"/>
  <c r="AH14" i="63" s="1"/>
  <c r="BB266" i="77"/>
  <c r="BA279" i="77"/>
  <c r="BA281" i="77"/>
  <c r="AU252" i="77"/>
  <c r="BB6" i="34"/>
  <c r="BQ6" i="34" s="1"/>
  <c r="CF6" i="34" s="1"/>
  <c r="DA6" i="34" s="1"/>
  <c r="EH6" i="34" s="1"/>
  <c r="X138" i="8"/>
  <c r="Y138" i="8"/>
  <c r="AO39" i="67"/>
  <c r="BB232" i="77"/>
  <c r="T43" i="39"/>
  <c r="T55" i="39" s="1"/>
  <c r="T33" i="39"/>
  <c r="BA280" i="77"/>
  <c r="BA250" i="77"/>
  <c r="BA229" i="77"/>
  <c r="BA255" i="77"/>
  <c r="H37" i="83"/>
  <c r="H39" i="83"/>
  <c r="AJ87" i="63"/>
  <c r="BA260" i="77"/>
  <c r="J39" i="83"/>
  <c r="J37" i="83"/>
  <c r="BB282" i="77"/>
  <c r="AY251" i="77"/>
  <c r="BA270" i="77"/>
  <c r="K39" i="83"/>
  <c r="K37" i="83"/>
  <c r="O33" i="39"/>
  <c r="O43" i="39"/>
  <c r="O55" i="39" s="1"/>
  <c r="BB256" i="77"/>
  <c r="AU254" i="77"/>
  <c r="O39" i="83"/>
  <c r="O37" i="83"/>
  <c r="AT6" i="34"/>
  <c r="BC6" i="34" s="1"/>
  <c r="BR6" i="34" s="1"/>
  <c r="CG6" i="34" s="1"/>
  <c r="DB6" i="34" s="1"/>
  <c r="EI6" i="34" s="1"/>
  <c r="AW6" i="34"/>
  <c r="BB265" i="77"/>
  <c r="BA278" i="77"/>
  <c r="AU253" i="77"/>
  <c r="AB43" i="39"/>
  <c r="AB55" i="39" s="1"/>
  <c r="AB33" i="39"/>
  <c r="AF45" i="63"/>
  <c r="AF63" i="63" s="1"/>
  <c r="BA266" i="77"/>
  <c r="R279" i="77"/>
  <c r="AD39" i="83"/>
  <c r="AD37" i="83"/>
  <c r="BB264" i="77"/>
  <c r="AY252" i="77"/>
  <c r="AV252" i="77"/>
  <c r="BN6" i="34"/>
  <c r="CC6" i="34" s="1"/>
  <c r="BK6" i="34"/>
  <c r="BZ6" i="34" s="1"/>
  <c r="R272" i="77"/>
  <c r="R280" i="77"/>
  <c r="R263" i="77"/>
  <c r="BA263" i="77"/>
  <c r="BA259" i="77"/>
  <c r="R259" i="77"/>
  <c r="AV255" i="77"/>
  <c r="AI87" i="63"/>
  <c r="BB237" i="77"/>
  <c r="BA245" i="77"/>
  <c r="F39" i="83"/>
  <c r="F37" i="83"/>
  <c r="AU251" i="77"/>
  <c r="BB275" i="77"/>
  <c r="AJ39" i="83"/>
  <c r="AJ37" i="83"/>
  <c r="AX256" i="77"/>
  <c r="AX254" i="77"/>
  <c r="R257" i="77"/>
  <c r="BL6" i="34"/>
  <c r="CA6" i="34" s="1"/>
  <c r="BO6" i="34"/>
  <c r="CD6" i="34" s="1"/>
  <c r="R278" i="77"/>
  <c r="AV253" i="77"/>
  <c r="AW253" i="77"/>
  <c r="W43" i="39"/>
  <c r="W55" i="39" s="1"/>
  <c r="W33" i="39"/>
  <c r="C43" i="39"/>
  <c r="C55" i="39" s="1"/>
  <c r="C33" i="39"/>
  <c r="BB241" i="77"/>
  <c r="BA232" i="77"/>
  <c r="BB263" i="77"/>
  <c r="Z33" i="39"/>
  <c r="Z43" i="39"/>
  <c r="Z55" i="39" s="1"/>
  <c r="AL37" i="83"/>
  <c r="AL39" i="83"/>
  <c r="AU255" i="77"/>
  <c r="AW255" i="77"/>
  <c r="P43" i="39"/>
  <c r="P55" i="39" s="1"/>
  <c r="P33" i="39"/>
  <c r="BA247" i="77"/>
  <c r="BB251" i="77"/>
  <c r="R261" i="77"/>
  <c r="P39" i="83"/>
  <c r="P37" i="83"/>
  <c r="R274" i="77"/>
  <c r="U39" i="83"/>
  <c r="U37" i="83"/>
  <c r="H43" i="39"/>
  <c r="H55" i="39" s="1"/>
  <c r="H33" i="39"/>
  <c r="BA283" i="77"/>
  <c r="D33" i="39"/>
  <c r="D43" i="39"/>
  <c r="D55" i="39" s="1"/>
  <c r="BA242" i="77"/>
  <c r="AG45" i="63"/>
  <c r="AG63" i="63" s="1"/>
  <c r="R266" i="77"/>
  <c r="T39" i="83"/>
  <c r="T37" i="83"/>
  <c r="BB281" i="77"/>
  <c r="R252" i="77"/>
  <c r="R249" i="77"/>
  <c r="BB243" i="77"/>
  <c r="U43" i="39"/>
  <c r="U55" i="39" s="1"/>
  <c r="U33" i="39"/>
  <c r="R255" i="77"/>
  <c r="X33" i="39"/>
  <c r="X43" i="39"/>
  <c r="X55" i="39" s="1"/>
  <c r="AG37" i="83"/>
  <c r="AG39" i="83"/>
  <c r="BA231" i="77"/>
  <c r="Q43" i="39"/>
  <c r="Q55" i="39" s="1"/>
  <c r="Q33" i="39"/>
  <c r="E39" i="83"/>
  <c r="E37" i="83"/>
  <c r="BB277" i="77"/>
  <c r="BG136" i="9" l="1"/>
  <c r="BF136" i="9"/>
  <c r="BE136" i="9"/>
  <c r="DW6" i="34"/>
  <c r="EF6" i="34"/>
  <c r="DV6" i="34"/>
  <c r="EE6" i="34"/>
  <c r="AL6" i="63"/>
  <c r="AL11" i="63" s="1"/>
  <c r="AL14" i="63" s="1"/>
  <c r="AK6" i="63"/>
  <c r="AK11" i="63" s="1"/>
  <c r="AK14" i="63" s="1"/>
  <c r="J315" i="73"/>
  <c r="I314" i="73"/>
  <c r="I316" i="73" s="1"/>
  <c r="AJ6" i="63"/>
  <c r="AJ11" i="63" s="1"/>
  <c r="AJ14" i="63" s="1"/>
  <c r="AJ38" i="83"/>
  <c r="AH92" i="63"/>
  <c r="AH96" i="63" s="1"/>
  <c r="X38" i="83"/>
  <c r="T38" i="83"/>
  <c r="AD38" i="83"/>
  <c r="AY137" i="9"/>
  <c r="AI92" i="63"/>
  <c r="AI96" i="63" s="1"/>
  <c r="P38" i="83"/>
  <c r="AH38" i="83"/>
  <c r="U38" i="83"/>
  <c r="Z38" i="83"/>
  <c r="N38" i="83"/>
  <c r="D41" i="83"/>
  <c r="O38" i="83"/>
  <c r="AJ40" i="83"/>
  <c r="AJ41" i="83"/>
  <c r="F41" i="83"/>
  <c r="Y38" i="83"/>
  <c r="Q37" i="83"/>
  <c r="M38" i="83"/>
  <c r="G37" i="83"/>
  <c r="AA39" i="83"/>
  <c r="W41" i="83"/>
  <c r="W40" i="83"/>
  <c r="AK92" i="63"/>
  <c r="AK96" i="63" s="1"/>
  <c r="AH41" i="83"/>
  <c r="AH40" i="83"/>
  <c r="AU12" i="9"/>
  <c r="AC38" i="83"/>
  <c r="AE38" i="83"/>
  <c r="AL41" i="83"/>
  <c r="AL40" i="83"/>
  <c r="J38" i="83"/>
  <c r="BH6" i="34"/>
  <c r="BW6" i="34" s="1"/>
  <c r="CO6" i="34" s="1"/>
  <c r="DJ6" i="34" s="1"/>
  <c r="EQ6" i="34" s="1"/>
  <c r="BE6" i="34"/>
  <c r="BT6" i="34" s="1"/>
  <c r="AU8" i="9"/>
  <c r="BC39" i="3"/>
  <c r="AU6" i="9"/>
  <c r="AF6" i="63"/>
  <c r="AF11" i="63" s="1"/>
  <c r="AF14" i="63" s="1"/>
  <c r="AF92" i="63"/>
  <c r="AF96" i="63" s="1"/>
  <c r="T41" i="83"/>
  <c r="T40" i="83"/>
  <c r="U41" i="83"/>
  <c r="U40" i="83"/>
  <c r="CY6" i="34"/>
  <c r="DT6" i="34" s="1"/>
  <c r="CV6" i="34"/>
  <c r="DQ6" i="34" s="1"/>
  <c r="AD41" i="83"/>
  <c r="AD40" i="83"/>
  <c r="J40" i="83"/>
  <c r="J41" i="83"/>
  <c r="M40" i="83"/>
  <c r="M41" i="83"/>
  <c r="Q39" i="83"/>
  <c r="R38" i="83"/>
  <c r="V37" i="83"/>
  <c r="AG6" i="63"/>
  <c r="AG11" i="63" s="1"/>
  <c r="AG14" i="63" s="1"/>
  <c r="AG92" i="63"/>
  <c r="AG96" i="63" s="1"/>
  <c r="H41" i="83"/>
  <c r="H40" i="83"/>
  <c r="L39" i="83"/>
  <c r="I40" i="83"/>
  <c r="I41" i="83"/>
  <c r="AI41" i="83"/>
  <c r="AI40" i="83"/>
  <c r="AG38" i="83"/>
  <c r="AK37" i="83"/>
  <c r="AE41" i="83"/>
  <c r="AE40" i="83"/>
  <c r="E41" i="83"/>
  <c r="AL38" i="83"/>
  <c r="BI6" i="34"/>
  <c r="BX6" i="34" s="1"/>
  <c r="CP6" i="34" s="1"/>
  <c r="DK6" i="34" s="1"/>
  <c r="ER6" i="34" s="1"/>
  <c r="BF6" i="34"/>
  <c r="BU6" i="34" s="1"/>
  <c r="K38" i="83"/>
  <c r="L37" i="83"/>
  <c r="H38" i="83"/>
  <c r="N40" i="83"/>
  <c r="N41" i="83"/>
  <c r="X41" i="83"/>
  <c r="X40" i="83"/>
  <c r="BM39" i="3"/>
  <c r="I38" i="83"/>
  <c r="AL92" i="63"/>
  <c r="AL96" i="63" s="1"/>
  <c r="Z40" i="83"/>
  <c r="Z41" i="83"/>
  <c r="R40" i="83"/>
  <c r="R41" i="83"/>
  <c r="V39" i="83"/>
  <c r="AG41" i="83"/>
  <c r="AG40" i="83"/>
  <c r="AK39" i="83"/>
  <c r="P41" i="83"/>
  <c r="P40" i="83"/>
  <c r="O40" i="83"/>
  <c r="O41" i="83"/>
  <c r="K41" i="83"/>
  <c r="K40" i="83"/>
  <c r="Y41" i="83"/>
  <c r="Y40" i="83"/>
  <c r="AF37" i="83"/>
  <c r="AB38" i="83"/>
  <c r="AI38" i="83"/>
  <c r="G39" i="83"/>
  <c r="C41" i="83"/>
  <c r="AA37" i="83"/>
  <c r="W38" i="83"/>
  <c r="S41" i="83"/>
  <c r="S40" i="83"/>
  <c r="CX6" i="34"/>
  <c r="DS6" i="34" s="1"/>
  <c r="CU6" i="34"/>
  <c r="DP6" i="34" s="1"/>
  <c r="AJ92" i="63"/>
  <c r="AJ96" i="63" s="1"/>
  <c r="AB40" i="83"/>
  <c r="AB41" i="83"/>
  <c r="AF39" i="83"/>
  <c r="AC40" i="83"/>
  <c r="AC41" i="83"/>
  <c r="S38" i="83"/>
  <c r="K315" i="73" l="1"/>
  <c r="J314" i="73"/>
  <c r="J316" i="73" s="1"/>
  <c r="V38" i="83"/>
  <c r="L38" i="83"/>
  <c r="AF38" i="83"/>
  <c r="AK41" i="83"/>
  <c r="G41" i="83"/>
  <c r="AA40" i="83"/>
  <c r="V40" i="83"/>
  <c r="AK40" i="83"/>
  <c r="V41" i="83"/>
  <c r="L41" i="83"/>
  <c r="CJ6" i="34"/>
  <c r="DE6" i="34" s="1"/>
  <c r="CM6" i="34"/>
  <c r="DH6" i="34" s="1"/>
  <c r="Q41" i="83"/>
  <c r="AX24" i="9"/>
  <c r="AW24" i="9"/>
  <c r="BC91" i="3"/>
  <c r="AU24" i="9"/>
  <c r="AV24" i="9"/>
  <c r="AF40" i="83"/>
  <c r="AU14" i="9"/>
  <c r="AU16" i="9"/>
  <c r="AF41" i="83"/>
  <c r="AK38" i="83"/>
  <c r="L40" i="83"/>
  <c r="Q40" i="83"/>
  <c r="CI6" i="34"/>
  <c r="DD6" i="34" s="1"/>
  <c r="CL6" i="34"/>
  <c r="DG6" i="34" s="1"/>
  <c r="AA41" i="83"/>
  <c r="Q38" i="83"/>
  <c r="EC6" i="34" l="1"/>
  <c r="EO6" i="34"/>
  <c r="EB6" i="34"/>
  <c r="EN6" i="34"/>
  <c r="EK6" i="34"/>
  <c r="DY6" i="34"/>
  <c r="EL6" i="34"/>
  <c r="DZ6" i="34"/>
  <c r="L315" i="73"/>
  <c r="K314" i="73"/>
  <c r="K316" i="73" s="1"/>
  <c r="AA38" i="83"/>
  <c r="AV29" i="9"/>
  <c r="AU29" i="9"/>
  <c r="AW29" i="9"/>
  <c r="AX29" i="9"/>
  <c r="AY136" i="9"/>
  <c r="AY135" i="9" s="1"/>
  <c r="M315" i="73" l="1"/>
  <c r="L314" i="73"/>
  <c r="L316" i="73" s="1"/>
  <c r="AW28" i="9"/>
  <c r="AW26" i="9" s="1"/>
  <c r="AW136" i="9"/>
  <c r="AW135" i="9" s="1"/>
  <c r="AU28" i="9"/>
  <c r="AU26" i="9" s="1"/>
  <c r="AU136" i="9"/>
  <c r="AU135" i="9" s="1"/>
  <c r="AV136" i="9"/>
  <c r="AV135" i="9" s="1"/>
  <c r="AV28" i="9"/>
  <c r="AV26" i="9" s="1"/>
  <c r="AY140" i="9"/>
  <c r="AY139" i="9"/>
  <c r="AX28" i="9"/>
  <c r="AX136" i="9"/>
  <c r="AX135" i="9" s="1"/>
  <c r="AX26" i="9" l="1"/>
  <c r="N315" i="73"/>
  <c r="M314" i="73"/>
  <c r="M316" i="73" s="1"/>
  <c r="AW139" i="9"/>
  <c r="AW140" i="9"/>
  <c r="AU139" i="9"/>
  <c r="AU140" i="9"/>
  <c r="AX139" i="9"/>
  <c r="AX140" i="9"/>
  <c r="AV140" i="9"/>
  <c r="AV139" i="9"/>
  <c r="O315" i="73" l="1"/>
  <c r="N314" i="73"/>
  <c r="N316" i="73" s="1"/>
  <c r="P315" i="73" l="1"/>
  <c r="O314" i="73"/>
  <c r="O316" i="73" s="1"/>
  <c r="Q315" i="73" l="1"/>
  <c r="P314" i="73"/>
  <c r="P316" i="73" s="1"/>
  <c r="R315" i="73" l="1"/>
  <c r="Q314" i="73"/>
  <c r="Q316" i="73" s="1"/>
  <c r="S315" i="73" l="1"/>
  <c r="R314" i="73"/>
  <c r="R316" i="73" s="1"/>
  <c r="T315" i="73" l="1"/>
  <c r="S314" i="73"/>
  <c r="S316" i="73" s="1"/>
  <c r="U315" i="73" l="1"/>
  <c r="T314" i="73"/>
  <c r="T316" i="73" s="1"/>
  <c r="AO63" i="63" l="1"/>
  <c r="BA26" i="9"/>
  <c r="V315" i="73"/>
  <c r="U314" i="73"/>
  <c r="U316" i="73" s="1"/>
  <c r="AO6" i="63" l="1"/>
  <c r="AO11" i="63" s="1"/>
  <c r="AO14" i="63" s="1"/>
  <c r="AO92" i="63"/>
  <c r="AO96" i="63" s="1"/>
  <c r="W315" i="73"/>
  <c r="V314" i="73"/>
  <c r="V316" i="73" s="1"/>
  <c r="X315" i="73" l="1"/>
  <c r="W314" i="73"/>
  <c r="W316" i="73" s="1"/>
  <c r="Y315" i="73" l="1"/>
  <c r="X314" i="73"/>
  <c r="X316" i="73" s="1"/>
  <c r="Z315" i="73" l="1"/>
  <c r="Y314" i="73"/>
  <c r="Y316" i="73" s="1"/>
  <c r="AA315" i="73" l="1"/>
  <c r="Z314" i="73"/>
  <c r="Z316" i="73" s="1"/>
  <c r="AB315" i="73" l="1"/>
  <c r="AA314" i="73"/>
  <c r="AA316" i="73" s="1"/>
  <c r="AC315" i="73" l="1"/>
  <c r="AB314" i="73"/>
  <c r="AB316" i="73" s="1"/>
  <c r="AD315" i="73" l="1"/>
  <c r="AC314" i="73"/>
  <c r="AC316" i="73" s="1"/>
  <c r="AE315" i="73" l="1"/>
  <c r="AD314" i="73"/>
  <c r="AD316" i="73" s="1"/>
  <c r="AF315" i="73" l="1"/>
  <c r="AE314" i="73"/>
  <c r="AE316" i="73" s="1"/>
  <c r="AG315" i="73" l="1"/>
  <c r="AF314" i="73"/>
  <c r="AF316" i="73" s="1"/>
  <c r="AH315" i="73" l="1"/>
  <c r="AG314" i="73"/>
  <c r="AG316" i="73" s="1"/>
  <c r="AI315" i="73" l="1"/>
  <c r="AH314" i="73"/>
  <c r="AH316" i="73" s="1"/>
  <c r="AJ315" i="73" l="1"/>
  <c r="AI314" i="73"/>
  <c r="AI316" i="73" s="1"/>
  <c r="AK315" i="73" l="1"/>
  <c r="AJ314" i="73"/>
  <c r="AJ316" i="73" s="1"/>
  <c r="AL315" i="73" l="1"/>
  <c r="AK314" i="73"/>
  <c r="AK316" i="73" s="1"/>
  <c r="AM315" i="73" l="1"/>
  <c r="AL314" i="73"/>
  <c r="AL316" i="73" s="1"/>
  <c r="AN315" i="73" l="1"/>
  <c r="AM314" i="73"/>
  <c r="AM316" i="73" s="1"/>
  <c r="Y346" i="36"/>
  <c r="Y344" i="36" l="1"/>
  <c r="Y347" i="36" s="1"/>
  <c r="W347" i="36"/>
  <c r="W358" i="36" s="1"/>
  <c r="W370" i="36" l="1"/>
  <c r="W382" i="36" s="1"/>
  <c r="W394" i="36" s="1"/>
  <c r="W406" i="36" s="1"/>
  <c r="W418" i="36" s="1"/>
  <c r="W430" i="36" s="1"/>
  <c r="Y358" i="36"/>
  <c r="Y370" i="36" l="1"/>
  <c r="Y382" i="36" l="1"/>
  <c r="Y394" i="36" s="1"/>
  <c r="Y406" i="36" s="1"/>
  <c r="AU20" i="67" l="1"/>
  <c r="J15" i="76" l="1"/>
  <c r="AC82" i="83"/>
  <c r="Y87" i="83"/>
  <c r="AC107" i="83"/>
  <c r="AH82" i="83"/>
  <c r="S82" i="83"/>
  <c r="AB82" i="83"/>
  <c r="X82" i="83"/>
  <c r="N87" i="83"/>
  <c r="X87" i="83"/>
  <c r="Z82" i="83"/>
  <c r="R82" i="83"/>
  <c r="AB112" i="83"/>
  <c r="M82" i="83"/>
  <c r="T112" i="83"/>
  <c r="T87" i="83"/>
  <c r="R87" i="83"/>
  <c r="R112" i="83"/>
  <c r="M87" i="83"/>
  <c r="T82" i="83"/>
  <c r="P87" i="83"/>
  <c r="AI112" i="83"/>
  <c r="AD107" i="83"/>
  <c r="AE87" i="83"/>
  <c r="AE82" i="83"/>
  <c r="AH112" i="83"/>
  <c r="U82" i="83"/>
  <c r="O82" i="83"/>
  <c r="P107" i="83"/>
  <c r="M107" i="83"/>
  <c r="W107" i="83"/>
  <c r="S87" i="83"/>
  <c r="AE112" i="83"/>
  <c r="AB87" i="83"/>
  <c r="U87" i="83"/>
  <c r="Y82" i="83"/>
  <c r="N112" i="83"/>
  <c r="AH107" i="83"/>
  <c r="W87" i="83"/>
  <c r="S107" i="83"/>
  <c r="O87" i="83"/>
  <c r="AD82" i="83"/>
  <c r="M112" i="83"/>
  <c r="AJ82" i="83"/>
  <c r="N82" i="83"/>
  <c r="R107" i="83"/>
  <c r="Z107" i="83"/>
  <c r="AL107" i="83"/>
  <c r="AG107" i="83"/>
  <c r="P82" i="83"/>
  <c r="S112" i="83"/>
  <c r="AG112" i="83"/>
  <c r="AI82" i="83"/>
  <c r="Z112" i="83"/>
  <c r="AH87" i="83"/>
  <c r="O107" i="83"/>
  <c r="AB107" i="83"/>
  <c r="AD87" i="83"/>
  <c r="Z87" i="83"/>
  <c r="X112" i="83"/>
  <c r="AD112" i="83"/>
  <c r="X107" i="83"/>
  <c r="N107" i="83"/>
  <c r="AJ112" i="83"/>
  <c r="P112" i="83"/>
  <c r="W112" i="83"/>
  <c r="O112" i="83"/>
  <c r="Y112" i="83"/>
  <c r="U112" i="83"/>
  <c r="AC87" i="83"/>
  <c r="AG82" i="83"/>
  <c r="AG87" i="83"/>
  <c r="AL87" i="83"/>
  <c r="AI107" i="83"/>
  <c r="AC112" i="83"/>
  <c r="AJ107" i="83"/>
  <c r="AE107" i="83"/>
  <c r="U107" i="83"/>
  <c r="AI87" i="83"/>
  <c r="Y107" i="83"/>
  <c r="W82" i="83"/>
  <c r="T107" i="83"/>
  <c r="AJ87" i="83"/>
  <c r="AL82" i="83"/>
  <c r="AL112" i="83"/>
  <c r="P20" i="83" l="1"/>
  <c r="AI25" i="83"/>
  <c r="X25" i="83"/>
  <c r="AG25" i="83"/>
  <c r="AK87" i="83"/>
  <c r="V112" i="83"/>
  <c r="AF87" i="83"/>
  <c r="AB25" i="83"/>
  <c r="Y20" i="83"/>
  <c r="U25" i="83"/>
  <c r="AA107" i="83"/>
  <c r="AC20" i="83"/>
  <c r="AE25" i="83"/>
  <c r="AF112" i="83"/>
  <c r="Y25" i="83"/>
  <c r="Q82" i="83"/>
  <c r="M20" i="83"/>
  <c r="AI20" i="83"/>
  <c r="AF82" i="83"/>
  <c r="AB20" i="83"/>
  <c r="AH20" i="83"/>
  <c r="U20" i="83"/>
  <c r="AK112" i="83"/>
  <c r="R25" i="83"/>
  <c r="V87" i="83"/>
  <c r="O25" i="83"/>
  <c r="Q112" i="83"/>
  <c r="S20" i="83"/>
  <c r="T20" i="83"/>
  <c r="P25" i="83"/>
  <c r="AC25" i="83"/>
  <c r="AL20" i="83"/>
  <c r="AD25" i="83"/>
  <c r="AJ25" i="83"/>
  <c r="O20" i="83"/>
  <c r="T25" i="83"/>
  <c r="AE20" i="83"/>
  <c r="AK82" i="83"/>
  <c r="AG20" i="83"/>
  <c r="AF107" i="83"/>
  <c r="S25" i="83"/>
  <c r="Q87" i="83"/>
  <c r="M25" i="83"/>
  <c r="AD20" i="83"/>
  <c r="Z20" i="83"/>
  <c r="AK107" i="83"/>
  <c r="AL25" i="83"/>
  <c r="Q107" i="83"/>
  <c r="AA112" i="83"/>
  <c r="AH25" i="83"/>
  <c r="W25" i="83"/>
  <c r="AA87" i="83"/>
  <c r="AJ20" i="83"/>
  <c r="N25" i="83"/>
  <c r="N20" i="83"/>
  <c r="V82" i="83"/>
  <c r="R20" i="83"/>
  <c r="Z25" i="83"/>
  <c r="W20" i="83"/>
  <c r="AA82" i="83"/>
  <c r="X20" i="83"/>
  <c r="V107" i="83"/>
  <c r="AA25" i="83" l="1"/>
  <c r="Q25" i="83"/>
  <c r="V20" i="83"/>
  <c r="AK20" i="83"/>
  <c r="AA20" i="83"/>
  <c r="AF25" i="83"/>
  <c r="V25" i="83"/>
  <c r="AF20" i="83"/>
  <c r="AK25" i="83"/>
  <c r="Q20" i="83"/>
  <c r="J14" i="76" l="1"/>
  <c r="J13" i="76" l="1"/>
  <c r="J12" i="76" s="1"/>
  <c r="E12" i="76"/>
  <c r="H12" i="76" l="1"/>
  <c r="BD10" i="10" l="1"/>
  <c r="BD8" i="12" l="1"/>
  <c r="BD12" i="10"/>
  <c r="BI6" i="2" l="1"/>
  <c r="BD14" i="10"/>
  <c r="BD16" i="10" s="1"/>
  <c r="BD10" i="12"/>
  <c r="BD50" i="9" l="1"/>
  <c r="BD35" i="10"/>
  <c r="AW11" i="30"/>
  <c r="BD12" i="12"/>
  <c r="BD14" i="12" s="1"/>
  <c r="BD40" i="10"/>
  <c r="BI10" i="2"/>
  <c r="BD43" i="10" l="1"/>
  <c r="BD45" i="10" s="1"/>
  <c r="BD48" i="10" s="1"/>
  <c r="BD36" i="10"/>
  <c r="BD39" i="12"/>
  <c r="BD34" i="12"/>
  <c r="AV11" i="53"/>
  <c r="BI16" i="2"/>
  <c r="BG15" i="9" l="1"/>
  <c r="BG16" i="9"/>
  <c r="BG24" i="9"/>
  <c r="BF24" i="9"/>
  <c r="BF15" i="9"/>
  <c r="BF20" i="9"/>
  <c r="BE24" i="9"/>
  <c r="BF16" i="9"/>
  <c r="BE15" i="9"/>
  <c r="BD15" i="9"/>
  <c r="BD16" i="9"/>
  <c r="BE16" i="9"/>
  <c r="BD24" i="9"/>
  <c r="BD42" i="12"/>
  <c r="BD44" i="12" s="1"/>
  <c r="BD48" i="12" s="1"/>
  <c r="BD35" i="12"/>
  <c r="BI19" i="2"/>
  <c r="BG27" i="9" s="1"/>
  <c r="BF27" i="9" l="1"/>
  <c r="BE27" i="9"/>
  <c r="BE132" i="9" s="1"/>
  <c r="BE134" i="9" s="1"/>
  <c r="BD25" i="9"/>
  <c r="BD27" i="9"/>
  <c r="BD132" i="9" s="1"/>
  <c r="BD134" i="9" s="1"/>
  <c r="BI24" i="2"/>
  <c r="BI26" i="2" s="1"/>
  <c r="BI28" i="2" s="1"/>
  <c r="BD50" i="12"/>
  <c r="K6" i="76" s="1"/>
  <c r="BG132" i="9" l="1"/>
  <c r="BG134" i="9" s="1"/>
  <c r="BF132" i="9"/>
  <c r="BF134" i="9" s="1"/>
  <c r="K10" i="76"/>
  <c r="AR18" i="63"/>
  <c r="BI30" i="2"/>
  <c r="Y418" i="36" l="1"/>
  <c r="Y430" i="36" s="1"/>
  <c r="AT63" i="63" l="1"/>
  <c r="F199" i="80"/>
  <c r="F207" i="80" s="1"/>
  <c r="E199" i="80"/>
  <c r="E207" i="80" s="1"/>
  <c r="AS45" i="68"/>
  <c r="AS51" i="68" s="1"/>
  <c r="AS61" i="68" s="1"/>
  <c r="AT92" i="63" l="1"/>
  <c r="AT96" i="63" s="1"/>
  <c r="AT6" i="63"/>
  <c r="AT14" i="63" s="1"/>
  <c r="AR79" i="63"/>
  <c r="J23" i="23" l="1"/>
  <c r="K23" i="23"/>
  <c r="L23" i="23" l="1"/>
  <c r="AB24" i="13"/>
  <c r="AB23" i="13" s="1"/>
  <c r="BD53" i="9"/>
  <c r="BM42" i="3"/>
  <c r="AV35" i="52"/>
  <c r="AV51" i="52" s="1"/>
  <c r="BE7" i="9" l="1"/>
  <c r="BE6" i="9"/>
  <c r="BE8" i="9"/>
  <c r="AV32" i="71"/>
  <c r="AV19" i="65"/>
  <c r="C23" i="23" l="1"/>
  <c r="AV61" i="71"/>
  <c r="AV90" i="71" s="1"/>
  <c r="E23" i="23"/>
  <c r="D23" i="23" l="1"/>
  <c r="AR63" i="63" l="1"/>
  <c r="AR6" i="63" l="1"/>
  <c r="AR14" i="63" s="1"/>
  <c r="AR92" i="63"/>
  <c r="AR96" i="63" s="1"/>
  <c r="K12" i="76" l="1"/>
  <c r="AU33" i="67"/>
  <c r="AU39" i="67" s="1"/>
  <c r="I357" i="79" l="1"/>
  <c r="I365" i="79" l="1"/>
  <c r="I373" i="79" s="1"/>
  <c r="I382" i="79" s="1"/>
  <c r="K357" i="79"/>
  <c r="K365" i="79" l="1"/>
  <c r="K373" i="79" s="1"/>
  <c r="K382" i="79" s="1"/>
  <c r="K391" i="79" s="1"/>
  <c r="AW22" i="26" l="1"/>
  <c r="AW23" i="26" s="1"/>
  <c r="AW12" i="26" l="1"/>
  <c r="AW13" i="26" s="1"/>
  <c r="AW42" i="52" l="1"/>
  <c r="EY11" i="85" l="1"/>
  <c r="EE11" i="85"/>
  <c r="EZ11" i="85"/>
  <c r="EF11" i="85"/>
  <c r="EB11" i="85"/>
  <c r="GQ11" i="85"/>
  <c r="AW39" i="52"/>
  <c r="GR18" i="85"/>
  <c r="GR38" i="85" s="1"/>
  <c r="GT38" i="85" s="1"/>
  <c r="GZ38" i="85" s="1"/>
  <c r="GT17" i="85"/>
  <c r="AW43" i="52"/>
  <c r="GT18" i="85" l="1"/>
  <c r="GZ17" i="85"/>
  <c r="ED10" i="85"/>
  <c r="EH10" i="85" s="1"/>
  <c r="EL10" i="85" s="1"/>
  <c r="EP10" i="85" s="1"/>
  <c r="ET10" i="85" s="1"/>
  <c r="EX10" i="85" s="1"/>
  <c r="FB10" i="85" s="1"/>
  <c r="FF10" i="85" s="1"/>
  <c r="FJ10" i="85" s="1"/>
  <c r="FN10" i="85" s="1"/>
  <c r="FR10" i="85" s="1"/>
  <c r="FV10" i="85" s="1"/>
  <c r="GB10" i="85" s="1"/>
  <c r="EA11" i="85"/>
  <c r="ED11" i="85" s="1"/>
  <c r="EH11" i="85" s="1"/>
  <c r="EL11" i="85" s="1"/>
  <c r="EP11" i="85" s="1"/>
  <c r="ET11" i="85" s="1"/>
  <c r="EX11" i="85" s="1"/>
  <c r="FB11" i="85" s="1"/>
  <c r="FF11" i="85" s="1"/>
  <c r="FJ11" i="85" s="1"/>
  <c r="FN11" i="85" s="1"/>
  <c r="FR11" i="85" s="1"/>
  <c r="FV11" i="85" s="1"/>
  <c r="GB11" i="85" s="1"/>
  <c r="GH11" i="85" s="1"/>
  <c r="GN11" i="85" s="1"/>
  <c r="GO11" i="85"/>
  <c r="AW41" i="52"/>
  <c r="GZ18" i="85" l="1"/>
  <c r="GT11" i="85"/>
  <c r="GZ11" i="85" s="1"/>
  <c r="AW38" i="52"/>
  <c r="AW45" i="52"/>
  <c r="AS79" i="63"/>
  <c r="AW40" i="52"/>
  <c r="AC24" i="13" l="1"/>
  <c r="AC23" i="13" s="1"/>
  <c r="AW35" i="52"/>
  <c r="AW51" i="52" s="1"/>
  <c r="AS45" i="63" l="1"/>
  <c r="AV17" i="67" l="1"/>
  <c r="AV20" i="67" s="1"/>
  <c r="AW61" i="71"/>
  <c r="AW90" i="71" l="1"/>
  <c r="AS54" i="63"/>
  <c r="AS63" i="63" s="1"/>
  <c r="AS6" i="63" l="1"/>
  <c r="AS14" i="63" s="1"/>
  <c r="AS92" i="63"/>
  <c r="AS96" i="63" s="1"/>
  <c r="AV33" i="67" l="1"/>
  <c r="AV39" i="67" s="1"/>
  <c r="O357" i="79" l="1"/>
  <c r="O365" i="79" l="1"/>
  <c r="R357" i="79"/>
  <c r="P357" i="79"/>
  <c r="O373" i="79" l="1"/>
  <c r="P365" i="79"/>
  <c r="P373" i="79" s="1"/>
  <c r="P382" i="79" s="1"/>
  <c r="R365" i="79"/>
  <c r="R373" i="79" s="1"/>
  <c r="R382" i="79" s="1"/>
  <c r="BM78" i="3"/>
  <c r="BD30" i="9"/>
  <c r="BE17" i="9" l="1"/>
  <c r="O382" i="79"/>
  <c r="BE30" i="9"/>
  <c r="BF25" i="9"/>
  <c r="BE25" i="9"/>
  <c r="BM90" i="3"/>
  <c r="BM91" i="3" s="1"/>
  <c r="AX22" i="26"/>
  <c r="AX23" i="26" s="1"/>
  <c r="BD28" i="9"/>
  <c r="BD26" i="9" s="1"/>
  <c r="BD137" i="9"/>
  <c r="BD135" i="9" s="1"/>
  <c r="BE28" i="9" l="1"/>
  <c r="BE26" i="9" s="1"/>
  <c r="BE137" i="9"/>
  <c r="BE135" i="9" s="1"/>
  <c r="BE139" i="9" s="1"/>
  <c r="BD140" i="9"/>
  <c r="BD139" i="9"/>
  <c r="AX12" i="26"/>
  <c r="AX13" i="26" s="1"/>
  <c r="BE140" i="9" l="1"/>
  <c r="N289" i="77" l="1"/>
  <c r="N288" i="77" l="1"/>
  <c r="N287" i="77" l="1"/>
  <c r="N286" i="77" l="1"/>
  <c r="N285" i="77" l="1"/>
  <c r="N284" i="77" l="1"/>
  <c r="V283" i="77" l="1"/>
  <c r="N283" i="77" l="1"/>
  <c r="V282" i="77" l="1"/>
  <c r="X282" i="77"/>
  <c r="N282" i="77" l="1"/>
  <c r="N281" i="77" l="1"/>
  <c r="N280" i="77" l="1"/>
  <c r="V279" i="77" l="1"/>
  <c r="X279" i="77"/>
  <c r="N279" i="77" l="1"/>
  <c r="N278" i="77" l="1"/>
  <c r="T277" i="77" l="1"/>
  <c r="U277" i="77"/>
  <c r="W277" i="77"/>
  <c r="V277" i="77" l="1"/>
  <c r="X277" i="77"/>
  <c r="N277" i="77" l="1"/>
  <c r="X276" i="77" l="1"/>
  <c r="V276" i="77"/>
  <c r="N276" i="77" l="1"/>
  <c r="N273" i="77"/>
  <c r="N258" i="77"/>
  <c r="N259" i="77"/>
  <c r="N260" i="77"/>
  <c r="N269" i="77"/>
  <c r="N270" i="77"/>
  <c r="N257" i="77"/>
  <c r="AW109" i="77"/>
  <c r="N271" i="77"/>
  <c r="AV109" i="77"/>
  <c r="AX109" i="77"/>
  <c r="N262" i="77"/>
  <c r="N264" i="77"/>
  <c r="N275" i="77"/>
  <c r="AY109" i="77"/>
  <c r="N266" i="77"/>
  <c r="N274" i="77"/>
  <c r="N263" i="77"/>
  <c r="N267" i="77"/>
  <c r="N268" i="77"/>
  <c r="AU109" i="77"/>
  <c r="N261" i="77"/>
  <c r="N265" i="77"/>
  <c r="N272" i="77"/>
  <c r="AU108" i="77"/>
  <c r="AO257" i="77"/>
  <c r="AP257" i="77"/>
  <c r="AV108" i="77"/>
  <c r="AW108" i="77"/>
  <c r="AQ257" i="77"/>
  <c r="AR257" i="77"/>
  <c r="AX108" i="77"/>
  <c r="AY108" i="77"/>
  <c r="AS257" i="77"/>
  <c r="V268" i="77"/>
  <c r="X268" i="77"/>
  <c r="V269" i="77"/>
  <c r="X269" i="77"/>
  <c r="V270" i="77"/>
  <c r="X270" i="77"/>
  <c r="V271" i="77"/>
  <c r="X271" i="77"/>
  <c r="Z271" i="77"/>
  <c r="V272" i="77"/>
  <c r="X272" i="77"/>
  <c r="AV257" i="77" l="1"/>
  <c r="AY257" i="77"/>
  <c r="AX257" i="77"/>
  <c r="AW257" i="77"/>
  <c r="AU257" i="77"/>
  <c r="AN314" i="73" l="1"/>
  <c r="AN316" i="73" s="1"/>
  <c r="AN92" i="83"/>
  <c r="AN106" i="46"/>
  <c r="AN11" i="39"/>
  <c r="AN15" i="26"/>
  <c r="AN24" i="32"/>
  <c r="AN30" i="32" s="1"/>
  <c r="DJ5" i="34"/>
  <c r="AN24" i="44"/>
  <c r="AN21" i="61"/>
  <c r="AN37" i="61" s="1"/>
  <c r="AN19" i="33"/>
  <c r="AN33" i="33" s="1"/>
  <c r="AN112" i="83"/>
  <c r="AN17" i="63" l="1"/>
  <c r="AN41" i="3"/>
  <c r="AN23" i="31"/>
  <c r="AN14" i="31"/>
  <c r="AN25" i="45"/>
  <c r="AN15" i="45"/>
  <c r="AN34" i="71"/>
  <c r="AN63" i="71"/>
  <c r="AN161" i="83"/>
  <c r="AN116" i="83"/>
  <c r="AN20" i="30"/>
  <c r="AN13" i="30"/>
  <c r="AN35" i="83"/>
  <c r="AN41" i="49"/>
  <c r="AN23" i="49"/>
  <c r="AN12" i="53"/>
  <c r="AN19" i="53"/>
  <c r="AN130" i="83"/>
  <c r="AN150" i="83"/>
  <c r="AN21" i="52"/>
  <c r="AN37" i="52"/>
  <c r="AN23" i="32"/>
  <c r="AN14" i="32"/>
  <c r="AN36" i="46"/>
  <c r="AN43" i="46"/>
  <c r="AN68" i="46"/>
  <c r="AN93" i="46"/>
  <c r="AN105" i="46"/>
  <c r="AN30" i="46"/>
  <c r="AN24" i="46"/>
  <c r="AN55" i="46"/>
  <c r="AN81" i="46"/>
  <c r="AN17" i="46"/>
  <c r="AN74" i="46"/>
  <c r="AN49" i="46"/>
  <c r="AN11" i="46"/>
  <c r="AN62" i="46"/>
  <c r="AN5" i="9"/>
  <c r="AN34" i="9"/>
  <c r="AN11" i="9"/>
  <c r="AN56" i="9"/>
  <c r="AN63" i="9"/>
  <c r="AN23" i="9"/>
  <c r="AN48" i="9"/>
  <c r="AN38" i="9"/>
  <c r="AN131" i="9"/>
  <c r="AN10" i="29"/>
  <c r="AN15" i="29"/>
  <c r="AN21" i="65"/>
  <c r="AN13" i="65"/>
  <c r="AN82" i="83"/>
  <c r="AN87" i="83"/>
  <c r="AN25" i="83" l="1"/>
  <c r="AN39" i="83"/>
  <c r="AN37" i="83"/>
  <c r="AN38" i="83" s="1"/>
  <c r="AN107" i="83"/>
  <c r="AN20" i="83" l="1"/>
  <c r="AN41" i="83"/>
  <c r="AN40" i="83"/>
  <c r="AO11" i="39" l="1"/>
  <c r="AP11" i="39" l="1"/>
  <c r="AQ11" i="39" l="1"/>
  <c r="AR11" i="39" l="1"/>
  <c r="AS11" i="39" l="1"/>
  <c r="AT11" i="39" l="1"/>
  <c r="AU11" i="39" l="1"/>
  <c r="AV11" i="39" l="1"/>
  <c r="AO14" i="31"/>
  <c r="AO23" i="31" l="1"/>
  <c r="AW11" i="39"/>
  <c r="AO315" i="73"/>
  <c r="AO314" i="73" s="1"/>
  <c r="AO316" i="73" s="1"/>
  <c r="AO21" i="61"/>
  <c r="AO37" i="61" s="1"/>
  <c r="AN103" i="46"/>
  <c r="AN104" i="46" s="1"/>
  <c r="AO317" i="73"/>
  <c r="AP317" i="73" s="1"/>
  <c r="AQ317" i="73" s="1"/>
  <c r="AR317" i="73" s="1"/>
  <c r="AS317" i="73" s="1"/>
  <c r="AT317" i="73" s="1"/>
  <c r="AU317" i="73" s="1"/>
  <c r="AV317" i="73" s="1"/>
  <c r="AW317" i="73" s="1"/>
  <c r="AX317" i="73" s="1"/>
  <c r="AY317" i="73" s="1"/>
  <c r="AZ317" i="73" s="1"/>
  <c r="BA317" i="73" s="1"/>
  <c r="BB317" i="73" s="1"/>
  <c r="BC317" i="73" s="1"/>
  <c r="BD317" i="73" s="1"/>
  <c r="BE317" i="73" s="1"/>
  <c r="BF317" i="73" s="1"/>
  <c r="BG317" i="73" s="1"/>
  <c r="BH317" i="73" s="1"/>
  <c r="BI317" i="73" s="1"/>
  <c r="BJ317" i="73" s="1"/>
  <c r="BK317" i="73" s="1"/>
  <c r="BL317" i="73" s="1"/>
  <c r="BM317" i="73" s="1"/>
  <c r="BN317" i="73" s="1"/>
  <c r="BO317" i="73" s="1"/>
  <c r="BP317" i="73" s="1"/>
  <c r="BQ317" i="73" s="1"/>
  <c r="AZ11" i="39" l="1"/>
  <c r="AY11" i="39"/>
  <c r="AO94" i="46"/>
  <c r="AO103" i="46" s="1"/>
  <c r="AO104" i="46" s="1"/>
  <c r="AP315" i="73"/>
  <c r="AQ315" i="73" s="1"/>
  <c r="AX11" i="39"/>
  <c r="AO19" i="33"/>
  <c r="AO33" i="33" s="1"/>
  <c r="AO41" i="49"/>
  <c r="N157" i="83"/>
  <c r="K153" i="83"/>
  <c r="T153" i="83"/>
  <c r="P151" i="83"/>
  <c r="H151" i="83"/>
  <c r="T157" i="83"/>
  <c r="R151" i="83"/>
  <c r="AG153" i="83"/>
  <c r="AN155" i="83"/>
  <c r="AN153" i="83"/>
  <c r="AI155" i="83"/>
  <c r="W151" i="83"/>
  <c r="AE157" i="83"/>
  <c r="W157" i="83"/>
  <c r="U153" i="83"/>
  <c r="AC153" i="83"/>
  <c r="I151" i="83"/>
  <c r="W153" i="83"/>
  <c r="AD151" i="83"/>
  <c r="J155" i="83"/>
  <c r="I155" i="83"/>
  <c r="Y151" i="83"/>
  <c r="R153" i="83"/>
  <c r="AB155" i="83"/>
  <c r="S153" i="83"/>
  <c r="AE153" i="83"/>
  <c r="K155" i="83"/>
  <c r="AB157" i="83"/>
  <c r="AM151" i="83"/>
  <c r="O151" i="83"/>
  <c r="AG157" i="83"/>
  <c r="AH153" i="83"/>
  <c r="X155" i="83"/>
  <c r="AN157" i="83"/>
  <c r="AC151" i="83"/>
  <c r="T151" i="83"/>
  <c r="AD155" i="83"/>
  <c r="K157" i="83"/>
  <c r="U151" i="83"/>
  <c r="O153" i="83"/>
  <c r="AL157" i="83"/>
  <c r="AJ153" i="83"/>
  <c r="AL151" i="83"/>
  <c r="AG155" i="83"/>
  <c r="AM155" i="83"/>
  <c r="AJ155" i="83"/>
  <c r="S155" i="83"/>
  <c r="AC155" i="83"/>
  <c r="H153" i="83"/>
  <c r="J153" i="83"/>
  <c r="Z153" i="83"/>
  <c r="Y153" i="83"/>
  <c r="AL153" i="83"/>
  <c r="AB153" i="83"/>
  <c r="I153" i="83"/>
  <c r="AI153" i="83"/>
  <c r="H157" i="83"/>
  <c r="AE151" i="83"/>
  <c r="M155" i="83"/>
  <c r="U157" i="83"/>
  <c r="N155" i="83"/>
  <c r="M157" i="83"/>
  <c r="O157" i="83"/>
  <c r="R157" i="83"/>
  <c r="AJ157" i="83"/>
  <c r="O155" i="83"/>
  <c r="AH157" i="83"/>
  <c r="J151" i="83"/>
  <c r="N151" i="83"/>
  <c r="AD157" i="83"/>
  <c r="AD153" i="83"/>
  <c r="AH151" i="83"/>
  <c r="AJ151" i="83"/>
  <c r="Y155" i="83"/>
  <c r="AG151" i="83"/>
  <c r="S151" i="83"/>
  <c r="Y157" i="83"/>
  <c r="N153" i="83"/>
  <c r="AE155" i="83"/>
  <c r="AN151" i="83"/>
  <c r="J157" i="83"/>
  <c r="AI157" i="83"/>
  <c r="AM153" i="83"/>
  <c r="Z151" i="83"/>
  <c r="Z157" i="83"/>
  <c r="W155" i="83"/>
  <c r="P155" i="83"/>
  <c r="H155" i="83"/>
  <c r="Z155" i="83"/>
  <c r="M153" i="83"/>
  <c r="I157" i="83"/>
  <c r="S157" i="83"/>
  <c r="T155" i="83"/>
  <c r="AM157" i="83"/>
  <c r="P153" i="83"/>
  <c r="U155" i="83"/>
  <c r="X151" i="83"/>
  <c r="P157" i="83"/>
  <c r="K151" i="83"/>
  <c r="AC157" i="83"/>
  <c r="AI151" i="83"/>
  <c r="AL155" i="83"/>
  <c r="M151" i="83"/>
  <c r="X153" i="83"/>
  <c r="AH155" i="83"/>
  <c r="AB151" i="83"/>
  <c r="R155" i="83"/>
  <c r="X157" i="83"/>
  <c r="AP94" i="46" l="1"/>
  <c r="AP103" i="46" s="1"/>
  <c r="AP314" i="73"/>
  <c r="AP316" i="73" s="1"/>
  <c r="AO23" i="49"/>
  <c r="AN156" i="83"/>
  <c r="AN152" i="83"/>
  <c r="AN159" i="83"/>
  <c r="AN158" i="83"/>
  <c r="AN154" i="83"/>
  <c r="AM152" i="83"/>
  <c r="AM154" i="83"/>
  <c r="AM156" i="83"/>
  <c r="AM159" i="83"/>
  <c r="AM158" i="83"/>
  <c r="K154" i="83"/>
  <c r="R158" i="83"/>
  <c r="R159" i="83"/>
  <c r="V157" i="83"/>
  <c r="U154" i="83"/>
  <c r="U158" i="83"/>
  <c r="U159" i="83"/>
  <c r="Y158" i="83"/>
  <c r="Y159" i="83"/>
  <c r="J159" i="83"/>
  <c r="J158" i="83"/>
  <c r="O154" i="83"/>
  <c r="AF157" i="83"/>
  <c r="AB158" i="83"/>
  <c r="AB159" i="83"/>
  <c r="AK153" i="83"/>
  <c r="AG154" i="83"/>
  <c r="H159" i="83"/>
  <c r="H158" i="83"/>
  <c r="L157" i="83"/>
  <c r="Q157" i="83"/>
  <c r="M159" i="83"/>
  <c r="M158" i="83"/>
  <c r="AJ156" i="83"/>
  <c r="X158" i="83"/>
  <c r="X159" i="83"/>
  <c r="W152" i="83"/>
  <c r="AA151" i="83"/>
  <c r="T154" i="83"/>
  <c r="P156" i="83"/>
  <c r="U156" i="83"/>
  <c r="R156" i="83"/>
  <c r="V155" i="83"/>
  <c r="J154" i="83"/>
  <c r="AA153" i="83"/>
  <c r="W154" i="83"/>
  <c r="I154" i="83"/>
  <c r="AC152" i="83"/>
  <c r="J156" i="83"/>
  <c r="AJ152" i="83"/>
  <c r="AD159" i="83"/>
  <c r="AD158" i="83"/>
  <c r="N154" i="83"/>
  <c r="AI158" i="83"/>
  <c r="AI159" i="83"/>
  <c r="AC156" i="83"/>
  <c r="Z152" i="83"/>
  <c r="K159" i="83"/>
  <c r="K158" i="83"/>
  <c r="L151" i="83"/>
  <c r="W158" i="83"/>
  <c r="W159" i="83"/>
  <c r="AA157" i="83"/>
  <c r="Z156" i="83"/>
  <c r="P152" i="83"/>
  <c r="AI152" i="83"/>
  <c r="K156" i="83"/>
  <c r="AE156" i="83"/>
  <c r="S152" i="83"/>
  <c r="AC154" i="83"/>
  <c r="P158" i="83"/>
  <c r="P159" i="83"/>
  <c r="Y156" i="83"/>
  <c r="AE152" i="83"/>
  <c r="AL152" i="83"/>
  <c r="AD152" i="83"/>
  <c r="H154" i="83"/>
  <c r="L153" i="83"/>
  <c r="AC158" i="83"/>
  <c r="AC159" i="83"/>
  <c r="AL159" i="83"/>
  <c r="AL158" i="83"/>
  <c r="W156" i="83"/>
  <c r="AA155" i="83"/>
  <c r="AI154" i="83"/>
  <c r="AH152" i="83"/>
  <c r="T158" i="83"/>
  <c r="T159" i="83"/>
  <c r="N152" i="83"/>
  <c r="X156" i="83"/>
  <c r="T156" i="83"/>
  <c r="AD154" i="83"/>
  <c r="AG159" i="83"/>
  <c r="AG158" i="83"/>
  <c r="AK157" i="83"/>
  <c r="O152" i="83"/>
  <c r="Z158" i="83"/>
  <c r="Z159" i="83"/>
  <c r="AH156" i="83"/>
  <c r="X152" i="83"/>
  <c r="AE154" i="83"/>
  <c r="N156" i="83"/>
  <c r="I156" i="83"/>
  <c r="Q151" i="83"/>
  <c r="AH158" i="83"/>
  <c r="AH159" i="83"/>
  <c r="AG156" i="83"/>
  <c r="AK155" i="83"/>
  <c r="T152" i="83"/>
  <c r="Y154" i="83"/>
  <c r="Z154" i="83"/>
  <c r="O158" i="83"/>
  <c r="O159" i="83"/>
  <c r="P154" i="83"/>
  <c r="AE159" i="83"/>
  <c r="AE158" i="83"/>
  <c r="Y152" i="83"/>
  <c r="AI156" i="83"/>
  <c r="H156" i="83"/>
  <c r="L155" i="83"/>
  <c r="R152" i="83"/>
  <c r="V151" i="83"/>
  <c r="Q155" i="83"/>
  <c r="M156" i="83"/>
  <c r="AD156" i="83"/>
  <c r="S154" i="83"/>
  <c r="AJ154" i="83"/>
  <c r="N159" i="83"/>
  <c r="N158" i="83"/>
  <c r="AL156" i="83"/>
  <c r="X154" i="83"/>
  <c r="AL154" i="83"/>
  <c r="S159" i="83"/>
  <c r="S158" i="83"/>
  <c r="AB152" i="83"/>
  <c r="AF151" i="83"/>
  <c r="AF155" i="83"/>
  <c r="AB156" i="83"/>
  <c r="M154" i="83"/>
  <c r="Q153" i="83"/>
  <c r="U152" i="83"/>
  <c r="S156" i="83"/>
  <c r="I159" i="83"/>
  <c r="I158" i="83"/>
  <c r="AJ159" i="83"/>
  <c r="AJ158" i="83"/>
  <c r="AH154" i="83"/>
  <c r="AG152" i="83"/>
  <c r="AK151" i="83"/>
  <c r="O156" i="83"/>
  <c r="AB154" i="83"/>
  <c r="AF153" i="83"/>
  <c r="V153" i="83"/>
  <c r="R154" i="83"/>
  <c r="AO21" i="52"/>
  <c r="AO37" i="52"/>
  <c r="AO14" i="32"/>
  <c r="AO23" i="32"/>
  <c r="AP21" i="61"/>
  <c r="AP37" i="61" s="1"/>
  <c r="AP104" i="46"/>
  <c r="AQ94" i="46"/>
  <c r="AQ103" i="46" s="1"/>
  <c r="AP14" i="31"/>
  <c r="AP23" i="31"/>
  <c r="AR315" i="73"/>
  <c r="AQ314" i="73"/>
  <c r="AQ316" i="73" s="1"/>
  <c r="AO20" i="30"/>
  <c r="DM5" i="34"/>
  <c r="AM128" i="83"/>
  <c r="T128" i="83"/>
  <c r="Y128" i="83"/>
  <c r="T117" i="83"/>
  <c r="AH118" i="83"/>
  <c r="T118" i="83"/>
  <c r="AL127" i="83"/>
  <c r="AL124" i="83"/>
  <c r="AC118" i="83"/>
  <c r="O128" i="83"/>
  <c r="W121" i="83"/>
  <c r="S128" i="83"/>
  <c r="R127" i="83"/>
  <c r="AI117" i="83"/>
  <c r="AG124" i="83"/>
  <c r="R118" i="83"/>
  <c r="T127" i="83"/>
  <c r="K128" i="83"/>
  <c r="AE124" i="83"/>
  <c r="AI127" i="83"/>
  <c r="AB118" i="83"/>
  <c r="AM121" i="83"/>
  <c r="AJ127" i="83"/>
  <c r="Y124" i="83"/>
  <c r="X127" i="83"/>
  <c r="X128" i="83"/>
  <c r="H128" i="83"/>
  <c r="AN121" i="83"/>
  <c r="R117" i="83"/>
  <c r="AC127" i="83"/>
  <c r="AI118" i="83"/>
  <c r="U128" i="83"/>
  <c r="AJ118" i="83"/>
  <c r="AB124" i="83"/>
  <c r="AE128" i="83"/>
  <c r="AH127" i="83"/>
  <c r="AB121" i="83"/>
  <c r="U118" i="83"/>
  <c r="AD121" i="83"/>
  <c r="Y118" i="83"/>
  <c r="AB128" i="83"/>
  <c r="X124" i="83"/>
  <c r="P128" i="83"/>
  <c r="R128" i="83"/>
  <c r="R121" i="83"/>
  <c r="AL128" i="83"/>
  <c r="F128" i="83"/>
  <c r="Z124" i="83"/>
  <c r="AH124" i="83"/>
  <c r="AJ124" i="83"/>
  <c r="X118" i="83"/>
  <c r="AN124" i="83"/>
  <c r="W117" i="83"/>
  <c r="AD128" i="83"/>
  <c r="AG127" i="83"/>
  <c r="N128" i="83"/>
  <c r="AG128" i="83"/>
  <c r="AE127" i="83"/>
  <c r="J128" i="83"/>
  <c r="T124" i="83"/>
  <c r="AB117" i="83"/>
  <c r="AC117" i="83"/>
  <c r="AB127" i="83"/>
  <c r="AG118" i="83"/>
  <c r="AH128" i="83"/>
  <c r="AL118" i="83"/>
  <c r="AD118" i="83"/>
  <c r="AL117" i="83"/>
  <c r="Z117" i="83"/>
  <c r="S118" i="83"/>
  <c r="S124" i="83"/>
  <c r="S117" i="83"/>
  <c r="E128" i="83"/>
  <c r="AN127" i="83"/>
  <c r="W124" i="83"/>
  <c r="AH117" i="83"/>
  <c r="I128" i="83"/>
  <c r="AM124" i="83"/>
  <c r="Y121" i="83"/>
  <c r="AM127" i="83"/>
  <c r="W128" i="83"/>
  <c r="AH121" i="83"/>
  <c r="AE121" i="83"/>
  <c r="AD124" i="83"/>
  <c r="C128" i="83"/>
  <c r="U127" i="83"/>
  <c r="AD117" i="83"/>
  <c r="AE117" i="83"/>
  <c r="U124" i="83"/>
  <c r="AC124" i="83"/>
  <c r="X117" i="83"/>
  <c r="AI124" i="83"/>
  <c r="Z127" i="83"/>
  <c r="AI128" i="83"/>
  <c r="W118" i="83"/>
  <c r="Y117" i="83"/>
  <c r="T121" i="83"/>
  <c r="S121" i="83"/>
  <c r="Z121" i="83"/>
  <c r="R124" i="83"/>
  <c r="W127" i="83"/>
  <c r="U121" i="83"/>
  <c r="AN128" i="83"/>
  <c r="AC121" i="83"/>
  <c r="AC128" i="83"/>
  <c r="AM117" i="83"/>
  <c r="M128" i="83"/>
  <c r="Z118" i="83"/>
  <c r="Z128" i="83"/>
  <c r="AJ117" i="83"/>
  <c r="AN118" i="83"/>
  <c r="AM118" i="83"/>
  <c r="AJ128" i="83"/>
  <c r="AD127" i="83"/>
  <c r="AL121" i="83"/>
  <c r="AG117" i="83"/>
  <c r="AN117" i="83"/>
  <c r="U117" i="83"/>
  <c r="D128" i="83"/>
  <c r="S127" i="83"/>
  <c r="AE118" i="83"/>
  <c r="AI121" i="83"/>
  <c r="AG121" i="83"/>
  <c r="X121" i="83"/>
  <c r="AJ121" i="83"/>
  <c r="Y127" i="83"/>
  <c r="AJ134" i="83" l="1"/>
  <c r="AP19" i="33"/>
  <c r="AP33" i="33" s="1"/>
  <c r="AO13" i="30"/>
  <c r="Q154" i="83"/>
  <c r="AF154" i="83"/>
  <c r="AK152" i="83"/>
  <c r="Q156" i="83"/>
  <c r="AF156" i="83"/>
  <c r="AA156" i="83"/>
  <c r="AK156" i="83"/>
  <c r="AK158" i="83"/>
  <c r="V156" i="83"/>
  <c r="L159" i="83"/>
  <c r="AK154" i="83"/>
  <c r="AF159" i="83"/>
  <c r="AK118" i="83"/>
  <c r="R148" i="83"/>
  <c r="AD148" i="83"/>
  <c r="V128" i="83"/>
  <c r="AA128" i="83"/>
  <c r="S134" i="83"/>
  <c r="R134" i="83"/>
  <c r="AF128" i="83"/>
  <c r="AK117" i="83"/>
  <c r="AJ148" i="83"/>
  <c r="AA118" i="83"/>
  <c r="V127" i="83"/>
  <c r="AC134" i="83"/>
  <c r="X134" i="83"/>
  <c r="AH148" i="83"/>
  <c r="X148" i="83"/>
  <c r="V117" i="83"/>
  <c r="U148" i="83"/>
  <c r="Y134" i="83"/>
  <c r="V118" i="83"/>
  <c r="AK124" i="83"/>
  <c r="AF127" i="83"/>
  <c r="AA127" i="83"/>
  <c r="L128" i="83"/>
  <c r="G128" i="83"/>
  <c r="Q128" i="83"/>
  <c r="AH134" i="83"/>
  <c r="T148" i="83"/>
  <c r="AI134" i="83"/>
  <c r="U134" i="83"/>
  <c r="W148" i="83"/>
  <c r="AK127" i="83"/>
  <c r="AG148" i="83"/>
  <c r="AK128" i="83"/>
  <c r="AC148" i="83"/>
  <c r="Z134" i="83"/>
  <c r="AE134" i="83"/>
  <c r="V124" i="83"/>
  <c r="AI148" i="83"/>
  <c r="AB148" i="83"/>
  <c r="AD134" i="83"/>
  <c r="Z148" i="83"/>
  <c r="AA117" i="83"/>
  <c r="AA124" i="83"/>
  <c r="AL148" i="83"/>
  <c r="T134" i="83"/>
  <c r="AF124" i="83"/>
  <c r="AE148" i="83"/>
  <c r="AF117" i="83"/>
  <c r="AF118" i="83"/>
  <c r="Y148" i="83"/>
  <c r="S148" i="83"/>
  <c r="AN134" i="83"/>
  <c r="AM148" i="83"/>
  <c r="AN148" i="83"/>
  <c r="AM134" i="83"/>
  <c r="AO13" i="65"/>
  <c r="AO21" i="65"/>
  <c r="AK159" i="83"/>
  <c r="AQ21" i="61"/>
  <c r="AQ37" i="61" s="1"/>
  <c r="AA154" i="83"/>
  <c r="AF158" i="83"/>
  <c r="AR314" i="73"/>
  <c r="AR316" i="73" s="1"/>
  <c r="AS315" i="73"/>
  <c r="AF152" i="83"/>
  <c r="Q159" i="83"/>
  <c r="L154" i="83"/>
  <c r="Q158" i="83"/>
  <c r="AQ104" i="46"/>
  <c r="AR94" i="46"/>
  <c r="AR103" i="46" s="1"/>
  <c r="L158" i="83"/>
  <c r="AQ14" i="31"/>
  <c r="AQ23" i="31"/>
  <c r="AA158" i="83"/>
  <c r="AQ19" i="33"/>
  <c r="AQ33" i="33" s="1"/>
  <c r="L156" i="83"/>
  <c r="AA159" i="83"/>
  <c r="AA152" i="83"/>
  <c r="V158" i="83"/>
  <c r="AO41" i="3"/>
  <c r="V154" i="83"/>
  <c r="V159" i="83"/>
  <c r="AL134" i="83" l="1"/>
  <c r="AB134" i="83"/>
  <c r="AF134" i="83" s="1"/>
  <c r="AG134" i="83"/>
  <c r="AK134" i="83" s="1"/>
  <c r="AP17" i="63"/>
  <c r="AJ147" i="83"/>
  <c r="AJ145" i="83" s="1"/>
  <c r="AH147" i="83"/>
  <c r="AH145" i="83" s="1"/>
  <c r="AR21" i="61"/>
  <c r="AR37" i="61" s="1"/>
  <c r="S147" i="83"/>
  <c r="S145" i="83" s="1"/>
  <c r="R145" i="83"/>
  <c r="AI147" i="83"/>
  <c r="AI145" i="83" s="1"/>
  <c r="AK148" i="83"/>
  <c r="AD147" i="83"/>
  <c r="AD145" i="83" s="1"/>
  <c r="V134" i="83"/>
  <c r="AP23" i="49"/>
  <c r="AP41" i="49"/>
  <c r="X147" i="83"/>
  <c r="X145" i="83" s="1"/>
  <c r="DP5" i="34"/>
  <c r="AR19" i="33"/>
  <c r="AR33" i="33" s="1"/>
  <c r="AR23" i="31"/>
  <c r="AR14" i="31"/>
  <c r="Z147" i="83"/>
  <c r="Z145" i="83" s="1"/>
  <c r="AR104" i="46"/>
  <c r="AS94" i="46"/>
  <c r="AS103" i="46" s="1"/>
  <c r="AP23" i="32"/>
  <c r="AP14" i="32"/>
  <c r="AF148" i="83"/>
  <c r="AP37" i="52"/>
  <c r="AP21" i="52"/>
  <c r="AE147" i="83"/>
  <c r="AE145" i="83" s="1"/>
  <c r="Y147" i="83"/>
  <c r="Y145" i="83" s="1"/>
  <c r="AS314" i="73"/>
  <c r="AS316" i="73" s="1"/>
  <c r="AT315" i="73"/>
  <c r="AM147" i="83"/>
  <c r="AM145" i="83" s="1"/>
  <c r="T147" i="83"/>
  <c r="T145" i="83" s="1"/>
  <c r="W134" i="83"/>
  <c r="AA134" i="83" s="1"/>
  <c r="AN147" i="83"/>
  <c r="AN145" i="83" s="1"/>
  <c r="AC147" i="83"/>
  <c r="AC145" i="83" s="1"/>
  <c r="V148" i="83"/>
  <c r="AO147" i="83"/>
  <c r="AA148" i="83"/>
  <c r="U147" i="83"/>
  <c r="U145" i="83" s="1"/>
  <c r="AO63" i="71"/>
  <c r="AO15" i="26"/>
  <c r="AO12" i="53"/>
  <c r="AO34" i="71" l="1"/>
  <c r="AU315" i="73"/>
  <c r="AT314" i="73"/>
  <c r="AT316" i="73" s="1"/>
  <c r="W147" i="83"/>
  <c r="AS14" i="31"/>
  <c r="AS23" i="31"/>
  <c r="AQ21" i="52"/>
  <c r="AQ37" i="52"/>
  <c r="AP20" i="30"/>
  <c r="AP13" i="30"/>
  <c r="AS21" i="61"/>
  <c r="AS37" i="61" s="1"/>
  <c r="AS104" i="46"/>
  <c r="AT94" i="46"/>
  <c r="AT103" i="46" s="1"/>
  <c r="AS19" i="33"/>
  <c r="AS33" i="33" s="1"/>
  <c r="AO19" i="53"/>
  <c r="AB147" i="83"/>
  <c r="AP15" i="26"/>
  <c r="AP21" i="65"/>
  <c r="AP13" i="65"/>
  <c r="AO17" i="63"/>
  <c r="AQ41" i="49"/>
  <c r="AQ23" i="49"/>
  <c r="DS5" i="34"/>
  <c r="AL147" i="83"/>
  <c r="AG147" i="83"/>
  <c r="AQ14" i="32"/>
  <c r="AQ23" i="32"/>
  <c r="AR23" i="49" l="1"/>
  <c r="AR41" i="49"/>
  <c r="AT21" i="61"/>
  <c r="AT37" i="61" s="1"/>
  <c r="AT104" i="46"/>
  <c r="AU94" i="46"/>
  <c r="AU103" i="46" s="1"/>
  <c r="DV5" i="34"/>
  <c r="AQ13" i="65"/>
  <c r="AQ21" i="65"/>
  <c r="AT23" i="31"/>
  <c r="AT14" i="31"/>
  <c r="AR14" i="32"/>
  <c r="AR23" i="32"/>
  <c r="AF147" i="83"/>
  <c r="AB145" i="83"/>
  <c r="AT19" i="33"/>
  <c r="AT33" i="33" s="1"/>
  <c r="AQ17" i="63"/>
  <c r="AA147" i="83"/>
  <c r="W145" i="83"/>
  <c r="AV315" i="73"/>
  <c r="AU314" i="73"/>
  <c r="AU316" i="73" s="1"/>
  <c r="AR37" i="52"/>
  <c r="AR21" i="52"/>
  <c r="AP147" i="83"/>
  <c r="AL145" i="83"/>
  <c r="AQ13" i="30"/>
  <c r="AQ20" i="30"/>
  <c r="AQ15" i="26"/>
  <c r="AK147" i="83"/>
  <c r="AG145" i="83"/>
  <c r="AN21" i="32"/>
  <c r="AO15" i="32" s="1"/>
  <c r="AO21" i="32" s="1"/>
  <c r="AP15" i="32" s="1"/>
  <c r="AP21" i="32" s="1"/>
  <c r="AQ15" i="32" s="1"/>
  <c r="AQ21" i="32" s="1"/>
  <c r="AR15" i="32" s="1"/>
  <c r="AR21" i="32" s="1"/>
  <c r="AS15" i="32" s="1"/>
  <c r="AS21" i="32" s="1"/>
  <c r="AT15" i="32" s="1"/>
  <c r="AT21" i="32" s="1"/>
  <c r="AU15" i="32" s="1"/>
  <c r="AU21" i="32" s="1"/>
  <c r="AV15" i="32" s="1"/>
  <c r="AV21" i="32" s="1"/>
  <c r="AW15" i="32" s="1"/>
  <c r="AW21" i="32" s="1"/>
  <c r="AX15" i="32" s="1"/>
  <c r="AX21" i="32" s="1"/>
  <c r="AY15" i="32" s="1"/>
  <c r="AY21" i="32" s="1"/>
  <c r="AZ15" i="32" s="1"/>
  <c r="AO37" i="44"/>
  <c r="AQ33" i="44" s="1"/>
  <c r="AQ37" i="44" s="1"/>
  <c r="AW33" i="44" s="1"/>
  <c r="AW37" i="44" s="1"/>
  <c r="AW38" i="44" s="1"/>
  <c r="AS37" i="52" l="1"/>
  <c r="AS21" i="52"/>
  <c r="AU19" i="33"/>
  <c r="AU33" i="33" s="1"/>
  <c r="AR17" i="63"/>
  <c r="DY5" i="34"/>
  <c r="AS23" i="32"/>
  <c r="AS14" i="32"/>
  <c r="AU104" i="46"/>
  <c r="AV94" i="46"/>
  <c r="AV103" i="46" s="1"/>
  <c r="AP12" i="53"/>
  <c r="AP19" i="53"/>
  <c r="AR21" i="65"/>
  <c r="AR13" i="65"/>
  <c r="AV314" i="73"/>
  <c r="AV316" i="73" s="1"/>
  <c r="AW315" i="73"/>
  <c r="AU23" i="31"/>
  <c r="AU14" i="31"/>
  <c r="AS41" i="49"/>
  <c r="AS23" i="49"/>
  <c r="AP63" i="71"/>
  <c r="AP34" i="71"/>
  <c r="AR20" i="30"/>
  <c r="AR13" i="30"/>
  <c r="AU21" i="61"/>
  <c r="AU37" i="61" s="1"/>
  <c r="AR15" i="26"/>
  <c r="AO92" i="83"/>
  <c r="AO74" i="46"/>
  <c r="AO56" i="9"/>
  <c r="AO24" i="44"/>
  <c r="AN12" i="32"/>
  <c r="AO6" i="32" s="1"/>
  <c r="AO10" i="29"/>
  <c r="AN91" i="46"/>
  <c r="AN32" i="44"/>
  <c r="AN38" i="44" s="1"/>
  <c r="E93" i="83"/>
  <c r="P95" i="83"/>
  <c r="AC111" i="83"/>
  <c r="T101" i="83"/>
  <c r="U95" i="83"/>
  <c r="O111" i="83"/>
  <c r="AC101" i="83"/>
  <c r="F95" i="83"/>
  <c r="R111" i="83"/>
  <c r="AB95" i="83"/>
  <c r="M103" i="83"/>
  <c r="E103" i="83"/>
  <c r="Z103" i="83"/>
  <c r="D101" i="83"/>
  <c r="AJ95" i="83"/>
  <c r="D93" i="83"/>
  <c r="AC95" i="83"/>
  <c r="U103" i="83"/>
  <c r="J95" i="83"/>
  <c r="C103" i="83"/>
  <c r="K103" i="83"/>
  <c r="F101" i="83"/>
  <c r="W101" i="83"/>
  <c r="AL95" i="83"/>
  <c r="AH103" i="83"/>
  <c r="W111" i="83"/>
  <c r="S111" i="83"/>
  <c r="C111" i="83"/>
  <c r="S95" i="83"/>
  <c r="Z101" i="83"/>
  <c r="AL103" i="83"/>
  <c r="H111" i="83"/>
  <c r="M95" i="83"/>
  <c r="AE93" i="83"/>
  <c r="X93" i="83"/>
  <c r="P111" i="83"/>
  <c r="R101" i="83"/>
  <c r="AD93" i="83"/>
  <c r="K95" i="83"/>
  <c r="E95" i="83"/>
  <c r="M93" i="83"/>
  <c r="S101" i="83"/>
  <c r="W103" i="83"/>
  <c r="D103" i="83"/>
  <c r="O103" i="83"/>
  <c r="P93" i="83"/>
  <c r="AG95" i="83"/>
  <c r="Y101" i="83"/>
  <c r="AM111" i="83"/>
  <c r="AN101" i="83"/>
  <c r="S103" i="83"/>
  <c r="N95" i="83"/>
  <c r="U111" i="83"/>
  <c r="AG101" i="83"/>
  <c r="AI93" i="83"/>
  <c r="K111" i="83"/>
  <c r="O95" i="83"/>
  <c r="AJ93" i="83"/>
  <c r="Z93" i="83"/>
  <c r="AI103" i="83"/>
  <c r="H95" i="83"/>
  <c r="AH93" i="83"/>
  <c r="AB93" i="83"/>
  <c r="H103" i="83"/>
  <c r="AM101" i="83"/>
  <c r="S93" i="83"/>
  <c r="K93" i="83"/>
  <c r="AE111" i="83"/>
  <c r="N111" i="83"/>
  <c r="C95" i="83"/>
  <c r="Y103" i="83"/>
  <c r="AN93" i="83"/>
  <c r="T103" i="83"/>
  <c r="X101" i="83"/>
  <c r="T93" i="83"/>
  <c r="X111" i="83"/>
  <c r="AN95" i="83"/>
  <c r="O93" i="83"/>
  <c r="AG93" i="83"/>
  <c r="AB103" i="83"/>
  <c r="AJ103" i="83"/>
  <c r="I103" i="83"/>
  <c r="AE101" i="83"/>
  <c r="N93" i="83"/>
  <c r="AH101" i="83"/>
  <c r="R103" i="83"/>
  <c r="N101" i="83"/>
  <c r="X103" i="83"/>
  <c r="AC93" i="83"/>
  <c r="AL111" i="83"/>
  <c r="R95" i="83"/>
  <c r="F111" i="83"/>
  <c r="Y95" i="83"/>
  <c r="I101" i="83"/>
  <c r="J111" i="83"/>
  <c r="U93" i="83"/>
  <c r="AM103" i="83"/>
  <c r="AE95" i="83"/>
  <c r="N103" i="83"/>
  <c r="AD111" i="83"/>
  <c r="AN103" i="83"/>
  <c r="M111" i="83"/>
  <c r="P103" i="83"/>
  <c r="AB101" i="83"/>
  <c r="AM93" i="83"/>
  <c r="U101" i="83"/>
  <c r="F103" i="83"/>
  <c r="AI95" i="83"/>
  <c r="AD95" i="83"/>
  <c r="AH95" i="83"/>
  <c r="AI101" i="83"/>
  <c r="Y111" i="83"/>
  <c r="J103" i="83"/>
  <c r="AG103" i="83"/>
  <c r="AE103" i="83"/>
  <c r="AI111" i="83"/>
  <c r="AN111" i="83"/>
  <c r="R93" i="83"/>
  <c r="O101" i="83"/>
  <c r="D111" i="83"/>
  <c r="AM95" i="83"/>
  <c r="P101" i="83"/>
  <c r="J93" i="83"/>
  <c r="AJ101" i="83"/>
  <c r="AD101" i="83"/>
  <c r="I93" i="83"/>
  <c r="AL93" i="83"/>
  <c r="W95" i="83"/>
  <c r="AG111" i="83"/>
  <c r="Z95" i="83"/>
  <c r="E111" i="83"/>
  <c r="AB111" i="83"/>
  <c r="E101" i="83"/>
  <c r="M101" i="83"/>
  <c r="AH111" i="83"/>
  <c r="X95" i="83"/>
  <c r="AC103" i="83"/>
  <c r="F93" i="83"/>
  <c r="C93" i="83"/>
  <c r="AJ111" i="83"/>
  <c r="I95" i="83"/>
  <c r="AD103" i="83"/>
  <c r="AL101" i="83"/>
  <c r="Z111" i="83"/>
  <c r="H93" i="83"/>
  <c r="J101" i="83"/>
  <c r="T95" i="83"/>
  <c r="D95" i="83"/>
  <c r="W93" i="83"/>
  <c r="I111" i="83"/>
  <c r="H101" i="83"/>
  <c r="T111" i="83"/>
  <c r="Y93" i="83"/>
  <c r="C101" i="83"/>
  <c r="K101" i="83"/>
  <c r="AU17" i="63" l="1"/>
  <c r="AO15" i="29"/>
  <c r="AN97" i="83"/>
  <c r="AN96" i="83"/>
  <c r="AM97" i="83"/>
  <c r="AM98" i="83" s="1"/>
  <c r="AM96" i="83"/>
  <c r="AA111" i="83"/>
  <c r="V111" i="83"/>
  <c r="Q111" i="83"/>
  <c r="AK111" i="83"/>
  <c r="AF111" i="83"/>
  <c r="AA101" i="83"/>
  <c r="D97" i="83"/>
  <c r="K12" i="83"/>
  <c r="AE96" i="83"/>
  <c r="X97" i="83"/>
  <c r="X98" i="83" s="1"/>
  <c r="N97" i="83"/>
  <c r="G111" i="83"/>
  <c r="N96" i="83"/>
  <c r="U96" i="83"/>
  <c r="AG97" i="83"/>
  <c r="AG98" i="83" s="1"/>
  <c r="AK93" i="83"/>
  <c r="W97" i="83"/>
  <c r="W98" i="83" s="1"/>
  <c r="AA93" i="83"/>
  <c r="T96" i="83"/>
  <c r="G103" i="83"/>
  <c r="AH97" i="83"/>
  <c r="M96" i="83"/>
  <c r="Q95" i="83"/>
  <c r="G93" i="83"/>
  <c r="C97" i="83"/>
  <c r="C98" i="83" s="1"/>
  <c r="J97" i="83"/>
  <c r="J98" i="83" s="1"/>
  <c r="AI96" i="83"/>
  <c r="AD97" i="83"/>
  <c r="K97" i="83"/>
  <c r="K98" i="83" s="1"/>
  <c r="I96" i="83"/>
  <c r="AA103" i="83"/>
  <c r="AI97" i="83"/>
  <c r="AI98" i="83" s="1"/>
  <c r="L103" i="83"/>
  <c r="P12" i="83"/>
  <c r="K96" i="83"/>
  <c r="AL97" i="83"/>
  <c r="V101" i="83"/>
  <c r="V93" i="83"/>
  <c r="R97" i="83"/>
  <c r="J96" i="83"/>
  <c r="P97" i="83"/>
  <c r="AK103" i="83"/>
  <c r="AH96" i="83"/>
  <c r="V103" i="83"/>
  <c r="G95" i="83"/>
  <c r="Y96" i="83"/>
  <c r="Q101" i="83"/>
  <c r="M12" i="83"/>
  <c r="Q103" i="83"/>
  <c r="AC96" i="83"/>
  <c r="I12" i="83"/>
  <c r="I97" i="83"/>
  <c r="AF93" i="83"/>
  <c r="AB97" i="83"/>
  <c r="L111" i="83"/>
  <c r="O12" i="83"/>
  <c r="AF101" i="83"/>
  <c r="E97" i="83"/>
  <c r="AF95" i="83"/>
  <c r="AB96" i="83"/>
  <c r="L93" i="83"/>
  <c r="H97" i="83"/>
  <c r="AJ97" i="83"/>
  <c r="P96" i="83"/>
  <c r="AF103" i="83"/>
  <c r="H96" i="83"/>
  <c r="L95" i="83"/>
  <c r="Y97" i="83"/>
  <c r="J12" i="83"/>
  <c r="G101" i="83"/>
  <c r="O96" i="83"/>
  <c r="AC97" i="83"/>
  <c r="AC98" i="83" s="1"/>
  <c r="U97" i="83"/>
  <c r="AG96" i="83"/>
  <c r="AK95" i="83"/>
  <c r="AJ96" i="83"/>
  <c r="AK101" i="83"/>
  <c r="H12" i="83"/>
  <c r="L101" i="83"/>
  <c r="S97" i="83"/>
  <c r="AL96" i="83"/>
  <c r="Z96" i="83"/>
  <c r="R96" i="83"/>
  <c r="V95" i="83"/>
  <c r="F97" i="83"/>
  <c r="AE97" i="83"/>
  <c r="W96" i="83"/>
  <c r="AA95" i="83"/>
  <c r="O97" i="83"/>
  <c r="Z97" i="83"/>
  <c r="AD96" i="83"/>
  <c r="T97" i="83"/>
  <c r="X96" i="83"/>
  <c r="Q93" i="83"/>
  <c r="M97" i="83"/>
  <c r="M98" i="83" s="1"/>
  <c r="S96" i="83"/>
  <c r="N12" i="83"/>
  <c r="AO24" i="32"/>
  <c r="AO30" i="32" s="1"/>
  <c r="AO12" i="32"/>
  <c r="AV19" i="33"/>
  <c r="AV33" i="33" s="1"/>
  <c r="AO24" i="46"/>
  <c r="AO55" i="46"/>
  <c r="AO25" i="44"/>
  <c r="AO32" i="44" s="1"/>
  <c r="AO30" i="46"/>
  <c r="AQ19" i="53"/>
  <c r="AQ12" i="53"/>
  <c r="AS17" i="63"/>
  <c r="AO161" i="83"/>
  <c r="AO116" i="83"/>
  <c r="AO35" i="83"/>
  <c r="AO130" i="83"/>
  <c r="AO150" i="83"/>
  <c r="AS15" i="26"/>
  <c r="EB5" i="34"/>
  <c r="AO62" i="46"/>
  <c r="AM13" i="31"/>
  <c r="AN13" i="32"/>
  <c r="AO68" i="46"/>
  <c r="AN92" i="46"/>
  <c r="AN113" i="46"/>
  <c r="AO17" i="46"/>
  <c r="AO105" i="46"/>
  <c r="AW314" i="73"/>
  <c r="AW316" i="73" s="1"/>
  <c r="AX315" i="73"/>
  <c r="AO43" i="46"/>
  <c r="AO49" i="46"/>
  <c r="AT41" i="49"/>
  <c r="AT23" i="49"/>
  <c r="AO34" i="9"/>
  <c r="AO5" i="9"/>
  <c r="AO63" i="9"/>
  <c r="AO48" i="9"/>
  <c r="AO131" i="9"/>
  <c r="AO23" i="9"/>
  <c r="AO11" i="9"/>
  <c r="AO38" i="9"/>
  <c r="AO93" i="46"/>
  <c r="AO36" i="46"/>
  <c r="AT37" i="52"/>
  <c r="AT21" i="52"/>
  <c r="AO81" i="46"/>
  <c r="AO82" i="46"/>
  <c r="AO11" i="46"/>
  <c r="AV21" i="61"/>
  <c r="AV37" i="61" s="1"/>
  <c r="AQ63" i="71"/>
  <c r="AQ34" i="71"/>
  <c r="AV104" i="46"/>
  <c r="AW94" i="46"/>
  <c r="AW103" i="46" s="1"/>
  <c r="AX94" i="46" s="1"/>
  <c r="AX103" i="46" s="1"/>
  <c r="AY94" i="46" s="1"/>
  <c r="AY103" i="46" s="1"/>
  <c r="AZ94" i="46" s="1"/>
  <c r="AZ103" i="46" s="1"/>
  <c r="AS20" i="30"/>
  <c r="AS13" i="30"/>
  <c r="AS13" i="65"/>
  <c r="AS21" i="65"/>
  <c r="AT14" i="32"/>
  <c r="AT23" i="32"/>
  <c r="AV14" i="31"/>
  <c r="AV23" i="31"/>
  <c r="AM143" i="83"/>
  <c r="W139" i="83"/>
  <c r="J138" i="83"/>
  <c r="P138" i="83"/>
  <c r="U143" i="83"/>
  <c r="K140" i="83"/>
  <c r="J139" i="83"/>
  <c r="AE143" i="83"/>
  <c r="P143" i="83"/>
  <c r="W138" i="83"/>
  <c r="AC139" i="83"/>
  <c r="AO155" i="83"/>
  <c r="AE138" i="83"/>
  <c r="AB138" i="83"/>
  <c r="AL139" i="83"/>
  <c r="AO121" i="83"/>
  <c r="S138" i="83"/>
  <c r="O139" i="83"/>
  <c r="Y140" i="83"/>
  <c r="AB139" i="83"/>
  <c r="Z143" i="83"/>
  <c r="AO157" i="83"/>
  <c r="AH140" i="83"/>
  <c r="AL143" i="83"/>
  <c r="D139" i="83"/>
  <c r="AC140" i="83"/>
  <c r="AD140" i="83"/>
  <c r="AL140" i="83"/>
  <c r="AO124" i="83"/>
  <c r="AO153" i="83"/>
  <c r="U138" i="83"/>
  <c r="AM139" i="83"/>
  <c r="AI138" i="83"/>
  <c r="AO151" i="83"/>
  <c r="H143" i="83"/>
  <c r="C138" i="83"/>
  <c r="P140" i="83"/>
  <c r="M139" i="83"/>
  <c r="AE140" i="83"/>
  <c r="AO118" i="83"/>
  <c r="I140" i="83"/>
  <c r="R143" i="83"/>
  <c r="AO117" i="83"/>
  <c r="AC138" i="83"/>
  <c r="AI140" i="83"/>
  <c r="K143" i="83"/>
  <c r="AI143" i="83"/>
  <c r="K138" i="83"/>
  <c r="M138" i="83"/>
  <c r="F140" i="83"/>
  <c r="AJ143" i="83"/>
  <c r="I143" i="83"/>
  <c r="Y139" i="83"/>
  <c r="AM140" i="83"/>
  <c r="AJ138" i="83"/>
  <c r="S140" i="83"/>
  <c r="AG140" i="83"/>
  <c r="F139" i="83"/>
  <c r="AE139" i="83"/>
  <c r="Z98" i="83"/>
  <c r="H139" i="83"/>
  <c r="D143" i="83"/>
  <c r="E139" i="83"/>
  <c r="AO112" i="83"/>
  <c r="J140" i="83"/>
  <c r="S139" i="83"/>
  <c r="AN143" i="83"/>
  <c r="D138" i="83"/>
  <c r="AJ98" i="83"/>
  <c r="AO87" i="83"/>
  <c r="AO127" i="83"/>
  <c r="R140" i="83"/>
  <c r="AG143" i="83"/>
  <c r="R98" i="83"/>
  <c r="N143" i="83"/>
  <c r="AI139" i="83"/>
  <c r="U140" i="83"/>
  <c r="AO143" i="83"/>
  <c r="AD138" i="83"/>
  <c r="O143" i="83"/>
  <c r="W143" i="83"/>
  <c r="F98" i="83"/>
  <c r="C143" i="83"/>
  <c r="F138" i="83"/>
  <c r="E138" i="83"/>
  <c r="C140" i="83"/>
  <c r="AE98" i="83"/>
  <c r="AO95" i="83"/>
  <c r="X143" i="83"/>
  <c r="AB140" i="83"/>
  <c r="E98" i="83"/>
  <c r="Y143" i="83"/>
  <c r="AO101" i="83"/>
  <c r="AH143" i="83"/>
  <c r="AN138" i="83"/>
  <c r="AO140" i="83"/>
  <c r="M140" i="83"/>
  <c r="H140" i="83"/>
  <c r="I98" i="83"/>
  <c r="J143" i="83"/>
  <c r="X139" i="83"/>
  <c r="W140" i="83"/>
  <c r="T138" i="83"/>
  <c r="O140" i="83"/>
  <c r="AN140" i="83"/>
  <c r="T98" i="83"/>
  <c r="AB143" i="83"/>
  <c r="AM138" i="83"/>
  <c r="T140" i="83"/>
  <c r="X140" i="83"/>
  <c r="AO93" i="83"/>
  <c r="AO139" i="83"/>
  <c r="AO82" i="83"/>
  <c r="N98" i="83"/>
  <c r="E140" i="83"/>
  <c r="Z140" i="83"/>
  <c r="Y138" i="83"/>
  <c r="AO107" i="83"/>
  <c r="H98" i="83"/>
  <c r="O138" i="83"/>
  <c r="D140" i="83"/>
  <c r="I138" i="83"/>
  <c r="N140" i="83"/>
  <c r="AC143" i="83"/>
  <c r="AH138" i="83"/>
  <c r="Z138" i="83"/>
  <c r="AH139" i="83"/>
  <c r="Z139" i="83"/>
  <c r="N139" i="83"/>
  <c r="I139" i="83"/>
  <c r="AJ139" i="83"/>
  <c r="M143" i="83"/>
  <c r="P139" i="83"/>
  <c r="AO128" i="83"/>
  <c r="AN139" i="83"/>
  <c r="K139" i="83"/>
  <c r="E143" i="83"/>
  <c r="T143" i="83"/>
  <c r="S143" i="83"/>
  <c r="T139" i="83"/>
  <c r="AJ140" i="83"/>
  <c r="U139" i="83"/>
  <c r="C139" i="83"/>
  <c r="AG138" i="83"/>
  <c r="N138" i="83"/>
  <c r="R139" i="83"/>
  <c r="AO103" i="83"/>
  <c r="AD143" i="83"/>
  <c r="F143" i="83"/>
  <c r="AL138" i="83"/>
  <c r="R138" i="83"/>
  <c r="AG139" i="83"/>
  <c r="AD139" i="83"/>
  <c r="Y98" i="83"/>
  <c r="H138" i="83"/>
  <c r="X138" i="83"/>
  <c r="O98" i="83"/>
  <c r="U98" i="83"/>
  <c r="P98" i="83"/>
  <c r="AL98" i="83" l="1"/>
  <c r="AD98" i="83"/>
  <c r="AB98" i="83"/>
  <c r="S98" i="83"/>
  <c r="D98" i="83"/>
  <c r="AH98" i="83"/>
  <c r="AN98" i="83"/>
  <c r="AO134" i="83"/>
  <c r="AP134" i="83" s="1"/>
  <c r="AP155" i="83"/>
  <c r="AO156" i="83"/>
  <c r="AP87" i="83"/>
  <c r="AO25" i="83"/>
  <c r="AP25" i="83" s="1"/>
  <c r="AP101" i="83"/>
  <c r="AP124" i="83"/>
  <c r="AP118" i="83"/>
  <c r="AP112" i="83"/>
  <c r="AP95" i="83"/>
  <c r="AP96" i="83" s="1"/>
  <c r="AO96" i="83"/>
  <c r="AO154" i="83"/>
  <c r="AP153" i="83"/>
  <c r="AO152" i="83"/>
  <c r="AP151" i="83"/>
  <c r="AP152" i="83" s="1"/>
  <c r="AO159" i="83"/>
  <c r="AP159" i="83" s="1"/>
  <c r="AO158" i="83"/>
  <c r="AP157" i="83"/>
  <c r="AO148" i="83"/>
  <c r="AO145" i="83" s="1"/>
  <c r="AP117" i="83"/>
  <c r="AP103" i="83"/>
  <c r="AP128" i="83"/>
  <c r="AP93" i="83"/>
  <c r="AP94" i="83" s="1"/>
  <c r="AO97" i="83"/>
  <c r="AP97" i="83" s="1"/>
  <c r="AP127" i="83"/>
  <c r="AA94" i="83"/>
  <c r="V96" i="83"/>
  <c r="L96" i="83"/>
  <c r="AK96" i="83"/>
  <c r="V94" i="83"/>
  <c r="AJ100" i="83"/>
  <c r="K100" i="83"/>
  <c r="L98" i="83"/>
  <c r="H100" i="83"/>
  <c r="AA138" i="83"/>
  <c r="AK143" i="83"/>
  <c r="L140" i="83"/>
  <c r="V138" i="83"/>
  <c r="AF140" i="83"/>
  <c r="G139" i="83"/>
  <c r="AA140" i="83"/>
  <c r="L138" i="83"/>
  <c r="AK139" i="83"/>
  <c r="G143" i="83"/>
  <c r="AA143" i="83"/>
  <c r="AA139" i="83"/>
  <c r="Q139" i="83"/>
  <c r="AK140" i="83"/>
  <c r="V139" i="83"/>
  <c r="V140" i="83"/>
  <c r="V143" i="83"/>
  <c r="Q143" i="83"/>
  <c r="AF139" i="83"/>
  <c r="AK138" i="83"/>
  <c r="AP143" i="83"/>
  <c r="G140" i="83"/>
  <c r="Q140" i="83"/>
  <c r="Q138" i="83"/>
  <c r="AF138" i="83"/>
  <c r="AP140" i="83"/>
  <c r="AP139" i="83"/>
  <c r="AF143" i="83"/>
  <c r="L139" i="83"/>
  <c r="L143" i="83"/>
  <c r="G138" i="83"/>
  <c r="M100" i="83"/>
  <c r="Q98" i="83"/>
  <c r="Z100" i="83"/>
  <c r="P100" i="83"/>
  <c r="T100" i="83"/>
  <c r="O100" i="83"/>
  <c r="Y100" i="83"/>
  <c r="AM100" i="83"/>
  <c r="AP107" i="83"/>
  <c r="AP82" i="83"/>
  <c r="AO20" i="83"/>
  <c r="AP20" i="83" s="1"/>
  <c r="E100" i="83"/>
  <c r="R100" i="83"/>
  <c r="AA98" i="83"/>
  <c r="W100" i="83"/>
  <c r="U100" i="83"/>
  <c r="AI100" i="83"/>
  <c r="J100" i="83"/>
  <c r="AC100" i="83"/>
  <c r="C100" i="83"/>
  <c r="AG100" i="83"/>
  <c r="N100" i="83"/>
  <c r="AE100" i="83"/>
  <c r="I100" i="83"/>
  <c r="X100" i="83"/>
  <c r="F100" i="83"/>
  <c r="AO15" i="45"/>
  <c r="AO25" i="45"/>
  <c r="AW21" i="61"/>
  <c r="AW37" i="61" s="1"/>
  <c r="AJ7" i="83"/>
  <c r="O125" i="83"/>
  <c r="AL7" i="83"/>
  <c r="AH7" i="83"/>
  <c r="AU23" i="49"/>
  <c r="AU41" i="49"/>
  <c r="EE5" i="34"/>
  <c r="N125" i="83"/>
  <c r="K7" i="83"/>
  <c r="AR34" i="71"/>
  <c r="AR63" i="71"/>
  <c r="L97" i="83"/>
  <c r="H7" i="83"/>
  <c r="P125" i="83"/>
  <c r="Q125" i="83" s="1"/>
  <c r="AW23" i="31"/>
  <c r="AW14" i="31"/>
  <c r="AY315" i="73"/>
  <c r="AX314" i="73"/>
  <c r="AX316" i="73" s="1"/>
  <c r="AT13" i="65"/>
  <c r="AT21" i="65"/>
  <c r="AU14" i="32"/>
  <c r="AU23" i="32"/>
  <c r="AT17" i="63"/>
  <c r="M7" i="83"/>
  <c r="Q97" i="83"/>
  <c r="Z7" i="83"/>
  <c r="L94" i="83"/>
  <c r="P7" i="83"/>
  <c r="AR12" i="53"/>
  <c r="AR19" i="53"/>
  <c r="AU37" i="52"/>
  <c r="AU21" i="52"/>
  <c r="AN13" i="31"/>
  <c r="AP6" i="32"/>
  <c r="AO13" i="32"/>
  <c r="T7" i="83"/>
  <c r="AO106" i="46"/>
  <c r="AO91" i="46"/>
  <c r="AZ104" i="46"/>
  <c r="Q94" i="83"/>
  <c r="O7" i="83"/>
  <c r="S7" i="83"/>
  <c r="J125" i="83"/>
  <c r="M125" i="83"/>
  <c r="Q12" i="83"/>
  <c r="AD7" i="83"/>
  <c r="K125" i="83"/>
  <c r="L125" i="83" s="1"/>
  <c r="AT13" i="30"/>
  <c r="AT20" i="30"/>
  <c r="AT15" i="26"/>
  <c r="AA96" i="83"/>
  <c r="Y7" i="83"/>
  <c r="AF96" i="83"/>
  <c r="AM7" i="83"/>
  <c r="AO39" i="83"/>
  <c r="AO37" i="83"/>
  <c r="AO38" i="44"/>
  <c r="AP25" i="44"/>
  <c r="AP32" i="44" s="1"/>
  <c r="H125" i="83"/>
  <c r="L12" i="83"/>
  <c r="E7" i="83"/>
  <c r="R7" i="83"/>
  <c r="V97" i="83"/>
  <c r="AA97" i="83"/>
  <c r="W7" i="83"/>
  <c r="D7" i="83"/>
  <c r="AW19" i="33"/>
  <c r="AW33" i="33" s="1"/>
  <c r="U7" i="83"/>
  <c r="AF97" i="83"/>
  <c r="AB7" i="83"/>
  <c r="AI7" i="83"/>
  <c r="J7" i="83"/>
  <c r="AK94" i="83"/>
  <c r="AC7" i="83"/>
  <c r="AF94" i="83"/>
  <c r="G97" i="83"/>
  <c r="C7" i="83"/>
  <c r="AK97" i="83"/>
  <c r="AG7" i="83"/>
  <c r="N7" i="83"/>
  <c r="AP24" i="44"/>
  <c r="AE7" i="83"/>
  <c r="I7" i="83"/>
  <c r="X7" i="83"/>
  <c r="BF313" i="73"/>
  <c r="F7" i="83"/>
  <c r="I125" i="83"/>
  <c r="Q96" i="83"/>
  <c r="AN7" i="83"/>
  <c r="AO138" i="83"/>
  <c r="AO111" i="83"/>
  <c r="AL100" i="83" l="1"/>
  <c r="AH100" i="83"/>
  <c r="S100" i="83"/>
  <c r="AD100" i="83"/>
  <c r="V98" i="83"/>
  <c r="D100" i="83"/>
  <c r="AF98" i="83"/>
  <c r="AB100" i="83"/>
  <c r="AN100" i="83"/>
  <c r="G98" i="83"/>
  <c r="AK98" i="83"/>
  <c r="AZ21" i="61"/>
  <c r="AZ37" i="61" s="1"/>
  <c r="AZ19" i="33"/>
  <c r="AZ33" i="33" s="1"/>
  <c r="AY23" i="31"/>
  <c r="AY14" i="31"/>
  <c r="AP138" i="83"/>
  <c r="AP148" i="83"/>
  <c r="AQ147" i="83" s="1"/>
  <c r="AU147" i="83" s="1"/>
  <c r="AO7" i="83"/>
  <c r="AP7" i="83" s="1"/>
  <c r="AP111" i="83"/>
  <c r="AY19" i="33"/>
  <c r="AY33" i="33" s="1"/>
  <c r="AP154" i="83"/>
  <c r="AY21" i="61"/>
  <c r="AY37" i="61" s="1"/>
  <c r="AP158" i="83"/>
  <c r="AP156" i="83"/>
  <c r="AK7" i="83"/>
  <c r="AF7" i="83"/>
  <c r="L7" i="83"/>
  <c r="AO40" i="83"/>
  <c r="AO41" i="83"/>
  <c r="AP41" i="83" s="1"/>
  <c r="AP39" i="83"/>
  <c r="AP40" i="83" s="1"/>
  <c r="J99" i="83"/>
  <c r="J113" i="83"/>
  <c r="J115" i="83" s="1"/>
  <c r="J104" i="83"/>
  <c r="J102" i="83"/>
  <c r="AC99" i="83"/>
  <c r="AC113" i="83"/>
  <c r="AC115" i="83" s="1"/>
  <c r="AC102" i="83"/>
  <c r="AC104" i="83"/>
  <c r="Q100" i="83"/>
  <c r="M99" i="83"/>
  <c r="M113" i="83"/>
  <c r="M115" i="83" s="1"/>
  <c r="M102" i="83"/>
  <c r="M104" i="83"/>
  <c r="G7" i="83"/>
  <c r="AP24" i="32"/>
  <c r="AP30" i="32" s="1"/>
  <c r="AP12" i="32"/>
  <c r="AZ315" i="73"/>
  <c r="AY314" i="73"/>
  <c r="AY316" i="73" s="1"/>
  <c r="F113" i="83"/>
  <c r="F115" i="83" s="1"/>
  <c r="F99" i="83"/>
  <c r="F102" i="83"/>
  <c r="F104" i="83"/>
  <c r="AI99" i="83"/>
  <c r="AI113" i="83"/>
  <c r="AI115" i="83" s="1"/>
  <c r="AI102" i="83"/>
  <c r="AI104" i="83"/>
  <c r="AS12" i="53"/>
  <c r="AS19" i="53"/>
  <c r="AP68" i="46"/>
  <c r="AP36" i="46"/>
  <c r="AP30" i="46"/>
  <c r="AP49" i="46"/>
  <c r="AP24" i="46"/>
  <c r="AP11" i="46"/>
  <c r="AP105" i="46"/>
  <c r="AP55" i="46"/>
  <c r="AP81" i="46"/>
  <c r="AP62" i="46"/>
  <c r="AP43" i="46"/>
  <c r="AP74" i="46"/>
  <c r="AP93" i="46"/>
  <c r="AP17" i="46"/>
  <c r="AQ24" i="44"/>
  <c r="AP38" i="44"/>
  <c r="AQ25" i="44"/>
  <c r="AQ32" i="44" s="1"/>
  <c r="AQ38" i="44" s="1"/>
  <c r="Q7" i="83"/>
  <c r="AV14" i="32"/>
  <c r="AV23" i="32"/>
  <c r="AM113" i="83"/>
  <c r="AM115" i="83" s="1"/>
  <c r="AM99" i="83"/>
  <c r="AM102" i="83"/>
  <c r="AM104" i="83"/>
  <c r="AP10" i="29"/>
  <c r="AP15" i="29"/>
  <c r="X99" i="83"/>
  <c r="X113" i="83"/>
  <c r="X115" i="83" s="1"/>
  <c r="X104" i="83"/>
  <c r="X102" i="83"/>
  <c r="Y99" i="83"/>
  <c r="Y113" i="83"/>
  <c r="Y115" i="83" s="1"/>
  <c r="Y102" i="83"/>
  <c r="Y104" i="83"/>
  <c r="H113" i="83"/>
  <c r="H115" i="83" s="1"/>
  <c r="L100" i="83"/>
  <c r="H99" i="83"/>
  <c r="H102" i="83"/>
  <c r="H104" i="83"/>
  <c r="AU15" i="26"/>
  <c r="AQ161" i="83"/>
  <c r="AQ116" i="83"/>
  <c r="AQ92" i="83"/>
  <c r="AQ130" i="83"/>
  <c r="AQ150" i="83"/>
  <c r="AQ35" i="83"/>
  <c r="AU21" i="65"/>
  <c r="AU13" i="65"/>
  <c r="I99" i="83"/>
  <c r="I113" i="83"/>
  <c r="I115" i="83" s="1"/>
  <c r="I104" i="83"/>
  <c r="I102" i="83"/>
  <c r="U99" i="83"/>
  <c r="U113" i="83"/>
  <c r="U102" i="83"/>
  <c r="U104" i="83"/>
  <c r="AP34" i="9"/>
  <c r="AP38" i="9"/>
  <c r="AP131" i="9"/>
  <c r="AP63" i="9"/>
  <c r="AP48" i="9"/>
  <c r="AP23" i="9"/>
  <c r="AP56" i="9"/>
  <c r="AP5" i="9"/>
  <c r="AP11" i="9"/>
  <c r="AE113" i="83"/>
  <c r="AE99" i="83"/>
  <c r="AE104" i="83"/>
  <c r="AE102" i="83"/>
  <c r="K99" i="83"/>
  <c r="K113" i="83"/>
  <c r="K102" i="83"/>
  <c r="K104" i="83"/>
  <c r="AX21" i="61"/>
  <c r="AX37" i="61" s="1"/>
  <c r="N99" i="83"/>
  <c r="N113" i="83"/>
  <c r="N104" i="83"/>
  <c r="N102" i="83"/>
  <c r="W99" i="83"/>
  <c r="W113" i="83"/>
  <c r="W115" i="83" s="1"/>
  <c r="AA100" i="83"/>
  <c r="W102" i="83"/>
  <c r="W104" i="83"/>
  <c r="O113" i="83"/>
  <c r="O99" i="83"/>
  <c r="O104" i="83"/>
  <c r="O102" i="83"/>
  <c r="AP25" i="45"/>
  <c r="AP15" i="45"/>
  <c r="AA7" i="83"/>
  <c r="AU13" i="30"/>
  <c r="AU20" i="30"/>
  <c r="AV41" i="49"/>
  <c r="AV23" i="49"/>
  <c r="AG99" i="83"/>
  <c r="AG113" i="83"/>
  <c r="AG102" i="83"/>
  <c r="AG104" i="83"/>
  <c r="T113" i="83"/>
  <c r="T99" i="83"/>
  <c r="T102" i="83"/>
  <c r="T104" i="83"/>
  <c r="AO113" i="46"/>
  <c r="AP82" i="46"/>
  <c r="AO92" i="46"/>
  <c r="AX14" i="31"/>
  <c r="AX23" i="31"/>
  <c r="AV37" i="52"/>
  <c r="AV21" i="52"/>
  <c r="P99" i="83"/>
  <c r="P113" i="83"/>
  <c r="P102" i="83"/>
  <c r="P104" i="83"/>
  <c r="AS34" i="71"/>
  <c r="AS63" i="71"/>
  <c r="EH5" i="34"/>
  <c r="R99" i="83"/>
  <c r="R113" i="83"/>
  <c r="R102" i="83"/>
  <c r="R104" i="83"/>
  <c r="Z99" i="83"/>
  <c r="Z113" i="83"/>
  <c r="Z104" i="83"/>
  <c r="Z102" i="83"/>
  <c r="AJ99" i="83"/>
  <c r="AJ113" i="83"/>
  <c r="AJ104" i="83"/>
  <c r="AJ102" i="83"/>
  <c r="AP37" i="83"/>
  <c r="AP38" i="83" s="1"/>
  <c r="AO38" i="83"/>
  <c r="V7" i="83"/>
  <c r="AX19" i="33"/>
  <c r="AX33" i="33" s="1"/>
  <c r="C99" i="83"/>
  <c r="C113" i="83"/>
  <c r="C102" i="83"/>
  <c r="C104" i="83"/>
  <c r="E99" i="83"/>
  <c r="E113" i="83"/>
  <c r="E104" i="83"/>
  <c r="E102" i="83"/>
  <c r="AG115" i="83"/>
  <c r="P115" i="83"/>
  <c r="AQ103" i="83"/>
  <c r="E115" i="83"/>
  <c r="AQ107" i="83"/>
  <c r="N115" i="83"/>
  <c r="O115" i="83"/>
  <c r="AQ138" i="83"/>
  <c r="AQ140" i="83"/>
  <c r="AO98" i="83"/>
  <c r="Z115" i="83"/>
  <c r="AJ115" i="83"/>
  <c r="K115" i="83"/>
  <c r="AQ143" i="83"/>
  <c r="U115" i="83"/>
  <c r="C115" i="83"/>
  <c r="AQ118" i="83"/>
  <c r="AE115" i="83"/>
  <c r="T115" i="83"/>
  <c r="R115" i="83"/>
  <c r="AB99" i="83" l="1"/>
  <c r="AN99" i="83"/>
  <c r="AN113" i="83"/>
  <c r="AN115" i="83" s="1"/>
  <c r="AN104" i="83"/>
  <c r="AN102" i="83"/>
  <c r="AB113" i="83"/>
  <c r="AB115" i="83" s="1"/>
  <c r="AF100" i="83"/>
  <c r="AB102" i="83"/>
  <c r="AB104" i="83"/>
  <c r="AD99" i="83"/>
  <c r="AD113" i="83"/>
  <c r="AD115" i="83" s="1"/>
  <c r="AD104" i="83"/>
  <c r="AD102" i="83"/>
  <c r="D113" i="83"/>
  <c r="D115" i="83" s="1"/>
  <c r="D99" i="83"/>
  <c r="D102" i="83"/>
  <c r="D104" i="83"/>
  <c r="S99" i="83"/>
  <c r="S113" i="83"/>
  <c r="S115" i="83" s="1"/>
  <c r="S102" i="83"/>
  <c r="S104" i="83"/>
  <c r="AH99" i="83"/>
  <c r="AH113" i="83"/>
  <c r="AH115" i="83" s="1"/>
  <c r="AH102" i="83"/>
  <c r="AH104" i="83"/>
  <c r="AK100" i="83"/>
  <c r="AL113" i="83"/>
  <c r="AL115" i="83" s="1"/>
  <c r="AL99" i="83"/>
  <c r="AL102" i="83"/>
  <c r="AL104" i="83"/>
  <c r="V100" i="83"/>
  <c r="G100" i="83"/>
  <c r="AY41" i="49"/>
  <c r="AY23" i="49"/>
  <c r="AO100" i="83"/>
  <c r="AO99" i="83" s="1"/>
  <c r="AP98" i="83"/>
  <c r="AX23" i="49"/>
  <c r="AX41" i="49"/>
  <c r="X114" i="83"/>
  <c r="X108" i="83"/>
  <c r="X109" i="83" s="1"/>
  <c r="X105" i="83"/>
  <c r="X106" i="83" s="1"/>
  <c r="AM114" i="83"/>
  <c r="AM108" i="83"/>
  <c r="AM109" i="83" s="1"/>
  <c r="AM105" i="83"/>
  <c r="AM106" i="83" s="1"/>
  <c r="Q113" i="83"/>
  <c r="Q114" i="83" s="1"/>
  <c r="Q99" i="83"/>
  <c r="Q104" i="83"/>
  <c r="Q102" i="83"/>
  <c r="Z114" i="83"/>
  <c r="Z108" i="83"/>
  <c r="Z109" i="83" s="1"/>
  <c r="Z105" i="83"/>
  <c r="Z106" i="83" s="1"/>
  <c r="AQ63" i="9"/>
  <c r="AQ48" i="9"/>
  <c r="AQ5" i="9"/>
  <c r="AQ38" i="9"/>
  <c r="AQ23" i="9"/>
  <c r="AQ11" i="9"/>
  <c r="AQ56" i="9"/>
  <c r="AQ34" i="9"/>
  <c r="AQ131" i="9"/>
  <c r="AQ36" i="46"/>
  <c r="AQ62" i="46"/>
  <c r="AQ105" i="46"/>
  <c r="AQ43" i="46"/>
  <c r="AQ24" i="46"/>
  <c r="AQ81" i="46"/>
  <c r="AQ93" i="46"/>
  <c r="AQ11" i="46"/>
  <c r="AQ55" i="46"/>
  <c r="AQ17" i="46"/>
  <c r="AQ74" i="46"/>
  <c r="AQ49" i="46"/>
  <c r="AQ30" i="46"/>
  <c r="AQ68" i="46"/>
  <c r="AC114" i="83"/>
  <c r="AC108" i="83"/>
  <c r="AC109" i="83" s="1"/>
  <c r="AC105" i="83"/>
  <c r="AC106" i="83" s="1"/>
  <c r="AW41" i="49"/>
  <c r="AW23" i="49"/>
  <c r="AR116" i="83"/>
  <c r="AR130" i="83"/>
  <c r="AR92" i="83"/>
  <c r="AR150" i="83"/>
  <c r="AR161" i="83"/>
  <c r="AR35" i="83"/>
  <c r="AQ15" i="45"/>
  <c r="AQ25" i="45"/>
  <c r="J114" i="83"/>
  <c r="J108" i="83"/>
  <c r="J109" i="83" s="1"/>
  <c r="J105" i="83"/>
  <c r="J106" i="83" s="1"/>
  <c r="AT19" i="53"/>
  <c r="AT12" i="53"/>
  <c r="Y114" i="83"/>
  <c r="Y105" i="83"/>
  <c r="Y106" i="83" s="1"/>
  <c r="Y108" i="83"/>
  <c r="Y109" i="83" s="1"/>
  <c r="AO13" i="31"/>
  <c r="AP13" i="32"/>
  <c r="AQ6" i="32"/>
  <c r="C108" i="83"/>
  <c r="C114" i="83"/>
  <c r="C105" i="83"/>
  <c r="K114" i="83"/>
  <c r="K105" i="83"/>
  <c r="K106" i="83" s="1"/>
  <c r="K108" i="83"/>
  <c r="K109" i="83" s="1"/>
  <c r="AI114" i="83"/>
  <c r="AI105" i="83"/>
  <c r="AI106" i="83" s="1"/>
  <c r="AI108" i="83"/>
  <c r="AI109" i="83" s="1"/>
  <c r="W108" i="83"/>
  <c r="W105" i="83"/>
  <c r="W114" i="83"/>
  <c r="AE105" i="83"/>
  <c r="AE106" i="83" s="1"/>
  <c r="AE108" i="83"/>
  <c r="AE109" i="83" s="1"/>
  <c r="AE114" i="83"/>
  <c r="AW21" i="52"/>
  <c r="AW37" i="52"/>
  <c r="U114" i="83"/>
  <c r="U108" i="83"/>
  <c r="U109" i="83" s="1"/>
  <c r="U105" i="83"/>
  <c r="U106" i="83" s="1"/>
  <c r="AQ10" i="29"/>
  <c r="AQ15" i="29"/>
  <c r="AV13" i="65"/>
  <c r="AV21" i="65"/>
  <c r="AV20" i="30"/>
  <c r="AV13" i="30"/>
  <c r="L99" i="83"/>
  <c r="L113" i="83"/>
  <c r="L114" i="83" s="1"/>
  <c r="L102" i="83"/>
  <c r="L104" i="83"/>
  <c r="I114" i="83"/>
  <c r="I108" i="83"/>
  <c r="I109" i="83" s="1"/>
  <c r="I105" i="83"/>
  <c r="I106" i="83" s="1"/>
  <c r="AT63" i="71"/>
  <c r="AT34" i="71"/>
  <c r="O114" i="83"/>
  <c r="O105" i="83"/>
  <c r="O106" i="83" s="1"/>
  <c r="O108" i="83"/>
  <c r="O109" i="83" s="1"/>
  <c r="AJ114" i="83"/>
  <c r="AJ105" i="83"/>
  <c r="AJ106" i="83" s="1"/>
  <c r="AJ108" i="83"/>
  <c r="AJ109" i="83" s="1"/>
  <c r="AP106" i="46"/>
  <c r="AP91" i="46"/>
  <c r="AW23" i="32"/>
  <c r="AW14" i="32"/>
  <c r="N114" i="83"/>
  <c r="N105" i="83"/>
  <c r="N106" i="83" s="1"/>
  <c r="N108" i="83"/>
  <c r="N109" i="83" s="1"/>
  <c r="H105" i="83"/>
  <c r="H108" i="83"/>
  <c r="H114" i="83"/>
  <c r="F105" i="83"/>
  <c r="F106" i="83" s="1"/>
  <c r="F114" i="83"/>
  <c r="F108" i="83"/>
  <c r="F109" i="83" s="1"/>
  <c r="E114" i="83"/>
  <c r="E105" i="83"/>
  <c r="E106" i="83" s="1"/>
  <c r="E108" i="83"/>
  <c r="E109" i="83" s="1"/>
  <c r="R114" i="83"/>
  <c r="R105" i="83"/>
  <c r="R108" i="83"/>
  <c r="T108" i="83"/>
  <c r="T109" i="83" s="1"/>
  <c r="T105" i="83"/>
  <c r="T106" i="83" s="1"/>
  <c r="T114" i="83"/>
  <c r="AZ314" i="73"/>
  <c r="AZ316" i="73" s="1"/>
  <c r="BA315" i="73"/>
  <c r="AG105" i="83"/>
  <c r="AG114" i="83"/>
  <c r="AG108" i="83"/>
  <c r="AQ37" i="83"/>
  <c r="AQ39" i="83"/>
  <c r="AV15" i="26"/>
  <c r="M105" i="83"/>
  <c r="M114" i="83"/>
  <c r="M108" i="83"/>
  <c r="AA99" i="83"/>
  <c r="AA113" i="83"/>
  <c r="AA114" i="83" s="1"/>
  <c r="AA104" i="83"/>
  <c r="AA102" i="83"/>
  <c r="P114" i="83"/>
  <c r="P108" i="83"/>
  <c r="P109" i="83" s="1"/>
  <c r="P105" i="83"/>
  <c r="P106" i="83" s="1"/>
  <c r="AR139" i="83"/>
  <c r="AQ117" i="83"/>
  <c r="AQ121" i="83"/>
  <c r="AQ101" i="83"/>
  <c r="AR143" i="83"/>
  <c r="AQ151" i="83"/>
  <c r="AQ87" i="83"/>
  <c r="AQ155" i="83"/>
  <c r="AQ153" i="83"/>
  <c r="AQ128" i="83"/>
  <c r="AR87" i="83"/>
  <c r="AQ95" i="83"/>
  <c r="AQ157" i="83"/>
  <c r="AR138" i="83"/>
  <c r="AQ127" i="83"/>
  <c r="AR107" i="83"/>
  <c r="AR140" i="83"/>
  <c r="AQ124" i="83"/>
  <c r="AQ82" i="83"/>
  <c r="AQ93" i="83"/>
  <c r="AQ139" i="83"/>
  <c r="AQ112" i="83"/>
  <c r="AR82" i="83"/>
  <c r="AN108" i="83" l="1"/>
  <c r="AN109" i="83" s="1"/>
  <c r="AN105" i="83"/>
  <c r="AN106" i="83" s="1"/>
  <c r="V113" i="83"/>
  <c r="V114" i="83" s="1"/>
  <c r="V104" i="83"/>
  <c r="V102" i="83"/>
  <c r="AH105" i="83"/>
  <c r="AH106" i="83" s="1"/>
  <c r="AH114" i="83"/>
  <c r="AH108" i="83"/>
  <c r="AH109" i="83" s="1"/>
  <c r="V99" i="83"/>
  <c r="D108" i="83"/>
  <c r="D109" i="83" s="1"/>
  <c r="D114" i="83"/>
  <c r="D105" i="83"/>
  <c r="D106" i="83" s="1"/>
  <c r="AF113" i="83"/>
  <c r="AF114" i="83" s="1"/>
  <c r="AF99" i="83"/>
  <c r="AF102" i="83"/>
  <c r="AF104" i="83"/>
  <c r="AB114" i="83"/>
  <c r="AB108" i="83"/>
  <c r="AB105" i="83"/>
  <c r="AL114" i="83"/>
  <c r="AL108" i="83"/>
  <c r="AL105" i="83"/>
  <c r="AD105" i="83"/>
  <c r="AD106" i="83" s="1"/>
  <c r="AD114" i="83"/>
  <c r="AD108" i="83"/>
  <c r="AD109" i="83" s="1"/>
  <c r="AN114" i="83"/>
  <c r="G99" i="83"/>
  <c r="G113" i="83"/>
  <c r="G114" i="83" s="1"/>
  <c r="G104" i="83"/>
  <c r="G102" i="83"/>
  <c r="AK99" i="83"/>
  <c r="AK113" i="83"/>
  <c r="AK114" i="83" s="1"/>
  <c r="AK102" i="83"/>
  <c r="AK104" i="83"/>
  <c r="S108" i="83"/>
  <c r="S109" i="83" s="1"/>
  <c r="S114" i="83"/>
  <c r="S105" i="83"/>
  <c r="S106" i="83" s="1"/>
  <c r="AY21" i="52"/>
  <c r="AY37" i="52"/>
  <c r="AQ20" i="83"/>
  <c r="AY21" i="65"/>
  <c r="AY13" i="65"/>
  <c r="AQ148" i="83"/>
  <c r="AQ145" i="83" s="1"/>
  <c r="AQ134" i="83"/>
  <c r="AQ152" i="83"/>
  <c r="AQ154" i="83"/>
  <c r="AQ156" i="83"/>
  <c r="AQ159" i="83"/>
  <c r="AQ158" i="83"/>
  <c r="AQ97" i="83"/>
  <c r="AQ7" i="83" s="1"/>
  <c r="AQ25" i="83"/>
  <c r="AQ96" i="83"/>
  <c r="AO113" i="83"/>
  <c r="AO105" i="83" s="1"/>
  <c r="AO106" i="83" s="1"/>
  <c r="AO102" i="83"/>
  <c r="AO104" i="83"/>
  <c r="AP100" i="83"/>
  <c r="AP104" i="83" s="1"/>
  <c r="AX13" i="65"/>
  <c r="AX21" i="65"/>
  <c r="AW21" i="65"/>
  <c r="AW13" i="65"/>
  <c r="AR20" i="83"/>
  <c r="AR15" i="29"/>
  <c r="AR10" i="29"/>
  <c r="M109" i="83"/>
  <c r="Q108" i="83"/>
  <c r="Q109" i="83" s="1"/>
  <c r="AR38" i="9"/>
  <c r="AR34" i="9"/>
  <c r="AR48" i="9"/>
  <c r="AR23" i="9"/>
  <c r="AR5" i="9"/>
  <c r="AR63" i="9"/>
  <c r="AR11" i="9"/>
  <c r="AR131" i="9"/>
  <c r="AR56" i="9"/>
  <c r="AQ40" i="83"/>
  <c r="AQ41" i="83"/>
  <c r="BA314" i="73"/>
  <c r="BA316" i="73" s="1"/>
  <c r="BB315" i="73"/>
  <c r="C109" i="83"/>
  <c r="AU34" i="71"/>
  <c r="AU63" i="71"/>
  <c r="W106" i="83"/>
  <c r="AA105" i="83"/>
  <c r="AA106" i="83" s="1"/>
  <c r="AG109" i="83"/>
  <c r="AQ24" i="32"/>
  <c r="AQ30" i="32" s="1"/>
  <c r="AQ12" i="32"/>
  <c r="AQ38" i="83"/>
  <c r="R106" i="83"/>
  <c r="AX23" i="32"/>
  <c r="AX14" i="32"/>
  <c r="AW15" i="26"/>
  <c r="M106" i="83"/>
  <c r="Q105" i="83"/>
  <c r="Q106" i="83" s="1"/>
  <c r="C106" i="83"/>
  <c r="AW20" i="30"/>
  <c r="AW13" i="30"/>
  <c r="W109" i="83"/>
  <c r="AA108" i="83"/>
  <c r="AA109" i="83" s="1"/>
  <c r="AG106" i="83"/>
  <c r="AR15" i="45"/>
  <c r="AR25" i="45"/>
  <c r="AS116" i="83"/>
  <c r="AS150" i="83"/>
  <c r="AS130" i="83"/>
  <c r="AS161" i="83"/>
  <c r="AS92" i="83"/>
  <c r="AS35" i="83"/>
  <c r="AR105" i="46"/>
  <c r="AR81" i="46"/>
  <c r="AR55" i="46"/>
  <c r="AR93" i="46"/>
  <c r="AR17" i="46"/>
  <c r="AR68" i="46"/>
  <c r="AR43" i="46"/>
  <c r="AR36" i="46"/>
  <c r="AR49" i="46"/>
  <c r="AR74" i="46"/>
  <c r="AR24" i="46"/>
  <c r="AR11" i="46"/>
  <c r="AR62" i="46"/>
  <c r="AR30" i="46"/>
  <c r="AU19" i="53"/>
  <c r="AU12" i="53"/>
  <c r="AR37" i="83"/>
  <c r="AR38" i="83" s="1"/>
  <c r="AR39" i="83"/>
  <c r="L108" i="83"/>
  <c r="L109" i="83" s="1"/>
  <c r="H109" i="83"/>
  <c r="AQ82" i="46"/>
  <c r="AP113" i="46"/>
  <c r="AP92" i="46"/>
  <c r="L105" i="83"/>
  <c r="L106" i="83" s="1"/>
  <c r="H106" i="83"/>
  <c r="R109" i="83"/>
  <c r="AQ111" i="83"/>
  <c r="AR128" i="83"/>
  <c r="AR124" i="83"/>
  <c r="AR157" i="83"/>
  <c r="AR95" i="83"/>
  <c r="AS143" i="83"/>
  <c r="AR93" i="83"/>
  <c r="AR151" i="83"/>
  <c r="AR153" i="83"/>
  <c r="AR112" i="83"/>
  <c r="AR155" i="83"/>
  <c r="AR117" i="83"/>
  <c r="AR127" i="83"/>
  <c r="AR121" i="83"/>
  <c r="AR101" i="83"/>
  <c r="AS82" i="83"/>
  <c r="AR103" i="83"/>
  <c r="AS95" i="83"/>
  <c r="AR118" i="83"/>
  <c r="AK108" i="83" l="1"/>
  <c r="AK109" i="83" s="1"/>
  <c r="G105" i="83"/>
  <c r="G106" i="83" s="1"/>
  <c r="G108" i="83"/>
  <c r="G109" i="83" s="1"/>
  <c r="AK105" i="83"/>
  <c r="AK106" i="83" s="1"/>
  <c r="AL106" i="83"/>
  <c r="AF105" i="83"/>
  <c r="AF106" i="83" s="1"/>
  <c r="AB106" i="83"/>
  <c r="AL109" i="83"/>
  <c r="AB109" i="83"/>
  <c r="AF108" i="83"/>
  <c r="AF109" i="83" s="1"/>
  <c r="V105" i="83"/>
  <c r="V106" i="83" s="1"/>
  <c r="V108" i="83"/>
  <c r="V109" i="83" s="1"/>
  <c r="AZ14" i="32"/>
  <c r="AZ23" i="32"/>
  <c r="AR147" i="83"/>
  <c r="AR148" i="83"/>
  <c r="AT147" i="83" s="1"/>
  <c r="AP105" i="83"/>
  <c r="AP106" i="83" s="1"/>
  <c r="AO108" i="83"/>
  <c r="AO109" i="83" s="1"/>
  <c r="AO114" i="83"/>
  <c r="AP113" i="83"/>
  <c r="AP114" i="83" s="1"/>
  <c r="AP102" i="83"/>
  <c r="AP99" i="83"/>
  <c r="AR154" i="83"/>
  <c r="AR96" i="83"/>
  <c r="AR97" i="83"/>
  <c r="AR7" i="83" s="1"/>
  <c r="AR156" i="83"/>
  <c r="AR134" i="83"/>
  <c r="AR25" i="83"/>
  <c r="AR159" i="83"/>
  <c r="AR158" i="83"/>
  <c r="AR152" i="83"/>
  <c r="AS96" i="83"/>
  <c r="AX15" i="26"/>
  <c r="AQ13" i="32"/>
  <c r="AR6" i="32"/>
  <c r="AP13" i="31"/>
  <c r="BB314" i="73"/>
  <c r="BB316" i="73" s="1"/>
  <c r="BC315" i="73"/>
  <c r="AY23" i="32"/>
  <c r="AY14" i="32"/>
  <c r="AT130" i="83"/>
  <c r="AT116" i="83"/>
  <c r="AT150" i="83"/>
  <c r="AT92" i="83"/>
  <c r="AT35" i="83"/>
  <c r="AT161" i="83"/>
  <c r="AX20" i="30"/>
  <c r="AX13" i="30"/>
  <c r="AV12" i="53"/>
  <c r="AV19" i="53"/>
  <c r="AQ91" i="46"/>
  <c r="AQ106" i="46"/>
  <c r="AS11" i="9"/>
  <c r="AS63" i="9"/>
  <c r="AS5" i="9"/>
  <c r="AS131" i="9"/>
  <c r="AS34" i="9"/>
  <c r="AS38" i="9"/>
  <c r="AS23" i="9"/>
  <c r="AS48" i="9"/>
  <c r="AS56" i="9"/>
  <c r="AS10" i="29"/>
  <c r="AS15" i="29"/>
  <c r="AR40" i="83"/>
  <c r="AR41" i="83"/>
  <c r="AS93" i="46"/>
  <c r="AS105" i="46"/>
  <c r="AS30" i="46"/>
  <c r="AS68" i="46"/>
  <c r="AS55" i="46"/>
  <c r="AS49" i="46"/>
  <c r="AS17" i="46"/>
  <c r="AS43" i="46"/>
  <c r="AS24" i="46"/>
  <c r="AS11" i="46"/>
  <c r="AS62" i="46"/>
  <c r="AS81" i="46"/>
  <c r="AS74" i="46"/>
  <c r="AS36" i="46"/>
  <c r="AS39" i="83"/>
  <c r="AS37" i="83"/>
  <c r="AV34" i="71"/>
  <c r="AV63" i="71"/>
  <c r="AS25" i="45"/>
  <c r="AS15" i="45"/>
  <c r="AT103" i="83"/>
  <c r="AR111" i="83"/>
  <c r="AS124" i="83"/>
  <c r="AT82" i="83"/>
  <c r="AS93" i="83"/>
  <c r="AS117" i="83"/>
  <c r="AS103" i="83"/>
  <c r="AS101" i="83"/>
  <c r="AS112" i="83"/>
  <c r="AT124" i="83"/>
  <c r="AS139" i="83"/>
  <c r="AS138" i="83"/>
  <c r="AS140" i="83"/>
  <c r="AS151" i="83"/>
  <c r="AS127" i="83"/>
  <c r="AS157" i="83"/>
  <c r="AS121" i="83"/>
  <c r="AT93" i="83"/>
  <c r="AT127" i="83"/>
  <c r="AS153" i="83"/>
  <c r="AS107" i="83"/>
  <c r="AT121" i="83"/>
  <c r="AS155" i="83"/>
  <c r="AO115" i="83"/>
  <c r="AT140" i="83"/>
  <c r="AS87" i="83"/>
  <c r="AS128" i="83"/>
  <c r="AQ98" i="83"/>
  <c r="AS118" i="83"/>
  <c r="AT112" i="83"/>
  <c r="AS20" i="83" l="1"/>
  <c r="AZ20" i="30"/>
  <c r="AZ13" i="30"/>
  <c r="AV92" i="83"/>
  <c r="AV116" i="83"/>
  <c r="AV130" i="83"/>
  <c r="AV150" i="83"/>
  <c r="AV35" i="83"/>
  <c r="AV161" i="83"/>
  <c r="AY19" i="53"/>
  <c r="AY12" i="53"/>
  <c r="AY34" i="71"/>
  <c r="AY63" i="71"/>
  <c r="AZ15" i="26"/>
  <c r="AS134" i="83"/>
  <c r="AS152" i="83"/>
  <c r="AS156" i="83"/>
  <c r="AQ100" i="83"/>
  <c r="AQ113" i="83" s="1"/>
  <c r="AQ114" i="83" s="1"/>
  <c r="AS154" i="83"/>
  <c r="AS147" i="83"/>
  <c r="AR145" i="83"/>
  <c r="AS158" i="83"/>
  <c r="AS159" i="83"/>
  <c r="AS148" i="83"/>
  <c r="AS97" i="83"/>
  <c r="AS7" i="83" s="1"/>
  <c r="AS25" i="83"/>
  <c r="AP108" i="83"/>
  <c r="AP109" i="83" s="1"/>
  <c r="AX63" i="71"/>
  <c r="AX34" i="71"/>
  <c r="AX12" i="53"/>
  <c r="AX19" i="53"/>
  <c r="AW12" i="53"/>
  <c r="AW19" i="53"/>
  <c r="AU140" i="83"/>
  <c r="AU124" i="83"/>
  <c r="AU127" i="83"/>
  <c r="AU103" i="83"/>
  <c r="AU112" i="83"/>
  <c r="AU93" i="83"/>
  <c r="AU82" i="83"/>
  <c r="AW34" i="71"/>
  <c r="AW63" i="71"/>
  <c r="AQ92" i="46"/>
  <c r="AQ113" i="46"/>
  <c r="AR82" i="46"/>
  <c r="AY20" i="30"/>
  <c r="AY13" i="30"/>
  <c r="AR12" i="32"/>
  <c r="AR24" i="32"/>
  <c r="AR30" i="32" s="1"/>
  <c r="AS38" i="83"/>
  <c r="AT10" i="29"/>
  <c r="AT15" i="29"/>
  <c r="AT81" i="46"/>
  <c r="AT74" i="46"/>
  <c r="AT30" i="46"/>
  <c r="AT105" i="46"/>
  <c r="AT11" i="46"/>
  <c r="AT36" i="46"/>
  <c r="AT49" i="46"/>
  <c r="AT62" i="46"/>
  <c r="AT93" i="46"/>
  <c r="AT43" i="46"/>
  <c r="AT55" i="46"/>
  <c r="AT24" i="46"/>
  <c r="AT68" i="46"/>
  <c r="AT17" i="46"/>
  <c r="AS41" i="83"/>
  <c r="AS40" i="83"/>
  <c r="AT39" i="83"/>
  <c r="AT40" i="83" s="1"/>
  <c r="AT37" i="83"/>
  <c r="AT38" i="83" s="1"/>
  <c r="AT63" i="9"/>
  <c r="AT5" i="9"/>
  <c r="AT131" i="9"/>
  <c r="AT34" i="9"/>
  <c r="AT11" i="9"/>
  <c r="AT23" i="9"/>
  <c r="AT56" i="9"/>
  <c r="AT38" i="9"/>
  <c r="AT48" i="9"/>
  <c r="BC314" i="73"/>
  <c r="BC316" i="73" s="1"/>
  <c r="BD315" i="73"/>
  <c r="AT25" i="45"/>
  <c r="AT15" i="45"/>
  <c r="AY15" i="26"/>
  <c r="AR98" i="83"/>
  <c r="AT117" i="83"/>
  <c r="AT118" i="83"/>
  <c r="AT151" i="83"/>
  <c r="AT111" i="83"/>
  <c r="AT139" i="83"/>
  <c r="AT157" i="83"/>
  <c r="AT155" i="83"/>
  <c r="AT138" i="83"/>
  <c r="AT143" i="83"/>
  <c r="AT128" i="83"/>
  <c r="AT87" i="83"/>
  <c r="AS111" i="83"/>
  <c r="AT95" i="83"/>
  <c r="AT107" i="83"/>
  <c r="AT153" i="83"/>
  <c r="AT101" i="83"/>
  <c r="AU107" i="83" l="1"/>
  <c r="AT20" i="83"/>
  <c r="AU20" i="83" s="1"/>
  <c r="AU138" i="83"/>
  <c r="AV37" i="83"/>
  <c r="AV38" i="83" s="1"/>
  <c r="AV39" i="83"/>
  <c r="AT134" i="83"/>
  <c r="AU134" i="83" s="1"/>
  <c r="AU139" i="83"/>
  <c r="AU143" i="83"/>
  <c r="AQ105" i="83"/>
  <c r="AQ106" i="83" s="1"/>
  <c r="AQ108" i="83"/>
  <c r="AQ109" i="83" s="1"/>
  <c r="AQ102" i="83"/>
  <c r="AQ104" i="83"/>
  <c r="AQ99" i="83"/>
  <c r="AS145" i="83"/>
  <c r="AU153" i="83"/>
  <c r="AT154" i="83"/>
  <c r="AU155" i="83"/>
  <c r="AT156" i="83"/>
  <c r="AU118" i="83"/>
  <c r="AT152" i="83"/>
  <c r="AU151" i="83"/>
  <c r="AU152" i="83" s="1"/>
  <c r="AU128" i="83"/>
  <c r="AT25" i="83"/>
  <c r="AU25" i="83" s="1"/>
  <c r="AU87" i="83"/>
  <c r="AU101" i="83"/>
  <c r="AR100" i="83"/>
  <c r="AR113" i="83" s="1"/>
  <c r="AR114" i="83" s="1"/>
  <c r="AU95" i="83"/>
  <c r="AU96" i="83" s="1"/>
  <c r="AT97" i="83"/>
  <c r="AU97" i="83" s="1"/>
  <c r="AT96" i="83"/>
  <c r="AT148" i="83"/>
  <c r="AU117" i="83"/>
  <c r="AT158" i="83"/>
  <c r="AU157" i="83"/>
  <c r="AT159" i="83"/>
  <c r="AU159" i="83" s="1"/>
  <c r="AU111" i="83"/>
  <c r="AU10" i="29"/>
  <c r="AU15" i="29"/>
  <c r="AU37" i="83"/>
  <c r="AU38" i="83" s="1"/>
  <c r="AR106" i="46"/>
  <c r="AR91" i="46"/>
  <c r="AT41" i="83"/>
  <c r="AU41" i="83" s="1"/>
  <c r="AU39" i="83"/>
  <c r="AU40" i="83" s="1"/>
  <c r="AV24" i="44"/>
  <c r="AU93" i="46"/>
  <c r="AU43" i="46"/>
  <c r="AU30" i="46"/>
  <c r="AU62" i="46"/>
  <c r="AU68" i="46"/>
  <c r="AU81" i="46"/>
  <c r="AU17" i="46"/>
  <c r="AU49" i="46"/>
  <c r="AU105" i="46"/>
  <c r="AU24" i="46"/>
  <c r="AU55" i="46"/>
  <c r="AU11" i="46"/>
  <c r="AU74" i="46"/>
  <c r="AU36" i="46"/>
  <c r="AQ13" i="31"/>
  <c r="AR13" i="32"/>
  <c r="AS6" i="32"/>
  <c r="AU25" i="45"/>
  <c r="AU15" i="45"/>
  <c r="BD314" i="73"/>
  <c r="BD316" i="73" s="1"/>
  <c r="BE315" i="73"/>
  <c r="AU38" i="9"/>
  <c r="AU63" i="9"/>
  <c r="AU131" i="9"/>
  <c r="AU56" i="9"/>
  <c r="AU34" i="9"/>
  <c r="AU11" i="9"/>
  <c r="AU48" i="9"/>
  <c r="AU23" i="9"/>
  <c r="AU5" i="9"/>
  <c r="AV112" i="83"/>
  <c r="AV117" i="83"/>
  <c r="AV107" i="83"/>
  <c r="AV101" i="83"/>
  <c r="AV151" i="83"/>
  <c r="AV153" i="83"/>
  <c r="AV93" i="83"/>
  <c r="AV118" i="83"/>
  <c r="AV103" i="83"/>
  <c r="AV143" i="83"/>
  <c r="AS98" i="83"/>
  <c r="AQ115" i="83"/>
  <c r="AV87" i="83"/>
  <c r="AV157" i="83"/>
  <c r="AV82" i="83"/>
  <c r="AV155" i="83"/>
  <c r="AV95" i="83"/>
  <c r="AV121" i="83"/>
  <c r="AV127" i="83"/>
  <c r="AV97" i="83" l="1"/>
  <c r="AV148" i="83"/>
  <c r="AV156" i="83"/>
  <c r="AV152" i="83"/>
  <c r="AV159" i="83"/>
  <c r="AV158" i="83"/>
  <c r="AV20" i="83"/>
  <c r="AV25" i="83"/>
  <c r="AV96" i="83"/>
  <c r="AV154" i="83"/>
  <c r="AV41" i="83"/>
  <c r="AV40" i="83"/>
  <c r="AU148" i="83"/>
  <c r="AV147" i="83"/>
  <c r="AS100" i="83"/>
  <c r="AS99" i="83" s="1"/>
  <c r="AR105" i="83"/>
  <c r="AR106" i="83" s="1"/>
  <c r="AR108" i="83"/>
  <c r="AR109" i="83" s="1"/>
  <c r="AU158" i="83"/>
  <c r="AU154" i="83"/>
  <c r="AU156" i="83"/>
  <c r="AR99" i="83"/>
  <c r="AR104" i="83"/>
  <c r="AR102" i="83"/>
  <c r="AT7" i="83"/>
  <c r="AU7" i="83" s="1"/>
  <c r="AT145" i="83"/>
  <c r="AS24" i="32"/>
  <c r="AS30" i="32" s="1"/>
  <c r="AS12" i="32"/>
  <c r="AV34" i="9"/>
  <c r="AV56" i="9"/>
  <c r="AV5" i="9"/>
  <c r="AV23" i="9"/>
  <c r="AV48" i="9"/>
  <c r="AV131" i="9"/>
  <c r="AV11" i="9"/>
  <c r="AV63" i="9"/>
  <c r="AV38" i="9"/>
  <c r="AV10" i="29"/>
  <c r="AV15" i="29"/>
  <c r="BF315" i="73"/>
  <c r="BE314" i="73"/>
  <c r="BE316" i="73" s="1"/>
  <c r="AV30" i="46"/>
  <c r="AV105" i="46"/>
  <c r="AV11" i="46"/>
  <c r="AV74" i="46"/>
  <c r="AV36" i="46"/>
  <c r="AV62" i="46"/>
  <c r="AV24" i="46"/>
  <c r="AV68" i="46"/>
  <c r="AV55" i="46"/>
  <c r="AV81" i="46"/>
  <c r="AV93" i="46"/>
  <c r="AV17" i="46"/>
  <c r="AV49" i="46"/>
  <c r="AV43" i="46"/>
  <c r="AV15" i="45"/>
  <c r="AV25" i="45"/>
  <c r="AR92" i="46"/>
  <c r="AR113" i="46"/>
  <c r="AS82" i="46"/>
  <c r="AW24" i="44"/>
  <c r="AT98" i="83"/>
  <c r="AR115" i="83"/>
  <c r="AV111" i="83"/>
  <c r="AV145" i="83" l="1"/>
  <c r="AV7" i="83"/>
  <c r="AZ24" i="44"/>
  <c r="AS113" i="83"/>
  <c r="AS114" i="83" s="1"/>
  <c r="AS104" i="83"/>
  <c r="AS102" i="83"/>
  <c r="AU98" i="83"/>
  <c r="AT100" i="83"/>
  <c r="AU100" i="83" s="1"/>
  <c r="AU113" i="83" s="1"/>
  <c r="AU114" i="83" s="1"/>
  <c r="AY24" i="44"/>
  <c r="AX24" i="44"/>
  <c r="AS106" i="46"/>
  <c r="AS91" i="46"/>
  <c r="AW25" i="45"/>
  <c r="AW15" i="45"/>
  <c r="AW10" i="29"/>
  <c r="AW15" i="29"/>
  <c r="AW34" i="9"/>
  <c r="AW23" i="9"/>
  <c r="AW48" i="9"/>
  <c r="AW5" i="9"/>
  <c r="AW11" i="9"/>
  <c r="AW38" i="9"/>
  <c r="AW56" i="9"/>
  <c r="AW131" i="9"/>
  <c r="AW63" i="9"/>
  <c r="BF314" i="73"/>
  <c r="BF316" i="73" s="1"/>
  <c r="BG315" i="73"/>
  <c r="AR13" i="31"/>
  <c r="AS13" i="32"/>
  <c r="AT6" i="32"/>
  <c r="AW55" i="46"/>
  <c r="AW11" i="46"/>
  <c r="AW49" i="46"/>
  <c r="AW81" i="46"/>
  <c r="AW24" i="46"/>
  <c r="AW74" i="46"/>
  <c r="AW36" i="46"/>
  <c r="AW30" i="46"/>
  <c r="AW17" i="46"/>
  <c r="AW93" i="46"/>
  <c r="AW105" i="46"/>
  <c r="AW43" i="46"/>
  <c r="AW62" i="46"/>
  <c r="AW68" i="46"/>
  <c r="AV98" i="83"/>
  <c r="AV100" i="83" l="1"/>
  <c r="AZ25" i="45"/>
  <c r="AZ15" i="45"/>
  <c r="AY15" i="29"/>
  <c r="AU102" i="83"/>
  <c r="AU104" i="83"/>
  <c r="AS108" i="83"/>
  <c r="AS109" i="83" s="1"/>
  <c r="AT113" i="83"/>
  <c r="AT114" i="83" s="1"/>
  <c r="AS105" i="83"/>
  <c r="AS106" i="83" s="1"/>
  <c r="AT102" i="83"/>
  <c r="AU99" i="83"/>
  <c r="AT99" i="83"/>
  <c r="AT104" i="83"/>
  <c r="AY25" i="45"/>
  <c r="AY15" i="45"/>
  <c r="AX34" i="9"/>
  <c r="AX48" i="9"/>
  <c r="AX63" i="9"/>
  <c r="AX11" i="9"/>
  <c r="AX56" i="9"/>
  <c r="AX23" i="9"/>
  <c r="AX38" i="9"/>
  <c r="AX5" i="9"/>
  <c r="AX131" i="9"/>
  <c r="AS113" i="46"/>
  <c r="AS92" i="46"/>
  <c r="AT82" i="46"/>
  <c r="AT12" i="32"/>
  <c r="AT24" i="32"/>
  <c r="AT30" i="32" s="1"/>
  <c r="BH315" i="73"/>
  <c r="BG314" i="73"/>
  <c r="BG316" i="73" s="1"/>
  <c r="AX36" i="46"/>
  <c r="AX74" i="46"/>
  <c r="AX49" i="46"/>
  <c r="AX81" i="46"/>
  <c r="AX68" i="46"/>
  <c r="AX24" i="46"/>
  <c r="AX30" i="46"/>
  <c r="AX105" i="46"/>
  <c r="AX55" i="46"/>
  <c r="AX11" i="46"/>
  <c r="AX43" i="46"/>
  <c r="AX17" i="46"/>
  <c r="AX93" i="46"/>
  <c r="AX62" i="46"/>
  <c r="AX25" i="45"/>
  <c r="AX15" i="45"/>
  <c r="AX10" i="29"/>
  <c r="AX15" i="29"/>
  <c r="AS115" i="83"/>
  <c r="AY10" i="29" l="1"/>
  <c r="AV113" i="83"/>
  <c r="AV99" i="83"/>
  <c r="AV104" i="83"/>
  <c r="AV102" i="83"/>
  <c r="AZ15" i="29"/>
  <c r="AZ10" i="29"/>
  <c r="AT108" i="83"/>
  <c r="AT109" i="83" s="1"/>
  <c r="AT105" i="83"/>
  <c r="AT106" i="83" s="1"/>
  <c r="BH314" i="73"/>
  <c r="BH316" i="73" s="1"/>
  <c r="BI315" i="73"/>
  <c r="AT106" i="46"/>
  <c r="AT91" i="46"/>
  <c r="AY105" i="46"/>
  <c r="AY81" i="46"/>
  <c r="AY55" i="46"/>
  <c r="AY62" i="46"/>
  <c r="AY93" i="46"/>
  <c r="AY49" i="46"/>
  <c r="AY68" i="46"/>
  <c r="AY74" i="46"/>
  <c r="AY36" i="46"/>
  <c r="AY30" i="46"/>
  <c r="AY17" i="46"/>
  <c r="AY43" i="46"/>
  <c r="AY24" i="46"/>
  <c r="AY11" i="46"/>
  <c r="AY131" i="9"/>
  <c r="AY56" i="9"/>
  <c r="AY11" i="9"/>
  <c r="AY23" i="9"/>
  <c r="AY63" i="9"/>
  <c r="AY48" i="9"/>
  <c r="AY34" i="9"/>
  <c r="AY5" i="9"/>
  <c r="AY38" i="9"/>
  <c r="AT13" i="32"/>
  <c r="AS13" i="31"/>
  <c r="AU6" i="32"/>
  <c r="AT115" i="83"/>
  <c r="AV114" i="83" l="1"/>
  <c r="AV108" i="83"/>
  <c r="AV109" i="83" s="1"/>
  <c r="AV105" i="83"/>
  <c r="AV106" i="83" s="1"/>
  <c r="AU105" i="83"/>
  <c r="AU106" i="83" s="1"/>
  <c r="AU108" i="83"/>
  <c r="AU109" i="83" s="1"/>
  <c r="BJ315" i="73"/>
  <c r="BI314" i="73"/>
  <c r="BI316" i="73" s="1"/>
  <c r="AU12" i="32"/>
  <c r="AU24" i="32"/>
  <c r="AU30" i="32" s="1"/>
  <c r="AT113" i="46"/>
  <c r="AT92" i="46"/>
  <c r="AU82" i="46"/>
  <c r="AZ56" i="9"/>
  <c r="AZ23" i="9"/>
  <c r="AZ34" i="9"/>
  <c r="AZ131" i="9"/>
  <c r="AZ38" i="9"/>
  <c r="AZ5" i="9"/>
  <c r="AZ48" i="9"/>
  <c r="AZ11" i="9"/>
  <c r="AZ63" i="9"/>
  <c r="AZ36" i="46"/>
  <c r="AZ93" i="46"/>
  <c r="AZ68" i="46"/>
  <c r="AZ62" i="46"/>
  <c r="AZ30" i="46"/>
  <c r="AZ11" i="46"/>
  <c r="AZ55" i="46"/>
  <c r="AZ105" i="46"/>
  <c r="AZ43" i="46"/>
  <c r="AZ81" i="46"/>
  <c r="AZ17" i="46"/>
  <c r="AZ24" i="46"/>
  <c r="AZ74" i="46"/>
  <c r="AZ49" i="46"/>
  <c r="AV115" i="83"/>
  <c r="BC49" i="46" l="1"/>
  <c r="BC93" i="46"/>
  <c r="BC55" i="46"/>
  <c r="BC62" i="46"/>
  <c r="BC24" i="46"/>
  <c r="BC105" i="46"/>
  <c r="BC68" i="46"/>
  <c r="BC11" i="46"/>
  <c r="BC17" i="46"/>
  <c r="BC30" i="46"/>
  <c r="BC36" i="46"/>
  <c r="BC81" i="46"/>
  <c r="BC74" i="46"/>
  <c r="BC43" i="46"/>
  <c r="BB17" i="46"/>
  <c r="BB36" i="46"/>
  <c r="BB30" i="46"/>
  <c r="BB43" i="46"/>
  <c r="BB24" i="46"/>
  <c r="BB11" i="46"/>
  <c r="BK315" i="73"/>
  <c r="BJ314" i="73"/>
  <c r="BJ316" i="73" s="1"/>
  <c r="AT13" i="31"/>
  <c r="AU13" i="32"/>
  <c r="AV6" i="32"/>
  <c r="AU106" i="46"/>
  <c r="AU91" i="46"/>
  <c r="BA63" i="9"/>
  <c r="BA11" i="9"/>
  <c r="BA38" i="9"/>
  <c r="BA56" i="9"/>
  <c r="BA34" i="9"/>
  <c r="BA131" i="9"/>
  <c r="BA23" i="9"/>
  <c r="BA5" i="9"/>
  <c r="BA48" i="9"/>
  <c r="BA24" i="46"/>
  <c r="BA30" i="46"/>
  <c r="BA43" i="46"/>
  <c r="BA11" i="46"/>
  <c r="BA17" i="46"/>
  <c r="BA36" i="46"/>
  <c r="BK314" i="73" l="1"/>
  <c r="BK316" i="73" s="1"/>
  <c r="BL315" i="73"/>
  <c r="AV24" i="32"/>
  <c r="AV30" i="32" s="1"/>
  <c r="AV12" i="32"/>
  <c r="AU113" i="46"/>
  <c r="AU92" i="46"/>
  <c r="AV82" i="46"/>
  <c r="BB48" i="9"/>
  <c r="BB23" i="9"/>
  <c r="BB56" i="9"/>
  <c r="BB11" i="9"/>
  <c r="BB34" i="9"/>
  <c r="BB5" i="9"/>
  <c r="BB38" i="9"/>
  <c r="BB131" i="9"/>
  <c r="BB63" i="9"/>
  <c r="O78" i="83"/>
  <c r="AM78" i="83"/>
  <c r="AS65" i="83"/>
  <c r="R65" i="83"/>
  <c r="Y86" i="83"/>
  <c r="J86" i="83"/>
  <c r="AV78" i="83"/>
  <c r="AD86" i="83"/>
  <c r="AT71" i="83"/>
  <c r="AG86" i="83"/>
  <c r="T86" i="83"/>
  <c r="E71" i="83"/>
  <c r="AL71" i="83"/>
  <c r="M65" i="83"/>
  <c r="AE71" i="83"/>
  <c r="R78" i="83"/>
  <c r="AS86" i="83"/>
  <c r="N86" i="83"/>
  <c r="AS78" i="83"/>
  <c r="AR78" i="83"/>
  <c r="AN71" i="83"/>
  <c r="AR71" i="83"/>
  <c r="AI71" i="83"/>
  <c r="AI65" i="83"/>
  <c r="AB86" i="83"/>
  <c r="AV65" i="83"/>
  <c r="AL86" i="83"/>
  <c r="W65" i="83"/>
  <c r="D65" i="83"/>
  <c r="AO78" i="83"/>
  <c r="AV71" i="83"/>
  <c r="U65" i="83"/>
  <c r="F65" i="83"/>
  <c r="AR86" i="83"/>
  <c r="AH71" i="83"/>
  <c r="AT78" i="83"/>
  <c r="U86" i="83"/>
  <c r="AV86" i="83"/>
  <c r="AQ71" i="83"/>
  <c r="Y65" i="83"/>
  <c r="K65" i="83"/>
  <c r="I65" i="83"/>
  <c r="AD71" i="83"/>
  <c r="U78" i="83"/>
  <c r="X78" i="83"/>
  <c r="AQ86" i="83"/>
  <c r="T71" i="83"/>
  <c r="H78" i="83"/>
  <c r="AM71" i="83"/>
  <c r="AQ65" i="83"/>
  <c r="AH78" i="83"/>
  <c r="X65" i="83"/>
  <c r="I86" i="83"/>
  <c r="AG65" i="83"/>
  <c r="I78" i="83"/>
  <c r="N78" i="83"/>
  <c r="AD65" i="83"/>
  <c r="T78" i="83"/>
  <c r="AD78" i="83"/>
  <c r="AS71" i="83"/>
  <c r="M78" i="83"/>
  <c r="O86" i="83"/>
  <c r="AL78" i="83"/>
  <c r="AC65" i="83"/>
  <c r="J65" i="83"/>
  <c r="Z65" i="83"/>
  <c r="AI86" i="83"/>
  <c r="X86" i="83"/>
  <c r="C65" i="83"/>
  <c r="AL65" i="83"/>
  <c r="AJ65" i="83"/>
  <c r="AC78" i="83"/>
  <c r="AT86" i="83"/>
  <c r="S71" i="83"/>
  <c r="W78" i="83"/>
  <c r="AJ78" i="83"/>
  <c r="AM65" i="83"/>
  <c r="H65" i="83"/>
  <c r="O65" i="83"/>
  <c r="F71" i="83"/>
  <c r="P86" i="83"/>
  <c r="W71" i="83"/>
  <c r="Y78" i="83"/>
  <c r="AE86" i="83"/>
  <c r="AC86" i="83"/>
  <c r="AH86" i="83"/>
  <c r="T65" i="83"/>
  <c r="P65" i="83"/>
  <c r="R86" i="83"/>
  <c r="AM86" i="83"/>
  <c r="AB65" i="83"/>
  <c r="AC71" i="83"/>
  <c r="R71" i="83"/>
  <c r="AG71" i="83"/>
  <c r="K78" i="83"/>
  <c r="P78" i="83"/>
  <c r="AN86" i="83"/>
  <c r="E78" i="83"/>
  <c r="C71" i="83"/>
  <c r="AB78" i="83"/>
  <c r="Z78" i="83"/>
  <c r="M86" i="83"/>
  <c r="W86" i="83"/>
  <c r="S86" i="83"/>
  <c r="D86" i="83"/>
  <c r="AN65" i="83"/>
  <c r="AN78" i="83"/>
  <c r="AE65" i="83"/>
  <c r="C78" i="83"/>
  <c r="F86" i="83"/>
  <c r="Y71" i="83"/>
  <c r="S65" i="83"/>
  <c r="AJ86" i="83"/>
  <c r="S78" i="83"/>
  <c r="AT65" i="83"/>
  <c r="E86" i="83"/>
  <c r="AE78" i="83"/>
  <c r="AQ78" i="83"/>
  <c r="D78" i="83"/>
  <c r="U71" i="83"/>
  <c r="AJ71" i="83"/>
  <c r="AR65" i="83"/>
  <c r="N65" i="83"/>
  <c r="AO86" i="83"/>
  <c r="Z86" i="83"/>
  <c r="AO71" i="83"/>
  <c r="Z71" i="83"/>
  <c r="AH65" i="83"/>
  <c r="AB71" i="83"/>
  <c r="AI78" i="83"/>
  <c r="K86" i="83"/>
  <c r="H86" i="83"/>
  <c r="AG78" i="83"/>
  <c r="C86" i="83"/>
  <c r="X71" i="83"/>
  <c r="F78" i="83"/>
  <c r="E65" i="83"/>
  <c r="D71" i="83"/>
  <c r="AO65" i="83"/>
  <c r="J78" i="83"/>
  <c r="AV67" i="83" l="1"/>
  <c r="AV74" i="83"/>
  <c r="AV12" i="83"/>
  <c r="AV16" i="83"/>
  <c r="AV24" i="83"/>
  <c r="AV66" i="83"/>
  <c r="AU78" i="83"/>
  <c r="AS74" i="83"/>
  <c r="AT66" i="83"/>
  <c r="AT67" i="83"/>
  <c r="AT16" i="83"/>
  <c r="AT74" i="83"/>
  <c r="AT12" i="83"/>
  <c r="AT24" i="83"/>
  <c r="AR66" i="83"/>
  <c r="AR67" i="83"/>
  <c r="AR74" i="83"/>
  <c r="AR12" i="83"/>
  <c r="AR24" i="83"/>
  <c r="AR16" i="83"/>
  <c r="AO16" i="83"/>
  <c r="AO74" i="83"/>
  <c r="AO12" i="83"/>
  <c r="AO24" i="83"/>
  <c r="AO66" i="83"/>
  <c r="AO67" i="83"/>
  <c r="AN24" i="83"/>
  <c r="AN16" i="83"/>
  <c r="AN74" i="83"/>
  <c r="AN12" i="83"/>
  <c r="AN66" i="83"/>
  <c r="AN67" i="83"/>
  <c r="AM67" i="83"/>
  <c r="AM66" i="83"/>
  <c r="AM74" i="83"/>
  <c r="AM12" i="83"/>
  <c r="AM16" i="83"/>
  <c r="AM24" i="83"/>
  <c r="J16" i="83"/>
  <c r="S16" i="83"/>
  <c r="F16" i="83"/>
  <c r="X16" i="83"/>
  <c r="V78" i="83"/>
  <c r="R16" i="83"/>
  <c r="AJ24" i="83"/>
  <c r="I24" i="83"/>
  <c r="S74" i="83"/>
  <c r="S12" i="83"/>
  <c r="K24" i="83"/>
  <c r="T74" i="83"/>
  <c r="T12" i="83"/>
  <c r="AI74" i="83"/>
  <c r="AI12" i="83"/>
  <c r="P24" i="83"/>
  <c r="AC74" i="83"/>
  <c r="AC12" i="83"/>
  <c r="D16" i="83"/>
  <c r="AI24" i="83"/>
  <c r="F24" i="83"/>
  <c r="E16" i="83"/>
  <c r="V71" i="83"/>
  <c r="R74" i="83"/>
  <c r="R12" i="83"/>
  <c r="C24" i="83"/>
  <c r="G86" i="83"/>
  <c r="E67" i="83"/>
  <c r="AK78" i="83"/>
  <c r="AG16" i="83"/>
  <c r="T24" i="83"/>
  <c r="AL24" i="83"/>
  <c r="AP86" i="83"/>
  <c r="AH24" i="83"/>
  <c r="V86" i="83"/>
  <c r="R24" i="83"/>
  <c r="O24" i="83"/>
  <c r="L78" i="83"/>
  <c r="H16" i="83"/>
  <c r="AC16" i="83"/>
  <c r="AH16" i="83"/>
  <c r="F67" i="83"/>
  <c r="AD24" i="83"/>
  <c r="AK86" i="83"/>
  <c r="AG24" i="83"/>
  <c r="AD66" i="83"/>
  <c r="AD67" i="83"/>
  <c r="G71" i="83"/>
  <c r="C74" i="83"/>
  <c r="C12" i="83"/>
  <c r="Y24" i="83"/>
  <c r="Z74" i="83"/>
  <c r="Z12" i="83"/>
  <c r="Q86" i="83"/>
  <c r="M24" i="83"/>
  <c r="AF86" i="83"/>
  <c r="AB24" i="83"/>
  <c r="X24" i="83"/>
  <c r="Z24" i="83"/>
  <c r="P16" i="83"/>
  <c r="AJ66" i="83"/>
  <c r="AJ67" i="83"/>
  <c r="AA71" i="83"/>
  <c r="W74" i="83"/>
  <c r="W12" i="83"/>
  <c r="AA86" i="83"/>
  <c r="W24" i="83"/>
  <c r="N24" i="83"/>
  <c r="AJ74" i="83"/>
  <c r="AJ12" i="83"/>
  <c r="T16" i="83"/>
  <c r="Z66" i="83"/>
  <c r="Z67" i="83"/>
  <c r="AC24" i="83"/>
  <c r="AD74" i="83"/>
  <c r="AD12" i="83"/>
  <c r="L86" i="83"/>
  <c r="H24" i="83"/>
  <c r="U66" i="83"/>
  <c r="U67" i="83"/>
  <c r="F74" i="83"/>
  <c r="F12" i="83"/>
  <c r="AC67" i="83"/>
  <c r="AC66" i="83"/>
  <c r="AL66" i="83"/>
  <c r="AP65" i="83"/>
  <c r="AL67" i="83"/>
  <c r="H66" i="83"/>
  <c r="L65" i="83"/>
  <c r="H67" i="83"/>
  <c r="AF78" i="83"/>
  <c r="AB16" i="83"/>
  <c r="G78" i="83"/>
  <c r="C16" i="83"/>
  <c r="AG66" i="83"/>
  <c r="AG67" i="83"/>
  <c r="AK65" i="83"/>
  <c r="C67" i="83"/>
  <c r="G65" i="83"/>
  <c r="AP78" i="83"/>
  <c r="AL16" i="83"/>
  <c r="U24" i="83"/>
  <c r="T66" i="83"/>
  <c r="T67" i="83"/>
  <c r="AB67" i="83"/>
  <c r="AB66" i="83"/>
  <c r="AF65" i="83"/>
  <c r="Z16" i="83"/>
  <c r="U74" i="83"/>
  <c r="U12" i="83"/>
  <c r="AL74" i="83"/>
  <c r="AP71" i="83"/>
  <c r="AL12" i="83"/>
  <c r="X74" i="83"/>
  <c r="X12" i="83"/>
  <c r="N16" i="83"/>
  <c r="M16" i="83"/>
  <c r="Q78" i="83"/>
  <c r="N67" i="83"/>
  <c r="N68" i="83" s="1"/>
  <c r="N66" i="83"/>
  <c r="K16" i="83"/>
  <c r="X67" i="83"/>
  <c r="X66" i="83"/>
  <c r="AE16" i="83"/>
  <c r="J66" i="83"/>
  <c r="J67" i="83"/>
  <c r="D67" i="83"/>
  <c r="D68" i="83" s="1"/>
  <c r="V65" i="83"/>
  <c r="R66" i="83"/>
  <c r="R67" i="83"/>
  <c r="O16" i="83"/>
  <c r="U16" i="83"/>
  <c r="AI66" i="83"/>
  <c r="AI67" i="83"/>
  <c r="P67" i="83"/>
  <c r="P66" i="83"/>
  <c r="AD16" i="83"/>
  <c r="J24" i="83"/>
  <c r="AG74" i="83"/>
  <c r="AK71" i="83"/>
  <c r="AG12" i="83"/>
  <c r="S67" i="83"/>
  <c r="S68" i="83" s="1"/>
  <c r="S66" i="83"/>
  <c r="W16" i="83"/>
  <c r="AA78" i="83"/>
  <c r="D24" i="83"/>
  <c r="AF71" i="83"/>
  <c r="AB74" i="83"/>
  <c r="AB12" i="83"/>
  <c r="M67" i="83"/>
  <c r="M68" i="83" s="1"/>
  <c r="M66" i="83"/>
  <c r="Q65" i="83"/>
  <c r="S24" i="83"/>
  <c r="AE24" i="83"/>
  <c r="AE67" i="83"/>
  <c r="AE66" i="83"/>
  <c r="AH66" i="83"/>
  <c r="AH67" i="83"/>
  <c r="AE74" i="83"/>
  <c r="AE12" i="83"/>
  <c r="AI16" i="83"/>
  <c r="O66" i="83"/>
  <c r="O67" i="83"/>
  <c r="O68" i="83" s="1"/>
  <c r="E24" i="83"/>
  <c r="AH74" i="83"/>
  <c r="AH12" i="83"/>
  <c r="W66" i="83"/>
  <c r="AA65" i="83"/>
  <c r="W67" i="83"/>
  <c r="I66" i="83"/>
  <c r="I67" i="83"/>
  <c r="I16" i="83"/>
  <c r="AJ16" i="83"/>
  <c r="K67" i="83"/>
  <c r="K66" i="83"/>
  <c r="D74" i="83"/>
  <c r="D12" i="83"/>
  <c r="Y16" i="83"/>
  <c r="E74" i="83"/>
  <c r="E12" i="83"/>
  <c r="Y74" i="83"/>
  <c r="Y12" i="83"/>
  <c r="Y66" i="83"/>
  <c r="Y67" i="83"/>
  <c r="Y68" i="83" s="1"/>
  <c r="AQ66" i="83"/>
  <c r="AQ67" i="83"/>
  <c r="AU65" i="83"/>
  <c r="AQ16" i="83"/>
  <c r="AU71" i="83"/>
  <c r="AQ74" i="83"/>
  <c r="AQ12" i="83"/>
  <c r="AU86" i="83"/>
  <c r="AQ24" i="83"/>
  <c r="AS24" i="83"/>
  <c r="AS16" i="83"/>
  <c r="AS66" i="83"/>
  <c r="AS67" i="83"/>
  <c r="AS68" i="83" s="1"/>
  <c r="AS12" i="83"/>
  <c r="BL314" i="73"/>
  <c r="BL316" i="73" s="1"/>
  <c r="BM315" i="73"/>
  <c r="BC56" i="9"/>
  <c r="BC63" i="9"/>
  <c r="BC48" i="9"/>
  <c r="BC38" i="9"/>
  <c r="BC11" i="9"/>
  <c r="BC23" i="9"/>
  <c r="BC5" i="9"/>
  <c r="BC131" i="9"/>
  <c r="BC34" i="9"/>
  <c r="AC4" i="1"/>
  <c r="AU13" i="31"/>
  <c r="AV13" i="32"/>
  <c r="AW6" i="32"/>
  <c r="AV106" i="46"/>
  <c r="AV91" i="46"/>
  <c r="AD68" i="83"/>
  <c r="AL68" i="83"/>
  <c r="AV68" i="83"/>
  <c r="U68" i="83"/>
  <c r="AB68" i="83"/>
  <c r="Z68" i="83"/>
  <c r="AI68" i="83"/>
  <c r="AE68" i="83"/>
  <c r="AT68" i="83"/>
  <c r="I68" i="83"/>
  <c r="AM68" i="83"/>
  <c r="J68" i="83"/>
  <c r="AO68" i="83"/>
  <c r="P68" i="83"/>
  <c r="AH68" i="83"/>
  <c r="W68" i="83"/>
  <c r="T68" i="83"/>
  <c r="AC68" i="83"/>
  <c r="K68" i="83"/>
  <c r="AG68" i="83"/>
  <c r="AJ68" i="83"/>
  <c r="AR68" i="83"/>
  <c r="C68" i="83"/>
  <c r="X68" i="83"/>
  <c r="AN68" i="83"/>
  <c r="F68" i="83"/>
  <c r="H68" i="83"/>
  <c r="R68" i="83"/>
  <c r="AQ68" i="83"/>
  <c r="E68" i="83" l="1"/>
  <c r="AV9" i="83"/>
  <c r="AV69" i="83"/>
  <c r="AV6" i="83"/>
  <c r="AV8" i="83" s="1"/>
  <c r="AV70" i="83"/>
  <c r="AT69" i="83"/>
  <c r="AK24" i="83"/>
  <c r="AA24" i="83"/>
  <c r="Q24" i="83"/>
  <c r="S69" i="83"/>
  <c r="S9" i="83"/>
  <c r="AJ69" i="83"/>
  <c r="AJ9" i="83"/>
  <c r="AO69" i="83"/>
  <c r="AO9" i="83"/>
  <c r="AQ9" i="83"/>
  <c r="AQ69" i="83"/>
  <c r="AU68" i="83"/>
  <c r="W9" i="83"/>
  <c r="W69" i="83"/>
  <c r="AA68" i="83"/>
  <c r="AR9" i="83"/>
  <c r="AR69" i="83"/>
  <c r="M69" i="83"/>
  <c r="M9" i="83"/>
  <c r="Q68" i="83"/>
  <c r="AH9" i="83"/>
  <c r="AH69" i="83"/>
  <c r="C9" i="83"/>
  <c r="C69" i="83"/>
  <c r="H69" i="83"/>
  <c r="H9" i="83"/>
  <c r="L68" i="83"/>
  <c r="AM69" i="83"/>
  <c r="AM9" i="83"/>
  <c r="Y69" i="83"/>
  <c r="Y9" i="83"/>
  <c r="AF68" i="83"/>
  <c r="AB69" i="83"/>
  <c r="AB9" i="83"/>
  <c r="U9" i="83"/>
  <c r="U69" i="83"/>
  <c r="AN69" i="83"/>
  <c r="AN9" i="83"/>
  <c r="K69" i="83"/>
  <c r="K9" i="83"/>
  <c r="R69" i="83"/>
  <c r="R9" i="83"/>
  <c r="V68" i="83"/>
  <c r="X69" i="83"/>
  <c r="X9" i="83"/>
  <c r="AG9" i="83"/>
  <c r="AG69" i="83"/>
  <c r="AK68" i="83"/>
  <c r="AD69" i="83"/>
  <c r="AD9" i="83"/>
  <c r="T69" i="83"/>
  <c r="T9" i="83"/>
  <c r="AE69" i="83"/>
  <c r="AE9" i="83"/>
  <c r="AL9" i="83"/>
  <c r="AL69" i="83"/>
  <c r="AP68" i="83"/>
  <c r="P9" i="83"/>
  <c r="P69" i="83"/>
  <c r="O69" i="83"/>
  <c r="O9" i="83"/>
  <c r="D69" i="83"/>
  <c r="D9" i="83"/>
  <c r="AS69" i="83"/>
  <c r="AS9" i="83"/>
  <c r="I69" i="83"/>
  <c r="I9" i="83"/>
  <c r="AI69" i="83"/>
  <c r="AI9" i="83"/>
  <c r="N69" i="83"/>
  <c r="N9" i="83"/>
  <c r="AT9" i="83"/>
  <c r="J69" i="83"/>
  <c r="J9" i="83"/>
  <c r="AC69" i="83"/>
  <c r="AC9" i="83"/>
  <c r="Z69" i="83"/>
  <c r="Z9" i="83"/>
  <c r="F69" i="83"/>
  <c r="F9" i="83"/>
  <c r="Q66" i="83"/>
  <c r="S70" i="83"/>
  <c r="S75" i="83" s="1"/>
  <c r="S6" i="83"/>
  <c r="S8" i="83" s="1"/>
  <c r="AJ70" i="83"/>
  <c r="AJ75" i="83" s="1"/>
  <c r="AJ6" i="83"/>
  <c r="AJ8" i="83" s="1"/>
  <c r="T125" i="83"/>
  <c r="AO70" i="83"/>
  <c r="AO75" i="83" s="1"/>
  <c r="AO6" i="83"/>
  <c r="AO8" i="83" s="1"/>
  <c r="AW82" i="46"/>
  <c r="AV113" i="46"/>
  <c r="AV92" i="46"/>
  <c r="AQ70" i="83"/>
  <c r="AQ75" i="83" s="1"/>
  <c r="AQ6" i="83"/>
  <c r="AU67" i="83"/>
  <c r="D125" i="83"/>
  <c r="AA67" i="83"/>
  <c r="W70" i="83"/>
  <c r="W75" i="83" s="1"/>
  <c r="W6" i="83"/>
  <c r="AE125" i="83"/>
  <c r="AF125" i="83" s="1"/>
  <c r="AK12" i="83"/>
  <c r="AG125" i="83"/>
  <c r="Q16" i="83"/>
  <c r="F125" i="83"/>
  <c r="G125" i="83" s="1"/>
  <c r="AP24" i="83"/>
  <c r="AR6" i="83"/>
  <c r="AR8" i="83" s="1"/>
  <c r="AR70" i="83"/>
  <c r="AR75" i="83" s="1"/>
  <c r="AU66" i="83"/>
  <c r="M6" i="83"/>
  <c r="M70" i="83"/>
  <c r="Q67" i="83"/>
  <c r="AF66" i="83"/>
  <c r="C125" i="83"/>
  <c r="G12" i="83"/>
  <c r="BD56" i="9"/>
  <c r="BD34" i="9"/>
  <c r="BD5" i="9"/>
  <c r="BD38" i="9"/>
  <c r="BD11" i="9"/>
  <c r="BD63" i="9"/>
  <c r="BD48" i="9"/>
  <c r="BD23" i="9"/>
  <c r="BD131" i="9"/>
  <c r="AA66" i="83"/>
  <c r="AH70" i="83"/>
  <c r="AH75" i="83" s="1"/>
  <c r="AH6" i="83"/>
  <c r="AH8" i="83" s="1"/>
  <c r="AF12" i="83"/>
  <c r="AB125" i="83"/>
  <c r="AK74" i="83"/>
  <c r="C70" i="83"/>
  <c r="C75" i="83" s="1"/>
  <c r="G67" i="83"/>
  <c r="C6" i="83"/>
  <c r="H6" i="83"/>
  <c r="H70" i="83"/>
  <c r="G74" i="83"/>
  <c r="AK16" i="83"/>
  <c r="S125" i="83"/>
  <c r="AM70" i="83"/>
  <c r="AM75" i="83" s="1"/>
  <c r="AM6" i="83"/>
  <c r="AM8" i="83" s="1"/>
  <c r="BN315" i="73"/>
  <c r="BM314" i="73"/>
  <c r="BM316" i="73" s="1"/>
  <c r="AU24" i="83"/>
  <c r="Y70" i="83"/>
  <c r="Y75" i="83" s="1"/>
  <c r="Y6" i="83"/>
  <c r="Y8" i="83" s="1"/>
  <c r="AF74" i="83"/>
  <c r="AB70" i="83"/>
  <c r="AB75" i="83" s="1"/>
  <c r="AF67" i="83"/>
  <c r="AB6" i="83"/>
  <c r="AK66" i="83"/>
  <c r="L66" i="83"/>
  <c r="L67" i="83"/>
  <c r="U70" i="83"/>
  <c r="U75" i="83" s="1"/>
  <c r="U6" i="83"/>
  <c r="U8" i="83" s="1"/>
  <c r="AJ125" i="83"/>
  <c r="AK125" i="83" s="1"/>
  <c r="AN6" i="83"/>
  <c r="AN8" i="83" s="1"/>
  <c r="AN70" i="83"/>
  <c r="AN75" i="83" s="1"/>
  <c r="AO125" i="83"/>
  <c r="AP125" i="83" s="1"/>
  <c r="AW24" i="32"/>
  <c r="AW30" i="32" s="1"/>
  <c r="AW12" i="32"/>
  <c r="K70" i="83"/>
  <c r="K6" i="83"/>
  <c r="K8" i="83" s="1"/>
  <c r="AH125" i="83"/>
  <c r="V67" i="83"/>
  <c r="R70" i="83"/>
  <c r="R6" i="83"/>
  <c r="X70" i="83"/>
  <c r="X75" i="83" s="1"/>
  <c r="X6" i="83"/>
  <c r="X8" i="83" s="1"/>
  <c r="X125" i="83"/>
  <c r="AK67" i="83"/>
  <c r="AG70" i="83"/>
  <c r="AG75" i="83" s="1"/>
  <c r="AG6" i="83"/>
  <c r="AD70" i="83"/>
  <c r="AD6" i="83"/>
  <c r="AD8" i="83" s="1"/>
  <c r="L16" i="83"/>
  <c r="AT125" i="83"/>
  <c r="AU125" i="83" s="1"/>
  <c r="AU12" i="83"/>
  <c r="AQ125" i="83"/>
  <c r="T6" i="83"/>
  <c r="T8" i="83" s="1"/>
  <c r="T70" i="83"/>
  <c r="T75" i="83" s="1"/>
  <c r="L24" i="83"/>
  <c r="E6" i="83"/>
  <c r="E8" i="83" s="1"/>
  <c r="AU74" i="83"/>
  <c r="Y125" i="83"/>
  <c r="AE70" i="83"/>
  <c r="AE75" i="83" s="1"/>
  <c r="AE6" i="83"/>
  <c r="AE8" i="83" s="1"/>
  <c r="AP12" i="83"/>
  <c r="AL125" i="83"/>
  <c r="AL70" i="83"/>
  <c r="AL75" i="83" s="1"/>
  <c r="AP67" i="83"/>
  <c r="AL6" i="83"/>
  <c r="AF24" i="83"/>
  <c r="AC125" i="83"/>
  <c r="V16" i="83"/>
  <c r="AN125" i="83"/>
  <c r="AS125" i="83"/>
  <c r="P70" i="83"/>
  <c r="P6" i="83"/>
  <c r="P8" i="83" s="1"/>
  <c r="V66" i="83"/>
  <c r="G16" i="83"/>
  <c r="AP66" i="83"/>
  <c r="AD125" i="83"/>
  <c r="AU16" i="83"/>
  <c r="E125" i="83"/>
  <c r="O70" i="83"/>
  <c r="O6" i="83"/>
  <c r="O8" i="83" s="1"/>
  <c r="AA16" i="83"/>
  <c r="D70" i="83"/>
  <c r="D75" i="83" s="1"/>
  <c r="D6" i="83"/>
  <c r="D8" i="83" s="1"/>
  <c r="AP74" i="83"/>
  <c r="AA12" i="83"/>
  <c r="W125" i="83"/>
  <c r="V24" i="83"/>
  <c r="G24" i="83"/>
  <c r="AS6" i="83"/>
  <c r="AS8" i="83" s="1"/>
  <c r="AS70" i="83"/>
  <c r="I70" i="83"/>
  <c r="I6" i="83"/>
  <c r="I8" i="83" s="1"/>
  <c r="AI70" i="83"/>
  <c r="AI75" i="83" s="1"/>
  <c r="AI6" i="83"/>
  <c r="AI8" i="83" s="1"/>
  <c r="N70" i="83"/>
  <c r="N6" i="83"/>
  <c r="N8" i="83" s="1"/>
  <c r="U125" i="83"/>
  <c r="V125" i="83" s="1"/>
  <c r="AP16" i="83"/>
  <c r="AA74" i="83"/>
  <c r="V12" i="83"/>
  <c r="R125" i="83"/>
  <c r="AI125" i="83"/>
  <c r="AT70" i="83"/>
  <c r="AT6" i="83"/>
  <c r="AT8" i="83" s="1"/>
  <c r="J6" i="83"/>
  <c r="J8" i="83" s="1"/>
  <c r="J70" i="83"/>
  <c r="AF16" i="83"/>
  <c r="AC70" i="83"/>
  <c r="AC6" i="83"/>
  <c r="AC8" i="83" s="1"/>
  <c r="Z70" i="83"/>
  <c r="Z75" i="83" s="1"/>
  <c r="Z6" i="83"/>
  <c r="Z8" i="83" s="1"/>
  <c r="Z125" i="83"/>
  <c r="AA125" i="83" s="1"/>
  <c r="F70" i="83"/>
  <c r="F6" i="83"/>
  <c r="F8" i="83" s="1"/>
  <c r="V74" i="83"/>
  <c r="AM125" i="83"/>
  <c r="AR125" i="83"/>
  <c r="G68" i="83" l="1"/>
  <c r="E69" i="83"/>
  <c r="E9" i="83"/>
  <c r="E70" i="83"/>
  <c r="E75" i="83" s="1"/>
  <c r="AV76" i="83"/>
  <c r="AV73" i="83"/>
  <c r="AV79" i="83"/>
  <c r="AV11" i="83"/>
  <c r="AV119" i="83"/>
  <c r="AV75" i="83"/>
  <c r="AV10" i="83"/>
  <c r="AT75" i="83"/>
  <c r="AM10" i="83"/>
  <c r="AE10" i="83"/>
  <c r="AF69" i="83"/>
  <c r="AH10" i="83"/>
  <c r="Q69" i="83"/>
  <c r="AJ10" i="83"/>
  <c r="K10" i="83"/>
  <c r="AT10" i="83"/>
  <c r="AD10" i="83"/>
  <c r="AN10" i="83"/>
  <c r="AA69" i="83"/>
  <c r="N10" i="83"/>
  <c r="AC11" i="83"/>
  <c r="AC119" i="83"/>
  <c r="AS11" i="83"/>
  <c r="AS119" i="83"/>
  <c r="E119" i="83"/>
  <c r="E11" i="83"/>
  <c r="AD11" i="83"/>
  <c r="AD119" i="83"/>
  <c r="AT76" i="83"/>
  <c r="AT73" i="83"/>
  <c r="AT79" i="83"/>
  <c r="AD76" i="83"/>
  <c r="AD73" i="83"/>
  <c r="AD79" i="83"/>
  <c r="AN73" i="83"/>
  <c r="AN76" i="83"/>
  <c r="AN79" i="83"/>
  <c r="P10" i="83"/>
  <c r="AK69" i="83"/>
  <c r="AA9" i="83"/>
  <c r="O119" i="83"/>
  <c r="O11" i="83"/>
  <c r="AR11" i="83"/>
  <c r="AR119" i="83"/>
  <c r="BE48" i="9"/>
  <c r="BE63" i="9"/>
  <c r="BE34" i="9"/>
  <c r="BE38" i="9"/>
  <c r="BE5" i="9"/>
  <c r="BE23" i="9"/>
  <c r="BE131" i="9"/>
  <c r="BE11" i="9"/>
  <c r="BE56" i="9"/>
  <c r="AN11" i="83"/>
  <c r="AN119" i="83"/>
  <c r="AF6" i="83"/>
  <c r="AB8" i="83"/>
  <c r="AB10" i="83" s="1"/>
  <c r="F10" i="83"/>
  <c r="AI10" i="83"/>
  <c r="AP69" i="83"/>
  <c r="U10" i="83"/>
  <c r="AU69" i="83"/>
  <c r="AS73" i="83"/>
  <c r="AS76" i="83"/>
  <c r="AS79" i="83"/>
  <c r="R73" i="83"/>
  <c r="V70" i="83"/>
  <c r="R76" i="83"/>
  <c r="R79" i="83"/>
  <c r="AE11" i="83"/>
  <c r="AE119" i="83"/>
  <c r="AF119" i="83" s="1"/>
  <c r="AG8" i="83"/>
  <c r="AK6" i="83"/>
  <c r="AM11" i="83"/>
  <c r="AM119" i="83"/>
  <c r="H73" i="83"/>
  <c r="H75" i="83"/>
  <c r="L70" i="83"/>
  <c r="H76" i="83"/>
  <c r="H79" i="83"/>
  <c r="AH11" i="83"/>
  <c r="AH119" i="83"/>
  <c r="Q70" i="83"/>
  <c r="M75" i="83"/>
  <c r="M73" i="83"/>
  <c r="M76" i="83"/>
  <c r="M79" i="83"/>
  <c r="AA6" i="83"/>
  <c r="W8" i="83"/>
  <c r="AJ11" i="83"/>
  <c r="AJ119" i="83"/>
  <c r="AK119" i="83" s="1"/>
  <c r="AK9" i="83"/>
  <c r="AF9" i="83"/>
  <c r="L9" i="83"/>
  <c r="AC73" i="83"/>
  <c r="AC76" i="83"/>
  <c r="AC79" i="83"/>
  <c r="R75" i="83"/>
  <c r="N11" i="83"/>
  <c r="N119" i="83"/>
  <c r="AD75" i="83"/>
  <c r="P11" i="83"/>
  <c r="P119" i="83"/>
  <c r="Q119" i="83" s="1"/>
  <c r="AE76" i="83"/>
  <c r="AE73" i="83"/>
  <c r="AE79" i="83"/>
  <c r="T73" i="83"/>
  <c r="T76" i="83"/>
  <c r="T79" i="83"/>
  <c r="AG73" i="83"/>
  <c r="AK70" i="83"/>
  <c r="AK75" i="83" s="1"/>
  <c r="AG76" i="83"/>
  <c r="AG79" i="83"/>
  <c r="K11" i="83"/>
  <c r="K119" i="83"/>
  <c r="L119" i="83" s="1"/>
  <c r="AF70" i="83"/>
  <c r="AF75" i="83" s="1"/>
  <c r="AB73" i="83"/>
  <c r="AB76" i="83"/>
  <c r="AB79" i="83"/>
  <c r="AM73" i="83"/>
  <c r="AM76" i="83"/>
  <c r="AM79" i="83"/>
  <c r="L6" i="83"/>
  <c r="H8" i="83"/>
  <c r="H10" i="83" s="1"/>
  <c r="AH73" i="83"/>
  <c r="AH76" i="83"/>
  <c r="AH79" i="83"/>
  <c r="M8" i="83"/>
  <c r="M10" i="83" s="1"/>
  <c r="Q6" i="83"/>
  <c r="W73" i="83"/>
  <c r="AA70" i="83"/>
  <c r="AA75" i="83" s="1"/>
  <c r="W76" i="83"/>
  <c r="W79" i="83"/>
  <c r="AJ73" i="83"/>
  <c r="AJ76" i="83"/>
  <c r="AJ79" i="83"/>
  <c r="Z10" i="83"/>
  <c r="I10" i="83"/>
  <c r="AP9" i="83"/>
  <c r="X10" i="83"/>
  <c r="AU9" i="83"/>
  <c r="AT11" i="83"/>
  <c r="AT119" i="83"/>
  <c r="AU119" i="83" s="1"/>
  <c r="O73" i="83"/>
  <c r="O75" i="83"/>
  <c r="O76" i="83"/>
  <c r="O79" i="83"/>
  <c r="F11" i="83"/>
  <c r="F119" i="83"/>
  <c r="G119" i="83" s="1"/>
  <c r="J75" i="83"/>
  <c r="J73" i="83"/>
  <c r="J76" i="83"/>
  <c r="J79" i="83"/>
  <c r="N73" i="83"/>
  <c r="N76" i="83"/>
  <c r="N75" i="83"/>
  <c r="N79" i="83"/>
  <c r="AS75" i="83"/>
  <c r="P75" i="83"/>
  <c r="P73" i="83"/>
  <c r="P76" i="83"/>
  <c r="P79" i="83"/>
  <c r="T11" i="83"/>
  <c r="T119" i="83"/>
  <c r="K75" i="83"/>
  <c r="K73" i="83"/>
  <c r="K76" i="83"/>
  <c r="K79" i="83"/>
  <c r="C8" i="83"/>
  <c r="C10" i="83" s="1"/>
  <c r="G6" i="83"/>
  <c r="AO10" i="83"/>
  <c r="J119" i="83"/>
  <c r="J11" i="83"/>
  <c r="AI11" i="83"/>
  <c r="AI119" i="83"/>
  <c r="BN314" i="73"/>
  <c r="BN316" i="73" s="1"/>
  <c r="BO315" i="73"/>
  <c r="AC10" i="83"/>
  <c r="AS10" i="83"/>
  <c r="V69" i="83"/>
  <c r="Y10" i="83"/>
  <c r="U11" i="83"/>
  <c r="U119" i="83"/>
  <c r="V119" i="83" s="1"/>
  <c r="Y11" i="83"/>
  <c r="Y119" i="83"/>
  <c r="C76" i="83"/>
  <c r="C73" i="83"/>
  <c r="C79" i="83"/>
  <c r="AW106" i="46"/>
  <c r="AW91" i="46"/>
  <c r="V9" i="83"/>
  <c r="Q9" i="83"/>
  <c r="D119" i="83"/>
  <c r="D11" i="83"/>
  <c r="AC75" i="83"/>
  <c r="I119" i="83"/>
  <c r="I11" i="83"/>
  <c r="D73" i="83"/>
  <c r="D76" i="83"/>
  <c r="D79" i="83"/>
  <c r="AL8" i="83"/>
  <c r="AL10" i="83" s="1"/>
  <c r="AP6" i="83"/>
  <c r="X11" i="83"/>
  <c r="X119" i="83"/>
  <c r="AV13" i="31"/>
  <c r="AX6" i="32"/>
  <c r="AW13" i="32"/>
  <c r="U73" i="83"/>
  <c r="U76" i="83"/>
  <c r="U79" i="83"/>
  <c r="Y73" i="83"/>
  <c r="Y76" i="83"/>
  <c r="Y79" i="83"/>
  <c r="S11" i="83"/>
  <c r="S119" i="83"/>
  <c r="J10" i="83"/>
  <c r="D10" i="83"/>
  <c r="F73" i="83"/>
  <c r="F76" i="83"/>
  <c r="F79" i="83"/>
  <c r="AI76" i="83"/>
  <c r="AI73" i="83"/>
  <c r="AI79" i="83"/>
  <c r="Z11" i="83"/>
  <c r="Z119" i="83"/>
  <c r="AA119" i="83" s="1"/>
  <c r="I75" i="83"/>
  <c r="I73" i="83"/>
  <c r="I76" i="83"/>
  <c r="I79" i="83"/>
  <c r="X73" i="83"/>
  <c r="X76" i="83"/>
  <c r="X79" i="83"/>
  <c r="AU6" i="83"/>
  <c r="AQ8" i="83"/>
  <c r="AQ10" i="83" s="1"/>
  <c r="AO11" i="83"/>
  <c r="AO119" i="83"/>
  <c r="AP119" i="83" s="1"/>
  <c r="S73" i="83"/>
  <c r="S76" i="83"/>
  <c r="S79" i="83"/>
  <c r="T10" i="83"/>
  <c r="S10" i="83"/>
  <c r="Z73" i="83"/>
  <c r="Z76" i="83"/>
  <c r="Z79" i="83"/>
  <c r="AL73" i="83"/>
  <c r="AP70" i="83"/>
  <c r="AL76" i="83"/>
  <c r="AL79" i="83"/>
  <c r="V6" i="83"/>
  <c r="R8" i="83"/>
  <c r="R10" i="83" s="1"/>
  <c r="F75" i="83"/>
  <c r="AR73" i="83"/>
  <c r="AR76" i="83"/>
  <c r="AR79" i="83"/>
  <c r="AQ73" i="83"/>
  <c r="AU70" i="83"/>
  <c r="AU73" i="83" s="1"/>
  <c r="AQ76" i="83"/>
  <c r="AQ79" i="83"/>
  <c r="AO73" i="83"/>
  <c r="AO76" i="83"/>
  <c r="AO79" i="83"/>
  <c r="O10" i="83"/>
  <c r="L69" i="83"/>
  <c r="AR10" i="83"/>
  <c r="E73" i="83" l="1"/>
  <c r="E76" i="83"/>
  <c r="E79" i="83"/>
  <c r="G69" i="83"/>
  <c r="G9" i="83"/>
  <c r="G70" i="83"/>
  <c r="G75" i="83" s="1"/>
  <c r="E10" i="83"/>
  <c r="BG11" i="9"/>
  <c r="BG5" i="9"/>
  <c r="BG34" i="9"/>
  <c r="BG38" i="9"/>
  <c r="BG48" i="9"/>
  <c r="BG56" i="9"/>
  <c r="BG23" i="9"/>
  <c r="BG63" i="9"/>
  <c r="BG131" i="9"/>
  <c r="AV14" i="83"/>
  <c r="AV17" i="83"/>
  <c r="AV13" i="83"/>
  <c r="AV80" i="83"/>
  <c r="AV81" i="83" s="1"/>
  <c r="AV77" i="83"/>
  <c r="AV88" i="83"/>
  <c r="AV83" i="83"/>
  <c r="AV84" i="83" s="1"/>
  <c r="AP75" i="83"/>
  <c r="AU75" i="83"/>
  <c r="P88" i="83"/>
  <c r="P90" i="83" s="1"/>
  <c r="P77" i="83"/>
  <c r="P80" i="83"/>
  <c r="P81" i="83" s="1"/>
  <c r="P83" i="83"/>
  <c r="P84" i="83" s="1"/>
  <c r="Q73" i="83"/>
  <c r="Q75" i="83"/>
  <c r="Q79" i="83"/>
  <c r="AS88" i="83"/>
  <c r="AS77" i="83"/>
  <c r="AS80" i="83"/>
  <c r="AS81" i="83" s="1"/>
  <c r="AS83" i="83"/>
  <c r="AS84" i="83" s="1"/>
  <c r="AN83" i="83"/>
  <c r="AN84" i="83" s="1"/>
  <c r="AN77" i="83"/>
  <c r="AN88" i="83"/>
  <c r="AN90" i="83" s="1"/>
  <c r="AN80" i="83"/>
  <c r="AN81" i="83" s="1"/>
  <c r="AO14" i="83"/>
  <c r="AO17" i="83"/>
  <c r="AO13" i="83"/>
  <c r="AK8" i="83"/>
  <c r="AG11" i="83"/>
  <c r="AG119" i="83"/>
  <c r="AU8" i="83"/>
  <c r="AQ11" i="83"/>
  <c r="AQ119" i="83"/>
  <c r="S14" i="83"/>
  <c r="S13" i="83"/>
  <c r="S17" i="83"/>
  <c r="X14" i="83"/>
  <c r="X13" i="83"/>
  <c r="X17" i="83"/>
  <c r="AF8" i="83"/>
  <c r="AB11" i="83"/>
  <c r="AB119" i="83"/>
  <c r="AT80" i="83"/>
  <c r="AT81" i="83" s="1"/>
  <c r="AT83" i="83"/>
  <c r="AT84" i="83" s="1"/>
  <c r="AT77" i="83"/>
  <c r="AT88" i="83"/>
  <c r="AT90" i="83" s="1"/>
  <c r="AR88" i="83"/>
  <c r="AR90" i="83" s="1"/>
  <c r="AR77" i="83"/>
  <c r="AR83" i="83"/>
  <c r="AR84" i="83" s="1"/>
  <c r="AR80" i="83"/>
  <c r="AR81" i="83" s="1"/>
  <c r="Z14" i="83"/>
  <c r="Z17" i="83"/>
  <c r="Z13" i="83"/>
  <c r="Y14" i="83"/>
  <c r="Y17" i="83"/>
  <c r="Y13" i="83"/>
  <c r="O83" i="83"/>
  <c r="O84" i="83" s="1"/>
  <c r="O88" i="83"/>
  <c r="O90" i="83" s="1"/>
  <c r="O80" i="83"/>
  <c r="O81" i="83" s="1"/>
  <c r="O77" i="83"/>
  <c r="AF73" i="83"/>
  <c r="AF79" i="83"/>
  <c r="AE83" i="83"/>
  <c r="AE84" i="83" s="1"/>
  <c r="AE88" i="83"/>
  <c r="AE90" i="83" s="1"/>
  <c r="AE80" i="83"/>
  <c r="AE81" i="83" s="1"/>
  <c r="AE77" i="83"/>
  <c r="AG10" i="83"/>
  <c r="AH14" i="83"/>
  <c r="AH17" i="83"/>
  <c r="AH13" i="83"/>
  <c r="AE14" i="83"/>
  <c r="AE13" i="83"/>
  <c r="AE17" i="83"/>
  <c r="D14" i="83"/>
  <c r="D17" i="83"/>
  <c r="D13" i="83"/>
  <c r="C77" i="83"/>
  <c r="C80" i="83"/>
  <c r="C83" i="83"/>
  <c r="C88" i="83"/>
  <c r="J14" i="83"/>
  <c r="J13" i="83"/>
  <c r="J17" i="83"/>
  <c r="F14" i="83"/>
  <c r="F13" i="83"/>
  <c r="F17" i="83"/>
  <c r="AB77" i="83"/>
  <c r="AB83" i="83"/>
  <c r="AB80" i="83"/>
  <c r="AF76" i="83"/>
  <c r="AF77" i="83" s="1"/>
  <c r="AB88" i="83"/>
  <c r="C11" i="83"/>
  <c r="G8" i="83"/>
  <c r="C119" i="83"/>
  <c r="AJ77" i="83"/>
  <c r="AJ80" i="83"/>
  <c r="AJ81" i="83" s="1"/>
  <c r="AJ88" i="83"/>
  <c r="AJ83" i="83"/>
  <c r="AJ84" i="83" s="1"/>
  <c r="AC77" i="83"/>
  <c r="AC83" i="83"/>
  <c r="AC84" i="83" s="1"/>
  <c r="AC80" i="83"/>
  <c r="AC81" i="83" s="1"/>
  <c r="AC88" i="83"/>
  <c r="AD80" i="83"/>
  <c r="AD81" i="83" s="1"/>
  <c r="AD77" i="83"/>
  <c r="AD83" i="83"/>
  <c r="AD84" i="83" s="1"/>
  <c r="AD88" i="83"/>
  <c r="AD14" i="83"/>
  <c r="AD13" i="83"/>
  <c r="AD17" i="83"/>
  <c r="AH83" i="83"/>
  <c r="AH84" i="83" s="1"/>
  <c r="AH77" i="83"/>
  <c r="AH88" i="83"/>
  <c r="AH80" i="83"/>
  <c r="AH81" i="83" s="1"/>
  <c r="K14" i="83"/>
  <c r="K13" i="83"/>
  <c r="K17" i="83"/>
  <c r="AJ14" i="83"/>
  <c r="AJ17" i="83"/>
  <c r="AJ13" i="83"/>
  <c r="H80" i="83"/>
  <c r="H77" i="83"/>
  <c r="H83" i="83"/>
  <c r="H88" i="83"/>
  <c r="AN14" i="83"/>
  <c r="AN17" i="83"/>
  <c r="AN13" i="83"/>
  <c r="AR14" i="83"/>
  <c r="AR17" i="83"/>
  <c r="AR13" i="83"/>
  <c r="BF23" i="9"/>
  <c r="BF131" i="9"/>
  <c r="BF34" i="9"/>
  <c r="BF5" i="9"/>
  <c r="BF38" i="9"/>
  <c r="BF48" i="9"/>
  <c r="BF11" i="9"/>
  <c r="BF56" i="9"/>
  <c r="BF63" i="9"/>
  <c r="E14" i="83"/>
  <c r="E17" i="83"/>
  <c r="E13" i="83"/>
  <c r="BO314" i="73"/>
  <c r="BO316" i="73" s="1"/>
  <c r="BP315" i="73"/>
  <c r="K77" i="83"/>
  <c r="K80" i="83"/>
  <c r="K81" i="83" s="1"/>
  <c r="K83" i="83"/>
  <c r="K84" i="83" s="1"/>
  <c r="K88" i="83"/>
  <c r="N77" i="83"/>
  <c r="N80" i="83"/>
  <c r="N81" i="83" s="1"/>
  <c r="N88" i="83"/>
  <c r="N83" i="83"/>
  <c r="N84" i="83" s="1"/>
  <c r="P14" i="83"/>
  <c r="P13" i="83"/>
  <c r="P17" i="83"/>
  <c r="W11" i="83"/>
  <c r="AA8" i="83"/>
  <c r="W119" i="83"/>
  <c r="L73" i="83"/>
  <c r="L75" i="83"/>
  <c r="L76" i="83"/>
  <c r="L77" i="83" s="1"/>
  <c r="L79" i="83"/>
  <c r="O14" i="83"/>
  <c r="O13" i="83"/>
  <c r="O17" i="83"/>
  <c r="AT14" i="83"/>
  <c r="AT13" i="83"/>
  <c r="AT17" i="83"/>
  <c r="AA76" i="83"/>
  <c r="AA77" i="83" s="1"/>
  <c r="W77" i="83"/>
  <c r="W83" i="83"/>
  <c r="W80" i="83"/>
  <c r="W88" i="83"/>
  <c r="L8" i="83"/>
  <c r="H11" i="83"/>
  <c r="H119" i="83"/>
  <c r="AG77" i="83"/>
  <c r="AG80" i="83"/>
  <c r="AG83" i="83"/>
  <c r="AK76" i="83"/>
  <c r="AK77" i="83" s="1"/>
  <c r="AG88" i="83"/>
  <c r="AL11" i="83"/>
  <c r="AP8" i="83"/>
  <c r="AL119" i="83"/>
  <c r="AA73" i="83"/>
  <c r="AA79" i="83"/>
  <c r="AK73" i="83"/>
  <c r="AK79" i="83"/>
  <c r="R77" i="83"/>
  <c r="R83" i="83"/>
  <c r="R88" i="83"/>
  <c r="R90" i="83" s="1"/>
  <c r="R80" i="83"/>
  <c r="V76" i="83"/>
  <c r="V77" i="83" s="1"/>
  <c r="AS14" i="83"/>
  <c r="AS13" i="83"/>
  <c r="AS17" i="83"/>
  <c r="AU79" i="83"/>
  <c r="Z80" i="83"/>
  <c r="Z81" i="83" s="1"/>
  <c r="Z83" i="83"/>
  <c r="Z84" i="83" s="1"/>
  <c r="Z77" i="83"/>
  <c r="Z88" i="83"/>
  <c r="Z90" i="83" s="1"/>
  <c r="U14" i="83"/>
  <c r="U17" i="83"/>
  <c r="U13" i="83"/>
  <c r="X77" i="83"/>
  <c r="X83" i="83"/>
  <c r="X84" i="83" s="1"/>
  <c r="X80" i="83"/>
  <c r="X81" i="83" s="1"/>
  <c r="X88" i="83"/>
  <c r="X90" i="83" s="1"/>
  <c r="V8" i="83"/>
  <c r="R11" i="83"/>
  <c r="R119" i="83"/>
  <c r="AW113" i="46"/>
  <c r="AX82" i="46"/>
  <c r="AW92" i="46"/>
  <c r="F77" i="83"/>
  <c r="F83" i="83"/>
  <c r="F84" i="83" s="1"/>
  <c r="F88" i="83"/>
  <c r="F80" i="83"/>
  <c r="F81" i="83" s="1"/>
  <c r="I14" i="83"/>
  <c r="I13" i="83"/>
  <c r="I17" i="83"/>
  <c r="J77" i="83"/>
  <c r="J80" i="83"/>
  <c r="J81" i="83" s="1"/>
  <c r="J88" i="83"/>
  <c r="J90" i="83" s="1"/>
  <c r="J83" i="83"/>
  <c r="J84" i="83" s="1"/>
  <c r="N14" i="83"/>
  <c r="N13" i="83"/>
  <c r="N17" i="83"/>
  <c r="Q76" i="83"/>
  <c r="Q77" i="83" s="1"/>
  <c r="M88" i="83"/>
  <c r="M90" i="83" s="1"/>
  <c r="M77" i="83"/>
  <c r="M83" i="83"/>
  <c r="M80" i="83"/>
  <c r="V73" i="83"/>
  <c r="V79" i="83"/>
  <c r="W10" i="83"/>
  <c r="AP73" i="83"/>
  <c r="AP79" i="83"/>
  <c r="Y88" i="83"/>
  <c r="Y90" i="83" s="1"/>
  <c r="Y77" i="83"/>
  <c r="Y80" i="83"/>
  <c r="Y81" i="83" s="1"/>
  <c r="Y83" i="83"/>
  <c r="Y84" i="83" s="1"/>
  <c r="AI88" i="83"/>
  <c r="AI90" i="83" s="1"/>
  <c r="AI77" i="83"/>
  <c r="AI80" i="83"/>
  <c r="AI81" i="83" s="1"/>
  <c r="AI83" i="83"/>
  <c r="AI84" i="83" s="1"/>
  <c r="AO77" i="83"/>
  <c r="AO83" i="83"/>
  <c r="AO84" i="83" s="1"/>
  <c r="AO88" i="83"/>
  <c r="AO90" i="83" s="1"/>
  <c r="AO80" i="83"/>
  <c r="AO81" i="83" s="1"/>
  <c r="U77" i="83"/>
  <c r="U83" i="83"/>
  <c r="U84" i="83" s="1"/>
  <c r="U88" i="83"/>
  <c r="U90" i="83" s="1"/>
  <c r="U80" i="83"/>
  <c r="U81" i="83" s="1"/>
  <c r="I88" i="83"/>
  <c r="I90" i="83" s="1"/>
  <c r="I77" i="83"/>
  <c r="I83" i="83"/>
  <c r="I84" i="83" s="1"/>
  <c r="I80" i="83"/>
  <c r="I81" i="83" s="1"/>
  <c r="AM14" i="83"/>
  <c r="AM17" i="83"/>
  <c r="AM13" i="83"/>
  <c r="AC14" i="83"/>
  <c r="AC13" i="83"/>
  <c r="AC17" i="83"/>
  <c r="D83" i="83"/>
  <c r="D84" i="83" s="1"/>
  <c r="D77" i="83"/>
  <c r="D80" i="83"/>
  <c r="D81" i="83" s="1"/>
  <c r="D88" i="83"/>
  <c r="D90" i="83" s="1"/>
  <c r="S77" i="83"/>
  <c r="S88" i="83"/>
  <c r="S90" i="83" s="1"/>
  <c r="S80" i="83"/>
  <c r="S81" i="83" s="1"/>
  <c r="S83" i="83"/>
  <c r="S84" i="83" s="1"/>
  <c r="T14" i="83"/>
  <c r="T17" i="83"/>
  <c r="T13" i="83"/>
  <c r="AM88" i="83"/>
  <c r="AM90" i="83" s="1"/>
  <c r="AM83" i="83"/>
  <c r="AM84" i="83" s="1"/>
  <c r="AM80" i="83"/>
  <c r="AM81" i="83" s="1"/>
  <c r="AM77" i="83"/>
  <c r="AQ88" i="83"/>
  <c r="AQ90" i="83" s="1"/>
  <c r="AQ77" i="83"/>
  <c r="AU76" i="83"/>
  <c r="AU77" i="83" s="1"/>
  <c r="AQ83" i="83"/>
  <c r="AQ80" i="83"/>
  <c r="AL83" i="83"/>
  <c r="AL77" i="83"/>
  <c r="AL80" i="83"/>
  <c r="AP76" i="83"/>
  <c r="AP77" i="83" s="1"/>
  <c r="AL88" i="83"/>
  <c r="AX24" i="32"/>
  <c r="AX30" i="32" s="1"/>
  <c r="AX12" i="32"/>
  <c r="AI14" i="83"/>
  <c r="AI17" i="83"/>
  <c r="AI13" i="83"/>
  <c r="Q8" i="83"/>
  <c r="M119" i="83"/>
  <c r="M11" i="83"/>
  <c r="T77" i="83"/>
  <c r="T80" i="83"/>
  <c r="T81" i="83" s="1"/>
  <c r="T88" i="83"/>
  <c r="T83" i="83"/>
  <c r="T84" i="83" s="1"/>
  <c r="V75" i="83"/>
  <c r="E122" i="83"/>
  <c r="R122" i="83"/>
  <c r="AJ90" i="83"/>
  <c r="C122" i="83"/>
  <c r="AQ122" i="83"/>
  <c r="H122" i="83"/>
  <c r="M122" i="83"/>
  <c r="I122" i="83"/>
  <c r="AS90" i="83"/>
  <c r="AJ122" i="83"/>
  <c r="H90" i="83"/>
  <c r="AH90" i="83"/>
  <c r="AM122" i="83"/>
  <c r="AV122" i="83"/>
  <c r="AT122" i="83"/>
  <c r="W122" i="83"/>
  <c r="N90" i="83"/>
  <c r="F122" i="83"/>
  <c r="N122" i="83"/>
  <c r="AB90" i="83"/>
  <c r="X122" i="83"/>
  <c r="T122" i="83"/>
  <c r="Z122" i="83"/>
  <c r="AS122" i="83"/>
  <c r="AH122" i="83"/>
  <c r="C90" i="83"/>
  <c r="AL90" i="83"/>
  <c r="O122" i="83"/>
  <c r="AR122" i="83"/>
  <c r="P122" i="83"/>
  <c r="K90" i="83"/>
  <c r="D122" i="83"/>
  <c r="K122" i="83"/>
  <c r="AC122" i="83"/>
  <c r="AO122" i="83"/>
  <c r="T90" i="83"/>
  <c r="AI122" i="83"/>
  <c r="AE122" i="83"/>
  <c r="AN122" i="83"/>
  <c r="Y122" i="83"/>
  <c r="AG122" i="83"/>
  <c r="AL122" i="83"/>
  <c r="S122" i="83"/>
  <c r="J122" i="83"/>
  <c r="AD90" i="83"/>
  <c r="AB122" i="83"/>
  <c r="U122" i="83"/>
  <c r="AC90" i="83"/>
  <c r="AD122" i="83"/>
  <c r="F90" i="83"/>
  <c r="W90" i="83"/>
  <c r="AG90" i="83"/>
  <c r="AV90" i="83"/>
  <c r="G79" i="83" l="1"/>
  <c r="G76" i="83"/>
  <c r="G77" i="83" s="1"/>
  <c r="G73" i="83"/>
  <c r="E88" i="83"/>
  <c r="E90" i="83" s="1"/>
  <c r="E80" i="83"/>
  <c r="E81" i="83" s="1"/>
  <c r="E77" i="83"/>
  <c r="E83" i="83"/>
  <c r="E84" i="83" s="1"/>
  <c r="AV132" i="83"/>
  <c r="AV89" i="83"/>
  <c r="AV15" i="83"/>
  <c r="AV18" i="83"/>
  <c r="AV19" i="83" s="1"/>
  <c r="AV26" i="83"/>
  <c r="AV27" i="83" s="1"/>
  <c r="AV21" i="83"/>
  <c r="AU122" i="83"/>
  <c r="AU121" i="83" s="1"/>
  <c r="AS132" i="83"/>
  <c r="AR132" i="83"/>
  <c r="AQ132" i="83"/>
  <c r="AO132" i="83"/>
  <c r="AM132" i="83"/>
  <c r="D132" i="83"/>
  <c r="AI132" i="83"/>
  <c r="T132" i="83"/>
  <c r="AE132" i="83"/>
  <c r="J132" i="83"/>
  <c r="Z132" i="83"/>
  <c r="AD132" i="83"/>
  <c r="AH132" i="83"/>
  <c r="X132" i="83"/>
  <c r="H132" i="83"/>
  <c r="L122" i="83"/>
  <c r="L121" i="83" s="1"/>
  <c r="AB132" i="83"/>
  <c r="AF122" i="83"/>
  <c r="AF121" i="83" s="1"/>
  <c r="K132" i="83"/>
  <c r="P132" i="83"/>
  <c r="M132" i="83"/>
  <c r="Q122" i="83"/>
  <c r="Q121" i="83" s="1"/>
  <c r="Y132" i="83"/>
  <c r="S132" i="83"/>
  <c r="U132" i="83"/>
  <c r="E132" i="83"/>
  <c r="C132" i="83"/>
  <c r="G122" i="83"/>
  <c r="G121" i="83" s="1"/>
  <c r="V122" i="83"/>
  <c r="V121" i="83" s="1"/>
  <c r="R132" i="83"/>
  <c r="W132" i="83"/>
  <c r="AA122" i="83"/>
  <c r="AA121" i="83" s="1"/>
  <c r="N132" i="83"/>
  <c r="F132" i="83"/>
  <c r="AP122" i="83"/>
  <c r="AP121" i="83" s="1"/>
  <c r="AL132" i="83"/>
  <c r="O132" i="83"/>
  <c r="AC132" i="83"/>
  <c r="I132" i="83"/>
  <c r="AK122" i="83"/>
  <c r="AK121" i="83" s="1"/>
  <c r="AG132" i="83"/>
  <c r="AJ132" i="83"/>
  <c r="AN132" i="83"/>
  <c r="AT132" i="83"/>
  <c r="AX13" i="32"/>
  <c r="AW13" i="31"/>
  <c r="AY6" i="32"/>
  <c r="AM26" i="83"/>
  <c r="AM21" i="83"/>
  <c r="AM18" i="83"/>
  <c r="AM19" i="83" s="1"/>
  <c r="AM15" i="83"/>
  <c r="T89" i="83"/>
  <c r="I89" i="83"/>
  <c r="AK80" i="83"/>
  <c r="AK81" i="83" s="1"/>
  <c r="AG81" i="83"/>
  <c r="AJ89" i="83"/>
  <c r="AD15" i="83"/>
  <c r="AD18" i="83"/>
  <c r="AD19" i="83" s="1"/>
  <c r="AD21" i="83"/>
  <c r="AD26" i="83"/>
  <c r="AD89" i="83"/>
  <c r="F26" i="83"/>
  <c r="F15" i="83"/>
  <c r="F18" i="83"/>
  <c r="F19" i="83" s="1"/>
  <c r="F21" i="83"/>
  <c r="D15" i="83"/>
  <c r="D26" i="83"/>
  <c r="D21" i="83"/>
  <c r="D18" i="83"/>
  <c r="D19" i="83" s="1"/>
  <c r="AB14" i="83"/>
  <c r="AF11" i="83"/>
  <c r="AB13" i="83"/>
  <c r="AB17" i="83"/>
  <c r="AQ84" i="83"/>
  <c r="AU83" i="83"/>
  <c r="AU84" i="83" s="1"/>
  <c r="AC21" i="83"/>
  <c r="AC26" i="83"/>
  <c r="AC18" i="83"/>
  <c r="AC19" i="83" s="1"/>
  <c r="AC15" i="83"/>
  <c r="Y89" i="83"/>
  <c r="L11" i="83"/>
  <c r="H14" i="83"/>
  <c r="H13" i="83"/>
  <c r="H17" i="83"/>
  <c r="O26" i="83"/>
  <c r="O15" i="83"/>
  <c r="O18" i="83"/>
  <c r="O19" i="83" s="1"/>
  <c r="O21" i="83"/>
  <c r="AJ26" i="83"/>
  <c r="AJ18" i="83"/>
  <c r="AJ19" i="83" s="1"/>
  <c r="AJ15" i="83"/>
  <c r="AJ21" i="83"/>
  <c r="AS89" i="83"/>
  <c r="AU88" i="83"/>
  <c r="AQ89" i="83"/>
  <c r="AA80" i="83"/>
  <c r="AA81" i="83" s="1"/>
  <c r="W81" i="83"/>
  <c r="AL89" i="83"/>
  <c r="AP88" i="83"/>
  <c r="AP89" i="83" s="1"/>
  <c r="D89" i="83"/>
  <c r="R84" i="83"/>
  <c r="V83" i="83"/>
  <c r="V84" i="83" s="1"/>
  <c r="AH18" i="83"/>
  <c r="AH19" i="83" s="1"/>
  <c r="AH26" i="83"/>
  <c r="AH21" i="83"/>
  <c r="AH15" i="83"/>
  <c r="I15" i="83"/>
  <c r="I21" i="83"/>
  <c r="I18" i="83"/>
  <c r="I19" i="83" s="1"/>
  <c r="I26" i="83"/>
  <c r="AO26" i="83"/>
  <c r="AO15" i="83"/>
  <c r="AO21" i="83"/>
  <c r="AO18" i="83"/>
  <c r="AO19" i="83" s="1"/>
  <c r="Q11" i="83"/>
  <c r="M14" i="83"/>
  <c r="M13" i="83"/>
  <c r="M17" i="83"/>
  <c r="T15" i="83"/>
  <c r="T21" i="83"/>
  <c r="T18" i="83"/>
  <c r="T19" i="83" s="1"/>
  <c r="T26" i="83"/>
  <c r="F89" i="83"/>
  <c r="AE89" i="83"/>
  <c r="AN89" i="83"/>
  <c r="N26" i="83"/>
  <c r="N15" i="83"/>
  <c r="N18" i="83"/>
  <c r="N19" i="83" s="1"/>
  <c r="N21" i="83"/>
  <c r="U18" i="83"/>
  <c r="U19" i="83" s="1"/>
  <c r="U26" i="83"/>
  <c r="U15" i="83"/>
  <c r="U21" i="83"/>
  <c r="E21" i="83"/>
  <c r="E15" i="83"/>
  <c r="E26" i="83"/>
  <c r="E18" i="83"/>
  <c r="E19" i="83" s="1"/>
  <c r="Z15" i="83"/>
  <c r="Z18" i="83"/>
  <c r="Z19" i="83" s="1"/>
  <c r="Z26" i="83"/>
  <c r="Z21" i="83"/>
  <c r="S89" i="83"/>
  <c r="M81" i="83"/>
  <c r="Q80" i="83"/>
  <c r="Q81" i="83" s="1"/>
  <c r="AG89" i="83"/>
  <c r="AK88" i="83"/>
  <c r="AK89" i="83" s="1"/>
  <c r="C84" i="83"/>
  <c r="AT89" i="83"/>
  <c r="M84" i="83"/>
  <c r="Q83" i="83"/>
  <c r="Q84" i="83" s="1"/>
  <c r="X89" i="83"/>
  <c r="AL81" i="83"/>
  <c r="AP80" i="83"/>
  <c r="AP81" i="83" s="1"/>
  <c r="AI89" i="83"/>
  <c r="AG84" i="83"/>
  <c r="AK83" i="83"/>
  <c r="AK84" i="83" s="1"/>
  <c r="P89" i="83"/>
  <c r="M89" i="83"/>
  <c r="Q88" i="83"/>
  <c r="Q89" i="83" s="1"/>
  <c r="AT18" i="83"/>
  <c r="AT19" i="83" s="1"/>
  <c r="AT26" i="83"/>
  <c r="AT15" i="83"/>
  <c r="AT21" i="83"/>
  <c r="BP314" i="73"/>
  <c r="BP316" i="73" s="1"/>
  <c r="BQ315" i="73"/>
  <c r="L80" i="83"/>
  <c r="L81" i="83" s="1"/>
  <c r="H81" i="83"/>
  <c r="AU11" i="83"/>
  <c r="AQ14" i="83"/>
  <c r="AQ13" i="83"/>
  <c r="AQ17" i="83"/>
  <c r="AL84" i="83"/>
  <c r="AP83" i="83"/>
  <c r="AP84" i="83" s="1"/>
  <c r="U89" i="83"/>
  <c r="AS15" i="83"/>
  <c r="AS18" i="83"/>
  <c r="AS19" i="83" s="1"/>
  <c r="AS26" i="83"/>
  <c r="AS21" i="83"/>
  <c r="Y15" i="83"/>
  <c r="Y26" i="83"/>
  <c r="Y18" i="83"/>
  <c r="Y19" i="83" s="1"/>
  <c r="Y21" i="83"/>
  <c r="AQ81" i="83"/>
  <c r="AU80" i="83"/>
  <c r="AU81" i="83" s="1"/>
  <c r="W14" i="83"/>
  <c r="AA11" i="83"/>
  <c r="W17" i="83"/>
  <c r="W13" i="83"/>
  <c r="AO89" i="83"/>
  <c r="AX106" i="46"/>
  <c r="AX91" i="46"/>
  <c r="Z89" i="83"/>
  <c r="AL14" i="83"/>
  <c r="AP11" i="83"/>
  <c r="AL13" i="83"/>
  <c r="AL17" i="83"/>
  <c r="AA88" i="83"/>
  <c r="AA89" i="83" s="1"/>
  <c r="W89" i="83"/>
  <c r="P15" i="83"/>
  <c r="P21" i="83"/>
  <c r="P26" i="83"/>
  <c r="P18" i="83"/>
  <c r="P19" i="83" s="1"/>
  <c r="AR15" i="83"/>
  <c r="AR18" i="83"/>
  <c r="AR19" i="83" s="1"/>
  <c r="AR26" i="83"/>
  <c r="AR21" i="83"/>
  <c r="G11" i="83"/>
  <c r="C14" i="83"/>
  <c r="C13" i="83"/>
  <c r="C17" i="83"/>
  <c r="AK11" i="83"/>
  <c r="AG14" i="83"/>
  <c r="AG17" i="83"/>
  <c r="AG13" i="83"/>
  <c r="K15" i="83"/>
  <c r="K21" i="83"/>
  <c r="K26" i="83"/>
  <c r="K18" i="83"/>
  <c r="K19" i="83" s="1"/>
  <c r="R81" i="83"/>
  <c r="V80" i="83"/>
  <c r="V81" i="83" s="1"/>
  <c r="W84" i="83"/>
  <c r="AA83" i="83"/>
  <c r="AA84" i="83" s="1"/>
  <c r="N89" i="83"/>
  <c r="AC89" i="83"/>
  <c r="AB89" i="83"/>
  <c r="AF88" i="83"/>
  <c r="AF89" i="83" s="1"/>
  <c r="J15" i="83"/>
  <c r="J18" i="83"/>
  <c r="J19" i="83" s="1"/>
  <c r="J26" i="83"/>
  <c r="J21" i="83"/>
  <c r="X26" i="83"/>
  <c r="X15" i="83"/>
  <c r="X21" i="83"/>
  <c r="X18" i="83"/>
  <c r="X19" i="83" s="1"/>
  <c r="AI15" i="83"/>
  <c r="AI18" i="83"/>
  <c r="AI19" i="83" s="1"/>
  <c r="AI26" i="83"/>
  <c r="AI21" i="83"/>
  <c r="J89" i="83"/>
  <c r="V11" i="83"/>
  <c r="R14" i="83"/>
  <c r="R13" i="83"/>
  <c r="R17" i="83"/>
  <c r="V88" i="83"/>
  <c r="V89" i="83" s="1"/>
  <c r="R89" i="83"/>
  <c r="AN15" i="83"/>
  <c r="AN26" i="83"/>
  <c r="AN18" i="83"/>
  <c r="AN19" i="83" s="1"/>
  <c r="AN21" i="83"/>
  <c r="AH89" i="83"/>
  <c r="C89" i="83"/>
  <c r="O89" i="83"/>
  <c r="AR89" i="83"/>
  <c r="AE15" i="83"/>
  <c r="AE26" i="83"/>
  <c r="AE18" i="83"/>
  <c r="AE19" i="83" s="1"/>
  <c r="AE21" i="83"/>
  <c r="H89" i="83"/>
  <c r="L88" i="83"/>
  <c r="L89" i="83" s="1"/>
  <c r="AB81" i="83"/>
  <c r="AF80" i="83"/>
  <c r="AF81" i="83" s="1"/>
  <c r="AM89" i="83"/>
  <c r="K89" i="83"/>
  <c r="L83" i="83"/>
  <c r="L84" i="83" s="1"/>
  <c r="H84" i="83"/>
  <c r="AB84" i="83"/>
  <c r="AF83" i="83"/>
  <c r="AF84" i="83" s="1"/>
  <c r="C81" i="83"/>
  <c r="S26" i="83"/>
  <c r="S18" i="83"/>
  <c r="S19" i="83" s="1"/>
  <c r="S15" i="83"/>
  <c r="S21" i="83"/>
  <c r="C31" i="83"/>
  <c r="M28" i="83"/>
  <c r="D31" i="83"/>
  <c r="K28" i="83"/>
  <c r="AJ31" i="83"/>
  <c r="O28" i="83"/>
  <c r="F28" i="83"/>
  <c r="AB31" i="83"/>
  <c r="K29" i="83"/>
  <c r="AM28" i="83"/>
  <c r="AV29" i="83"/>
  <c r="W29" i="83"/>
  <c r="M29" i="83"/>
  <c r="AN31" i="83"/>
  <c r="P28" i="83"/>
  <c r="X29" i="83"/>
  <c r="AB29" i="83"/>
  <c r="AS31" i="83"/>
  <c r="U31" i="83"/>
  <c r="AI29" i="83"/>
  <c r="AM29" i="83"/>
  <c r="AI28" i="83"/>
  <c r="D29" i="83"/>
  <c r="AR31" i="83"/>
  <c r="P31" i="83"/>
  <c r="T31" i="83"/>
  <c r="AV28" i="83"/>
  <c r="H28" i="83"/>
  <c r="AN28" i="83"/>
  <c r="J28" i="83"/>
  <c r="F31" i="83"/>
  <c r="AD29" i="83"/>
  <c r="I28" i="83"/>
  <c r="T28" i="83"/>
  <c r="AE29" i="83"/>
  <c r="AQ29" i="83"/>
  <c r="AO31" i="83"/>
  <c r="AT31" i="83"/>
  <c r="O31" i="83"/>
  <c r="AO29" i="83"/>
  <c r="S31" i="83"/>
  <c r="AO28" i="83"/>
  <c r="AQ28" i="83"/>
  <c r="E31" i="83"/>
  <c r="Y29" i="83"/>
  <c r="AH28" i="83"/>
  <c r="AL28" i="83"/>
  <c r="AV31" i="83"/>
  <c r="AM31" i="83"/>
  <c r="AL31" i="83"/>
  <c r="X31" i="83"/>
  <c r="E28" i="83"/>
  <c r="AG29" i="83"/>
  <c r="AR28" i="83"/>
  <c r="AH29" i="83"/>
  <c r="AD28" i="83"/>
  <c r="Z29" i="83"/>
  <c r="O29" i="83"/>
  <c r="D28" i="83"/>
  <c r="M31" i="83"/>
  <c r="AG28" i="83"/>
  <c r="W31" i="83"/>
  <c r="AE31" i="83"/>
  <c r="Y31" i="83"/>
  <c r="AN29" i="83"/>
  <c r="Y28" i="83"/>
  <c r="H31" i="83"/>
  <c r="U28" i="83"/>
  <c r="AS28" i="83"/>
  <c r="AQ31" i="83"/>
  <c r="Z31" i="83"/>
  <c r="P29" i="83"/>
  <c r="N28" i="83"/>
  <c r="C28" i="83"/>
  <c r="N29" i="83"/>
  <c r="AE28" i="83"/>
  <c r="S29" i="83"/>
  <c r="R29" i="83"/>
  <c r="AR29" i="83"/>
  <c r="I29" i="83"/>
  <c r="AT28" i="83"/>
  <c r="AD31" i="83"/>
  <c r="F29" i="83"/>
  <c r="X28" i="83"/>
  <c r="AC29" i="83"/>
  <c r="AJ28" i="83"/>
  <c r="AH31" i="83"/>
  <c r="AI31" i="83"/>
  <c r="W28" i="83"/>
  <c r="N31" i="83"/>
  <c r="E29" i="83"/>
  <c r="AB28" i="83"/>
  <c r="I31" i="83"/>
  <c r="AG31" i="83"/>
  <c r="C29" i="83"/>
  <c r="J29" i="83"/>
  <c r="AL29" i="83"/>
  <c r="S28" i="83"/>
  <c r="J31" i="83"/>
  <c r="AC28" i="83"/>
  <c r="T29" i="83"/>
  <c r="R28" i="83"/>
  <c r="K31" i="83"/>
  <c r="AS29" i="83"/>
  <c r="AC31" i="83"/>
  <c r="R31" i="83"/>
  <c r="AT29" i="83"/>
  <c r="Z28" i="83"/>
  <c r="H29" i="83"/>
  <c r="G83" i="83" l="1"/>
  <c r="G84" i="83" s="1"/>
  <c r="E89" i="83"/>
  <c r="G80" i="83"/>
  <c r="G81" i="83" s="1"/>
  <c r="G88" i="83"/>
  <c r="G89" i="83" s="1"/>
  <c r="AV22" i="83"/>
  <c r="AV131" i="83"/>
  <c r="AV133" i="83"/>
  <c r="AV137" i="83"/>
  <c r="AV30" i="83"/>
  <c r="AV33" i="83" s="1"/>
  <c r="AU28" i="83"/>
  <c r="AU132" i="83"/>
  <c r="AP132" i="83"/>
  <c r="AT137" i="83"/>
  <c r="AT133" i="83"/>
  <c r="AS133" i="83"/>
  <c r="AS137" i="83"/>
  <c r="AU29" i="83"/>
  <c r="AQ137" i="83"/>
  <c r="AQ133" i="83"/>
  <c r="AU31" i="83"/>
  <c r="O137" i="83"/>
  <c r="AC133" i="83"/>
  <c r="W133" i="83"/>
  <c r="AA31" i="83"/>
  <c r="AP29" i="83"/>
  <c r="U137" i="83"/>
  <c r="M137" i="83"/>
  <c r="Q28" i="83"/>
  <c r="AF28" i="83"/>
  <c r="AB137" i="83"/>
  <c r="U133" i="83"/>
  <c r="D137" i="83"/>
  <c r="AJ137" i="83"/>
  <c r="L29" i="83"/>
  <c r="D133" i="83"/>
  <c r="N133" i="83"/>
  <c r="O133" i="83"/>
  <c r="AI133" i="83"/>
  <c r="F133" i="83"/>
  <c r="I137" i="83"/>
  <c r="AJ133" i="83"/>
  <c r="AH137" i="83"/>
  <c r="AF29" i="83"/>
  <c r="N137" i="83"/>
  <c r="AD137" i="83"/>
  <c r="Z137" i="83"/>
  <c r="Q29" i="83"/>
  <c r="V31" i="83"/>
  <c r="R133" i="83"/>
  <c r="AC137" i="83"/>
  <c r="T137" i="83"/>
  <c r="Y137" i="83"/>
  <c r="C133" i="83"/>
  <c r="G31" i="83"/>
  <c r="AL133" i="83"/>
  <c r="AP31" i="83"/>
  <c r="S133" i="83"/>
  <c r="AI137" i="83"/>
  <c r="P137" i="83"/>
  <c r="L31" i="83"/>
  <c r="H133" i="83"/>
  <c r="E137" i="83"/>
  <c r="J133" i="83"/>
  <c r="K133" i="83"/>
  <c r="P133" i="83"/>
  <c r="AP28" i="83"/>
  <c r="AL137" i="83"/>
  <c r="R137" i="83"/>
  <c r="V28" i="83"/>
  <c r="C137" i="83"/>
  <c r="G28" i="83"/>
  <c r="W137" i="83"/>
  <c r="AA28" i="83"/>
  <c r="Y133" i="83"/>
  <c r="E133" i="83"/>
  <c r="AD133" i="83"/>
  <c r="I133" i="83"/>
  <c r="AE137" i="83"/>
  <c r="AE133" i="83"/>
  <c r="F137" i="83"/>
  <c r="AG137" i="83"/>
  <c r="AK28" i="83"/>
  <c r="X133" i="83"/>
  <c r="AH133" i="83"/>
  <c r="X137" i="83"/>
  <c r="AG133" i="83"/>
  <c r="AK31" i="83"/>
  <c r="Z133" i="83"/>
  <c r="T133" i="83"/>
  <c r="M133" i="83"/>
  <c r="Q31" i="83"/>
  <c r="AB133" i="83"/>
  <c r="AF31" i="83"/>
  <c r="AA29" i="83"/>
  <c r="K137" i="83"/>
  <c r="J137" i="83"/>
  <c r="H137" i="83"/>
  <c r="L28" i="83"/>
  <c r="S137" i="83"/>
  <c r="G29" i="83"/>
  <c r="AM133" i="83"/>
  <c r="AM137" i="83"/>
  <c r="AN133" i="83"/>
  <c r="AN137" i="83"/>
  <c r="AO133" i="83"/>
  <c r="AO137" i="83"/>
  <c r="AR133" i="83"/>
  <c r="AR137" i="83"/>
  <c r="Z22" i="83"/>
  <c r="Z131" i="83"/>
  <c r="AR22" i="83"/>
  <c r="AR131" i="83"/>
  <c r="U27" i="83"/>
  <c r="AI22" i="83"/>
  <c r="AI131" i="83"/>
  <c r="AP10" i="83"/>
  <c r="AP14" i="83"/>
  <c r="AP15" i="83" s="1"/>
  <c r="AP13" i="83"/>
  <c r="AP17" i="83"/>
  <c r="W15" i="83"/>
  <c r="W18" i="83"/>
  <c r="W26" i="83"/>
  <c r="W21" i="83"/>
  <c r="AI30" i="83"/>
  <c r="AI33" i="83" s="1"/>
  <c r="AI27" i="83"/>
  <c r="AL26" i="83"/>
  <c r="AL18" i="83"/>
  <c r="AL15" i="83"/>
  <c r="AL21" i="83"/>
  <c r="AT30" i="83"/>
  <c r="AT33" i="83" s="1"/>
  <c r="AT27" i="83"/>
  <c r="N22" i="83"/>
  <c r="N131" i="83"/>
  <c r="AU89" i="83"/>
  <c r="O27" i="83"/>
  <c r="O30" i="83"/>
  <c r="O33" i="83" s="1"/>
  <c r="Q132" i="83"/>
  <c r="AH22" i="83"/>
  <c r="AH131" i="83"/>
  <c r="F30" i="83"/>
  <c r="F33" i="83" s="1"/>
  <c r="F27" i="83"/>
  <c r="X30" i="83"/>
  <c r="X33" i="83" s="1"/>
  <c r="X27" i="83"/>
  <c r="J30" i="83"/>
  <c r="J33" i="83" s="1"/>
  <c r="J27" i="83"/>
  <c r="AS27" i="83"/>
  <c r="AS30" i="83"/>
  <c r="AS33" i="83" s="1"/>
  <c r="C26" i="83"/>
  <c r="C21" i="83"/>
  <c r="C15" i="83"/>
  <c r="C18" i="83"/>
  <c r="AC22" i="83"/>
  <c r="AC131" i="83"/>
  <c r="Z30" i="83"/>
  <c r="Z33" i="83" s="1"/>
  <c r="Z27" i="83"/>
  <c r="T131" i="83"/>
  <c r="T22" i="83"/>
  <c r="I131" i="83"/>
  <c r="I22" i="83"/>
  <c r="F22" i="83"/>
  <c r="F131" i="83"/>
  <c r="AR27" i="83"/>
  <c r="AR30" i="83"/>
  <c r="AR33" i="83" s="1"/>
  <c r="Y131" i="83"/>
  <c r="Y22" i="83"/>
  <c r="M15" i="83"/>
  <c r="M26" i="83"/>
  <c r="M18" i="83"/>
  <c r="M21" i="83"/>
  <c r="AH30" i="83"/>
  <c r="AH33" i="83" s="1"/>
  <c r="AH27" i="83"/>
  <c r="AA132" i="83"/>
  <c r="AE22" i="83"/>
  <c r="AE131" i="83"/>
  <c r="AG18" i="83"/>
  <c r="AG15" i="83"/>
  <c r="AG21" i="83"/>
  <c r="AG26" i="83"/>
  <c r="P27" i="83"/>
  <c r="P30" i="83"/>
  <c r="P33" i="83" s="1"/>
  <c r="AX113" i="46"/>
  <c r="AX92" i="46"/>
  <c r="AY82" i="46"/>
  <c r="AQ15" i="83"/>
  <c r="AQ26" i="83"/>
  <c r="AQ18" i="83"/>
  <c r="AQ21" i="83"/>
  <c r="E27" i="83"/>
  <c r="E30" i="83"/>
  <c r="E33" i="83" s="1"/>
  <c r="N27" i="83"/>
  <c r="N30" i="83"/>
  <c r="N33" i="83" s="1"/>
  <c r="Q14" i="83"/>
  <c r="Q15" i="83" s="1"/>
  <c r="Q10" i="83"/>
  <c r="Q13" i="83"/>
  <c r="Q17" i="83"/>
  <c r="H26" i="83"/>
  <c r="H18" i="83"/>
  <c r="H15" i="83"/>
  <c r="H21" i="83"/>
  <c r="V132" i="83"/>
  <c r="K27" i="83"/>
  <c r="K30" i="83"/>
  <c r="K33" i="83" s="1"/>
  <c r="G14" i="83"/>
  <c r="G15" i="83" s="1"/>
  <c r="G10" i="83"/>
  <c r="G17" i="83"/>
  <c r="G13" i="83"/>
  <c r="O131" i="83"/>
  <c r="O22" i="83"/>
  <c r="K22" i="83"/>
  <c r="K131" i="83"/>
  <c r="AA10" i="83"/>
  <c r="AA14" i="83"/>
  <c r="AA15" i="83" s="1"/>
  <c r="AA17" i="83"/>
  <c r="AA13" i="83"/>
  <c r="AT131" i="83"/>
  <c r="AT22" i="83"/>
  <c r="S131" i="83"/>
  <c r="S22" i="83"/>
  <c r="S27" i="83"/>
  <c r="S30" i="83"/>
  <c r="S33" i="83" s="1"/>
  <c r="R26" i="83"/>
  <c r="R15" i="83"/>
  <c r="R18" i="83"/>
  <c r="R21" i="83"/>
  <c r="AK14" i="83"/>
  <c r="AK15" i="83" s="1"/>
  <c r="AK10" i="83"/>
  <c r="AK17" i="83"/>
  <c r="AK13" i="83"/>
  <c r="P22" i="83"/>
  <c r="P131" i="83"/>
  <c r="Y27" i="83"/>
  <c r="Y30" i="83"/>
  <c r="Y33" i="83" s="1"/>
  <c r="AU14" i="83"/>
  <c r="AU10" i="83"/>
  <c r="AU13" i="83"/>
  <c r="AU17" i="83"/>
  <c r="AJ131" i="83"/>
  <c r="AJ22" i="83"/>
  <c r="L10" i="83"/>
  <c r="L14" i="83"/>
  <c r="L15" i="83" s="1"/>
  <c r="L13" i="83"/>
  <c r="L17" i="83"/>
  <c r="AF10" i="83"/>
  <c r="AF14" i="83"/>
  <c r="AF15" i="83" s="1"/>
  <c r="AF13" i="83"/>
  <c r="AF17" i="83"/>
  <c r="AK132" i="83"/>
  <c r="AF132" i="83"/>
  <c r="AN27" i="83"/>
  <c r="AN30" i="83"/>
  <c r="AN33" i="83" s="1"/>
  <c r="J131" i="83"/>
  <c r="J22" i="83"/>
  <c r="AE30" i="83"/>
  <c r="AE33" i="83" s="1"/>
  <c r="AE27" i="83"/>
  <c r="V10" i="83"/>
  <c r="V14" i="83"/>
  <c r="V15" i="83" s="1"/>
  <c r="V13" i="83"/>
  <c r="V17" i="83"/>
  <c r="X131" i="83"/>
  <c r="X22" i="83"/>
  <c r="E131" i="83"/>
  <c r="E22" i="83"/>
  <c r="AO22" i="83"/>
  <c r="AO131" i="83"/>
  <c r="AB18" i="83"/>
  <c r="AB26" i="83"/>
  <c r="AB21" i="83"/>
  <c r="AB15" i="83"/>
  <c r="AD27" i="83"/>
  <c r="AD30" i="83"/>
  <c r="AD33" i="83" s="1"/>
  <c r="AM131" i="83"/>
  <c r="AM22" i="83"/>
  <c r="AN22" i="83"/>
  <c r="AN131" i="83"/>
  <c r="AS22" i="83"/>
  <c r="AS131" i="83"/>
  <c r="AD22" i="83"/>
  <c r="AD131" i="83"/>
  <c r="AM30" i="83"/>
  <c r="AM33" i="83" s="1"/>
  <c r="AM27" i="83"/>
  <c r="G132" i="83"/>
  <c r="L132" i="83"/>
  <c r="AO27" i="83"/>
  <c r="AO30" i="83"/>
  <c r="AO33" i="83" s="1"/>
  <c r="AJ27" i="83"/>
  <c r="D22" i="83"/>
  <c r="D131" i="83"/>
  <c r="AY12" i="32"/>
  <c r="AZ6" i="32" s="1"/>
  <c r="AY24" i="32"/>
  <c r="AY30" i="32" s="1"/>
  <c r="BQ314" i="73"/>
  <c r="BQ316" i="73" s="1"/>
  <c r="BR315" i="73"/>
  <c r="U22" i="83"/>
  <c r="U131" i="83"/>
  <c r="T27" i="83"/>
  <c r="T30" i="83"/>
  <c r="T33" i="83" s="1"/>
  <c r="I27" i="83"/>
  <c r="I30" i="83"/>
  <c r="I33" i="83" s="1"/>
  <c r="AC27" i="83"/>
  <c r="AC30" i="83"/>
  <c r="AC33" i="83" s="1"/>
  <c r="D27" i="83"/>
  <c r="D30" i="83"/>
  <c r="D33" i="83" s="1"/>
  <c r="AJ29" i="83"/>
  <c r="U29" i="83"/>
  <c r="AZ24" i="32" l="1"/>
  <c r="AV32" i="83"/>
  <c r="AJ30" i="83"/>
  <c r="AJ33" i="83" s="1"/>
  <c r="AK29" i="83"/>
  <c r="V29" i="83"/>
  <c r="U30" i="83"/>
  <c r="U33" i="83" s="1"/>
  <c r="AY13" i="32"/>
  <c r="AX13" i="31"/>
  <c r="AU15" i="83"/>
  <c r="T135" i="83"/>
  <c r="T141" i="83" s="1"/>
  <c r="T144" i="83" s="1"/>
  <c r="K135" i="83"/>
  <c r="K141" i="83" s="1"/>
  <c r="K144" i="83" s="1"/>
  <c r="O135" i="83"/>
  <c r="O141" i="83" s="1"/>
  <c r="O144" i="83" s="1"/>
  <c r="AU133" i="83"/>
  <c r="AU137" i="83"/>
  <c r="D135" i="83"/>
  <c r="D141" i="83" s="1"/>
  <c r="D144" i="83" s="1"/>
  <c r="AE135" i="83"/>
  <c r="AE141" i="83" s="1"/>
  <c r="AE144" i="83" s="1"/>
  <c r="AT135" i="83"/>
  <c r="AT141" i="83" s="1"/>
  <c r="AT144" i="83" s="1"/>
  <c r="J135" i="83"/>
  <c r="J141" i="83" s="1"/>
  <c r="J144" i="83" s="1"/>
  <c r="F135" i="83"/>
  <c r="F141" i="83" s="1"/>
  <c r="F144" i="83" s="1"/>
  <c r="U135" i="83"/>
  <c r="U141" i="83" s="1"/>
  <c r="U144" i="83" s="1"/>
  <c r="AJ135" i="83"/>
  <c r="AJ141" i="83" s="1"/>
  <c r="AJ144" i="83" s="1"/>
  <c r="N135" i="83"/>
  <c r="N141" i="83" s="1"/>
  <c r="N144" i="83" s="1"/>
  <c r="AO135" i="83"/>
  <c r="AO141" i="83" s="1"/>
  <c r="AO144" i="83" s="1"/>
  <c r="AN135" i="83"/>
  <c r="AN141" i="83" s="1"/>
  <c r="AN144" i="83" s="1"/>
  <c r="E135" i="83"/>
  <c r="E141" i="83" s="1"/>
  <c r="E144" i="83" s="1"/>
  <c r="AM135" i="83"/>
  <c r="AM141" i="83" s="1"/>
  <c r="AM144" i="83" s="1"/>
  <c r="AS135" i="83"/>
  <c r="AS141" i="83" s="1"/>
  <c r="AS144" i="83" s="1"/>
  <c r="AH135" i="83"/>
  <c r="AH141" i="83" s="1"/>
  <c r="AH144" i="83" s="1"/>
  <c r="L137" i="83"/>
  <c r="AF137" i="83"/>
  <c r="AO32" i="83"/>
  <c r="AH32" i="83"/>
  <c r="F32" i="83"/>
  <c r="AC135" i="83"/>
  <c r="AC141" i="83" s="1"/>
  <c r="AC144" i="83" s="1"/>
  <c r="I135" i="83"/>
  <c r="I141" i="83" s="1"/>
  <c r="I144" i="83" s="1"/>
  <c r="AI32" i="83"/>
  <c r="AK137" i="83"/>
  <c r="P135" i="83"/>
  <c r="P141" i="83" s="1"/>
  <c r="P144" i="83" s="1"/>
  <c r="AM32" i="83"/>
  <c r="S32" i="83"/>
  <c r="AT32" i="83"/>
  <c r="AR32" i="83"/>
  <c r="AC32" i="83"/>
  <c r="Y32" i="83"/>
  <c r="K32" i="83"/>
  <c r="AR135" i="83"/>
  <c r="AR141" i="83" s="1"/>
  <c r="AR144" i="83" s="1"/>
  <c r="O32" i="83"/>
  <c r="H22" i="83"/>
  <c r="H131" i="83"/>
  <c r="L21" i="83"/>
  <c r="L22" i="83" s="1"/>
  <c r="AQ30" i="83"/>
  <c r="AQ27" i="83"/>
  <c r="AU26" i="83"/>
  <c r="AU27" i="83" s="1"/>
  <c r="Z32" i="83"/>
  <c r="AE32" i="83"/>
  <c r="J32" i="83"/>
  <c r="AP133" i="83"/>
  <c r="AG19" i="83"/>
  <c r="AK18" i="83"/>
  <c r="AK19" i="83" s="1"/>
  <c r="BR314" i="73"/>
  <c r="BR316" i="73" s="1"/>
  <c r="BS315" i="73"/>
  <c r="AD135" i="83"/>
  <c r="AD141" i="83" s="1"/>
  <c r="AD144" i="83" s="1"/>
  <c r="Z135" i="83"/>
  <c r="Z141" i="83" s="1"/>
  <c r="Z144" i="83" s="1"/>
  <c r="AA137" i="83"/>
  <c r="Q137" i="83"/>
  <c r="AQ22" i="83"/>
  <c r="AQ131" i="83"/>
  <c r="AU21" i="83"/>
  <c r="AU18" i="83"/>
  <c r="AU19" i="83" s="1"/>
  <c r="AQ19" i="83"/>
  <c r="AB22" i="83"/>
  <c r="AB131" i="83"/>
  <c r="AF21" i="83"/>
  <c r="AF22" i="83" s="1"/>
  <c r="R22" i="83"/>
  <c r="V21" i="83"/>
  <c r="V22" i="83" s="1"/>
  <c r="R131" i="83"/>
  <c r="S135" i="83"/>
  <c r="S141" i="83" s="1"/>
  <c r="S144" i="83" s="1"/>
  <c r="H19" i="83"/>
  <c r="L18" i="83"/>
  <c r="L19" i="83" s="1"/>
  <c r="AY106" i="46"/>
  <c r="AY91" i="46"/>
  <c r="Y135" i="83"/>
  <c r="Y141" i="83" s="1"/>
  <c r="Y144" i="83" s="1"/>
  <c r="C19" i="83"/>
  <c r="G18" i="83"/>
  <c r="G19" i="83" s="1"/>
  <c r="AK133" i="83"/>
  <c r="G133" i="83"/>
  <c r="N32" i="83"/>
  <c r="AB27" i="83"/>
  <c r="AF26" i="83"/>
  <c r="AF27" i="83" s="1"/>
  <c r="AB30" i="83"/>
  <c r="R19" i="83"/>
  <c r="V18" i="83"/>
  <c r="V19" i="83" s="1"/>
  <c r="L26" i="83"/>
  <c r="L27" i="83" s="1"/>
  <c r="H27" i="83"/>
  <c r="H30" i="83"/>
  <c r="AP21" i="83"/>
  <c r="AP22" i="83" s="1"/>
  <c r="AL22" i="83"/>
  <c r="AL131" i="83"/>
  <c r="AI135" i="83"/>
  <c r="AI141" i="83" s="1"/>
  <c r="AI144" i="83" s="1"/>
  <c r="AN32" i="83"/>
  <c r="G137" i="83"/>
  <c r="L133" i="83"/>
  <c r="D32" i="83"/>
  <c r="M19" i="83"/>
  <c r="Q18" i="83"/>
  <c r="Q19" i="83" s="1"/>
  <c r="AF18" i="83"/>
  <c r="AF19" i="83" s="1"/>
  <c r="AB19" i="83"/>
  <c r="X135" i="83"/>
  <c r="X141" i="83" s="1"/>
  <c r="X144" i="83" s="1"/>
  <c r="G21" i="83"/>
  <c r="G22" i="83" s="1"/>
  <c r="C131" i="83"/>
  <c r="C22" i="83"/>
  <c r="AF133" i="83"/>
  <c r="I32" i="83"/>
  <c r="V26" i="83"/>
  <c r="V27" i="83" s="1"/>
  <c r="R30" i="83"/>
  <c r="R27" i="83"/>
  <c r="M22" i="83"/>
  <c r="Q21" i="83"/>
  <c r="Q22" i="83" s="1"/>
  <c r="M131" i="83"/>
  <c r="G26" i="83"/>
  <c r="G27" i="83" s="1"/>
  <c r="C27" i="83"/>
  <c r="C30" i="83"/>
  <c r="AL19" i="83"/>
  <c r="AP18" i="83"/>
  <c r="AP19" i="83" s="1"/>
  <c r="V137" i="83"/>
  <c r="AL27" i="83"/>
  <c r="AP26" i="83"/>
  <c r="AP27" i="83" s="1"/>
  <c r="AL30" i="83"/>
  <c r="AD32" i="83"/>
  <c r="AP137" i="83"/>
  <c r="AA133" i="83"/>
  <c r="AS32" i="83"/>
  <c r="AK26" i="83"/>
  <c r="AK27" i="83" s="1"/>
  <c r="AG27" i="83"/>
  <c r="AG30" i="83"/>
  <c r="M30" i="83"/>
  <c r="M27" i="83"/>
  <c r="Q26" i="83"/>
  <c r="Q27" i="83" s="1"/>
  <c r="W22" i="83"/>
  <c r="AA21" i="83"/>
  <c r="AA22" i="83" s="1"/>
  <c r="W131" i="83"/>
  <c r="Q133" i="83"/>
  <c r="X32" i="83"/>
  <c r="V133" i="83"/>
  <c r="AG22" i="83"/>
  <c r="AK21" i="83"/>
  <c r="AK22" i="83" s="1"/>
  <c r="AG131" i="83"/>
  <c r="W27" i="83"/>
  <c r="W30" i="83"/>
  <c r="AA26" i="83"/>
  <c r="AA27" i="83" s="1"/>
  <c r="E32" i="83"/>
  <c r="P32" i="83"/>
  <c r="W19" i="83"/>
  <c r="AA18" i="83"/>
  <c r="AA19" i="83" s="1"/>
  <c r="T32" i="83"/>
  <c r="U32" i="83" l="1"/>
  <c r="AJ32" i="83"/>
  <c r="AQ135" i="83"/>
  <c r="AQ141" i="83" s="1"/>
  <c r="AQ144" i="83" s="1"/>
  <c r="AU144" i="83" s="1"/>
  <c r="AU131" i="83"/>
  <c r="AU135" i="83" s="1"/>
  <c r="AU141" i="83" s="1"/>
  <c r="C33" i="83"/>
  <c r="G33" i="83" s="1"/>
  <c r="G30" i="83"/>
  <c r="G32" i="83" s="1"/>
  <c r="C32" i="83"/>
  <c r="BS314" i="73"/>
  <c r="BS316" i="73" s="1"/>
  <c r="BT315" i="73"/>
  <c r="M135" i="83"/>
  <c r="M141" i="83" s="1"/>
  <c r="M144" i="83" s="1"/>
  <c r="Q144" i="83" s="1"/>
  <c r="Q131" i="83"/>
  <c r="Q135" i="83" s="1"/>
  <c r="Q141" i="83" s="1"/>
  <c r="L30" i="83"/>
  <c r="L32" i="83" s="1"/>
  <c r="H33" i="83"/>
  <c r="L33" i="83" s="1"/>
  <c r="H32" i="83"/>
  <c r="AP30" i="83"/>
  <c r="AP32" i="83" s="1"/>
  <c r="AL33" i="83"/>
  <c r="AP33" i="83" s="1"/>
  <c r="AL32" i="83"/>
  <c r="W135" i="83"/>
  <c r="W141" i="83" s="1"/>
  <c r="W144" i="83" s="1"/>
  <c r="AA144" i="83" s="1"/>
  <c r="AA131" i="83"/>
  <c r="AA135" i="83" s="1"/>
  <c r="AA141" i="83" s="1"/>
  <c r="AG135" i="83"/>
  <c r="AG141" i="83" s="1"/>
  <c r="AG144" i="83" s="1"/>
  <c r="AK144" i="83" s="1"/>
  <c r="AK131" i="83"/>
  <c r="AK135" i="83" s="1"/>
  <c r="AK141" i="83" s="1"/>
  <c r="AF131" i="83"/>
  <c r="AF135" i="83" s="1"/>
  <c r="AF141" i="83" s="1"/>
  <c r="AB135" i="83"/>
  <c r="AB141" i="83" s="1"/>
  <c r="AB144" i="83" s="1"/>
  <c r="AF144" i="83" s="1"/>
  <c r="M33" i="83"/>
  <c r="Q33" i="83" s="1"/>
  <c r="Q30" i="83"/>
  <c r="Q32" i="83" s="1"/>
  <c r="M32" i="83"/>
  <c r="AU30" i="83"/>
  <c r="AU32" i="83" s="1"/>
  <c r="AQ33" i="83"/>
  <c r="AU33" i="83" s="1"/>
  <c r="AQ32" i="83"/>
  <c r="H135" i="83"/>
  <c r="H141" i="83" s="1"/>
  <c r="H144" i="83" s="1"/>
  <c r="L144" i="83" s="1"/>
  <c r="L131" i="83"/>
  <c r="L135" i="83" s="1"/>
  <c r="L141" i="83" s="1"/>
  <c r="AA30" i="83"/>
  <c r="AA32" i="83" s="1"/>
  <c r="W33" i="83"/>
  <c r="AA33" i="83" s="1"/>
  <c r="W32" i="83"/>
  <c r="R135" i="83"/>
  <c r="R141" i="83" s="1"/>
  <c r="R144" i="83" s="1"/>
  <c r="V144" i="83" s="1"/>
  <c r="V131" i="83"/>
  <c r="V135" i="83" s="1"/>
  <c r="V141" i="83" s="1"/>
  <c r="AK30" i="83"/>
  <c r="AK32" i="83" s="1"/>
  <c r="AG33" i="83"/>
  <c r="AK33" i="83" s="1"/>
  <c r="AG32" i="83"/>
  <c r="C135" i="83"/>
  <c r="C141" i="83" s="1"/>
  <c r="C144" i="83" s="1"/>
  <c r="G144" i="83" s="1"/>
  <c r="G131" i="83"/>
  <c r="G135" i="83" s="1"/>
  <c r="G141" i="83" s="1"/>
  <c r="AY113" i="46"/>
  <c r="AY92" i="46"/>
  <c r="AZ82" i="46"/>
  <c r="AB33" i="83"/>
  <c r="AF33" i="83" s="1"/>
  <c r="AF30" i="83"/>
  <c r="AF32" i="83" s="1"/>
  <c r="AB32" i="83"/>
  <c r="V30" i="83"/>
  <c r="V32" i="83" s="1"/>
  <c r="R33" i="83"/>
  <c r="V33" i="83" s="1"/>
  <c r="R32" i="83"/>
  <c r="AU22" i="83"/>
  <c r="AL135" i="83"/>
  <c r="AL141" i="83" s="1"/>
  <c r="AL144" i="83" s="1"/>
  <c r="AP144" i="83" s="1"/>
  <c r="AP131" i="83"/>
  <c r="AP135" i="83" s="1"/>
  <c r="AP141" i="83" s="1"/>
  <c r="AU145" i="83" l="1"/>
  <c r="AA145" i="83"/>
  <c r="AA149" i="83" s="1"/>
  <c r="AP145" i="83"/>
  <c r="AP149" i="83" s="1"/>
  <c r="AK145" i="83"/>
  <c r="AK149" i="83" s="1"/>
  <c r="Q145" i="83"/>
  <c r="Q149" i="83" s="1"/>
  <c r="L145" i="83"/>
  <c r="L149" i="83" s="1"/>
  <c r="G145" i="83"/>
  <c r="G149" i="83" s="1"/>
  <c r="V145" i="83"/>
  <c r="V149" i="83" s="1"/>
  <c r="AZ106" i="46"/>
  <c r="AZ91" i="46"/>
  <c r="BT314" i="73"/>
  <c r="BT316" i="73" s="1"/>
  <c r="BU315" i="73"/>
  <c r="AF145" i="83"/>
  <c r="AF149" i="83" s="1"/>
  <c r="AZ92" i="46" l="1"/>
  <c r="AZ113" i="46"/>
  <c r="BV315" i="73"/>
  <c r="BU314" i="73"/>
  <c r="BU316" i="73" s="1"/>
  <c r="BW315" i="73" l="1"/>
  <c r="BV314" i="73"/>
  <c r="BV316" i="73" s="1"/>
  <c r="BX315" i="73" l="1"/>
  <c r="BW314" i="73"/>
  <c r="BW316" i="73" s="1"/>
  <c r="BX314" i="73" l="1"/>
  <c r="BX316" i="73" s="1"/>
  <c r="BY315" i="73"/>
  <c r="BY314" i="73" l="1"/>
  <c r="BY316" i="73" s="1"/>
  <c r="BZ315" i="73"/>
  <c r="BS9" i="84" l="1"/>
  <c r="BZ314" i="73"/>
  <c r="BZ316" i="73" s="1"/>
  <c r="CA315" i="73"/>
  <c r="BS6" i="84" l="1"/>
  <c r="BS12" i="84" s="1"/>
  <c r="CA314" i="73"/>
  <c r="CA316" i="73" s="1"/>
  <c r="CB315" i="73"/>
  <c r="CB314" i="73" l="1"/>
  <c r="CB316" i="73" s="1"/>
  <c r="CC315" i="73"/>
  <c r="CC314" i="73" l="1"/>
  <c r="CC316" i="73" s="1"/>
  <c r="CD315" i="73"/>
  <c r="CE315" i="73" l="1"/>
  <c r="CD314" i="73"/>
  <c r="CD316" i="73" s="1"/>
  <c r="CE314" i="73" l="1"/>
  <c r="CE316" i="73" s="1"/>
  <c r="CF315" i="73"/>
  <c r="CG315" i="73" l="1"/>
  <c r="CF314" i="73"/>
  <c r="CF316" i="73" s="1"/>
  <c r="CH315" i="73" l="1"/>
  <c r="CG314" i="73"/>
  <c r="CG316" i="73" s="1"/>
  <c r="CH314" i="73" l="1"/>
  <c r="CH316" i="73" s="1"/>
  <c r="CI315" i="73"/>
  <c r="CI314" i="73" l="1"/>
  <c r="CI316" i="73" s="1"/>
  <c r="CJ315" i="73"/>
  <c r="CJ314" i="73" l="1"/>
  <c r="CJ316" i="73" s="1"/>
  <c r="CK315" i="73"/>
  <c r="CL315" i="73" l="1"/>
  <c r="CK314" i="73"/>
  <c r="CK316" i="73" s="1"/>
  <c r="CL314" i="73" l="1"/>
  <c r="CL316" i="73" s="1"/>
  <c r="CM315" i="73"/>
  <c r="CM314" i="73" l="1"/>
  <c r="CM316" i="73" s="1"/>
  <c r="CN315" i="73"/>
  <c r="CO315" i="73" l="1"/>
  <c r="CN314" i="73"/>
  <c r="CN316" i="73" s="1"/>
  <c r="CP315" i="73" l="1"/>
  <c r="CO314" i="73"/>
  <c r="CO316" i="73" s="1"/>
  <c r="CP314" i="73" l="1"/>
  <c r="CP316" i="73" s="1"/>
  <c r="CQ315" i="73"/>
  <c r="CQ314" i="73" l="1"/>
  <c r="CQ316" i="73" s="1"/>
  <c r="CR315" i="73"/>
  <c r="CS315" i="73" l="1"/>
  <c r="CR314" i="73"/>
  <c r="CR316" i="73" s="1"/>
  <c r="CT315" i="73" l="1"/>
  <c r="CS314" i="73"/>
  <c r="CS316" i="73" s="1"/>
  <c r="CT314" i="73" l="1"/>
  <c r="CT316" i="73" s="1"/>
  <c r="CU315" i="73"/>
  <c r="CU314" i="73" l="1"/>
  <c r="CU316" i="73" s="1"/>
  <c r="CV315" i="73"/>
  <c r="CV314" i="73" l="1"/>
  <c r="CV316" i="73" s="1"/>
  <c r="CW315" i="73"/>
  <c r="CW314" i="73" l="1"/>
  <c r="CW316" i="73" s="1"/>
  <c r="CX315" i="73"/>
  <c r="CY315" i="73" l="1"/>
  <c r="CX314" i="73"/>
  <c r="CX316" i="73" s="1"/>
  <c r="CZ315" i="73" l="1"/>
  <c r="CY314" i="73"/>
  <c r="CY316" i="73" s="1"/>
  <c r="CZ314" i="73" l="1"/>
  <c r="CZ316" i="73" s="1"/>
  <c r="DA315" i="73"/>
  <c r="DA314" i="73" l="1"/>
  <c r="DA316" i="73" s="1"/>
  <c r="DB315" i="73"/>
  <c r="DC315" i="73" l="1"/>
  <c r="DB314" i="73"/>
  <c r="DB316" i="73" s="1"/>
  <c r="DC314" i="73" l="1"/>
  <c r="DC316" i="73" s="1"/>
  <c r="DD315" i="73"/>
  <c r="DD314" i="73" l="1"/>
  <c r="DD316" i="73" s="1"/>
  <c r="DE315" i="73"/>
  <c r="DF315" i="73" l="1"/>
  <c r="DE314" i="73"/>
  <c r="DE316" i="73" s="1"/>
  <c r="DF314" i="73" l="1"/>
  <c r="DF316" i="73" s="1"/>
  <c r="DG315" i="73"/>
  <c r="DG314" i="73" l="1"/>
  <c r="DG316" i="73" s="1"/>
  <c r="DH315" i="73"/>
  <c r="DI315" i="73" l="1"/>
  <c r="DI314" i="73" s="1"/>
  <c r="DI316" i="73" s="1"/>
  <c r="DJ315" i="73"/>
  <c r="DJ314" i="73" l="1"/>
  <c r="DJ316" i="73" s="1"/>
  <c r="DK315" i="73"/>
  <c r="DL315" i="73" l="1"/>
  <c r="DL314" i="73" s="1"/>
  <c r="DL316" i="73" s="1"/>
  <c r="DK314" i="73"/>
  <c r="DK316" i="73" s="1"/>
  <c r="DM315" i="73"/>
  <c r="BG75" i="9" l="1"/>
  <c r="BG85" i="9"/>
  <c r="BG84" i="9"/>
  <c r="BG65" i="9" s="1"/>
  <c r="BG74" i="9"/>
  <c r="BG64" i="9" s="1"/>
  <c r="BF73" i="9"/>
  <c r="BF64" i="9" s="1"/>
  <c r="BD85" i="9"/>
  <c r="BD75" i="9"/>
  <c r="BE75" i="9"/>
  <c r="BF75" i="9"/>
  <c r="BE85" i="9"/>
  <c r="BF85" i="9"/>
  <c r="DM314" i="73"/>
  <c r="DM316" i="73" s="1"/>
  <c r="AM79" i="9"/>
  <c r="AJ78" i="9"/>
  <c r="AB66" i="9"/>
  <c r="AM70" i="9"/>
  <c r="AM64" i="9" s="1"/>
  <c r="AH77" i="9"/>
  <c r="AN70" i="9"/>
  <c r="AN64" i="9" s="1"/>
  <c r="AD77" i="9"/>
  <c r="AD65" i="9" s="1"/>
  <c r="AN79" i="9"/>
  <c r="AA77" i="9"/>
  <c r="AA65" i="9" s="1"/>
  <c r="AN69" i="9"/>
  <c r="AG77" i="9"/>
  <c r="AM69" i="9"/>
  <c r="AH78" i="9"/>
  <c r="AH65" i="9" s="1"/>
  <c r="AN80" i="9"/>
  <c r="AN65" i="9" s="1"/>
  <c r="AI69" i="9"/>
  <c r="AI64" i="9" s="1"/>
  <c r="Y66" i="9"/>
  <c r="Y64" i="9" s="1"/>
  <c r="AL70" i="9"/>
  <c r="AD76" i="9"/>
  <c r="AL68" i="9"/>
  <c r="AI79" i="9"/>
  <c r="AI65" i="9" s="1"/>
  <c r="AA67" i="9"/>
  <c r="AA64" i="9" s="1"/>
  <c r="AL78" i="9"/>
  <c r="W66" i="9"/>
  <c r="W64" i="9" s="1"/>
  <c r="AC66" i="9"/>
  <c r="AK79" i="9"/>
  <c r="AK65" i="9" s="1"/>
  <c r="AL79" i="9"/>
  <c r="AL65" i="9" s="1"/>
  <c r="AC78" i="9"/>
  <c r="AH67" i="9"/>
  <c r="Y67" i="9"/>
  <c r="AA76" i="9"/>
  <c r="AH69" i="9"/>
  <c r="AB77" i="9"/>
  <c r="AB65" i="9" s="1"/>
  <c r="AC77" i="9"/>
  <c r="AC65" i="9" s="1"/>
  <c r="AG79" i="9"/>
  <c r="AC67" i="9"/>
  <c r="AC64" i="9" s="1"/>
  <c r="Y76" i="9"/>
  <c r="Y65" i="9" s="1"/>
  <c r="AD68" i="9"/>
  <c r="AK78" i="9"/>
  <c r="AB78" i="9"/>
  <c r="AG68" i="9"/>
  <c r="AG64" i="9" s="1"/>
  <c r="X67" i="9"/>
  <c r="AM80" i="9"/>
  <c r="AM65" i="9" s="1"/>
  <c r="AG78" i="9"/>
  <c r="AG65" i="9" s="1"/>
  <c r="AF79" i="9"/>
  <c r="AK68" i="9"/>
  <c r="AF68" i="9"/>
  <c r="AF64" i="9" s="1"/>
  <c r="AD78" i="9"/>
  <c r="Y77" i="9"/>
  <c r="AJ79" i="9"/>
  <c r="AJ65" i="9" s="1"/>
  <c r="AG69" i="9"/>
  <c r="AL80" i="9"/>
  <c r="AG67" i="9"/>
  <c r="AF69" i="9"/>
  <c r="Z76" i="9"/>
  <c r="Z65" i="9" s="1"/>
  <c r="AK69" i="9"/>
  <c r="AK64" i="9" s="1"/>
  <c r="AF67" i="9"/>
  <c r="AB67" i="9"/>
  <c r="AB64" i="9" s="1"/>
  <c r="AC68" i="9"/>
  <c r="AA66" i="9"/>
  <c r="Z67" i="9"/>
  <c r="AH68" i="9"/>
  <c r="AH64" i="9" s="1"/>
  <c r="W76" i="9"/>
  <c r="W65" i="9" s="1"/>
  <c r="AE69" i="9"/>
  <c r="AI78" i="9"/>
  <c r="W67" i="9"/>
  <c r="AF78" i="9"/>
  <c r="AF65" i="9" s="1"/>
  <c r="AE79" i="9"/>
  <c r="AE67" i="9"/>
  <c r="W77" i="9"/>
  <c r="X76" i="9"/>
  <c r="X65" i="9" s="1"/>
  <c r="Z77" i="9"/>
  <c r="AB68" i="9"/>
  <c r="AF77" i="9"/>
  <c r="AC76" i="9"/>
  <c r="Z66" i="9"/>
  <c r="Z64" i="9" s="1"/>
  <c r="X77" i="9"/>
  <c r="AE78" i="9"/>
  <c r="AE65" i="9" s="1"/>
  <c r="AE68" i="9"/>
  <c r="AE64" i="9" s="1"/>
  <c r="AH79" i="9"/>
  <c r="AJ69" i="9"/>
  <c r="AJ64" i="9" s="1"/>
  <c r="AE77" i="9"/>
  <c r="AJ68" i="9"/>
  <c r="X66" i="9"/>
  <c r="X64" i="9" s="1"/>
  <c r="AB76" i="9"/>
  <c r="AD66" i="9"/>
  <c r="AD67" i="9"/>
  <c r="AD64" i="9" s="1"/>
  <c r="AI68" i="9"/>
  <c r="AL69" i="9"/>
  <c r="AL64" i="9" s="1"/>
  <c r="AO80" i="9"/>
  <c r="AO65" i="9" s="1"/>
  <c r="AO79" i="9"/>
  <c r="AO69" i="9"/>
  <c r="AO70" i="9"/>
  <c r="AO64" i="9" s="1"/>
  <c r="AP80" i="9"/>
  <c r="AP65" i="9" s="1"/>
  <c r="AS80" i="9"/>
  <c r="AP79" i="9"/>
  <c r="AP70" i="9"/>
  <c r="AP64" i="9" s="1"/>
  <c r="AS82" i="9"/>
  <c r="AQ80" i="9"/>
  <c r="AQ70" i="9"/>
  <c r="AR81" i="9"/>
  <c r="AR65" i="9" s="1"/>
  <c r="AS72" i="9"/>
  <c r="AP69" i="9"/>
  <c r="AQ81" i="9"/>
  <c r="AQ65" i="9" s="1"/>
  <c r="AQ71" i="9"/>
  <c r="AQ64" i="9" s="1"/>
  <c r="AT80" i="9"/>
  <c r="AS70" i="9"/>
  <c r="AS81" i="9"/>
  <c r="AS65" i="9" s="1"/>
  <c r="AS71" i="9"/>
  <c r="AS64" i="9" s="1"/>
  <c r="AT81" i="9"/>
  <c r="AT65" i="9" s="1"/>
  <c r="AT82" i="9"/>
  <c r="AR70" i="9"/>
  <c r="AR71" i="9"/>
  <c r="AR64" i="9" s="1"/>
  <c r="AV82" i="9"/>
  <c r="AV65" i="9" s="1"/>
  <c r="AU71" i="9"/>
  <c r="AT71" i="9"/>
  <c r="AT64" i="9" s="1"/>
  <c r="AR80" i="9"/>
  <c r="AU72" i="9"/>
  <c r="AU64" i="9" s="1"/>
  <c r="AT70" i="9"/>
  <c r="AT72" i="9"/>
  <c r="AU82" i="9"/>
  <c r="AU65" i="9" s="1"/>
  <c r="AV81" i="9"/>
  <c r="AV72" i="9"/>
  <c r="AV64" i="9" s="1"/>
  <c r="AW72" i="9"/>
  <c r="AW64" i="9" s="1"/>
  <c r="AW82" i="9"/>
  <c r="AW65" i="9" s="1"/>
  <c r="AU81" i="9"/>
  <c r="AV71" i="9"/>
  <c r="AY72" i="9"/>
  <c r="AY64" i="9" s="1"/>
  <c r="AW81" i="9"/>
  <c r="AX71" i="9"/>
  <c r="AX81" i="9"/>
  <c r="AW71" i="9"/>
  <c r="AX72" i="9"/>
  <c r="AX64" i="9" s="1"/>
  <c r="AZ82" i="9"/>
  <c r="AZ65" i="9" s="1"/>
  <c r="AX82" i="9"/>
  <c r="AX65" i="9" s="1"/>
  <c r="BB82" i="9"/>
  <c r="AY82" i="9"/>
  <c r="AY65" i="9" s="1"/>
  <c r="BA82" i="9"/>
  <c r="BA65" i="9" s="1"/>
  <c r="AZ72" i="9"/>
  <c r="AZ64" i="9" s="1"/>
  <c r="BB73" i="9"/>
  <c r="BB64" i="9" s="1"/>
  <c r="BD83" i="9"/>
  <c r="BD65" i="9" s="1"/>
  <c r="BB84" i="9"/>
  <c r="BB72" i="9"/>
  <c r="BD74" i="9"/>
  <c r="BE83" i="9"/>
  <c r="BE65" i="9" s="1"/>
  <c r="BB83" i="9"/>
  <c r="BB65" i="9" s="1"/>
  <c r="BD73" i="9"/>
  <c r="BD64" i="9" s="1"/>
  <c r="BB74" i="9"/>
  <c r="BC84" i="9"/>
  <c r="BD84" i="9"/>
  <c r="BE73" i="9"/>
  <c r="BE64" i="9" s="1"/>
  <c r="BC83" i="9"/>
  <c r="BC65" i="9" s="1"/>
  <c r="BC73" i="9"/>
  <c r="BC64" i="9" s="1"/>
  <c r="BC74" i="9"/>
  <c r="BE84" i="9"/>
  <c r="BE74" i="9"/>
  <c r="BF74" i="9"/>
  <c r="BF83" i="9"/>
  <c r="BF65" i="9" s="1"/>
  <c r="BF84" i="9"/>
  <c r="T291" i="77" l="1"/>
  <c r="AS291" i="77" l="1"/>
  <c r="AO291" i="77"/>
  <c r="AA291" i="77"/>
  <c r="Z291" i="77"/>
  <c r="Y291" i="77"/>
  <c r="X291" i="77"/>
  <c r="W291" i="77"/>
  <c r="V291" i="77"/>
  <c r="U291" i="77"/>
  <c r="O291" i="77"/>
  <c r="C291" i="77"/>
  <c r="BS15" i="84" s="1"/>
  <c r="AV61" i="83" l="1"/>
  <c r="AV48" i="83"/>
  <c r="AV50" i="83" s="1"/>
  <c r="AV59" i="83"/>
  <c r="AV55" i="83"/>
  <c r="AV57" i="83"/>
  <c r="AV53" i="83"/>
  <c r="AV45" i="83"/>
  <c r="AM208" i="77"/>
  <c r="AV51" i="83" l="1"/>
  <c r="AV42" i="83"/>
  <c r="AV47" i="83"/>
  <c r="AM209" i="77"/>
  <c r="AB291" i="77"/>
  <c r="AX209" i="77"/>
  <c r="AR291" i="77"/>
  <c r="AE209" i="77"/>
  <c r="AL208" i="77"/>
  <c r="AK208" i="77"/>
  <c r="AI209" i="77"/>
  <c r="AJ208" i="77"/>
  <c r="AJ209" i="77"/>
  <c r="AW209" i="77"/>
  <c r="AE208" i="77"/>
  <c r="AU209" i="77"/>
  <c r="AF208" i="77"/>
  <c r="AH209" i="77"/>
  <c r="AV209" i="77"/>
  <c r="AK209" i="77"/>
  <c r="AH208" i="77"/>
  <c r="AI208" i="77"/>
  <c r="AF209" i="77"/>
  <c r="AG209" i="77"/>
  <c r="AL209" i="77"/>
  <c r="AY209" i="77"/>
  <c r="AG208" i="77"/>
  <c r="AV44" i="83" l="1"/>
  <c r="AV63" i="83"/>
  <c r="AM291" i="77"/>
  <c r="AG291" i="77"/>
  <c r="AH291" i="77"/>
  <c r="AK291" i="77"/>
  <c r="AI291" i="77"/>
  <c r="AE291" i="77"/>
  <c r="AF291" i="77"/>
  <c r="AJ291" i="77"/>
  <c r="AL291" i="77"/>
  <c r="AX291" i="77"/>
  <c r="AU291" i="77"/>
  <c r="AV291" i="77"/>
  <c r="AY291" i="77"/>
  <c r="AW291" i="77"/>
  <c r="AX208" i="77" l="1"/>
  <c r="AY208" i="77"/>
  <c r="AW208" i="77"/>
  <c r="AU208" i="77"/>
  <c r="AV208" i="77"/>
  <c r="AT55" i="83" l="1"/>
  <c r="AT48" i="83"/>
  <c r="AT50" i="83" l="1"/>
  <c r="AT45" i="83"/>
  <c r="BR6" i="84"/>
  <c r="BR9" i="84"/>
  <c r="BG35" i="9" s="1"/>
  <c r="AT53" i="83"/>
  <c r="AT59" i="83"/>
  <c r="AT61" i="83"/>
  <c r="AT42" i="83" l="1"/>
  <c r="AT47" i="83"/>
  <c r="BF35" i="9"/>
  <c r="BR12" i="84"/>
  <c r="AT57" i="83" s="1"/>
  <c r="AT51" i="83"/>
  <c r="AT44" i="83" l="1"/>
  <c r="AT63" i="83"/>
  <c r="AY207" i="77" l="1"/>
  <c r="AX207" i="77"/>
  <c r="AV207" i="77"/>
  <c r="AW207" i="77"/>
  <c r="AU207" i="77"/>
  <c r="AO290" i="77" l="1"/>
  <c r="C290" i="77" l="1"/>
  <c r="BR15" i="84" s="1"/>
  <c r="O290" i="77"/>
  <c r="AR290" i="77" l="1"/>
  <c r="AW206" i="77" l="1"/>
  <c r="AQ290" i="77"/>
  <c r="AY206" i="77"/>
  <c r="AS290" i="77"/>
  <c r="AX206" i="77"/>
  <c r="AV206" i="77"/>
  <c r="AP290" i="77"/>
  <c r="AU206" i="77"/>
  <c r="AY290" i="77" l="1"/>
  <c r="Z290" i="77"/>
  <c r="W290" i="77"/>
  <c r="Y290" i="77"/>
  <c r="AV290" i="77"/>
  <c r="AU290" i="77"/>
  <c r="AA290" i="77"/>
  <c r="AX290" i="77"/>
  <c r="V290" i="77"/>
  <c r="U290" i="77"/>
  <c r="T290" i="77"/>
  <c r="AW290" i="77"/>
  <c r="X290" i="77"/>
  <c r="AM207" i="77" l="1"/>
  <c r="AF207" i="77" l="1"/>
  <c r="AJ207" i="77"/>
  <c r="AE207" i="77"/>
  <c r="AG207" i="77"/>
  <c r="AI207" i="77"/>
  <c r="AH207" i="77"/>
  <c r="AM206" i="77"/>
  <c r="AB290" i="77"/>
  <c r="AK206" i="77"/>
  <c r="AG206" i="77"/>
  <c r="AF206" i="77"/>
  <c r="AE206" i="77"/>
  <c r="AH206" i="77"/>
  <c r="AJ206" i="77"/>
  <c r="AL206" i="77"/>
  <c r="AI206" i="77"/>
  <c r="AK207" i="77"/>
  <c r="AL207" i="77"/>
  <c r="AM290" i="77" l="1"/>
  <c r="AE290" i="77"/>
  <c r="AL290" i="77"/>
  <c r="AK290" i="77"/>
  <c r="AI290" i="77"/>
  <c r="AJ290" i="77"/>
  <c r="AF290" i="77"/>
  <c r="AH290" i="77"/>
  <c r="AG290" i="77"/>
  <c r="AU205" i="77" l="1"/>
  <c r="AV205" i="77"/>
  <c r="AW205" i="77"/>
  <c r="AX205" i="77"/>
  <c r="AY205" i="77"/>
  <c r="AX204" i="77" l="1"/>
  <c r="AW204" i="77"/>
  <c r="AR289" i="77"/>
  <c r="AY204" i="77"/>
  <c r="AV204" i="77"/>
  <c r="AS53" i="83"/>
  <c r="AU204" i="77"/>
  <c r="AM205" i="77"/>
  <c r="AL205" i="77" l="1"/>
  <c r="AG205" i="77"/>
  <c r="AJ205" i="77"/>
  <c r="AI205" i="77"/>
  <c r="AE205" i="77"/>
  <c r="AF205" i="77"/>
  <c r="AH205" i="77"/>
  <c r="AK205" i="77"/>
  <c r="AS48" i="83" l="1"/>
  <c r="AS55" i="83" l="1"/>
  <c r="BQ9" i="84"/>
  <c r="AS50" i="83"/>
  <c r="BQ6" i="84"/>
  <c r="AS45" i="83"/>
  <c r="AS61" i="83"/>
  <c r="AS59" i="83"/>
  <c r="AS47" i="83" l="1"/>
  <c r="AS42" i="83"/>
  <c r="BE35" i="9"/>
  <c r="BQ12" i="84"/>
  <c r="AS57" i="83" s="1"/>
  <c r="AO289" i="77"/>
  <c r="AS51" i="83"/>
  <c r="AM204" i="77"/>
  <c r="O289" i="77"/>
  <c r="C289" i="77"/>
  <c r="BQ15" i="84" s="1"/>
  <c r="AH204" i="77" l="1"/>
  <c r="AE204" i="77"/>
  <c r="AI204" i="77"/>
  <c r="AF204" i="77"/>
  <c r="AG204" i="77"/>
  <c r="AS44" i="83"/>
  <c r="AS63" i="83"/>
  <c r="AJ204" i="77"/>
  <c r="AL204" i="77"/>
  <c r="AK204" i="77"/>
  <c r="AA289" i="77"/>
  <c r="V289" i="77" l="1"/>
  <c r="W289" i="77"/>
  <c r="Y289" i="77"/>
  <c r="X289" i="77"/>
  <c r="U289" i="77"/>
  <c r="T289" i="77"/>
  <c r="Z289" i="77"/>
  <c r="AE203" i="77"/>
  <c r="AF203" i="77" l="1"/>
  <c r="AI203" i="77"/>
  <c r="AJ203" i="77"/>
  <c r="AH203" i="77"/>
  <c r="AK203" i="77"/>
  <c r="AG203" i="77"/>
  <c r="AL203" i="77"/>
  <c r="AM203" i="77"/>
  <c r="AB289" i="77"/>
  <c r="AM289" i="77" s="1"/>
  <c r="AL289" i="77" l="1"/>
  <c r="AE289" i="77"/>
  <c r="AI289" i="77"/>
  <c r="AG289" i="77"/>
  <c r="AK289" i="77"/>
  <c r="AH289" i="77"/>
  <c r="AJ289" i="77"/>
  <c r="AF289" i="77"/>
  <c r="AS289" i="77" l="1"/>
  <c r="AY203" i="77"/>
  <c r="AP289" i="77"/>
  <c r="AV203" i="77"/>
  <c r="AU203" i="77"/>
  <c r="AX203" i="77"/>
  <c r="AQ289" i="77"/>
  <c r="AW203" i="77"/>
  <c r="AW289" i="77" l="1"/>
  <c r="AV289" i="77"/>
  <c r="AU289" i="77"/>
  <c r="AX289" i="77"/>
  <c r="AY289" i="77"/>
  <c r="AV202" i="77" l="1"/>
  <c r="AU202" i="77"/>
  <c r="AW202" i="77"/>
  <c r="AX202" i="77"/>
  <c r="AY202" i="77"/>
  <c r="AR55" i="83" l="1"/>
  <c r="AR48" i="83"/>
  <c r="BP6" i="84" l="1"/>
  <c r="AR45" i="83"/>
  <c r="BP9" i="84"/>
  <c r="AR53" i="83"/>
  <c r="AR50" i="83"/>
  <c r="AM202" i="77"/>
  <c r="AR61" i="83"/>
  <c r="AR59" i="83"/>
  <c r="AH202" i="77" l="1"/>
  <c r="AJ202" i="77"/>
  <c r="AG202" i="77"/>
  <c r="AK202" i="77"/>
  <c r="BP12" i="84"/>
  <c r="AR57" i="83" s="1"/>
  <c r="BD35" i="9"/>
  <c r="AE202" i="77"/>
  <c r="AR42" i="83"/>
  <c r="AR47" i="83"/>
  <c r="AR51" i="83"/>
  <c r="AI202" i="77"/>
  <c r="AF202" i="77"/>
  <c r="AL202" i="77"/>
  <c r="AR63" i="83" l="1"/>
  <c r="AR44" i="83"/>
  <c r="C288" i="77"/>
  <c r="BP15" i="84" s="1"/>
  <c r="AV201" i="77" l="1"/>
  <c r="AU201" i="77"/>
  <c r="AW201" i="77"/>
  <c r="AX201" i="77"/>
  <c r="AY201" i="77"/>
  <c r="AM201" i="77"/>
  <c r="AE201" i="77" l="1"/>
  <c r="AK201" i="77"/>
  <c r="AH201" i="77"/>
  <c r="AJ201" i="77"/>
  <c r="AL201" i="77"/>
  <c r="AG201" i="77"/>
  <c r="AF201" i="77"/>
  <c r="AI201" i="77"/>
  <c r="AU200" i="77" l="1"/>
  <c r="AO288" i="77"/>
  <c r="AV200" i="77"/>
  <c r="AP288" i="77"/>
  <c r="AW200" i="77"/>
  <c r="AQ288" i="77"/>
  <c r="AR288" i="77"/>
  <c r="AX200" i="77"/>
  <c r="AY200" i="77"/>
  <c r="AS288" i="77"/>
  <c r="O288" i="77"/>
  <c r="AY288" i="77" l="1"/>
  <c r="AA288" i="77"/>
  <c r="AX288" i="77"/>
  <c r="AW288" i="77"/>
  <c r="X288" i="77"/>
  <c r="V288" i="77"/>
  <c r="U288" i="77"/>
  <c r="Y288" i="77"/>
  <c r="AV288" i="77"/>
  <c r="T288" i="77"/>
  <c r="Z288" i="77"/>
  <c r="AU288" i="77"/>
  <c r="W288" i="77"/>
  <c r="AF200" i="77"/>
  <c r="AJ200" i="77" l="1"/>
  <c r="AM200" i="77"/>
  <c r="AB288" i="77"/>
  <c r="AM288" i="77" s="1"/>
  <c r="AG200" i="77"/>
  <c r="AH200" i="77"/>
  <c r="AK200" i="77"/>
  <c r="AI200" i="77"/>
  <c r="AE200" i="77"/>
  <c r="AL200" i="77"/>
  <c r="AV165" i="83"/>
  <c r="AV163" i="83"/>
  <c r="AI288" i="77" l="1"/>
  <c r="AK288" i="77"/>
  <c r="AG288" i="77"/>
  <c r="AU162" i="83"/>
  <c r="AH288" i="77"/>
  <c r="AJ288" i="77"/>
  <c r="AL288" i="77"/>
  <c r="AU164" i="83"/>
  <c r="AF288" i="77"/>
  <c r="AE288" i="77"/>
  <c r="AQ55" i="83"/>
  <c r="AV56" i="83" s="1"/>
  <c r="AQ48" i="83"/>
  <c r="AV49" i="83" s="1"/>
  <c r="AU199" i="77" l="1"/>
  <c r="AU55" i="83"/>
  <c r="AV199" i="77"/>
  <c r="BO9" i="84"/>
  <c r="AQ53" i="83"/>
  <c r="AV54" i="83" s="1"/>
  <c r="AY199" i="77"/>
  <c r="AX199" i="77"/>
  <c r="AW199" i="77"/>
  <c r="BO6" i="84"/>
  <c r="AQ45" i="83"/>
  <c r="AV46" i="83" s="1"/>
  <c r="AU48" i="83"/>
  <c r="AQ50" i="83"/>
  <c r="AQ59" i="83"/>
  <c r="AV60" i="83" s="1"/>
  <c r="AQ61" i="83"/>
  <c r="AV62" i="83" s="1"/>
  <c r="AQ42" i="83" l="1"/>
  <c r="AV43" i="83" s="1"/>
  <c r="AU45" i="83"/>
  <c r="AQ47" i="83"/>
  <c r="AQ51" i="83"/>
  <c r="AV52" i="83" s="1"/>
  <c r="AU53" i="83"/>
  <c r="BO12" i="84"/>
  <c r="AQ57" i="83" s="1"/>
  <c r="AV58" i="83" s="1"/>
  <c r="BC35" i="9"/>
  <c r="AU61" i="83"/>
  <c r="AU50" i="83"/>
  <c r="AA287" i="77" l="1"/>
  <c r="U287" i="77"/>
  <c r="AU59" i="83"/>
  <c r="V287" i="77"/>
  <c r="AU51" i="83"/>
  <c r="X287" i="77"/>
  <c r="T287" i="77"/>
  <c r="Z287" i="77"/>
  <c r="W287" i="77"/>
  <c r="AU47" i="83"/>
  <c r="Y287" i="77"/>
  <c r="AQ63" i="83"/>
  <c r="AV64" i="83" s="1"/>
  <c r="AQ44" i="83"/>
  <c r="AU42" i="83"/>
  <c r="AM199" i="77"/>
  <c r="AI199" i="77" l="1"/>
  <c r="AJ199" i="77"/>
  <c r="AU57" i="83"/>
  <c r="AU63" i="83" s="1"/>
  <c r="AG199" i="77"/>
  <c r="AH199" i="77"/>
  <c r="AK199" i="77"/>
  <c r="AF199" i="77"/>
  <c r="AU44" i="83"/>
  <c r="AE199" i="77"/>
  <c r="AL199" i="77"/>
  <c r="AE198" i="77" l="1"/>
  <c r="AL198" i="77"/>
  <c r="AK198" i="77"/>
  <c r="AH198" i="77"/>
  <c r="AM198" i="77"/>
  <c r="AF198" i="77"/>
  <c r="AJ198" i="77"/>
  <c r="AI198" i="77"/>
  <c r="AG198" i="77"/>
  <c r="AX198" i="77" l="1"/>
  <c r="AY198" i="77"/>
  <c r="AU198" i="77"/>
  <c r="AV198" i="77"/>
  <c r="AW198" i="77"/>
  <c r="AG197" i="77" l="1"/>
  <c r="AI197" i="77"/>
  <c r="AH197" i="77"/>
  <c r="AE197" i="77"/>
  <c r="AK197" i="77"/>
  <c r="AM197" i="77"/>
  <c r="AB287" i="77"/>
  <c r="AJ197" i="77"/>
  <c r="AF197" i="77"/>
  <c r="AL197" i="77"/>
  <c r="C287" i="77"/>
  <c r="BO15" i="84" s="1"/>
  <c r="AM287" i="77" l="1"/>
  <c r="AJ287" i="77"/>
  <c r="AK287" i="77"/>
  <c r="AG287" i="77"/>
  <c r="AL287" i="77"/>
  <c r="AE287" i="77"/>
  <c r="AH287" i="77"/>
  <c r="AI287" i="77"/>
  <c r="AF287" i="77"/>
  <c r="AV197" i="77" l="1"/>
  <c r="AP287" i="77"/>
  <c r="AW197" i="77"/>
  <c r="AQ287" i="77"/>
  <c r="AR287" i="77"/>
  <c r="AX197" i="77"/>
  <c r="AY197" i="77"/>
  <c r="AS287" i="77"/>
  <c r="AU197" i="77"/>
  <c r="AO287" i="77"/>
  <c r="O287" i="77"/>
  <c r="AY196" i="77" l="1"/>
  <c r="AY287" i="77"/>
  <c r="AX196" i="77"/>
  <c r="AX287" i="77"/>
  <c r="AW287" i="77"/>
  <c r="AV287" i="77"/>
  <c r="AU287" i="77"/>
  <c r="AU196" i="77"/>
  <c r="AV196" i="77"/>
  <c r="AW196" i="77"/>
  <c r="U286" i="77" l="1"/>
  <c r="T286" i="77"/>
  <c r="AL196" i="77"/>
  <c r="AO55" i="83"/>
  <c r="AO48" i="83"/>
  <c r="BN6" i="84" l="1"/>
  <c r="AO45" i="83"/>
  <c r="AO50" i="83"/>
  <c r="AT49" i="83"/>
  <c r="AT56" i="83"/>
  <c r="AJ196" i="77"/>
  <c r="AM196" i="77"/>
  <c r="AT163" i="83"/>
  <c r="AE196" i="77"/>
  <c r="AT165" i="83"/>
  <c r="AG196" i="77"/>
  <c r="AH196" i="77"/>
  <c r="AI196" i="77"/>
  <c r="AK196" i="77"/>
  <c r="AF196" i="77"/>
  <c r="AO61" i="83"/>
  <c r="AT62" i="83" l="1"/>
  <c r="AO47" i="83"/>
  <c r="AO42" i="83"/>
  <c r="AT46" i="83"/>
  <c r="AM195" i="77" l="1"/>
  <c r="AK195" i="77"/>
  <c r="AF195" i="77"/>
  <c r="AI195" i="77"/>
  <c r="AH195" i="77"/>
  <c r="AE195" i="77"/>
  <c r="AL195" i="77"/>
  <c r="AJ195" i="77"/>
  <c r="AG195" i="77"/>
  <c r="AO44" i="83"/>
  <c r="AT43" i="83"/>
  <c r="AX195" i="77" l="1"/>
  <c r="AY195" i="77"/>
  <c r="AU195" i="77"/>
  <c r="AV195" i="77"/>
  <c r="AW195" i="77"/>
  <c r="C286" i="77" l="1"/>
  <c r="BN15" i="84" s="1"/>
  <c r="AU194" i="77" l="1"/>
  <c r="AO286" i="77"/>
  <c r="AS286" i="77"/>
  <c r="AY194" i="77"/>
  <c r="AV194" i="77"/>
  <c r="AP286" i="77"/>
  <c r="AW194" i="77"/>
  <c r="AQ286" i="77"/>
  <c r="AR286" i="77"/>
  <c r="AX194" i="77"/>
  <c r="BN9" i="84"/>
  <c r="AO53" i="83"/>
  <c r="AO59" i="83"/>
  <c r="O286" i="77"/>
  <c r="AV286" i="77" l="1"/>
  <c r="AT60" i="83"/>
  <c r="Y286" i="77"/>
  <c r="AA286" i="77"/>
  <c r="AX286" i="77"/>
  <c r="AY286" i="77"/>
  <c r="W286" i="77"/>
  <c r="AW286" i="77"/>
  <c r="AU286" i="77"/>
  <c r="V286" i="77"/>
  <c r="AO51" i="83"/>
  <c r="AT54" i="83"/>
  <c r="BN12" i="84"/>
  <c r="AO57" i="83" s="1"/>
  <c r="BB35" i="9"/>
  <c r="Z286" i="77"/>
  <c r="X286" i="77"/>
  <c r="AL194" i="77"/>
  <c r="AT52" i="83" l="1"/>
  <c r="AB286" i="77"/>
  <c r="AM286" i="77" s="1"/>
  <c r="AM194" i="77"/>
  <c r="AH194" i="77"/>
  <c r="AK194" i="77"/>
  <c r="AT58" i="83"/>
  <c r="AO63" i="83"/>
  <c r="AE194" i="77"/>
  <c r="AF194" i="77"/>
  <c r="AJ194" i="77"/>
  <c r="AG194" i="77"/>
  <c r="AI194" i="77"/>
  <c r="AL286" i="77" l="1"/>
  <c r="AH286" i="77"/>
  <c r="AT64" i="83"/>
  <c r="AF286" i="77"/>
  <c r="AK286" i="77"/>
  <c r="AJ286" i="77"/>
  <c r="AE286" i="77"/>
  <c r="AG286" i="77"/>
  <c r="AI286" i="77"/>
  <c r="AN55" i="83" l="1"/>
  <c r="AS163" i="83" l="1"/>
  <c r="AS165" i="83"/>
  <c r="AN45" i="83"/>
  <c r="AS56" i="83"/>
  <c r="AN48" i="83"/>
  <c r="AN47" i="83" l="1"/>
  <c r="AN42" i="83"/>
  <c r="AS46" i="83"/>
  <c r="BM6" i="84"/>
  <c r="BM9" i="84"/>
  <c r="AN53" i="83"/>
  <c r="AN50" i="83"/>
  <c r="AS49" i="83"/>
  <c r="AM193" i="77"/>
  <c r="AN59" i="83"/>
  <c r="AN61" i="83"/>
  <c r="AV193" i="77" l="1"/>
  <c r="AH193" i="77"/>
  <c r="BM12" i="84"/>
  <c r="AN57" i="83" s="1"/>
  <c r="AN63" i="83" s="1"/>
  <c r="BA35" i="9"/>
  <c r="AY193" i="77"/>
  <c r="AF193" i="77"/>
  <c r="AG193" i="77"/>
  <c r="AS62" i="83"/>
  <c r="AE193" i="77"/>
  <c r="AW193" i="77"/>
  <c r="AK193" i="77"/>
  <c r="AS60" i="83"/>
  <c r="AN44" i="83"/>
  <c r="AS43" i="83"/>
  <c r="AX193" i="77"/>
  <c r="AI193" i="77"/>
  <c r="AL193" i="77"/>
  <c r="AU193" i="77"/>
  <c r="AN51" i="83"/>
  <c r="AS54" i="83"/>
  <c r="AJ193" i="77"/>
  <c r="AS64" i="83" l="1"/>
  <c r="AS52" i="83"/>
  <c r="AS58" i="83"/>
  <c r="AU192" i="77" l="1"/>
  <c r="AV192" i="77"/>
  <c r="AV191" i="77"/>
  <c r="AP285" i="77"/>
  <c r="AR285" i="77"/>
  <c r="AX191" i="77"/>
  <c r="AW192" i="77"/>
  <c r="AY192" i="77"/>
  <c r="AX192" i="77"/>
  <c r="AO285" i="77"/>
  <c r="AU191" i="77"/>
  <c r="AW191" i="77"/>
  <c r="AQ285" i="77"/>
  <c r="AY191" i="77"/>
  <c r="AS285" i="77"/>
  <c r="C285" i="77"/>
  <c r="BM15" i="84" s="1"/>
  <c r="O285" i="77" l="1"/>
  <c r="AW285" i="77"/>
  <c r="AU285" i="77"/>
  <c r="AX285" i="77"/>
  <c r="AV285" i="77"/>
  <c r="AY285" i="77"/>
  <c r="AM192" i="77"/>
  <c r="AL192" i="77" l="1"/>
  <c r="AH192" i="77"/>
  <c r="V285" i="77"/>
  <c r="Y285" i="77"/>
  <c r="AK192" i="77"/>
  <c r="AI192" i="77"/>
  <c r="Z285" i="77"/>
  <c r="W285" i="77"/>
  <c r="T285" i="77"/>
  <c r="AE192" i="77"/>
  <c r="AG192" i="77"/>
  <c r="AA285" i="77"/>
  <c r="X285" i="77"/>
  <c r="AF192" i="77"/>
  <c r="U285" i="77"/>
  <c r="AJ192" i="77"/>
  <c r="AF191" i="77"/>
  <c r="AM191" i="77" l="1"/>
  <c r="AB285" i="77"/>
  <c r="AM285" i="77" s="1"/>
  <c r="AH191" i="77"/>
  <c r="AK191" i="77"/>
  <c r="AI191" i="77"/>
  <c r="AL191" i="77"/>
  <c r="AJ191" i="77"/>
  <c r="AG191" i="77"/>
  <c r="AE191" i="77"/>
  <c r="AR165" i="83"/>
  <c r="AR163" i="83"/>
  <c r="AW190" i="77" l="1"/>
  <c r="AF100" i="77"/>
  <c r="AK100" i="77"/>
  <c r="AJ100" i="77"/>
  <c r="AM100" i="77"/>
  <c r="AI100" i="77"/>
  <c r="AH100" i="77"/>
  <c r="AG100" i="77"/>
  <c r="AE100" i="77"/>
  <c r="AK155" i="77"/>
  <c r="AB273" i="77"/>
  <c r="AE155" i="77"/>
  <c r="AI155" i="77"/>
  <c r="AM155" i="77"/>
  <c r="AJ155" i="77"/>
  <c r="AG155" i="77"/>
  <c r="AH155" i="77"/>
  <c r="AF155" i="77"/>
  <c r="AK170" i="77"/>
  <c r="AG170" i="77"/>
  <c r="AB278" i="77"/>
  <c r="AM170" i="77"/>
  <c r="AJ170" i="77"/>
  <c r="AF170" i="77"/>
  <c r="AH170" i="77"/>
  <c r="AI170" i="77"/>
  <c r="AE170" i="77"/>
  <c r="AA281" i="77"/>
  <c r="AI89" i="77"/>
  <c r="AJ89" i="77"/>
  <c r="AG89" i="77"/>
  <c r="AK89" i="77"/>
  <c r="AB251" i="77"/>
  <c r="AE89" i="77"/>
  <c r="AM89" i="77"/>
  <c r="AH89" i="77"/>
  <c r="AF89" i="77"/>
  <c r="AB255" i="77"/>
  <c r="AI101" i="77"/>
  <c r="AK101" i="77"/>
  <c r="AG101" i="77"/>
  <c r="AE101" i="77"/>
  <c r="AM101" i="77"/>
  <c r="AH101" i="77"/>
  <c r="AJ101" i="77"/>
  <c r="AF101" i="77"/>
  <c r="AM156" i="77"/>
  <c r="AF156" i="77"/>
  <c r="AJ156" i="77"/>
  <c r="AH156" i="77"/>
  <c r="AG156" i="77"/>
  <c r="AE156" i="77"/>
  <c r="AK156" i="77"/>
  <c r="AI156" i="77"/>
  <c r="AK171" i="77"/>
  <c r="AH171" i="77"/>
  <c r="AE171" i="77"/>
  <c r="AG171" i="77"/>
  <c r="AF171" i="77"/>
  <c r="AM171" i="77"/>
  <c r="AI171" i="77"/>
  <c r="AJ171" i="77"/>
  <c r="AI285" i="77"/>
  <c r="AK90" i="77"/>
  <c r="AJ90" i="77"/>
  <c r="AG90" i="77"/>
  <c r="AF90" i="77"/>
  <c r="AE90" i="77"/>
  <c r="AH90" i="77"/>
  <c r="AI90" i="77"/>
  <c r="AM90" i="77"/>
  <c r="AE102" i="77"/>
  <c r="AI102" i="77"/>
  <c r="AK102" i="77"/>
  <c r="AJ102" i="77"/>
  <c r="AH102" i="77"/>
  <c r="AM102" i="77"/>
  <c r="AF102" i="77"/>
  <c r="AG102" i="77"/>
  <c r="AJ157" i="77"/>
  <c r="AG157" i="77"/>
  <c r="AH157" i="77"/>
  <c r="AI157" i="77"/>
  <c r="AE157" i="77"/>
  <c r="AF157" i="77"/>
  <c r="AK157" i="77"/>
  <c r="AM157" i="77"/>
  <c r="AK172" i="77"/>
  <c r="AM172" i="77"/>
  <c r="AF172" i="77"/>
  <c r="AI172" i="77"/>
  <c r="AG172" i="77"/>
  <c r="AE172" i="77"/>
  <c r="AJ172" i="77"/>
  <c r="AH172" i="77"/>
  <c r="AK91" i="77"/>
  <c r="AH91" i="77"/>
  <c r="AG91" i="77"/>
  <c r="AF91" i="77"/>
  <c r="AE91" i="77"/>
  <c r="AM91" i="77"/>
  <c r="AI91" i="77"/>
  <c r="AJ91" i="77"/>
  <c r="AF103" i="77"/>
  <c r="AK103" i="77"/>
  <c r="AI103" i="77"/>
  <c r="AJ103" i="77"/>
  <c r="AE103" i="77"/>
  <c r="AG103" i="77"/>
  <c r="AH103" i="77"/>
  <c r="AM103" i="77"/>
  <c r="AK158" i="77"/>
  <c r="AB274" i="77"/>
  <c r="AF158" i="77"/>
  <c r="AH158" i="77"/>
  <c r="AJ158" i="77"/>
  <c r="AE158" i="77"/>
  <c r="AG158" i="77"/>
  <c r="AM158" i="77"/>
  <c r="AI158" i="77"/>
  <c r="AF173" i="77"/>
  <c r="AE173" i="77"/>
  <c r="AG173" i="77"/>
  <c r="AK173" i="77"/>
  <c r="AJ173" i="77"/>
  <c r="AM173" i="77"/>
  <c r="AH173" i="77"/>
  <c r="AI173" i="77"/>
  <c r="AK285" i="77"/>
  <c r="AJ154" i="77"/>
  <c r="AM154" i="77"/>
  <c r="AK154" i="77"/>
  <c r="AI154" i="77"/>
  <c r="AF154" i="77"/>
  <c r="AH154" i="77"/>
  <c r="AG154" i="77"/>
  <c r="AE154" i="77"/>
  <c r="AJ167" i="77"/>
  <c r="AF167" i="77"/>
  <c r="AG167" i="77"/>
  <c r="AK167" i="77"/>
  <c r="AE167" i="77"/>
  <c r="AM167" i="77"/>
  <c r="AH167" i="77"/>
  <c r="AI167" i="77"/>
  <c r="AA282" i="77"/>
  <c r="AG92" i="77"/>
  <c r="AK92" i="77"/>
  <c r="AF92" i="77"/>
  <c r="AM92" i="77"/>
  <c r="AE92" i="77"/>
  <c r="AI92" i="77"/>
  <c r="AJ92" i="77"/>
  <c r="AB252" i="77"/>
  <c r="AH92" i="77"/>
  <c r="AM104" i="77"/>
  <c r="AJ104" i="77"/>
  <c r="AH104" i="77"/>
  <c r="AB256" i="77"/>
  <c r="AF104" i="77"/>
  <c r="AI104" i="77"/>
  <c r="AK104" i="77"/>
  <c r="AG104" i="77"/>
  <c r="AE104" i="77"/>
  <c r="AI159" i="77"/>
  <c r="AF159" i="77"/>
  <c r="AJ159" i="77"/>
  <c r="AE159" i="77"/>
  <c r="AK159" i="77"/>
  <c r="AM159" i="77"/>
  <c r="AH159" i="77"/>
  <c r="AG159" i="77"/>
  <c r="AA279" i="77"/>
  <c r="AG99" i="77"/>
  <c r="AE99" i="77"/>
  <c r="AK99" i="77"/>
  <c r="AM99" i="77"/>
  <c r="AH99" i="77"/>
  <c r="AF99" i="77"/>
  <c r="AJ99" i="77"/>
  <c r="AI99" i="77"/>
  <c r="AI93" i="77"/>
  <c r="AE93" i="77"/>
  <c r="AJ93" i="77"/>
  <c r="AG93" i="77"/>
  <c r="AF93" i="77"/>
  <c r="AM93" i="77"/>
  <c r="AK93" i="77"/>
  <c r="AH93" i="77"/>
  <c r="AI105" i="77"/>
  <c r="AE105" i="77"/>
  <c r="AM105" i="77"/>
  <c r="AH105" i="77"/>
  <c r="AF105" i="77"/>
  <c r="AJ105" i="77"/>
  <c r="AG105" i="77"/>
  <c r="AK105" i="77"/>
  <c r="AK160" i="77"/>
  <c r="AE160" i="77"/>
  <c r="AJ160" i="77"/>
  <c r="AH160" i="77"/>
  <c r="AG160" i="77"/>
  <c r="AI160" i="77"/>
  <c r="AF160" i="77"/>
  <c r="AM160" i="77"/>
  <c r="AF285" i="77"/>
  <c r="AF94" i="77"/>
  <c r="AK94" i="77"/>
  <c r="AM94" i="77"/>
  <c r="AE94" i="77"/>
  <c r="AJ94" i="77"/>
  <c r="AI94" i="77"/>
  <c r="AG94" i="77"/>
  <c r="AH94" i="77"/>
  <c r="AE106" i="77"/>
  <c r="AF106" i="77"/>
  <c r="AI106" i="77"/>
  <c r="AH106" i="77"/>
  <c r="AM106" i="77"/>
  <c r="AJ106" i="77"/>
  <c r="AG106" i="77"/>
  <c r="AK106" i="77"/>
  <c r="AF161" i="77"/>
  <c r="AB275" i="77"/>
  <c r="AG161" i="77"/>
  <c r="AK161" i="77"/>
  <c r="AM161" i="77"/>
  <c r="AE161" i="77"/>
  <c r="AI161" i="77"/>
  <c r="AH161" i="77"/>
  <c r="AJ161" i="77"/>
  <c r="AY190" i="77"/>
  <c r="AH285" i="77"/>
  <c r="AA283" i="77"/>
  <c r="AK95" i="77"/>
  <c r="AM95" i="77"/>
  <c r="AI95" i="77"/>
  <c r="AG95" i="77"/>
  <c r="AH95" i="77"/>
  <c r="AB253" i="77"/>
  <c r="AJ95" i="77"/>
  <c r="AE95" i="77"/>
  <c r="AF95" i="77"/>
  <c r="AE107" i="77"/>
  <c r="AK107" i="77"/>
  <c r="AF107" i="77"/>
  <c r="AH107" i="77"/>
  <c r="AM107" i="77"/>
  <c r="AJ107" i="77"/>
  <c r="AI107" i="77"/>
  <c r="AG107" i="77"/>
  <c r="AH162" i="77"/>
  <c r="AI162" i="77"/>
  <c r="AE162" i="77"/>
  <c r="AM162" i="77"/>
  <c r="AK162" i="77"/>
  <c r="AJ162" i="77"/>
  <c r="AG162" i="77"/>
  <c r="AF162" i="77"/>
  <c r="AX190" i="77"/>
  <c r="AG285" i="77"/>
  <c r="AJ96" i="77"/>
  <c r="AH96" i="77"/>
  <c r="AG96" i="77"/>
  <c r="AK96" i="77"/>
  <c r="AM96" i="77"/>
  <c r="AE96" i="77"/>
  <c r="AF96" i="77"/>
  <c r="AI96" i="77"/>
  <c r="AM139" i="77"/>
  <c r="AF139" i="77"/>
  <c r="AI139" i="77"/>
  <c r="AG139" i="77"/>
  <c r="AE139" i="77"/>
  <c r="AH139" i="77"/>
  <c r="AK139" i="77"/>
  <c r="AJ139" i="77"/>
  <c r="AH163" i="77"/>
  <c r="AF163" i="77"/>
  <c r="AE163" i="77"/>
  <c r="AI163" i="77"/>
  <c r="AK163" i="77"/>
  <c r="AG163" i="77"/>
  <c r="AM163" i="77"/>
  <c r="AJ163" i="77"/>
  <c r="AK97" i="77"/>
  <c r="AF97" i="77"/>
  <c r="AH97" i="77"/>
  <c r="AI97" i="77"/>
  <c r="AJ97" i="77"/>
  <c r="AG97" i="77"/>
  <c r="AE97" i="77"/>
  <c r="AM97" i="77"/>
  <c r="AE140" i="77"/>
  <c r="AH140" i="77"/>
  <c r="AK140" i="77"/>
  <c r="AG140" i="77"/>
  <c r="AJ140" i="77"/>
  <c r="AI140" i="77"/>
  <c r="AM140" i="77"/>
  <c r="AF140" i="77"/>
  <c r="AE164" i="77"/>
  <c r="AH164" i="77"/>
  <c r="AF164" i="77"/>
  <c r="AJ164" i="77"/>
  <c r="AG164" i="77"/>
  <c r="AI164" i="77"/>
  <c r="AK164" i="77"/>
  <c r="AM164" i="77"/>
  <c r="AV190" i="77"/>
  <c r="AL285" i="77"/>
  <c r="AA280" i="77"/>
  <c r="AA284" i="77"/>
  <c r="AF98" i="77"/>
  <c r="AH98" i="77"/>
  <c r="AI98" i="77"/>
  <c r="AK98" i="77"/>
  <c r="AM98" i="77"/>
  <c r="AG98" i="77"/>
  <c r="AE98" i="77"/>
  <c r="AJ98" i="77"/>
  <c r="AB254" i="77"/>
  <c r="AE153" i="77"/>
  <c r="AG153" i="77"/>
  <c r="AJ153" i="77"/>
  <c r="AK153" i="77"/>
  <c r="AH153" i="77"/>
  <c r="AI153" i="77"/>
  <c r="AF153" i="77"/>
  <c r="AM153" i="77"/>
  <c r="AM165" i="77"/>
  <c r="AG165" i="77"/>
  <c r="AE165" i="77"/>
  <c r="AH165" i="77"/>
  <c r="AF165" i="77"/>
  <c r="AJ165" i="77"/>
  <c r="AI165" i="77"/>
  <c r="AK165" i="77"/>
  <c r="AU190" i="77"/>
  <c r="AJ285" i="77"/>
  <c r="AE285" i="77"/>
  <c r="AL188" i="77"/>
  <c r="AM181" i="77"/>
  <c r="AM189" i="77"/>
  <c r="AE182" i="77"/>
  <c r="AM177" i="77"/>
  <c r="AG185" i="77"/>
  <c r="AL176" i="77"/>
  <c r="AM178" i="77"/>
  <c r="AM186" i="77"/>
  <c r="AF179" i="77"/>
  <c r="AM184" i="77"/>
  <c r="AM180" i="77"/>
  <c r="AG176" i="77" l="1"/>
  <c r="AJ185" i="77"/>
  <c r="AK179" i="77"/>
  <c r="AL185" i="77"/>
  <c r="AF182" i="77"/>
  <c r="AE178" i="77"/>
  <c r="AE188" i="77"/>
  <c r="AJ186" i="77"/>
  <c r="AJ181" i="77"/>
  <c r="AE176" i="77"/>
  <c r="AK188" i="77"/>
  <c r="AF176" i="77"/>
  <c r="AF256" i="77"/>
  <c r="AJ256" i="77"/>
  <c r="AG256" i="77"/>
  <c r="AH256" i="77"/>
  <c r="AK256" i="77"/>
  <c r="AM256" i="77"/>
  <c r="AI256" i="77"/>
  <c r="AE256" i="77"/>
  <c r="AE181" i="77"/>
  <c r="AG179" i="77"/>
  <c r="AH188" i="77"/>
  <c r="AL182" i="77"/>
  <c r="AK181" i="77"/>
  <c r="AG180" i="77"/>
  <c r="AH179" i="77"/>
  <c r="AH254" i="77"/>
  <c r="AE254" i="77"/>
  <c r="AK254" i="77"/>
  <c r="AF254" i="77"/>
  <c r="AM254" i="77"/>
  <c r="AI254" i="77"/>
  <c r="AG254" i="77"/>
  <c r="AJ254" i="77"/>
  <c r="AF188" i="77"/>
  <c r="AG186" i="77"/>
  <c r="AF185" i="77"/>
  <c r="AJ184" i="77"/>
  <c r="AG189" i="77"/>
  <c r="AL181" i="77"/>
  <c r="AL180" i="77"/>
  <c r="AL179" i="77"/>
  <c r="AI274" i="77"/>
  <c r="AE274" i="77"/>
  <c r="AJ274" i="77"/>
  <c r="AM274" i="77"/>
  <c r="AK274" i="77"/>
  <c r="AF274" i="77"/>
  <c r="AH274" i="77"/>
  <c r="AG274" i="77"/>
  <c r="AF181" i="77"/>
  <c r="AH180" i="77"/>
  <c r="AF251" i="77"/>
  <c r="AM251" i="77"/>
  <c r="AE251" i="77"/>
  <c r="AH251" i="77"/>
  <c r="AG251" i="77"/>
  <c r="AK251" i="77"/>
  <c r="AI251" i="77"/>
  <c r="AJ251" i="77"/>
  <c r="AI177" i="77"/>
  <c r="AE184" i="77"/>
  <c r="AK189" i="77"/>
  <c r="AH182" i="77"/>
  <c r="AM182" i="77"/>
  <c r="AG188" i="77"/>
  <c r="AL186" i="77"/>
  <c r="AH185" i="77"/>
  <c r="AF184" i="77"/>
  <c r="AG182" i="77"/>
  <c r="AH189" i="77"/>
  <c r="AI181" i="77"/>
  <c r="AI180" i="77"/>
  <c r="AK178" i="77"/>
  <c r="AH273" i="77"/>
  <c r="AJ273" i="77"/>
  <c r="AI273" i="77"/>
  <c r="AK273" i="77"/>
  <c r="AG273" i="77"/>
  <c r="AM273" i="77"/>
  <c r="AF273" i="77"/>
  <c r="AE273" i="77"/>
  <c r="AK177" i="77"/>
  <c r="AJ188" i="77"/>
  <c r="AE186" i="77"/>
  <c r="AE185" i="77"/>
  <c r="AI184" i="77"/>
  <c r="AJ252" i="77"/>
  <c r="AH252" i="77"/>
  <c r="AI252" i="77"/>
  <c r="AG252" i="77"/>
  <c r="AM252" i="77"/>
  <c r="AF252" i="77"/>
  <c r="AE252" i="77"/>
  <c r="AK252" i="77"/>
  <c r="AI182" i="77"/>
  <c r="AJ189" i="77"/>
  <c r="AF180" i="77"/>
  <c r="AG178" i="77"/>
  <c r="AE177" i="77"/>
  <c r="AK186" i="77"/>
  <c r="AI185" i="77"/>
  <c r="AK184" i="77"/>
  <c r="AK182" i="77"/>
  <c r="AI189" i="77"/>
  <c r="AJ180" i="77"/>
  <c r="AJ178" i="77"/>
  <c r="AM278" i="77"/>
  <c r="AG278" i="77"/>
  <c r="AE278" i="77"/>
  <c r="AI278" i="77"/>
  <c r="AH278" i="77"/>
  <c r="AF278" i="77"/>
  <c r="AK278" i="77"/>
  <c r="AJ278" i="77"/>
  <c r="AG177" i="77"/>
  <c r="AK176" i="77"/>
  <c r="AB280" i="77"/>
  <c r="AM280" i="77" s="1"/>
  <c r="AM176" i="77"/>
  <c r="AI176" i="77"/>
  <c r="AI186" i="77"/>
  <c r="AH184" i="77"/>
  <c r="AJ182" i="77"/>
  <c r="AE189" i="77"/>
  <c r="AK180" i="77"/>
  <c r="AH178" i="77"/>
  <c r="AF177" i="77"/>
  <c r="AI188" i="77"/>
  <c r="AM188" i="77"/>
  <c r="AG275" i="77"/>
  <c r="AF275" i="77"/>
  <c r="AJ275" i="77"/>
  <c r="AE275" i="77"/>
  <c r="AM275" i="77"/>
  <c r="AI275" i="77"/>
  <c r="AK275" i="77"/>
  <c r="AH275" i="77"/>
  <c r="AL184" i="77"/>
  <c r="AF189" i="77"/>
  <c r="AE180" i="77"/>
  <c r="AF178" i="77"/>
  <c r="AH177" i="77"/>
  <c r="AM253" i="77"/>
  <c r="AE253" i="77"/>
  <c r="AF253" i="77"/>
  <c r="AK253" i="77"/>
  <c r="AI253" i="77"/>
  <c r="AJ253" i="77"/>
  <c r="AG253" i="77"/>
  <c r="AH253" i="77"/>
  <c r="AJ179" i="77"/>
  <c r="AB281" i="77"/>
  <c r="AM281" i="77" s="1"/>
  <c r="AM179" i="77"/>
  <c r="AM185" i="77"/>
  <c r="AJ176" i="77"/>
  <c r="AH186" i="77"/>
  <c r="AK185" i="77"/>
  <c r="AG184" i="77"/>
  <c r="AL189" i="77"/>
  <c r="AG181" i="77"/>
  <c r="AE179" i="77"/>
  <c r="AI178" i="77"/>
  <c r="AJ177" i="77"/>
  <c r="AF186" i="77"/>
  <c r="AH176" i="77"/>
  <c r="AH181" i="77"/>
  <c r="AE255" i="77"/>
  <c r="AI255" i="77"/>
  <c r="AJ255" i="77"/>
  <c r="AK255" i="77"/>
  <c r="AF255" i="77"/>
  <c r="AG255" i="77"/>
  <c r="AM255" i="77"/>
  <c r="AH255" i="77"/>
  <c r="AI179" i="77"/>
  <c r="AL178" i="77"/>
  <c r="AL177" i="77"/>
  <c r="AG280" i="77" l="1"/>
  <c r="AH280" i="77"/>
  <c r="AF280" i="77"/>
  <c r="AJ281" i="77"/>
  <c r="AJ280" i="77"/>
  <c r="AL281" i="77"/>
  <c r="AE280" i="77"/>
  <c r="AI281" i="77"/>
  <c r="AI280" i="77"/>
  <c r="AF281" i="77"/>
  <c r="AH281" i="77"/>
  <c r="AK280" i="77"/>
  <c r="AK281" i="77"/>
  <c r="AL280" i="77"/>
  <c r="AG281" i="77"/>
  <c r="AE281" i="77"/>
  <c r="U284" i="77" l="1"/>
  <c r="T284" i="77"/>
  <c r="Z284" i="77"/>
  <c r="V284" i="77"/>
  <c r="Y284" i="77"/>
  <c r="X284" i="77"/>
  <c r="W284" i="77"/>
  <c r="AG190" i="77"/>
  <c r="AM55" i="83"/>
  <c r="AM48" i="83"/>
  <c r="AJ190" i="77" l="1"/>
  <c r="AR56" i="83"/>
  <c r="AM190" i="77"/>
  <c r="AB284" i="77"/>
  <c r="AM284" i="77" s="1"/>
  <c r="AK190" i="77"/>
  <c r="BL6" i="84"/>
  <c r="AM45" i="83"/>
  <c r="BL9" i="84"/>
  <c r="AM53" i="83"/>
  <c r="AL190" i="77"/>
  <c r="AE190" i="77"/>
  <c r="AM50" i="83"/>
  <c r="AR49" i="83"/>
  <c r="AH190" i="77"/>
  <c r="AF190" i="77"/>
  <c r="AI190" i="77"/>
  <c r="AM61" i="83"/>
  <c r="AM59" i="83"/>
  <c r="AM51" i="83" l="1"/>
  <c r="AR54" i="83"/>
  <c r="BL12" i="84"/>
  <c r="AM57" i="83" s="1"/>
  <c r="AZ35" i="9"/>
  <c r="AK284" i="77"/>
  <c r="AM42" i="83"/>
  <c r="AM47" i="83"/>
  <c r="AR46" i="83"/>
  <c r="AH284" i="77"/>
  <c r="AE284" i="77"/>
  <c r="AL284" i="77"/>
  <c r="AR60" i="83"/>
  <c r="AI284" i="77"/>
  <c r="AG284" i="77"/>
  <c r="AR62" i="83"/>
  <c r="AF284" i="77"/>
  <c r="AJ284" i="77"/>
  <c r="AM44" i="83" l="1"/>
  <c r="AM63" i="83"/>
  <c r="AR43" i="83"/>
  <c r="AR58" i="83"/>
  <c r="AR52" i="83"/>
  <c r="AY189" i="77" l="1"/>
  <c r="AW189" i="77"/>
  <c r="AV189" i="77"/>
  <c r="AX189" i="77"/>
  <c r="AU189" i="77"/>
  <c r="AR64" i="83"/>
  <c r="AV188" i="77" l="1"/>
  <c r="AP284" i="77"/>
  <c r="AW188" i="77"/>
  <c r="AQ284" i="77"/>
  <c r="AR284" i="77"/>
  <c r="AX188" i="77"/>
  <c r="AO284" i="77"/>
  <c r="AU188" i="77"/>
  <c r="AY188" i="77"/>
  <c r="AS284" i="77"/>
  <c r="O284" i="77"/>
  <c r="C284" i="77"/>
  <c r="BL15" i="84" s="1"/>
  <c r="AU284" i="77" l="1"/>
  <c r="AY284" i="77"/>
  <c r="AL187" i="77"/>
  <c r="AM187" i="77"/>
  <c r="AG187" i="77"/>
  <c r="AJ187" i="77"/>
  <c r="AH187" i="77"/>
  <c r="AI187" i="77"/>
  <c r="AF187" i="77"/>
  <c r="AK187" i="77"/>
  <c r="AE187" i="77"/>
  <c r="AB283" i="77"/>
  <c r="AX284" i="77"/>
  <c r="AW284" i="77"/>
  <c r="AV284" i="77"/>
  <c r="AM283" i="77" l="1"/>
  <c r="AJ283" i="77"/>
  <c r="AK283" i="77"/>
  <c r="AH283" i="77"/>
  <c r="AG283" i="77"/>
  <c r="AI283" i="77"/>
  <c r="AL283" i="77"/>
  <c r="AF283" i="77"/>
  <c r="AE283" i="77"/>
  <c r="AL48" i="83" l="1"/>
  <c r="AL55" i="83"/>
  <c r="AP55" i="83" l="1"/>
  <c r="AQ56" i="83"/>
  <c r="BK9" i="84"/>
  <c r="AL53" i="83"/>
  <c r="AL50" i="83"/>
  <c r="AP48" i="83"/>
  <c r="AQ49" i="83"/>
  <c r="BK6" i="84"/>
  <c r="AL45" i="83"/>
  <c r="AP164" i="83"/>
  <c r="AQ165" i="83"/>
  <c r="AP162" i="83"/>
  <c r="AQ163" i="83"/>
  <c r="AL59" i="83"/>
  <c r="AL61" i="83"/>
  <c r="AP50" i="83" l="1"/>
  <c r="AU49" i="83"/>
  <c r="AL51" i="83"/>
  <c r="AP53" i="83"/>
  <c r="AQ54" i="83"/>
  <c r="AL42" i="83"/>
  <c r="AL47" i="83"/>
  <c r="AP45" i="83"/>
  <c r="AQ46" i="83"/>
  <c r="AU163" i="83"/>
  <c r="BK12" i="84"/>
  <c r="AL57" i="83" s="1"/>
  <c r="AY35" i="9"/>
  <c r="AQ62" i="83"/>
  <c r="AQ60" i="83"/>
  <c r="AP61" i="83"/>
  <c r="AU56" i="83"/>
  <c r="AU165" i="83"/>
  <c r="AU187" i="77" l="1"/>
  <c r="AL63" i="83"/>
  <c r="AL44" i="83"/>
  <c r="AP42" i="83"/>
  <c r="AQ43" i="83"/>
  <c r="AP59" i="83"/>
  <c r="AU54" i="83"/>
  <c r="AP51" i="83"/>
  <c r="AQ52" i="83"/>
  <c r="AP47" i="83"/>
  <c r="AU46" i="83"/>
  <c r="AQ58" i="83"/>
  <c r="AW187" i="77"/>
  <c r="AX187" i="77"/>
  <c r="AU62" i="83"/>
  <c r="AV187" i="77"/>
  <c r="AY187" i="77"/>
  <c r="AP57" i="83" l="1"/>
  <c r="AP63" i="83" s="1"/>
  <c r="AU52" i="83"/>
  <c r="AP44" i="83"/>
  <c r="AU43" i="83"/>
  <c r="AU60" i="83"/>
  <c r="AQ64" i="83"/>
  <c r="AU64" i="83" l="1"/>
  <c r="AU58" i="83"/>
  <c r="AU186" i="77" l="1"/>
  <c r="AW186" i="77"/>
  <c r="AX186" i="77"/>
  <c r="AV186" i="77"/>
  <c r="AY186" i="77"/>
  <c r="C283" i="77" l="1"/>
  <c r="BK15" i="84" s="1"/>
  <c r="AS283" i="77" l="1"/>
  <c r="AY185" i="77"/>
  <c r="AW185" i="77"/>
  <c r="AQ283" i="77"/>
  <c r="AX185" i="77"/>
  <c r="AR283" i="77"/>
  <c r="AU185" i="77"/>
  <c r="AO283" i="77"/>
  <c r="AV185" i="77"/>
  <c r="AP283" i="77"/>
  <c r="O283" i="77"/>
  <c r="AU283" i="77" l="1"/>
  <c r="AW283" i="77"/>
  <c r="AV283" i="77"/>
  <c r="AX283" i="77"/>
  <c r="AY283" i="77"/>
  <c r="AU184" i="77" l="1"/>
  <c r="AX184" i="77"/>
  <c r="AV184" i="77"/>
  <c r="AW184" i="77"/>
  <c r="AY184" i="77"/>
  <c r="AU183" i="77" l="1"/>
  <c r="AW183" i="77"/>
  <c r="AV183" i="77"/>
  <c r="AX183" i="77"/>
  <c r="AY183" i="77"/>
  <c r="AJ55" i="83"/>
  <c r="AJ48" i="83"/>
  <c r="BJ9" i="84" l="1"/>
  <c r="AJ53" i="83"/>
  <c r="AO56" i="83"/>
  <c r="AO163" i="83"/>
  <c r="AO165" i="83"/>
  <c r="BJ6" i="84"/>
  <c r="AJ45" i="83"/>
  <c r="AJ50" i="83"/>
  <c r="AO49" i="83"/>
  <c r="AJ61" i="83"/>
  <c r="AJ59" i="83"/>
  <c r="AO62" i="83" l="1"/>
  <c r="AJ42" i="83"/>
  <c r="AJ47" i="83"/>
  <c r="AO46" i="83"/>
  <c r="AJ51" i="83"/>
  <c r="AO54" i="83"/>
  <c r="AO60" i="83"/>
  <c r="BJ12" i="84"/>
  <c r="AJ57" i="83" s="1"/>
  <c r="AX35" i="9"/>
  <c r="AO52" i="83" l="1"/>
  <c r="AJ44" i="83"/>
  <c r="AJ63" i="83"/>
  <c r="AO43" i="83"/>
  <c r="AO58" i="83"/>
  <c r="AG183" i="77" l="1"/>
  <c r="AM183" i="77"/>
  <c r="AK183" i="77"/>
  <c r="AE183" i="77"/>
  <c r="AI183" i="77"/>
  <c r="AJ183" i="77"/>
  <c r="AH183" i="77"/>
  <c r="AL183" i="77"/>
  <c r="AF183" i="77"/>
  <c r="AB282" i="77"/>
  <c r="AO64" i="83"/>
  <c r="C282" i="77"/>
  <c r="BJ15" i="84" s="1"/>
  <c r="AM282" i="77" l="1"/>
  <c r="AI282" i="77"/>
  <c r="AF282" i="77"/>
  <c r="AL282" i="77"/>
  <c r="AK282" i="77"/>
  <c r="AG282" i="77"/>
  <c r="AH282" i="77"/>
  <c r="AE282" i="77"/>
  <c r="AJ282" i="77"/>
  <c r="AU182" i="77" l="1"/>
  <c r="AO282" i="77"/>
  <c r="AV182" i="77"/>
  <c r="AP282" i="77"/>
  <c r="AQ282" i="77"/>
  <c r="AW182" i="77"/>
  <c r="AX182" i="77"/>
  <c r="AR282" i="77"/>
  <c r="AS282" i="77"/>
  <c r="AY182" i="77"/>
  <c r="O282" i="77"/>
  <c r="AU181" i="77" l="1"/>
  <c r="AX282" i="77"/>
  <c r="AW282" i="77"/>
  <c r="AW181" i="77"/>
  <c r="AX181" i="77"/>
  <c r="AY282" i="77"/>
  <c r="AV282" i="77"/>
  <c r="AV181" i="77"/>
  <c r="AU282" i="77"/>
  <c r="AY181" i="77"/>
  <c r="AI55" i="83"/>
  <c r="AI48" i="83"/>
  <c r="AN56" i="83" l="1"/>
  <c r="AN163" i="83"/>
  <c r="AN165" i="83"/>
  <c r="BI9" i="84"/>
  <c r="AI53" i="83"/>
  <c r="BI6" i="84"/>
  <c r="AI45" i="83"/>
  <c r="AI50" i="83"/>
  <c r="AN49" i="83"/>
  <c r="AI61" i="83"/>
  <c r="AI59" i="83"/>
  <c r="AI42" i="83" l="1"/>
  <c r="AI47" i="83"/>
  <c r="AN46" i="83"/>
  <c r="AI51" i="83"/>
  <c r="AN54" i="83"/>
  <c r="BI12" i="84"/>
  <c r="AI57" i="83" s="1"/>
  <c r="AW35" i="9"/>
  <c r="AN62" i="83"/>
  <c r="AN60" i="83"/>
  <c r="AN58" i="83" l="1"/>
  <c r="AN52" i="83"/>
  <c r="AI44" i="83"/>
  <c r="AI63" i="83"/>
  <c r="AN43" i="83"/>
  <c r="AN64" i="83" l="1"/>
  <c r="AY180" i="77" l="1"/>
  <c r="AX180" i="77"/>
  <c r="AU180" i="77"/>
  <c r="AV180" i="77"/>
  <c r="AW180" i="77"/>
  <c r="AY179" i="77" l="1"/>
  <c r="AS281" i="77"/>
  <c r="AV179" i="77"/>
  <c r="AP281" i="77"/>
  <c r="AX179" i="77"/>
  <c r="AR281" i="77"/>
  <c r="AU179" i="77"/>
  <c r="AO281" i="77"/>
  <c r="AW179" i="77"/>
  <c r="AQ281" i="77"/>
  <c r="O281" i="77"/>
  <c r="AU281" i="77" l="1"/>
  <c r="AW281" i="77"/>
  <c r="AX281" i="77"/>
  <c r="AV281" i="77"/>
  <c r="AY281" i="77"/>
  <c r="C281" i="77"/>
  <c r="BI15" i="84" s="1"/>
  <c r="AW178" i="77" l="1"/>
  <c r="AV178" i="77"/>
  <c r="AY178" i="77"/>
  <c r="AX178" i="77"/>
  <c r="AU178" i="77"/>
  <c r="AH55" i="83"/>
  <c r="AM163" i="83" l="1"/>
  <c r="AM165" i="83"/>
  <c r="AH53" i="83"/>
  <c r="BH9" i="84"/>
  <c r="AM56" i="83"/>
  <c r="AH51" i="83" l="1"/>
  <c r="AM54" i="83"/>
  <c r="AV35" i="9"/>
  <c r="AH48" i="83"/>
  <c r="AH50" i="83" l="1"/>
  <c r="AM49" i="83"/>
  <c r="BH6" i="84"/>
  <c r="AH45" i="83"/>
  <c r="AM52" i="83"/>
  <c r="AH61" i="83"/>
  <c r="AH59" i="83"/>
  <c r="AY177" i="77" l="1"/>
  <c r="AX177" i="77"/>
  <c r="AM62" i="83"/>
  <c r="AH42" i="83"/>
  <c r="AH47" i="83"/>
  <c r="AM46" i="83"/>
  <c r="AM60" i="83"/>
  <c r="BH12" i="84"/>
  <c r="AH57" i="83" s="1"/>
  <c r="AU177" i="77"/>
  <c r="AV177" i="77"/>
  <c r="AW177" i="77"/>
  <c r="AM58" i="83" l="1"/>
  <c r="AH44" i="83"/>
  <c r="AH63" i="83"/>
  <c r="AM43" i="83"/>
  <c r="AM64" i="83" l="1"/>
  <c r="C280" i="77"/>
  <c r="BH15" i="84" s="1"/>
  <c r="AS280" i="77" l="1"/>
  <c r="AY176" i="77"/>
  <c r="AX176" i="77"/>
  <c r="AR280" i="77"/>
  <c r="AU176" i="77"/>
  <c r="AO280" i="77"/>
  <c r="AW176" i="77"/>
  <c r="AQ280" i="77"/>
  <c r="AV176" i="77"/>
  <c r="AP280" i="77"/>
  <c r="O280" i="77"/>
  <c r="AW280" i="77" l="1"/>
  <c r="AV280" i="77"/>
  <c r="AU280" i="77"/>
  <c r="AX280" i="77"/>
  <c r="AY280" i="77"/>
  <c r="AU175" i="77" l="1"/>
  <c r="AX175" i="77"/>
  <c r="AV175" i="77"/>
  <c r="AW175" i="77"/>
  <c r="AY175" i="77"/>
  <c r="AM175" i="77" l="1"/>
  <c r="AL175" i="77"/>
  <c r="AE175" i="77"/>
  <c r="AF175" i="77"/>
  <c r="AK175" i="77"/>
  <c r="AJ175" i="77"/>
  <c r="AH175" i="77"/>
  <c r="AG175" i="77"/>
  <c r="AI175" i="77"/>
  <c r="AV174" i="77" l="1"/>
  <c r="AW174" i="77"/>
  <c r="AX174" i="77"/>
  <c r="AU174" i="77"/>
  <c r="AY174" i="77"/>
  <c r="AE174" i="77" l="1"/>
  <c r="AH174" i="77"/>
  <c r="AG174" i="77"/>
  <c r="AI174" i="77"/>
  <c r="AJ174" i="77"/>
  <c r="AK174" i="77"/>
  <c r="AF174" i="77"/>
  <c r="AM174" i="77"/>
  <c r="AB279" i="77"/>
  <c r="AM279" i="77" l="1"/>
  <c r="AE279" i="77"/>
  <c r="AL279" i="77"/>
  <c r="AF279" i="77"/>
  <c r="AG279" i="77"/>
  <c r="AJ279" i="77"/>
  <c r="AH279" i="77"/>
  <c r="AK279" i="77"/>
  <c r="AI279" i="77"/>
  <c r="AU173" i="77" l="1"/>
  <c r="AO279" i="77"/>
  <c r="AV173" i="77"/>
  <c r="AP279" i="77"/>
  <c r="AQ279" i="77"/>
  <c r="AW173" i="77"/>
  <c r="AR279" i="77"/>
  <c r="AX173" i="77"/>
  <c r="AS279" i="77"/>
  <c r="AY173" i="77"/>
  <c r="AX279" i="77" l="1"/>
  <c r="AV279" i="77"/>
  <c r="AU279" i="77"/>
  <c r="AY279" i="77"/>
  <c r="AW279" i="77"/>
  <c r="AG55" i="83"/>
  <c r="AG48" i="83"/>
  <c r="BG6" i="84" l="1"/>
  <c r="AG45" i="83"/>
  <c r="AG50" i="83"/>
  <c r="AK48" i="83"/>
  <c r="AL49" i="83"/>
  <c r="BG9" i="84"/>
  <c r="AG53" i="83"/>
  <c r="AK55" i="83"/>
  <c r="AL56" i="83"/>
  <c r="AK162" i="83"/>
  <c r="AL163" i="83"/>
  <c r="AK164" i="83"/>
  <c r="AL165" i="83"/>
  <c r="AG59" i="83"/>
  <c r="AG61" i="83"/>
  <c r="AL62" i="83" l="1"/>
  <c r="AL60" i="83"/>
  <c r="AP165" i="83"/>
  <c r="AP163" i="83"/>
  <c r="AK61" i="83"/>
  <c r="AP56" i="83"/>
  <c r="AG51" i="83"/>
  <c r="AK53" i="83"/>
  <c r="AL54" i="83"/>
  <c r="BG12" i="84"/>
  <c r="AG57" i="83" s="1"/>
  <c r="AU35" i="9"/>
  <c r="AK50" i="83"/>
  <c r="AP49" i="83"/>
  <c r="AG42" i="83"/>
  <c r="AG47" i="83"/>
  <c r="AK45" i="83"/>
  <c r="AL46" i="83"/>
  <c r="C279" i="77"/>
  <c r="BG15" i="84" s="1"/>
  <c r="AK47" i="83" l="1"/>
  <c r="AP46" i="83"/>
  <c r="AG44" i="83"/>
  <c r="AG63" i="83"/>
  <c r="AK42" i="83"/>
  <c r="AL43" i="83"/>
  <c r="AL58" i="83"/>
  <c r="AK59" i="83"/>
  <c r="AP54" i="83"/>
  <c r="AK51" i="83"/>
  <c r="AL52" i="83"/>
  <c r="AP62" i="83"/>
  <c r="AK57" i="83" l="1"/>
  <c r="AK63" i="83" s="1"/>
  <c r="AP52" i="83"/>
  <c r="AP60" i="83"/>
  <c r="AK44" i="83"/>
  <c r="AP43" i="83"/>
  <c r="AL64" i="83"/>
  <c r="O279" i="77"/>
  <c r="AP64" i="83" l="1"/>
  <c r="AP58" i="83"/>
  <c r="AY172" i="77" l="1"/>
  <c r="AX172" i="77"/>
  <c r="AU172" i="77"/>
  <c r="AV172" i="77"/>
  <c r="AW172" i="77"/>
  <c r="AE48" i="83"/>
  <c r="AE55" i="83"/>
  <c r="AJ165" i="83" l="1"/>
  <c r="AJ163" i="83"/>
  <c r="AJ56" i="83"/>
  <c r="BF9" i="84"/>
  <c r="AE53" i="83"/>
  <c r="AE50" i="83"/>
  <c r="AJ49" i="83"/>
  <c r="BF6" i="84"/>
  <c r="AE45" i="83"/>
  <c r="AE61" i="83"/>
  <c r="AE59" i="83"/>
  <c r="AJ60" i="83" l="1"/>
  <c r="AJ62" i="83"/>
  <c r="AE47" i="83"/>
  <c r="AE42" i="83"/>
  <c r="AJ46" i="83"/>
  <c r="AE51" i="83"/>
  <c r="AJ54" i="83"/>
  <c r="BF12" i="84"/>
  <c r="AE57" i="83" s="1"/>
  <c r="AT35" i="9"/>
  <c r="AJ58" i="83" l="1"/>
  <c r="AJ52" i="83"/>
  <c r="AE63" i="83"/>
  <c r="AE44" i="83"/>
  <c r="AJ43" i="83"/>
  <c r="AJ64" i="83" l="1"/>
  <c r="AY171" i="77" l="1"/>
  <c r="AX171" i="77"/>
  <c r="AW171" i="77"/>
  <c r="AV171" i="77"/>
  <c r="AU171" i="77"/>
  <c r="O278" i="77" l="1"/>
  <c r="AU170" i="77" l="1"/>
  <c r="AO278" i="77"/>
  <c r="AV170" i="77"/>
  <c r="AP278" i="77"/>
  <c r="AW170" i="77"/>
  <c r="AQ278" i="77"/>
  <c r="AX170" i="77"/>
  <c r="AR278" i="77"/>
  <c r="AY170" i="77"/>
  <c r="AS278" i="77"/>
  <c r="AX278" i="77" l="1"/>
  <c r="AY278" i="77"/>
  <c r="AW278" i="77"/>
  <c r="AV278" i="77"/>
  <c r="AU278" i="77"/>
  <c r="C278" i="77"/>
  <c r="BF15" i="84" s="1"/>
  <c r="AM169" i="77" l="1"/>
  <c r="AG169" i="77"/>
  <c r="AF169" i="77"/>
  <c r="AK169" i="77"/>
  <c r="AE169" i="77"/>
  <c r="AH169" i="77"/>
  <c r="AJ169" i="77"/>
  <c r="AI169" i="77"/>
  <c r="AY169" i="77" l="1"/>
  <c r="AV169" i="77"/>
  <c r="AU169" i="77"/>
  <c r="AW169" i="77"/>
  <c r="AX169" i="77"/>
  <c r="AD55" i="83" l="1"/>
  <c r="AD48" i="83"/>
  <c r="BE6" i="84" l="1"/>
  <c r="AD45" i="83"/>
  <c r="AD50" i="83"/>
  <c r="AI49" i="83"/>
  <c r="BE9" i="84"/>
  <c r="AD53" i="83"/>
  <c r="AI56" i="83"/>
  <c r="AI163" i="83"/>
  <c r="AI165" i="83"/>
  <c r="AD61" i="83"/>
  <c r="AD59" i="83"/>
  <c r="AI60" i="83" l="1"/>
  <c r="AI62" i="83"/>
  <c r="AD51" i="83"/>
  <c r="AI54" i="83"/>
  <c r="BE12" i="84"/>
  <c r="AD57" i="83" s="1"/>
  <c r="AS35" i="9"/>
  <c r="AD47" i="83"/>
  <c r="AD42" i="83"/>
  <c r="AI46" i="83"/>
  <c r="AD44" i="83" l="1"/>
  <c r="AD63" i="83"/>
  <c r="AI43" i="83"/>
  <c r="AI58" i="83"/>
  <c r="AI52" i="83"/>
  <c r="AU168" i="77" l="1"/>
  <c r="AX168" i="77"/>
  <c r="AW168" i="77"/>
  <c r="AV168" i="77"/>
  <c r="AY168" i="77"/>
  <c r="AE168" i="77"/>
  <c r="AK168" i="77"/>
  <c r="AG168" i="77"/>
  <c r="AH168" i="77"/>
  <c r="AI168" i="77"/>
  <c r="AJ168" i="77"/>
  <c r="AF168" i="77"/>
  <c r="AM168" i="77"/>
  <c r="AB277" i="77"/>
  <c r="AI64" i="83"/>
  <c r="AX167" i="77" l="1"/>
  <c r="AR277" i="77"/>
  <c r="AY167" i="77"/>
  <c r="AS277" i="77"/>
  <c r="AQ277" i="77"/>
  <c r="AW167" i="77"/>
  <c r="AV167" i="77"/>
  <c r="AP277" i="77"/>
  <c r="AU167" i="77"/>
  <c r="AO277" i="77"/>
  <c r="AM277" i="77"/>
  <c r="AJ277" i="77"/>
  <c r="AH277" i="77"/>
  <c r="AI277" i="77"/>
  <c r="AG277" i="77"/>
  <c r="AE277" i="77"/>
  <c r="AF277" i="77"/>
  <c r="AK277" i="77"/>
  <c r="O277" i="77"/>
  <c r="C277" i="77"/>
  <c r="BE15" i="84" s="1"/>
  <c r="AV277" i="77" l="1"/>
  <c r="AU277" i="77"/>
  <c r="AW277" i="77"/>
  <c r="AY277" i="77"/>
  <c r="AX277" i="77"/>
  <c r="AU166" i="77" l="1"/>
  <c r="AW166" i="77"/>
  <c r="AV166" i="77"/>
  <c r="AX166" i="77"/>
  <c r="AY166" i="77"/>
  <c r="AI166" i="77" l="1"/>
  <c r="AH166" i="77"/>
  <c r="AG166" i="77"/>
  <c r="AE166" i="77"/>
  <c r="AJ166" i="77"/>
  <c r="AK166" i="77"/>
  <c r="AF166" i="77"/>
  <c r="AM166" i="77"/>
  <c r="AB276" i="77"/>
  <c r="AM276" i="77" l="1"/>
  <c r="AF276" i="77"/>
  <c r="AJ276" i="77"/>
  <c r="AK276" i="77"/>
  <c r="AG276" i="77"/>
  <c r="AI276" i="77"/>
  <c r="AH276" i="77"/>
  <c r="AE276" i="77"/>
  <c r="AC48" i="83"/>
  <c r="AH163" i="83" l="1"/>
  <c r="AH165" i="83"/>
  <c r="BD6" i="84"/>
  <c r="AC45" i="83"/>
  <c r="AC50" i="83"/>
  <c r="AH49" i="83"/>
  <c r="AC53" i="83"/>
  <c r="AC59" i="83"/>
  <c r="AH60" i="83" l="1"/>
  <c r="AH54" i="83"/>
  <c r="AC42" i="83"/>
  <c r="AC47" i="83"/>
  <c r="AH46" i="83"/>
  <c r="Y48" i="83"/>
  <c r="AD49" i="83" s="1"/>
  <c r="Z48" i="83"/>
  <c r="AE49" i="83" s="1"/>
  <c r="AB48" i="83"/>
  <c r="AG49" i="83" s="1"/>
  <c r="M48" i="83"/>
  <c r="N48" i="83"/>
  <c r="O48" i="83"/>
  <c r="P48" i="83"/>
  <c r="W48" i="83"/>
  <c r="U48" i="83"/>
  <c r="T48" i="83"/>
  <c r="S48" i="83"/>
  <c r="R48" i="83"/>
  <c r="K48" i="83"/>
  <c r="J48" i="83"/>
  <c r="I48" i="83"/>
  <c r="H48" i="83"/>
  <c r="F48" i="83"/>
  <c r="F50" i="83" s="1"/>
  <c r="E48" i="83"/>
  <c r="E50" i="83" s="1"/>
  <c r="D48" i="83"/>
  <c r="D50" i="83" s="1"/>
  <c r="C48" i="83"/>
  <c r="AB55" i="83"/>
  <c r="AG56" i="83" s="1"/>
  <c r="Z55" i="83"/>
  <c r="Y55" i="83"/>
  <c r="X55" i="83"/>
  <c r="W55" i="83"/>
  <c r="T55" i="83"/>
  <c r="S55" i="83"/>
  <c r="R55" i="83"/>
  <c r="P55" i="83"/>
  <c r="O55" i="83"/>
  <c r="N55" i="83"/>
  <c r="M55" i="83"/>
  <c r="K55" i="83"/>
  <c r="J55" i="83"/>
  <c r="I55" i="83"/>
  <c r="H55" i="83"/>
  <c r="F55" i="83"/>
  <c r="E55" i="83"/>
  <c r="D55" i="83"/>
  <c r="C55" i="83"/>
  <c r="X48" i="83"/>
  <c r="AC49" i="83" s="1"/>
  <c r="Z267" i="77"/>
  <c r="U55" i="83"/>
  <c r="C259" i="77" l="1"/>
  <c r="C269" i="77"/>
  <c r="C271" i="77"/>
  <c r="C272" i="77"/>
  <c r="C264" i="77"/>
  <c r="N9" i="84"/>
  <c r="R9" i="84"/>
  <c r="Z9" i="84"/>
  <c r="N35" i="9" s="1"/>
  <c r="AU115" i="77"/>
  <c r="AU123" i="77"/>
  <c r="AV124" i="77"/>
  <c r="AW132" i="77"/>
  <c r="AU141" i="77"/>
  <c r="AU142" i="77"/>
  <c r="AU144" i="77"/>
  <c r="AU148" i="77"/>
  <c r="AU150" i="77"/>
  <c r="AU151" i="77"/>
  <c r="E9" i="84"/>
  <c r="AV157" i="77"/>
  <c r="AW163" i="77"/>
  <c r="U262" i="77"/>
  <c r="C276" i="77"/>
  <c r="BD15" i="84" s="1"/>
  <c r="C260" i="77"/>
  <c r="AU114" i="77"/>
  <c r="AV138" i="77"/>
  <c r="AV139" i="77"/>
  <c r="AV145" i="77"/>
  <c r="AV147" i="77"/>
  <c r="P6" i="84"/>
  <c r="P15" i="84" s="1"/>
  <c r="X6" i="84"/>
  <c r="X15" i="84" s="1"/>
  <c r="AW165" i="77"/>
  <c r="C261" i="77"/>
  <c r="C266" i="77"/>
  <c r="AU136" i="77"/>
  <c r="H6" i="84"/>
  <c r="H15" i="84" s="1"/>
  <c r="AV162" i="77"/>
  <c r="AU112" i="77"/>
  <c r="AU135" i="77"/>
  <c r="AU111" i="77"/>
  <c r="U259" i="77"/>
  <c r="AW121" i="77"/>
  <c r="AU126" i="77"/>
  <c r="AV127" i="77"/>
  <c r="AX129" i="77"/>
  <c r="AY130" i="77"/>
  <c r="AX153" i="77"/>
  <c r="AX154" i="77"/>
  <c r="AX159" i="77"/>
  <c r="AU118" i="77"/>
  <c r="AU133" i="77"/>
  <c r="U261" i="77"/>
  <c r="AX120" i="77"/>
  <c r="AV117" i="77"/>
  <c r="C267" i="77"/>
  <c r="AU156" i="77"/>
  <c r="AX160" i="77"/>
  <c r="R6" i="84"/>
  <c r="R15" i="84" s="1"/>
  <c r="T9" i="84"/>
  <c r="H35" i="9" s="1"/>
  <c r="U56" i="83"/>
  <c r="G9" i="84"/>
  <c r="L6" i="84"/>
  <c r="L15" i="84" s="1"/>
  <c r="U165" i="83"/>
  <c r="E6" i="84"/>
  <c r="E15" i="84" s="1"/>
  <c r="T6" i="84"/>
  <c r="T15" i="84" s="1"/>
  <c r="V9" i="84"/>
  <c r="J35" i="9" s="1"/>
  <c r="S56" i="83"/>
  <c r="K56" i="83"/>
  <c r="O163" i="83"/>
  <c r="G55" i="83"/>
  <c r="K163" i="83"/>
  <c r="N56" i="83"/>
  <c r="S165" i="83"/>
  <c r="G6" i="84"/>
  <c r="G15" i="84" s="1"/>
  <c r="H9" i="84"/>
  <c r="N6" i="84"/>
  <c r="N15" i="84" s="1"/>
  <c r="P9" i="84"/>
  <c r="Z6" i="84"/>
  <c r="Z15" i="84" s="1"/>
  <c r="I163" i="83"/>
  <c r="N165" i="83"/>
  <c r="L9" i="84"/>
  <c r="V6" i="84"/>
  <c r="V15" i="84" s="1"/>
  <c r="X9" i="84"/>
  <c r="L35" i="9" s="1"/>
  <c r="P163" i="83"/>
  <c r="O56" i="83"/>
  <c r="P165" i="83"/>
  <c r="I6" i="84"/>
  <c r="I15" i="84" s="1"/>
  <c r="O165" i="83"/>
  <c r="S163" i="83"/>
  <c r="AV123" i="77"/>
  <c r="AV126" i="77"/>
  <c r="AY120" i="77"/>
  <c r="AX121" i="77"/>
  <c r="AX132" i="77"/>
  <c r="AV133" i="77"/>
  <c r="AV135" i="77"/>
  <c r="AW127" i="77"/>
  <c r="AY129" i="77"/>
  <c r="Y56" i="83"/>
  <c r="AD56" i="83"/>
  <c r="AY121" i="77"/>
  <c r="AW123" i="77"/>
  <c r="AU124" i="77"/>
  <c r="C263" i="77"/>
  <c r="AW126" i="77"/>
  <c r="AX127" i="77"/>
  <c r="V265" i="77"/>
  <c r="AY132" i="77"/>
  <c r="AW133" i="77"/>
  <c r="AW135" i="77"/>
  <c r="AV136" i="77"/>
  <c r="AU138" i="77"/>
  <c r="AY153" i="77"/>
  <c r="AW154" i="77"/>
  <c r="F9" i="84"/>
  <c r="J6" i="84"/>
  <c r="J15" i="84" s="1"/>
  <c r="K9" i="84"/>
  <c r="U6" i="84"/>
  <c r="U15" i="84" s="1"/>
  <c r="W9" i="84"/>
  <c r="K35" i="9" s="1"/>
  <c r="AE6" i="84"/>
  <c r="AE15" i="84" s="1"/>
  <c r="AH6" i="84"/>
  <c r="AH15" i="84" s="1"/>
  <c r="AW159" i="77"/>
  <c r="AV159" i="77"/>
  <c r="AX133" i="77"/>
  <c r="AX135" i="77"/>
  <c r="AW136" i="77"/>
  <c r="AY133" i="77"/>
  <c r="AY135" i="77"/>
  <c r="AX136" i="77"/>
  <c r="AW138" i="77"/>
  <c r="AU139" i="77"/>
  <c r="C268" i="77"/>
  <c r="AY154" i="77"/>
  <c r="J9" i="84"/>
  <c r="S6" i="84"/>
  <c r="S15" i="84" s="1"/>
  <c r="U9" i="84"/>
  <c r="I35" i="9" s="1"/>
  <c r="AD6" i="84"/>
  <c r="AD15" i="84" s="1"/>
  <c r="AE9" i="84"/>
  <c r="S35" i="9" s="1"/>
  <c r="AH9" i="84"/>
  <c r="V35" i="9" s="1"/>
  <c r="T56" i="83"/>
  <c r="U163" i="83"/>
  <c r="AV156" i="77"/>
  <c r="Y163" i="83"/>
  <c r="AD163" i="83"/>
  <c r="AU159" i="77"/>
  <c r="AU165" i="77"/>
  <c r="X56" i="83"/>
  <c r="AW156" i="77"/>
  <c r="Y165" i="83"/>
  <c r="AD165" i="83"/>
  <c r="AU163" i="77"/>
  <c r="AV165" i="77"/>
  <c r="AY136" i="77"/>
  <c r="AX138" i="77"/>
  <c r="AX111" i="77"/>
  <c r="AX112" i="77"/>
  <c r="AW114" i="77"/>
  <c r="AV115" i="77"/>
  <c r="AU117" i="77"/>
  <c r="AY124" i="77"/>
  <c r="AY138" i="77"/>
  <c r="AW139" i="77"/>
  <c r="AV141" i="77"/>
  <c r="AV142" i="77"/>
  <c r="AV144" i="77"/>
  <c r="AU145" i="77"/>
  <c r="C270" i="77"/>
  <c r="AU147" i="77"/>
  <c r="D6" i="84"/>
  <c r="D15" i="84" s="1"/>
  <c r="I9" i="84"/>
  <c r="Q6" i="84"/>
  <c r="Q15" i="84" s="1"/>
  <c r="S9" i="84"/>
  <c r="G35" i="9" s="1"/>
  <c r="AC6" i="84"/>
  <c r="AC15" i="84" s="1"/>
  <c r="AD9" i="84"/>
  <c r="R35" i="9" s="1"/>
  <c r="AF6" i="84"/>
  <c r="AF15" i="84" s="1"/>
  <c r="J56" i="83"/>
  <c r="AX156" i="77"/>
  <c r="AU157" i="77"/>
  <c r="AU162" i="77"/>
  <c r="AV163" i="77"/>
  <c r="AV112" i="77"/>
  <c r="AW124" i="77"/>
  <c r="AW111" i="77"/>
  <c r="AW112" i="77"/>
  <c r="AV114" i="77"/>
  <c r="AY111" i="77"/>
  <c r="AX114" i="77"/>
  <c r="AW115" i="77"/>
  <c r="AX139" i="77"/>
  <c r="AW141" i="77"/>
  <c r="AW142" i="77"/>
  <c r="AW144" i="77"/>
  <c r="T163" i="83"/>
  <c r="AY156" i="77"/>
  <c r="Z56" i="83"/>
  <c r="AE56" i="83"/>
  <c r="AX165" i="77"/>
  <c r="AU130" i="77"/>
  <c r="C265" i="77"/>
  <c r="AY139" i="77"/>
  <c r="AX141" i="77"/>
  <c r="AX142" i="77"/>
  <c r="AX144" i="77"/>
  <c r="AW145" i="77"/>
  <c r="AW147" i="77"/>
  <c r="D9" i="84"/>
  <c r="O6" i="84"/>
  <c r="O15" i="84" s="1"/>
  <c r="Q9" i="84"/>
  <c r="E35" i="9" s="1"/>
  <c r="AB6" i="84"/>
  <c r="AB15" i="84" s="1"/>
  <c r="AC9" i="84"/>
  <c r="Q35" i="9" s="1"/>
  <c r="AF9" i="84"/>
  <c r="T35" i="9" s="1"/>
  <c r="I56" i="83"/>
  <c r="K165" i="83"/>
  <c r="T165" i="83"/>
  <c r="X163" i="83"/>
  <c r="AC163" i="83"/>
  <c r="AW157" i="77"/>
  <c r="AU160" i="77"/>
  <c r="C275" i="77"/>
  <c r="AW162" i="77"/>
  <c r="AX163" i="77"/>
  <c r="AY165" i="77"/>
  <c r="AY114" i="77"/>
  <c r="AX115" i="77"/>
  <c r="AW117" i="77"/>
  <c r="AV118" i="77"/>
  <c r="AY142" i="77"/>
  <c r="AX145" i="77"/>
  <c r="AV148" i="77"/>
  <c r="AV150" i="77"/>
  <c r="J163" i="83"/>
  <c r="X165" i="83"/>
  <c r="AC165" i="83"/>
  <c r="AX157" i="77"/>
  <c r="AX162" i="77"/>
  <c r="AY163" i="77"/>
  <c r="AC55" i="83"/>
  <c r="AC51" i="83" s="1"/>
  <c r="AH52" i="83" s="1"/>
  <c r="BD9" i="84"/>
  <c r="AX123" i="77"/>
  <c r="AX126" i="77"/>
  <c r="AY127" i="77"/>
  <c r="AY115" i="77"/>
  <c r="AX117" i="77"/>
  <c r="AW118" i="77"/>
  <c r="AU120" i="77"/>
  <c r="AU129" i="77"/>
  <c r="AV130" i="77"/>
  <c r="AY141" i="77"/>
  <c r="AY144" i="77"/>
  <c r="AX147" i="77"/>
  <c r="AV151" i="77"/>
  <c r="AV160" i="77"/>
  <c r="C258" i="77"/>
  <c r="U260" i="77"/>
  <c r="AY117" i="77"/>
  <c r="AX118" i="77"/>
  <c r="AV120" i="77"/>
  <c r="AU121" i="77"/>
  <c r="AV129" i="77"/>
  <c r="AW130" i="77"/>
  <c r="AU132" i="77"/>
  <c r="AY145" i="77"/>
  <c r="AY147" i="77"/>
  <c r="AW148" i="77"/>
  <c r="AW150" i="77"/>
  <c r="AW151" i="77"/>
  <c r="AU153" i="77"/>
  <c r="C6" i="84"/>
  <c r="C15" i="84" s="1"/>
  <c r="M6" i="84"/>
  <c r="M15" i="84" s="1"/>
  <c r="O9" i="84"/>
  <c r="C35" i="9" s="1"/>
  <c r="Y6" i="84"/>
  <c r="Y15" i="84" s="1"/>
  <c r="AA6" i="84"/>
  <c r="AA15" i="84" s="1"/>
  <c r="AB9" i="84"/>
  <c r="AG6" i="84"/>
  <c r="AG15" i="84" s="1"/>
  <c r="G162" i="83"/>
  <c r="J165" i="83"/>
  <c r="N163" i="83"/>
  <c r="P56" i="83"/>
  <c r="AY157" i="77"/>
  <c r="AW160" i="77"/>
  <c r="Z163" i="83"/>
  <c r="AE163" i="83"/>
  <c r="AY162" i="77"/>
  <c r="AV111" i="77"/>
  <c r="AY123" i="77"/>
  <c r="AY126" i="77"/>
  <c r="U264" i="77"/>
  <c r="AX124" i="77"/>
  <c r="AY112" i="77"/>
  <c r="AY118" i="77"/>
  <c r="AW120" i="77"/>
  <c r="AV121" i="77"/>
  <c r="C262" i="77"/>
  <c r="AU127" i="77"/>
  <c r="AW129" i="77"/>
  <c r="AX130" i="77"/>
  <c r="AV132" i="77"/>
  <c r="AX148" i="77"/>
  <c r="AX150" i="77"/>
  <c r="AX151" i="77"/>
  <c r="AV153" i="77"/>
  <c r="G164" i="83"/>
  <c r="Z165" i="83"/>
  <c r="AE165" i="83"/>
  <c r="AY148" i="77"/>
  <c r="AY150" i="77"/>
  <c r="AY151" i="77"/>
  <c r="AW153" i="77"/>
  <c r="AU154" i="77"/>
  <c r="C273" i="77"/>
  <c r="C9" i="84"/>
  <c r="F6" i="84"/>
  <c r="F15" i="84" s="1"/>
  <c r="K6" i="84"/>
  <c r="K15" i="84" s="1"/>
  <c r="M9" i="84"/>
  <c r="W6" i="84"/>
  <c r="W15" i="84" s="1"/>
  <c r="Y9" i="84"/>
  <c r="M35" i="9" s="1"/>
  <c r="AA9" i="84"/>
  <c r="O35" i="9" s="1"/>
  <c r="AG9" i="84"/>
  <c r="U35" i="9" s="1"/>
  <c r="I165" i="83"/>
  <c r="C274" i="77"/>
  <c r="AY159" i="77"/>
  <c r="AY160" i="77"/>
  <c r="AV154" i="77"/>
  <c r="AX9" i="84"/>
  <c r="U53" i="83"/>
  <c r="T257" i="77"/>
  <c r="U257" i="77"/>
  <c r="V257" i="77"/>
  <c r="W257" i="77"/>
  <c r="X257" i="77"/>
  <c r="Z257" i="77"/>
  <c r="Y257" i="77"/>
  <c r="T258" i="77"/>
  <c r="U258" i="77"/>
  <c r="V258" i="77"/>
  <c r="W258" i="77"/>
  <c r="X258" i="77"/>
  <c r="Z258" i="77"/>
  <c r="Y258" i="77"/>
  <c r="AO258" i="77"/>
  <c r="AU110" i="77"/>
  <c r="AP258" i="77"/>
  <c r="AV110" i="77"/>
  <c r="AW110" i="77"/>
  <c r="AQ258" i="77"/>
  <c r="AX110" i="77"/>
  <c r="AR258" i="77"/>
  <c r="AY110" i="77"/>
  <c r="AS258" i="77"/>
  <c r="T259" i="77"/>
  <c r="V259" i="77"/>
  <c r="W259" i="77"/>
  <c r="X259" i="77"/>
  <c r="Z259" i="77"/>
  <c r="Y259" i="77"/>
  <c r="AO259" i="77"/>
  <c r="AU113" i="77"/>
  <c r="AV113" i="77"/>
  <c r="AP259" i="77"/>
  <c r="AW113" i="77"/>
  <c r="AQ259" i="77"/>
  <c r="AX113" i="77"/>
  <c r="AR259" i="77"/>
  <c r="AY113" i="77"/>
  <c r="AS259" i="77"/>
  <c r="T260" i="77"/>
  <c r="V260" i="77"/>
  <c r="W260" i="77"/>
  <c r="X260" i="77"/>
  <c r="Z260" i="77"/>
  <c r="Y260" i="77"/>
  <c r="AU116" i="77"/>
  <c r="AO260" i="77"/>
  <c r="AV116" i="77"/>
  <c r="AP260" i="77"/>
  <c r="AW116" i="77"/>
  <c r="AQ260" i="77"/>
  <c r="AR260" i="77"/>
  <c r="AX116" i="77"/>
  <c r="AY116" i="77"/>
  <c r="AS260" i="77"/>
  <c r="T261" i="77"/>
  <c r="V261" i="77"/>
  <c r="W261" i="77"/>
  <c r="X261" i="77"/>
  <c r="Z261" i="77"/>
  <c r="Y261" i="77"/>
  <c r="AU119" i="77"/>
  <c r="AO261" i="77"/>
  <c r="AP261" i="77"/>
  <c r="AV119" i="77"/>
  <c r="AQ261" i="77"/>
  <c r="AW119" i="77"/>
  <c r="AR261" i="77"/>
  <c r="AX119" i="77"/>
  <c r="AY119" i="77"/>
  <c r="AS261" i="77"/>
  <c r="T262" i="77"/>
  <c r="V262" i="77"/>
  <c r="W262" i="77"/>
  <c r="X262" i="77"/>
  <c r="Z262" i="77"/>
  <c r="Y262" i="77"/>
  <c r="AU122" i="77"/>
  <c r="AO262" i="77"/>
  <c r="AV122" i="77"/>
  <c r="AP262" i="77"/>
  <c r="AW122" i="77"/>
  <c r="AQ262" i="77"/>
  <c r="AR262" i="77"/>
  <c r="AX122" i="77"/>
  <c r="AY122" i="77"/>
  <c r="AS262" i="77"/>
  <c r="T263" i="77"/>
  <c r="U263" i="77"/>
  <c r="V263" i="77"/>
  <c r="W263" i="77"/>
  <c r="X263" i="77"/>
  <c r="Z263" i="77"/>
  <c r="AU125" i="77"/>
  <c r="AO263" i="77"/>
  <c r="AV125" i="77"/>
  <c r="AP263" i="77"/>
  <c r="AW125" i="77"/>
  <c r="AQ263" i="77"/>
  <c r="AX125" i="77"/>
  <c r="AR263" i="77"/>
  <c r="AS263" i="77"/>
  <c r="AY125" i="77"/>
  <c r="Y263" i="77"/>
  <c r="T264" i="77"/>
  <c r="V264" i="77"/>
  <c r="W264" i="77"/>
  <c r="X264" i="77"/>
  <c r="Z264" i="77"/>
  <c r="Y264" i="77"/>
  <c r="AU128" i="77"/>
  <c r="AO264" i="77"/>
  <c r="AP264" i="77"/>
  <c r="AV128" i="77"/>
  <c r="AW128" i="77"/>
  <c r="AQ264" i="77"/>
  <c r="AX128" i="77"/>
  <c r="AR264" i="77"/>
  <c r="AY128" i="77"/>
  <c r="AS264" i="77"/>
  <c r="T265" i="77"/>
  <c r="U265" i="77"/>
  <c r="W265" i="77"/>
  <c r="X265" i="77"/>
  <c r="Z265" i="77"/>
  <c r="Y265" i="77"/>
  <c r="AU131" i="77"/>
  <c r="AO265" i="77"/>
  <c r="AV131" i="77"/>
  <c r="AP265" i="77"/>
  <c r="AW131" i="77"/>
  <c r="AQ265" i="77"/>
  <c r="AR265" i="77"/>
  <c r="AX131" i="77"/>
  <c r="AY131" i="77"/>
  <c r="AS265" i="77"/>
  <c r="T266" i="77"/>
  <c r="U266" i="77"/>
  <c r="V266" i="77"/>
  <c r="W266" i="77"/>
  <c r="X266" i="77"/>
  <c r="Z266" i="77"/>
  <c r="Y266" i="77"/>
  <c r="AO266" i="77"/>
  <c r="AU134" i="77"/>
  <c r="AP266" i="77"/>
  <c r="AV134" i="77"/>
  <c r="AW134" i="77"/>
  <c r="AQ266" i="77"/>
  <c r="AR266" i="77"/>
  <c r="AX134" i="77"/>
  <c r="AY134" i="77"/>
  <c r="AS266" i="77"/>
  <c r="T267" i="77"/>
  <c r="U267" i="77"/>
  <c r="V267" i="77"/>
  <c r="W267" i="77"/>
  <c r="X267" i="77"/>
  <c r="AU137" i="77"/>
  <c r="AO267" i="77"/>
  <c r="AV137" i="77"/>
  <c r="AP267" i="77"/>
  <c r="AW137" i="77"/>
  <c r="AQ267" i="77"/>
  <c r="AX137" i="77"/>
  <c r="AR267" i="77"/>
  <c r="AS267" i="77"/>
  <c r="AY137" i="77"/>
  <c r="AU140" i="77"/>
  <c r="AO268" i="77"/>
  <c r="AV140" i="77"/>
  <c r="AP268" i="77"/>
  <c r="AW140" i="77"/>
  <c r="AQ268" i="77"/>
  <c r="AR268" i="77"/>
  <c r="AX140" i="77"/>
  <c r="AY140" i="77"/>
  <c r="AS268" i="77"/>
  <c r="AU143" i="77"/>
  <c r="AO269" i="77"/>
  <c r="AV143" i="77"/>
  <c r="AP269" i="77"/>
  <c r="AW143" i="77"/>
  <c r="AQ269" i="77"/>
  <c r="AX143" i="77"/>
  <c r="AR269" i="77"/>
  <c r="AY143" i="77"/>
  <c r="AS269" i="77"/>
  <c r="AO270" i="77"/>
  <c r="AU146" i="77"/>
  <c r="AV146" i="77"/>
  <c r="AP270" i="77"/>
  <c r="AW146" i="77"/>
  <c r="AQ270" i="77"/>
  <c r="AX146" i="77"/>
  <c r="AR270" i="77"/>
  <c r="AS270" i="77"/>
  <c r="AY146" i="77"/>
  <c r="AU149" i="77"/>
  <c r="AO271" i="77"/>
  <c r="AP271" i="77"/>
  <c r="AV149" i="77"/>
  <c r="AW149" i="77"/>
  <c r="AQ271" i="77"/>
  <c r="AR271" i="77"/>
  <c r="AX149" i="77"/>
  <c r="AY149" i="77"/>
  <c r="AS271" i="77"/>
  <c r="AU152" i="77"/>
  <c r="AO272" i="77"/>
  <c r="AP272" i="77"/>
  <c r="AV152" i="77"/>
  <c r="AQ272" i="77"/>
  <c r="AW152" i="77"/>
  <c r="AX152" i="77"/>
  <c r="AR272" i="77"/>
  <c r="AS272" i="77"/>
  <c r="AY152" i="77"/>
  <c r="X49" i="83"/>
  <c r="X50" i="83"/>
  <c r="AU155" i="77"/>
  <c r="AO273" i="77"/>
  <c r="AV155" i="77"/>
  <c r="AP273" i="77"/>
  <c r="AW155" i="77"/>
  <c r="AQ273" i="77"/>
  <c r="AX155" i="77"/>
  <c r="AR273" i="77"/>
  <c r="AY155" i="77"/>
  <c r="AS273" i="77"/>
  <c r="D35" i="9"/>
  <c r="AI9" i="84"/>
  <c r="C53" i="83"/>
  <c r="AJ9" i="84"/>
  <c r="D53" i="83"/>
  <c r="D51" i="83" s="1"/>
  <c r="AK9" i="84"/>
  <c r="E53" i="83"/>
  <c r="E51" i="83" s="1"/>
  <c r="F53" i="83"/>
  <c r="F51" i="83" s="1"/>
  <c r="AL9" i="84"/>
  <c r="AM9" i="84"/>
  <c r="H53" i="83"/>
  <c r="H51" i="83" s="1"/>
  <c r="H56" i="83"/>
  <c r="L55" i="83"/>
  <c r="L162" i="83"/>
  <c r="H163" i="83"/>
  <c r="L164" i="83"/>
  <c r="H165" i="83"/>
  <c r="J53" i="83"/>
  <c r="AO9" i="84"/>
  <c r="K53" i="83"/>
  <c r="AP9" i="84"/>
  <c r="M56" i="83"/>
  <c r="Q55" i="83"/>
  <c r="Q162" i="83"/>
  <c r="M163" i="83"/>
  <c r="M165" i="83"/>
  <c r="Q164" i="83"/>
  <c r="P53" i="83"/>
  <c r="AT9" i="84"/>
  <c r="AU9" i="84"/>
  <c r="R53" i="83"/>
  <c r="R56" i="83"/>
  <c r="V55" i="83"/>
  <c r="V162" i="83"/>
  <c r="R163" i="83"/>
  <c r="R165" i="83"/>
  <c r="V164" i="83"/>
  <c r="AV9" i="84"/>
  <c r="S53" i="83"/>
  <c r="AW9" i="84"/>
  <c r="T53" i="83"/>
  <c r="AY9" i="84"/>
  <c r="W53" i="83"/>
  <c r="AA55" i="83"/>
  <c r="W56" i="83"/>
  <c r="AA162" i="83"/>
  <c r="W163" i="83"/>
  <c r="W165" i="83"/>
  <c r="AA164" i="83"/>
  <c r="AZ9" i="84"/>
  <c r="X53" i="83"/>
  <c r="AC54" i="83" s="1"/>
  <c r="BA9" i="84"/>
  <c r="Y53" i="83"/>
  <c r="AD54" i="83" s="1"/>
  <c r="AU158" i="77"/>
  <c r="AO274" i="77"/>
  <c r="AP274" i="77"/>
  <c r="AV158" i="77"/>
  <c r="AW158" i="77"/>
  <c r="AQ274" i="77"/>
  <c r="AX158" i="77"/>
  <c r="AR274" i="77"/>
  <c r="AS274" i="77"/>
  <c r="AY158" i="77"/>
  <c r="BB9" i="84"/>
  <c r="Z53" i="83"/>
  <c r="AE54" i="83" s="1"/>
  <c r="AY161" i="77"/>
  <c r="AS275" i="77"/>
  <c r="AX161" i="77"/>
  <c r="AR275" i="77"/>
  <c r="AW161" i="77"/>
  <c r="AQ275" i="77"/>
  <c r="AV161" i="77"/>
  <c r="AP275" i="77"/>
  <c r="AO275" i="77"/>
  <c r="AU161" i="77"/>
  <c r="AG163" i="83"/>
  <c r="AB163" i="83"/>
  <c r="AF162" i="83"/>
  <c r="AG165" i="83"/>
  <c r="AF164" i="83"/>
  <c r="AB165" i="83"/>
  <c r="BC9" i="84"/>
  <c r="AB53" i="83"/>
  <c r="AG54" i="83" s="1"/>
  <c r="AB56" i="83"/>
  <c r="AU164" i="77"/>
  <c r="AO276" i="77"/>
  <c r="AP276" i="77"/>
  <c r="AV164" i="77"/>
  <c r="AW164" i="77"/>
  <c r="AQ276" i="77"/>
  <c r="AX164" i="77"/>
  <c r="AR276" i="77"/>
  <c r="AS276" i="77"/>
  <c r="AY164" i="77"/>
  <c r="C45" i="83"/>
  <c r="AI6" i="84"/>
  <c r="AI15" i="84" s="1"/>
  <c r="G48" i="83"/>
  <c r="G50" i="83" s="1"/>
  <c r="C50" i="83"/>
  <c r="AJ6" i="84"/>
  <c r="AJ15" i="84" s="1"/>
  <c r="D45" i="83"/>
  <c r="AK6" i="84"/>
  <c r="AK15" i="84" s="1"/>
  <c r="E45" i="83"/>
  <c r="F45" i="83"/>
  <c r="AL6" i="84"/>
  <c r="AM6" i="84"/>
  <c r="AM15" i="84" s="1"/>
  <c r="H45" i="83"/>
  <c r="H49" i="83"/>
  <c r="H50" i="83"/>
  <c r="L48" i="83"/>
  <c r="AN6" i="84"/>
  <c r="I45" i="83"/>
  <c r="I50" i="83"/>
  <c r="I49" i="83"/>
  <c r="J45" i="83"/>
  <c r="AO6" i="84"/>
  <c r="J50" i="83"/>
  <c r="J49" i="83"/>
  <c r="K45" i="83"/>
  <c r="AP6" i="84"/>
  <c r="K50" i="83"/>
  <c r="K49" i="83"/>
  <c r="AU6" i="84"/>
  <c r="R45" i="83"/>
  <c r="R49" i="83"/>
  <c r="V48" i="83"/>
  <c r="R50" i="83"/>
  <c r="AV6" i="84"/>
  <c r="S45" i="83"/>
  <c r="S50" i="83"/>
  <c r="S49" i="83"/>
  <c r="AW6" i="84"/>
  <c r="AW15" i="84" s="1"/>
  <c r="T45" i="83"/>
  <c r="T49" i="83"/>
  <c r="T50" i="83"/>
  <c r="AX6" i="84"/>
  <c r="U45" i="83"/>
  <c r="U50" i="83"/>
  <c r="U49" i="83"/>
  <c r="AY6" i="84"/>
  <c r="AY15" i="84" s="1"/>
  <c r="W45" i="83"/>
  <c r="AA48" i="83"/>
  <c r="W49" i="83"/>
  <c r="W50" i="83"/>
  <c r="Q48" i="83"/>
  <c r="P50" i="83"/>
  <c r="P49" i="83"/>
  <c r="O50" i="83"/>
  <c r="O49" i="83"/>
  <c r="N49" i="83"/>
  <c r="N50" i="83"/>
  <c r="M49" i="83"/>
  <c r="M50" i="83"/>
  <c r="AT6" i="84"/>
  <c r="P45" i="83"/>
  <c r="O45" i="83"/>
  <c r="AS6" i="84"/>
  <c r="AB50" i="83"/>
  <c r="AF48" i="83"/>
  <c r="AK49" i="83" s="1"/>
  <c r="AB49" i="83"/>
  <c r="BC6" i="84"/>
  <c r="AB45" i="83"/>
  <c r="AG46" i="83" s="1"/>
  <c r="Z49" i="83"/>
  <c r="Z50" i="83"/>
  <c r="BB6" i="84"/>
  <c r="Z45" i="83"/>
  <c r="AE46" i="83" s="1"/>
  <c r="Y50" i="83"/>
  <c r="Y49" i="83"/>
  <c r="BA6" i="84"/>
  <c r="Y45" i="83"/>
  <c r="AD46" i="83" s="1"/>
  <c r="AZ6" i="84"/>
  <c r="X45" i="83"/>
  <c r="AC46" i="83" s="1"/>
  <c r="AC44" i="83"/>
  <c r="AH43" i="83"/>
  <c r="AH134" i="77"/>
  <c r="AG114" i="77"/>
  <c r="AM133" i="77"/>
  <c r="AM117" i="77"/>
  <c r="AM118" i="77"/>
  <c r="AM115" i="77"/>
  <c r="AJ119" i="77"/>
  <c r="AM136" i="77"/>
  <c r="AM121" i="77"/>
  <c r="AM124" i="77"/>
  <c r="AI108" i="77"/>
  <c r="AE122" i="77"/>
  <c r="AF125" i="77"/>
  <c r="AM126" i="77"/>
  <c r="AM127" i="77"/>
  <c r="AG128" i="77"/>
  <c r="AK129" i="77"/>
  <c r="AM130" i="77"/>
  <c r="AH131" i="77"/>
  <c r="AM135" i="77"/>
  <c r="AM109" i="77"/>
  <c r="AH110" i="77"/>
  <c r="AM112" i="77"/>
  <c r="AK116" i="77"/>
  <c r="AM123" i="77"/>
  <c r="AM132" i="77"/>
  <c r="AG137" i="77"/>
  <c r="AM111" i="77"/>
  <c r="AI113" i="77"/>
  <c r="AM120" i="77"/>
  <c r="AC61" i="83"/>
  <c r="U61" i="83"/>
  <c r="F59" i="83"/>
  <c r="J61" i="83"/>
  <c r="K61" i="83"/>
  <c r="H61" i="83"/>
  <c r="U59" i="83"/>
  <c r="O61" i="83"/>
  <c r="I61" i="83"/>
  <c r="D59" i="83"/>
  <c r="W61" i="83"/>
  <c r="N61" i="83"/>
  <c r="C61" i="83"/>
  <c r="E61" i="83"/>
  <c r="Z61" i="83"/>
  <c r="X61" i="83"/>
  <c r="W59" i="83"/>
  <c r="M61" i="83"/>
  <c r="T59" i="83"/>
  <c r="P59" i="83"/>
  <c r="Z59" i="83"/>
  <c r="X59" i="83"/>
  <c r="S59" i="83"/>
  <c r="C59" i="83"/>
  <c r="T61" i="83"/>
  <c r="R59" i="83"/>
  <c r="H59" i="83"/>
  <c r="P61" i="83"/>
  <c r="E59" i="83"/>
  <c r="S61" i="83"/>
  <c r="R61" i="83"/>
  <c r="AB61" i="83"/>
  <c r="Y61" i="83"/>
  <c r="J59" i="83"/>
  <c r="F61" i="83"/>
  <c r="D61" i="83"/>
  <c r="K59" i="83"/>
  <c r="AB59" i="83"/>
  <c r="Y59" i="83"/>
  <c r="AZ15" i="84" l="1"/>
  <c r="AT15" i="84"/>
  <c r="R12" i="84"/>
  <c r="F35" i="9"/>
  <c r="P12" i="84"/>
  <c r="AV15" i="84"/>
  <c r="AP15" i="84"/>
  <c r="O272" i="77"/>
  <c r="BA15" i="84"/>
  <c r="AL15" i="84"/>
  <c r="AN15" i="84"/>
  <c r="AA163" i="83"/>
  <c r="AO15" i="84"/>
  <c r="T12" i="84"/>
  <c r="H12" i="84"/>
  <c r="D12" i="84"/>
  <c r="X12" i="84"/>
  <c r="BC15" i="84"/>
  <c r="O260" i="77"/>
  <c r="AC12" i="84"/>
  <c r="AA165" i="83"/>
  <c r="O266" i="77"/>
  <c r="AV274" i="77"/>
  <c r="Y12" i="84"/>
  <c r="AU272" i="77"/>
  <c r="Q12" i="84"/>
  <c r="AX15" i="84"/>
  <c r="AF12" i="84"/>
  <c r="O261" i="77"/>
  <c r="AY271" i="77"/>
  <c r="AS15" i="84"/>
  <c r="Z12" i="84"/>
  <c r="I12" i="84"/>
  <c r="AU15" i="84"/>
  <c r="L12" i="84"/>
  <c r="AW269" i="77"/>
  <c r="AU267" i="77"/>
  <c r="AU266" i="77"/>
  <c r="AV261" i="77"/>
  <c r="P60" i="83"/>
  <c r="O273" i="77"/>
  <c r="O265" i="77"/>
  <c r="AY276" i="77"/>
  <c r="AY260" i="77"/>
  <c r="AY259" i="77"/>
  <c r="T62" i="83"/>
  <c r="O267" i="77"/>
  <c r="BB15" i="84"/>
  <c r="AU273" i="77"/>
  <c r="AY263" i="77"/>
  <c r="AY275" i="77"/>
  <c r="AX265" i="77"/>
  <c r="AX258" i="77"/>
  <c r="AX270" i="77"/>
  <c r="AV268" i="77"/>
  <c r="AW264" i="77"/>
  <c r="AX262" i="77"/>
  <c r="O274" i="77"/>
  <c r="AD12" i="84"/>
  <c r="I62" i="83"/>
  <c r="AB12" i="84"/>
  <c r="M12" i="84"/>
  <c r="W12" i="84"/>
  <c r="V12" i="84"/>
  <c r="N12" i="84"/>
  <c r="U12" i="84"/>
  <c r="L165" i="83"/>
  <c r="AA12" i="84"/>
  <c r="S12" i="84"/>
  <c r="J62" i="83"/>
  <c r="E12" i="84"/>
  <c r="L163" i="83"/>
  <c r="AH56" i="83"/>
  <c r="AF55" i="83"/>
  <c r="AK56" i="83" s="1"/>
  <c r="AH12" i="84"/>
  <c r="P35" i="9"/>
  <c r="AC56" i="83"/>
  <c r="AG12" i="84"/>
  <c r="V163" i="83"/>
  <c r="G12" i="84"/>
  <c r="AE12" i="84"/>
  <c r="J12" i="84"/>
  <c r="Q163" i="83"/>
  <c r="O62" i="83"/>
  <c r="W60" i="83"/>
  <c r="C12" i="84"/>
  <c r="U62" i="83"/>
  <c r="N62" i="83"/>
  <c r="R62" i="83"/>
  <c r="V165" i="83"/>
  <c r="O12" i="84"/>
  <c r="O268" i="77"/>
  <c r="AU276" i="77"/>
  <c r="Q165" i="83"/>
  <c r="AW272" i="77"/>
  <c r="AV271" i="77"/>
  <c r="AU270" i="77"/>
  <c r="AG134" i="77"/>
  <c r="AV265" i="77"/>
  <c r="AF131" i="77"/>
  <c r="AU264" i="77"/>
  <c r="AE128" i="77"/>
  <c r="AU263" i="77"/>
  <c r="AJ125" i="77"/>
  <c r="AJ122" i="77"/>
  <c r="AY261" i="77"/>
  <c r="AK119" i="77"/>
  <c r="AI116" i="77"/>
  <c r="AW259" i="77"/>
  <c r="AH113" i="77"/>
  <c r="AG110" i="77"/>
  <c r="AH108" i="77"/>
  <c r="AF117" i="77"/>
  <c r="AI120" i="77"/>
  <c r="AJ127" i="77"/>
  <c r="AH112" i="77"/>
  <c r="AF109" i="77"/>
  <c r="AF129" i="77"/>
  <c r="AJ129" i="77"/>
  <c r="AK130" i="77"/>
  <c r="AE121" i="77"/>
  <c r="AI115" i="77"/>
  <c r="AU275" i="77"/>
  <c r="AY274" i="77"/>
  <c r="AV273" i="77"/>
  <c r="AU271" i="77"/>
  <c r="AY269" i="77"/>
  <c r="AW267" i="77"/>
  <c r="AF137" i="77"/>
  <c r="AV266" i="77"/>
  <c r="AX260" i="77"/>
  <c r="AV258" i="77"/>
  <c r="AJ136" i="77"/>
  <c r="AG115" i="77"/>
  <c r="AJ118" i="77"/>
  <c r="AK126" i="77"/>
  <c r="AK127" i="77"/>
  <c r="AG124" i="77"/>
  <c r="AI127" i="77"/>
  <c r="AG136" i="77"/>
  <c r="AI129" i="77"/>
  <c r="AE135" i="77"/>
  <c r="AF120" i="77"/>
  <c r="AK109" i="77"/>
  <c r="AH117" i="77"/>
  <c r="K60" i="83"/>
  <c r="P62" i="83"/>
  <c r="M62" i="83"/>
  <c r="U60" i="83"/>
  <c r="O262" i="77"/>
  <c r="O271" i="77"/>
  <c r="AV275" i="77"/>
  <c r="AX274" i="77"/>
  <c r="AV272" i="77"/>
  <c r="AX268" i="77"/>
  <c r="AF134" i="77"/>
  <c r="AU265" i="77"/>
  <c r="AE131" i="77"/>
  <c r="AJ128" i="77"/>
  <c r="AJ126" i="77"/>
  <c r="AK125" i="77"/>
  <c r="AY262" i="77"/>
  <c r="AK122" i="77"/>
  <c r="AI119" i="77"/>
  <c r="AW260" i="77"/>
  <c r="AH116" i="77"/>
  <c r="AV259" i="77"/>
  <c r="AG113" i="77"/>
  <c r="AF110" i="77"/>
  <c r="AG108" i="77"/>
  <c r="AH114" i="77"/>
  <c r="AI124" i="77"/>
  <c r="AG109" i="77"/>
  <c r="AI126" i="77"/>
  <c r="AI123" i="77"/>
  <c r="AH126" i="77"/>
  <c r="AG126" i="77"/>
  <c r="AH111" i="77"/>
  <c r="AG127" i="77"/>
  <c r="AI111" i="77"/>
  <c r="AE132" i="77"/>
  <c r="AH118" i="77"/>
  <c r="X60" i="83"/>
  <c r="AC60" i="83"/>
  <c r="Y60" i="83"/>
  <c r="AD60" i="83"/>
  <c r="H62" i="83"/>
  <c r="AX269" i="77"/>
  <c r="AW268" i="77"/>
  <c r="AV267" i="77"/>
  <c r="AJ137" i="77"/>
  <c r="AX261" i="77"/>
  <c r="AU258" i="77"/>
  <c r="AI112" i="77"/>
  <c r="AJ123" i="77"/>
  <c r="AH124" i="77"/>
  <c r="AF112" i="77"/>
  <c r="AF124" i="77"/>
  <c r="AG129" i="77"/>
  <c r="AF126" i="77"/>
  <c r="AH132" i="77"/>
  <c r="AE133" i="77"/>
  <c r="AI117" i="77"/>
  <c r="AF118" i="77"/>
  <c r="AG117" i="77"/>
  <c r="Y62" i="83"/>
  <c r="AD62" i="83"/>
  <c r="X62" i="83"/>
  <c r="K62" i="83"/>
  <c r="O275" i="77"/>
  <c r="O263" i="77"/>
  <c r="AW275" i="77"/>
  <c r="AW274" i="77"/>
  <c r="AY270" i="77"/>
  <c r="AE137" i="77"/>
  <c r="AJ134" i="77"/>
  <c r="AE134" i="77"/>
  <c r="AJ131" i="77"/>
  <c r="AY264" i="77"/>
  <c r="AK128" i="77"/>
  <c r="AI125" i="77"/>
  <c r="AI122" i="77"/>
  <c r="AH119" i="77"/>
  <c r="AV260" i="77"/>
  <c r="AG116" i="77"/>
  <c r="AE113" i="77"/>
  <c r="AJ110" i="77"/>
  <c r="AE110" i="77"/>
  <c r="AF108" i="77"/>
  <c r="AH109" i="77"/>
  <c r="AK123" i="77"/>
  <c r="AJ111" i="77"/>
  <c r="AF121" i="77"/>
  <c r="AE114" i="77"/>
  <c r="AH123" i="77"/>
  <c r="AE127" i="77"/>
  <c r="AI130" i="77"/>
  <c r="AG132" i="77"/>
  <c r="K12" i="84"/>
  <c r="AF130" i="77"/>
  <c r="AK115" i="77"/>
  <c r="AH115" i="77"/>
  <c r="AK112" i="77"/>
  <c r="AW261" i="77"/>
  <c r="AU259" i="77"/>
  <c r="AE109" i="77"/>
  <c r="AG120" i="77"/>
  <c r="AK121" i="77"/>
  <c r="AE124" i="77"/>
  <c r="AH129" i="77"/>
  <c r="AH130" i="77"/>
  <c r="AE129" i="77"/>
  <c r="AJ114" i="77"/>
  <c r="AF111" i="77"/>
  <c r="AK114" i="77"/>
  <c r="S62" i="83"/>
  <c r="AB60" i="83"/>
  <c r="AG60" i="83"/>
  <c r="H60" i="83"/>
  <c r="J60" i="83"/>
  <c r="Z62" i="83"/>
  <c r="AE62" i="83"/>
  <c r="O270" i="77"/>
  <c r="O257" i="77"/>
  <c r="AX276" i="77"/>
  <c r="AX275" i="77"/>
  <c r="AY266" i="77"/>
  <c r="AK134" i="77"/>
  <c r="AY265" i="77"/>
  <c r="AK131" i="77"/>
  <c r="AX264" i="77"/>
  <c r="AI128" i="77"/>
  <c r="AX263" i="77"/>
  <c r="AH125" i="77"/>
  <c r="AW262" i="77"/>
  <c r="AH122" i="77"/>
  <c r="AG119" i="77"/>
  <c r="AU260" i="77"/>
  <c r="AE116" i="77"/>
  <c r="AJ113" i="77"/>
  <c r="AY258" i="77"/>
  <c r="AK110" i="77"/>
  <c r="AJ108" i="77"/>
  <c r="AE108" i="77"/>
  <c r="AK124" i="77"/>
  <c r="AK111" i="77"/>
  <c r="AK136" i="77"/>
  <c r="AH133" i="77"/>
  <c r="AI118" i="77"/>
  <c r="AH135" i="77"/>
  <c r="AH136" i="77"/>
  <c r="AJ120" i="77"/>
  <c r="AE123" i="77"/>
  <c r="AG123" i="77"/>
  <c r="AE136" i="77"/>
  <c r="F12" i="84"/>
  <c r="AE111" i="77"/>
  <c r="AE130" i="77"/>
  <c r="AF165" i="83"/>
  <c r="AK165" i="83"/>
  <c r="AY273" i="77"/>
  <c r="AW270" i="77"/>
  <c r="AV269" i="77"/>
  <c r="AU268" i="77"/>
  <c r="AI137" i="77"/>
  <c r="AF127" i="77"/>
  <c r="AG111" i="77"/>
  <c r="AJ135" i="77"/>
  <c r="AK132" i="77"/>
  <c r="AK117" i="77"/>
  <c r="AI135" i="77"/>
  <c r="AG121" i="77"/>
  <c r="AI121" i="77"/>
  <c r="AF135" i="77"/>
  <c r="AJ109" i="77"/>
  <c r="AI114" i="77"/>
  <c r="AB62" i="83"/>
  <c r="AG62" i="83"/>
  <c r="O259" i="77"/>
  <c r="AW276" i="77"/>
  <c r="AU274" i="77"/>
  <c r="AY272" i="77"/>
  <c r="AX271" i="77"/>
  <c r="AI134" i="77"/>
  <c r="AI131" i="77"/>
  <c r="AH128" i="77"/>
  <c r="AW263" i="77"/>
  <c r="AG125" i="77"/>
  <c r="AV262" i="77"/>
  <c r="AG122" i="77"/>
  <c r="AU261" i="77"/>
  <c r="AE119" i="77"/>
  <c r="AJ116" i="77"/>
  <c r="AK113" i="77"/>
  <c r="AI110" i="77"/>
  <c r="AK108" i="77"/>
  <c r="AE126" i="77"/>
  <c r="AJ133" i="77"/>
  <c r="AE117" i="77"/>
  <c r="AI136" i="77"/>
  <c r="AJ130" i="77"/>
  <c r="AJ115" i="77"/>
  <c r="AI133" i="77"/>
  <c r="G61" i="83"/>
  <c r="AH120" i="77"/>
  <c r="AF136" i="77"/>
  <c r="AK120" i="77"/>
  <c r="AF133" i="77"/>
  <c r="AI109" i="77"/>
  <c r="AG118" i="77"/>
  <c r="O276" i="77"/>
  <c r="O269" i="77"/>
  <c r="AF163" i="83"/>
  <c r="AK163" i="83"/>
  <c r="AX273" i="77"/>
  <c r="AX272" i="77"/>
  <c r="AW271" i="77"/>
  <c r="AV270" i="77"/>
  <c r="AU269" i="77"/>
  <c r="AH137" i="77"/>
  <c r="AX266" i="77"/>
  <c r="AK135" i="77"/>
  <c r="AE115" i="77"/>
  <c r="AJ132" i="77"/>
  <c r="AE112" i="77"/>
  <c r="AK118" i="77"/>
  <c r="AG135" i="77"/>
  <c r="AF132" i="77"/>
  <c r="AJ112" i="77"/>
  <c r="O264" i="77"/>
  <c r="AY267" i="77"/>
  <c r="AW266" i="77"/>
  <c r="AW265" i="77"/>
  <c r="AV263" i="77"/>
  <c r="AU262" i="77"/>
  <c r="AX259" i="77"/>
  <c r="AW258" i="77"/>
  <c r="AF123" i="77"/>
  <c r="AF115" i="77"/>
  <c r="AK133" i="77"/>
  <c r="AF114" i="77"/>
  <c r="AH127" i="77"/>
  <c r="BD12" i="84"/>
  <c r="AC57" i="83" s="1"/>
  <c r="AR35" i="9"/>
  <c r="AJ117" i="77"/>
  <c r="AG133" i="77"/>
  <c r="W62" i="83"/>
  <c r="Z60" i="83"/>
  <c r="AE60" i="83"/>
  <c r="O258" i="77"/>
  <c r="AV276" i="77"/>
  <c r="AW273" i="77"/>
  <c r="AY268" i="77"/>
  <c r="AX267" i="77"/>
  <c r="AV264" i="77"/>
  <c r="AE118" i="77"/>
  <c r="AH121" i="77"/>
  <c r="AG112" i="77"/>
  <c r="AG130" i="77"/>
  <c r="AJ121" i="77"/>
  <c r="AI132" i="77"/>
  <c r="AE120" i="77"/>
  <c r="AJ124" i="77"/>
  <c r="AQ6" i="84"/>
  <c r="AQ15" i="84" s="1"/>
  <c r="M45" i="83"/>
  <c r="R46" i="83" s="1"/>
  <c r="AS9" i="84"/>
  <c r="O53" i="83"/>
  <c r="T54" i="83" s="1"/>
  <c r="N45" i="83"/>
  <c r="S46" i="83" s="1"/>
  <c r="AR6" i="84"/>
  <c r="AR15" i="84" s="1"/>
  <c r="AQ9" i="84"/>
  <c r="M53" i="83"/>
  <c r="R54" i="83" s="1"/>
  <c r="AN9" i="84"/>
  <c r="I53" i="83"/>
  <c r="L53" i="83" s="1"/>
  <c r="AC62" i="83"/>
  <c r="AH62" i="83"/>
  <c r="N53" i="83"/>
  <c r="S54" i="83" s="1"/>
  <c r="AR9" i="84"/>
  <c r="AM145" i="77"/>
  <c r="AH145" i="77"/>
  <c r="AG145" i="77"/>
  <c r="AJ145" i="77"/>
  <c r="AF145" i="77"/>
  <c r="AE145" i="77"/>
  <c r="AK145" i="77"/>
  <c r="AI145" i="77"/>
  <c r="AI141" i="77"/>
  <c r="AG141" i="77"/>
  <c r="AH141" i="77"/>
  <c r="AE141" i="77"/>
  <c r="AM141" i="77"/>
  <c r="AJ141" i="77"/>
  <c r="AF141" i="77"/>
  <c r="AK141" i="77"/>
  <c r="AB268" i="77"/>
  <c r="AM138" i="77"/>
  <c r="AE138" i="77"/>
  <c r="AH138" i="77"/>
  <c r="AG138" i="77"/>
  <c r="AF138" i="77"/>
  <c r="AI138" i="77"/>
  <c r="AJ138" i="77"/>
  <c r="AK138" i="77"/>
  <c r="AF113" i="77"/>
  <c r="AM113" i="77"/>
  <c r="AI152" i="77"/>
  <c r="AH152" i="77"/>
  <c r="AE152" i="77"/>
  <c r="AF152" i="77"/>
  <c r="AK152" i="77"/>
  <c r="AB272" i="77"/>
  <c r="AJ152" i="77"/>
  <c r="AM152" i="77"/>
  <c r="AG152" i="77"/>
  <c r="AK137" i="77"/>
  <c r="AB267" i="77"/>
  <c r="AM267" i="77" s="1"/>
  <c r="AM137" i="77"/>
  <c r="AM144" i="77"/>
  <c r="AJ144" i="77"/>
  <c r="AG144" i="77"/>
  <c r="AF144" i="77"/>
  <c r="AK144" i="77"/>
  <c r="AE144" i="77"/>
  <c r="AI144" i="77"/>
  <c r="AH144" i="77"/>
  <c r="AF116" i="77"/>
  <c r="AM116" i="77"/>
  <c r="AB260" i="77"/>
  <c r="AM260" i="77" s="1"/>
  <c r="AB258" i="77"/>
  <c r="AM258" i="77" s="1"/>
  <c r="AM110" i="77"/>
  <c r="AG131" i="77"/>
  <c r="AB265" i="77"/>
  <c r="AI265" i="77" s="1"/>
  <c r="AM131" i="77"/>
  <c r="AB264" i="77"/>
  <c r="AM264" i="77" s="1"/>
  <c r="AM129" i="77"/>
  <c r="AF128" i="77"/>
  <c r="AM128" i="77"/>
  <c r="AE125" i="77"/>
  <c r="AB263" i="77"/>
  <c r="AM263" i="77" s="1"/>
  <c r="AM125" i="77"/>
  <c r="AF122" i="77"/>
  <c r="AM122" i="77"/>
  <c r="AB262" i="77"/>
  <c r="AM262" i="77" s="1"/>
  <c r="AM108" i="77"/>
  <c r="AB257" i="77"/>
  <c r="AM257" i="77" s="1"/>
  <c r="AM142" i="77"/>
  <c r="AK142" i="77"/>
  <c r="AF142" i="77"/>
  <c r="AH142" i="77"/>
  <c r="AE142" i="77"/>
  <c r="AJ142" i="77"/>
  <c r="AI142" i="77"/>
  <c r="AG142" i="77"/>
  <c r="AM151" i="77"/>
  <c r="AK151" i="77"/>
  <c r="AF151" i="77"/>
  <c r="AI151" i="77"/>
  <c r="AJ151" i="77"/>
  <c r="AH151" i="77"/>
  <c r="AE151" i="77"/>
  <c r="AG151" i="77"/>
  <c r="AF119" i="77"/>
  <c r="AB261" i="77"/>
  <c r="AM261" i="77" s="1"/>
  <c r="AM119" i="77"/>
  <c r="AM150" i="77"/>
  <c r="AK150" i="77"/>
  <c r="AJ150" i="77"/>
  <c r="AI150" i="77"/>
  <c r="AE150" i="77"/>
  <c r="AH150" i="77"/>
  <c r="AG150" i="77"/>
  <c r="AF150" i="77"/>
  <c r="AE146" i="77"/>
  <c r="AG146" i="77"/>
  <c r="AF146" i="77"/>
  <c r="AH146" i="77"/>
  <c r="AB270" i="77"/>
  <c r="AM146" i="77"/>
  <c r="AI146" i="77"/>
  <c r="AJ146" i="77"/>
  <c r="AK146" i="77"/>
  <c r="AE149" i="77"/>
  <c r="AJ149" i="77"/>
  <c r="AG149" i="77"/>
  <c r="AI149" i="77"/>
  <c r="AK149" i="77"/>
  <c r="AF149" i="77"/>
  <c r="AM149" i="77"/>
  <c r="AH149" i="77"/>
  <c r="AB271" i="77"/>
  <c r="AM147" i="77"/>
  <c r="AE147" i="77"/>
  <c r="AI147" i="77"/>
  <c r="AF147" i="77"/>
  <c r="AG147" i="77"/>
  <c r="AH147" i="77"/>
  <c r="AJ147" i="77"/>
  <c r="AK147" i="77"/>
  <c r="AB259" i="77"/>
  <c r="AM259" i="77" s="1"/>
  <c r="AM114" i="77"/>
  <c r="AM148" i="77"/>
  <c r="AH148" i="77"/>
  <c r="AK148" i="77"/>
  <c r="AI148" i="77"/>
  <c r="AJ148" i="77"/>
  <c r="AF148" i="77"/>
  <c r="AE148" i="77"/>
  <c r="AG148" i="77"/>
  <c r="AB266" i="77"/>
  <c r="AM266" i="77" s="1"/>
  <c r="AM134" i="77"/>
  <c r="AH143" i="77"/>
  <c r="AJ143" i="77"/>
  <c r="AF143" i="77"/>
  <c r="AK143" i="77"/>
  <c r="AI143" i="77"/>
  <c r="AM143" i="77"/>
  <c r="AE143" i="77"/>
  <c r="AB269" i="77"/>
  <c r="AG143" i="77"/>
  <c r="X47" i="83"/>
  <c r="X46" i="83"/>
  <c r="X42" i="83"/>
  <c r="AC43" i="83" s="1"/>
  <c r="Y47" i="83"/>
  <c r="Y42" i="83"/>
  <c r="AD43" i="83" s="1"/>
  <c r="Y46" i="83"/>
  <c r="Z42" i="83"/>
  <c r="AE43" i="83" s="1"/>
  <c r="Z46" i="83"/>
  <c r="Z47" i="83"/>
  <c r="AF45" i="83"/>
  <c r="AK46" i="83" s="1"/>
  <c r="AB46" i="83"/>
  <c r="AB47" i="83"/>
  <c r="AB42" i="83"/>
  <c r="AG43" i="83" s="1"/>
  <c r="AF50" i="83"/>
  <c r="AF49" i="83"/>
  <c r="O46" i="83"/>
  <c r="O47" i="83"/>
  <c r="O42" i="83"/>
  <c r="P42" i="83"/>
  <c r="P46" i="83"/>
  <c r="P47" i="83"/>
  <c r="Q50" i="83"/>
  <c r="Q49" i="83"/>
  <c r="AA50" i="83"/>
  <c r="AA49" i="83"/>
  <c r="AA45" i="83"/>
  <c r="W42" i="83"/>
  <c r="W47" i="83"/>
  <c r="W46" i="83"/>
  <c r="U46" i="83"/>
  <c r="U42" i="83"/>
  <c r="U47" i="83"/>
  <c r="T47" i="83"/>
  <c r="T46" i="83"/>
  <c r="T42" i="83"/>
  <c r="S42" i="83"/>
  <c r="S47" i="83"/>
  <c r="V50" i="83"/>
  <c r="V49" i="83"/>
  <c r="R47" i="83"/>
  <c r="V45" i="83"/>
  <c r="R42" i="83"/>
  <c r="K46" i="83"/>
  <c r="K42" i="83"/>
  <c r="K47" i="83"/>
  <c r="J46" i="83"/>
  <c r="J42" i="83"/>
  <c r="J47" i="83"/>
  <c r="I47" i="83"/>
  <c r="I42" i="83"/>
  <c r="I46" i="83"/>
  <c r="L49" i="83"/>
  <c r="L50" i="83"/>
  <c r="H42" i="83"/>
  <c r="H47" i="83"/>
  <c r="H46" i="83"/>
  <c r="L45" i="83"/>
  <c r="F47" i="83"/>
  <c r="F42" i="83"/>
  <c r="E42" i="83"/>
  <c r="E47" i="83"/>
  <c r="D42" i="83"/>
  <c r="D47" i="83"/>
  <c r="C42" i="83"/>
  <c r="G45" i="83"/>
  <c r="G47" i="83" s="1"/>
  <c r="C47" i="83"/>
  <c r="AB54" i="83"/>
  <c r="AB51" i="83"/>
  <c r="AG52" i="83" s="1"/>
  <c r="AF53" i="83"/>
  <c r="AK54" i="83" s="1"/>
  <c r="BC12" i="84"/>
  <c r="AB57" i="83" s="1"/>
  <c r="AQ35" i="9"/>
  <c r="Z54" i="83"/>
  <c r="Z51" i="83"/>
  <c r="BB12" i="84"/>
  <c r="Z57" i="83" s="1"/>
  <c r="AP35" i="9"/>
  <c r="Y54" i="83"/>
  <c r="Y51" i="83"/>
  <c r="BA12" i="84"/>
  <c r="Y57" i="83" s="1"/>
  <c r="AO35" i="9"/>
  <c r="X51" i="83"/>
  <c r="X54" i="83"/>
  <c r="AZ12" i="84"/>
  <c r="X57" i="83" s="1"/>
  <c r="AN35" i="9"/>
  <c r="AA56" i="83"/>
  <c r="AA61" i="83"/>
  <c r="AA53" i="83"/>
  <c r="W54" i="83"/>
  <c r="W51" i="83"/>
  <c r="AY12" i="84"/>
  <c r="W57" i="83" s="1"/>
  <c r="AM35" i="9"/>
  <c r="T51" i="83"/>
  <c r="AW12" i="84"/>
  <c r="T57" i="83" s="1"/>
  <c r="AK35" i="9"/>
  <c r="S51" i="83"/>
  <c r="AV12" i="84"/>
  <c r="S57" i="83" s="1"/>
  <c r="AJ35" i="9"/>
  <c r="V61" i="83"/>
  <c r="V56" i="83"/>
  <c r="R51" i="83"/>
  <c r="V53" i="83"/>
  <c r="AI35" i="9"/>
  <c r="AU12" i="84"/>
  <c r="R57" i="83" s="1"/>
  <c r="AT12" i="84"/>
  <c r="P57" i="83" s="1"/>
  <c r="AH35" i="9"/>
  <c r="P54" i="83"/>
  <c r="P51" i="83"/>
  <c r="Q56" i="83"/>
  <c r="Q61" i="83"/>
  <c r="AD35" i="9"/>
  <c r="AP12" i="84"/>
  <c r="K57" i="83" s="1"/>
  <c r="K54" i="83"/>
  <c r="K51" i="83"/>
  <c r="K52" i="83" s="1"/>
  <c r="AC35" i="9"/>
  <c r="AO12" i="84"/>
  <c r="J57" i="83" s="1"/>
  <c r="J54" i="83"/>
  <c r="J51" i="83"/>
  <c r="J52" i="83" s="1"/>
  <c r="L56" i="83"/>
  <c r="L61" i="83"/>
  <c r="H54" i="83"/>
  <c r="AM12" i="84"/>
  <c r="H57" i="83" s="1"/>
  <c r="AA35" i="9"/>
  <c r="AL12" i="84"/>
  <c r="F57" i="83" s="1"/>
  <c r="Z35" i="9"/>
  <c r="Y35" i="9"/>
  <c r="AK12" i="84"/>
  <c r="E57" i="83" s="1"/>
  <c r="AJ12" i="84"/>
  <c r="D57" i="83" s="1"/>
  <c r="X35" i="9"/>
  <c r="G53" i="83"/>
  <c r="C51" i="83"/>
  <c r="G51" i="83" s="1"/>
  <c r="W35" i="9"/>
  <c r="AI12" i="84"/>
  <c r="C57" i="83" s="1"/>
  <c r="U54" i="83"/>
  <c r="U51" i="83"/>
  <c r="AX12" i="84"/>
  <c r="U57" i="83" s="1"/>
  <c r="AL35" i="9"/>
  <c r="N59" i="83"/>
  <c r="I59" i="83"/>
  <c r="I60" i="83" s="1"/>
  <c r="O59" i="83"/>
  <c r="O60" i="83" s="1"/>
  <c r="M59" i="83"/>
  <c r="M60" i="83" s="1"/>
  <c r="AQ36" i="9" l="1"/>
  <c r="AJ267" i="77"/>
  <c r="AE267" i="77"/>
  <c r="AF263" i="77"/>
  <c r="AK260" i="77"/>
  <c r="AG259" i="77"/>
  <c r="AH265" i="77"/>
  <c r="AK264" i="77"/>
  <c r="AG262" i="77"/>
  <c r="AH257" i="77"/>
  <c r="L62" i="83"/>
  <c r="U58" i="83"/>
  <c r="AF56" i="83"/>
  <c r="AF61" i="83"/>
  <c r="AK62" i="83" s="1"/>
  <c r="G59" i="83"/>
  <c r="X58" i="83"/>
  <c r="P52" i="83"/>
  <c r="Q62" i="83"/>
  <c r="H52" i="83"/>
  <c r="W58" i="83"/>
  <c r="AI258" i="77"/>
  <c r="AH262" i="77"/>
  <c r="AH261" i="77"/>
  <c r="AF266" i="77"/>
  <c r="AE263" i="77"/>
  <c r="AI257" i="77"/>
  <c r="AK259" i="77"/>
  <c r="AH263" i="77"/>
  <c r="AG257" i="77"/>
  <c r="AE264" i="77"/>
  <c r="N60" i="83"/>
  <c r="P58" i="83"/>
  <c r="AB58" i="83"/>
  <c r="AG58" i="83"/>
  <c r="AH258" i="77"/>
  <c r="AJ260" i="77"/>
  <c r="AI264" i="77"/>
  <c r="AI262" i="77"/>
  <c r="AF258" i="77"/>
  <c r="AF265" i="77"/>
  <c r="AG267" i="77"/>
  <c r="U52" i="83"/>
  <c r="J58" i="83"/>
  <c r="AI259" i="77"/>
  <c r="AE261" i="77"/>
  <c r="AK265" i="77"/>
  <c r="AF259" i="77"/>
  <c r="AI263" i="77"/>
  <c r="AG265" i="77"/>
  <c r="AF267" i="77"/>
  <c r="AG266" i="77"/>
  <c r="X52" i="83"/>
  <c r="AC52" i="83"/>
  <c r="AK266" i="77"/>
  <c r="AJ261" i="77"/>
  <c r="AG263" i="77"/>
  <c r="AJ265" i="77"/>
  <c r="AH260" i="77"/>
  <c r="AG258" i="77"/>
  <c r="H58" i="83"/>
  <c r="Y58" i="83"/>
  <c r="AD58" i="83"/>
  <c r="AE262" i="77"/>
  <c r="AH264" i="77"/>
  <c r="AE257" i="77"/>
  <c r="AF257" i="77"/>
  <c r="AE266" i="77"/>
  <c r="AI261" i="77"/>
  <c r="T60" i="83"/>
  <c r="G57" i="83"/>
  <c r="K58" i="83"/>
  <c r="Y52" i="83"/>
  <c r="AD52" i="83"/>
  <c r="AJ257" i="77"/>
  <c r="AE258" i="77"/>
  <c r="AJ266" i="77"/>
  <c r="AH259" i="77"/>
  <c r="AG264" i="77"/>
  <c r="AI266" i="77"/>
  <c r="AK258" i="77"/>
  <c r="AJ258" i="77"/>
  <c r="S60" i="83"/>
  <c r="AK262" i="77"/>
  <c r="AI260" i="77"/>
  <c r="V62" i="83"/>
  <c r="AJ259" i="77"/>
  <c r="AE259" i="77"/>
  <c r="R60" i="83"/>
  <c r="AK263" i="77"/>
  <c r="AF261" i="77"/>
  <c r="Z58" i="83"/>
  <c r="AE58" i="83"/>
  <c r="AF260" i="77"/>
  <c r="AE260" i="77"/>
  <c r="AJ263" i="77"/>
  <c r="AF264" i="77"/>
  <c r="AK261" i="77"/>
  <c r="AK267" i="77"/>
  <c r="AA62" i="83"/>
  <c r="Z52" i="83"/>
  <c r="AE52" i="83"/>
  <c r="AH266" i="77"/>
  <c r="AC63" i="83"/>
  <c r="AC58" i="83"/>
  <c r="AH58" i="83"/>
  <c r="AH267" i="77"/>
  <c r="AK257" i="77"/>
  <c r="AI267" i="77"/>
  <c r="AG261" i="77"/>
  <c r="AG260" i="77"/>
  <c r="AJ264" i="77"/>
  <c r="AJ262" i="77"/>
  <c r="AF262" i="77"/>
  <c r="L54" i="83"/>
  <c r="L59" i="83"/>
  <c r="V59" i="83"/>
  <c r="V51" i="83"/>
  <c r="W52" i="83"/>
  <c r="AA51" i="83"/>
  <c r="AA54" i="83"/>
  <c r="AA59" i="83"/>
  <c r="AF54" i="83"/>
  <c r="AF59" i="83"/>
  <c r="AB52" i="83"/>
  <c r="AF51" i="83"/>
  <c r="AK52" i="83" s="1"/>
  <c r="C44" i="83"/>
  <c r="G42" i="83"/>
  <c r="C63" i="83"/>
  <c r="D44" i="83"/>
  <c r="D63" i="83"/>
  <c r="E44" i="83"/>
  <c r="E63" i="83"/>
  <c r="F44" i="83"/>
  <c r="F63" i="83"/>
  <c r="L46" i="83"/>
  <c r="L47" i="83"/>
  <c r="H44" i="83"/>
  <c r="H43" i="83"/>
  <c r="L42" i="83"/>
  <c r="H63" i="83"/>
  <c r="I44" i="83"/>
  <c r="I43" i="83"/>
  <c r="J43" i="83"/>
  <c r="J44" i="83"/>
  <c r="J63" i="83"/>
  <c r="K43" i="83"/>
  <c r="K44" i="83"/>
  <c r="K63" i="83"/>
  <c r="V42" i="83"/>
  <c r="R44" i="83"/>
  <c r="R63" i="83"/>
  <c r="V47" i="83"/>
  <c r="S63" i="83"/>
  <c r="S44" i="83"/>
  <c r="T44" i="83"/>
  <c r="T43" i="83"/>
  <c r="T63" i="83"/>
  <c r="U63" i="83"/>
  <c r="U44" i="83"/>
  <c r="U43" i="83"/>
  <c r="W63" i="83"/>
  <c r="AA42" i="83"/>
  <c r="W44" i="83"/>
  <c r="W43" i="83"/>
  <c r="AA47" i="83"/>
  <c r="AA46" i="83"/>
  <c r="P44" i="83"/>
  <c r="P43" i="83"/>
  <c r="P63" i="83"/>
  <c r="O43" i="83"/>
  <c r="O44" i="83"/>
  <c r="AB43" i="83"/>
  <c r="AB44" i="83"/>
  <c r="AF42" i="83"/>
  <c r="AK43" i="83" s="1"/>
  <c r="AB63" i="83"/>
  <c r="AF47" i="83"/>
  <c r="AF46" i="83"/>
  <c r="Z44" i="83"/>
  <c r="Z43" i="83"/>
  <c r="Z63" i="83"/>
  <c r="Y44" i="83"/>
  <c r="Y43" i="83"/>
  <c r="Y63" i="83"/>
  <c r="X43" i="83"/>
  <c r="X44" i="83"/>
  <c r="X63" i="83"/>
  <c r="AM269" i="77"/>
  <c r="AH269" i="77"/>
  <c r="AF269" i="77"/>
  <c r="AG269" i="77"/>
  <c r="AE269" i="77"/>
  <c r="AK269" i="77"/>
  <c r="AJ269" i="77"/>
  <c r="AI269" i="77"/>
  <c r="AH271" i="77"/>
  <c r="AE271" i="77"/>
  <c r="AM271" i="77"/>
  <c r="AI271" i="77"/>
  <c r="AJ271" i="77"/>
  <c r="AG271" i="77"/>
  <c r="AK271" i="77"/>
  <c r="AF271" i="77"/>
  <c r="AM270" i="77"/>
  <c r="AG270" i="77"/>
  <c r="AF270" i="77"/>
  <c r="AK270" i="77"/>
  <c r="AI270" i="77"/>
  <c r="AH270" i="77"/>
  <c r="AE270" i="77"/>
  <c r="AJ270" i="77"/>
  <c r="AE265" i="77"/>
  <c r="AM265" i="77"/>
  <c r="AM272" i="77"/>
  <c r="AI272" i="77"/>
  <c r="AE272" i="77"/>
  <c r="AJ272" i="77"/>
  <c r="AK272" i="77"/>
  <c r="AH272" i="77"/>
  <c r="AG272" i="77"/>
  <c r="AF272" i="77"/>
  <c r="AM268" i="77"/>
  <c r="AI268" i="77"/>
  <c r="AE268" i="77"/>
  <c r="AF268" i="77"/>
  <c r="AJ268" i="77"/>
  <c r="AG268" i="77"/>
  <c r="AH268" i="77"/>
  <c r="AK268" i="77"/>
  <c r="AR12" i="84"/>
  <c r="N57" i="83" s="1"/>
  <c r="AF35" i="9"/>
  <c r="N54" i="83"/>
  <c r="N51" i="83"/>
  <c r="I54" i="83"/>
  <c r="I51" i="83"/>
  <c r="AB35" i="9"/>
  <c r="AN12" i="84"/>
  <c r="I57" i="83" s="1"/>
  <c r="I58" i="83" s="1"/>
  <c r="M54" i="83"/>
  <c r="M51" i="83"/>
  <c r="R52" i="83" s="1"/>
  <c r="Q53" i="83"/>
  <c r="Q54" i="83" s="1"/>
  <c r="AQ12" i="84"/>
  <c r="M57" i="83" s="1"/>
  <c r="M58" i="83" s="1"/>
  <c r="AE35" i="9"/>
  <c r="N46" i="83"/>
  <c r="N47" i="83"/>
  <c r="N42" i="83"/>
  <c r="S43" i="83" s="1"/>
  <c r="O54" i="83"/>
  <c r="O51" i="83"/>
  <c r="O52" i="83" s="1"/>
  <c r="AS12" i="84"/>
  <c r="O57" i="83" s="1"/>
  <c r="O58" i="83" s="1"/>
  <c r="AG35" i="9"/>
  <c r="M46" i="83"/>
  <c r="M47" i="83"/>
  <c r="M42" i="83"/>
  <c r="R43" i="83" s="1"/>
  <c r="Q45" i="83"/>
  <c r="V46" i="83" s="1"/>
  <c r="AF36" i="9" l="1"/>
  <c r="AG36" i="9"/>
  <c r="L60" i="83"/>
  <c r="AF62" i="83"/>
  <c r="H64" i="83"/>
  <c r="P64" i="83"/>
  <c r="X64" i="83"/>
  <c r="J64" i="83"/>
  <c r="AA60" i="83"/>
  <c r="W64" i="83"/>
  <c r="N52" i="83"/>
  <c r="K64" i="83"/>
  <c r="Y64" i="83"/>
  <c r="AD64" i="83"/>
  <c r="O63" i="83"/>
  <c r="O64" i="83" s="1"/>
  <c r="T52" i="83"/>
  <c r="N58" i="83"/>
  <c r="U64" i="83"/>
  <c r="V54" i="83"/>
  <c r="Z64" i="83"/>
  <c r="AE64" i="83"/>
  <c r="AF60" i="83"/>
  <c r="AK60" i="83"/>
  <c r="AC64" i="83"/>
  <c r="AH64" i="83"/>
  <c r="S52" i="83"/>
  <c r="AB64" i="83"/>
  <c r="AG64" i="83"/>
  <c r="I52" i="83"/>
  <c r="L51" i="83"/>
  <c r="I63" i="83"/>
  <c r="I64" i="83" s="1"/>
  <c r="T58" i="83"/>
  <c r="S58" i="83"/>
  <c r="R58" i="83"/>
  <c r="Q59" i="83"/>
  <c r="Q60" i="83" s="1"/>
  <c r="Q46" i="83"/>
  <c r="Q47" i="83"/>
  <c r="M43" i="83"/>
  <c r="M44" i="83"/>
  <c r="Q42" i="83"/>
  <c r="V43" i="83" s="1"/>
  <c r="M63" i="83"/>
  <c r="M64" i="83" s="1"/>
  <c r="N44" i="83"/>
  <c r="N43" i="83"/>
  <c r="N63" i="83"/>
  <c r="S64" i="83" s="1"/>
  <c r="M52" i="83"/>
  <c r="Q51" i="83"/>
  <c r="V52" i="83" s="1"/>
  <c r="AF43" i="83"/>
  <c r="AF44" i="83"/>
  <c r="AA44" i="83"/>
  <c r="AA43" i="83"/>
  <c r="V44" i="83"/>
  <c r="L44" i="83"/>
  <c r="L43" i="83"/>
  <c r="G44" i="83"/>
  <c r="G63" i="83"/>
  <c r="AF57" i="83"/>
  <c r="AF63" i="83" s="1"/>
  <c r="AF52" i="83"/>
  <c r="AA52" i="83"/>
  <c r="AA57" i="83"/>
  <c r="V57" i="83"/>
  <c r="V63" i="83" s="1"/>
  <c r="V60" i="83" l="1"/>
  <c r="N64" i="83"/>
  <c r="T64" i="83"/>
  <c r="AA58" i="83"/>
  <c r="AK64" i="83"/>
  <c r="L52" i="83"/>
  <c r="L57" i="83"/>
  <c r="AA63" i="83"/>
  <c r="AA64" i="83" s="1"/>
  <c r="AF58" i="83"/>
  <c r="AK58" i="83"/>
  <c r="Q52" i="83"/>
  <c r="R64" i="83"/>
  <c r="Q57" i="83"/>
  <c r="Q43" i="83"/>
  <c r="Q44" i="83"/>
  <c r="Q58" i="83" l="1"/>
  <c r="L58" i="83"/>
  <c r="L63" i="83"/>
  <c r="L64" i="83" s="1"/>
  <c r="V58" i="83"/>
  <c r="Q63" i="83"/>
  <c r="AF64" i="83"/>
  <c r="Q64" i="83" l="1"/>
  <c r="V64" i="83"/>
  <c r="AU92" i="68" l="1"/>
  <c r="AV92" i="68" l="1"/>
  <c r="AV54" i="68"/>
  <c r="AV59" i="68" l="1"/>
  <c r="AV60" i="68" s="1"/>
  <c r="AV50" i="68"/>
  <c r="AV31" i="68"/>
  <c r="AV23" i="68"/>
  <c r="AV20" i="68" l="1"/>
  <c r="AV32" i="68" s="1"/>
  <c r="X442" i="36" l="1"/>
  <c r="Y439" i="36"/>
  <c r="EV8" i="34"/>
  <c r="F442" i="36"/>
  <c r="D442" i="36"/>
  <c r="EU24" i="34"/>
  <c r="EU21" i="34"/>
  <c r="EU27" i="34" s="1"/>
  <c r="EV14" i="34"/>
  <c r="EV11" i="34"/>
  <c r="EV10" i="34"/>
  <c r="EV12" i="34"/>
  <c r="EV9" i="34"/>
  <c r="I442" i="36" l="1"/>
  <c r="T439" i="36"/>
  <c r="G442" i="36"/>
  <c r="EV7" i="34"/>
  <c r="EV21" i="34" s="1"/>
  <c r="ET21" i="34"/>
  <c r="EV25" i="34"/>
  <c r="EV24" i="34" s="1"/>
  <c r="ET24" i="34"/>
  <c r="T435" i="36"/>
  <c r="T432" i="36"/>
  <c r="C442" i="36"/>
  <c r="H442" i="36"/>
  <c r="W442" i="36"/>
  <c r="Y432" i="36"/>
  <c r="Y442" i="36" s="1"/>
  <c r="T442" i="36" l="1"/>
  <c r="E442" i="36"/>
  <c r="ET27" i="34"/>
  <c r="EV27" i="34"/>
  <c r="L215" i="80"/>
  <c r="N214" i="80"/>
  <c r="F211" i="80" l="1"/>
  <c r="C215" i="80"/>
  <c r="F214" i="80"/>
  <c r="N211" i="80"/>
  <c r="K215" i="80"/>
  <c r="F210" i="80"/>
  <c r="F213" i="80"/>
  <c r="N210" i="80"/>
  <c r="F212" i="80"/>
  <c r="N213" i="80"/>
  <c r="N212" i="80"/>
  <c r="D215" i="80"/>
  <c r="N209" i="80" l="1"/>
  <c r="N215" i="80" s="1"/>
  <c r="M215" i="80"/>
  <c r="F209" i="80"/>
  <c r="F215" i="80" s="1"/>
  <c r="E215" i="80"/>
  <c r="HC18" i="85" l="1"/>
  <c r="HC38" i="85" s="1"/>
  <c r="HF15" i="85"/>
  <c r="AF18" i="81" l="1"/>
  <c r="BA72" i="9" s="1"/>
  <c r="BA64" i="9" s="1"/>
  <c r="AF12" i="81" l="1"/>
  <c r="AF15" i="81" l="1"/>
  <c r="AQ92" i="68" l="1"/>
  <c r="AY42" i="52" l="1"/>
  <c r="N11" i="23"/>
  <c r="F11" i="23"/>
  <c r="AZ32" i="44" l="1"/>
  <c r="AZ38" i="44" s="1"/>
  <c r="AU13" i="63"/>
  <c r="AE25" i="13"/>
  <c r="M11" i="23"/>
  <c r="AJ39" i="49"/>
  <c r="AM39" i="49"/>
  <c r="AF39" i="49"/>
  <c r="AN39" i="49"/>
  <c r="AW39" i="49"/>
  <c r="AV39" i="49"/>
  <c r="AQ39" i="49"/>
  <c r="AE39" i="49"/>
  <c r="AP39" i="49"/>
  <c r="AO39" i="49"/>
  <c r="AX39" i="49"/>
  <c r="AL39" i="49"/>
  <c r="G11" i="23"/>
  <c r="AV45" i="68"/>
  <c r="AV51" i="68" s="1"/>
  <c r="AV61" i="68" s="1"/>
  <c r="AY39" i="52"/>
  <c r="AY43" i="52"/>
  <c r="AG45" i="68"/>
  <c r="AG51" i="68" s="1"/>
  <c r="AG61" i="68" s="1"/>
  <c r="HD18" i="85"/>
  <c r="HD38" i="85" s="1"/>
  <c r="AQ78" i="68"/>
  <c r="AY46" i="49"/>
  <c r="AV139" i="83"/>
  <c r="AY54" i="49" l="1"/>
  <c r="AQ54" i="49"/>
  <c r="AQ57" i="49" s="1"/>
  <c r="AQ21" i="49"/>
  <c r="AQ22" i="49" s="1"/>
  <c r="AV54" i="49"/>
  <c r="AV57" i="49" s="1"/>
  <c r="AV21" i="49"/>
  <c r="AV22" i="49" s="1"/>
  <c r="HC11" i="85"/>
  <c r="HF7" i="85"/>
  <c r="Z58" i="42" s="1"/>
  <c r="AL54" i="49"/>
  <c r="AL57" i="49" s="1"/>
  <c r="AL21" i="49"/>
  <c r="AL22" i="49" s="1"/>
  <c r="AU21" i="72"/>
  <c r="AU24" i="72" s="1"/>
  <c r="AE54" i="49"/>
  <c r="AE57" i="49" s="1"/>
  <c r="AE21" i="49"/>
  <c r="AE22" i="49" s="1"/>
  <c r="AU87" i="63"/>
  <c r="AJ54" i="49"/>
  <c r="AJ57" i="49" s="1"/>
  <c r="AJ21" i="49"/>
  <c r="AJ22" i="49" s="1"/>
  <c r="AM54" i="49"/>
  <c r="AM57" i="49" s="1"/>
  <c r="AM21" i="49"/>
  <c r="AM22" i="49" s="1"/>
  <c r="AW54" i="49"/>
  <c r="AW57" i="49" s="1"/>
  <c r="AW21" i="49"/>
  <c r="AW22" i="49" s="1"/>
  <c r="AP54" i="49"/>
  <c r="AP57" i="49" s="1"/>
  <c r="AP21" i="49"/>
  <c r="AP22" i="49" s="1"/>
  <c r="AN21" i="49"/>
  <c r="AN22" i="49" s="1"/>
  <c r="AN54" i="49"/>
  <c r="AN57" i="49" s="1"/>
  <c r="AF54" i="49"/>
  <c r="AF57" i="49" s="1"/>
  <c r="AF21" i="49"/>
  <c r="AF22" i="49" s="1"/>
  <c r="AZ29" i="48"/>
  <c r="AX21" i="49"/>
  <c r="AX22" i="49" s="1"/>
  <c r="AX54" i="49"/>
  <c r="AX57" i="49" s="1"/>
  <c r="BC111" i="46"/>
  <c r="HF8" i="85"/>
  <c r="HA11" i="85"/>
  <c r="AO21" i="49"/>
  <c r="AO22" i="49" s="1"/>
  <c r="AO54" i="49"/>
  <c r="AO57" i="49" s="1"/>
  <c r="AM47" i="52"/>
  <c r="AM35" i="52"/>
  <c r="AM51" i="52" s="1"/>
  <c r="AL47" i="52"/>
  <c r="AL35" i="52"/>
  <c r="AL51" i="52" s="1"/>
  <c r="M58" i="42"/>
  <c r="AZ21" i="32"/>
  <c r="AY49" i="49"/>
  <c r="AY50" i="49"/>
  <c r="AY52" i="49"/>
  <c r="AY51" i="49"/>
  <c r="AZ12" i="44"/>
  <c r="AY41" i="52"/>
  <c r="AV138" i="83"/>
  <c r="HF11" i="85" l="1"/>
  <c r="AY45" i="49"/>
  <c r="AY39" i="49"/>
  <c r="J11" i="23"/>
  <c r="AZ26" i="32"/>
  <c r="BC103" i="46"/>
  <c r="BC104" i="46" s="1"/>
  <c r="AZ24" i="48"/>
  <c r="AZ30" i="48" s="1"/>
  <c r="BC112" i="46"/>
  <c r="Y50" i="42"/>
  <c r="HA18" i="85"/>
  <c r="HA38" i="85" s="1"/>
  <c r="HF38" i="85" s="1"/>
  <c r="HF17" i="85"/>
  <c r="HF18" i="85" s="1"/>
  <c r="Y58" i="42"/>
  <c r="L62" i="36"/>
  <c r="BC110" i="46"/>
  <c r="AY42" i="49"/>
  <c r="BC107" i="46"/>
  <c r="AZ25" i="32"/>
  <c r="AZ18" i="44"/>
  <c r="AZ22" i="44"/>
  <c r="AZ23" i="44" s="1"/>
  <c r="AY40" i="52"/>
  <c r="AU12" i="63"/>
  <c r="AY77" i="71"/>
  <c r="AY83" i="71"/>
  <c r="AY78" i="71"/>
  <c r="AY65" i="71"/>
  <c r="AY45" i="52"/>
  <c r="AY86" i="71"/>
  <c r="AY74" i="71"/>
  <c r="AY82" i="71"/>
  <c r="AY73" i="71"/>
  <c r="AY71" i="71"/>
  <c r="AY66" i="71"/>
  <c r="AN47" i="52"/>
  <c r="AN35" i="52"/>
  <c r="AN51" i="52" s="1"/>
  <c r="AY76" i="71"/>
  <c r="AY38" i="52"/>
  <c r="AY35" i="52"/>
  <c r="AY51" i="52" s="1"/>
  <c r="AY80" i="71"/>
  <c r="AY79" i="71"/>
  <c r="AY67" i="71"/>
  <c r="AY72" i="71"/>
  <c r="AY81" i="71"/>
  <c r="AY75" i="71"/>
  <c r="AZ20" i="26"/>
  <c r="AY43" i="49"/>
  <c r="AY47" i="49"/>
  <c r="AE24" i="13"/>
  <c r="AE23" i="13" s="1"/>
  <c r="AY53" i="49"/>
  <c r="AY48" i="49"/>
  <c r="AY44" i="49"/>
  <c r="AV124" i="83"/>
  <c r="AZ12" i="32" l="1"/>
  <c r="BC91" i="46"/>
  <c r="BC92" i="46" s="1"/>
  <c r="AZ30" i="32"/>
  <c r="AV134" i="83"/>
  <c r="AV135" i="83" s="1"/>
  <c r="AV125" i="83"/>
  <c r="AY57" i="49"/>
  <c r="BO42" i="3"/>
  <c r="BG51" i="9"/>
  <c r="BG52" i="9" s="1"/>
  <c r="BG53" i="9" s="1"/>
  <c r="AY25" i="31"/>
  <c r="AY21" i="49"/>
  <c r="AY22" i="49" s="1"/>
  <c r="L11" i="23"/>
  <c r="K11" i="23"/>
  <c r="AY28" i="31"/>
  <c r="BC113" i="46"/>
  <c r="AZ13" i="32"/>
  <c r="AY27" i="31"/>
  <c r="AY26" i="31"/>
  <c r="AY64" i="71"/>
  <c r="AY69" i="71"/>
  <c r="AY68" i="71"/>
  <c r="AZ10" i="26"/>
  <c r="AU45" i="63"/>
  <c r="AV140" i="83"/>
  <c r="AY21" i="31" l="1"/>
  <c r="AY20" i="31" s="1"/>
  <c r="AU79" i="63"/>
  <c r="AY13" i="24"/>
  <c r="AY24" i="31"/>
  <c r="AY30" i="31" s="1"/>
  <c r="AY29" i="31" s="1"/>
  <c r="AY12" i="31"/>
  <c r="BG7" i="9"/>
  <c r="BG8" i="9"/>
  <c r="BG6" i="9"/>
  <c r="AV141" i="83"/>
  <c r="AV144" i="83" s="1"/>
  <c r="AY26" i="65"/>
  <c r="AY27" i="65" s="1"/>
  <c r="AY19" i="65"/>
  <c r="AX17" i="67"/>
  <c r="AX20" i="67" s="1"/>
  <c r="AY70" i="71"/>
  <c r="AY11" i="31" l="1"/>
  <c r="AY13" i="31"/>
  <c r="E11" i="23"/>
  <c r="C11" i="23"/>
  <c r="AY32" i="71"/>
  <c r="AY61" i="71"/>
  <c r="AY85" i="71"/>
  <c r="D11" i="23" l="1"/>
  <c r="AU54" i="63"/>
  <c r="AU63" i="63" s="1"/>
  <c r="AY90" i="71"/>
  <c r="AX33" i="67" l="1"/>
  <c r="AX39" i="67" s="1"/>
  <c r="P384" i="79"/>
  <c r="AU6" i="63"/>
  <c r="AU11" i="63" s="1"/>
  <c r="AU14" i="63" s="1"/>
  <c r="AU92" i="63"/>
  <c r="I391" i="79" l="1"/>
  <c r="R384" i="79"/>
  <c r="O391" i="79" l="1"/>
  <c r="J391" i="79" l="1"/>
  <c r="P389" i="79"/>
  <c r="R389" i="79" l="1"/>
  <c r="P391" i="79"/>
  <c r="BO78" i="3"/>
  <c r="AV128" i="83"/>
  <c r="R390" i="79" l="1"/>
  <c r="Q391" i="79"/>
  <c r="BG17" i="9"/>
  <c r="BG30" i="9"/>
  <c r="BG25" i="9"/>
  <c r="BF30" i="9"/>
  <c r="BO90" i="3"/>
  <c r="BO91" i="3" s="1"/>
  <c r="R391" i="79"/>
  <c r="BF28" i="9" l="1"/>
  <c r="BF26" i="9" s="1"/>
  <c r="BF137" i="9"/>
  <c r="BF135" i="9" s="1"/>
  <c r="BG137" i="9"/>
  <c r="BG135" i="9" s="1"/>
  <c r="BG28" i="9"/>
  <c r="BG26" i="9" s="1"/>
  <c r="AZ22" i="26" l="1"/>
  <c r="AZ23" i="26" s="1"/>
  <c r="AZ12" i="26"/>
  <c r="AZ13" i="26" s="1"/>
  <c r="BG140" i="9"/>
  <c r="BG139" i="9"/>
  <c r="BF140" i="9"/>
  <c r="BF13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Felipe Augusto Fogaça da Silva</author>
    <author>Ian Nunes Costa e Costa</author>
    <author>Felipe Silva</author>
    <author>Rodolpho Magdaloni Agria</author>
    <author>Ian Nunes</author>
    <author>William Estrela Dantas dos Santos</author>
    <author>Heloise fernandes Sanchez</author>
  </authors>
  <commentList>
    <comment ref="D9" authorId="0" shapeId="0" xr:uid="{00000000-0006-0000-0100-000001000000}">
      <text>
        <r>
          <rPr>
            <sz val="9"/>
            <color indexed="81"/>
            <rFont val="Segoe UI"/>
            <family val="2"/>
          </rPr>
          <t>PT - Crédito de R$ 9,8 milhões por ganho de causa contra o recolhimento do Fundaf
EN - R$ 9.8 million credit from Fundaf dispute gain</t>
        </r>
      </text>
    </comment>
    <comment ref="G9" authorId="0" shapeId="0" xr:uid="{00000000-0006-0000-0100-000002000000}">
      <text>
        <r>
          <rPr>
            <sz val="9"/>
            <color indexed="81"/>
            <rFont val="Segoe UI"/>
            <family val="2"/>
          </rPr>
          <t xml:space="preserve">PT - Crédito de R$ 9,8 milhões por ganho de causa contra o recolhimento do Fundaf
EN - R$ 9.8 million credit from Fundaf dispute gain
</t>
        </r>
      </text>
    </comment>
    <comment ref="J9" authorId="1" shapeId="0" xr:uid="{00000000-0006-0000-0100-000003000000}">
      <text>
        <r>
          <rPr>
            <sz val="9"/>
            <color indexed="81"/>
            <rFont val="Segoe UI"/>
            <family val="2"/>
          </rPr>
          <t xml:space="preserve">PT - Denúncia espontânea imposto ICMS R$ 5,252 M
</t>
        </r>
        <r>
          <rPr>
            <sz val="9"/>
            <color indexed="81"/>
            <rFont val="Segoe UI"/>
            <family val="2"/>
          </rPr>
          <t>Eng - Spontaneous denouncement on fiscal payment R$ 5.252 M</t>
        </r>
      </text>
    </comment>
    <comment ref="K9" authorId="1" shapeId="0" xr:uid="{00000000-0006-0000-0100-000004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L9" authorId="2" shapeId="0" xr:uid="{00000000-0006-0000-0100-000005000000}">
      <text>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t>
        </r>
        <r>
          <rPr>
            <sz val="9"/>
            <color indexed="81"/>
            <rFont val="Segoe UI"/>
            <family val="2"/>
          </rPr>
          <t xml:space="preserve">Eng - Spontaneous denouncement on fiscal payment R$ 5.252 M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AH9" authorId="1" shapeId="0" xr:uid="{00000000-0006-0000-0100-000006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J9" authorId="1" shapeId="0" xr:uid="{00000000-0006-0000-0100-000007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AK9" authorId="1" shapeId="0" xr:uid="{00000000-0006-0000-0100-000008000000}">
      <text>
        <r>
          <rPr>
            <sz val="9"/>
            <color indexed="81"/>
            <rFont val="Segoe UI"/>
            <family val="2"/>
          </rPr>
          <t>PT - Desconto a clientes foram concedidos relacionado a descasamento do repasse da queda do preço do Diesel de períodos anteriores (R$ 5,3 milhão)
Eng: Discounts were granted to customers related to the mismatch of passing on the drop in Diesel prices from previous periods (R$ 5.3 million)</t>
        </r>
      </text>
    </comment>
    <comment ref="G11" authorId="0" shapeId="0" xr:uid="{00000000-0006-0000-0100-000009000000}">
      <text>
        <r>
          <rPr>
            <sz val="9"/>
            <color indexed="81"/>
            <rFont val="Segoe UI"/>
            <family val="2"/>
          </rPr>
          <t>PT - Crédito de R$ 9,8 milhões por ganho de causa contra o recolhimento do Fundaf
EN - R$ 9.8 million credit from Fundaf dispute gain</t>
        </r>
        <r>
          <rPr>
            <b/>
            <sz val="9"/>
            <color indexed="81"/>
            <rFont val="Segoe UI"/>
            <family val="2"/>
          </rPr>
          <t xml:space="preserve">
</t>
        </r>
      </text>
    </comment>
    <comment ref="J11" authorId="2" shapeId="0" xr:uid="{00000000-0006-0000-0100-00000A000000}">
      <text>
        <r>
          <rPr>
            <sz val="9"/>
            <color indexed="81"/>
            <rFont val="Segoe UI"/>
            <family val="2"/>
          </rPr>
          <t xml:space="preserve">PT - Denúncia espontânea imposto ICMS R$ 5,252 M
</t>
        </r>
        <r>
          <rPr>
            <sz val="9"/>
            <color indexed="81"/>
            <rFont val="Segoe UI"/>
            <family val="2"/>
          </rPr>
          <t xml:space="preserve">Eng - Spontaneous denouncement on fiscal payment R$ 5.252 M
</t>
        </r>
      </text>
    </comment>
    <comment ref="K11" authorId="2" shapeId="0" xr:uid="{00000000-0006-0000-0100-00000B000000}">
      <text>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 xml:space="preserve">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t>
        </r>
      </text>
    </comment>
    <comment ref="L11" authorId="2" shapeId="0" xr:uid="{00000000-0006-0000-0100-00000C000000}">
      <text>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t>
        </r>
        <r>
          <rPr>
            <sz val="9"/>
            <color indexed="81"/>
            <rFont val="Segoe UI"/>
            <family val="2"/>
          </rPr>
          <t xml:space="preserve">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t>
        </r>
      </text>
    </comment>
    <comment ref="F12" authorId="1" shapeId="0" xr:uid="{00000000-0006-0000-0100-00000D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2" authorId="2" shapeId="0" xr:uid="{00000000-0006-0000-0100-00000E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O12" authorId="1" shapeId="0" xr:uid="{00000000-0006-0000-0100-00000F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Q12" authorId="2" shapeId="0" xr:uid="{00000000-0006-0000-0100-000010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t>
        </r>
      </text>
    </comment>
    <comment ref="U12" authorId="1" shapeId="0" xr:uid="{00000000-0006-0000-0100-000011000000}">
      <text>
        <r>
          <rPr>
            <b/>
            <sz val="9"/>
            <color indexed="81"/>
            <rFont val="Segoe UI"/>
            <family val="2"/>
          </rPr>
          <t>NÚMERO AJUSTADO!</t>
        </r>
        <r>
          <rPr>
            <sz val="9"/>
            <color indexed="81"/>
            <rFont val="Segoe UI"/>
            <family val="2"/>
          </rPr>
          <t xml:space="preserve">
PT: Custos relacionados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R$ 2.3 M</t>
        </r>
      </text>
    </comment>
    <comment ref="V12" authorId="2" shapeId="0" xr:uid="{00000000-0006-0000-0100-000012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R$ 2.3 M</t>
        </r>
      </text>
    </comment>
    <comment ref="F14" authorId="2" shapeId="0" xr:uid="{00000000-0006-0000-0100-000013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4" authorId="2" shapeId="0" xr:uid="{00000000-0006-0000-0100-000014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J14" authorId="2" shapeId="0" xr:uid="{00000000-0006-0000-0100-000015000000}">
      <text>
        <r>
          <rPr>
            <b/>
            <sz val="9"/>
            <color indexed="81"/>
            <rFont val="Segoe UI"/>
            <family val="2"/>
          </rPr>
          <t xml:space="preserve">NÚMERO AJUSTADO!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 xml:space="preserve">Eng - Spontaneous denouncement on fiscal payment R$ 5.252 M
</t>
        </r>
      </text>
    </comment>
    <comment ref="K14" authorId="2" shapeId="0" xr:uid="{00000000-0006-0000-0100-000016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ADJUSTED NUMBER!</t>
        </r>
        <r>
          <rPr>
            <sz val="9"/>
            <color indexed="81"/>
            <rFont val="Segoe UI"/>
            <family val="2"/>
          </rPr>
          <t xml:space="preserve">
Eng - PIS and COFINS credits referring to the right to exclude the ICMS tax value from the calculation bases of these two contributions - R$ 10.6 M [R$ 4.5 M for the year 2017 and R$ 6.1 M for the year 2018. Only the 2017 amount was adjusted in EBITDA.
</t>
        </r>
      </text>
    </comment>
    <comment ref="L14" authorId="2" shapeId="0" xr:uid="{00000000-0006-0000-0100-000017000000}">
      <text>
        <r>
          <rPr>
            <b/>
            <sz val="9"/>
            <color indexed="81"/>
            <rFont val="Segoe UI"/>
            <family val="2"/>
          </rPr>
          <t xml:space="preserve">NÚMERO AJUSTADO!
</t>
        </r>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 xml:space="preserve">
ADJUSTED NUMBER!
</t>
        </r>
        <r>
          <rPr>
            <sz val="9"/>
            <color indexed="81"/>
            <rFont val="Segoe UI"/>
            <family val="2"/>
          </rPr>
          <t>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t>
        </r>
        <r>
          <rPr>
            <b/>
            <sz val="9"/>
            <color indexed="81"/>
            <rFont val="Segoe UI"/>
            <family val="2"/>
          </rPr>
          <t xml:space="preserve">
</t>
        </r>
      </text>
    </comment>
    <comment ref="O14" authorId="2" shapeId="0" xr:uid="{00000000-0006-0000-0100-000018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Q14" authorId="2" shapeId="0" xr:uid="{00000000-0006-0000-0100-000019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t>
        </r>
        <r>
          <rPr>
            <sz val="9"/>
            <color indexed="81"/>
            <rFont val="Segoe UI"/>
            <family val="2"/>
          </rPr>
          <t xml:space="preserve">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U14" authorId="2" shapeId="0" xr:uid="{00000000-0006-0000-0100-00001A000000}">
      <text>
        <r>
          <rPr>
            <b/>
            <sz val="9"/>
            <color indexed="81"/>
            <rFont val="Segoe UI"/>
            <family val="2"/>
          </rPr>
          <t xml:space="preserve">NÚMERO AJUSTADO!
</t>
        </r>
        <r>
          <rPr>
            <sz val="9"/>
            <color indexed="81"/>
            <rFont val="Segoe UI"/>
            <family val="2"/>
          </rPr>
          <t>PT: Custos relacionados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R$ 2.3 M</t>
        </r>
      </text>
    </comment>
    <comment ref="V14" authorId="2" shapeId="0" xr:uid="{00000000-0006-0000-0100-00001B000000}">
      <text>
        <r>
          <rPr>
            <b/>
            <sz val="9"/>
            <color indexed="81"/>
            <rFont val="Segoe UI"/>
            <family val="2"/>
          </rPr>
          <t xml:space="preserve">NÚMERO AJUSTADO!
</t>
        </r>
        <r>
          <rPr>
            <sz val="9"/>
            <color indexed="81"/>
            <rFont val="Segoe UI"/>
            <family val="2"/>
          </rPr>
          <t>PT: Custos relacionados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R$ 2.3 M</t>
        </r>
      </text>
    </comment>
    <comment ref="D16" authorId="3" shapeId="0" xr:uid="{00000000-0006-0000-0100-00001C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(-R$ 1,4 milhão)
- Baixa de R$ 1,8 milhão da conta escrow de indenizações de combinação de  negócios
</t>
        </r>
        <r>
          <rPr>
            <b/>
            <sz val="9"/>
            <color indexed="81"/>
            <rFont val="Segoe UI"/>
            <family val="2"/>
          </rPr>
          <t>ADJUSTED NUMBER!</t>
        </r>
        <r>
          <rPr>
            <sz val="9"/>
            <color indexed="81"/>
            <rFont val="Segoe UI"/>
            <family val="2"/>
          </rPr>
          <t xml:space="preserve">
EN - Civil contingency of the former subsidiary Direct Express of - R $ 15 million
- Write-off of the goodwill of the Catlog subsidiary (-R $ 1.4 million)
- Reduction of R $ 1.8 million from the escrow account for business combination indemnities</t>
        </r>
      </text>
    </comment>
    <comment ref="E16" authorId="1" shapeId="0" xr:uid="{00000000-0006-0000-0100-00001D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6" authorId="4" shapeId="0" xr:uid="{00000000-0006-0000-0100-00001E000000}">
      <text>
        <r>
          <rPr>
            <b/>
            <sz val="9"/>
            <color indexed="81"/>
            <rFont val="Segoe UI"/>
            <family val="2"/>
          </rPr>
          <t>NÚMERO AJUSTADO!</t>
        </r>
        <r>
          <rPr>
            <sz val="9"/>
            <color indexed="81"/>
            <rFont val="Segoe UI"/>
            <family val="2"/>
          </rPr>
          <t xml:space="preserve">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ADJUSTED NUMBER!</t>
        </r>
        <r>
          <rPr>
            <sz val="9"/>
            <color indexed="81"/>
            <rFont val="Segoe UI"/>
            <family val="2"/>
          </rPr>
          <t xml:space="preserve">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6" authorId="2" shapeId="0" xr:uid="{00000000-0006-0000-0100-00001F000000}">
      <text>
        <r>
          <rPr>
            <b/>
            <sz val="9"/>
            <color indexed="81"/>
            <rFont val="Segoe UI"/>
            <family val="2"/>
          </rPr>
          <t xml:space="preserve">NÚMERO AJUSTADO!
</t>
        </r>
        <r>
          <rPr>
            <sz val="9"/>
            <color indexed="81"/>
            <rFont val="Segoe UI"/>
            <family val="2"/>
          </rPr>
          <t xml:space="preserve">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 xml:space="preserve">
ADJUSTED NUMBER!
</t>
        </r>
        <r>
          <rPr>
            <sz val="9"/>
            <color indexed="81"/>
            <rFont val="Segoe UI"/>
            <family val="2"/>
          </rPr>
          <t xml:space="preserve">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K16" authorId="1" shapeId="0" xr:uid="{00000000-0006-0000-0100-000020000000}">
      <text>
        <r>
          <rPr>
            <b/>
            <sz val="9"/>
            <color indexed="81"/>
            <rFont val="Segoe UI"/>
            <family val="2"/>
          </rPr>
          <t>NÚMERO AJUSTADO!</t>
        </r>
        <r>
          <rPr>
            <sz val="9"/>
            <color indexed="81"/>
            <rFont val="Segoe UI"/>
            <family val="2"/>
          </rPr>
          <t xml:space="preserve">
PT- Custos de sucumbência de processo judicial de operação descontinuada: R$2,0M
PT- Contingência cívil da ex controlada Direct Express de - R$ 14,5 milhões
</t>
        </r>
        <r>
          <rPr>
            <b/>
            <sz val="9"/>
            <color indexed="81"/>
            <rFont val="Segoe UI"/>
            <family val="2"/>
          </rPr>
          <t>ADJUSTED NUMBER!</t>
        </r>
        <r>
          <rPr>
            <sz val="9"/>
            <color indexed="81"/>
            <rFont val="Segoe UI"/>
            <family val="2"/>
          </rPr>
          <t xml:space="preserve">
Eng - Defeat legal fee for discontinued operation: R$ 2.0M
Eng - Civil contingency of the former subsidiary Direct Express - R$ 14.5 million;</t>
        </r>
      </text>
    </comment>
    <comment ref="L16" authorId="2" shapeId="0" xr:uid="{00000000-0006-0000-0100-000021000000}">
      <text>
        <r>
          <rPr>
            <b/>
            <sz val="9"/>
            <color indexed="81"/>
            <rFont val="Segoe UI"/>
            <family val="2"/>
          </rPr>
          <t>NÚMERO AJUSTADO!</t>
        </r>
        <r>
          <rPr>
            <sz val="9"/>
            <color indexed="81"/>
            <rFont val="Segoe UI"/>
            <family val="2"/>
          </rPr>
          <t xml:space="preserve">
PT- Custos de sucumbência de processo judicial de operação descontinuada: R$2,0M
PT- Contingência cívil da ex controlada Direct Express de - R$ 14,5 milhões
</t>
        </r>
        <r>
          <rPr>
            <b/>
            <sz val="9"/>
            <color indexed="81"/>
            <rFont val="Segoe UI"/>
            <family val="2"/>
          </rPr>
          <t>ADJUSTED NUMBER!</t>
        </r>
        <r>
          <rPr>
            <sz val="9"/>
            <color indexed="81"/>
            <rFont val="Segoe UI"/>
            <family val="2"/>
          </rPr>
          <t xml:space="preserve">
Eng - Defeat legal fee for discontinued operation: R$ 2.0M
Eng - Civil contingency of the former subsidiary Direct Express - R$ 14.5 million;
</t>
        </r>
      </text>
    </comment>
    <comment ref="O16" authorId="1" shapeId="0" xr:uid="{00000000-0006-0000-0100-000022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t>
        </r>
      </text>
    </comment>
    <comment ref="P16" authorId="2" shapeId="0" xr:uid="{00000000-0006-0000-0100-000023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Q16" authorId="2" shapeId="0" xr:uid="{00000000-0006-0000-0100-000024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
Eng - Attorney’s fees expenses related to the Operação Pacto: R$ 2.2 million</t>
        </r>
      </text>
    </comment>
    <comment ref="R16" authorId="5" shapeId="0" xr:uid="{00000000-0006-0000-0100-000025000000}">
      <text>
        <r>
          <rPr>
            <b/>
            <sz val="9"/>
            <color indexed="81"/>
            <rFont val="Segoe UI"/>
            <family val="2"/>
          </rPr>
          <t xml:space="preserve">NÚMERO AJUSTADO!
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ADJUSTED NUMBER!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U16" authorId="1" shapeId="0" xr:uid="{00000000-0006-0000-0100-000026000000}">
      <text>
        <r>
          <rPr>
            <b/>
            <sz val="9"/>
            <color indexed="81"/>
            <rFont val="Segoe UI"/>
            <family val="2"/>
          </rPr>
          <t>NÚMERO AJUSTADO!</t>
        </r>
        <r>
          <rPr>
            <sz val="9"/>
            <color indexed="81"/>
            <rFont val="Segoe UI"/>
            <family val="2"/>
          </rPr>
          <t xml:space="preserve">
PT: Despesas relacionadas à desmobilização de um armazém em Barueri-SP no montante de R$ 2,9 M
</t>
        </r>
        <r>
          <rPr>
            <b/>
            <sz val="9"/>
            <color indexed="81"/>
            <rFont val="Segoe UI"/>
            <family val="2"/>
          </rPr>
          <t>ADJUSTED NUMBER!</t>
        </r>
        <r>
          <rPr>
            <sz val="9"/>
            <color indexed="81"/>
            <rFont val="Segoe UI"/>
            <family val="2"/>
          </rPr>
          <t xml:space="preserve">
Eng: Expenses related to demobilization of a warehouse in Barueri-SP amounting R$ 2.9 M
</t>
        </r>
      </text>
    </comment>
    <comment ref="V16" authorId="2" shapeId="0" xr:uid="{00000000-0006-0000-0100-000027000000}">
      <text>
        <r>
          <rPr>
            <b/>
            <sz val="9"/>
            <color indexed="81"/>
            <rFont val="Segoe UI"/>
            <family val="2"/>
          </rPr>
          <t xml:space="preserve">NÚMERO AJUSTADO!
</t>
        </r>
        <r>
          <rPr>
            <sz val="9"/>
            <color indexed="81"/>
            <rFont val="Segoe UI"/>
            <family val="2"/>
          </rPr>
          <t>PT -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t>
        </r>
        <r>
          <rPr>
            <sz val="9"/>
            <color indexed="81"/>
            <rFont val="Segoe UI"/>
            <family val="2"/>
          </rPr>
          <t xml:space="preserve">PT: Despesas relacionadas à desmobilização de um armazém em Barueri-SP no montante de R$ 2,9 M
</t>
        </r>
        <r>
          <rPr>
            <b/>
            <sz val="9"/>
            <color indexed="81"/>
            <rFont val="Segoe UI"/>
            <family val="2"/>
          </rPr>
          <t xml:space="preserve">ADJUSTED NUMBER!
</t>
        </r>
        <r>
          <rPr>
            <sz val="9"/>
            <color indexed="81"/>
            <rFont val="Segoe UI"/>
            <family val="2"/>
          </rPr>
          <t>Eng - 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r>
          <rPr>
            <sz val="9"/>
            <color indexed="81"/>
            <rFont val="Segoe UI"/>
            <family val="2"/>
          </rPr>
          <t xml:space="preserve">
Eng: Expenses related to demobilization of a warehouse in Barueri-SP amounting R$ 2.9 M
</t>
        </r>
      </text>
    </comment>
    <comment ref="W16" authorId="1" shapeId="0" xr:uid="{00000000-0006-0000-0100-000028000000}">
      <text>
        <r>
          <rPr>
            <sz val="9"/>
            <color indexed="81"/>
            <rFont val="Segoe UI"/>
            <family val="2"/>
          </rPr>
          <t>Pt) recebimento referente ao direito de administração da folha de pagamento dos colaboradores e ii) ressarcimento em função da modificação de condições de contrato comercial. Ambos impactos somaram R$ 6,7 milhões positivos.
Eng) i) the receipt of an amount related to the right to manage the payroll of employees and ii) the reimbursement due to a commercial contract conditions change. Both impacts amounted positive R$ 6.7 million</t>
        </r>
      </text>
    </comment>
    <comment ref="X16" authorId="1" shapeId="0" xr:uid="{00000000-0006-0000-0100-000029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t>
        </r>
      </text>
    </comment>
    <comment ref="Y16" authorId="1" shapeId="0" xr:uid="{00000000-0006-0000-0100-00002A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
</t>
        </r>
      </text>
    </comment>
    <comment ref="Z16" authorId="2" shapeId="0" xr:uid="{00000000-0006-0000-0100-00002B000000}">
      <text>
        <r>
          <rPr>
            <b/>
            <sz val="9"/>
            <color indexed="81"/>
            <rFont val="Segoe UI"/>
            <family val="2"/>
          </rPr>
          <t xml:space="preserve">NÚMERO AJUSTADO!
</t>
        </r>
        <r>
          <rPr>
            <sz val="9"/>
            <color indexed="81"/>
            <rFont val="Segoe UI"/>
            <family val="2"/>
          </rPr>
          <t xml:space="preserve">PT - Ganhos com a venda da participação acionária na controlada Frete Rápido: R$ 2,6 milhões.
</t>
        </r>
        <r>
          <rPr>
            <b/>
            <sz val="9"/>
            <color indexed="81"/>
            <rFont val="Segoe UI"/>
            <family val="2"/>
          </rPr>
          <t xml:space="preserve">
ADJUSTED NUMBER!
</t>
        </r>
        <r>
          <rPr>
            <sz val="9"/>
            <color indexed="81"/>
            <rFont val="Segoe UI"/>
            <family val="2"/>
          </rPr>
          <t>Eng - Gains from the sale of equity interest in the subsidiary Frete Rápido: R$ 2.6 million.</t>
        </r>
      </text>
    </comment>
    <comment ref="AA16" authorId="1" shapeId="0" xr:uid="{00000000-0006-0000-0100-00002C000000}">
      <text>
        <r>
          <rPr>
            <b/>
            <sz val="9"/>
            <color indexed="81"/>
            <rFont val="Segoe UI"/>
            <family val="2"/>
          </rPr>
          <t>NÚMERO AJUSTADO!</t>
        </r>
        <r>
          <rPr>
            <sz val="9"/>
            <color indexed="81"/>
            <rFont val="Segoe UI"/>
            <family val="2"/>
          </rPr>
          <t xml:space="preserve">
- Recebimento referente ao direito de administração da folha de pagamento dos colaboradores e ressarcimento em função da modificação de condições de contrato comercial. Ambos impactos somaram R$ 6,7 milhões positivos.
- Crédito de PIS e COFINS proveniente da Exclusão de ICMS na Base de Cálculo: R$5,7 milhões
- Despesas com assessorias financeiras e jurídicas relacionadas à oferta de combinação de negóciosrecebida no trimestre: R$ 1,1 milhão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Financial and legal advisory expenses related to the tender offer of business combination received in the quarter: R$1.1 million
- Gains from the sale of equity interest in the subsidiary Frete Rápido: R$ 2.6 million.
-vthe receipt of an amount related to the right to manage the payroll of employees and the reimbursement due to a commercial contract conditions change. Both impacts amounted positive R$ 6.7 million</t>
        </r>
      </text>
    </comment>
    <comment ref="AD16" authorId="0" shapeId="0" xr:uid="{00000000-0006-0000-0100-00002D000000}">
      <text>
        <r>
          <rPr>
            <b/>
            <sz val="9"/>
            <color indexed="81"/>
            <rFont val="Segoe UI"/>
            <family val="2"/>
          </rPr>
          <t xml:space="preserve">NÚMERO AJUSTADO!
PT- </t>
        </r>
        <r>
          <rPr>
            <sz val="9"/>
            <color indexed="81"/>
            <rFont val="Segoe UI"/>
            <family val="2"/>
          </rPr>
          <t>Contingência cívil da ex controlada Direct Express de - R$ 6,6 milhões</t>
        </r>
        <r>
          <rPr>
            <b/>
            <sz val="9"/>
            <color indexed="81"/>
            <rFont val="Segoe UI"/>
            <family val="2"/>
          </rPr>
          <t xml:space="preserve">
ADJUSTED NUMBER!
Eng - </t>
        </r>
        <r>
          <rPr>
            <sz val="9"/>
            <color indexed="81"/>
            <rFont val="Segoe UI"/>
            <family val="2"/>
          </rPr>
          <t>Civil contingency of the former subsidiary Direct Express - R$ 6.6 million;</t>
        </r>
      </text>
    </comment>
    <comment ref="AE16" authorId="0" shapeId="0" xr:uid="{00000000-0006-0000-0100-00002E000000}">
      <text>
        <r>
          <rPr>
            <b/>
            <sz val="9"/>
            <color indexed="81"/>
            <rFont val="Segoe UI"/>
            <family val="2"/>
          </rPr>
          <t xml:space="preserve">NÚMERO AJUSTADO!
</t>
        </r>
        <r>
          <rPr>
            <sz val="9"/>
            <color indexed="81"/>
            <rFont val="Segoe UI"/>
            <family val="2"/>
          </rPr>
          <t xml:space="preserve">PT- Créditos de PIS/ COFINS da controlada Catlog  (líquido de honorários advocatícios) - R$ 5,5 milhões
</t>
        </r>
        <r>
          <rPr>
            <b/>
            <sz val="9"/>
            <color indexed="81"/>
            <rFont val="Segoe UI"/>
            <family val="2"/>
          </rPr>
          <t xml:space="preserve">ADJUSTED NUMBER!
</t>
        </r>
        <r>
          <rPr>
            <sz val="9"/>
            <color indexed="81"/>
            <rFont val="Segoe UI"/>
            <family val="2"/>
          </rPr>
          <t>Eng - PIS/ COFINS tax credits from the subsidiary Catlog (net of lawyer fee) - R$ 5.5 million;</t>
        </r>
      </text>
    </comment>
    <comment ref="AF16" authorId="1" shapeId="0" xr:uid="{00000000-0006-0000-0100-00002F000000}">
      <text>
        <r>
          <rPr>
            <b/>
            <sz val="9"/>
            <color indexed="81"/>
            <rFont val="Segoe UI"/>
            <family val="2"/>
          </rPr>
          <t xml:space="preserve">NÚMERO AJUSTADO!
</t>
        </r>
        <r>
          <rPr>
            <sz val="9"/>
            <color indexed="81"/>
            <rFont val="Segoe UI"/>
            <family val="2"/>
          </rPr>
          <t xml:space="preserve">PT- Contingência cívil da ex controlada Direct Express de - R$ 6,6 milhões
PT- Créditos de PIS/ COFINS da controlada Catlog Express (net of lawyer fee) - R$ 5,5 milhões
</t>
        </r>
        <r>
          <rPr>
            <b/>
            <sz val="9"/>
            <color indexed="81"/>
            <rFont val="Segoe UI"/>
            <family val="2"/>
          </rPr>
          <t xml:space="preserve">
ADJUSTED NUMBER!
</t>
        </r>
        <r>
          <rPr>
            <sz val="9"/>
            <color indexed="81"/>
            <rFont val="Segoe UI"/>
            <family val="2"/>
          </rPr>
          <t>Eng - Civil contingency of the former subsidiary Direct Express - R$ 6.6 million;
Eng - PIS/ COFINS tax credits from the subsidiary Catlog (net of lawyer fee) - R$ 5,5 million;</t>
        </r>
      </text>
    </comment>
    <comment ref="D18" authorId="2" shapeId="0" xr:uid="{00000000-0006-0000-0100-000030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(-R$ 1,4 milhão)
- Baixa de R$ 1,8 milhão da conta escrow de indenizações de combinação de  negócios
</t>
        </r>
        <r>
          <rPr>
            <b/>
            <sz val="9"/>
            <color indexed="81"/>
            <rFont val="Segoe UI"/>
            <family val="2"/>
          </rPr>
          <t xml:space="preserve">
ADJUSTED NUMBER!</t>
        </r>
        <r>
          <rPr>
            <sz val="9"/>
            <color indexed="81"/>
            <rFont val="Segoe UI"/>
            <family val="2"/>
          </rPr>
          <t xml:space="preserve">
EN - Civil contingency of the former subsidiary Direct Express of - R $ 15 million
- Write-off of the goodwill of the Catlog subsidiary (-R $ 1.4 million)
- Reduction of R $ 1.8 million from the escrow account for business combination indemnities
</t>
        </r>
      </text>
    </comment>
    <comment ref="E18" authorId="2" shapeId="0" xr:uid="{00000000-0006-0000-0100-000031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 xml:space="preserve">
ADJUSTED NUMBER!
</t>
        </r>
        <r>
          <rPr>
            <sz val="9"/>
            <color indexed="81"/>
            <rFont val="Segoe UI"/>
            <family val="2"/>
          </rPr>
          <t xml:space="preserve">EN - Write off of Direct account receivable amounting R$ 5.7 million </t>
        </r>
      </text>
    </comment>
    <comment ref="F18" authorId="2" shapeId="0" xr:uid="{00000000-0006-0000-0100-000032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 xml:space="preserve">
ADJUSTED NUMBER!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8" authorId="2" shapeId="0" xr:uid="{00000000-0006-0000-0100-000033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J18" authorId="2" shapeId="0" xr:uid="{00000000-0006-0000-0100-000034000000}">
      <text>
        <r>
          <rPr>
            <b/>
            <sz val="9"/>
            <color indexed="81"/>
            <rFont val="Segoe UI"/>
            <family val="2"/>
          </rPr>
          <t xml:space="preserve">NÚMERO AJUSTADO!
</t>
        </r>
        <r>
          <rPr>
            <sz val="9"/>
            <color indexed="81"/>
            <rFont val="Segoe UI"/>
            <family val="2"/>
          </rPr>
          <t xml:space="preserve">PT - Denúncia espontânea imposto ICMS R$ 5,252 M
</t>
        </r>
        <r>
          <rPr>
            <b/>
            <sz val="9"/>
            <color indexed="81"/>
            <rFont val="Segoe UI"/>
            <family val="2"/>
          </rPr>
          <t xml:space="preserve">
ADJUSTED NUMBER!
</t>
        </r>
        <r>
          <rPr>
            <sz val="9"/>
            <color indexed="81"/>
            <rFont val="Segoe UI"/>
            <family val="2"/>
          </rPr>
          <t>Eng - Spontaneous denouncement on fiscal payment R$ 5.252 M</t>
        </r>
      </text>
    </comment>
    <comment ref="K18" authorId="2" shapeId="0" xr:uid="{00000000-0006-0000-0100-000035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t>
        </r>
        <r>
          <rPr>
            <b/>
            <sz val="9"/>
            <color indexed="81"/>
            <rFont val="Segoe UI"/>
            <family val="2"/>
          </rPr>
          <t xml:space="preserve">
ADJUSTED NUMBER!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t>
        </r>
        <r>
          <rPr>
            <b/>
            <sz val="9"/>
            <color indexed="81"/>
            <rFont val="Segoe UI"/>
            <family val="2"/>
          </rPr>
          <t xml:space="preserve">
</t>
        </r>
        <r>
          <rPr>
            <sz val="9"/>
            <color indexed="81"/>
            <rFont val="Segoe UI"/>
            <family val="2"/>
          </rPr>
          <t>Eng - Defeat legal fee for discontinued operation: R$ 2.0M
Eng - Civil contingency of the former subsidiary Direct Express - R$ 14.5 million;</t>
        </r>
      </text>
    </comment>
    <comment ref="L18" authorId="2" shapeId="0" xr:uid="{00000000-0006-0000-0100-000036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
</t>
        </r>
        <r>
          <rPr>
            <b/>
            <sz val="9"/>
            <color indexed="81"/>
            <rFont val="Segoe UI"/>
            <family val="2"/>
          </rPr>
          <t xml:space="preserve">
ADJUSTED NUMBER!</t>
        </r>
        <r>
          <rPr>
            <sz val="9"/>
            <color indexed="81"/>
            <rFont val="Segoe UI"/>
            <family val="2"/>
          </rPr>
          <t xml:space="preserve">
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O18" authorId="2" shapeId="0" xr:uid="{00000000-0006-0000-0100-000037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P18" authorId="2" shapeId="0" xr:uid="{00000000-0006-0000-0100-000038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Q18" authorId="2" shapeId="0" xr:uid="{00000000-0006-0000-0100-000039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R18" authorId="2" shapeId="0" xr:uid="{00000000-0006-0000-0100-00003A000000}">
      <text>
        <r>
          <rPr>
            <b/>
            <sz val="9"/>
            <color indexed="81"/>
            <rFont val="Segoe UI"/>
            <family val="2"/>
          </rPr>
          <t>NÚMERO AJUSTADO!</t>
        </r>
        <r>
          <rPr>
            <sz val="9"/>
            <color indexed="81"/>
            <rFont val="Segoe UI"/>
            <family val="2"/>
          </rPr>
          <t xml:space="preserve">
Pt: Despesas com honorários advocatícios relacionadas a Operação Pacto: R$ 3,3 milhões;</t>
        </r>
        <r>
          <rPr>
            <b/>
            <sz val="9"/>
            <color indexed="81"/>
            <rFont val="Segoe UI"/>
            <family val="2"/>
          </rPr>
          <t xml:space="preserve">
ADJUSTED NUMBER!
</t>
        </r>
        <r>
          <rPr>
            <sz val="9"/>
            <color indexed="81"/>
            <rFont val="Segoe UI"/>
            <family val="2"/>
          </rPr>
          <t>Eng: Expenses with legal fees related to Operação Pacto: R$3.3 million;</t>
        </r>
      </text>
    </comment>
    <comment ref="U18" authorId="2" shapeId="0" xr:uid="{00000000-0006-0000-0100-00003B000000}">
      <text>
        <r>
          <rPr>
            <b/>
            <sz val="9"/>
            <color indexed="81"/>
            <rFont val="Segoe UI"/>
            <family val="2"/>
          </rPr>
          <t>NÚMERO AJUSTADO!</t>
        </r>
        <r>
          <rPr>
            <sz val="9"/>
            <color indexed="81"/>
            <rFont val="Segoe UI"/>
            <family val="2"/>
          </rPr>
          <t xml:space="preserve">
PT: Custos relacionados à desmobilização de um armazém em Barueri-SP no montante de R$ 2,3 M
PT: Despesas relacionadas à desmobilização de um armazém em Barueri-SP no montante de R$ 2,9 M
</t>
        </r>
        <r>
          <rPr>
            <b/>
            <sz val="9"/>
            <color indexed="81"/>
            <rFont val="Segoe UI"/>
            <family val="2"/>
          </rPr>
          <t xml:space="preserve">
ADJUSTED NUMBER!</t>
        </r>
        <r>
          <rPr>
            <sz val="9"/>
            <color indexed="81"/>
            <rFont val="Segoe UI"/>
            <family val="2"/>
          </rPr>
          <t xml:space="preserve">
Eng: Costs related to demobilization of a warehouse in Barueri-SP amounting R$ 2.3 M
Eng: Expenses related to demobilization of a warehouse in Barueri-SP amounting R$ 2.9 M
</t>
        </r>
      </text>
    </comment>
    <comment ref="V18" authorId="2" shapeId="0" xr:uid="{00000000-0006-0000-0100-00003C000000}">
      <text>
        <r>
          <rPr>
            <b/>
            <sz val="9"/>
            <color indexed="81"/>
            <rFont val="Segoe UI"/>
            <family val="2"/>
          </rPr>
          <t xml:space="preserve">NÚMERO AJUSTADO!
</t>
        </r>
        <r>
          <rPr>
            <sz val="9"/>
            <color indexed="81"/>
            <rFont val="Segoe UI"/>
            <family val="2"/>
          </rPr>
          <t xml:space="preserve">PT - Despesas com honorários advocatícios relacionadas a Operação Pacto: R$ 3,3 milhões;
PT: Custos relacionados à desmobilização de um armazém em Barueri-SP no montante de R$ 2,3 M
PT: Despesas relacionadas à desmobilização de um armazém em Barueri-SP no montante de R$ 2,9 M
</t>
        </r>
        <r>
          <rPr>
            <b/>
            <sz val="9"/>
            <color indexed="81"/>
            <rFont val="Segoe UI"/>
            <family val="2"/>
          </rPr>
          <t xml:space="preserve">ADJUSTED NUMBER!
</t>
        </r>
        <r>
          <rPr>
            <sz val="9"/>
            <color indexed="81"/>
            <rFont val="Segoe UI"/>
            <family val="2"/>
          </rPr>
          <t xml:space="preserve">Eng - Attorney’s fees expenses related to the Operação Pacto: R$ 3.3 million;
Eng: Costs related to demobilization of a warehouse in Barueri-SP amounting R$ 2.3 M
Eng: Expenses related to demobilization of a warehouse in Barueri-SP amounting R$ 2.9 M
</t>
        </r>
        <r>
          <rPr>
            <b/>
            <sz val="9"/>
            <color indexed="81"/>
            <rFont val="Segoe UI"/>
            <family val="2"/>
          </rPr>
          <t xml:space="preserve">
</t>
        </r>
      </text>
    </comment>
    <comment ref="X18" authorId="2" shapeId="0" xr:uid="{00000000-0006-0000-0100-00003D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
</t>
        </r>
      </text>
    </comment>
    <comment ref="Y18" authorId="2" shapeId="0" xr:uid="{00000000-0006-0000-0100-00003E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t>
        </r>
      </text>
    </comment>
    <comment ref="Z18" authorId="1" shapeId="0" xr:uid="{00000000-0006-0000-0100-00003F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Eng - Gains from the sale of equity interest in the subsidiary Frete Rápido: R$ 2.6 million.</t>
        </r>
      </text>
    </comment>
    <comment ref="AA18" authorId="1" shapeId="0" xr:uid="{00000000-0006-0000-0100-000040000000}">
      <text>
        <r>
          <rPr>
            <b/>
            <sz val="9"/>
            <color indexed="81"/>
            <rFont val="Segoe UI"/>
            <family val="2"/>
          </rPr>
          <t xml:space="preserve">NÚMERO AJUSTADO!
</t>
        </r>
        <r>
          <rPr>
            <sz val="9"/>
            <color indexed="81"/>
            <rFont val="Segoe UI"/>
            <family val="2"/>
          </rPr>
          <t xml:space="preserve">- Crédito de PIS e COFINS proveniente da Exclusão de ICMS na Base de Cálculo: R$5,7 milhões
- Despesas com assessorias financeiras e jurídicas relacionadas à oferta de combinação de negóciosrecebida no trimestre: R$ 1,1 milhão
- Ganhos com a venda da participação acionária na controlada Frete Rápido: R$ 2,6 milhões.
</t>
        </r>
        <r>
          <rPr>
            <b/>
            <sz val="9"/>
            <color indexed="81"/>
            <rFont val="Segoe UI"/>
            <family val="2"/>
          </rPr>
          <t xml:space="preserve">ADJUSTED NUMBER!
</t>
        </r>
        <r>
          <rPr>
            <sz val="9"/>
            <color indexed="81"/>
            <rFont val="Segoe UI"/>
            <family val="2"/>
          </rPr>
          <t xml:space="preserve">-  PIS and COFINS credit arising from the Exclusion of ICMS in the calculation Base: R$5,7 million
-  Financial and legal advisory expenses related to the tender offer of business combination received in the quarter: R$1.1 million
- Gains from the sale of equity interest in the subsidiary </t>
        </r>
      </text>
    </comment>
    <comment ref="AD18" authorId="1" shapeId="0" xr:uid="{00000000-0006-0000-0100-000041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
ADJUSTED NUMBER!</t>
        </r>
        <r>
          <rPr>
            <sz val="9"/>
            <color indexed="81"/>
            <rFont val="Segoe UI"/>
            <family val="2"/>
          </rPr>
          <t xml:space="preserve">
Eng - Civil contingency of the former subsidiary Direct Express - R$ 6.6 million;
</t>
        </r>
      </text>
    </comment>
    <comment ref="AE18" authorId="1" shapeId="0" xr:uid="{00000000-0006-0000-0100-000042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 PIS/ COFINS tax credits from the subsidiary Catlog (net of lawyer fees) - R$ 5.5 million;</t>
        </r>
      </text>
    </comment>
    <comment ref="AF18" authorId="1" shapeId="0" xr:uid="{00000000-0006-0000-0100-000043000000}">
      <text>
        <r>
          <rPr>
            <b/>
            <sz val="9"/>
            <color indexed="81"/>
            <rFont val="Segoe UI"/>
            <family val="2"/>
          </rPr>
          <t xml:space="preserve">NÚMERO AJUSTADO!
</t>
        </r>
        <r>
          <rPr>
            <sz val="9"/>
            <color indexed="81"/>
            <rFont val="Segoe UI"/>
            <family val="2"/>
          </rPr>
          <t>PT- Contingência cívil da ex controlada Direct Express de - R$ 6,6 milhões
PT- Créditos de PIS/ COFINS da controlada Catlog Express (net of lawyer fee) - R$ 5,5 milhões</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(net of lawyer fee) - R$ 5,5 million;</t>
        </r>
      </text>
    </comment>
    <comment ref="D21" authorId="2" shapeId="0" xr:uid="{00000000-0006-0000-0100-000044000000}">
      <text>
        <r>
          <rPr>
            <b/>
            <sz val="9"/>
            <color indexed="81"/>
            <rFont val="Segoe UI"/>
            <family val="2"/>
          </rPr>
          <t xml:space="preserve">NÚMERO AJUSTADO!
</t>
        </r>
        <r>
          <rPr>
            <sz val="9"/>
            <color indexed="81"/>
            <rFont val="Segoe UI"/>
            <family val="2"/>
          </rPr>
          <t>PT - Contingência cívil da ex controlada Direct Express de - R$ 15 milhões
- Baixa do ágio da Controlada Catlog (-R$ 1,4 milhão)
- Baixa de R$ 1,8 milhão da conta escrow de indenizações de combinação de  negócios</t>
        </r>
        <r>
          <rPr>
            <b/>
            <sz val="9"/>
            <color indexed="81"/>
            <rFont val="Segoe UI"/>
            <family val="2"/>
          </rPr>
          <t xml:space="preserve">
ADJUSTED NUMBER!
</t>
        </r>
        <r>
          <rPr>
            <sz val="9"/>
            <color indexed="81"/>
            <rFont val="Segoe UI"/>
            <family val="2"/>
          </rPr>
          <t>EN - Civil contingency of the former subsidiary Direct Express of - R $ 15 million
- Write-off of the goodwill of the Catlog subsidiary (-R $ 1.4 million)
- Reduction of R $ 1.8 million from the escrow account for business combination indemnities</t>
        </r>
      </text>
    </comment>
    <comment ref="E21" authorId="2" shapeId="0" xr:uid="{00000000-0006-0000-0100-000045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21" authorId="2" shapeId="0" xr:uid="{00000000-0006-0000-0100-000046000000}">
      <text>
        <r>
          <rPr>
            <b/>
            <sz val="9"/>
            <color indexed="81"/>
            <rFont val="Segoe UI"/>
            <family val="2"/>
          </rPr>
          <t xml:space="preserve">NÚMERO AJUSTADO!
</t>
        </r>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t>
        </r>
        <r>
          <rPr>
            <b/>
            <sz val="9"/>
            <color indexed="81"/>
            <rFont val="Segoe UI"/>
            <family val="2"/>
          </rPr>
          <t xml:space="preserve">
ADJUSTED NUMBER!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21" authorId="2" shapeId="0" xr:uid="{00000000-0006-0000-0100-000047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J21" authorId="2" shapeId="0" xr:uid="{00000000-0006-0000-0100-000048000000}">
      <text>
        <r>
          <rPr>
            <b/>
            <sz val="9"/>
            <color indexed="81"/>
            <rFont val="Segoe UI"/>
            <family val="2"/>
          </rPr>
          <t xml:space="preserve">NÚMERO AJUSTADO!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Eng - Spontaneous denouncement on fiscal payment R$ 5.252 M</t>
        </r>
      </text>
    </comment>
    <comment ref="K21" authorId="2" shapeId="0" xr:uid="{00000000-0006-0000-0100-000049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
</t>
        </r>
        <r>
          <rPr>
            <b/>
            <sz val="9"/>
            <color indexed="81"/>
            <rFont val="Segoe UI"/>
            <family val="2"/>
          </rPr>
          <t xml:space="preserve">
ADJUSTED NUMBER!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L21" authorId="2" shapeId="0" xr:uid="{00000000-0006-0000-0100-00004A000000}">
      <text>
        <r>
          <rPr>
            <b/>
            <sz val="9"/>
            <color indexed="81"/>
            <rFont val="Segoe UI"/>
            <family val="2"/>
          </rPr>
          <t xml:space="preserve">NÚMERO AJUSTADO!
</t>
        </r>
        <r>
          <rPr>
            <sz val="9"/>
            <color indexed="81"/>
            <rFont val="Segoe UI"/>
            <family val="2"/>
          </rPr>
          <t>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t>
        </r>
        <r>
          <rPr>
            <b/>
            <sz val="9"/>
            <color indexed="81"/>
            <rFont val="Segoe UI"/>
            <family val="2"/>
          </rPr>
          <t xml:space="preserve">
ADJUSTED NUMBER!
</t>
        </r>
        <r>
          <rPr>
            <sz val="9"/>
            <color indexed="81"/>
            <rFont val="Segoe UI"/>
            <family val="2"/>
          </rPr>
          <t>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O21" authorId="2" shapeId="0" xr:uid="{00000000-0006-0000-0100-00004B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P21" authorId="2" shapeId="0" xr:uid="{00000000-0006-0000-0100-00004C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Q21" authorId="2" shapeId="0" xr:uid="{00000000-0006-0000-0100-00004D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Despesas com honorários advocatícios relacionadas a Operação Pacto: R$ 2,2 milhões;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R21" authorId="2" shapeId="0" xr:uid="{00000000-0006-0000-0100-00004E000000}">
      <text>
        <r>
          <rPr>
            <b/>
            <sz val="9"/>
            <color indexed="81"/>
            <rFont val="Segoe UI"/>
            <family val="2"/>
          </rPr>
          <t xml:space="preserve">NÚMERO AJUSTADO!
</t>
        </r>
        <r>
          <rPr>
            <sz val="9"/>
            <color indexed="81"/>
            <rFont val="Segoe UI"/>
            <family val="2"/>
          </rPr>
          <t>Pt: Despesas com honorários advocatícios relacionadas a Operação Pacto: R$ 3,3 milhões;</t>
        </r>
        <r>
          <rPr>
            <b/>
            <sz val="9"/>
            <color indexed="81"/>
            <rFont val="Segoe UI"/>
            <family val="2"/>
          </rPr>
          <t xml:space="preserve">
ADJUSTED NUMBER!
</t>
        </r>
        <r>
          <rPr>
            <sz val="9"/>
            <color indexed="81"/>
            <rFont val="Segoe UI"/>
            <family val="2"/>
          </rPr>
          <t xml:space="preserve">Eng: Expenses with legal fees related to Operação Pacto: R$3.3 million;
</t>
        </r>
      </text>
    </comment>
    <comment ref="U21" authorId="2" shapeId="0" xr:uid="{00000000-0006-0000-0100-00004F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R$ 2,3 M
PT: Despesas relacionadas à desmobilização de um armazém em Barueri-SP no montante de R$ 2,9 M
</t>
        </r>
        <r>
          <rPr>
            <b/>
            <sz val="9"/>
            <color indexed="81"/>
            <rFont val="Segoe UI"/>
            <family val="2"/>
          </rPr>
          <t xml:space="preserve">
ADJUSTED NUMBER!
</t>
        </r>
        <r>
          <rPr>
            <sz val="9"/>
            <color indexed="81"/>
            <rFont val="Segoe UI"/>
            <family val="2"/>
          </rPr>
          <t>Eng: Costs related to demobilization of a warehouse in Barueri-SP amounting R$ 2.3 M
Eng: Expenses related to demobilization of a warehouse in Barueri-SP amounting R$ 2.9 M</t>
        </r>
        <r>
          <rPr>
            <b/>
            <sz val="9"/>
            <color indexed="81"/>
            <rFont val="Segoe UI"/>
            <family val="2"/>
          </rPr>
          <t xml:space="preserve">
</t>
        </r>
      </text>
    </comment>
    <comment ref="V21" authorId="2" shapeId="0" xr:uid="{00000000-0006-0000-0100-000050000000}">
      <text>
        <r>
          <rPr>
            <b/>
            <sz val="9"/>
            <color indexed="81"/>
            <rFont val="Segoe UI"/>
            <family val="2"/>
          </rPr>
          <t>NÚMERO AJUSTADO!</t>
        </r>
        <r>
          <rPr>
            <sz val="9"/>
            <color indexed="81"/>
            <rFont val="Segoe UI"/>
            <family val="2"/>
          </rPr>
          <t xml:space="preserve">
PT - Despesas com honorários advocatícios relacionadas a Operação Pacto: R$ 3,3 milhões;
PT: Custos relacionados à desmobilização de um armazém em Barueri-SP no montante de R$ 2,3 M
PT: Despesas relacionadas à desmobilização de um armazém em Barueri-SP no montante de R$ 2,9 M
</t>
        </r>
        <r>
          <rPr>
            <b/>
            <sz val="9"/>
            <color indexed="81"/>
            <rFont val="Segoe UI"/>
            <family val="2"/>
          </rPr>
          <t>ADJUSTED NUMBER!</t>
        </r>
        <r>
          <rPr>
            <sz val="9"/>
            <color indexed="81"/>
            <rFont val="Segoe UI"/>
            <family val="2"/>
          </rPr>
          <t xml:space="preserve">
Eng - Attorney’s fees expenses related to the Operação Pacto: R$ 3.3 million;
Eng: Costs related to demobilization of a warehouse in Barueri-SP amounting R$ 2.3 M
Eng: Expenses related to demobilization of a warehouse in Barueri-SP amounting R$ 2.9 M
</t>
        </r>
      </text>
    </comment>
    <comment ref="X21" authorId="2" shapeId="0" xr:uid="{00000000-0006-0000-0100-000051000000}">
      <text>
        <r>
          <rPr>
            <b/>
            <sz val="9"/>
            <color indexed="81"/>
            <rFont val="Segoe UI"/>
            <family val="2"/>
          </rPr>
          <t xml:space="preserve">NÚMERO AJUSTADO!
</t>
        </r>
        <r>
          <rPr>
            <sz val="9"/>
            <color indexed="81"/>
            <rFont val="Segoe UI"/>
            <family val="2"/>
          </rPr>
          <t xml:space="preserve">Pt - Crédito de PIS e COFINS proveniente da Exclusão de ICMS na Base de Cálculo: R$5,7 milhões
</t>
        </r>
        <r>
          <rPr>
            <b/>
            <sz val="9"/>
            <color indexed="81"/>
            <rFont val="Segoe UI"/>
            <family val="2"/>
          </rPr>
          <t xml:space="preserve">
ADJUSTED NUMBER!
</t>
        </r>
        <r>
          <rPr>
            <sz val="9"/>
            <color indexed="81"/>
            <rFont val="Segoe UI"/>
            <family val="2"/>
          </rPr>
          <t>Eng: PIS and COFINS credit arising from the Exclusion of ICMS in the calculation Base: R$5,7 million</t>
        </r>
      </text>
    </comment>
    <comment ref="Y21" authorId="2" shapeId="0" xr:uid="{00000000-0006-0000-0100-000052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Z21" authorId="1" shapeId="0" xr:uid="{00000000-0006-0000-0100-000053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A21" authorId="1" shapeId="0" xr:uid="{00000000-0006-0000-0100-000054000000}">
      <text>
        <r>
          <rPr>
            <b/>
            <sz val="9"/>
            <color indexed="81"/>
            <rFont val="Segoe UI"/>
            <family val="2"/>
          </rPr>
          <t>NÚMERO AJUSTADO!</t>
        </r>
        <r>
          <rPr>
            <sz val="9"/>
            <color indexed="81"/>
            <rFont val="Segoe UI"/>
            <family val="2"/>
          </rPr>
          <t xml:space="preserve">
- Crédito de PIS e COFINS proveniente da Exclusão de ICMS na Base de Cálculo: R$5,7 milhões
- Despesas com assessorias financeiras e jurídicas relacionadas à oferta de combinação de negócios recebida no trimestre: R$ 1,1 milhão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Financial and legal advisory expenses related to the tender business combination bid received in the quarter: R$1.1 million
- Gains from the sale of equity interest in the subsidiary Frete Rápido: R$ 2.6 million.
</t>
        </r>
      </text>
    </comment>
    <comment ref="AD21" authorId="1" shapeId="0" xr:uid="{00000000-0006-0000-0100-000055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ADJUSTED NUMBER!
</t>
        </r>
        <r>
          <rPr>
            <sz val="9"/>
            <color indexed="81"/>
            <rFont val="Segoe UI"/>
            <family val="2"/>
          </rPr>
          <t xml:space="preserve">Eng - Civil contingency of the former subsidiary Direct Express - R$ 6.6 million;
</t>
        </r>
      </text>
    </comment>
    <comment ref="AE21" authorId="1" shapeId="0" xr:uid="{00000000-0006-0000-0100-000056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-PIS/ COFINS tax credits from the subsidiary Catlog (net of lawyer fees) - R$ 5.5 million;
</t>
        </r>
      </text>
    </comment>
    <comment ref="AF21" authorId="1" shapeId="0" xr:uid="{00000000-0006-0000-0100-000057000000}">
      <text>
        <r>
          <rPr>
            <b/>
            <sz val="9"/>
            <color indexed="81"/>
            <rFont val="Segoe UI"/>
            <family val="2"/>
          </rPr>
          <t xml:space="preserve">NÚMERO AJUSTADO!
</t>
        </r>
        <r>
          <rPr>
            <sz val="9"/>
            <color indexed="81"/>
            <rFont val="Segoe UI"/>
            <family val="2"/>
          </rPr>
          <t>PT- Contingência cívil da ex controlada Direct Express de - R$ 6,6 milhões
PT- Créditos de PIS/ COFINS da controlada Catlog Express (net of lawyer fee) - R$ 5,5 milhões</t>
        </r>
        <r>
          <rPr>
            <b/>
            <sz val="9"/>
            <color indexed="81"/>
            <rFont val="Segoe UI"/>
            <family val="2"/>
          </rPr>
          <t xml:space="preserve">
ADJUSTED NUMBER!
</t>
        </r>
        <r>
          <rPr>
            <sz val="9"/>
            <color indexed="81"/>
            <rFont val="Segoe UI"/>
            <family val="2"/>
          </rPr>
          <t xml:space="preserve">Eng - Civil contingency of the former subsidiary Direct Express - R$ 6.6 million;
Eng - PIS/ COFINS tax credits from the subsidiary Catlog (net of lawyer fee) - R$ 5,5 million
</t>
        </r>
      </text>
    </comment>
    <comment ref="D23" authorId="3" shapeId="0" xr:uid="{00000000-0006-0000-0100-000058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E23" authorId="1" shapeId="0" xr:uid="{00000000-0006-0000-0100-000059000000}">
      <text>
        <r>
          <rPr>
            <sz val="9"/>
            <color indexed="81"/>
            <rFont val="Segoe UI"/>
            <family val="2"/>
          </rPr>
          <t xml:space="preserve">PT - Baixa no valo de R$ 5,7 milhões referente a contas a receber da Direct
EN - Write off of Direct account receivable amounting R$ 5.7 million </t>
        </r>
      </text>
    </comment>
    <comment ref="F23" authorId="4" shapeId="0" xr:uid="{00000000-0006-0000-0100-00005A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23" authorId="2" shapeId="0" xr:uid="{00000000-0006-0000-0100-00005B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J23" authorId="1" shapeId="0" xr:uid="{00000000-0006-0000-0100-00005C000000}">
      <text>
        <r>
          <rPr>
            <sz val="9"/>
            <color indexed="81"/>
            <rFont val="Segoe UI"/>
            <family val="2"/>
          </rPr>
          <t>PT - Denúncia espontânea imposto ICMS R$ 5,252 M
Eng - Spontaneous denouncement on fiscal payment R$ 5.252 M</t>
        </r>
      </text>
    </comment>
    <comment ref="K23" authorId="6" shapeId="0" xr:uid="{00000000-0006-0000-0100-00005D000000}">
      <text>
        <r>
          <rPr>
            <sz val="9"/>
            <color indexed="81"/>
            <rFont val="Segoe UI"/>
            <family val="2"/>
          </rPr>
          <t xml:space="preserve">PT- Contingência cívil da ex controlada Direct Express de - R$ 14,5 milhões
PT- Custos de sucumbência de processo judicial de operação descontinuada: R$2,9M
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r>
          <rPr>
            <sz val="9"/>
            <color indexed="81"/>
            <rFont val="Segoe UI"/>
            <family val="2"/>
          </rPr>
          <t xml:space="preserve">
Eng - Civil contingency of the former subsidiary Direct Express - R$ 14.5 million;
Eng - Costs of defead legal fee for discontinued operation: R$ 2.9M</t>
        </r>
      </text>
    </comment>
    <comment ref="L23" authorId="2" shapeId="0" xr:uid="{00000000-0006-0000-0100-00005E000000}">
      <text>
        <r>
          <rPr>
            <sz val="9"/>
            <color indexed="81"/>
            <rFont val="Segoe UI"/>
            <family val="2"/>
          </rPr>
          <t xml:space="preserve">PT - Denúncia espontânea imposto ICMS R$ 5,252 M
PT- Contingência cívil da ex controlada Direct Express de - R$ 14,5 milhões
PT- Custos de sucumbência de processo judicial de operação descontinuada: R$2,9M
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sz val="9"/>
            <color indexed="81"/>
            <rFont val="Segoe UI"/>
            <family val="2"/>
          </rPr>
          <t xml:space="preserve">
Eng - Spontaneous denouncement on fiscal payment R$ 5.252 M
Eng - Civil contingency of the former subsidiary Direct Express - R$ 14.5 million;
Eng - Costs of defead legal fee for discontinued operation: R$ 2.9M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O23" authorId="1" shapeId="0" xr:uid="{00000000-0006-0000-0100-00005F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P23" authorId="5" shapeId="0" xr:uid="{00000000-0006-0000-0100-000060000000}">
      <text>
        <r>
          <rPr>
            <b/>
            <sz val="9"/>
            <color indexed="81"/>
            <rFont val="Segoe UI"/>
            <family val="2"/>
          </rPr>
          <t xml:space="preserve">PT - </t>
        </r>
        <r>
          <rPr>
            <sz val="9"/>
            <color indexed="81"/>
            <rFont val="Segoe UI"/>
            <family val="2"/>
          </rPr>
          <t xml:space="preserve">Despesas com honorários advocatícios relacionadas a Operação Pacto: R$ 2,2 milhões;
</t>
        </r>
        <r>
          <rPr>
            <b/>
            <sz val="9"/>
            <color indexed="81"/>
            <rFont val="Segoe UI"/>
            <family val="2"/>
          </rPr>
          <t xml:space="preserve">
Eng - </t>
        </r>
        <r>
          <rPr>
            <sz val="9"/>
            <color indexed="81"/>
            <rFont val="Segoe UI"/>
            <family val="2"/>
          </rPr>
          <t>Attorney’s fees expenses related to the Operação Pacto: R$ 2.2 million</t>
        </r>
      </text>
    </comment>
    <comment ref="Q23" authorId="2" shapeId="0" xr:uid="{00000000-0006-0000-0100-000061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Despesas com honorários advocatícios relacionadas a Operação Pacto: R$ 2,2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R23" authorId="5" shapeId="0" xr:uid="{00000000-0006-0000-0100-000062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 xml:space="preserve">Attorney’s fees expenses related to the Operação Pacto: R$ 3.3 million;
</t>
        </r>
        <r>
          <rPr>
            <b/>
            <sz val="9"/>
            <color indexed="81"/>
            <rFont val="Segoe UI"/>
            <family val="2"/>
          </rPr>
          <t xml:space="preserve">
</t>
        </r>
      </text>
    </comment>
    <comment ref="U23" authorId="2" shapeId="0" xr:uid="{00000000-0006-0000-0100-000063000000}">
      <text>
        <r>
          <rPr>
            <sz val="9"/>
            <color indexed="81"/>
            <rFont val="Segoe UI"/>
            <family val="2"/>
          </rPr>
          <t>PT: Custos relacionados à desmobilização de um armazém em Barueri-SP no montante de R$ 2,3 M
PT: Despesas relacionadas à desmobilização de um armazém em Barueri-SP no montante de R$ 2,9 M
Eng: Costs related to demobilization of a warehouse in Barueri-SP amounting R$ 2.3 M
Eng: Expenses related to demobilization of a warehouse in Barueri-SP amounting for R$ 2.9 M</t>
        </r>
      </text>
    </comment>
    <comment ref="V23" authorId="2" shapeId="0" xr:uid="{00000000-0006-0000-0100-000064000000}">
      <text>
        <r>
          <rPr>
            <sz val="9"/>
            <color indexed="81"/>
            <rFont val="Segoe UI"/>
            <family val="2"/>
          </rPr>
          <t>PT - Despesas com honorários advocatícios relacionadas a Operação Pacto: R$ 3,3 milhões;
PT: Custos relacionados à desmobilização de um armazém em Barueri-SP no montante de R$ 2,3 M
PT: Despesas relacionadas à desmobilização de um armazém em Barueri-SP no montante de R$ 2,9 M
Eng - Attorney’s fees expenses related to the Operação Pacto: R$ 3.3 million;
Eng: Costs related to demobilization of a warehouse in Barueri-SP amounting R$ 2.3 M
Eng: Expenses related to demobilization of a warehouse in Barueri-SP amounting for R$ 2.9 M</t>
        </r>
      </text>
    </comment>
    <comment ref="X23" authorId="0" shapeId="0" xr:uid="{00000000-0006-0000-0100-000065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Y23" authorId="0" shapeId="0" xr:uid="{00000000-0006-0000-0100-000066000000}">
      <text>
        <r>
          <rPr>
            <sz val="9"/>
            <color indexed="81"/>
            <rFont val="Segoe UI"/>
            <family val="2"/>
          </rPr>
          <t xml:space="preserve">PT - Despesas com assessorias financeiras e jurídicas relacionadas à oferta de combinação de negócios recebida no trimestre: R$ 1,1 milhão
Eng - Financial and legal advisory expenses related to the Tender offer of  business combination in the quarter: R$1.1 million
</t>
        </r>
      </text>
    </comment>
    <comment ref="Z23" authorId="0" shapeId="0" xr:uid="{00000000-0006-0000-0100-000067000000}">
      <text>
        <r>
          <rPr>
            <sz val="9"/>
            <color indexed="81"/>
            <rFont val="Segoe UI"/>
            <family val="2"/>
          </rPr>
          <t xml:space="preserve">PT - Ganhos com a venda da participação acionária na controlada Frete Rápido: R$ 2,6 milhões.
Eng - Gains from the sale of equity interest in the subsidiary Frete Rápido: R$ 2.6 million.
</t>
        </r>
      </text>
    </comment>
    <comment ref="AA23" authorId="0" shapeId="0" xr:uid="{00000000-0006-0000-0100-000068000000}">
      <text>
        <r>
          <rPr>
            <sz val="9"/>
            <color indexed="81"/>
            <rFont val="Segoe UI"/>
            <family val="2"/>
          </rPr>
          <t xml:space="preserve">PT: - Crédito de PIS e COFINS proveniente da Exclusão de ICMS na Base de Cálculo: R$5,7 milhões
- Despesas com assessorias financeiras e jurídicas relacionadas à oferta de combinação de negócios recebida no trimestre: R$ 1,1 milhão
- Ganhos com a venda da participação acionária na controlada Frete Rápido: R$ 2,6 milhões.
Eng: -  PIS and COFINS credit arising from the Exclusion of ICMS in the calculation Base: R$5,7 million
-  Financial and legal advisory expenses related to the tender business combination bid received in the quarter: R$1.1 million
- Gains from the sale of equity interest in the subsidiary Frete Rápido: R$ 2.6 million.
</t>
        </r>
      </text>
    </comment>
    <comment ref="O28" authorId="1" shapeId="0" xr:uid="{00000000-0006-0000-0100-000069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t>
        </r>
      </text>
    </comment>
    <comment ref="Q28" authorId="2" shapeId="0" xr:uid="{00000000-0006-0000-0100-00006A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X28" authorId="1" shapeId="0" xr:uid="{00000000-0006-0000-0100-00006B000000}">
      <text>
        <r>
          <rPr>
            <sz val="9"/>
            <color indexed="81"/>
            <rFont val="Segoe UI"/>
            <family val="2"/>
          </rPr>
          <t xml:space="preserve">Pt - Correção monetária do Crédito de PIS e COFINS priveniente da Exclusão de ICMS na Base de Cálculo: R$3,4 milhões
</t>
        </r>
        <r>
          <rPr>
            <sz val="9"/>
            <color indexed="81"/>
            <rFont val="Segoe UI"/>
            <family val="2"/>
          </rPr>
          <t xml:space="preserve">
Eng - Pt - Monetary adjustment of the PIS and COFINS Credit arising from the Exclusion of ICMS in the Calculation Base: R$3.4 million
</t>
        </r>
      </text>
    </comment>
    <comment ref="AA28" authorId="1" shapeId="0" xr:uid="{00000000-0006-0000-0100-00006C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r>
          <rPr>
            <sz val="9"/>
            <color indexed="81"/>
            <rFont val="Segoe UI"/>
            <family val="2"/>
          </rPr>
          <t xml:space="preserve">
</t>
        </r>
      </text>
    </comment>
    <comment ref="AE28" authorId="1" shapeId="0" xr:uid="{00000000-0006-0000-0100-00006D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F28" authorId="1" shapeId="0" xr:uid="{00000000-0006-0000-0100-00006E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H28" authorId="1" shapeId="0" xr:uid="{00000000-0006-0000-0100-00006F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AK28" authorId="1" shapeId="0" xr:uid="{00000000-0006-0000-0100-000070000000}">
      <text>
        <r>
          <rPr>
            <sz val="9"/>
            <color indexed="81"/>
            <rFont val="Segoe UI"/>
            <family val="2"/>
          </rPr>
          <t xml:space="preserve">Pt - Correção monetária do Crédito de PIS e COFINS priveniente da Exclusão de ICMS na Base de Cálculo: R$2,4 milhões
Eng - Pt - Monetary adjustment of the PIS and COFINS Credit arising from the Exclusion of ICMS in the Calculation Base: R$2.4 million
</t>
        </r>
      </text>
    </comment>
    <comment ref="AM28" authorId="1" shapeId="0" xr:uid="{00000000-0006-0000-0100-000071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AP28" authorId="1" shapeId="0" xr:uid="{00000000-0006-0000-0100-000072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D31" authorId="0" shapeId="0" xr:uid="{00000000-0006-0000-0100-000073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negativos
EN - LALUR rectification of 2014 impacted positive R $ 10.9 million
- Payment of income tax on the gain of Fundaf's cause R $ 1.9 million
- Deferred Income tax constitution on the civil contingency of the former subsidiary Direct negative R $ 5.1 million</t>
        </r>
      </text>
    </comment>
    <comment ref="F31" authorId="0" shapeId="0" xr:uid="{00000000-0006-0000-0100-000074000000}">
      <text>
        <r>
          <rPr>
            <sz val="9"/>
            <color indexed="81"/>
            <rFont val="Segoe UI"/>
            <family val="2"/>
          </rPr>
          <t>PT - Impacto no imposto de renda dos seguintes eventos: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Adicionalmente, hove os seguintes eventos: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EN - Impact on income tax of the following events: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t>
        </r>
        <r>
          <rPr>
            <b/>
            <sz val="9"/>
            <color indexed="81"/>
            <rFont val="Segoe UI"/>
            <family val="2"/>
          </rPr>
          <t xml:space="preserve">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Additionally, there was the following events: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G31" authorId="0" shapeId="0" xr:uid="{00000000-0006-0000-0100-000075000000}">
      <text>
        <r>
          <rPr>
            <sz val="9"/>
            <color indexed="81"/>
            <rFont val="Segoe UI"/>
            <family val="2"/>
          </rPr>
          <t xml:space="preserve">PT - Impacto no imposto de renda dos seguintes eventos: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Adicionalmente, hove os seguintes eventos: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PT - Retificação do LALUR de 2014 impactou em R$ 10,9 milhões positivos
- Pagamento de IR sobre o ganho de causa Fundaf R$ 1,9 milhão
- Constituição de  IR diferido sobre a contingência cívil da ex controlada Direct R$ 5,1 milhões negativos
EN - Impact on income tax of the following events: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Additionally, there was the following events: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EN - LALUR rectification of 2014 impacted positive R $ 10.9 million
- Payment of income tax on the gain of Fundaf's cause R $ 1.9 million
- Deferred Income tax constitution on the civil contingency of the former subsidiary Direct negative R $ 5.1 million
</t>
        </r>
      </text>
    </comment>
    <comment ref="K31" authorId="1" shapeId="0" xr:uid="{00000000-0006-0000-0100-000076000000}">
      <text>
        <r>
          <rPr>
            <sz val="9"/>
            <color indexed="81"/>
            <rFont val="Segoe UI"/>
            <family val="2"/>
          </rPr>
          <t xml:space="preserve">PT - Constituição de  IR diferido sobre a contingência cívil da ex controlada Direct R$ 4.8 milhões negativos
EN - Deferred Income tax constitution on the civil contingency of the former subsidiary Direct negative R$ 4.9 million
</t>
        </r>
      </text>
    </comment>
    <comment ref="L31" authorId="1" shapeId="0" xr:uid="{00000000-0006-0000-0100-000077000000}">
      <text>
        <r>
          <rPr>
            <sz val="9"/>
            <color indexed="81"/>
            <rFont val="Segoe UI"/>
            <family val="2"/>
          </rPr>
          <t xml:space="preserve">PT - Constituição de  IR diferido sobre a contingência cívil da ex controlada Direct R$ 4.8 milhões negativos
EN - Deferred Income tax constitution on the civil contingency of the former subsidiary Direct negative R$ 4.9 million
</t>
        </r>
      </text>
    </comment>
    <comment ref="O31" authorId="1" shapeId="0" xr:uid="{00000000-0006-0000-0100-00007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Q31" authorId="1" shapeId="0" xr:uid="{00000000-0006-0000-0100-000079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Y31" authorId="1" shapeId="0" xr:uid="{00000000-0006-0000-0100-00007A000000}">
      <text>
        <r>
          <rPr>
            <sz val="9"/>
            <color indexed="81"/>
            <rFont val="Segoe UI"/>
            <family val="2"/>
          </rPr>
          <t>Pt - Crédito tributário extraordinário referente a imposto pago a maior R$12,9 milhões
Eng- Extraordinary tax credit regarding overpaid tax collection amounting R$ 12.9 million</t>
        </r>
      </text>
    </comment>
    <comment ref="AA31" authorId="1" shapeId="0" xr:uid="{00000000-0006-0000-0100-00007B000000}">
      <text>
        <r>
          <rPr>
            <sz val="9"/>
            <color indexed="81"/>
            <rFont val="Segoe UI"/>
            <family val="2"/>
          </rPr>
          <t>Pt - Crédito tributário extraordinário referente a imposto pago a maior R$12,9 milhões
Eng- Extraordinary tax credit regarding overpaid tax collection amounting R$ 12.9 million</t>
        </r>
      </text>
    </comment>
    <comment ref="K68" authorId="1" shapeId="0" xr:uid="{00000000-0006-0000-0100-00007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t>
        </r>
        <r>
          <rPr>
            <b/>
            <sz val="9"/>
            <color indexed="81"/>
            <rFont val="Segoe UI"/>
            <family val="2"/>
          </rPr>
          <t>ADJUSTED NUMBER!</t>
        </r>
        <r>
          <rPr>
            <sz val="9"/>
            <color indexed="81"/>
            <rFont val="Segoe UI"/>
            <family val="2"/>
          </rPr>
          <t xml:space="preserve">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L68" authorId="1" shapeId="0" xr:uid="{00000000-0006-0000-0100-00007D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R$ 10,6 M [R$ 4,5 M referente ao ano de 2017 e R$ 6,1 M referente ao ano de 2018.</t>
        </r>
        <r>
          <rPr>
            <u/>
            <sz val="9"/>
            <color indexed="81"/>
            <rFont val="Segoe UI"/>
            <family val="2"/>
          </rPr>
          <t xml:space="preserve"> 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AH68" authorId="1" shapeId="0" xr:uid="{00000000-0006-0000-0100-00007E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J68" authorId="1" shapeId="0" xr:uid="{00000000-0006-0000-0100-00007F000000}">
      <text>
        <r>
          <rPr>
            <sz val="9"/>
            <color indexed="81"/>
            <rFont val="Segoe UI"/>
            <family val="2"/>
          </rPr>
          <t>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t>
        </r>
      </text>
    </comment>
    <comment ref="AK68" authorId="0" shapeId="0" xr:uid="{00000000-0006-0000-0100-000080000000}">
      <text>
        <r>
          <rPr>
            <sz val="9"/>
            <color indexed="81"/>
            <rFont val="Segoe UI"/>
            <family val="2"/>
          </rPr>
          <t xml:space="preserve">PT - Desconto a clientes foram concedidos relacionado a descasamento do repasse da queda do preço do Diesel de períodos anteriores (R$ 5,3 milhão)
Eng: Discounts were granted to customers related to the mismatch of passing on the drop in Diesel prices from previous periods (R$ 5.3 million)
</t>
        </r>
      </text>
    </comment>
    <comment ref="K70" authorId="1" shapeId="0" xr:uid="{00000000-0006-0000-0100-000081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L70" authorId="1" shapeId="0" xr:uid="{00000000-0006-0000-0100-000082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F71" authorId="1" shapeId="0" xr:uid="{00000000-0006-0000-0100-000083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G71" authorId="1" shapeId="0" xr:uid="{00000000-0006-0000-0100-000084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O71" authorId="1" shapeId="0" xr:uid="{00000000-0006-0000-0100-000085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xml:space="preserve">, R$ 1.6 million of PIS/COFINS tax on financial income and provision of R$ 27.5 million of income tax on book entry.
</t>
        </r>
      </text>
    </comment>
    <comment ref="Q71" authorId="2" shapeId="0" xr:uid="{00000000-0006-0000-0100-000086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F72" authorId="1" shapeId="0" xr:uid="{00000000-0006-0000-0100-000087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72" authorId="1" shapeId="0" xr:uid="{00000000-0006-0000-0100-000088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O74" authorId="1" shapeId="0" xr:uid="{00000000-0006-0000-0100-00008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R$ 1.6 million of PIS/COFINS tax on financial income and provision of R$ 27.5 million of income tax on book entry.</t>
        </r>
      </text>
    </comment>
    <comment ref="Q74" authorId="2" shapeId="0" xr:uid="{00000000-0006-0000-0100-00008A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F76" authorId="1" shapeId="0" xr:uid="{00000000-0006-0000-0100-00008B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G76" authorId="1" shapeId="0" xr:uid="{00000000-0006-0000-0100-00008C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K76" authorId="2" shapeId="0" xr:uid="{00000000-0006-0000-0100-00008D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text>
    </comment>
    <comment ref="L76" authorId="1" shapeId="0" xr:uid="{00000000-0006-0000-0100-00008E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t>
        </r>
        <r>
          <rPr>
            <b/>
            <sz val="9"/>
            <color indexed="81"/>
            <rFont val="Segoe UI"/>
            <family val="2"/>
          </rPr>
          <t xml:space="preserve">
ADJUSTED NUMBER!
Eng - PIS and COFINS credits </t>
        </r>
        <r>
          <rPr>
            <sz val="9"/>
            <color indexed="81"/>
            <rFont val="Segoe UI"/>
            <family val="2"/>
          </rPr>
          <t xml:space="preserve">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O76" authorId="2" shapeId="0" xr:uid="{00000000-0006-0000-0100-00008F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Q76" authorId="2" shapeId="0" xr:uid="{00000000-0006-0000-0100-000090000000}">
      <text>
        <r>
          <rPr>
            <b/>
            <sz val="9"/>
            <color indexed="81"/>
            <rFont val="Segoe UI"/>
            <family val="2"/>
          </rPr>
          <t xml:space="preserve">NÚMERO AJUSTADO!
PT - </t>
        </r>
        <r>
          <rPr>
            <sz val="9"/>
            <color indexed="81"/>
            <rFont val="Segoe UI"/>
            <family val="2"/>
          </rPr>
          <t>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
Eng -</t>
        </r>
        <r>
          <rPr>
            <sz val="9"/>
            <color indexed="81"/>
            <rFont val="Segoe UI"/>
            <family val="2"/>
          </rPr>
          <t xml:space="preserve">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D78" authorId="1" shapeId="0" xr:uid="{00000000-0006-0000-0100-000091000000}">
      <text>
        <r>
          <rPr>
            <b/>
            <sz val="9"/>
            <color indexed="81"/>
            <rFont val="Segoe UI"/>
            <family val="2"/>
          </rPr>
          <t>NÚMERO AJUSTADO!</t>
        </r>
        <r>
          <rPr>
            <sz val="9"/>
            <color indexed="81"/>
            <rFont val="Segoe UI"/>
            <family val="2"/>
          </rPr>
          <t xml:space="preserve">
PT - Contingência cívil da ex controlada Direct Express de - R$ 15 milhões
</t>
        </r>
        <r>
          <rPr>
            <b/>
            <sz val="9"/>
            <color indexed="81"/>
            <rFont val="Segoe UI"/>
            <family val="2"/>
          </rPr>
          <t>ADJUSTED NUMBER!</t>
        </r>
        <r>
          <rPr>
            <sz val="9"/>
            <color indexed="81"/>
            <rFont val="Segoe UI"/>
            <family val="2"/>
          </rPr>
          <t xml:space="preserve">
EN - Civil contingency of the former subsidiary Direct Express of - R $ 15 million
</t>
        </r>
      </text>
    </comment>
    <comment ref="G78" authorId="1" shapeId="0" xr:uid="{00000000-0006-0000-0100-000092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(-R$ 1.365 milhão)
</t>
        </r>
        <r>
          <rPr>
            <b/>
            <sz val="9"/>
            <color indexed="81"/>
            <rFont val="Segoe UI"/>
            <family val="2"/>
          </rPr>
          <t>ADJUSTED NUMBER!</t>
        </r>
        <r>
          <rPr>
            <sz val="9"/>
            <color indexed="81"/>
            <rFont val="Segoe UI"/>
            <family val="2"/>
          </rPr>
          <t xml:space="preserve">
EN - Civil contingency of the former subsidiary Direct Express of - R $ 15 million
- Write-off of the goodwill of the CatLog subsidiary (-R $ 1,365 million)
</t>
        </r>
      </text>
    </comment>
    <comment ref="K78" authorId="6" shapeId="0" xr:uid="{00000000-0006-0000-0100-000093000000}">
      <text>
        <r>
          <rPr>
            <b/>
            <sz val="9"/>
            <color indexed="81"/>
            <rFont val="Segoe UI"/>
            <family val="2"/>
          </rPr>
          <t>NÚMERO AJUSTADO!</t>
        </r>
        <r>
          <rPr>
            <sz val="9"/>
            <color indexed="81"/>
            <rFont val="Segoe UI"/>
            <family val="2"/>
          </rPr>
          <t xml:space="preserve">
PT- Contingência cívil da ex controlada Direct Express de - R$ 14,5 milhões
</t>
        </r>
        <r>
          <rPr>
            <b/>
            <sz val="9"/>
            <color indexed="81"/>
            <rFont val="Segoe UI"/>
            <family val="2"/>
          </rPr>
          <t>ADJUSTED NUMBER!</t>
        </r>
        <r>
          <rPr>
            <sz val="9"/>
            <color indexed="81"/>
            <rFont val="Segoe UI"/>
            <family val="2"/>
          </rPr>
          <t xml:space="preserve">
Eng - Civil contingency of the former subsidiary Direct Express - R$ 14.5 million;</t>
        </r>
      </text>
    </comment>
    <comment ref="L78" authorId="1" shapeId="0" xr:uid="{00000000-0006-0000-0100-000094000000}">
      <text>
        <r>
          <rPr>
            <b/>
            <sz val="9"/>
            <color indexed="81"/>
            <rFont val="Segoe UI"/>
            <family val="2"/>
          </rPr>
          <t>NÚMERO AJUSTADO!</t>
        </r>
        <r>
          <rPr>
            <sz val="9"/>
            <color indexed="81"/>
            <rFont val="Segoe UI"/>
            <family val="2"/>
          </rPr>
          <t xml:space="preserve">
PT- Contingência cívil da ex controlada Direct Express de - R$ 14,5 milhões
</t>
        </r>
        <r>
          <rPr>
            <b/>
            <sz val="9"/>
            <color indexed="81"/>
            <rFont val="Segoe UI"/>
            <family val="2"/>
          </rPr>
          <t xml:space="preserve">
ADJUSTED NUMBER!</t>
        </r>
        <r>
          <rPr>
            <sz val="9"/>
            <color indexed="81"/>
            <rFont val="Segoe UI"/>
            <family val="2"/>
          </rPr>
          <t xml:space="preserve">
Eng - Civil contingency of the former subsidiary Direct Express - R$ 14.5 million;
</t>
        </r>
      </text>
    </comment>
    <comment ref="O78" authorId="1" shapeId="0" xr:uid="{00000000-0006-0000-0100-000095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(R$ 54,7 milhões em outras receitas e despesas e R$ 33,8 milhões em receitas financeiras referente à correção monetária)</t>
        </r>
        <r>
          <rPr>
            <sz val="9"/>
            <color indexed="81"/>
            <rFont val="Segoe UI"/>
            <family val="2"/>
          </rPr>
          <t xml:space="preserve">,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(R$ 54.7 million in other revenues and expenses and R$ 33.8 million in financial result relating to monetary correction)</t>
        </r>
        <r>
          <rPr>
            <sz val="9"/>
            <color indexed="81"/>
            <rFont val="Segoe UI"/>
            <family val="2"/>
          </rPr>
          <t xml:space="preserve">, in addition to a cost of R$ 5.9 million related to attorney’s fees as a result lawsuit brought upon (other costs), R$ 1.6 million of PIS/COFINS tax on financial income and provision of R$ 27.5 million of income tax on book entry.
</t>
        </r>
      </text>
    </comment>
    <comment ref="P78" authorId="2" shapeId="0" xr:uid="{00000000-0006-0000-0100-000096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Q78" authorId="2" shapeId="0" xr:uid="{00000000-0006-0000-0100-000097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78" authorId="1" shapeId="0" xr:uid="{00000000-0006-0000-0100-000098000000}">
      <text>
        <r>
          <rPr>
            <b/>
            <sz val="9"/>
            <color indexed="81"/>
            <rFont val="Segoe UI"/>
            <family val="2"/>
          </rPr>
          <t>NÚMERO AJUSTADO!</t>
        </r>
        <r>
          <rPr>
            <sz val="9"/>
            <color indexed="81"/>
            <rFont val="Segoe UI"/>
            <family val="2"/>
          </rPr>
          <t xml:space="preserve">
Pt: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ADJUSTED NUMBER!
Eng: </t>
        </r>
        <r>
          <rPr>
            <sz val="9"/>
            <color indexed="81"/>
            <rFont val="Segoe UI"/>
            <family val="2"/>
          </rPr>
          <t xml:space="preserve">Expenses with legal fees related to Operação Pacto: R$3.3 million;
Expenses due to the audit change announced in 1Q20 (contract termination and hiring): R$1.4 million;
Increase in the provision for civil contingencies: R$1.6 million;
Expense for the dismissal of the Company's executive: R$2.1 million.
</t>
        </r>
      </text>
    </comment>
    <comment ref="V78" authorId="2" shapeId="0" xr:uid="{00000000-0006-0000-0100-000099000000}">
      <text>
        <r>
          <rPr>
            <b/>
            <sz val="9"/>
            <color indexed="81"/>
            <rFont val="Segoe UI"/>
            <family val="2"/>
          </rPr>
          <t xml:space="preserve">NÚMERO AJUSTADO!
</t>
        </r>
        <r>
          <rPr>
            <sz val="9"/>
            <color indexed="81"/>
            <rFont val="Segoe UI"/>
            <family val="2"/>
          </rPr>
          <t xml:space="preserve">Pt: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
ADJUSTED NUMBER!
</t>
        </r>
        <r>
          <rPr>
            <sz val="9"/>
            <color indexed="81"/>
            <rFont val="Segoe UI"/>
            <family val="2"/>
          </rPr>
          <t xml:space="preserve">Eng: Expenses with legal fees related to Operação Pacto: R$3.3 million;
Expenses due to the audit change announced in 1Q20 (contract termination and hiring): R$1.4 million;
Increase in the provision for civil contingencies: R$1.6 million;
Expense for the dismissal of the Company's executive: R$2.1 million.
</t>
        </r>
      </text>
    </comment>
    <comment ref="W78" authorId="1" shapeId="0" xr:uid="{00000000-0006-0000-0100-00009A000000}">
      <text>
        <r>
          <rPr>
            <sz val="9"/>
            <color indexed="81"/>
            <rFont val="Segoe UI"/>
            <family val="2"/>
          </rPr>
          <t xml:space="preserve">Pt) recebimento referente ao direito de administração da folha de pagamento dos colaboradores e ii) ressarcimento em função da modificação de condições de contrato comercial. Ambos impactos somaram R$ 6,7 milhões positivos.
Eng) i) the receipt of an amount related to the right to manage the payroll of employees and ii) the reimbursement due to a commercial contract conditions change. Both impacts amounted positive R$ 6.7 million
</t>
        </r>
      </text>
    </comment>
    <comment ref="Y78" authorId="2" shapeId="0" xr:uid="{00000000-0006-0000-0100-00009B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A78" authorId="1" shapeId="0" xr:uid="{00000000-0006-0000-0100-00009C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
</t>
        </r>
      </text>
    </comment>
    <comment ref="AD78" authorId="0" shapeId="0" xr:uid="{00000000-0006-0000-0100-00009D000000}">
      <text>
        <r>
          <rPr>
            <b/>
            <sz val="9"/>
            <color indexed="81"/>
            <rFont val="Segoe UI"/>
            <family val="2"/>
          </rPr>
          <t xml:space="preserve">NÚMERO AJUSTADO!
PT- </t>
        </r>
        <r>
          <rPr>
            <sz val="9"/>
            <color indexed="81"/>
            <rFont val="Segoe UI"/>
            <family val="2"/>
          </rPr>
          <t>Contingência cívil da ex controlada Direct Express de - R$ 6,6 milhões</t>
        </r>
        <r>
          <rPr>
            <b/>
            <sz val="9"/>
            <color indexed="81"/>
            <rFont val="Segoe UI"/>
            <family val="2"/>
          </rPr>
          <t xml:space="preserve">
ADJUSTED NUMBER!
Eng - </t>
        </r>
        <r>
          <rPr>
            <sz val="9"/>
            <color indexed="81"/>
            <rFont val="Segoe UI"/>
            <family val="2"/>
          </rPr>
          <t>Civil contingency of the former subsidiary Direct Express - R$ 6.6 million;</t>
        </r>
      </text>
    </comment>
    <comment ref="AE78" authorId="0" shapeId="0" xr:uid="{00000000-0006-0000-0100-00009E000000}">
      <text>
        <r>
          <rPr>
            <b/>
            <sz val="9"/>
            <color indexed="81"/>
            <rFont val="Segoe UI"/>
            <family val="2"/>
          </rPr>
          <t xml:space="preserve">NÚMERO AJUSTADO!
</t>
        </r>
        <r>
          <rPr>
            <sz val="9"/>
            <color indexed="81"/>
            <rFont val="Segoe UI"/>
            <family val="2"/>
          </rPr>
          <t xml:space="preserve">PT- Créditos de PIS/ COFINS da controlada Catlog (líquido de honorários advocatícios) - R$ 5,5 milhões
</t>
        </r>
        <r>
          <rPr>
            <b/>
            <sz val="9"/>
            <color indexed="81"/>
            <rFont val="Segoe UI"/>
            <family val="2"/>
          </rPr>
          <t xml:space="preserve">
ADJUSTED NUMBER!</t>
        </r>
        <r>
          <rPr>
            <sz val="9"/>
            <color indexed="81"/>
            <rFont val="Segoe UI"/>
            <family val="2"/>
          </rPr>
          <t xml:space="preserve">
Eng - PIS/ COFINS tax credits from the subsidiary Catlog (net of lawyer fees) - R$ 5.5 million</t>
        </r>
      </text>
    </comment>
    <comment ref="AF78" authorId="1" shapeId="0" xr:uid="{00000000-0006-0000-0100-00009F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(líquido de honorários advocatícios) - R$ 5,5 milhões
</t>
        </r>
        <r>
          <rPr>
            <b/>
            <sz val="9"/>
            <color indexed="81"/>
            <rFont val="Segoe UI"/>
            <family val="2"/>
          </rPr>
          <t>ADJUSTED NUMBER!</t>
        </r>
        <r>
          <rPr>
            <sz val="9"/>
            <color indexed="81"/>
            <rFont val="Segoe UI"/>
            <family val="2"/>
          </rPr>
          <t xml:space="preserve">
Eng - Civil contingency of the former subsidiary Direct Express - R$ 6.6 million;
Eng - PIS/ COFINS tax credits from the subsidiary Catlog (net of lawyer fee)- R$ 5,8 million</t>
        </r>
      </text>
    </comment>
    <comment ref="AL78" authorId="1" shapeId="0" xr:uid="{00000000-0006-0000-0100-0000A0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M78" authorId="1" shapeId="0" xr:uid="{00000000-0006-0000-0100-0000A1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N78" authorId="1" shapeId="0" xr:uid="{00000000-0006-0000-0100-0000A2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O78" authorId="1" shapeId="0" xr:uid="{00000000-0006-0000-0100-0000A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P78" authorId="1" shapeId="0" xr:uid="{00000000-0006-0000-0100-0000A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D80" authorId="2" shapeId="0" xr:uid="{00000000-0006-0000-0100-0000A5000000}">
      <text>
        <r>
          <rPr>
            <b/>
            <sz val="9"/>
            <color indexed="81"/>
            <rFont val="Segoe UI"/>
            <family val="2"/>
          </rPr>
          <t xml:space="preserve">NÚMERO AJUSTADO!
</t>
        </r>
        <r>
          <rPr>
            <sz val="9"/>
            <color indexed="81"/>
            <rFont val="Segoe UI"/>
            <family val="2"/>
          </rPr>
          <t xml:space="preserve">PT - Contingência cívil da ex controlada Direct Express de - R$ 15 milhões
</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G80" authorId="2" shapeId="0" xr:uid="{00000000-0006-0000-0100-0000A6000000}">
      <text>
        <r>
          <rPr>
            <b/>
            <sz val="9"/>
            <color indexed="81"/>
            <rFont val="Segoe UI"/>
            <family val="2"/>
          </rPr>
          <t xml:space="preserve">NÚMERO AJUSTADO!
</t>
        </r>
        <r>
          <rPr>
            <sz val="9"/>
            <color indexed="81"/>
            <rFont val="Segoe UI"/>
            <family val="2"/>
          </rPr>
          <t>PT - Contingência cívil da ex controlada Direct Express de - R$ 15 milhões</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K80" authorId="2" shapeId="0" xr:uid="{00000000-0006-0000-0100-0000A7000000}">
      <text>
        <r>
          <rPr>
            <b/>
            <sz val="9"/>
            <color indexed="81"/>
            <rFont val="Segoe UI"/>
            <family val="2"/>
          </rPr>
          <t xml:space="preserve">NÚMERO AJUSTADO!
</t>
        </r>
        <r>
          <rPr>
            <sz val="9"/>
            <color indexed="81"/>
            <rFont val="Segoe UI"/>
            <family val="2"/>
          </rPr>
          <t>PT- Contingência cívil da ex controlada Direct Express de - R$ 14,5 milhões</t>
        </r>
        <r>
          <rPr>
            <b/>
            <sz val="9"/>
            <color indexed="81"/>
            <rFont val="Segoe UI"/>
            <family val="2"/>
          </rPr>
          <t xml:space="preserve">
ADJUSTED NUMBER!
</t>
        </r>
        <r>
          <rPr>
            <sz val="9"/>
            <color indexed="81"/>
            <rFont val="Segoe UI"/>
            <family val="2"/>
          </rPr>
          <t>Eng - Civil contingency of the former subsidiary Direct Express - R$ 14.5 million;</t>
        </r>
      </text>
    </comment>
    <comment ref="L80" authorId="2" shapeId="0" xr:uid="{00000000-0006-0000-0100-0000A8000000}">
      <text>
        <r>
          <rPr>
            <b/>
            <sz val="9"/>
            <color indexed="81"/>
            <rFont val="Segoe UI"/>
            <family val="2"/>
          </rPr>
          <t xml:space="preserve">NÚMERO AJUSTADO!
</t>
        </r>
        <r>
          <rPr>
            <sz val="9"/>
            <color indexed="81"/>
            <rFont val="Segoe UI"/>
            <family val="2"/>
          </rPr>
          <t>PT- Contingência cívil da ex controlada Direct Express de - R$ 14,5 milhões</t>
        </r>
        <r>
          <rPr>
            <b/>
            <sz val="9"/>
            <color indexed="81"/>
            <rFont val="Segoe UI"/>
            <family val="2"/>
          </rPr>
          <t xml:space="preserve">
ADJUSTED NUMBER!
</t>
        </r>
        <r>
          <rPr>
            <sz val="9"/>
            <color indexed="81"/>
            <rFont val="Segoe UI"/>
            <family val="2"/>
          </rPr>
          <t>Eng - Civil contingency of the former subsidiary Direct Express - R$ 14.5 million</t>
        </r>
        <r>
          <rPr>
            <b/>
            <sz val="9"/>
            <color indexed="81"/>
            <rFont val="Segoe UI"/>
            <family val="2"/>
          </rPr>
          <t>;</t>
        </r>
      </text>
    </comment>
    <comment ref="O80" authorId="2" shapeId="0" xr:uid="{00000000-0006-0000-0100-0000A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P80" authorId="2" shapeId="0" xr:uid="{00000000-0006-0000-0100-0000AA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Q80" authorId="2" shapeId="0" xr:uid="{00000000-0006-0000-0100-0000AB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80" authorId="2" shapeId="0" xr:uid="{00000000-0006-0000-0100-0000AC000000}">
      <text>
        <r>
          <rPr>
            <b/>
            <sz val="9"/>
            <color indexed="81"/>
            <rFont val="Segoe UI"/>
            <family val="2"/>
          </rPr>
          <t>NÚMERO AJUSTADO!</t>
        </r>
        <r>
          <rPr>
            <sz val="9"/>
            <color indexed="81"/>
            <rFont val="Segoe UI"/>
            <family val="2"/>
          </rPr>
          <t xml:space="preserve">
Pt: Despesas com honorários advocatícios relacionadas a Operação Pacto: R$ 3,3 milhões;
</t>
        </r>
        <r>
          <rPr>
            <b/>
            <sz val="9"/>
            <color indexed="81"/>
            <rFont val="Segoe UI"/>
            <family val="2"/>
          </rPr>
          <t>ADJUSTED NUMBER!</t>
        </r>
        <r>
          <rPr>
            <sz val="9"/>
            <color indexed="81"/>
            <rFont val="Segoe UI"/>
            <family val="2"/>
          </rPr>
          <t xml:space="preserve">
Eng: Expenses with legal fees related to Operação Pacto: R$3.3 million;
</t>
        </r>
      </text>
    </comment>
    <comment ref="V80" authorId="2" shapeId="0" xr:uid="{00000000-0006-0000-0100-0000AD000000}">
      <text>
        <r>
          <rPr>
            <b/>
            <sz val="9"/>
            <color indexed="81"/>
            <rFont val="Segoe UI"/>
            <family val="2"/>
          </rPr>
          <t xml:space="preserve">NÚMERO AJUSTADO!
</t>
        </r>
        <r>
          <rPr>
            <sz val="9"/>
            <color indexed="81"/>
            <rFont val="Segoe UI"/>
            <family val="2"/>
          </rPr>
          <t xml:space="preserve">Pt: Despesas com honorários advocatícios relacionadas a Operação Pacto: R$ 3,3 milhões;
</t>
        </r>
        <r>
          <rPr>
            <b/>
            <sz val="9"/>
            <color indexed="81"/>
            <rFont val="Segoe UI"/>
            <family val="2"/>
          </rPr>
          <t xml:space="preserve">
ADJUSTED NUMBER!
</t>
        </r>
        <r>
          <rPr>
            <sz val="9"/>
            <color indexed="81"/>
            <rFont val="Segoe UI"/>
            <family val="2"/>
          </rPr>
          <t xml:space="preserve">Eng: Expenses with legal fees related to Operação Pacto: R$3.3 million;
</t>
        </r>
      </text>
    </comment>
    <comment ref="Y80" authorId="2" shapeId="0" xr:uid="{00000000-0006-0000-0100-0000AE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A80" authorId="1" shapeId="0" xr:uid="{00000000-0006-0000-0100-0000AF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 xml:space="preserve">Eng - Financial and legal advisory expenses related to the Tender offer of  business combination in the quarter: R$1.1 million
</t>
        </r>
      </text>
    </comment>
    <comment ref="AD80" authorId="1" shapeId="0" xr:uid="{00000000-0006-0000-0100-0000B0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ADJUSTED NUMBER!</t>
        </r>
        <r>
          <rPr>
            <sz val="9"/>
            <color indexed="81"/>
            <rFont val="Segoe UI"/>
            <family val="2"/>
          </rPr>
          <t xml:space="preserve">
Eng - Civil contingency of the former subsidiary Direct Express - R$ 6.6 million;
</t>
        </r>
      </text>
    </comment>
    <comment ref="AE80" authorId="1" shapeId="0" xr:uid="{00000000-0006-0000-0100-0000B1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 PIS/ COFINS tax credits from the subsidiary Catlog (net of lawyer fees) - R$ 5.5 million</t>
        </r>
      </text>
    </comment>
    <comment ref="AF80" authorId="1" shapeId="0" xr:uid="{00000000-0006-0000-0100-0000B2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 R$ 6,7 milhões
PT- Honorários devidos pelos Créditos de PIS/ COFINS da controlada Catlog  - R$ 0,9 milhões
</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 R$ 6.7 million;
Eng - PIS/ COFINS tax credits from the subsidiary Catlog (Lawyer fee) - R$ 0.9 million;
</t>
        </r>
      </text>
    </comment>
    <comment ref="D83" authorId="2" shapeId="0" xr:uid="{00000000-0006-0000-0100-0000B3000000}">
      <text>
        <r>
          <rPr>
            <b/>
            <sz val="9"/>
            <color indexed="81"/>
            <rFont val="Segoe UI"/>
            <family val="2"/>
          </rPr>
          <t>NÚMERO AJUSTADO!</t>
        </r>
        <r>
          <rPr>
            <sz val="9"/>
            <color indexed="81"/>
            <rFont val="Segoe UI"/>
            <family val="2"/>
          </rPr>
          <t xml:space="preserve">
PT - Contingência cívil da ex controlada Direct Express de - R$ 15 milhões
</t>
        </r>
        <r>
          <rPr>
            <b/>
            <sz val="9"/>
            <color indexed="81"/>
            <rFont val="Segoe UI"/>
            <family val="2"/>
          </rPr>
          <t xml:space="preserve">
ADJUSTED NUMBER!</t>
        </r>
        <r>
          <rPr>
            <sz val="9"/>
            <color indexed="81"/>
            <rFont val="Segoe UI"/>
            <family val="2"/>
          </rPr>
          <t xml:space="preserve">
EN - Civil contingency of the former subsidiary Direct Express of - R $ 15 million
</t>
        </r>
      </text>
    </comment>
    <comment ref="G83" authorId="2" shapeId="0" xr:uid="{00000000-0006-0000-0100-0000B4000000}">
      <text>
        <r>
          <rPr>
            <b/>
            <sz val="9"/>
            <color indexed="81"/>
            <rFont val="Segoe UI"/>
            <family val="2"/>
          </rPr>
          <t xml:space="preserve">NÚMERO AJUSTADO!
</t>
        </r>
        <r>
          <rPr>
            <sz val="9"/>
            <color indexed="81"/>
            <rFont val="Segoe UI"/>
            <family val="2"/>
          </rPr>
          <t>PT - Contingência cívil da ex controlada Direct Express de - R$ 15 milhões</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K83" authorId="2" shapeId="0" xr:uid="{00000000-0006-0000-0100-0000B5000000}">
      <text>
        <r>
          <rPr>
            <b/>
            <sz val="9"/>
            <color indexed="81"/>
            <rFont val="Segoe UI"/>
            <family val="2"/>
          </rPr>
          <t xml:space="preserve">NÚMERO AJUSTADO!
</t>
        </r>
        <r>
          <rPr>
            <sz val="9"/>
            <color indexed="81"/>
            <rFont val="Segoe UI"/>
            <family val="2"/>
          </rPr>
          <t xml:space="preserve">PT- Contingência cívil da ex controlada Direct Express de - R$ 14,5 milhões
</t>
        </r>
        <r>
          <rPr>
            <b/>
            <sz val="9"/>
            <color indexed="81"/>
            <rFont val="Segoe UI"/>
            <family val="2"/>
          </rPr>
          <t xml:space="preserve">
ADJUSTED NUMBER!
</t>
        </r>
        <r>
          <rPr>
            <sz val="9"/>
            <color indexed="81"/>
            <rFont val="Segoe UI"/>
            <family val="2"/>
          </rPr>
          <t>Eng - Civil contingency of the former subsidiary Direct Express - R$ 14.5 million;</t>
        </r>
      </text>
    </comment>
    <comment ref="L83" authorId="2" shapeId="0" xr:uid="{00000000-0006-0000-0100-0000B6000000}">
      <text>
        <r>
          <rPr>
            <b/>
            <sz val="9"/>
            <color indexed="81"/>
            <rFont val="Segoe UI"/>
            <family val="2"/>
          </rPr>
          <t xml:space="preserve">NÚMERO AJUSTADO!
</t>
        </r>
        <r>
          <rPr>
            <sz val="9"/>
            <color indexed="81"/>
            <rFont val="Segoe UI"/>
            <family val="2"/>
          </rPr>
          <t xml:space="preserve">PT- Contingência cívil da ex controlada Direct Express de - R$ 14,5 milhões
</t>
        </r>
        <r>
          <rPr>
            <b/>
            <sz val="9"/>
            <color indexed="81"/>
            <rFont val="Segoe UI"/>
            <family val="2"/>
          </rPr>
          <t xml:space="preserve">
ADJUSTED NUMBER!
</t>
        </r>
        <r>
          <rPr>
            <sz val="9"/>
            <color indexed="81"/>
            <rFont val="Segoe UI"/>
            <family val="2"/>
          </rPr>
          <t>Eng - Civil contingency of the former subsidiary Direct Express - R$ 14.5 million;</t>
        </r>
      </text>
    </comment>
    <comment ref="O83" authorId="2" shapeId="0" xr:uid="{00000000-0006-0000-0100-0000B7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P83" authorId="2" shapeId="0" xr:uid="{00000000-0006-0000-0100-0000B8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Q83" authorId="2" shapeId="0" xr:uid="{00000000-0006-0000-0100-0000B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83" authorId="2" shapeId="0" xr:uid="{00000000-0006-0000-0100-0000BA000000}">
      <text>
        <r>
          <rPr>
            <b/>
            <sz val="9"/>
            <color indexed="81"/>
            <rFont val="Segoe UI"/>
            <family val="2"/>
          </rPr>
          <t>NÚMERO AJUSTADO!</t>
        </r>
        <r>
          <rPr>
            <sz val="9"/>
            <color indexed="81"/>
            <rFont val="Segoe UI"/>
            <family val="2"/>
          </rPr>
          <t xml:space="preserve">
Pt: Despesas com honorários advocatícios relacionadas a Operação Pacto: R$ 3,3 milhões;</t>
        </r>
        <r>
          <rPr>
            <b/>
            <sz val="9"/>
            <color indexed="81"/>
            <rFont val="Segoe UI"/>
            <family val="2"/>
          </rPr>
          <t xml:space="preserve">
ADJUSTED NUMBER!
</t>
        </r>
        <r>
          <rPr>
            <sz val="9"/>
            <color indexed="81"/>
            <rFont val="Segoe UI"/>
            <family val="2"/>
          </rPr>
          <t>Eng: Expenses with legal fees related to Operação Pacto: R$3.3 million;</t>
        </r>
      </text>
    </comment>
    <comment ref="V83" authorId="2" shapeId="0" xr:uid="{00000000-0006-0000-0100-0000BB000000}">
      <text>
        <r>
          <rPr>
            <b/>
            <sz val="9"/>
            <color indexed="81"/>
            <rFont val="Segoe UI"/>
            <family val="2"/>
          </rPr>
          <t>NÚMERO AJUSTADO!</t>
        </r>
        <r>
          <rPr>
            <sz val="9"/>
            <color indexed="81"/>
            <rFont val="Segoe UI"/>
            <family val="2"/>
          </rPr>
          <t xml:space="preserve">
Pt: Despesas com honorários advocatícios relacionadas a Operação Pacto: R$ 3,3 milhões;
</t>
        </r>
        <r>
          <rPr>
            <b/>
            <sz val="9"/>
            <color indexed="81"/>
            <rFont val="Segoe UI"/>
            <family val="2"/>
          </rPr>
          <t>ADJUSTED NUMBER!</t>
        </r>
        <r>
          <rPr>
            <sz val="9"/>
            <color indexed="81"/>
            <rFont val="Segoe UI"/>
            <family val="2"/>
          </rPr>
          <t xml:space="preserve">
Eng: Expenses with legal fees related to Operação Pacto: R$3.3 million;
</t>
        </r>
      </text>
    </comment>
    <comment ref="Y83" authorId="2" shapeId="0" xr:uid="{00000000-0006-0000-0100-0000BC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A83" authorId="1" shapeId="0" xr:uid="{00000000-0006-0000-0100-0000BD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 xml:space="preserve">Eng - Financial and legal advisory expenses related to the Tender offer of  business combination in the quarter: R$1.1 million
</t>
        </r>
      </text>
    </comment>
    <comment ref="AD83" authorId="1" shapeId="0" xr:uid="{00000000-0006-0000-0100-0000BE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
ADJUSTED NUMBER!</t>
        </r>
        <r>
          <rPr>
            <sz val="9"/>
            <color indexed="81"/>
            <rFont val="Segoe UI"/>
            <family val="2"/>
          </rPr>
          <t xml:space="preserve">
Eng - Civil contingency of the former subsidiary Direct Express - R$ 6.6 million;
</t>
        </r>
      </text>
    </comment>
    <comment ref="AE83" authorId="1" shapeId="0" xr:uid="{00000000-0006-0000-0100-0000BF000000}">
      <text>
        <r>
          <rPr>
            <b/>
            <sz val="9"/>
            <color indexed="81"/>
            <rFont val="Segoe UI"/>
            <family val="2"/>
          </rPr>
          <t>NÚMERO AJUSTADO!</t>
        </r>
        <r>
          <rPr>
            <sz val="9"/>
            <color indexed="81"/>
            <rFont val="Segoe UI"/>
            <family val="2"/>
          </rPr>
          <t xml:space="preserve">
PT- Honorários devidos pelos Créditos de PIS/ COFINS da controlada Catlog  - R$ 0,9 milhões
Créditos de PIS/ COFINS da controlada Catlog  - R$ 5,8 milhões
</t>
        </r>
        <r>
          <rPr>
            <b/>
            <sz val="9"/>
            <color indexed="81"/>
            <rFont val="Segoe UI"/>
            <family val="2"/>
          </rPr>
          <t>ADJUSTED NUMBER!</t>
        </r>
        <r>
          <rPr>
            <sz val="9"/>
            <color indexed="81"/>
            <rFont val="Segoe UI"/>
            <family val="2"/>
          </rPr>
          <t xml:space="preserve">
Eng - PIS/ COFINS tax credits from the subsidiary Catlog (Lawyer fee) - R$ 0.9 million;
PIS/ COFINS tax credits from the subsidiary Catlog - R$ 5.8 million;
</t>
        </r>
      </text>
    </comment>
    <comment ref="AF83" authorId="1" shapeId="0" xr:uid="{00000000-0006-0000-0100-0000C0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 R$ 5,8 milhões
PT- Honorários devidos pelos Créditos de PIS/ COFINS da controlada Catlog  - R$ 0,9 milhões
</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 R$ 5.8 million;
Eng - PIS/ COFINS tax credits from the subsidiary Catlog (Lawyer fee) - R$ 0.9 million;
</t>
        </r>
      </text>
    </comment>
    <comment ref="D85" authorId="2" shapeId="0" xr:uid="{00000000-0006-0000-0100-0000C1000000}">
      <text>
        <r>
          <rPr>
            <sz val="9"/>
            <color indexed="81"/>
            <rFont val="Segoe UI"/>
            <family val="2"/>
          </rPr>
          <t>PT - Contingência cívil da ex controlada Direct Express de - R$ 15 milhões
- Baixa do ágio da Controlada Catlog (-R$ 1.365 milhão)</t>
        </r>
        <r>
          <rPr>
            <b/>
            <sz val="9"/>
            <color indexed="81"/>
            <rFont val="Segoe UI"/>
            <family val="2"/>
          </rPr>
          <t xml:space="preserve">
E</t>
        </r>
        <r>
          <rPr>
            <sz val="9"/>
            <color indexed="81"/>
            <rFont val="Segoe UI"/>
            <family val="2"/>
          </rPr>
          <t>N - Civil contingency of the former subsidiary Direct Express of - R $ 15 million
- Write-off of the goodwill of the CatLog subsidiary (-R $ 1,365 million)</t>
        </r>
      </text>
    </comment>
    <comment ref="F85" authorId="2" shapeId="0" xr:uid="{00000000-0006-0000-0100-0000C2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t>
        </r>
        <r>
          <rPr>
            <b/>
            <sz val="9"/>
            <color indexed="81"/>
            <rFont val="Segoe UI"/>
            <family val="2"/>
          </rPr>
          <t xml:space="preserve">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85" authorId="2" shapeId="0" xr:uid="{00000000-0006-0000-0100-0000C3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(-R$ 1.365 milhão)
</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$ 1,365 million)
</t>
        </r>
      </text>
    </comment>
    <comment ref="K85" authorId="1" shapeId="0" xr:uid="{00000000-0006-0000-0100-0000C4000000}">
      <text>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Eng - Civil contingency of the former subsidiary Direct Express - R$ 14.5 million;
</t>
        </r>
      </text>
    </comment>
    <comment ref="L85" authorId="1" shapeId="0" xr:uid="{00000000-0006-0000-0100-0000C5000000}">
      <text>
        <r>
          <rPr>
            <sz val="9"/>
            <color indexed="81"/>
            <rFont val="Segoe UI"/>
            <family val="2"/>
          </rPr>
          <t>PT- Créditos de PIS e COFINS referentes ao direito de excluir o valor do ICMS das bases de cálculo dessas duas contribuições - R$ 10,6 M [R$ 4,5 M referente ao ano de 2017 e R$ 6,1 M referente ao ano de 2018.</t>
        </r>
        <r>
          <rPr>
            <u/>
            <sz val="9"/>
            <color indexed="81"/>
            <rFont val="Segoe UI"/>
            <family val="2"/>
          </rPr>
          <t xml:space="preserve"> Ao EBITDA foi somente ajustado o valor de 2017.</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r>
          <rPr>
            <sz val="9"/>
            <color indexed="81"/>
            <rFont val="Segoe UI"/>
            <family val="2"/>
          </rPr>
          <t xml:space="preserve">
Eng - Civil contingency of the former subsidiary Direct Express - R$ 14.5 million;
</t>
        </r>
      </text>
    </comment>
    <comment ref="O85" authorId="2" shapeId="0" xr:uid="{00000000-0006-0000-0100-0000C6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 xml:space="preserve">R$ 54,7 milhões em outras receitas e despesas </t>
        </r>
        <r>
          <rPr>
            <sz val="9"/>
            <color indexed="81"/>
            <rFont val="Segoe UI"/>
            <family val="2"/>
          </rPr>
          <t xml:space="preserve">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R$ 54.7 million in other revenues and expenses</t>
        </r>
        <r>
          <rPr>
            <sz val="9"/>
            <color indexed="81"/>
            <rFont val="Segoe UI"/>
            <family val="2"/>
          </rPr>
          <t xml:space="preserve"> and R$ 33.8 million in financial result relating to monetary correction), </t>
        </r>
        <r>
          <rPr>
            <b/>
            <sz val="9"/>
            <color indexed="81"/>
            <rFont val="Segoe UI"/>
            <family val="2"/>
          </rPr>
          <t>in addition to a cost of R$ 5.9 million related to attorney’s fees as a result lawsuit brought upon (other costs)</t>
        </r>
        <r>
          <rPr>
            <sz val="9"/>
            <color indexed="81"/>
            <rFont val="Segoe UI"/>
            <family val="2"/>
          </rPr>
          <t>, R$ 1.6 million of PIS/COFINS tax on financial income and provision of R$ 27.5 million of income tax on book entry.</t>
        </r>
      </text>
    </comment>
    <comment ref="P85" authorId="5" shapeId="0" xr:uid="{00000000-0006-0000-0100-0000C7000000}">
      <text>
        <r>
          <rPr>
            <b/>
            <sz val="9"/>
            <color indexed="81"/>
            <rFont val="Segoe UI"/>
            <family val="2"/>
          </rPr>
          <t xml:space="preserve">PT - </t>
        </r>
        <r>
          <rPr>
            <sz val="9"/>
            <color indexed="81"/>
            <rFont val="Segoe UI"/>
            <family val="2"/>
          </rPr>
          <t xml:space="preserve">Despesas com honorários advocatícios relacionadas a Operação Pacto: R$ 2,2 milhões;
</t>
        </r>
        <r>
          <rPr>
            <b/>
            <sz val="9"/>
            <color indexed="81"/>
            <rFont val="Segoe UI"/>
            <family val="2"/>
          </rPr>
          <t xml:space="preserve">
Eng - </t>
        </r>
        <r>
          <rPr>
            <sz val="9"/>
            <color indexed="81"/>
            <rFont val="Segoe UI"/>
            <family val="2"/>
          </rPr>
          <t>Attorney’s fees expenses related to the Operação Pacto: R$ 2.2 million</t>
        </r>
      </text>
    </comment>
    <comment ref="Q85" authorId="2" shapeId="0" xr:uid="{00000000-0006-0000-0100-0000C8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85" authorId="2" shapeId="0" xr:uid="{00000000-0006-0000-0100-0000C9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Attorney’s fees expenses related to the Operação Pacto: R$ 3.3 million;</t>
        </r>
      </text>
    </comment>
    <comment ref="V85" authorId="2" shapeId="0" xr:uid="{00000000-0006-0000-0100-0000CA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 xml:space="preserve">Attorney’s fees expenses related to the Operação Pacto: R$ 3.3 million;
</t>
        </r>
      </text>
    </comment>
    <comment ref="J98" authorId="1" shapeId="0" xr:uid="{00000000-0006-0000-0100-0000CB000000}">
      <text>
        <r>
          <rPr>
            <b/>
            <sz val="9"/>
            <color indexed="81"/>
            <rFont val="Segoe UI"/>
            <family val="2"/>
          </rPr>
          <t>NÚMERO AJUSTADO!</t>
        </r>
        <r>
          <rPr>
            <sz val="9"/>
            <color indexed="81"/>
            <rFont val="Segoe UI"/>
            <family val="2"/>
          </rPr>
          <t xml:space="preserve">
PT - Denúncia espontânea imposto ICMS R$ 5,252 M
</t>
        </r>
        <r>
          <rPr>
            <b/>
            <sz val="9"/>
            <color indexed="81"/>
            <rFont val="Segoe UI"/>
            <family val="2"/>
          </rPr>
          <t>ADJUSTED NUMBER!</t>
        </r>
        <r>
          <rPr>
            <sz val="9"/>
            <color indexed="81"/>
            <rFont val="Segoe UI"/>
            <family val="2"/>
          </rPr>
          <t xml:space="preserve">
Eng - Spontaneous denouncement on fiscal payment R$ 5.252 M
</t>
        </r>
      </text>
    </comment>
    <comment ref="K98" authorId="1" shapeId="0" xr:uid="{00000000-0006-0000-0100-0000C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R$ 0,9 M [R$ 0,4 M - 2017 | R$ 0,5 M - 2018]
</t>
        </r>
        <r>
          <rPr>
            <b/>
            <sz val="9"/>
            <color indexed="81"/>
            <rFont val="Segoe UI"/>
            <family val="2"/>
          </rPr>
          <t>ADJUSTED NUMBER!</t>
        </r>
        <r>
          <rPr>
            <sz val="9"/>
            <color indexed="81"/>
            <rFont val="Segoe UI"/>
            <family val="2"/>
          </rPr>
          <t xml:space="preserve">
Eng - PIS and COFINS taxes credits referring to the right to exclude the ICMS tax value from the calculation bases of these two contributions - R$ 0.9 M [R$ 0.4 M - 2017 | R$ 0.5 M - 2018]
</t>
        </r>
      </text>
    </comment>
    <comment ref="L98" authorId="2" shapeId="0" xr:uid="{00000000-0006-0000-0100-0000CD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t>
        </r>
        <r>
          <rPr>
            <b/>
            <sz val="9"/>
            <color indexed="81"/>
            <rFont val="Segoe UI"/>
            <family val="2"/>
          </rPr>
          <t xml:space="preserve">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Eng</t>
        </r>
        <r>
          <rPr>
            <b/>
            <sz val="9"/>
            <color indexed="81"/>
            <rFont val="Segoe UI"/>
            <family val="2"/>
          </rPr>
          <t xml:space="preserve"> - </t>
        </r>
        <r>
          <rPr>
            <sz val="9"/>
            <color indexed="81"/>
            <rFont val="Segoe UI"/>
            <family val="2"/>
          </rPr>
          <t>PIS and COFINS taxes credits referring to the right to exclude the ICMS tax value from the calculation bases of these two contributions - R$ 0.9 M [R$ 0.4 M - 2017 | R$ 0.5 M - 2018]</t>
        </r>
        <r>
          <rPr>
            <b/>
            <sz val="9"/>
            <color indexed="81"/>
            <rFont val="Segoe UI"/>
            <family val="2"/>
          </rPr>
          <t xml:space="preserve">
</t>
        </r>
        <r>
          <rPr>
            <sz val="9"/>
            <color indexed="81"/>
            <rFont val="Segoe UI"/>
            <family val="2"/>
          </rPr>
          <t>Eng - Spontaneous denouncement on fiscal payment R$ 5.252 M</t>
        </r>
      </text>
    </comment>
    <comment ref="J100" authorId="2" shapeId="0" xr:uid="{00000000-0006-0000-0100-0000CE000000}">
      <text>
        <r>
          <rPr>
            <b/>
            <sz val="9"/>
            <color indexed="81"/>
            <rFont val="Segoe UI"/>
            <family val="2"/>
          </rPr>
          <t xml:space="preserve">NÚMERO AJUSTADO!
</t>
        </r>
        <r>
          <rPr>
            <sz val="9"/>
            <color indexed="81"/>
            <rFont val="Segoe UI"/>
            <family val="2"/>
          </rPr>
          <t>PT</t>
        </r>
        <r>
          <rPr>
            <b/>
            <sz val="9"/>
            <color indexed="81"/>
            <rFont val="Segoe UI"/>
            <family val="2"/>
          </rPr>
          <t xml:space="preserve"> -</t>
        </r>
        <r>
          <rPr>
            <sz val="9"/>
            <color indexed="81"/>
            <rFont val="Segoe UI"/>
            <family val="2"/>
          </rPr>
          <t xml:space="preserve"> Denúncia espontânea imposto ICMS R$ 5,252 M</t>
        </r>
        <r>
          <rPr>
            <b/>
            <sz val="9"/>
            <color indexed="81"/>
            <rFont val="Segoe UI"/>
            <family val="2"/>
          </rPr>
          <t xml:space="preserve">
ADJUSTED NUMBER!
</t>
        </r>
        <r>
          <rPr>
            <sz val="9"/>
            <color indexed="81"/>
            <rFont val="Segoe UI"/>
            <family val="2"/>
          </rPr>
          <t>Eng</t>
        </r>
        <r>
          <rPr>
            <b/>
            <sz val="9"/>
            <color indexed="81"/>
            <rFont val="Segoe UI"/>
            <family val="2"/>
          </rPr>
          <t xml:space="preserve"> - </t>
        </r>
        <r>
          <rPr>
            <sz val="9"/>
            <color indexed="81"/>
            <rFont val="Segoe UI"/>
            <family val="2"/>
          </rPr>
          <t>Spontaneous denouncement on fiscal payment R$ 5.252 M</t>
        </r>
      </text>
    </comment>
    <comment ref="K100" authorId="2" shapeId="0" xr:uid="{00000000-0006-0000-0100-0000CF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R$ 0.9 M [R$ 0.4 M - 2017 | R$ 0.5 M - 2018]</t>
        </r>
        <r>
          <rPr>
            <b/>
            <sz val="9"/>
            <color indexed="81"/>
            <rFont val="Segoe UI"/>
            <family val="2"/>
          </rPr>
          <t xml:space="preserve">
</t>
        </r>
      </text>
    </comment>
    <comment ref="L100" authorId="2" shapeId="0" xr:uid="{00000000-0006-0000-0100-0000D0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
PT - Denúncia espontânea imposto ICMS R$ 5,252 M</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R$ 0.9 M [R$ 0.4 M - 2017 | R$ 0.5 M - 2018]
Eng - Spontaneous denouncement on fiscal payment R$ 5.252 M</t>
        </r>
      </text>
    </comment>
    <comment ref="F101" authorId="4" shapeId="0" xr:uid="{00000000-0006-0000-0100-0000D1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t>
        </r>
        <r>
          <rPr>
            <b/>
            <sz val="9"/>
            <color indexed="81"/>
            <rFont val="Segoe UI"/>
            <family val="2"/>
          </rPr>
          <t>ADJUSTED NUMBER!</t>
        </r>
        <r>
          <rPr>
            <sz val="9"/>
            <color indexed="81"/>
            <rFont val="Segoe UI"/>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G101" authorId="2" shapeId="0" xr:uid="{00000000-0006-0000-0100-0000D2000000}">
      <text>
        <r>
          <rPr>
            <b/>
            <sz val="9"/>
            <color indexed="81"/>
            <rFont val="Segoe UI"/>
            <family val="2"/>
          </rPr>
          <t xml:space="preserve">NÚMERO AJUSTADO!
</t>
        </r>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t>
        </r>
        <r>
          <rPr>
            <b/>
            <sz val="9"/>
            <color indexed="81"/>
            <rFont val="Segoe UI"/>
            <family val="2"/>
          </rPr>
          <t xml:space="preserve">
ADJUSTED NUMBER!
</t>
        </r>
        <r>
          <rPr>
            <sz val="9"/>
            <color indexed="81"/>
            <rFont val="Segoe UI"/>
            <family val="2"/>
          </rPr>
          <t>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O101" authorId="1" shapeId="0" xr:uid="{00000000-0006-0000-0100-0000D3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t>
        </r>
        <r>
          <rPr>
            <b/>
            <sz val="9"/>
            <color indexed="81"/>
            <rFont val="Segoe UI"/>
            <family val="2"/>
          </rPr>
          <t>R$ 0,2 milhão referente aos honorários advocatícios da causa em questão (outros custos)</t>
        </r>
        <r>
          <rPr>
            <sz val="9"/>
            <color indexed="81"/>
            <rFont val="Segoe UI"/>
            <family val="2"/>
          </rPr>
          <t xml:space="preserve">,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t>
        </r>
        <r>
          <rPr>
            <b/>
            <sz val="9"/>
            <color indexed="81"/>
            <rFont val="Segoe UI"/>
            <family val="2"/>
          </rPr>
          <t>R$ 0.2 million related to attorney’s fees as a result lawsuit brought upon (other costs)</t>
        </r>
        <r>
          <rPr>
            <sz val="9"/>
            <color indexed="81"/>
            <rFont val="Segoe UI"/>
            <family val="2"/>
          </rPr>
          <t xml:space="preserve">, R$ 0.1 million of PIS/COFINS tax on financial income and provision of R$ 0.9 million of income tax on book entry.
</t>
        </r>
      </text>
    </comment>
    <comment ref="Q101" authorId="2" shapeId="0" xr:uid="{00000000-0006-0000-0100-0000D4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r>
          <rPr>
            <b/>
            <sz val="9"/>
            <color indexed="81"/>
            <rFont val="Segoe UI"/>
            <family val="2"/>
          </rPr>
          <t xml:space="preserve">
</t>
        </r>
      </text>
    </comment>
    <comment ref="U101" authorId="1" shapeId="0" xr:uid="{00000000-0006-0000-0100-0000D5000000}">
      <text>
        <r>
          <rPr>
            <b/>
            <sz val="9"/>
            <color indexed="81"/>
            <rFont val="Segoe UI"/>
            <family val="2"/>
          </rPr>
          <t>NÚMERO AJUSTADO!</t>
        </r>
        <r>
          <rPr>
            <sz val="9"/>
            <color indexed="81"/>
            <rFont val="Segoe UI"/>
            <family val="2"/>
          </rPr>
          <t xml:space="preserve">
PT: Custos relacionados à desmobilização de um armazém em Barueri-SP no montante de R$ 2,9 M
</t>
        </r>
        <r>
          <rPr>
            <b/>
            <sz val="9"/>
            <color indexed="81"/>
            <rFont val="Segoe UI"/>
            <family val="2"/>
          </rPr>
          <t>ADJUSTED NUMBER!</t>
        </r>
        <r>
          <rPr>
            <sz val="9"/>
            <color indexed="81"/>
            <rFont val="Segoe UI"/>
            <family val="2"/>
          </rPr>
          <t xml:space="preserve">
Eng: Costs related to demobilization of a warehouse in Barueri-SP amounting R$ 2.9 M
</t>
        </r>
      </text>
    </comment>
    <comment ref="V101" authorId="2" shapeId="0" xr:uid="{00000000-0006-0000-0100-0000D6000000}">
      <text>
        <r>
          <rPr>
            <b/>
            <sz val="9"/>
            <color indexed="81"/>
            <rFont val="Segoe UI"/>
            <family val="2"/>
          </rPr>
          <t xml:space="preserve">NÚMERO AJUSTADO!
</t>
        </r>
        <r>
          <rPr>
            <sz val="9"/>
            <color indexed="81"/>
            <rFont val="Segoe UI"/>
            <family val="2"/>
          </rPr>
          <t>PT: Custos relacionados à desmobilização de um armazém em Barueri-SP no montante de R$ 2,9 M</t>
        </r>
        <r>
          <rPr>
            <b/>
            <sz val="9"/>
            <color indexed="81"/>
            <rFont val="Segoe UI"/>
            <family val="2"/>
          </rPr>
          <t xml:space="preserve">
ADJUSTED NUMBER!
</t>
        </r>
        <r>
          <rPr>
            <sz val="9"/>
            <color indexed="81"/>
            <rFont val="Segoe UI"/>
            <family val="2"/>
          </rPr>
          <t>Eng: Costs related to demobilization of a warehouse in Barueri-SP amounting R$ 2.9 M</t>
        </r>
        <r>
          <rPr>
            <b/>
            <sz val="9"/>
            <color indexed="81"/>
            <rFont val="Segoe UI"/>
            <family val="2"/>
          </rPr>
          <t xml:space="preserve">
</t>
        </r>
      </text>
    </comment>
    <comment ref="E103" authorId="4" shapeId="0" xr:uid="{00000000-0006-0000-0100-0000D7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03" authorId="4" shapeId="0" xr:uid="{00000000-0006-0000-0100-0000D8000000}">
      <text>
        <r>
          <rPr>
            <b/>
            <sz val="9"/>
            <color indexed="81"/>
            <rFont val="Segoe UI"/>
            <family val="2"/>
          </rPr>
          <t>NÚMERO AJUSTADO!</t>
        </r>
        <r>
          <rPr>
            <sz val="9"/>
            <color indexed="81"/>
            <rFont val="Segoe UI"/>
            <family val="2"/>
          </rPr>
          <t xml:space="preserve">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03" authorId="2" shapeId="0" xr:uid="{00000000-0006-0000-0100-0000D9000000}">
      <text>
        <r>
          <rPr>
            <b/>
            <sz val="9"/>
            <color indexed="81"/>
            <rFont val="Segoe UI"/>
            <family val="2"/>
          </rPr>
          <t>NÚMERO AJUSTADO!</t>
        </r>
        <r>
          <rPr>
            <sz val="9"/>
            <color indexed="81"/>
            <rFont val="Segoe UI"/>
            <family val="2"/>
          </rPr>
          <t xml:space="preserve">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Baixa no valo de R$ 5,7 milhões referente a contas a receber da Direct
</t>
        </r>
        <r>
          <rPr>
            <b/>
            <sz val="9"/>
            <color indexed="81"/>
            <rFont val="Segoe UI"/>
            <family val="2"/>
          </rPr>
          <t xml:space="preserve">
ADJUSTED NUMBER!</t>
        </r>
        <r>
          <rPr>
            <sz val="9"/>
            <color indexed="81"/>
            <rFont val="Segoe UI"/>
            <family val="2"/>
          </rPr>
          <t xml:space="preserve">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
EN - Write off of Direct account receivable amounting R$ 5.7 million </t>
        </r>
      </text>
    </comment>
    <comment ref="K103" authorId="1" shapeId="0" xr:uid="{00000000-0006-0000-0100-0000DA000000}">
      <text>
        <r>
          <rPr>
            <b/>
            <sz val="9"/>
            <color indexed="81"/>
            <rFont val="Segoe UI"/>
            <family val="2"/>
          </rPr>
          <t>NÚMERO AJUSTADO!</t>
        </r>
        <r>
          <rPr>
            <sz val="9"/>
            <color indexed="81"/>
            <rFont val="Segoe UI"/>
            <family val="2"/>
          </rPr>
          <t xml:space="preserve">
PT- Custos de sucumbência de processo judicial de operação descontinuada: R$2,9M
</t>
        </r>
        <r>
          <rPr>
            <b/>
            <sz val="9"/>
            <color indexed="81"/>
            <rFont val="Segoe UI"/>
            <family val="2"/>
          </rPr>
          <t>ADJUSTED NUMBER!</t>
        </r>
        <r>
          <rPr>
            <sz val="9"/>
            <color indexed="81"/>
            <rFont val="Segoe UI"/>
            <family val="2"/>
          </rPr>
          <t xml:space="preserve">
Eng - Defeat legal fee for discontinued operation: R$ 2.9M</t>
        </r>
      </text>
    </comment>
    <comment ref="L103" authorId="2" shapeId="0" xr:uid="{00000000-0006-0000-0100-0000DB000000}">
      <text>
        <r>
          <rPr>
            <b/>
            <sz val="9"/>
            <color indexed="81"/>
            <rFont val="Segoe UI"/>
            <family val="2"/>
          </rPr>
          <t xml:space="preserve">VALOR AJUSTADO!
</t>
        </r>
        <r>
          <rPr>
            <sz val="9"/>
            <color indexed="81"/>
            <rFont val="Segoe UI"/>
            <family val="2"/>
          </rPr>
          <t>PT- Custos de sucumbência de processo judicial de operação descontinuada: R$2,9M</t>
        </r>
        <r>
          <rPr>
            <b/>
            <sz val="9"/>
            <color indexed="81"/>
            <rFont val="Segoe UI"/>
            <family val="2"/>
          </rPr>
          <t xml:space="preserve">
ADJUSTED VALUE!
</t>
        </r>
        <r>
          <rPr>
            <sz val="9"/>
            <color indexed="81"/>
            <rFont val="Segoe UI"/>
            <family val="2"/>
          </rPr>
          <t>Eng - Defeat legal fee for discontinued operation: R$ 2.9M</t>
        </r>
      </text>
    </comment>
    <comment ref="O103" authorId="1" shapeId="0" xr:uid="{00000000-0006-0000-0100-0000DC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t>
        </r>
        <r>
          <rPr>
            <b/>
            <sz val="9"/>
            <color indexed="81"/>
            <rFont val="Segoe UI"/>
            <family val="2"/>
          </rPr>
          <t>(R$ 1,8 milhão em outras receitas e despesas</t>
        </r>
        <r>
          <rPr>
            <sz val="9"/>
            <color indexed="81"/>
            <rFont val="Segoe UI"/>
            <family val="2"/>
          </rPr>
          <t xml:space="preserve">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t>
        </r>
        <r>
          <rPr>
            <b/>
            <sz val="9"/>
            <color indexed="81"/>
            <rFont val="Segoe UI"/>
            <family val="2"/>
          </rPr>
          <t xml:space="preserve">(R$ 1.8 million in other revenues and expenses </t>
        </r>
        <r>
          <rPr>
            <sz val="9"/>
            <color indexed="81"/>
            <rFont val="Segoe UI"/>
            <family val="2"/>
          </rPr>
          <t xml:space="preserve">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Q103" authorId="2" shapeId="0" xr:uid="{00000000-0006-0000-0100-0000DD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03" authorId="1" shapeId="0" xr:uid="{00000000-0006-0000-0100-0000DE000000}">
      <text>
        <r>
          <rPr>
            <b/>
            <sz val="9"/>
            <color indexed="81"/>
            <rFont val="Segoe UI"/>
            <family val="2"/>
          </rPr>
          <t>NÚMERO AJUSTADO!</t>
        </r>
        <r>
          <rPr>
            <sz val="9"/>
            <color indexed="81"/>
            <rFont val="Segoe UI"/>
            <family val="2"/>
          </rPr>
          <t xml:space="preserve">
PT: Despesas relacionadas à desmobilização de um armazém em Barueri-SP no montante de R$ 2,3 M
</t>
        </r>
        <r>
          <rPr>
            <b/>
            <sz val="9"/>
            <color indexed="81"/>
            <rFont val="Segoe UI"/>
            <family val="2"/>
          </rPr>
          <t>ADJUSTED NUMBER!</t>
        </r>
        <r>
          <rPr>
            <sz val="9"/>
            <color indexed="81"/>
            <rFont val="Segoe UI"/>
            <family val="2"/>
          </rPr>
          <t xml:space="preserve">
Eng: Expenses related to demobilization of a warehouse in Barueri-SP amounting R$ 2.3 M
</t>
        </r>
      </text>
    </comment>
    <comment ref="V103" authorId="2" shapeId="0" xr:uid="{00000000-0006-0000-0100-0000DF000000}">
      <text>
        <r>
          <rPr>
            <b/>
            <sz val="9"/>
            <color indexed="81"/>
            <rFont val="Segoe UI"/>
            <family val="2"/>
          </rPr>
          <t>NÚMERO AJUSTADO!</t>
        </r>
        <r>
          <rPr>
            <sz val="9"/>
            <color indexed="81"/>
            <rFont val="Segoe UI"/>
            <family val="2"/>
          </rPr>
          <t xml:space="preserve">
PT: Despesas relacionadas à desmobilização de um armazém em Barueri-SP no montante de R$ 2,3 M
</t>
        </r>
        <r>
          <rPr>
            <b/>
            <sz val="9"/>
            <color indexed="81"/>
            <rFont val="Segoe UI"/>
            <family val="2"/>
          </rPr>
          <t xml:space="preserve">
ADJUSTED NUMBER!</t>
        </r>
        <r>
          <rPr>
            <sz val="9"/>
            <color indexed="81"/>
            <rFont val="Segoe UI"/>
            <family val="2"/>
          </rPr>
          <t xml:space="preserve">
Eng: Expenses related to demobilization of a warehouse in Barueri-SP amounting R$ 2.3 M</t>
        </r>
        <r>
          <rPr>
            <b/>
            <sz val="9"/>
            <color indexed="81"/>
            <rFont val="Segoe UI"/>
            <family val="2"/>
          </rPr>
          <t xml:space="preserve">
</t>
        </r>
      </text>
    </comment>
    <comment ref="X103" authorId="1" shapeId="0" xr:uid="{00000000-0006-0000-0100-0000E0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t>
        </r>
      </text>
    </comment>
    <comment ref="Z103" authorId="1" shapeId="0" xr:uid="{00000000-0006-0000-0100-0000E1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A103" authorId="1" shapeId="0" xr:uid="{00000000-0006-0000-0100-0000E200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AL103" authorId="1" shapeId="0" xr:uid="{00000000-0006-0000-0100-0000E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M103" authorId="1" shapeId="0" xr:uid="{00000000-0006-0000-0100-0000E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N103" authorId="1" shapeId="0" xr:uid="{00000000-0006-0000-0100-0000E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O103" authorId="1" shapeId="0" xr:uid="{00000000-0006-0000-0100-0000E6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P103" authorId="1" shapeId="0" xr:uid="{00000000-0006-0000-0100-0000E7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E105" authorId="2" shapeId="0" xr:uid="{00000000-0006-0000-0100-0000E8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05" authorId="2" shapeId="0" xr:uid="{00000000-0006-0000-0100-0000E9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05" authorId="2" shapeId="0" xr:uid="{00000000-0006-0000-0100-0000EA000000}">
      <text>
        <r>
          <rPr>
            <b/>
            <sz val="9"/>
            <color indexed="81"/>
            <rFont val="Segoe UI"/>
            <family val="2"/>
          </rPr>
          <t>NÚMERO AJUSTADO!</t>
        </r>
        <r>
          <rPr>
            <sz val="9"/>
            <color indexed="81"/>
            <rFont val="Segoe UI"/>
            <family val="2"/>
          </rPr>
          <t xml:space="preserve">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J105" authorId="2" shapeId="0" xr:uid="{00000000-0006-0000-0100-0000EB000000}">
      <text>
        <r>
          <rPr>
            <b/>
            <sz val="9"/>
            <color indexed="81"/>
            <rFont val="Segoe UI"/>
            <family val="2"/>
          </rPr>
          <t xml:space="preserve">NÚMERO AJUSTADO!
</t>
        </r>
        <r>
          <rPr>
            <sz val="9"/>
            <color indexed="81"/>
            <rFont val="Segoe UI"/>
            <family val="2"/>
          </rPr>
          <t xml:space="preserve">PT - Denúncia espontânea imposto ICMS R$ 5,252 M
</t>
        </r>
        <r>
          <rPr>
            <b/>
            <sz val="9"/>
            <color indexed="81"/>
            <rFont val="Segoe UI"/>
            <family val="2"/>
          </rPr>
          <t xml:space="preserve">
ADJUSTED NUMBER!
</t>
        </r>
        <r>
          <rPr>
            <sz val="9"/>
            <color indexed="81"/>
            <rFont val="Segoe UI"/>
            <family val="2"/>
          </rPr>
          <t>Eng - Spontaneous denouncement on fiscal payment R$ 5.252 M</t>
        </r>
      </text>
    </comment>
    <comment ref="K105" authorId="2" shapeId="0" xr:uid="{00000000-0006-0000-0100-0000E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R$ 10.3 M [R$ 4.5 M - 2017 | R$ 6.1 M - 2018]
Eng - Defeat legal fee for discontinued operation: R$ 2.9M</t>
        </r>
      </text>
    </comment>
    <comment ref="L105" authorId="2" shapeId="0" xr:uid="{00000000-0006-0000-0100-0000ED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ADJUSTED NUMBER!</t>
        </r>
        <r>
          <rPr>
            <sz val="9"/>
            <color indexed="81"/>
            <rFont val="Segoe UI"/>
            <family val="2"/>
          </rPr>
          <t xml:space="preserve">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O105" authorId="2" shapeId="0" xr:uid="{00000000-0006-0000-0100-0000EE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Q105" authorId="2" shapeId="0" xr:uid="{00000000-0006-0000-0100-0000EF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 xml:space="preserve">
ADJUSTED NUMBER!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05" authorId="2" shapeId="0" xr:uid="{00000000-0006-0000-0100-0000F0000000}">
      <text>
        <r>
          <rPr>
            <b/>
            <sz val="9"/>
            <color indexed="81"/>
            <rFont val="Segoe UI"/>
            <family val="2"/>
          </rPr>
          <t>NÚMERO AJUSTADO!</t>
        </r>
        <r>
          <rPr>
            <sz val="9"/>
            <color indexed="81"/>
            <rFont val="Segoe UI"/>
            <family val="2"/>
          </rPr>
          <t xml:space="preserve">
PT: Custos relacionados à desmobilização de um armazém em Barueri-SP no montante de R$ 2,9 M
PT: Despesas relacionadas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R$ 2.9 M
Eng: Expenses related to demobilization of a warehouse in Barueri-SP amounting R$ 2.3 M</t>
        </r>
      </text>
    </comment>
    <comment ref="V105" authorId="2" shapeId="0" xr:uid="{00000000-0006-0000-0100-0000F1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 xml:space="preserve">
ADJUSTED NUMBER</t>
        </r>
        <r>
          <rPr>
            <sz val="9"/>
            <color indexed="81"/>
            <rFont val="Segoe UI"/>
            <family val="2"/>
          </rPr>
          <t>!
Eng: Costs related to demobilization of a warehouse in Barueri-SP amounting R$ 2.9 M
Eng: Expenses related to demobilization of a warehouse in Barueri-SP amounting R$ 2.3 M</t>
        </r>
      </text>
    </comment>
    <comment ref="X105" authorId="2" shapeId="0" xr:uid="{00000000-0006-0000-0100-0000F2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 xml:space="preserve">
ADJUSTED NUMBER!</t>
        </r>
        <r>
          <rPr>
            <sz val="9"/>
            <color indexed="81"/>
            <rFont val="Segoe UI"/>
            <family val="2"/>
          </rPr>
          <t xml:space="preserve">
Eng: PIS and COFINS credit arising from the Exclusion of ICMS in the calculation Base: R$5.7 million
</t>
        </r>
      </text>
    </comment>
    <comment ref="Z105" authorId="1" shapeId="0" xr:uid="{00000000-0006-0000-0100-0000F3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A105" authorId="1" shapeId="0" xr:uid="{00000000-0006-0000-0100-0000F400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E108" authorId="2" shapeId="0" xr:uid="{00000000-0006-0000-0100-0000F5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08" authorId="2" shapeId="0" xr:uid="{00000000-0006-0000-0100-0000F6000000}">
      <text>
        <r>
          <rPr>
            <b/>
            <sz val="10"/>
            <color indexed="81"/>
            <rFont val="Arial"/>
            <family val="2"/>
          </rPr>
          <t>NÚMERO AJUSTADO!</t>
        </r>
        <r>
          <rPr>
            <sz val="10"/>
            <rFont val="Arial"/>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10"/>
            <color indexed="81"/>
            <rFont val="Arial"/>
            <family val="2"/>
          </rPr>
          <t>ADJUSTED NUMBER!</t>
        </r>
        <r>
          <rPr>
            <sz val="10"/>
            <rFont val="Arial"/>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08" authorId="2" shapeId="0" xr:uid="{00000000-0006-0000-0100-0000F7000000}">
      <text>
        <r>
          <rPr>
            <b/>
            <sz val="9"/>
            <color indexed="81"/>
            <rFont val="Segoe UI"/>
            <family val="2"/>
          </rPr>
          <t>NÚMERO AJUSTADO!</t>
        </r>
        <r>
          <rPr>
            <sz val="9"/>
            <color indexed="81"/>
            <rFont val="Segoe UI"/>
            <family val="2"/>
          </rPr>
          <t xml:space="preserve">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
</t>
        </r>
      </text>
    </comment>
    <comment ref="J108" authorId="2" shapeId="0" xr:uid="{00000000-0006-0000-0100-0000F8000000}">
      <text>
        <r>
          <rPr>
            <b/>
            <sz val="9"/>
            <color indexed="81"/>
            <rFont val="Segoe UI"/>
            <family val="2"/>
          </rPr>
          <t>NÚMERO AJUSTADO</t>
        </r>
        <r>
          <rPr>
            <sz val="9"/>
            <color indexed="81"/>
            <rFont val="Segoe UI"/>
            <family val="2"/>
          </rPr>
          <t xml:space="preserve">!
PT - Denúncia espontânea imposto ICMS R$ 5,252 M
</t>
        </r>
        <r>
          <rPr>
            <b/>
            <sz val="9"/>
            <color indexed="81"/>
            <rFont val="Segoe UI"/>
            <family val="2"/>
          </rPr>
          <t xml:space="preserve">
ADJUSTED NUMBER!</t>
        </r>
        <r>
          <rPr>
            <sz val="9"/>
            <color indexed="81"/>
            <rFont val="Segoe UI"/>
            <family val="2"/>
          </rPr>
          <t xml:space="preserve">
Eng - Spontaneous denouncement on fiscal payment R$ 5.252 M</t>
        </r>
      </text>
    </comment>
    <comment ref="K108" authorId="2" shapeId="0" xr:uid="{00000000-0006-0000-0100-0000F9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R$ 10.3 M [R$ 4.5 M - 2017 | R$ 6.1 M - 2018]
Eng - Defeat legal fee for discontinued operation: R$ 2.9M</t>
        </r>
      </text>
    </comment>
    <comment ref="L108" authorId="2" shapeId="0" xr:uid="{00000000-0006-0000-0100-0000FA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t>
        </r>
        <r>
          <rPr>
            <sz val="9"/>
            <color indexed="81"/>
            <rFont val="Segoe UI"/>
            <family val="2"/>
          </rPr>
          <t xml:space="preserve">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O108" authorId="2" shapeId="0" xr:uid="{00000000-0006-0000-0100-0000FB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text>
    </comment>
    <comment ref="Q108" authorId="2" shapeId="0" xr:uid="{00000000-0006-0000-0100-0000FC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 xml:space="preserve">
ADJUSTED NUMBER!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08" authorId="2" shapeId="0" xr:uid="{00000000-0006-0000-0100-0000FD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R$ 2.9 M
Eng: Expenses related to demobilization of a warehouse in Barueri-SP amounting R$ 2.3 M</t>
        </r>
      </text>
    </comment>
    <comment ref="V108" authorId="2" shapeId="0" xr:uid="{00000000-0006-0000-0100-0000FE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R$ 2.9 M
Eng: Expenses related to demobilization of a warehouse in Barueri-SP amounting R$ 2.3 M
</t>
        </r>
      </text>
    </comment>
    <comment ref="X108" authorId="2" shapeId="0" xr:uid="{00000000-0006-0000-0100-0000FF000000}">
      <text>
        <r>
          <rPr>
            <b/>
            <sz val="9"/>
            <color indexed="81"/>
            <rFont val="Segoe UI"/>
            <family val="2"/>
          </rPr>
          <t xml:space="preserve">NÚMERO AJUSTADO!
</t>
        </r>
        <r>
          <rPr>
            <sz val="9"/>
            <color indexed="81"/>
            <rFont val="Segoe UI"/>
            <family val="2"/>
          </rPr>
          <t>Pt - Crédito de PIS e COFINS proveniente da Exclusão de ICMS na Base de Cálculo: R$5,7 milhões</t>
        </r>
        <r>
          <rPr>
            <b/>
            <sz val="9"/>
            <color indexed="81"/>
            <rFont val="Segoe UI"/>
            <family val="2"/>
          </rPr>
          <t xml:space="preserve">
ADJUSTED NUMBER!
</t>
        </r>
        <r>
          <rPr>
            <sz val="9"/>
            <color indexed="81"/>
            <rFont val="Segoe UI"/>
            <family val="2"/>
          </rPr>
          <t>Eng: PIS and COFINS credit arising from the Exclusion of ICMS in the calculation Base: R$5.7 million</t>
        </r>
      </text>
    </comment>
    <comment ref="Z108" authorId="1" shapeId="0" xr:uid="{00000000-0006-0000-0100-00000001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Eng - Gains from the sale of equity interest in the subsidiary Frete Rápido: R$ 2.6 million.
</t>
        </r>
      </text>
    </comment>
    <comment ref="AA108" authorId="1" shapeId="0" xr:uid="{00000000-0006-0000-0100-00000101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E110" authorId="2" shapeId="0" xr:uid="{00000000-0006-0000-0100-000002010000}">
      <text>
        <r>
          <rPr>
            <sz val="9"/>
            <color indexed="81"/>
            <rFont val="Segoe UI"/>
            <family val="2"/>
          </rPr>
          <t xml:space="preserve">PT - Baixa no valo de R$ 5,7 milhões referente a contas a receber da Direct
EN - Write off of Direct account receivable amounting R$ 5.7 million </t>
        </r>
      </text>
    </comment>
    <comment ref="F110" authorId="2" shapeId="0" xr:uid="{00000000-0006-0000-0100-00000301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10" authorId="2" shapeId="0" xr:uid="{00000000-0006-0000-0100-000004010000}">
      <text>
        <r>
          <rPr>
            <sz val="9"/>
            <color indexed="81"/>
            <rFont val="Segoe UI"/>
            <family val="2"/>
          </rPr>
          <t>PT - Baixa no valo de R$ 5,7 milhões referente a contas a receber da Direct
PT</t>
        </r>
        <r>
          <rPr>
            <b/>
            <sz val="9"/>
            <color indexed="81"/>
            <rFont val="Segoe UI"/>
            <family val="2"/>
          </rPr>
          <t xml:space="preserve"> -</t>
        </r>
        <r>
          <rPr>
            <sz val="9"/>
            <color indexed="81"/>
            <rFont val="Segoe UI"/>
            <family val="2"/>
          </rPr>
          <t xml:space="preserve">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J110" authorId="2" shapeId="0" xr:uid="{00000000-0006-0000-0100-000005010000}">
      <text>
        <r>
          <rPr>
            <sz val="9"/>
            <color indexed="81"/>
            <rFont val="Segoe UI"/>
            <family val="2"/>
          </rPr>
          <t>PT - Denúncia espontânea imposto ICMS R$ 5,252 M
Eng - Spontaneous denouncement on fiscal payment R$ 5.252 M</t>
        </r>
        <r>
          <rPr>
            <b/>
            <sz val="9"/>
            <color indexed="81"/>
            <rFont val="Segoe UI"/>
            <family val="2"/>
          </rPr>
          <t xml:space="preserve">
</t>
        </r>
      </text>
    </comment>
    <comment ref="K110" authorId="1" shapeId="0" xr:uid="{00000000-0006-0000-0100-000006010000}">
      <text>
        <r>
          <rPr>
            <sz val="9"/>
            <color indexed="81"/>
            <rFont val="Segoe UI"/>
            <family val="2"/>
          </rPr>
          <t>PT- Créditos de PIS e COFINS referentes ao direito de excluir o valor do ICMS das bases de cálculo dessas duas contribuições - R$ 10,6 M [R$ 4,5 M - 2017 | R$ 6,1 M - 2018]
PT- Custos de sucumbência de processo judicial de operação descontinuada: R$2,9M
Eng - PIS and COFINS taxes credits referring to the right to exclude the ICMS tax value from the calculation bases of these two contributions - R$ 10.3 M [R$ 4.5 M - 2017 | R$ 6.1 M - 2018]
Eng - Defeat legal fee for discontinued operation: R$ 2.9M</t>
        </r>
      </text>
    </comment>
    <comment ref="L110" authorId="1" shapeId="0" xr:uid="{00000000-0006-0000-0100-000007010000}">
      <text>
        <r>
          <rPr>
            <sz val="9"/>
            <color indexed="81"/>
            <rFont val="Segoe UI"/>
            <family val="2"/>
          </rPr>
          <t>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O110" authorId="2" shapeId="0" xr:uid="{00000000-0006-0000-0100-00000801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Q110" authorId="2" shapeId="0" xr:uid="{00000000-0006-0000-0100-00000901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10" authorId="2" shapeId="0" xr:uid="{00000000-0006-0000-0100-00000A010000}">
      <text>
        <r>
          <rPr>
            <sz val="9"/>
            <color indexed="81"/>
            <rFont val="Segoe UI"/>
            <family val="2"/>
          </rPr>
          <t xml:space="preserve">PT: Custos relacionados à desmobilização de um armazém em Barueri-SP no montante de R$ 2,9 M
PT: Despesas relacionadas à desmobilização de um armazém em Barueri-SP no montante de R$ 2,3 M
Eng: Costs related to demobilization of a warehouse in Barueri-SP amounting R$ 2.9 M
Eng: Expenses related to demobilization of a warehouse in Barueri-SP amounting R$ 2.3 M
</t>
        </r>
      </text>
    </comment>
    <comment ref="V110" authorId="2" shapeId="0" xr:uid="{00000000-0006-0000-0100-00000B010000}">
      <text>
        <r>
          <rPr>
            <sz val="9"/>
            <color indexed="81"/>
            <rFont val="Segoe UI"/>
            <family val="2"/>
          </rPr>
          <t xml:space="preserve">PT: Custos relacionados à desmobilização de um armazém em Barueri-SP no montante de R$ 2,9 M
PT: Despesas relacionadas à desmobilização de um armazém em Barueri-SP no montante de R$ 2,3 M
Eng: Costs related to demobilization of a warehouse in Barueri-SP amounting R$ 2.9 M
Eng: Expenses related to demobilization of a warehouse in Barueri-SP amounting R$ 2.3 M
</t>
        </r>
      </text>
    </comment>
    <comment ref="X118" authorId="1" shapeId="0" xr:uid="{00000000-0006-0000-0100-00000C010000}">
      <text>
        <r>
          <rPr>
            <sz val="9"/>
            <color indexed="81"/>
            <rFont val="Segoe UI"/>
            <family val="2"/>
          </rPr>
          <t>PT- R$ 17,3 milhões de atraso referente a acordo comercial
Eng- R$ 17.3 million referring Commercial discution</t>
        </r>
      </text>
    </comment>
    <comment ref="Y118" authorId="1" shapeId="0" xr:uid="{00000000-0006-0000-0100-00000D010000}">
      <text>
        <r>
          <rPr>
            <sz val="9"/>
            <color indexed="81"/>
            <rFont val="Segoe UI"/>
            <family val="2"/>
          </rPr>
          <t>PT- R$ 39,5 milhões de atraso referente a acordo comercial
Eng- R$ 39.5 million referring Commercial discussion</t>
        </r>
      </text>
    </comment>
    <comment ref="Z118" authorId="1" shapeId="0" xr:uid="{00000000-0006-0000-0100-00000E010000}">
      <text>
        <r>
          <rPr>
            <sz val="9"/>
            <color indexed="81"/>
            <rFont val="Segoe UI"/>
            <family val="2"/>
          </rPr>
          <t>PT- R$ 56,8 milhões de atraso referente a acordo comercial
Eng- R$ 56.8 million referring Commercial discussion</t>
        </r>
      </text>
    </comment>
    <comment ref="AA118" authorId="1" shapeId="0" xr:uid="{00000000-0006-0000-0100-00000F010000}">
      <text>
        <r>
          <rPr>
            <sz val="9"/>
            <color indexed="81"/>
            <rFont val="Segoe UI"/>
            <family val="2"/>
          </rPr>
          <t>PT- R$ 56,8 milhões de atraso referente a acordo comercial
Eng- R$ 56.8 million referring Commercial discussion</t>
        </r>
      </text>
    </comment>
    <comment ref="AB118" authorId="1" shapeId="0" xr:uid="{00000000-0006-0000-0100-000010010000}">
      <text>
        <r>
          <rPr>
            <sz val="9"/>
            <color indexed="81"/>
            <rFont val="Segoe UI"/>
            <family val="2"/>
          </rPr>
          <t xml:space="preserve">PT- R$ 43,9 milhões de atraso referente a acordo comercial
Eng- R$ 43.9 million referring Commercial discussion
</t>
        </r>
      </text>
    </comment>
    <comment ref="AC118" authorId="1" shapeId="0" xr:uid="{00000000-0006-0000-0100-000011010000}">
      <text>
        <r>
          <rPr>
            <sz val="9"/>
            <color indexed="81"/>
            <rFont val="Segoe UI"/>
            <family val="2"/>
          </rPr>
          <t xml:space="preserve">PT- R$ 21 milhões de atraso referente a acordo comercial
Eng- R$ 21 million referring Commercial discution
</t>
        </r>
      </text>
    </comment>
    <comment ref="X119" authorId="1" shapeId="0" xr:uid="{00000000-0006-0000-0100-000012010000}">
      <text>
        <r>
          <rPr>
            <sz val="9"/>
            <color indexed="81"/>
            <rFont val="Segoe UI"/>
            <family val="2"/>
          </rPr>
          <t xml:space="preserve">PT- 5 dias de aumento referente a acordo comercial pendente
Eng- 5 days referring pending Commercial discution
</t>
        </r>
      </text>
    </comment>
    <comment ref="Y119" authorId="1" shapeId="0" xr:uid="{00000000-0006-0000-0100-000013010000}">
      <text>
        <r>
          <rPr>
            <sz val="9"/>
            <color indexed="81"/>
            <rFont val="Segoe UI"/>
            <family val="2"/>
          </rPr>
          <t xml:space="preserve">PT- 12 dias de aumento referente a acordo comercial pendente
Eng- 12 days referring pending Commercial discussion
</t>
        </r>
      </text>
    </comment>
    <comment ref="Z119" authorId="1" shapeId="0" xr:uid="{00000000-0006-0000-0100-000014010000}">
      <text>
        <r>
          <rPr>
            <sz val="9"/>
            <color indexed="81"/>
            <rFont val="Segoe UI"/>
            <family val="2"/>
          </rPr>
          <t xml:space="preserve">PT- 13 dias de aumento referente a acordo comercial pendente
Eng- 13 days referring pending Commercial discussion
</t>
        </r>
      </text>
    </comment>
    <comment ref="AA119" authorId="1" shapeId="0" xr:uid="{00000000-0006-0000-0100-000015010000}">
      <text>
        <r>
          <rPr>
            <sz val="9"/>
            <color indexed="81"/>
            <rFont val="Segoe UI"/>
            <family val="2"/>
          </rPr>
          <t xml:space="preserve">PT- 16 dias de aumento referente a acordo comercial pendente
Eng- 16 days referring pending Commercial discussion
</t>
        </r>
      </text>
    </comment>
    <comment ref="AB119" authorId="1" shapeId="0" xr:uid="{00000000-0006-0000-0100-000016010000}">
      <text>
        <r>
          <rPr>
            <sz val="9"/>
            <color indexed="81"/>
            <rFont val="Segoe UI"/>
            <family val="2"/>
          </rPr>
          <t xml:space="preserve">PT- 13 dias de aumento referente a acordo comercial pendente
Eng- 13 days referring pending Commercial discussion
</t>
        </r>
      </text>
    </comment>
    <comment ref="AC119" authorId="1" shapeId="0" xr:uid="{00000000-0006-0000-0100-000017010000}">
      <text>
        <r>
          <rPr>
            <sz val="9"/>
            <color indexed="81"/>
            <rFont val="Segoe UI"/>
            <family val="2"/>
          </rPr>
          <t xml:space="preserve">PT- 5 dias de aumento referente a acordo comercial pendente
Eng- 5 days referring pending Commercial discussion
</t>
        </r>
      </text>
    </comment>
    <comment ref="X124" authorId="0" shapeId="0" xr:uid="{00000000-0006-0000-0100-000018010000}">
      <text>
        <r>
          <rPr>
            <sz val="9"/>
            <color indexed="81"/>
            <rFont val="Segoe UI"/>
            <family val="2"/>
          </rPr>
          <t xml:space="preserve">PT- R$ 6 milhões retidos referente a acordo comercial
Eng- R$ 6 million retained referring to Commercial discution
</t>
        </r>
      </text>
    </comment>
    <comment ref="Y124" authorId="0" shapeId="0" xr:uid="{00000000-0006-0000-0100-000019010000}">
      <text>
        <r>
          <rPr>
            <sz val="9"/>
            <color indexed="81"/>
            <rFont val="Segoe UI"/>
            <family val="2"/>
          </rPr>
          <t>PT- R$ 13,2  milhões retidos referente a acordo comercial
Eng- R$ 13,2 million retained referring to Commercial discussion</t>
        </r>
      </text>
    </comment>
    <comment ref="Z124" authorId="0" shapeId="0" xr:uid="{00000000-0006-0000-0100-00001A010000}">
      <text>
        <r>
          <rPr>
            <sz val="9"/>
            <color indexed="81"/>
            <rFont val="Segoe UI"/>
            <family val="2"/>
          </rPr>
          <t>PT- R$ 19,8  milhões retidos referente a acordo comercial
Eng- R$ 19,8 million retained referring to Commercial discussion</t>
        </r>
      </text>
    </comment>
    <comment ref="AA124" authorId="0" shapeId="0" xr:uid="{00000000-0006-0000-0100-00001B010000}">
      <text>
        <r>
          <rPr>
            <sz val="9"/>
            <color indexed="81"/>
            <rFont val="Segoe UI"/>
            <family val="2"/>
          </rPr>
          <t>PT- R$ 19,8  milhões retidos referente a acordo comercial
Eng- R$ 19,8 million retained referring to Commercial discussion</t>
        </r>
      </text>
    </comment>
    <comment ref="AB124" authorId="0" shapeId="0" xr:uid="{00000000-0006-0000-0100-00001C010000}">
      <text>
        <r>
          <rPr>
            <sz val="9"/>
            <color indexed="81"/>
            <rFont val="Segoe UI"/>
            <family val="2"/>
          </rPr>
          <t xml:space="preserve">PT- R$ 15 milhões retidos referente a acordo comercial
Eng- R$ 15 million retained referring to Commercial discussion
</t>
        </r>
      </text>
    </comment>
    <comment ref="AC124" authorId="0" shapeId="0" xr:uid="{00000000-0006-0000-0100-00001D010000}">
      <text>
        <r>
          <rPr>
            <sz val="9"/>
            <color indexed="81"/>
            <rFont val="Segoe UI"/>
            <family val="2"/>
          </rPr>
          <t>PT- R$ 7,5 milhões retidos referente a acordo comercial
Eng- R$ 7.5 million retained referring to Commercial discussion</t>
        </r>
      </text>
    </comment>
    <comment ref="X125" authorId="0" shapeId="0" xr:uid="{00000000-0006-0000-0100-00001E010000}">
      <text>
        <r>
          <rPr>
            <sz val="9"/>
            <color indexed="81"/>
            <rFont val="Segoe UI"/>
            <family val="2"/>
          </rPr>
          <t xml:space="preserve">PT- 3 dias de aumento referente a acordo comercial pendente
Eng- 3 days referring pending Commercial discution
</t>
        </r>
      </text>
    </comment>
    <comment ref="Y125" authorId="0" shapeId="0" xr:uid="{00000000-0006-0000-0100-00001F010000}">
      <text>
        <r>
          <rPr>
            <sz val="9"/>
            <color indexed="81"/>
            <rFont val="Segoe UI"/>
            <family val="2"/>
          </rPr>
          <t>PT- 6 dias de aumento referente a acordo comercial pendente
Eng- 6 days referring pending Commercial discussion</t>
        </r>
      </text>
    </comment>
    <comment ref="Z125" authorId="0" shapeId="0" xr:uid="{00000000-0006-0000-0100-000020010000}">
      <text>
        <r>
          <rPr>
            <sz val="9"/>
            <color indexed="81"/>
            <rFont val="Segoe UI"/>
            <family val="2"/>
          </rPr>
          <t>PT- 7 dias de aumento referente a acordo comercial pendente
Eng- 7 days referring pending Commercial discussion</t>
        </r>
      </text>
    </comment>
    <comment ref="AA125" authorId="0" shapeId="0" xr:uid="{00000000-0006-0000-0100-000021010000}">
      <text>
        <r>
          <rPr>
            <sz val="9"/>
            <color indexed="81"/>
            <rFont val="Segoe UI"/>
            <family val="2"/>
          </rPr>
          <t>PT- 9 dias de aumento referente a acordo comercial pendente
Eng- 9 days referring pending Commercial discussion</t>
        </r>
      </text>
    </comment>
    <comment ref="AB125" authorId="0" shapeId="0" xr:uid="{00000000-0006-0000-0100-000022010000}">
      <text>
        <r>
          <rPr>
            <sz val="9"/>
            <color indexed="81"/>
            <rFont val="Segoe UI"/>
            <family val="2"/>
          </rPr>
          <t>PT- 7 dias de aumento referente a acordo comercial pendente
Eng- 7 days referring pending Commercial discussion</t>
        </r>
      </text>
    </comment>
    <comment ref="AC125" authorId="0" shapeId="0" xr:uid="{00000000-0006-0000-0100-000023010000}">
      <text>
        <r>
          <rPr>
            <sz val="9"/>
            <color indexed="81"/>
            <rFont val="Segoe UI"/>
            <family val="2"/>
          </rPr>
          <t>PT- 3 dias de aumento referente a acordo comercial pendente
Eng- 3 days referring pending Commercial discussion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T3" authorId="0" shapeId="0" xr:uid="{00000000-0006-0000-0E00-000001000000}">
      <text>
        <r>
          <rPr>
            <sz val="9"/>
            <color indexed="81"/>
            <rFont val="Segoe UI"/>
            <family val="2"/>
          </rPr>
          <t xml:space="preserve">Fonte: Source: http://www.anfavea.com.br/estatisticas.html
</t>
        </r>
      </text>
    </comment>
    <comment ref="AO3" authorId="0" shapeId="0" xr:uid="{00000000-0006-0000-0E00-000002000000}">
      <text>
        <r>
          <rPr>
            <sz val="9"/>
            <color indexed="81"/>
            <rFont val="Segoe UI"/>
            <family val="2"/>
          </rPr>
          <t xml:space="preserve">http://www3.fenabrave.org.br:8082/plus/modulos/listas/index.php?tac=indices-e-numeros&amp;idtipo=2&amp;layout=indices-e-numeros
</t>
        </r>
      </text>
    </comment>
    <comment ref="D4" authorId="0" shapeId="0" xr:uid="{00000000-0006-0000-0E00-000003000000}">
      <text>
        <r>
          <rPr>
            <sz val="9"/>
            <color indexed="81"/>
            <rFont val="Segoe UI"/>
            <family val="2"/>
          </rPr>
          <t xml:space="preserve">Fonte: Source: http://www.anfavea.com.br/estatisticas.html
</t>
        </r>
      </text>
    </comment>
    <comment ref="E4" authorId="0" shapeId="0" xr:uid="{00000000-0006-0000-0E00-000004000000}">
      <text>
        <r>
          <rPr>
            <sz val="9"/>
            <color indexed="81"/>
            <rFont val="Segoe UI"/>
            <family val="2"/>
          </rPr>
          <t xml:space="preserve">Fonte: Source: http://www.anfavea.com.br/estatisticas.html
</t>
        </r>
      </text>
    </comment>
    <comment ref="G4" authorId="0" shapeId="0" xr:uid="{00000000-0006-0000-0E00-000005000000}">
      <text>
        <r>
          <rPr>
            <sz val="9"/>
            <color indexed="81"/>
            <rFont val="Segoe UI"/>
            <family val="2"/>
          </rPr>
          <t>Fonte: Source: https://anfavea.com.br/site/coletiva-de-imprensa-2/</t>
        </r>
      </text>
    </comment>
    <comment ref="H4" authorId="0" shapeId="0" xr:uid="{00000000-0006-0000-0E00-000006000000}">
      <text>
        <r>
          <rPr>
            <sz val="9"/>
            <color indexed="81"/>
            <rFont val="Segoe UI"/>
            <family val="2"/>
          </rPr>
          <t xml:space="preserve">Fonte: Source: https://anfavea.com.br/site/coletiva-de-imprensa-2/
</t>
        </r>
      </text>
    </comment>
    <comment ref="I4" authorId="0" shapeId="0" xr:uid="{00000000-0006-0000-0E00-000007000000}">
      <text>
        <r>
          <rPr>
            <sz val="9"/>
            <color indexed="81"/>
            <rFont val="Segoe UI"/>
            <family val="2"/>
          </rPr>
          <t>Fonte: Source: https://anfavea.com.br/site/coletiva-de-imprensa-2/</t>
        </r>
      </text>
    </comment>
    <comment ref="K4" authorId="0" shapeId="0" xr:uid="{00000000-0006-0000-0E00-000008000000}">
      <text>
        <r>
          <rPr>
            <sz val="9"/>
            <color indexed="81"/>
            <rFont val="Segoe UI"/>
            <family val="2"/>
          </rPr>
          <t xml:space="preserve">Fonte: Source: http://www.anfavea.com.br/estatisticas.html
</t>
        </r>
      </text>
    </comment>
    <comment ref="L4" authorId="0" shapeId="0" xr:uid="{00000000-0006-0000-0E00-000009000000}">
      <text>
        <r>
          <rPr>
            <sz val="9"/>
            <color indexed="81"/>
            <rFont val="Segoe UI"/>
            <family val="2"/>
          </rPr>
          <t xml:space="preserve">Fonte: Source: http://www.anfavea.com.br/estatisticas.html
</t>
        </r>
      </text>
    </comment>
    <comment ref="N4" authorId="0" shapeId="0" xr:uid="{00000000-0006-0000-0E00-00000A000000}">
      <text>
        <r>
          <rPr>
            <sz val="9"/>
            <color indexed="81"/>
            <rFont val="Segoe UI"/>
            <family val="2"/>
          </rPr>
          <t xml:space="preserve">Fonte: Source: http://www3.fenabrave.org.br:8082/plus/modulos/listas/index.php?tac=indices-e-numeros&amp;idtipo=2&amp;layout=indices-e-numeros
</t>
        </r>
      </text>
    </comment>
    <comment ref="O4" authorId="0" shapeId="0" xr:uid="{00000000-0006-0000-0E00-00000B000000}">
      <text>
        <r>
          <rPr>
            <sz val="9"/>
            <color indexed="81"/>
            <rFont val="Segoe UI"/>
            <family val="2"/>
          </rPr>
          <t xml:space="preserve">http://www3.fenabrave.org.br:8082/plus/modulos/listas/index.php?tac=indices-e-numeros&amp;idtipo=2&amp;layout=indices-e-numeros
</t>
        </r>
      </text>
    </comment>
    <comment ref="Q4" authorId="0" shapeId="0" xr:uid="{00000000-0006-0000-0E00-00000C000000}">
      <text>
        <r>
          <rPr>
            <sz val="9"/>
            <color indexed="81"/>
            <rFont val="Segoe UI"/>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P7" authorId="0" shapeId="0" xr:uid="{00000000-0006-0000-1000-000001000000}">
      <text>
        <r>
          <rPr>
            <sz val="10"/>
            <rFont val="Arial"/>
            <family val="2"/>
          </rPr>
          <t>NCE - Notas de crédito de exportação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Q6" authorId="0" shapeId="0" xr:uid="{00000000-0006-0000-1200-000001000000}">
      <text>
        <r>
          <rPr>
            <sz val="10"/>
            <rFont val="Arial"/>
            <family val="2"/>
          </rPr>
          <t>NOTA DE CRÉDITO DE EXPORTAÇÃO
EXPORT CREDIT NOTES</t>
        </r>
      </text>
    </comment>
    <comment ref="Q16" authorId="0" shapeId="0" xr:uid="{00000000-0006-0000-1200-000002000000}">
      <text>
        <r>
          <rPr>
            <sz val="10"/>
            <rFont val="Arial"/>
            <family val="2"/>
          </rPr>
          <t>NOTA DE CRÉDITO DE EXPORTAÇÃO
EXPORT CREDIT NOTES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S9" authorId="0" shapeId="0" xr:uid="{00000000-0006-0000-1400-000001000000}">
      <text>
        <r>
          <rPr>
            <sz val="9"/>
            <color indexed="81"/>
            <rFont val="Segoe UI"/>
            <family val="2"/>
          </rPr>
          <t>PT - No 4T17 realizamos a baixa de títulos a receber (já provisionados) oriundos da venda de Controlada Direct Express no valor de R$ 16,2 milhões.
EN - In 4Q17 we made an account receivables write-off (already provisioned) arising from the disposal of the former subsidiary Direct Express in the amount of R$ 16.2 million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R10" authorId="0" shapeId="0" xr:uid="{00000000-0006-0000-1500-000001000000}">
      <text>
        <r>
          <rPr>
            <sz val="9"/>
            <color indexed="81"/>
            <rFont val="Segoe UI"/>
            <family val="2"/>
          </rPr>
          <t>PT - No 4T17 realizamos a baixa de R$ 16 mi de títulos a receber oriundos da venda da controlada Direct, que já estavam provisionados
EN - In 4Q17 we made an account receivables write-off (already provisioned) arising from the disposal of the former subsidiary Direct Express in the amount of R$ 16.2 million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S11" authorId="0" shapeId="0" xr:uid="{00000000-0006-0000-1600-000001000000}">
      <text>
        <r>
          <rPr>
            <sz val="9"/>
            <color indexed="81"/>
            <rFont val="Segoe UI"/>
            <family val="2"/>
          </rPr>
          <t>PT - No 4T17 realizamos a baixa de R$ 16 mi de títulos a receber oriundos da venda da controlada Direct, que já estavam provisionados
EN - In 4Q17 we made an account receivables write-off (already provisioned) arising from the disposal of the former subsidiary Direct Express in the amount of R$ 16.2 million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s>
  <commentList>
    <comment ref="Z6" authorId="0" shapeId="0" xr:uid="{00000000-0006-0000-1700-000001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S9" authorId="1" shapeId="0" xr:uid="{00000000-0006-0000-1700-000002000000}">
      <text>
        <r>
          <rPr>
            <sz val="9"/>
            <color indexed="81"/>
            <rFont val="Segoe UI"/>
            <family val="2"/>
          </rPr>
          <t>PT - Baixa de R$ 5,7 milhões de contas a receber da antiga controlada Direct
EN - Write-off of account receivables from Direct Express amounting  R$ 5.7 million</t>
        </r>
      </text>
    </comment>
    <comment ref="Q13" authorId="1" shapeId="0" xr:uid="{00000000-0006-0000-1700-000003000000}">
      <text>
        <r>
          <rPr>
            <sz val="10"/>
            <rFont val="Arial"/>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accounts receivable / indemnities of business combination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 ref="Z38" authorId="0" shapeId="0" xr:uid="{00000000-0006-0000-1700-000004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Q45" authorId="1" shapeId="0" xr:uid="{00000000-0006-0000-1700-000005000000}">
      <text>
        <r>
          <rPr>
            <sz val="10"/>
            <rFont val="Arial"/>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accounts receivable / indemnities of business combination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Felipe Silva</author>
  </authors>
  <commentList>
    <comment ref="S9" authorId="0" shapeId="0" xr:uid="{00000000-0006-0000-1800-000001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t>
        </r>
      </text>
    </comment>
    <comment ref="Z9" authorId="1" shapeId="0" xr:uid="{00000000-0006-0000-1800-000002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t>
        </r>
      </text>
    </comment>
    <comment ref="AG9" authorId="2" shapeId="0" xr:uid="{00000000-0006-0000-1800-000003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 ref="Q11" authorId="0" shapeId="0" xr:uid="{00000000-0006-0000-1800-000004000000}">
      <text>
        <r>
          <rPr>
            <sz val="10"/>
            <rFont val="Arial"/>
            <family val="2"/>
          </rPr>
          <t>PT - Retificação LALUR 2014 (R$ 10,9 mi)
EN - 2014 LALUR rectification (R$ 10,9 mi)</t>
        </r>
      </text>
    </comment>
    <comment ref="Q12" authorId="0" shapeId="0" xr:uid="{00000000-0006-0000-1800-000005000000}">
      <text>
        <r>
          <rPr>
            <sz val="9"/>
            <color indexed="81"/>
            <rFont val="Segoe UI"/>
            <family val="2"/>
          </rPr>
          <t>PT - Ganho de causa do FUNDAF
EN - FUNDAF dispute gain</t>
        </r>
      </text>
    </comment>
    <comment ref="S22" authorId="0" shapeId="0" xr:uid="{00000000-0006-0000-1800-000006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Z22" authorId="1" shapeId="0" xr:uid="{00000000-0006-0000-1800-000007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t>
        </r>
      </text>
    </comment>
    <comment ref="Q27" authorId="0" shapeId="0" xr:uid="{00000000-0006-0000-1800-000008000000}">
      <text>
        <r>
          <rPr>
            <sz val="10"/>
            <rFont val="Arial"/>
            <family val="2"/>
          </rPr>
          <t>PT - Retificação LALUR 2014 (R$ 10,9 mi)
EN - 2014 LALUR rectification (R$ 10,9 mi)</t>
        </r>
      </text>
    </comment>
    <comment ref="S37" authorId="0" shapeId="0" xr:uid="{00000000-0006-0000-1800-000009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R$ 5,15 milhões.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R$ 5.15 million.</t>
        </r>
      </text>
    </comment>
    <comment ref="AG37" authorId="2" shapeId="0" xr:uid="{00000000-0006-0000-1800-00000A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F143" authorId="0" shapeId="0" xr:uid="{00000000-0006-0000-1A00-000001000000}">
      <text>
        <r>
          <rPr>
            <sz val="9"/>
            <color indexed="81"/>
            <rFont val="Segoe UI"/>
            <family val="2"/>
          </rPr>
          <t xml:space="preserve">Pt - Aporte de capital à controlada  para emitir debêntures conversíveis à startup Frete Rapido
Eng - Capital contribution to subsidiary to issue convertible debentures to startup Frete Rapido
</t>
        </r>
      </text>
    </comment>
    <comment ref="F178" authorId="0" shapeId="0" xr:uid="{00000000-0006-0000-1A00-000002000000}">
      <text>
        <r>
          <rPr>
            <sz val="9"/>
            <color indexed="81"/>
            <rFont val="Segoe UI"/>
            <family val="2"/>
          </rPr>
          <t>Pt - Aporte de capital à controlada  para emitir debêntures conversíveis à startup Rabbot
Eng: Capital contribution to subsidiary to issue convertible debentures to startup Rabbot</t>
        </r>
      </text>
    </comment>
    <comment ref="E435" authorId="0" shapeId="0" xr:uid="{378C8441-8A19-41F3-BC05-F7E3E2B83F32}">
      <text>
        <r>
          <rPr>
            <b/>
            <sz val="9"/>
            <color indexed="81"/>
            <rFont val="Segoe UI"/>
            <family val="2"/>
          </rPr>
          <t>Pt: (i) A Companhia realizou o aumento de capital na controlada Niyati Empreendimentos Participações Ltda. com aporte financeiro, para aquisição de terreno estratégico</t>
        </r>
        <r>
          <rPr>
            <sz val="9"/>
            <color indexed="81"/>
            <rFont val="Segoe UI"/>
            <family val="2"/>
          </rPr>
          <t xml:space="preserve">
</t>
        </r>
        <r>
          <rPr>
            <b/>
            <sz val="9"/>
            <color indexed="81"/>
            <rFont val="Segoe UI"/>
            <family val="2"/>
          </rPr>
          <t>Eng: The Company increased capital in subsidiary Niyati Empreendimentos Participações Ltda. through a cash contribution to acquire strategic land</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Q6" authorId="0" shapeId="0" xr:uid="{00000000-0006-0000-1E00-000001000000}">
      <text>
        <r>
          <rPr>
            <sz val="10"/>
            <rFont val="Arial"/>
            <family val="2"/>
          </rPr>
          <t>PT - NCE - Nota de crédito de exportação
EN - Export credit note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William Estrela Dantas dos Santos</author>
    <author>Felipe Silva</author>
    <author>Ian Nunes</author>
  </authors>
  <commentList>
    <comment ref="AF12" authorId="0" shapeId="0" xr:uid="{00000000-0006-0000-0300-000001000000}">
      <text>
        <r>
          <rPr>
            <sz val="9"/>
            <color indexed="81"/>
            <rFont val="Segoe UI"/>
            <family val="2"/>
          </rPr>
          <t>PT - Retificação do LALUR de 2014 no valor de R$12,2 milhões 
Ganho de R$5,86 milhões devido a disputa do Fundaf
EN - 2014 LALUR rectification, amounting R$ 12,202 thousand
Fundaf dispute gain of R$ 5,860 thousand</t>
        </r>
      </text>
    </comment>
    <comment ref="AH12" authorId="0" shapeId="0" xr:uid="{00000000-0006-0000-0300-000002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Both tax credits will be used to compensate federal taxes payments.
</t>
        </r>
      </text>
    </comment>
    <comment ref="AL12" authorId="1" shapeId="0" xr:uid="{00000000-0006-0000-03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R$ 10.3 M [R$ 4.5 M - 2017 | R$ 6.1 M - 2018]
</t>
        </r>
      </text>
    </comment>
    <comment ref="AO12" authorId="1" shapeId="0" xr:uid="{00000000-0006-0000-0300-000004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t>
        </r>
      </text>
    </comment>
    <comment ref="AQ12" authorId="2" shapeId="0" xr:uid="{00000000-0006-0000-0300-000005000000}">
      <text>
        <r>
          <rPr>
            <b/>
            <sz val="9"/>
            <color indexed="81"/>
            <rFont val="Segoe UI"/>
            <family val="2"/>
          </rPr>
          <t xml:space="preserve">PT - </t>
        </r>
        <r>
          <rPr>
            <sz val="9"/>
            <color indexed="81"/>
            <rFont val="Segoe UI"/>
            <family val="2"/>
          </rPr>
          <t xml:space="preserve">Aproveitamento de parte do crédito de PIS/COFINS registrado no 3T19.
</t>
        </r>
        <r>
          <rPr>
            <b/>
            <sz val="9"/>
            <color indexed="81"/>
            <rFont val="Segoe UI"/>
            <family val="2"/>
          </rPr>
          <t>Eng</t>
        </r>
        <r>
          <rPr>
            <sz val="9"/>
            <color indexed="81"/>
            <rFont val="Segoe UI"/>
            <family val="2"/>
          </rPr>
          <t xml:space="preserve"> -  Use of part of the PIS/COFINS credit recognized in 3Q19.</t>
        </r>
      </text>
    </comment>
    <comment ref="AV12" authorId="3" shapeId="0" xr:uid="{00000000-0006-0000-0300-000006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 ref="AE24" authorId="4" shapeId="0" xr:uid="{00000000-0006-0000-0300-000007000000}">
      <text>
        <r>
          <rPr>
            <sz val="9"/>
            <color indexed="81"/>
            <rFont val="Segoe UI"/>
            <family val="2"/>
          </rPr>
          <t>PT - Efetuamos a reclassificação no 1T17 para impostos a recuperar não circulante referente ao crédito de INSS a restituir (cooperativa e verbas indenizatórias), no montante de R$ 9 milhões.</t>
        </r>
      </text>
    </comment>
    <comment ref="AF24" authorId="0" shapeId="0" xr:uid="{00000000-0006-0000-0300-000008000000}">
      <text>
        <r>
          <rPr>
            <sz val="9"/>
            <color indexed="81"/>
            <rFont val="Segoe UI"/>
            <family val="2"/>
          </rPr>
          <t>PT - Ganho de R$ 5,86 milhões da disputa do FUNDAF
EN - Fundaf dispute gain of R$ 5,860 thousand</t>
        </r>
      </text>
    </comment>
    <comment ref="AW25" authorId="3" shapeId="0" xr:uid="{00000000-0006-0000-0300-000009000000}">
      <text>
        <r>
          <rPr>
            <sz val="9"/>
            <color indexed="81"/>
            <rFont val="Segoe UI"/>
            <family val="2"/>
          </rPr>
          <t>Pt - Crédito tributário extraordinário referente a imposto pago a maior R$12,9 milhões
Eng- Extraordinary tax credit regarding overpaid tax collection amounting R$ 12.9 million</t>
        </r>
      </text>
    </comment>
    <comment ref="AG26" authorId="0" shapeId="0" xr:uid="{00000000-0006-0000-0300-00000A000000}">
      <text>
        <r>
          <rPr>
            <sz val="9"/>
            <color indexed="81"/>
            <rFont val="Segoe UI"/>
            <family val="2"/>
          </rPr>
          <t>PT - Baixa de R$ 5,7 milhões de contas a receber da antiga controlada Direct
EN - Write-off of account receivables from Direct Express amounting  R$ 5.7 million</t>
        </r>
      </text>
    </comment>
    <comment ref="AH26" authorId="4" shapeId="0" xr:uid="{00000000-0006-0000-0300-00000B000000}">
      <text>
        <r>
          <rPr>
            <sz val="9"/>
            <color indexed="81"/>
            <rFont val="Segoe UI"/>
            <family val="2"/>
          </rPr>
          <t>PT - Baixa de R$ 5,7 milhões de contas a receber da antiga controlada Direct
EN - Write-off of account receivables from Direct Express amounting  R$ 5.7 million</t>
        </r>
      </text>
    </comment>
    <comment ref="AO26" authorId="1" shapeId="0" xr:uid="{00000000-0006-0000-0300-00000C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 ref="AH27" authorId="4" shapeId="0" xr:uid="{00000000-0006-0000-0300-00000D000000}">
      <text>
        <r>
          <rPr>
            <sz val="9"/>
            <color indexed="81"/>
            <rFont val="Segoe UI"/>
            <family val="2"/>
          </rPr>
          <t xml:space="preserve">PT- Após revisão do imposto de renda diferido da companhia, identificou-se um saldo não constituído contabilmente no montante de R$ 6,4 milhões da controlada Tegma Cargas Especiais (operação de químicos). Com isso, foi reconhecido um ativo fiscal diferido. 
- Em 2015 e 2016 constituímos uma provisão de parcelamento de dívidas tributárias que seria liquidado através do PRORELIT (Programa de redução de litígios tributários). Em outubro de 2017, recebemos o indeferimento do PRORELIT, na qual ocasionou a devolução imposto diferido no valor de R$ 7 milhões indicado no parcelamento.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 After reviewing the company’s deferred income tax, an unrecorded balance was indentified for the amount of R$ 6.4 million in the subsidiary Tegma Cargas Especiais (chemical operations). As a result, a deferred tax asset was recognized, which positively impacted the income tax for the same amount. 
</t>
        </r>
      </text>
    </comment>
    <comment ref="AK30" authorId="1" shapeId="0" xr:uid="{00000000-0006-0000-0300-00000E000000}">
      <text>
        <r>
          <rPr>
            <sz val="9"/>
            <color indexed="81"/>
            <rFont val="Segoe UI"/>
            <family val="2"/>
          </rPr>
          <t>PT - Nova dívida res 4.131 em USD 100% swapada
Eng - New USD debt, 100% swapped</t>
        </r>
      </text>
    </comment>
    <comment ref="AF49" authorId="0" shapeId="0" xr:uid="{00000000-0006-0000-0300-00000F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F52" authorId="0" shapeId="0" xr:uid="{00000000-0006-0000-0300-000010000000}">
      <text>
        <r>
          <rPr>
            <sz val="9"/>
            <color indexed="81"/>
            <rFont val="Segoe UI"/>
            <family val="2"/>
          </rPr>
          <t>PT - R$1,9 milhões do Fundaf
EN - R$1.9 million from Fundaf dispute</t>
        </r>
      </text>
    </comment>
    <comment ref="AH52" authorId="0" shapeId="0" xr:uid="{00000000-0006-0000-0300-000011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com suas respectivas suas respectivas atualizações monetárias de R$ 37,5 milhões. Sobre esse valor foi constituído 34% (R$ 13 milhões).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uma redução do imposto de renda a pagar/CSLL de R$ 4,5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t>
        </r>
      </text>
    </comment>
    <comment ref="AO52" authorId="1" shapeId="0" xr:uid="{00000000-0006-0000-0300-000012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t>
        </r>
        <r>
          <rPr>
            <b/>
            <sz val="9"/>
            <color indexed="81"/>
            <rFont val="Segoe UI"/>
            <family val="2"/>
          </rPr>
          <t>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t>
        </r>
        <r>
          <rPr>
            <b/>
            <sz val="9"/>
            <color indexed="81"/>
            <rFont val="Segoe UI"/>
            <family val="2"/>
          </rPr>
          <t xml:space="preserve"> R$ 28.4 million of income tax on book entry.</t>
        </r>
        <r>
          <rPr>
            <sz val="9"/>
            <color indexed="81"/>
            <rFont val="Segoe UI"/>
            <family val="2"/>
          </rPr>
          <t xml:space="preserve">
</t>
        </r>
      </text>
    </comment>
    <comment ref="AH55" authorId="0" shapeId="0" xr:uid="{00000000-0006-0000-0300-000013000000}">
      <text>
        <r>
          <rPr>
            <sz val="9"/>
            <color indexed="81"/>
            <rFont val="Segoe UI"/>
            <family val="2"/>
          </rPr>
          <t>PT - Em 2017 o governo disponibilizou o Programa Especial de Regularização Tributária (PERT) para liquidação de débitos constituídos referentes à processos em discussão administrativa. Por ser mais benéfico em comparação com o PRORELIT, fizemos a adesão ao PERT de valor de R$ 6 milhões.
EN - In 2017 the government made available the Special Tax Regularization Program (PERT) to settle debts constituted referring to the processes under administrative discussion. Because it is more beneficial compared to PRORELIT, we made the adhesion to the PERT in the amount of R$ 6 million.</t>
        </r>
      </text>
    </comment>
    <comment ref="AF62" authorId="0" shapeId="0" xr:uid="{00000000-0006-0000-0300-000014000000}">
      <text>
        <r>
          <rPr>
            <sz val="9"/>
            <color indexed="81"/>
            <rFont val="Segoe UI"/>
            <family val="2"/>
          </rPr>
          <t>PT - Em junho de 2017 fizemos a contratação de R$ 50 milhões em notas de crédito de exportação, com um prazo médio de pouco mais de dois anos e um custo de CDI + 2,6% a.a. Com isso, conseguimos alongar parte da nossa dívida para 2019 e, segundo nossas estimativas atuais, eliminar uma eventual necessidade de caixa em 2018.
EN - In June 2017 we contracted R $ 50 million in export credit notes, with an average term of just over two years and a interest rate of CDI + 2.6% a.a. As a result, we were able to stretch part of our debt to 2019 and, according to our current estimates, eliminate any cash requirement in 2018.</t>
        </r>
      </text>
    </comment>
    <comment ref="AF66" authorId="0" shapeId="0" xr:uid="{00000000-0006-0000-0300-000015000000}">
      <text>
        <r>
          <rPr>
            <sz val="9"/>
            <color indexed="81"/>
            <rFont val="Segoe UI"/>
            <family val="2"/>
          </rPr>
          <t>PT - Diferido Retificação LALUR 2014 R$ 5,1 M
EN - Deffered LALUR rectification amounting R$ 5.1 million</t>
        </r>
      </text>
    </comment>
    <comment ref="AF67" authorId="0" shapeId="0" xr:uid="{00000000-0006-0000-0300-000016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L67" authorId="1" shapeId="0" xr:uid="{00000000-0006-0000-0300-000017000000}">
      <text>
        <r>
          <rPr>
            <sz val="9"/>
            <color indexed="81"/>
            <rFont val="Segoe UI"/>
            <family val="2"/>
          </rPr>
          <t>PT- Contingência cívil da ex controlada Direct Express de - R$ 14,5 milhões
Eng - Civil contingency of the former subsidiary Direct Express - R$ 14.5 million;</t>
        </r>
      </text>
    </comment>
    <comment ref="AO67" authorId="1" shapeId="0" xr:uid="{00000000-0006-0000-0300-000018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F68" authorId="0" shapeId="0" xr:uid="{00000000-0006-0000-0300-000019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L68" authorId="1" shapeId="0" xr:uid="{00000000-0006-0000-0300-00001A000000}">
      <text>
        <r>
          <rPr>
            <sz val="9"/>
            <color indexed="81"/>
            <rFont val="Segoe UI"/>
            <family val="2"/>
          </rPr>
          <t>PT- Contingência cívil da ex controlada Direct Express de - R$ 14,5 milhões
Eng - Civil contingency of the former subsidiary Direct Express - R$ 14.5 million;</t>
        </r>
      </text>
    </comment>
    <comment ref="AO68" authorId="1" shapeId="0" xr:uid="{00000000-0006-0000-0300-00001B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F69" authorId="0" shapeId="0" xr:uid="{00000000-0006-0000-0300-00001C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L69" authorId="1" shapeId="0" xr:uid="{00000000-0006-0000-0300-00001D000000}">
      <text>
        <r>
          <rPr>
            <sz val="9"/>
            <color indexed="81"/>
            <rFont val="Segoe UI"/>
            <family val="2"/>
          </rPr>
          <t>PT- Contingência cívil da ex controlada Direct Express de - R$ 14,5 milhões
Eng - Civil contingency of the former subsidiary Direct Express - R$ 14.5 million;</t>
        </r>
      </text>
    </comment>
    <comment ref="AO69" authorId="1" shapeId="0" xr:uid="{00000000-0006-0000-0300-00001E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BL31" authorId="0" shapeId="0" xr:uid="{00000000-0006-0000-1F00-000001000000}">
      <text>
        <r>
          <rPr>
            <sz val="9"/>
            <color indexed="81"/>
            <rFont val="Segoe UI"/>
            <family val="2"/>
          </rPr>
          <t>3. Em 2015, a Catlog, uma controlada em conjunto da Tegma que prestava serviços logísticos para a montadora Renault-Nissan, teve suas operações descontinuadas. Nosso balanço apresentava o registro de ágio relacionado à Catlog no valor de R$ 1,4 milhão. Como não existe a perspectiva de retomada de operações ou de recuperação desse ágio, optou-se pela sua amortização, o que impactou negativamente a linha de outras receitas (despesas) líquidas da divisão automotiva.</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Q8" authorId="0" shapeId="0" xr:uid="{00000000-0006-0000-2000-000001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Q18" authorId="0" shapeId="0" xr:uid="{00000000-0006-0000-2000-000002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Q28" authorId="0" shapeId="0" xr:uid="{00000000-0006-0000-2000-000003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William Estrela Dantas dos Santos</author>
  </authors>
  <commentList>
    <comment ref="T7" authorId="0" shapeId="0" xr:uid="{00000000-0006-0000-2100-000001000000}">
      <text>
        <r>
          <rPr>
            <sz val="8"/>
            <color indexed="81"/>
            <rFont val="Segoe UI"/>
            <family val="2"/>
          </rPr>
          <t xml:space="preserve">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t>
        </r>
        <r>
          <rPr>
            <sz val="9"/>
            <color indexed="81"/>
            <rFont val="Segoe UI"/>
            <family val="2"/>
          </rPr>
          <t>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AQ7" authorId="1" shapeId="0" xr:uid="{00000000-0006-0000-2100-000002000000}">
      <text>
        <r>
          <rPr>
            <sz val="9"/>
            <color indexed="81"/>
            <rFont val="Segoe UI"/>
            <family val="2"/>
          </rPr>
          <t xml:space="preserve">PT: R$ 17 MM, referente a parte não homologada dos creditos sobre a exclusão do ICMA da base de calculo do Pis e Cofins da Controladora
ENG: R$ 17 MM, referring to the unapproved part of the credits on the exclusion of ICMA from the Parent Company's Pis and Cofins calculation base
</t>
        </r>
      </text>
    </comment>
    <comment ref="AR7" authorId="1" shapeId="0" xr:uid="{00000000-0006-0000-2100-000003000000}">
      <text>
        <r>
          <rPr>
            <sz val="9"/>
            <color indexed="81"/>
            <rFont val="Segoe UI"/>
            <family val="2"/>
          </rPr>
          <t xml:space="preserve">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
</t>
        </r>
      </text>
    </comment>
    <comment ref="T8" authorId="0" shapeId="0" xr:uid="{00000000-0006-0000-2100-000004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BB8" authorId="1" shapeId="0" xr:uid="{54B76592-3CE7-40E2-8366-8A3C75E677F8}">
      <text>
        <r>
          <rPr>
            <b/>
            <sz val="9"/>
            <color indexed="81"/>
            <rFont val="Segoe UI"/>
            <family val="2"/>
          </rPr>
          <t>Pt: A empresa tomou conhecimento do julgamento do Processo nº 5603/2017, pela Comissão de Julgamento da Prefeitura de Mauá – órgão de segunda instância administrativa, proveniente dos Autos de Infração nº 2.636/2017 e 24/2018, que julgou parcialmente procedente o recurso apresentado pela Companhia, em face da manutenção das autuações pelo órgão julgador administrativo de primeira instância.
Eng: The company has been notified of the ruling issued in Proceeding No. 5603/2017 by the Judgment Commission of the Municipality of Mauá (State of São Paulo), the second-level administrative authority, arising from Notices of Infraction Nos. 2,636/2017 and 24/2018. The Commission partially upheld the appeal filed by the Company, following the first-level administrative authority’s decision to maintain the tax assessments.</t>
        </r>
        <r>
          <rPr>
            <sz val="9"/>
            <color indexed="81"/>
            <rFont val="Segoe UI"/>
            <family val="2"/>
          </rPr>
          <t xml:space="preserve">
</t>
        </r>
      </text>
    </comment>
    <comment ref="AQ13" authorId="1" shapeId="0" xr:uid="{00000000-0006-0000-2100-000005000000}">
      <text>
        <r>
          <rPr>
            <sz val="9"/>
            <color indexed="81"/>
            <rFont val="Segoe UI"/>
            <family val="2"/>
          </rPr>
          <t>PT: R$ 17 MM, referente a parte não homologada dos creditos sobre a exclusão do ICMA da base de calculo do Pis e Cofins da Controladora
ENG: R$ 17 MM, referring to the unapproved part of the credits on the exclusion of ICMA from the Parent Company's Pis and Cofins calculation base</t>
        </r>
      </text>
    </comment>
    <comment ref="AR13" authorId="1" shapeId="0" xr:uid="{00000000-0006-0000-2100-000006000000}">
      <text>
        <r>
          <rPr>
            <sz val="9"/>
            <color indexed="81"/>
            <rFont val="Segoe UI"/>
            <family val="2"/>
          </rPr>
          <t>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t>
        </r>
      </text>
    </comment>
    <comment ref="T19" authorId="0" shapeId="0" xr:uid="{00000000-0006-0000-2100-000007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T20" authorId="0" shapeId="0" xr:uid="{00000000-0006-0000-2100-000008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V26" authorId="0" shapeId="0" xr:uid="{00000000-0006-0000-2100-000009000000}">
      <text>
        <r>
          <rPr>
            <sz val="9"/>
            <color indexed="81"/>
            <rFont val="Segoe UI"/>
            <family val="2"/>
          </rPr>
          <t>PT - No 2T17 tivemos a ganha de causa do FUNDAF e dessa forma houve o estorno do depósito de R$ 2,1 milhões referente a esse processo
EN - Since we had a lawsuit success regarding the FUNDAF dispute, there was a reversal of the R$ 2.1 million deposit</t>
        </r>
      </text>
    </comment>
    <comment ref="AC27" authorId="2" shapeId="0" xr:uid="{00000000-0006-0000-2100-00000A000000}">
      <text>
        <r>
          <rPr>
            <sz val="9"/>
            <color indexed="81"/>
            <rFont val="Segoe UI"/>
            <family val="2"/>
          </rPr>
          <t>PT - Inclui depósito judicial sobre a contingência cível relativa a demanda judicial contra um prestador de serviços na área de benefícios
EN - Includes judicial deposit on the civil contingency related to the legal claim against a benefits service provider</t>
        </r>
      </text>
    </comment>
    <comment ref="AC33" authorId="2" shapeId="0" xr:uid="{00000000-0006-0000-2100-00000B000000}">
      <text>
        <r>
          <rPr>
            <sz val="9"/>
            <color indexed="81"/>
            <rFont val="Segoe UI"/>
            <family val="2"/>
          </rPr>
          <t>PT - Inclui depósito judicial sobre a contingência cível relativa a demanda judicial contra um prestador de serviços na área de benefícios
EN - Includes judicial deposit on the civil contingency related to the legal claim against a benefits service provider</t>
        </r>
      </text>
    </comment>
    <comment ref="AC46" authorId="1" shapeId="0" xr:uid="{00000000-0006-0000-2100-00000C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 ref="AC58" authorId="1" shapeId="0" xr:uid="{00000000-0006-0000-2100-00000D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Q64" authorId="1" shapeId="0" xr:uid="{00000000-0006-0000-2100-00000E000000}">
      <text>
        <r>
          <rPr>
            <sz val="9"/>
            <color indexed="81"/>
            <rFont val="Segoe UI"/>
            <family val="2"/>
          </rPr>
          <t>PT: R$ 17 MM, referente a parte não homologada dos creditos sobre a exclusão do ICMA da base de calculo do Pis e Cofins da Controladora</t>
        </r>
        <r>
          <rPr>
            <sz val="9"/>
            <color indexed="81"/>
            <rFont val="Segoe UI"/>
            <family val="2"/>
          </rPr>
          <t xml:space="preserve">
ENG: R$ 17 MM, referring to the unapproved part of the credits on the exclusion of ICMA from the Parent Company's Pis and Cofins calculation base</t>
        </r>
      </text>
    </comment>
    <comment ref="AR64" authorId="1" shapeId="0" xr:uid="{00000000-0006-0000-2100-00000F000000}">
      <text>
        <r>
          <rPr>
            <sz val="9"/>
            <color indexed="81"/>
            <rFont val="Segoe UI"/>
            <family val="2"/>
          </rPr>
          <t xml:space="preserve">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
</t>
        </r>
      </text>
    </comment>
    <comment ref="AR70" authorId="1" shapeId="0" xr:uid="{00000000-0006-0000-2100-000010000000}">
      <text>
        <r>
          <rPr>
            <sz val="9"/>
            <color indexed="81"/>
            <rFont val="Segoe UI"/>
            <family val="2"/>
          </rPr>
          <t>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t>
        </r>
      </text>
    </comment>
    <comment ref="V83" authorId="0" shapeId="0" xr:uid="{00000000-0006-0000-2100-000011000000}">
      <text>
        <r>
          <rPr>
            <sz val="9"/>
            <color indexed="81"/>
            <rFont val="Segoe UI"/>
            <family val="2"/>
          </rPr>
          <t>PT - 8.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t>
        </r>
      </text>
    </comment>
    <comment ref="AO83" authorId="1" shapeId="0" xr:uid="{00000000-0006-0000-2100-000012000000}">
      <text>
        <r>
          <rPr>
            <sz val="9"/>
            <color indexed="81"/>
            <rFont val="Segoe UI"/>
            <family val="2"/>
          </rPr>
          <t>PT- Contingência cívil da ex controlada Direct Express de - R$ 6,6 milhões
Eng - Civil contingency of the former subsidiary Direct Express - R$ 6.6 million;</t>
        </r>
      </text>
    </comment>
    <comment ref="AC90" authorId="1" shapeId="0" xr:uid="{00000000-0006-0000-2100-000013000000}">
      <text>
        <r>
          <rPr>
            <sz val="9"/>
            <color indexed="81"/>
            <rFont val="Segoe UI"/>
            <family val="2"/>
          </rPr>
          <t xml:space="preserve">Pt - Ativo indenizatório recebido no valor de $ 4.857 e </t>
        </r>
        <r>
          <rPr>
            <b/>
            <sz val="9"/>
            <color indexed="81"/>
            <rFont val="Segoe UI"/>
            <family val="2"/>
          </rPr>
          <t>demanda judicial quitada $ 5.074</t>
        </r>
        <r>
          <rPr>
            <sz val="9"/>
            <color indexed="81"/>
            <rFont val="Segoe UI"/>
            <family val="2"/>
          </rPr>
          <t xml:space="preserve">, o montante de $ 217 foi registrado no resultado em Setembro.2019.
Eng - Indemnity asset received in the amount of $ 4,857 and </t>
        </r>
        <r>
          <rPr>
            <b/>
            <sz val="9"/>
            <color indexed="81"/>
            <rFont val="Segoe UI"/>
            <family val="2"/>
          </rPr>
          <t>settled court demand $ 5,074;</t>
        </r>
        <r>
          <rPr>
            <sz val="9"/>
            <color indexed="81"/>
            <rFont val="Segoe UI"/>
            <family val="2"/>
          </rPr>
          <t xml:space="preserve"> the amount of $ 217 was recorded in income in September.2019.</t>
        </r>
        <r>
          <rPr>
            <b/>
            <sz val="9"/>
            <color indexed="81"/>
            <rFont val="Segoe UI"/>
            <family val="2"/>
          </rPr>
          <t xml:space="preserve">
</t>
        </r>
        <r>
          <rPr>
            <sz val="9"/>
            <color indexed="81"/>
            <rFont val="Segoe UI"/>
            <family val="2"/>
          </rPr>
          <t xml:space="preserve">
</t>
        </r>
      </text>
    </comment>
    <comment ref="T95" authorId="0" shapeId="0" xr:uid="{00000000-0006-0000-2100-000014000000}">
      <text>
        <r>
          <rPr>
            <sz val="9"/>
            <color indexed="81"/>
            <rFont val="Segoe UI"/>
            <family val="2"/>
          </rPr>
          <t>PT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R$ 15 milhões, impactando a linha de outras receitas (despesas) líquidas, assim como o correspondente impacto no imposto de renda diferido
EN - The sale agreement of the former subsidiary Direct Express, signed between Tegma and 8M Participações, provided that Tegma would be liable to indemnify 8M Participações for any lawsuits corresponding to events prior to the date of purchase that exceeded R$ 40 million. Considering that the analysis of potential future demands, based on the best estimates, shows that the amount has exceeded it, Tegma decided to make an extraordinary provision for possible future liabilities relating to Direct in the amount of R$ 15 million, which impacted other expenses and revenues of the automotive division, as well as the corresponding impact on deferred income tax.</t>
        </r>
      </text>
    </comment>
    <comment ref="AO95" authorId="1" shapeId="0" xr:uid="{00000000-0006-0000-2100-000015000000}">
      <text>
        <r>
          <rPr>
            <sz val="9"/>
            <color indexed="81"/>
            <rFont val="Segoe UI"/>
            <family val="2"/>
          </rPr>
          <t xml:space="preserve">PT- Contingência cívil da ex controlada Direct Express de - R$ 6,6 milhões
Eng - Civil contingency of the former subsidiary Direct Express - R$ 6.6 million;
</t>
        </r>
      </text>
    </comment>
    <comment ref="AC112" authorId="1" shapeId="0" xr:uid="{00000000-0006-0000-2100-000016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s>
  <commentList>
    <comment ref="N11" authorId="0" shapeId="0" xr:uid="{00000000-0006-0000-2200-000001000000}">
      <text>
        <r>
          <rPr>
            <sz val="9"/>
            <color indexed="81"/>
            <rFont val="Segoe UI"/>
            <family val="2"/>
          </rPr>
          <t>PT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EN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t>
        </r>
      </text>
    </comment>
    <comment ref="AC13" authorId="1" shapeId="0" xr:uid="{00000000-0006-0000-2200-000002000000}">
      <text>
        <r>
          <rPr>
            <sz val="9"/>
            <color indexed="81"/>
            <rFont val="Segoe UI"/>
            <family val="2"/>
          </rPr>
          <t>Pt - Crédito tributário extraordinário referente a imposto pago a maior R$12,9 milhões
Eng- Extraordinary tax credit regarding overpaid tax collection amounting R$ 12.9 million</t>
        </r>
      </text>
    </comment>
    <comment ref="N15" authorId="0" shapeId="0" xr:uid="{00000000-0006-0000-2200-000003000000}">
      <text>
        <r>
          <rPr>
            <sz val="9"/>
            <color indexed="81"/>
            <rFont val="Segoe UI"/>
            <family val="2"/>
          </rPr>
          <t xml:space="preserve">PT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EN - After reviewing the company’s deferred income tax, an unrecorded balance was indentified for the amount of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AX17" authorId="0" shapeId="0" xr:uid="{FE965BE0-B4A6-4E6B-8D0B-FF28EDCEB86F}">
      <text>
        <r>
          <rPr>
            <b/>
            <sz val="9"/>
            <color indexed="81"/>
            <rFont val="Segoe UI"/>
            <family val="2"/>
          </rPr>
          <t>Pt: (i) Inclui o montante de R$ 22.840 referente a parcela a ser paga de um terreno na cidade de Camaçari – BA, que foi negociado pelo valor total de R$ 40.000 em 2025, por meio da controlada Niyati Empreendimentos e Participações Ltda
Eng: (i) Includes the amount of BRL 22.840 related to an installment payable for land in the city of Camaçari – BA, through subsidiary Niyati Empreendimentos e Participações Ltda</t>
        </r>
      </text>
    </comment>
    <comment ref="AY17" authorId="0" shapeId="0" xr:uid="{DC6FED17-E5AE-4153-851B-4B10E9CAF9F3}">
      <text>
        <r>
          <rPr>
            <b/>
            <sz val="9"/>
            <color indexed="81"/>
            <rFont val="Segoe UI"/>
            <family val="2"/>
          </rPr>
          <t>Pt: (i) Inclui o montante de R$ 22.840 referente a parcela a ser paga de um terreno na cidade de Camaçari – BA, que foi negociado pelo valor total de R$ 40.000 em 2025, por meio da controlada Niyati Empreendimentos e Participações Ltda
Eng: (i) Includes the amount of BRL 22.840 related to an installment payable for land in the city of Camaçari – BA, through subsidiary Niyati Empreendimentos e Participações Ltda</t>
        </r>
        <r>
          <rPr>
            <sz val="9"/>
            <color indexed="81"/>
            <rFont val="Segoe UI"/>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Ian Nunes</author>
    <author>Rodolpho Magdaloni Agria</author>
    <author>Felipe Augusto Fogaça da Silva</author>
    <author>Ian Nunes Costa e Costa</author>
    <author>Felipe Silva</author>
  </authors>
  <commentList>
    <comment ref="N8" authorId="0" shapeId="0" xr:uid="{00000000-0006-0000-2500-000001000000}">
      <text>
        <r>
          <rPr>
            <sz val="9"/>
            <color indexed="81"/>
            <rFont val="Segoe UI"/>
            <family val="2"/>
          </rPr>
          <t>PT - Decisão de não prosseguir com a aquisição de um imóvel localizado em Resende-RJ destinado originalmente para de operação de logística de veículos, resultou em uma baixa com impacto negativo de R$ 1,031 milhão
EN - Decision not to proceed with the acquisition of a property located in Resende-RJ originally intended for vehicle logistics operation, resulted in a downturn with a negative impact of R $ 1,031 million</t>
        </r>
      </text>
    </comment>
    <comment ref="P9" authorId="1" shapeId="0" xr:uid="{00000000-0006-0000-2500-000002000000}">
      <text>
        <r>
          <rPr>
            <sz val="9"/>
            <color indexed="81"/>
            <rFont val="Segoe UI"/>
            <family val="2"/>
          </rPr>
          <t>PT - Contingência cívil da ex controlada Direct Express de R$ 15 milhões
EN - Civil contingency of the former subsidiary Direct Express of R $ 15 million</t>
        </r>
      </text>
    </comment>
    <comment ref="R9" authorId="1" shapeId="0" xr:uid="{00000000-0006-0000-2500-000003000000}">
      <text>
        <r>
          <rPr>
            <sz val="9"/>
            <color indexed="81"/>
            <rFont val="Segoe UI"/>
            <family val="2"/>
          </rPr>
          <t>PT - 8.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t>
        </r>
      </text>
    </comment>
    <comment ref="AK9" authorId="2" shapeId="0" xr:uid="{00000000-0006-0000-2500-000004000000}">
      <text>
        <r>
          <rPr>
            <sz val="9"/>
            <color indexed="81"/>
            <rFont val="Segoe UI"/>
            <family val="2"/>
          </rPr>
          <t xml:space="preserve">PT- Contingência cívil da ex controlada Direct Express de - R$ 6,6 milhões
Eng - Civil contingency of the former subsidiary Direct Express - R$ 6.6 million;
</t>
        </r>
      </text>
    </comment>
    <comment ref="Y10" authorId="3" shapeId="0" xr:uid="{00000000-0006-0000-2500-000005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R$ 56,5 milhões em outras receitas e despesas.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R$ 56.5 million in other revenues and expenses.</t>
        </r>
      </text>
    </comment>
    <comment ref="AF10" authorId="4" shapeId="0" xr:uid="{00000000-0006-0000-2500-000006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L10" authorId="3" shapeId="0" xr:uid="{00000000-0006-0000-2500-000007000000}">
      <text>
        <r>
          <rPr>
            <sz val="9"/>
            <color indexed="81"/>
            <rFont val="Segoe UI"/>
            <family val="2"/>
          </rPr>
          <t>PT- Créditos de PIS/ COFINS da controlada Catlog  - R$ 9,2 milhões
Eng - PIS/ COFINS tax credits from the subsidiary Catlog - R$ 9.2 million;</t>
        </r>
      </text>
    </comment>
    <comment ref="AH12" authorId="3" shapeId="0" xr:uid="{00000000-0006-0000-2500-000008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E13" authorId="4" shapeId="0" xr:uid="{00000000-0006-0000-2500-000009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L13" authorId="3" shapeId="0" xr:uid="{00000000-0006-0000-2500-00000A000000}">
      <text>
        <r>
          <rPr>
            <sz val="9"/>
            <color indexed="81"/>
            <rFont val="Segoe UI"/>
            <family val="2"/>
          </rPr>
          <t>PT- Provisão para antiga controlada referente ao Créditos de PIS/ COFINS da controlada Catlog  - R$ 2,9 milhões
Eng - Former Controlling Company provision reffering to PIS/ COFINS tax credits from the subsidiary Catlog - R$ 2.9 million;</t>
        </r>
      </text>
    </comment>
    <comment ref="AY13" authorId="3" shapeId="0" xr:uid="{693ACFF8-7277-42D9-835C-F77C7DEB7455}">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r>
          <rPr>
            <sz val="9"/>
            <color indexed="81"/>
            <rFont val="Segoe UI"/>
            <family val="2"/>
          </rPr>
          <t xml:space="preserve">
</t>
        </r>
      </text>
    </comment>
    <comment ref="P18" authorId="1" shapeId="0" xr:uid="{00000000-0006-0000-2500-00000B000000}">
      <text>
        <r>
          <rPr>
            <sz val="9"/>
            <color indexed="81"/>
            <rFont val="Segoe UI"/>
            <family val="2"/>
          </rPr>
          <t>PT - Baixa do ágio da Controlada Catlog
EN - controlled Catlog Goodwill impairment</t>
        </r>
      </text>
    </comment>
    <comment ref="P25" authorId="1" shapeId="0" xr:uid="{00000000-0006-0000-2500-00000C000000}">
      <text>
        <r>
          <rPr>
            <sz val="9"/>
            <color indexed="81"/>
            <rFont val="Segoe UI"/>
            <family val="2"/>
          </rPr>
          <t>PT - Contingência cívil da ex controlada Direct Express de R$ 15 milhões
EN - Civil contingency of the former subsidiary Direct Express of R $ 15 million</t>
        </r>
      </text>
    </comment>
    <comment ref="AK25" authorId="2" shapeId="0" xr:uid="{00000000-0006-0000-2500-00000D000000}">
      <text>
        <r>
          <rPr>
            <sz val="9"/>
            <color indexed="81"/>
            <rFont val="Segoe UI"/>
            <family val="2"/>
          </rPr>
          <t>PT- Contingência cívil da ex controlada Direct Express de - R$ 6,6 milhões
Eng - Civil contingency of the former subsidiary Direct Express - R$ 6.6 million;</t>
        </r>
      </text>
    </comment>
    <comment ref="Y26" authorId="3" shapeId="0" xr:uid="{00000000-0006-0000-2500-00000E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R$ 56,5 milhões em outras receitas e despesas.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R$ 56.5 million in other revenues and expenses.</t>
        </r>
      </text>
    </comment>
    <comment ref="AE29" authorId="3" shapeId="0" xr:uid="{00000000-0006-0000-2500-00000F000000}">
      <text>
        <r>
          <rPr>
            <sz val="9"/>
            <color indexed="81"/>
            <rFont val="Segoe UI"/>
            <family val="2"/>
          </rPr>
          <t xml:space="preserve">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
</t>
        </r>
      </text>
    </comment>
    <comment ref="P34" authorId="1" shapeId="0" xr:uid="{00000000-0006-0000-2500-000010000000}">
      <text>
        <r>
          <rPr>
            <sz val="9"/>
            <color indexed="81"/>
            <rFont val="Segoe UI"/>
            <family val="2"/>
          </rPr>
          <t>PT - Baixa do ágio da Controlada Catlog
EN - controlled Catlog Goodwill impairment</t>
        </r>
      </text>
    </comment>
    <comment ref="AF42" authorId="3" shapeId="0" xr:uid="{00000000-0006-0000-2500-000011000000}">
      <text>
        <r>
          <rPr>
            <sz val="9"/>
            <color indexed="81"/>
            <rFont val="Segoe UI"/>
            <family val="2"/>
          </rPr>
          <t xml:space="preserve">Pt - Crédito de PIS e COFINS proveniente da Exclusão de ICMS na Base de Cálculo: R$5,7 milhões
Eng: PIS and COFINS credit arising from the Exclusion of ICMS in the calculation Base: R$5,7 million
</t>
        </r>
      </text>
    </comment>
    <comment ref="AL42" authorId="3" shapeId="0" xr:uid="{00000000-0006-0000-2500-000012000000}">
      <text>
        <r>
          <rPr>
            <sz val="9"/>
            <color indexed="81"/>
            <rFont val="Segoe UI"/>
            <family val="2"/>
          </rPr>
          <t>PT- Créditos de PIS/ COFINS da controlada Catlog  - R$ 9,2 milhões
Eng - PIS/ COFINS tax credits from the subsidiary Catlog - R$ 9.2 million;</t>
        </r>
      </text>
    </comment>
    <comment ref="AH44" authorId="3" shapeId="0" xr:uid="{00000000-0006-0000-2500-000013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L45" authorId="3" shapeId="0" xr:uid="{00000000-0006-0000-2500-000014000000}">
      <text>
        <r>
          <rPr>
            <sz val="9"/>
            <color indexed="81"/>
            <rFont val="Segoe UI"/>
            <family val="2"/>
          </rPr>
          <t xml:space="preserve">PT- Provisão para antiga controlada referente ao Créditos de PIS/ COFINS da controlada Catlog  - R$ 2,9 milhões
Eng - Former Controlling Company provision reffering to PIS/ COFINS tax credits from the subsidiary Catlog - R$ 2.9 million;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s>
  <commentList>
    <comment ref="AN7" authorId="0" shapeId="0" xr:uid="{00000000-0006-0000-2600-000001000000}">
      <text>
        <r>
          <rPr>
            <sz val="9"/>
            <color indexed="81"/>
            <rFont val="Segoe UI"/>
            <family val="2"/>
          </rPr>
          <t xml:space="preserve">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
</t>
        </r>
      </text>
    </comment>
    <comment ref="AP7" authorId="0" shapeId="0" xr:uid="{00000000-0006-0000-2600-000002000000}">
      <text>
        <r>
          <rPr>
            <sz val="9"/>
            <color indexed="81"/>
            <rFont val="Segoe UI"/>
            <family val="2"/>
          </rPr>
          <t>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t>
        </r>
      </text>
    </comment>
    <comment ref="P9" authorId="1" shapeId="0" xr:uid="{00000000-0006-0000-2600-000003000000}">
      <text>
        <r>
          <rPr>
            <sz val="9"/>
            <color indexed="81"/>
            <rFont val="Segoe UI"/>
            <family val="2"/>
          </rPr>
          <t>Crédito de R$ 9,8 milhões por ganho de causa contra o recolhimento do Fundaf
EN - Credit of R $ 9.8 million due to gain of cause against the payment of Fundaf</t>
        </r>
      </text>
    </comment>
    <comment ref="AN14" authorId="0" shapeId="0" xr:uid="{00000000-0006-0000-2600-000004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P23" authorId="1" shapeId="0" xr:uid="{00000000-0006-0000-2600-000005000000}">
      <text>
        <r>
          <rPr>
            <sz val="9"/>
            <color indexed="81"/>
            <rFont val="Segoe UI"/>
            <family val="2"/>
          </rPr>
          <t>Crédito de R$ 9,8 milhões por ganho de causa contra o recolhimento do Fundaf
EN - Credit of R $ 9.8 million due to gain of cause against the payment of Fundaf</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Y8" authorId="0" shapeId="0" xr:uid="{00000000-0006-0000-2700-000001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t>
        </r>
        <r>
          <rPr>
            <b/>
            <sz val="9"/>
            <color indexed="81"/>
            <rFont val="Segoe UI"/>
            <family val="2"/>
          </rPr>
          <t>além de um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t>
        </r>
        <r>
          <rPr>
            <b/>
            <sz val="9"/>
            <color indexed="81"/>
            <rFont val="Segoe UI"/>
            <family val="2"/>
          </rPr>
          <t>in addition to a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Y11" authorId="0" shapeId="0" xr:uid="{00000000-0006-0000-2700-000002000000}">
      <text>
        <r>
          <rPr>
            <sz val="9"/>
            <color indexed="81"/>
            <rFont val="Segoe UI"/>
            <family val="2"/>
          </rPr>
          <t xml:space="preserve">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
</t>
        </r>
      </text>
    </comment>
    <comment ref="Y22" authorId="0" shapeId="0" xr:uid="{00000000-0006-0000-2700-000003000000}">
      <text>
        <r>
          <rPr>
            <sz val="9"/>
            <color indexed="81"/>
            <rFont val="Segoe UI"/>
            <family val="2"/>
          </rPr>
          <t xml:space="preserve">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Ian Nunes Costa e Costa</author>
    <author>William Estrela Dantas dos Santos</author>
  </authors>
  <commentList>
    <comment ref="AL7" authorId="0" shapeId="0" xr:uid="{00000000-0006-0000-2800-000001000000}">
      <text>
        <r>
          <rPr>
            <sz val="9"/>
            <color indexed="81"/>
            <rFont val="Segoe UI"/>
            <family val="2"/>
          </rPr>
          <t xml:space="preserve">PT- Honorários devidos pelos Créditos de PIS/ COFINS da controlada Catlog  - R$ 0,9 milhões
Eng - PIS/ COFINS tax credits from the subsidiary Catlog (Lawyer fee) - R$ 0.9 million;
</t>
        </r>
      </text>
    </comment>
    <comment ref="AA8" authorId="1" shapeId="0" xr:uid="{00000000-0006-0000-2800-000002000000}">
      <text>
        <r>
          <rPr>
            <b/>
            <sz val="9"/>
            <color indexed="81"/>
            <rFont val="Segoe UI"/>
            <family val="2"/>
          </rPr>
          <t xml:space="preserve">PT- </t>
        </r>
        <r>
          <rPr>
            <sz val="9"/>
            <color indexed="81"/>
            <rFont val="Segoe UI"/>
            <family val="2"/>
          </rPr>
          <t>A remuneração da administração passa a integrar as "Despesas gerais e administrativas"</t>
        </r>
        <r>
          <rPr>
            <b/>
            <sz val="9"/>
            <color indexed="81"/>
            <rFont val="Segoe UI"/>
            <family val="2"/>
          </rPr>
          <t xml:space="preserve">
Eng - </t>
        </r>
        <r>
          <rPr>
            <sz val="9"/>
            <color indexed="81"/>
            <rFont val="Segoe UI"/>
            <family val="2"/>
          </rPr>
          <t>Key management personnel compensation is now included in "General and administrative expenses"</t>
        </r>
      </text>
    </comment>
    <comment ref="AL15" authorId="0" shapeId="0" xr:uid="{00000000-0006-0000-2800-000003000000}">
      <text>
        <r>
          <rPr>
            <sz val="9"/>
            <color indexed="81"/>
            <rFont val="Segoe UI"/>
            <family val="2"/>
          </rPr>
          <t xml:space="preserve">PT- Honorários devidos pelos Créditos de PIS/ COFINS da controlada Catlog  - R$ 0,9 milhões
Eng - PIS/ COFINS tax credits from the subsidiary Catlog (Lawyer fee) - R$ 0.9 million;
</t>
        </r>
      </text>
    </comment>
    <comment ref="AA16" authorId="1" shapeId="0" xr:uid="{00000000-0006-0000-2800-000004000000}">
      <text>
        <r>
          <rPr>
            <b/>
            <sz val="9"/>
            <color indexed="81"/>
            <rFont val="Segoe UI"/>
            <family val="2"/>
          </rPr>
          <t xml:space="preserve">PT- </t>
        </r>
        <r>
          <rPr>
            <sz val="9"/>
            <color indexed="81"/>
            <rFont val="Segoe UI"/>
            <family val="2"/>
          </rPr>
          <t>A remuneração da administração passa a integrar as "Despesas gerais e administrativas"</t>
        </r>
        <r>
          <rPr>
            <b/>
            <sz val="9"/>
            <color indexed="81"/>
            <rFont val="Segoe UI"/>
            <family val="2"/>
          </rPr>
          <t xml:space="preserve">
Eng</t>
        </r>
        <r>
          <rPr>
            <sz val="9"/>
            <color indexed="81"/>
            <rFont val="Segoe UI"/>
            <family val="2"/>
          </rPr>
          <t xml:space="preserve"> - Key management personnel compensation is now included in "General and administrative expenses"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Felipe Silva</author>
    <author>Felipe Augusto Fogaça da Silva</author>
  </authors>
  <commentList>
    <comment ref="P7" authorId="0" shapeId="0" xr:uid="{00000000-0006-0000-2900-000001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adjustment of LALUR Rectification of 2014 (positive R $ 3.8 million) and monetary adjustment of FUNDAF Rectification (positive R $ 3.9 million)</t>
        </r>
      </text>
    </comment>
    <comment ref="R7" authorId="0" shapeId="0" xr:uid="{00000000-0006-0000-2900-000002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EN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
</t>
        </r>
      </text>
    </comment>
    <comment ref="Y7" authorId="1" shapeId="0" xr:uid="{00000000-0006-0000-2900-000003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t>
        </r>
        <r>
          <rPr>
            <b/>
            <sz val="9"/>
            <color indexed="81"/>
            <rFont val="Segoe UI"/>
            <family val="2"/>
          </rPr>
          <t>R$ 34,9 milhões em receitas financeiras referente à correção monetária)</t>
        </r>
        <r>
          <rPr>
            <sz val="9"/>
            <color indexed="81"/>
            <rFont val="Segoe UI"/>
            <family val="2"/>
          </rPr>
          <t xml:space="preserve">,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R$ 1.6 million of PIS/COFINS tax on financial income and provision of R$ 28.4 million of income tax on book entry.
</t>
        </r>
      </text>
    </comment>
    <comment ref="AF7" authorId="2" shapeId="0" xr:uid="{00000000-0006-0000-2900-000004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text>
    </comment>
    <comment ref="AL7" authorId="1" shapeId="0" xr:uid="{00000000-0006-0000-2900-000005000000}">
      <text>
        <r>
          <rPr>
            <sz val="9"/>
            <color indexed="81"/>
            <rFont val="Segoe UI"/>
            <family val="2"/>
          </rPr>
          <t>PT- Correção mpnetária dos Créditos de PIS/ COFINS da controlada Catlog  - R$ 6,1 milhões
Eng - PIS/ COFINS tax credits from the subsidiary Catlog monetary Correction - R$ 6.1 million;</t>
        </r>
      </text>
    </comment>
    <comment ref="AN7" authorId="3" shapeId="0" xr:uid="{00000000-0006-0000-2900-000006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text>
    </comment>
    <comment ref="AO7" authorId="3" shapeId="0" xr:uid="{00000000-0006-0000-2900-000007000000}">
      <text>
        <r>
          <rPr>
            <sz val="9"/>
            <color indexed="81"/>
            <rFont val="Segoe UI"/>
            <family val="2"/>
          </rPr>
          <t>Pt - Correção monetária do Crédito de PIS e COFINS priveniente da Exclusão de ICMS na Base de Cálculo: R$ 0,4 milhões
Eng - Pt - Monetary adjustment of the PIS and COFINS Credit arising from the Exclusion of ICMS in the Calculation Base: R$ 0.4 million</t>
        </r>
        <r>
          <rPr>
            <sz val="9"/>
            <color indexed="81"/>
            <rFont val="Segoe UI"/>
            <family val="2"/>
          </rPr>
          <t xml:space="preserve">
</t>
        </r>
      </text>
    </comment>
    <comment ref="AR7" authorId="1" shapeId="0" xr:uid="{00000000-0006-0000-2900-000008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R12" authorId="0" shapeId="0" xr:uid="{00000000-0006-0000-2900-000009000000}">
      <text>
        <r>
          <rPr>
            <sz val="9"/>
            <color indexed="81"/>
            <rFont val="Segoe UI"/>
            <family val="2"/>
          </rPr>
          <t xml:space="preserve">PT - 9.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t>
        </r>
      </text>
    </comment>
    <comment ref="U18" authorId="1" shapeId="0" xr:uid="{00000000-0006-0000-2900-00000A000000}">
      <text>
        <r>
          <rPr>
            <sz val="9"/>
            <color indexed="81"/>
            <rFont val="Segoe UI"/>
            <family val="2"/>
          </rPr>
          <t xml:space="preserve">PT - Juros e multa denúncia espontânea TCE R$ 2,030 M
Eng - Fine and interest upon spontaneous denouncement TCE R$ 2.030 M
</t>
        </r>
      </text>
    </comment>
    <comment ref="Y20" authorId="1" shapeId="0" xr:uid="{00000000-0006-0000-2900-00000B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t>
        </r>
        <r>
          <rPr>
            <b/>
            <sz val="9"/>
            <color indexed="81"/>
            <rFont val="Segoe UI"/>
            <family val="2"/>
          </rPr>
          <t xml:space="preserve">R$ 1,6 milhão de PIS/COFINS sobre a receita financeira </t>
        </r>
        <r>
          <rPr>
            <sz val="9"/>
            <color indexed="81"/>
            <rFont val="Segoe UI"/>
            <family val="2"/>
          </rPr>
          <t xml:space="preserve">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t>
        </r>
        <r>
          <rPr>
            <b/>
            <sz val="9"/>
            <color indexed="81"/>
            <rFont val="Segoe UI"/>
            <family val="2"/>
          </rPr>
          <t>R$ 1.6 million of PIS/COFINS tax on financial income</t>
        </r>
        <r>
          <rPr>
            <sz val="9"/>
            <color indexed="81"/>
            <rFont val="Segoe UI"/>
            <family val="2"/>
          </rPr>
          <t xml:space="preserve"> and provision of R$ 28.4 million of income tax on book entry.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Ian Nunes</author>
    <author>William Estrela Dantas dos Santos</author>
    <author>Felipe Silva</author>
    <author>Felipe Augusto Fogaça da Silva</author>
  </authors>
  <commentList>
    <comment ref="AC9" authorId="0" shapeId="0" xr:uid="{00000000-0006-0000-0400-000001000000}">
      <text>
        <r>
          <rPr>
            <sz val="9"/>
            <color indexed="81"/>
            <rFont val="Segoe UI"/>
            <family val="2"/>
          </rPr>
          <t>PT - Crédito de R$ 9,8 milhões por ganho de causa contra o recolhimento do Fundaf
EN - R$ 9.8 million credit from Fundaf dispute gain</t>
        </r>
      </text>
    </comment>
    <comment ref="AH9" authorId="1" shapeId="0" xr:uid="{00000000-0006-0000-0400-000002000000}">
      <text>
        <r>
          <rPr>
            <sz val="9"/>
            <color indexed="81"/>
            <rFont val="Segoe UI"/>
            <family val="2"/>
          </rPr>
          <t>PT - Denúncia espontânea imposto ICMS R$ 5,252 M
Eng - Spontaneous denouncement on fiscal payment R$ 5.252 M</t>
        </r>
      </text>
    </comment>
    <comment ref="AI9" authorId="1" shapeId="0" xr:uid="{00000000-0006-0000-04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R$ 10.3 M [R$ 4.5 M - 2017 | R$ 6.1 M - 2018]
</t>
        </r>
      </text>
    </comment>
    <comment ref="BA9" authorId="1" shapeId="0" xr:uid="{00000000-0006-0000-0400-000004000000}">
      <text>
        <r>
          <rPr>
            <sz val="9"/>
            <color indexed="81"/>
            <rFont val="Segoe UI"/>
            <family val="2"/>
          </rPr>
          <t xml:space="preserve">Desconto a clientes foram concedidos relacionado a descasamento do repasse da queda do preço do Diesel de períodos anteriores (R$ 1,8 milhão)
</t>
        </r>
      </text>
    </comment>
    <comment ref="BC9" authorId="1" shapeId="0" xr:uid="{00000000-0006-0000-0400-000005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AA11" authorId="2" shapeId="0" xr:uid="{00000000-0006-0000-0400-000006000000}">
      <text>
        <r>
          <rPr>
            <sz val="9"/>
            <color indexed="81"/>
            <rFont val="Segoe UI"/>
            <family val="2"/>
          </rPr>
          <t>PT - Crédito de R$ 2.638 milhões relacionado ao recolhimento de INSS sobre verbas indenizatórias.
EN - Credit of R $ 2,638 million related to the collection of INSS on indemnification funds.</t>
        </r>
      </text>
    </comment>
    <comment ref="AE11" authorId="2" shapeId="0" xr:uid="{00000000-0006-0000-0400-000007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t>
        </r>
      </text>
    </comment>
    <comment ref="AA12" authorId="0" shapeId="0" xr:uid="{00000000-0006-0000-0400-000008000000}">
      <text>
        <r>
          <rPr>
            <sz val="9"/>
            <color indexed="81"/>
            <rFont val="Segoe UI"/>
            <family val="2"/>
          </rPr>
          <t>PT - Crédito de R$ 2.638 milhões relacionado ao recolhimento de INSS sobre verbas indenizatórias.
EN - Credit of R $ 2,638 million related to the collection of INSS on indemnification funds.</t>
        </r>
      </text>
    </comment>
    <comment ref="U14" authorId="2" shapeId="0" xr:uid="{00000000-0006-0000-0400-000009000000}">
      <text>
        <r>
          <rPr>
            <sz val="9"/>
            <color indexed="81"/>
            <rFont val="Segoe UI"/>
            <family val="2"/>
          </rPr>
          <t>Custos de reestruturação da operação de armazenagem, no valor de R$ 3.704 mil
EN - Restructuring costs of the warehousing operation, in the amount of R$ 3,704 thousand</t>
        </r>
      </text>
    </comment>
    <comment ref="W14" authorId="2" shapeId="0" xr:uid="{00000000-0006-0000-0400-00000A000000}">
      <text>
        <r>
          <rPr>
            <sz val="9"/>
            <color indexed="81"/>
            <rFont val="Segoe UI"/>
            <family val="2"/>
          </rPr>
          <t>PT - Custos de reestruturação da operação de armazenagem, no valor de R$ 6.697 mil
EN - Restructuring costs of the warehousing operation, in the amount of R$ 6,697 thousand</t>
        </r>
      </text>
    </comment>
    <comment ref="AL14" authorId="1" shapeId="0" xr:uid="{00000000-0006-0000-0400-00000B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t>
        </r>
      </text>
    </comment>
    <comment ref="AQ14" authorId="1" shapeId="0" xr:uid="{00000000-0006-0000-0400-00000C000000}">
      <text>
        <r>
          <rPr>
            <sz val="9"/>
            <color indexed="81"/>
            <rFont val="Segoe UI"/>
            <family val="2"/>
          </rPr>
          <t>PT: Custos relacionados à desmobilização de um armazém em Barueri-SP no montante de R$ 2,9 M
Eng: Costs related to demobilization of a warehouse in Barueri-SP amounting R$ 2.9 M</t>
        </r>
      </text>
    </comment>
    <comment ref="AE15" authorId="2" shapeId="0" xr:uid="{00000000-0006-0000-0400-00000D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t>
        </r>
      </text>
    </comment>
    <comment ref="AL15" authorId="1" shapeId="0" xr:uid="{00000000-0006-0000-0400-00000E000000}">
      <text>
        <r>
          <rPr>
            <sz val="9"/>
            <color indexed="81"/>
            <rFont val="Segoe UI"/>
            <family val="2"/>
          </rPr>
          <t>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t>
        </r>
      </text>
    </comment>
    <comment ref="AA17" authorId="2" shapeId="0" xr:uid="{00000000-0006-0000-0400-00000F000000}">
      <text>
        <r>
          <rPr>
            <sz val="9"/>
            <color indexed="81"/>
            <rFont val="Segoe UI"/>
            <family val="2"/>
          </rPr>
          <t>PT - Crédito de R$ 532 mil relacionado ao recolhimento de INSS sobre verbas indenizatórias 
- Perda de R$ 1,5 milhão no 4T16 referente à decisão de não prosseguir com aquisição de um imóvel para pátio de operação de logística de veículos em São José dos Campos-SP.
EN - Credit of R $ 532 thousand related to the collection of INSS on indemnification amounts
- Loss of R $ 1.5 million in 4Q16 referring to the decision not to proceed with the acquisition of a property for a vehicle logistics operation yard in São José dos Campos-SP.</t>
        </r>
      </text>
    </comment>
    <comment ref="AI17" authorId="1" shapeId="0" xr:uid="{00000000-0006-0000-0400-000010000000}">
      <text>
        <r>
          <rPr>
            <sz val="9"/>
            <color indexed="81"/>
            <rFont val="Segoe UI"/>
            <family val="2"/>
          </rPr>
          <t>PT- Custos de sucumbência de processo judicial de operação descontinuada: R$2,0M
Eng - Defeat legal fee for discontinued operation: R$ 2.0M</t>
        </r>
      </text>
    </comment>
    <comment ref="AN17" authorId="3" shapeId="0" xr:uid="{00000000-0006-0000-0400-000011000000}">
      <text>
        <r>
          <rPr>
            <b/>
            <sz val="9"/>
            <color indexed="81"/>
            <rFont val="Segoe UI"/>
            <family val="2"/>
          </rPr>
          <t xml:space="preserve">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AY17" authorId="1" shapeId="0" xr:uid="{00000000-0006-0000-0400-000012000000}">
      <text>
        <r>
          <rPr>
            <sz val="9"/>
            <color indexed="81"/>
            <rFont val="Segoe UI"/>
            <family val="2"/>
          </rPr>
          <t>PT- Honorários devidos pelos Créditos de PIS/ COFINS da controlada Catlog  - R$ 0,9 milhões
Eng - PIS/ COFINS tax credits from the subsidiary Catlog (Lawyer fee) - R$ 0.9 million;</t>
        </r>
        <r>
          <rPr>
            <sz val="9"/>
            <color indexed="81"/>
            <rFont val="Segoe UI"/>
            <family val="2"/>
          </rPr>
          <t xml:space="preserve">
</t>
        </r>
      </text>
    </comment>
    <comment ref="W18" authorId="2" shapeId="0" xr:uid="{00000000-0006-0000-0400-000013000000}">
      <text>
        <r>
          <rPr>
            <sz val="9"/>
            <color indexed="81"/>
            <rFont val="Segoe UI"/>
            <family val="2"/>
          </rPr>
          <t>PT - A companhia realizou um reforço de provisão para contingências trabalhistas que impactou o resultado no montante de R$ 12.744.
Adicionalmente, foram detectadas inconsistências em saldos de depósitos judiciais que apontava para baixa de R$ 5.617 no resultado.
EN - The company made a reinforcement of the provision for labor contingencies that impacted the result in the amount of R $ 12,744.
In addition, inconsistencies were detected in escrow balances that indicated a decrease of R $ 5,617 in the result.</t>
        </r>
      </text>
    </comment>
    <comment ref="X18" authorId="2" shapeId="0" xr:uid="{00000000-0006-0000-0400-000014000000}">
      <text>
        <r>
          <rPr>
            <sz val="9"/>
            <color indexed="81"/>
            <rFont val="Segoe UI"/>
            <family val="2"/>
          </rPr>
          <t>PT - Impacto de positivo de R$ 1.270 referente à negociação da administração da folha de pagamentos da Tegma
EN - Positive impact of R$ 1,270 referring to the negotiation of the administration  payroll</t>
        </r>
      </text>
    </comment>
    <comment ref="AA18" authorId="2" shapeId="0" xr:uid="{00000000-0006-0000-0400-000015000000}">
      <text>
        <r>
          <rPr>
            <sz val="9"/>
            <color indexed="81"/>
            <rFont val="Segoe UI"/>
            <family val="2"/>
          </rPr>
          <t>PT - Decisão de não prosseguir com a aquisição de um imóvel localizado em Resende-RJ destinado originalmente para de operação de logística de veículos, resultou em uma baixa com impacto negativo de R$ 1,031 milhão
EN - Decision not to proceed with the acquisition of a property located in Resende-RJ originally intended for vehicle logistics operation, resulted in a downturn with a negative impact of R $ 1,031 million</t>
        </r>
      </text>
    </comment>
    <comment ref="AC18" authorId="0" shapeId="0" xr:uid="{00000000-0006-0000-0400-000016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AD18" authorId="1" shapeId="0" xr:uid="{00000000-0006-0000-0400-000017000000}">
      <text>
        <r>
          <rPr>
            <sz val="9"/>
            <color indexed="81"/>
            <rFont val="Segoe UI"/>
            <family val="2"/>
          </rPr>
          <t xml:space="preserve">PT - Baixa no valo de R$ 5,7 milhões referente a contas a receber da Direct
EN - Write off of Direct account receivable amounting R$ 5.7 million </t>
        </r>
      </text>
    </comment>
    <comment ref="AE18" authorId="2" shapeId="0" xr:uid="{00000000-0006-0000-0400-000018000000}">
      <text>
        <r>
          <rPr>
            <sz val="9"/>
            <color indexed="81"/>
            <rFont val="Segoe UI"/>
            <family val="2"/>
          </rPr>
          <t xml:space="preserve">PT -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AI18" authorId="1" shapeId="0" xr:uid="{00000000-0006-0000-0400-000019000000}">
      <text>
        <r>
          <rPr>
            <sz val="9"/>
            <color indexed="81"/>
            <rFont val="Segoe UI"/>
            <family val="2"/>
          </rPr>
          <t xml:space="preserve">PT- Contingência cívil da ex controlada Direct Express de - R$ 14,5 milhões
PT- Custos de sucumbência de processo judicial de operação descontinuada: R$0,9M
Eng - Civil contingency of the former subsidiary Direct Express - R$ 14.5 million;
Eng - Defeat legal fee for discontinued operation: R$ 0.9M
</t>
        </r>
      </text>
    </comment>
    <comment ref="AL18" authorId="1" shapeId="0" xr:uid="{00000000-0006-0000-0400-00001A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t>
        </r>
        <r>
          <rPr>
            <b/>
            <sz val="9"/>
            <color indexed="81"/>
            <rFont val="Segoe UI"/>
            <family val="2"/>
          </rPr>
          <t xml:space="preserve">R$ 56,5 milhões em outras receitas e despesas </t>
        </r>
        <r>
          <rPr>
            <sz val="9"/>
            <color indexed="81"/>
            <rFont val="Segoe UI"/>
            <family val="2"/>
          </rPr>
          <t>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r>
          <rPr>
            <b/>
            <sz val="9"/>
            <color indexed="81"/>
            <rFont val="Segoe UI"/>
            <family val="2"/>
          </rPr>
          <t>R$ 56.5 million in other revenues and expenses</t>
        </r>
        <r>
          <rPr>
            <sz val="9"/>
            <color indexed="81"/>
            <rFont val="Segoe UI"/>
            <family val="2"/>
          </rPr>
          <t xml:space="preserve">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AQ18" authorId="1" shapeId="0" xr:uid="{00000000-0006-0000-0400-00001B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R18" authorId="1" shapeId="0" xr:uid="{00000000-0006-0000-0400-00001C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S18" authorId="4" shapeId="0" xr:uid="{00000000-0006-0000-0400-00001D000000}">
      <text>
        <r>
          <rPr>
            <sz val="9"/>
            <color indexed="81"/>
            <rFont val="Segoe UI"/>
            <family val="2"/>
          </rPr>
          <t xml:space="preserve">Pt - Crédito de PIS e COFINS proveniente da Exclusão de ICMS na Base de Cálculo: R$5.7 milhões
Eng: PIS and COFINS credit arising from the Exclusion of ICMS in the calculation Base: R$5.7 million
</t>
        </r>
      </text>
    </comment>
    <comment ref="AT18" authorId="5" shapeId="0" xr:uid="{00000000-0006-0000-0400-00001E000000}">
      <text>
        <r>
          <rPr>
            <sz val="9"/>
            <color indexed="81"/>
            <rFont val="Segoe UI"/>
            <family val="2"/>
          </rPr>
          <t>PT - Despesas com assessorias financeiras e jurídicas relacionadas à oferta de combinação de negócios de combinação de negócios recebida no trimestre: R$ 1,1 milhão
Eng - Financial and legal advisory expenses related to the Tender offer of  business combination in the quarter: R$1.1 million</t>
        </r>
        <r>
          <rPr>
            <b/>
            <sz val="9"/>
            <color indexed="81"/>
            <rFont val="Segoe UI"/>
            <family val="2"/>
          </rPr>
          <t xml:space="preserve">
</t>
        </r>
      </text>
    </comment>
    <comment ref="AU18" authorId="4" shapeId="0" xr:uid="{00000000-0006-0000-0400-00001F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X18" authorId="5" shapeId="0" xr:uid="{00000000-0006-0000-0400-000020000000}">
      <text>
        <r>
          <rPr>
            <sz val="9"/>
            <color indexed="81"/>
            <rFont val="Segoe UI"/>
            <family val="2"/>
          </rPr>
          <t>PT- Contingência cívil da ex controlada Direct Express de - R$ 6,6 milhões
Eng - Civil contingency of the former subsidiary Direct Express - R$ 6.6 million;</t>
        </r>
      </text>
    </comment>
    <comment ref="AY18" authorId="5" shapeId="0" xr:uid="{00000000-0006-0000-0400-000021000000}">
      <text>
        <r>
          <rPr>
            <sz val="9"/>
            <color indexed="81"/>
            <rFont val="Segoe UI"/>
            <family val="2"/>
          </rPr>
          <t xml:space="preserve">PT- Créditos de PIS/ COFINS da controlada Catlog (líquido de honorários advocatícios)  - R$ 5,5 milhões
Eng - PIS/ COFINS tax credits from the subsidiary Catlog (net of lawyer fees) - R$ 5.5 million;
</t>
        </r>
      </text>
    </comment>
    <comment ref="BL18" authorId="1" shapeId="0" xr:uid="{91307DEF-D8D2-4DF4-A351-F53DE3CFD95D}">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r>
          <rPr>
            <sz val="9"/>
            <color indexed="81"/>
            <rFont val="Segoe UI"/>
            <family val="2"/>
          </rPr>
          <t xml:space="preserve">
</t>
        </r>
      </text>
    </comment>
    <comment ref="W21" authorId="2" shapeId="0" xr:uid="{00000000-0006-0000-0400-000022000000}">
      <text>
        <r>
          <rPr>
            <sz val="9"/>
            <color indexed="81"/>
            <rFont val="Segoe UI"/>
            <family val="2"/>
          </rPr>
          <t>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t>
        </r>
      </text>
    </comment>
    <comment ref="X21" authorId="2" shapeId="0" xr:uid="{00000000-0006-0000-0400-000023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 $ 2,283.</t>
        </r>
      </text>
    </comment>
    <comment ref="Z21" authorId="2" shapeId="0" xr:uid="{00000000-0006-0000-0400-000024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R$ 4,619</t>
        </r>
      </text>
    </comment>
    <comment ref="AA21" authorId="2" shapeId="0" xr:uid="{00000000-0006-0000-0400-000025000000}">
      <text>
        <r>
          <rPr>
            <sz val="9"/>
            <color indexed="81"/>
            <rFont val="Segoe UI"/>
            <family val="2"/>
          </rPr>
          <t>PT - Atualização monetária do saldo recolhido de INSS sobre verbas indenizatórias entre 2011 e 2014 no montante de R$ 1.214 milhão positivo;
EN - Monetary updating of the balance collected from INSS on indemnity amounts between 2011 and 2014 in the amount of R $ 1,214 million positive;</t>
        </r>
      </text>
    </comment>
    <comment ref="AC21" authorId="0" shapeId="0" xr:uid="{00000000-0006-0000-0400-000026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AE21" authorId="0" shapeId="0" xr:uid="{00000000-0006-0000-0400-000027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t>
        </r>
      </text>
    </comment>
    <comment ref="AH21" authorId="1" shapeId="0" xr:uid="{00000000-0006-0000-0400-000028000000}">
      <text>
        <r>
          <rPr>
            <sz val="9"/>
            <color indexed="81"/>
            <rFont val="Segoe UI"/>
            <family val="2"/>
          </rPr>
          <t xml:space="preserve">PT - Juros e multa denúncia espontânea TCE R$ 2,030 M
Eng - Fine and interest upon spontaneous denouncement TCE R$ 2.030 M </t>
        </r>
      </text>
    </comment>
    <comment ref="BE21" authorId="1" shapeId="0" xr:uid="{00000000-0006-0000-0400-000029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r>
          <rPr>
            <sz val="9"/>
            <color indexed="81"/>
            <rFont val="Segoe UI"/>
            <family val="2"/>
          </rPr>
          <t xml:space="preserve">
</t>
        </r>
      </text>
    </comment>
    <comment ref="W22" authorId="2" shapeId="0" xr:uid="{00000000-0006-0000-0400-00002A000000}">
      <text>
        <r>
          <rPr>
            <sz val="9"/>
            <color indexed="81"/>
            <rFont val="Segoe UI"/>
            <family val="2"/>
          </rPr>
          <t xml:space="preserve">A Companhia aderiu ao Programa de Recuperação Fiscal (PRORELIT) para quitação de débitos gerados por aproveitamento fiscal de ágios gerados por aquisições no valor de R$ 4.811 </t>
        </r>
      </text>
    </comment>
    <comment ref="X22" authorId="2" shapeId="0" xr:uid="{00000000-0006-0000-0400-00002B000000}">
      <text>
        <r>
          <rPr>
            <sz val="9"/>
            <color indexed="81"/>
            <rFont val="Segoe UI"/>
            <family val="2"/>
          </rPr>
          <t>A Companhia aderiu ao Programa de Recuperação Fiscal (PRORELIT) para quitação de débitos gerados por aproveitamento fiscal de ágios gerados por aquisições no valor de R$ 2.283.</t>
        </r>
      </text>
    </comment>
    <comment ref="Z22" authorId="2" shapeId="0" xr:uid="{00000000-0006-0000-0400-00002C000000}">
      <text>
        <r>
          <rPr>
            <sz val="9"/>
            <color indexed="81"/>
            <rFont val="Segoe UI"/>
            <family val="2"/>
          </rPr>
          <t xml:space="preserve">A Companhia aderiu ao Programa de Recuperação Fiscal (PRORELIT) para quitação de débitos gerados por aproveitamento fiscal de ágios gerados por aquisições no valor de R$ 4.619 </t>
        </r>
      </text>
    </comment>
    <comment ref="AL22" authorId="1" shapeId="0" xr:uid="{00000000-0006-0000-0400-00002D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t>
        </r>
        <r>
          <rPr>
            <b/>
            <sz val="9"/>
            <color indexed="81"/>
            <rFont val="Segoe UI"/>
            <family val="2"/>
          </rPr>
          <t>R$ 1,6 milhão de PIS/COFINS sobre a receita financeira</t>
        </r>
        <r>
          <rPr>
            <sz val="9"/>
            <color indexed="81"/>
            <rFont val="Segoe UI"/>
            <family val="2"/>
          </rPr>
          <t xml:space="preserve">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t>
        </r>
        <r>
          <rPr>
            <b/>
            <sz val="9"/>
            <color indexed="81"/>
            <rFont val="Segoe UI"/>
            <family val="2"/>
          </rPr>
          <t>R$ 1.6 million of PIS/COFINS tax on financial income</t>
        </r>
        <r>
          <rPr>
            <sz val="9"/>
            <color indexed="81"/>
            <rFont val="Segoe UI"/>
            <family val="2"/>
          </rPr>
          <t xml:space="preserve"> and provision of R$ 28.4 million of income tax on book entry.</t>
        </r>
      </text>
    </comment>
    <comment ref="AL23" authorId="1" shapeId="0" xr:uid="{00000000-0006-0000-0400-00002E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t>
        </r>
        <r>
          <rPr>
            <b/>
            <sz val="9"/>
            <color indexed="81"/>
            <rFont val="Segoe UI"/>
            <family val="2"/>
          </rPr>
          <t xml:space="preserve"> R$ 34,9 milhões em receitas financeiras referente à correção monetária</t>
        </r>
        <r>
          <rPr>
            <sz val="9"/>
            <color indexed="81"/>
            <rFont val="Segoe UI"/>
            <family val="2"/>
          </rPr>
          <t xml:space="preserve">),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R$ 1.6 million of PIS/COFINS tax on financial income and provision of R$ 28.4 million of income tax on book entry.
</t>
        </r>
      </text>
    </comment>
    <comment ref="AS23" authorId="4" shapeId="0" xr:uid="{00000000-0006-0000-0400-00002F000000}">
      <text>
        <r>
          <rPr>
            <sz val="9"/>
            <color indexed="81"/>
            <rFont val="Segoe UI"/>
            <family val="2"/>
          </rPr>
          <t xml:space="preserve">Pt - Correção monetária do Crédito de PIS e COFINS priveniente da Exclusão de ICMS na Base de Cálculo: R$3,4 milhões
Eng - Pt - Monetary adjustment of the PIS and COFINS Credit arising from the Exclusion of ICMS in the Calculation Base: R$3.4 million
</t>
        </r>
      </text>
    </comment>
    <comment ref="AY23" authorId="5" shapeId="0" xr:uid="{00000000-0006-0000-0400-000030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BA23" authorId="5" shapeId="0" xr:uid="{00000000-0006-0000-0400-000031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BE23" authorId="1" shapeId="0" xr:uid="{00000000-0006-0000-0400-000032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W25" authorId="2" shapeId="0" xr:uid="{00000000-0006-0000-0400-000033000000}">
      <text>
        <r>
          <rPr>
            <sz val="9"/>
            <color indexed="81"/>
            <rFont val="Segoe UI"/>
            <family val="2"/>
          </rPr>
          <t>PT - No trimestre houve o impacto no IRCSLL do seguintes eventos:
- PRORELIT (MP 685/15) e efeitos de IRCS diferidos: R$ 5.013
- Reconhecimento de diferidos passados (TCE): -R$ 5.442
- Baixa de diferidos (Ágio da Achyntia e Boni): -R$ 4,066
EN - In the quarter there was the impact on IRCSLL of the following events:
- PRORELIT (MP 685/15) and effects of deferred IRCS: R $ 5,013
- Recognition of past deferrals (TCE): -R $ 5,442
- Write-off of deferred charges (Goodwill of Achyntia and Boni): -R $ 4,066</t>
        </r>
      </text>
    </comment>
    <comment ref="AC25" authorId="0" shapeId="0" xr:uid="{00000000-0006-0000-0400-000034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negativos
EN - LALUR rectification of 2014 impacted positive R $ 10.9 million
- Payment of income tax on the gain of Fundaf's cause R $ 1.9 million
- Deferred Income tax constitution on the civil contingency of the former subsidiary Direct negative R $ 5.1 million</t>
        </r>
      </text>
    </comment>
    <comment ref="AE25" authorId="2" shapeId="0" xr:uid="{00000000-0006-0000-0400-000035000000}">
      <text>
        <r>
          <rPr>
            <b/>
            <sz val="9"/>
            <color indexed="81"/>
            <rFont val="Segoe UI"/>
            <family val="2"/>
          </rPr>
          <t>PT - Impacto no imposto de renda dos seguintes eventos:</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t>
        </r>
        <r>
          <rPr>
            <b/>
            <sz val="9"/>
            <color indexed="81"/>
            <rFont val="Segoe UI"/>
            <family val="2"/>
          </rPr>
          <t>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I25" authorId="1" shapeId="0" xr:uid="{00000000-0006-0000-0400-000036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L25" authorId="1" shapeId="0" xr:uid="{00000000-0006-0000-0400-000037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t>
        </r>
        <r>
          <rPr>
            <b/>
            <sz val="9"/>
            <color indexed="81"/>
            <rFont val="Segoe UI"/>
            <family val="2"/>
          </rPr>
          <t>e provisão de 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t>
        </r>
        <r>
          <rPr>
            <b/>
            <sz val="9"/>
            <color indexed="81"/>
            <rFont val="Segoe UI"/>
            <family val="2"/>
          </rPr>
          <t>provision of R$ 28.4 million of income tax on book entry.</t>
        </r>
        <r>
          <rPr>
            <sz val="9"/>
            <color indexed="81"/>
            <rFont val="Segoe UI"/>
            <family val="2"/>
          </rPr>
          <t xml:space="preserve">
</t>
        </r>
      </text>
    </comment>
    <comment ref="AT25" authorId="1" shapeId="0" xr:uid="{00000000-0006-0000-0400-000038000000}">
      <text>
        <r>
          <rPr>
            <sz val="9"/>
            <color indexed="81"/>
            <rFont val="Segoe UI"/>
            <family val="2"/>
          </rPr>
          <t>Pt - Crédito tributário extraordinário referente a imposto pago a maior R$12,9 milhões
Eng- Extraordinary tax credit regarding overpaid tax collection amounting R$ 12.9 million</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William Estrela Dantas dos Santos</author>
  </authors>
  <commentList>
    <comment ref="AA6" authorId="0" shapeId="0" xr:uid="{00000000-0006-0000-2A00-000001000000}">
      <text>
        <r>
          <rPr>
            <b/>
            <sz val="9"/>
            <color indexed="81"/>
            <rFont val="Segoe UI"/>
            <family val="2"/>
          </rPr>
          <t>PT-</t>
        </r>
        <r>
          <rPr>
            <sz val="9"/>
            <color indexed="81"/>
            <rFont val="Segoe UI"/>
            <family val="2"/>
          </rPr>
          <t xml:space="preserve"> Despesa de rescisão de executivo da Companhia no montante de R$ 2,1 milhões.
Eng - R$2.1 million severance expense for a Company's executive.</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U22" authorId="0" shapeId="0" xr:uid="{00000000-0006-0000-2C00-000001000000}">
      <text>
        <r>
          <rPr>
            <sz val="9"/>
            <color indexed="81"/>
            <rFont val="Segoe UI"/>
            <family val="2"/>
          </rPr>
          <t xml:space="preserve">PT - No 2T19 recebemos R$ 12,3 milhões relacionado ao ganho de causa que questionou o recolhimento da contribuição ao FUNDAF sobre as receitas de serviços alfandegários da sua operação em Cariacica-ES.
Eng - In 2Q19, we received R$ 12.3 million from the lawsuit which Tegma requested to be exempted from contributing to FUNDAF regarding a tax on revenue from customs bonded services at its operation in Cariacica-ES.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Ian Nunes Costa e Costa</author>
    <author>Ian Nunes</author>
    <author>Rodolpho Magdaloni Agria</author>
    <author>Heloise fernandes Sanchez</author>
    <author>William Estrela Dantas dos Santos</author>
    <author>Felipe Silva</author>
    <author>Felipe Augusto Fogaça da Silva</author>
  </authors>
  <commentList>
    <comment ref="AD10" authorId="0" shapeId="0" xr:uid="{00000000-0006-0000-0500-000001000000}">
      <text>
        <r>
          <rPr>
            <sz val="9"/>
            <color indexed="81"/>
            <rFont val="Segoe UI"/>
            <family val="2"/>
          </rPr>
          <t>PT- Créditos de PIS e COFINS referentes ao direito de excluir o valor do ICMS das bases de cálculo dessas duas contribuições - R$ 9,7 M [R$ 4,1 M - 2017 | R$ 5,6 M - 2018]
Eng - PIS and COFINS taxes credits referring to the right to exclude the ICMS tax value from the calculation bases of these two contributions - R$ 9.7 M [R$ 4.1 M - 2017 | R$ 5.6 M - 2018]</t>
        </r>
      </text>
    </comment>
    <comment ref="AV10" authorId="0" shapeId="0" xr:uid="{00000000-0006-0000-0500-000002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X10" authorId="0" shapeId="0" xr:uid="{00000000-0006-0000-0500-000003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V12" authorId="1" shapeId="0" xr:uid="{00000000-0006-0000-0500-000004000000}">
      <text>
        <r>
          <rPr>
            <sz val="9"/>
            <color indexed="81"/>
            <rFont val="Segoe UI"/>
            <family val="2"/>
          </rPr>
          <t>PT - Crédito de R$ 1.704 milhões relacionado ao recolhimento de INSS sobre verbas indenizatórias.
EN - Credit of R $ 1,704 million related to the collection of INSS on indemnification amounts.</t>
        </r>
      </text>
    </comment>
    <comment ref="Z12" authorId="1" shapeId="0" xr:uid="{00000000-0006-0000-0500-000005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AG12" authorId="0" shapeId="0" xr:uid="{00000000-0006-0000-0500-000006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R$ 1,6 milhão de PIS/COFINS sobre a receita financeira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xml:space="preserve">, R$ 1.6 million of PIS/COFINS tax on financial income and provision of R$ 27.5 million of income tax on book entry.
</t>
        </r>
      </text>
    </comment>
    <comment ref="R14" authorId="1" shapeId="0" xr:uid="{00000000-0006-0000-0500-000007000000}">
      <text>
        <r>
          <rPr>
            <sz val="9"/>
            <color indexed="81"/>
            <rFont val="Segoe UI"/>
            <family val="2"/>
          </rPr>
          <t>PT - A companhia realizou um reforço de provisão para contingências trabalhistas que impactou o resultado no montante de R$ 2.476.
Adicionalmente, foram detectadas inconsistências em saldos de depósitos judiciais que apontava para baixa de R$ 1.281 no resultado.
EN - The company made a reinforcement of the provision for labor contingencies that impacted the result in the amount of R$2,476.
In addition, inconsistencies were detected in judicial deposit balances that indicated a decrease of R$1,281 in the result.</t>
        </r>
      </text>
    </comment>
    <comment ref="S14" authorId="1" shapeId="0" xr:uid="{00000000-0006-0000-0500-000008000000}">
      <text>
        <r>
          <rPr>
            <sz val="9"/>
            <color indexed="81"/>
            <rFont val="Segoe UI"/>
            <family val="2"/>
          </rPr>
          <t>PT - Impacto de positivo de R$ 1.270 referente à negociação da administração da folha de pagamentos da Tegma
EN - Impact of positive of R$1,270 referring to the negotiation of the administration of the payroll of Tegma</t>
        </r>
      </text>
    </comment>
    <comment ref="V14" authorId="1" shapeId="0" xr:uid="{00000000-0006-0000-0500-000009000000}">
      <text>
        <r>
          <rPr>
            <sz val="9"/>
            <color indexed="81"/>
            <rFont val="Segoe UI"/>
            <family val="2"/>
          </rPr>
          <t xml:space="preserve"> PT -Decisão de não prosseguir com a aquisição de um imóvel localizado em Resende-RJ destinado originalmente para de operação de logística de veículos, resultou em uma baixa com impacto negativo de R$ 1,031 milhão.
- Perda de R$ 1,5 milhão no 4T16 referente à decisão de não prosseguir com aquisição de um imóvel para pátio de operação de logística de veículos em São José dos Campos-SP.
- Crédito de R$ 532 mil relacionado ao recolhimento de INSS sobre verbas indenizatórias 
EN - Decision not to proceed with the acquisition of a property located in Resende-RJ originally intended for vehicle logistics operation, resulted in a downturn with a negative impact of R $ 1.031 million.
- Loss of R $ 1.5 million in 4Q16 referring to the decision not to proceed with the acquisition of a property for a vehicle logistics operation yard in São José dos Campos-SP.
- Credit of R $ 532 thousand related to the collection of INSS on indemnification amounts</t>
        </r>
      </text>
    </comment>
    <comment ref="X14" authorId="2" shapeId="0" xr:uid="{00000000-0006-0000-0500-00000A000000}">
      <text>
        <r>
          <rPr>
            <sz val="9"/>
            <color indexed="81"/>
            <rFont val="Segoe UI"/>
            <family val="2"/>
          </rPr>
          <t>PT - Contingência cívil da ex controlada Direct Express de - R$ 15 milhões
- Baixa do ágio da Controlada Catlog (-R$ 1.365 milhão)
EN - Civil contingency of the former subsidiary Direct Express of - R $ 15 million
- Write-off of the goodwill of the CatLog subsidiary (-R $ 1,365 million)</t>
        </r>
      </text>
    </comment>
    <comment ref="Z14" authorId="1" shapeId="0" xr:uid="{00000000-0006-0000-0500-00000B000000}">
      <text>
        <r>
          <rPr>
            <sz val="9"/>
            <color indexed="81"/>
            <rFont val="Segoe UI"/>
            <family val="2"/>
          </rPr>
          <t>PT - Em dezembro de 2017, foi concluído o trabalho de reavaliação da metodologia de cálculo das provisões de demandas judiciais trabalhistas, resultando em um acréscimo de R$ 5,0 milhões nas provisões.
EN - In December 2017, we concluded the revaluation work over the methodology used to calculate provisions for labor claims, resulting in an increase of R$ 5.0 million in provisions.</t>
        </r>
      </text>
    </comment>
    <comment ref="AD14" authorId="3" shapeId="0" xr:uid="{00000000-0006-0000-0500-00000C000000}">
      <text>
        <r>
          <rPr>
            <sz val="9"/>
            <color indexed="81"/>
            <rFont val="Segoe UI"/>
            <family val="2"/>
          </rPr>
          <t>PT- Contingência cívil da ex controlada Direct Express de - R$ 14,5 milhões
Eng - Civil contingency of the former subsidiary Direct Express - R$ 14.5 million;</t>
        </r>
      </text>
    </comment>
    <comment ref="AG14" authorId="0" shapeId="0" xr:uid="{00000000-0006-0000-0500-00000D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R$ 54,7 milhões em outras receitas e despesas</t>
        </r>
        <r>
          <rPr>
            <sz val="9"/>
            <color indexed="81"/>
            <rFont val="Segoe UI"/>
            <family val="2"/>
          </rPr>
          <t xml:space="preserve">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 xml:space="preserve">R$ 54.7 million in other revenues and expenses </t>
        </r>
        <r>
          <rPr>
            <sz val="9"/>
            <color indexed="81"/>
            <rFont val="Segoe UI"/>
            <family val="2"/>
          </rPr>
          <t xml:space="preserve">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AI14" authorId="4" shapeId="0" xr:uid="{00000000-0006-0000-0500-00000E000000}">
      <text>
        <r>
          <rPr>
            <b/>
            <sz val="9"/>
            <color indexed="81"/>
            <rFont val="Segoe UI"/>
            <family val="2"/>
          </rPr>
          <t xml:space="preserve">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AM14" authorId="5" shapeId="0" xr:uid="{00000000-0006-0000-0500-00000F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O14" authorId="5" shapeId="0" xr:uid="{00000000-0006-0000-0500-000010000000}">
      <text>
        <r>
          <rPr>
            <sz val="9"/>
            <color indexed="81"/>
            <rFont val="Segoe UI"/>
            <family val="2"/>
          </rPr>
          <t>NÚMERO AJUSTADO!
PT - Despesas com assessorias financeiras e jurídicas relacionadas à oferta hostil de combinação de negócios recebida no trimestre: R$ 1,1 milhão
ADJUSTED NUMBER!
Eng - Financial and legal advisory expenses related to the hostile business combination bid received in the quarter: R$1.1 million</t>
        </r>
      </text>
    </comment>
    <comment ref="AS14" authorId="6" shapeId="0" xr:uid="{00000000-0006-0000-0500-000011000000}">
      <text>
        <r>
          <rPr>
            <sz val="9"/>
            <color indexed="81"/>
            <rFont val="Segoe UI"/>
            <family val="2"/>
          </rPr>
          <t>PT- Contingência cívil da ex controlada Direct Express de - R$ 6,6 milhões
Eng - Civil contingency of the former subsidiary Direct Express - R$ 6.6 million;</t>
        </r>
      </text>
    </comment>
    <comment ref="AT14" authorId="0" shapeId="0" xr:uid="{00000000-0006-0000-0500-000012000000}">
      <text>
        <r>
          <rPr>
            <sz val="9"/>
            <color indexed="81"/>
            <rFont val="Segoe UI"/>
            <family val="2"/>
          </rPr>
          <t>PT- Créditos de PIS/ COFINS da controlada Catlog (líquido de honorários advocatícios) - R$ 5,5 milhões
Eng - PIS/ COFINS tax credits from the subsidiary Catlog (net of lawyer fees) - R$ 5.5 million</t>
        </r>
      </text>
    </comment>
    <comment ref="AY14" authorId="0" shapeId="0" xr:uid="{00000000-0006-0000-0500-000013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r>
          <rPr>
            <sz val="9"/>
            <color indexed="81"/>
            <rFont val="Segoe UI"/>
            <family val="2"/>
          </rPr>
          <t xml:space="preserve">
</t>
        </r>
      </text>
    </comment>
    <comment ref="AZ14" authorId="0" shapeId="0" xr:uid="{00000000-0006-0000-0500-000014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BA14" authorId="0" shapeId="0" xr:uid="{00000000-0006-0000-0500-00001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B14" authorId="0" shapeId="0" xr:uid="{00000000-0006-0000-0500-000016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BG14" authorId="0" shapeId="0" xr:uid="{CA9BAF86-F1E3-4D36-A19B-86351DD4EEA3}">
      <text>
        <r>
          <rPr>
            <b/>
            <sz val="9"/>
            <color indexed="81"/>
            <rFont val="Segoe UI"/>
            <family val="2"/>
          </rPr>
          <t>Pt: Recebimento de valor (R$ 2,3 milhões) referente ao direito de administração da folha de pagamento dos colaboradores por uma das instituições financeiras parceiras.
Eng: Receipt of R$2.3 million related to the right to manage employee payroll by one of its partner financial institution.</t>
        </r>
        <r>
          <rPr>
            <sz val="9"/>
            <color indexed="81"/>
            <rFont val="Segoe UI"/>
            <family val="2"/>
          </rPr>
          <t xml:space="preserve">
</t>
        </r>
      </text>
    </comment>
    <comment ref="Z20" authorId="1" shapeId="0" xr:uid="{00000000-0006-0000-0500-000017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Menção na nota 8 de impostos a recuperar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Mentin on taxes to recover note 8</t>
        </r>
      </text>
    </comment>
    <comment ref="X21" authorId="2" shapeId="0" xr:uid="{00000000-0006-0000-0500-000018000000}">
      <text>
        <r>
          <rPr>
            <sz val="9"/>
            <color indexed="81"/>
            <rFont val="Segoe UI"/>
            <family val="2"/>
          </rPr>
          <t>PT - Nota 14 - Depósitos judiciais e provisão para demandas judiciais /
Passivo contingente decorrente de combinação de negócios
EN - Note 14 - Judicial deposits and provision for lawsuits /
Contingent liability arising from a business combination</t>
        </r>
      </text>
    </comment>
    <comment ref="Z27" authorId="1" shapeId="0" xr:uid="{00000000-0006-0000-0500-000019000000}">
      <text>
        <r>
          <rPr>
            <sz val="9"/>
            <color indexed="81"/>
            <rFont val="Segoe UI"/>
            <family val="2"/>
          </rPr>
          <t>PT - Em dezembro de 2017, foi concluído o trabalho de reavaliação da metodologia de cálculo das provisões de demandas judiciais trabalhistas, resultando em um acréscimo de R$ 6,6 milhões nas provisões.
Menção na nota 14 de Depósitos judiciais e provisão para demandas judiciais
EN - In December 2017, we concluded the revaluation work over the methodology used to calculate provisions for labor claims, resulting in an increase of R$ 6.6 million in provisions. 
Mention on note 14 - judicial depósits and legal provisions</t>
        </r>
      </text>
    </comment>
    <comment ref="N41" authorId="1" shapeId="0" xr:uid="{00000000-0006-0000-0500-00001A000000}">
      <text>
        <r>
          <rPr>
            <sz val="9"/>
            <color indexed="81"/>
            <rFont val="Segoe UI"/>
            <family val="2"/>
          </rPr>
          <t>PT - A Companhia aderiu ao Programa de Recuperação Fiscal (REFIS) para quitação de débitos gerados por aproveitamento fiscal de ágios gerados por aquisições no valor de R$ 2.836
EN - The Company adhered to the Tax Recovery Program (REFIS) for the discharge of debts generated by the tax benefit of goodwill generated by acquisitions in the amount of R$2,836</t>
        </r>
      </text>
    </comment>
    <comment ref="R41" authorId="1" shapeId="0" xr:uid="{00000000-0006-0000-0500-00001B000000}">
      <text>
        <r>
          <rPr>
            <sz val="9"/>
            <color indexed="81"/>
            <rFont val="Segoe UI"/>
            <family val="2"/>
          </rPr>
          <t xml:space="preserve">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 </t>
        </r>
      </text>
    </comment>
    <comment ref="S41" authorId="1" shapeId="0" xr:uid="{00000000-0006-0000-0500-00001C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R$2,283.</t>
        </r>
      </text>
    </comment>
    <comment ref="U41" authorId="1" shapeId="0" xr:uid="{00000000-0006-0000-0500-00001D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R$4,619</t>
        </r>
      </text>
    </comment>
    <comment ref="V41" authorId="1" shapeId="0" xr:uid="{00000000-0006-0000-0500-00001E000000}">
      <text>
        <r>
          <rPr>
            <sz val="9"/>
            <color indexed="81"/>
            <rFont val="Segoe UI"/>
            <family val="2"/>
          </rPr>
          <t>PT - Atualização monetária do saldo recolhido de INSS sobre verbas indenizatórias entre 2011 e 2014 no montante de R$ 831 mil positivo;
EN - The Company adhered to the Tax Recovery Program (PRORELIT) for the discharge of debts generated by the tax benefit of goodwill generated by acquisitions in the amount of R$4,619</t>
        </r>
      </text>
    </comment>
    <comment ref="X41" authorId="2" shapeId="0" xr:uid="{00000000-0006-0000-0500-00001F000000}">
      <text>
        <r>
          <rPr>
            <sz val="9"/>
            <color indexed="81"/>
            <rFont val="Segoe UI"/>
            <family val="2"/>
          </rPr>
          <t>PT - Atualização monetária da Retificação do LALUR de 2014 (R$ 3,8 milhões positivos) 
EN - Monetary adjustment of LALUR Rectification of 2014 (positive R $ 3.8 million)</t>
        </r>
      </text>
    </comment>
    <comment ref="Z41" authorId="1" shapeId="0" xr:uid="{00000000-0006-0000-0500-000020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R$ 7,2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R$ 4,4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R$ 4.4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R$ 7.2 million, positive.</t>
        </r>
      </text>
    </comment>
    <comment ref="AG41" authorId="0" shapeId="0" xr:uid="{00000000-0006-0000-0500-000021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t>
        </r>
        <r>
          <rPr>
            <b/>
            <sz val="9"/>
            <color indexed="81"/>
            <rFont val="Segoe UI"/>
            <family val="2"/>
          </rPr>
          <t xml:space="preserve"> R$ 33,8 milhões em receitas financeiras referente à correção monetária</t>
        </r>
        <r>
          <rPr>
            <sz val="9"/>
            <color indexed="81"/>
            <rFont val="Segoe UI"/>
            <family val="2"/>
          </rPr>
          <t xml:space="preserve">), além de um custo de R$ 5,9 milhões referente aos honorários advocatícios da causa em questão (outros custos), </t>
        </r>
        <r>
          <rPr>
            <b/>
            <sz val="9"/>
            <color indexed="81"/>
            <rFont val="Segoe UI"/>
            <family val="2"/>
          </rPr>
          <t>R$ 1,6 milhão de PIS/COFINS sobre a receita financeira</t>
        </r>
        <r>
          <rPr>
            <sz val="9"/>
            <color indexed="81"/>
            <rFont val="Segoe UI"/>
            <family val="2"/>
          </rPr>
          <t xml:space="preserve">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t>
        </r>
        <r>
          <rPr>
            <b/>
            <sz val="9"/>
            <color indexed="81"/>
            <rFont val="Segoe UI"/>
            <family val="2"/>
          </rPr>
          <t>R$ 33.8 million in financial result relating to monetary correction</t>
        </r>
        <r>
          <rPr>
            <sz val="9"/>
            <color indexed="81"/>
            <rFont val="Segoe UI"/>
            <family val="2"/>
          </rPr>
          <t xml:space="preserve">), in addition to a cost of R$ 5.9 million related to attorney’s fees as a result lawsuit brought upon (other costs), </t>
        </r>
        <r>
          <rPr>
            <b/>
            <sz val="9"/>
            <color indexed="81"/>
            <rFont val="Segoe UI"/>
            <family val="2"/>
          </rPr>
          <t xml:space="preserve">R$ 1.6 million of PIS/COFINS tax on financial income </t>
        </r>
        <r>
          <rPr>
            <sz val="9"/>
            <color indexed="81"/>
            <rFont val="Segoe UI"/>
            <family val="2"/>
          </rPr>
          <t xml:space="preserve">and provision of R$ 27.5 million of income tax on book entry.
</t>
        </r>
      </text>
    </comment>
    <comment ref="AT41" authorId="0" shapeId="0" xr:uid="{00000000-0006-0000-0500-000022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V41" authorId="6" shapeId="0" xr:uid="{00000000-0006-0000-0500-000023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text>
    </comment>
    <comment ref="AZ41" authorId="0" shapeId="0" xr:uid="{00000000-0006-0000-0500-000024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X44" authorId="2" shapeId="0" xr:uid="{00000000-0006-0000-0500-000025000000}">
      <text>
        <r>
          <rPr>
            <sz val="9"/>
            <color indexed="81"/>
            <rFont val="Segoe UI"/>
            <family val="2"/>
          </rPr>
          <t>PT - Retificação do LALUR de 2014 impactou em R$ 10,9 milhões positivos
- Constituição de  IR diferido sobre a contingência cívil da ex controlada Direct R$ 5,1 milhões
EN - LALUR rectification of 2014 impacted positive R $ 10.9 million
- Constitution of deferred income tax on the civil contingency of the former subsidiary Direct  R$ 5.1 million</t>
        </r>
      </text>
    </comment>
    <comment ref="Z44" authorId="1" shapeId="0" xr:uid="{00000000-0006-0000-0500-000026000000}">
      <text>
        <r>
          <rPr>
            <b/>
            <sz val="9"/>
            <color indexed="81"/>
            <rFont val="Segoe UI"/>
            <family val="2"/>
          </rPr>
          <t xml:space="preserve">PT - Impacto no imposto de renda dos seguintes eventos: </t>
        </r>
        <r>
          <rPr>
            <sz val="9"/>
            <color indexed="81"/>
            <rFont val="Segoe UI"/>
            <family val="2"/>
          </rPr>
          <t xml:space="preserve">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R$ 31,3 milhões e suas respectivas atualizações monetárias.
- Em dezembro de 2017, foi concluído o trabalho de reavaliação da metodologia de cálculo das provisões de demandas judiciais trabalhistas, resultando em um acréscimo de R$ 5,0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R$ 4,4 milhões. </t>
        </r>
        <r>
          <rPr>
            <b/>
            <sz val="9"/>
            <color indexed="81"/>
            <rFont val="Segoe UI"/>
            <family val="2"/>
          </rPr>
          <t xml:space="preserve">
Adicionalmente, houve os seguintes eventos:</t>
        </r>
        <r>
          <rPr>
            <sz val="9"/>
            <color indexed="81"/>
            <rFont val="Segoe UI"/>
            <family val="2"/>
          </rPr>
          <t xml:space="preserv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R$ 4,1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
EN - Impact on income tax of the following events: </t>
        </r>
        <r>
          <rPr>
            <sz val="9"/>
            <color indexed="81"/>
            <rFont val="Segoe UI"/>
            <family val="2"/>
          </rPr>
          <t xml:space="preserve">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R$ 31.3 million and the respective monetary update.
- In December 2017, we concluded the revaluation work over the methodology used to calculate provisions for labor claims, resulting in an increase of R$ 5.0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R$ 4.4 million. 
Additionally, there was the following events: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R$ 4.1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D44" authorId="3" shapeId="0" xr:uid="{00000000-0006-0000-0500-000027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G44" authorId="0" shapeId="0" xr:uid="{00000000-0006-0000-0500-00002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t>
        </r>
        <r>
          <rPr>
            <b/>
            <sz val="9"/>
            <color indexed="81"/>
            <rFont val="Segoe UI"/>
            <family val="2"/>
          </rPr>
          <t>R$ 27,5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t>
        </r>
        <r>
          <rPr>
            <b/>
            <sz val="9"/>
            <color indexed="81"/>
            <rFont val="Segoe UI"/>
            <family val="2"/>
          </rPr>
          <t>R$ 27.5 million of income tax on book entry.</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Ian Nunes</author>
    <author>Heloise fernandes Sanchez</author>
    <author>Felipe Silva</author>
  </authors>
  <commentList>
    <comment ref="AC11" authorId="0" shapeId="0" xr:uid="{00000000-0006-0000-0600-000001000000}">
      <text>
        <r>
          <rPr>
            <sz val="9"/>
            <color indexed="81"/>
            <rFont val="Segoe UI"/>
            <family val="2"/>
          </rPr>
          <t xml:space="preserve">PT - Denúncia espontânea imposto ICMS R$ 5,252 M
Eng - Spontaneous denouncement on fiscal payment R$ 5.252 M
</t>
        </r>
      </text>
    </comment>
    <comment ref="AD11" authorId="0" shapeId="0" xr:uid="{00000000-0006-0000-0600-000002000000}">
      <text>
        <r>
          <rPr>
            <sz val="9"/>
            <color indexed="81"/>
            <rFont val="Segoe UI"/>
            <family val="2"/>
          </rPr>
          <t>PT- Créditos de PIS e COFINS referentes ao direito de excluir o valor do ICMS das bases de cálculo dessas duas contribuições - R$ 0,9 M [R$ 0,4 M - 2017 | R$ 0,5 M - 2018]
Eng - PIS and COFINS taxes credits referring to the right to exclude the ICMS tax value from the calculation bases of these two contributions - R$ 0.9 M [R$ 0.4 M - 2017 | R$ 0.5 M - 2018]</t>
        </r>
      </text>
    </comment>
    <comment ref="X12" authorId="1" shapeId="0" xr:uid="{00000000-0006-0000-0600-000003000000}">
      <text>
        <r>
          <rPr>
            <sz val="9"/>
            <color indexed="81"/>
            <rFont val="Segoe UI"/>
            <family val="2"/>
          </rPr>
          <t>PT - Crédito de R$ 9,8 milhões por ganho de causa contra o recolhimento do Fundaf
EN  - Credit of R $ 9.8 million from gain of cause against the Fundaf payment</t>
        </r>
      </text>
    </comment>
    <comment ref="P13" authorId="2" shapeId="0" xr:uid="{00000000-0006-0000-0600-000004000000}">
      <text>
        <r>
          <rPr>
            <sz val="9"/>
            <color indexed="81"/>
            <rFont val="Segoe UI"/>
            <family val="2"/>
          </rPr>
          <t>PT - Custos de reestruturação da operação de armazenagem, no valor de R$ 3.704 mil
EN - Restructuring costs of the warehousing operation, in the amount of R$ 3,704 thousand</t>
        </r>
      </text>
    </comment>
    <comment ref="R13" authorId="2" shapeId="0" xr:uid="{00000000-0006-0000-0600-000005000000}">
      <text>
        <r>
          <rPr>
            <sz val="9"/>
            <color indexed="81"/>
            <rFont val="Segoe UI"/>
            <family val="2"/>
          </rPr>
          <t>PT - Custos de reestruturação da operação de armazenagem, no valor de R$ 6.697 mil
EN - Restructuring costs of the warehousing operation, in the amount of R$ 6,697 thousand</t>
        </r>
      </text>
    </comment>
    <comment ref="V13" authorId="2" shapeId="0" xr:uid="{00000000-0006-0000-0600-000006000000}">
      <text>
        <r>
          <rPr>
            <sz val="9"/>
            <color indexed="81"/>
            <rFont val="Segoe UI"/>
            <family val="2"/>
          </rPr>
          <t>PT - Crédito de R$ 934 mil relacionado ao recolhimento de INSS sobre verbas indenizatórias.
EN - Credit of R $ 934 thousand related to the collection of INSS on indemnification amounts.</t>
        </r>
      </text>
    </comment>
    <comment ref="Z13" authorId="2" shapeId="0" xr:uid="{00000000-0006-0000-0600-000007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AG13" authorId="0" shapeId="0" xr:uid="{00000000-0006-0000-0600-00000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t>
        </r>
        <r>
          <rPr>
            <b/>
            <sz val="9"/>
            <color indexed="81"/>
            <rFont val="Segoe UI"/>
            <family val="2"/>
          </rPr>
          <t>R$ 0,2 milhão referente aos honorários advocatícios da causa em questão (outros custos)</t>
        </r>
        <r>
          <rPr>
            <sz val="9"/>
            <color indexed="81"/>
            <rFont val="Segoe UI"/>
            <family val="2"/>
          </rPr>
          <t xml:space="preserve">,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t>
        </r>
        <r>
          <rPr>
            <b/>
            <sz val="9"/>
            <color indexed="81"/>
            <rFont val="Segoe UI"/>
            <family val="2"/>
          </rPr>
          <t>R$ 0.2 million related to attorney’s fees as a result lawsuit brought upon (other costs)</t>
        </r>
        <r>
          <rPr>
            <sz val="9"/>
            <color indexed="81"/>
            <rFont val="Segoe UI"/>
            <family val="2"/>
          </rPr>
          <t xml:space="preserve">, R$ 0.1 million of PIS/COFINS tax on financial income and provision of R$ 0.9 million of income tax on book entry.
</t>
        </r>
      </text>
    </comment>
    <comment ref="AL13" authorId="0" shapeId="0" xr:uid="{00000000-0006-0000-0600-000009000000}">
      <text>
        <r>
          <rPr>
            <sz val="9"/>
            <color indexed="81"/>
            <rFont val="Segoe UI"/>
            <family val="2"/>
          </rPr>
          <t>PT: Custos relacionados à desmobilização de um armazém em Barueri-SP no montante de R$ 2,9 M
Eng: Costs related to demobilization of a warehouse in Barueri-SP amounting R$ 2.9 M</t>
        </r>
      </text>
    </comment>
    <comment ref="R15" authorId="2" shapeId="0" xr:uid="{00000000-0006-0000-0600-00000A000000}">
      <text>
        <r>
          <rPr>
            <sz val="9"/>
            <color indexed="81"/>
            <rFont val="Segoe UI"/>
            <family val="2"/>
          </rPr>
          <t>PT - A companhia realizou um reforço de provisão para contingências trabalhistas que impactou o resultado no montante de R$ 10.268.
Adicionalmente, foram detectadas inconsistências em saldos de depósitos judiciais que apontava para baixa de R$ 4.336 no resultado.
EN - The company increased its provision for labor contingencies, which impacted the result in the amount of R$ 10 million.
In addition, inconsistencies were detected in judicial deposits that indicated the necessity of a R$ 5 million write-down</t>
        </r>
      </text>
    </comment>
    <comment ref="X15" authorId="1" shapeId="0" xr:uid="{00000000-0006-0000-0600-00000B000000}">
      <text>
        <r>
          <rPr>
            <sz val="9"/>
            <color indexed="81"/>
            <rFont val="Segoe UI"/>
            <family val="2"/>
          </rPr>
          <t>PT - Baixa de R$ 1,8 milhão da conta escrow de indenizações de combinação de  negócios
EN - Reduction of R $ 1.8 million from the escrow account for business combination indemnities</t>
        </r>
      </text>
    </comment>
    <comment ref="Y15" authorId="2" shapeId="0" xr:uid="{00000000-0006-0000-0600-00000C000000}">
      <text>
        <r>
          <rPr>
            <sz val="9"/>
            <color indexed="81"/>
            <rFont val="Segoe UI"/>
            <family val="2"/>
          </rPr>
          <t xml:space="preserve">PT - Baixa no valo de R$ 5,7 milhões referente a contas a receber da Direct
EN - Write off of Direct account receivable amounting R$ 5.7 million </t>
        </r>
      </text>
    </comment>
    <comment ref="Z15" authorId="2" shapeId="0" xr:uid="{00000000-0006-0000-0600-00000D000000}">
      <text>
        <r>
          <rPr>
            <sz val="9"/>
            <color indexed="81"/>
            <rFont val="Segoe UI"/>
            <family val="2"/>
          </rPr>
          <t>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AD15" authorId="3" shapeId="0" xr:uid="{00000000-0006-0000-0600-00000E000000}">
      <text>
        <r>
          <rPr>
            <sz val="9"/>
            <color indexed="81"/>
            <rFont val="Segoe UI"/>
            <family val="2"/>
          </rPr>
          <t>PT- Custos de sucumbência de processo judicial de operação descontinuada: R$2,9M
Eng - Defeat legal fee for discontinued operation: R$ 2.9M</t>
        </r>
      </text>
    </comment>
    <comment ref="AG15" authorId="0" shapeId="0" xr:uid="{00000000-0006-0000-0600-00000F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t>
        </r>
        <r>
          <rPr>
            <b/>
            <sz val="9"/>
            <color indexed="81"/>
            <rFont val="Segoe UI"/>
            <family val="2"/>
          </rPr>
          <t>(R$ 1,8 milhão em outras receitas e despesas</t>
        </r>
        <r>
          <rPr>
            <sz val="9"/>
            <color indexed="81"/>
            <rFont val="Segoe UI"/>
            <family val="2"/>
          </rPr>
          <t xml:space="preserve">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t>
        </r>
        <r>
          <rPr>
            <b/>
            <sz val="9"/>
            <color indexed="81"/>
            <rFont val="Segoe UI"/>
            <family val="2"/>
          </rPr>
          <t xml:space="preserve">(R$ 1.8 million in other revenues and expenses </t>
        </r>
        <r>
          <rPr>
            <sz val="9"/>
            <color indexed="81"/>
            <rFont val="Segoe UI"/>
            <family val="2"/>
          </rPr>
          <t xml:space="preserve">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AL15" authorId="0" shapeId="0" xr:uid="{00000000-0006-0000-0600-000010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N15" authorId="4" shapeId="0" xr:uid="{00000000-0006-0000-0600-000011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P15" authorId="4" shapeId="0" xr:uid="{00000000-0006-0000-0600-000012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Y15" authorId="0" shapeId="0" xr:uid="{00000000-0006-0000-0600-00001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Z15" authorId="0" shapeId="0" xr:uid="{00000000-0006-0000-0600-00001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A15" authorId="0" shapeId="0" xr:uid="{00000000-0006-0000-0600-00001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B15" authorId="0" shapeId="0" xr:uid="{00000000-0006-0000-0600-000016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Z21" authorId="2" shapeId="0" xr:uid="{00000000-0006-0000-0600-000017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R$ 5,15 milhões.
Menção na nota 8 de impostos a recuperar</t>
        </r>
        <r>
          <rPr>
            <b/>
            <sz val="9"/>
            <color indexed="81"/>
            <rFont val="Segoe UI"/>
            <family val="2"/>
          </rPr>
          <t xml:space="preserve">
E</t>
        </r>
        <r>
          <rPr>
            <sz val="9"/>
            <color indexed="81"/>
            <rFont val="Segoe UI"/>
            <family val="2"/>
          </rPr>
          <t>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R$ 5.15 million.
Mentin on taxes to recover note 8</t>
        </r>
      </text>
    </comment>
    <comment ref="AL24" authorId="0" shapeId="0" xr:uid="{00000000-0006-0000-0600-000018000000}">
      <text>
        <r>
          <rPr>
            <sz val="9"/>
            <color indexed="81"/>
            <rFont val="Segoe UI"/>
            <family val="2"/>
          </rPr>
          <t>PT: Custos e despesas relacionados à desmobilização de um armazém em Barueri-SP no montante de R$ 5,2 M
Eng: Costs and expenses related to demobilization of a warehouse in Barueri-SP amounting R$ 5.2 M</t>
        </r>
      </text>
    </comment>
    <comment ref="Z28" authorId="2" shapeId="0" xr:uid="{00000000-0006-0000-0600-000019000000}">
      <text>
        <r>
          <rPr>
            <sz val="9"/>
            <color indexed="81"/>
            <rFont val="Segoe UI"/>
            <family val="2"/>
          </rPr>
          <t>PT - Menção na nota 14 de Depósitos judiciais e provisão para demandas judiciais
EN - Mention on note 14 - judicial deposits and legal provisions</t>
        </r>
      </text>
    </comment>
    <comment ref="X30" authorId="1" shapeId="0" xr:uid="{00000000-0006-0000-0600-00001A000000}">
      <text>
        <r>
          <rPr>
            <sz val="9"/>
            <color indexed="81"/>
            <rFont val="Segoe UI"/>
            <family val="2"/>
          </rPr>
          <t>PT - Menção ao crédito na nota 20 - Receita líquida dos serviços prestados 
EN - Mention to credit in note 20 - Net revenue from services rendered</t>
        </r>
      </text>
    </comment>
    <comment ref="V41" authorId="2" shapeId="0" xr:uid="{00000000-0006-0000-0600-00001B000000}">
      <text>
        <r>
          <rPr>
            <sz val="9"/>
            <color indexed="81"/>
            <rFont val="Segoe UI"/>
            <family val="2"/>
          </rPr>
          <t>PT - Atualização monetária do saldo recolhido de INSS sobre verbas indenizatórias entre 2011 e 2014 no montante de R$ 383 mil positivo.
EN - Monetary updating of the INSS collected balance on indemnity amounts between 2011 and 2014 in the amount of R $ 383 thousand positive.</t>
        </r>
      </text>
    </comment>
    <comment ref="X41" authorId="1" shapeId="0" xr:uid="{00000000-0006-0000-0600-00001C000000}">
      <text>
        <r>
          <rPr>
            <sz val="9"/>
            <color indexed="81"/>
            <rFont val="Segoe UI"/>
            <family val="2"/>
          </rPr>
          <t>PT - Atualização monetária do ganho de causa do FUNDAF (sobre valores recolhidos) de R$ 3,9 milhões positivos.
EN - Monetary adjustment of the FUNDAF lawsuit success (on amounts collected) of positive R $ 3.9 million.</t>
        </r>
      </text>
    </comment>
    <comment ref="Z41" authorId="2" shapeId="0" xr:uid="{00000000-0006-0000-0600-00001D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R$ 1,1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R$ 0,4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R$ 0.4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R$ 1.1 million, positive.</t>
        </r>
      </text>
    </comment>
    <comment ref="AC41" authorId="0" shapeId="0" xr:uid="{00000000-0006-0000-0600-00001E000000}">
      <text>
        <r>
          <rPr>
            <sz val="9"/>
            <color indexed="81"/>
            <rFont val="Segoe UI"/>
            <family val="2"/>
          </rPr>
          <t xml:space="preserve">PT - Juros e multa denúncia espontânea TCE R$ 2,030 M
Eng - Fine and interest upon spontaneous denouncement TCE R$ 2.030 M
</t>
        </r>
      </text>
    </comment>
    <comment ref="AG41" authorId="0" shapeId="0" xr:uid="{00000000-0006-0000-0600-00001F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t>
        </r>
        <r>
          <rPr>
            <b/>
            <sz val="9"/>
            <color indexed="81"/>
            <rFont val="Segoe UI"/>
            <family val="2"/>
          </rPr>
          <t>R$ 1,1 milhão em receitas financeiras referente à correção monetária</t>
        </r>
        <r>
          <rPr>
            <sz val="9"/>
            <color indexed="81"/>
            <rFont val="Segoe UI"/>
            <family val="2"/>
          </rPr>
          <t xml:space="preserve">), além de um custo de R$ 0,2 milhão referente aos honorários advocatícios da causa em questão (outros custos), </t>
        </r>
        <r>
          <rPr>
            <b/>
            <sz val="9"/>
            <color indexed="81"/>
            <rFont val="Segoe UI"/>
            <family val="2"/>
          </rPr>
          <t xml:space="preserve">R$ 0,1 milhão de PIS/COFINS sobre a receita financeira </t>
        </r>
        <r>
          <rPr>
            <sz val="9"/>
            <color indexed="81"/>
            <rFont val="Segoe UI"/>
            <family val="2"/>
          </rPr>
          <t xml:space="preserve">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t>
        </r>
        <r>
          <rPr>
            <b/>
            <sz val="9"/>
            <color indexed="81"/>
            <rFont val="Segoe UI"/>
            <family val="2"/>
          </rPr>
          <t>R$ 1.1 million in financial result relating to monetary correction</t>
        </r>
        <r>
          <rPr>
            <sz val="9"/>
            <color indexed="81"/>
            <rFont val="Segoe UI"/>
            <family val="2"/>
          </rPr>
          <t xml:space="preserve">), in addition to a cost of R$ 0.2 million related to attorney’s fees as a result lawsuit brought upon (other costs), </t>
        </r>
        <r>
          <rPr>
            <b/>
            <sz val="9"/>
            <color indexed="81"/>
            <rFont val="Segoe UI"/>
            <family val="2"/>
          </rPr>
          <t>R$ 0.1 million of PIS/COFINS tax on financial income</t>
        </r>
        <r>
          <rPr>
            <sz val="9"/>
            <color indexed="81"/>
            <rFont val="Segoe UI"/>
            <family val="2"/>
          </rPr>
          <t xml:space="preserve"> and provision of R$ 0.9 million of income tax on book entry.
</t>
        </r>
      </text>
    </comment>
    <comment ref="AN41" authorId="4" shapeId="0" xr:uid="{00000000-0006-0000-0600-000020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r>
          <rPr>
            <b/>
            <sz val="9"/>
            <color indexed="81"/>
            <rFont val="Segoe UI"/>
            <family val="2"/>
          </rPr>
          <t xml:space="preserve">
</t>
        </r>
      </text>
    </comment>
    <comment ref="X44" authorId="1" shapeId="0" xr:uid="{00000000-0006-0000-0600-000021000000}">
      <text>
        <r>
          <rPr>
            <sz val="9"/>
            <color indexed="81"/>
            <rFont val="Segoe UI"/>
            <family val="2"/>
          </rPr>
          <t>PT - Pagamento de IR sobre o ganho de causa Fundaf R$ 1,9 milhão
EN - Payment of income tax on the gain from the Fundaf's dispute, amounting R$ 1.9 million</t>
        </r>
      </text>
    </comment>
    <comment ref="Z44" authorId="2" shapeId="0" xr:uid="{00000000-0006-0000-0600-000022000000}">
      <text>
        <r>
          <rPr>
            <b/>
            <sz val="9"/>
            <color indexed="81"/>
            <rFont val="Segoe UI"/>
            <family val="2"/>
          </rPr>
          <t>PT -</t>
        </r>
        <r>
          <rPr>
            <sz val="9"/>
            <color indexed="81"/>
            <rFont val="Segoe UI"/>
            <family val="2"/>
          </rPr>
          <t xml:space="preserve"> </t>
        </r>
        <r>
          <rPr>
            <b/>
            <sz val="9"/>
            <color indexed="81"/>
            <rFont val="Segoe UI"/>
            <family val="2"/>
          </rPr>
          <t xml:space="preserve">Impacto no imposto de renda dos seguintes eventos: </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R$ 6,2 milhões com suas respectivas atualizações monetárias .
- Em dezembro de 2017, foi concluído o trabalho de reavaliação da metodologia de cálculo das provisões de demandas judiciais trabalhistas, resultando em um acréscimo de R$ 1,7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R$ 0,4 milhões. </t>
        </r>
        <r>
          <rPr>
            <b/>
            <sz val="9"/>
            <color indexed="81"/>
            <rFont val="Segoe UI"/>
            <family val="2"/>
          </rPr>
          <t xml:space="preserve">
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R$ 0,4 milhões. 
</t>
        </r>
        <r>
          <rPr>
            <b/>
            <sz val="9"/>
            <color indexed="81"/>
            <rFont val="Segoe UI"/>
            <family val="2"/>
          </rPr>
          <t xml:space="preserve">
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R$ 6.2 million and the respective monetary update.
- In December 2017, we concluded the revaluation work over the methodology used to calculate provisions for labor claims, resulting in an increase of R$ 1.7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R$ 0.4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R$ 0.4 million. 
</t>
        </r>
      </text>
    </comment>
    <comment ref="AD44" authorId="3" shapeId="0" xr:uid="{00000000-0006-0000-0600-000023000000}">
      <text>
        <r>
          <rPr>
            <sz val="9"/>
            <color indexed="81"/>
            <rFont val="Segoe UI"/>
            <family val="2"/>
          </rPr>
          <t xml:space="preserve">PT - IR sobre crédito de PIS COFINS: -R$ 0,4 M
</t>
        </r>
      </text>
    </comment>
    <comment ref="AG44" authorId="0" shapeId="0" xr:uid="{00000000-0006-0000-0600-000024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r>
          <rPr>
            <b/>
            <sz val="9"/>
            <color indexed="81"/>
            <rFont val="Segoe UI"/>
            <family val="2"/>
          </rPr>
          <t xml:space="preserve">
</t>
        </r>
        <r>
          <rPr>
            <sz val="9"/>
            <color indexed="81"/>
            <rFont val="Segoe UI"/>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Ian Nunes</author>
    <author>Rodolpho Magdaloni Agria</author>
    <author>Heloise fernandes Sanchez</author>
    <author>William Estrela Dantas dos Santos</author>
    <author>Felipe Silva</author>
    <author>Felipe Augusto Fogaça da Silva</author>
  </authors>
  <commentList>
    <comment ref="X9" authorId="0" shapeId="0" xr:uid="{00000000-0006-0000-0700-000001000000}">
      <text>
        <r>
          <rPr>
            <sz val="9"/>
            <color indexed="81"/>
            <rFont val="Segoe UI"/>
            <family val="2"/>
          </rPr>
          <t>PT - Crédito de R$ 9,8 milhões por ganho de causa contra o recolhimento do Fundaf
EN - Credit of R $ 9.8 million from the gain of cause against the payment of Fundaf</t>
        </r>
      </text>
    </comment>
    <comment ref="AC9" authorId="0" shapeId="0" xr:uid="{00000000-0006-0000-0700-000002000000}">
      <text>
        <r>
          <rPr>
            <sz val="9"/>
            <color indexed="81"/>
            <rFont val="Segoe UI"/>
            <family val="2"/>
          </rPr>
          <t xml:space="preserve">PT - Denúncia espontânea imposto ICMS R$ 5,252 M
Eng - Spontaneous denouncement on fiscal payment R$ 5.252 M
</t>
        </r>
      </text>
    </comment>
    <comment ref="AD9" authorId="0" shapeId="0" xr:uid="{00000000-0006-0000-07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R$ 10.6 M [R$ 4.5 M - 2017 | R$ 6.1 M - 2018]
</t>
        </r>
      </text>
    </comment>
    <comment ref="AV9" authorId="0" shapeId="0" xr:uid="{00000000-0006-0000-0700-000004000000}">
      <text>
        <r>
          <rPr>
            <sz val="9"/>
            <color indexed="81"/>
            <rFont val="Segoe UI"/>
            <family val="2"/>
          </rPr>
          <t xml:space="preserve">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
</t>
        </r>
      </text>
    </comment>
    <comment ref="AX9" authorId="0" shapeId="0" xr:uid="{00000000-0006-0000-0700-000005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r>
          <rPr>
            <sz val="9"/>
            <color indexed="81"/>
            <rFont val="Segoe UI"/>
            <family val="2"/>
          </rPr>
          <t xml:space="preserve">
</t>
        </r>
      </text>
    </comment>
    <comment ref="P11" authorId="1" shapeId="0" xr:uid="{00000000-0006-0000-0700-000006000000}">
      <text>
        <r>
          <rPr>
            <sz val="9"/>
            <color indexed="81"/>
            <rFont val="Segoe UI"/>
            <family val="2"/>
          </rPr>
          <t>PT - Custos de reestruturação da operação de armazenagem, no valor de R$ 3.704 mil
EN - Restructuring costs of the warehousing operation, in the amount of R$ 3,704 thousand</t>
        </r>
      </text>
    </comment>
    <comment ref="R11" authorId="1" shapeId="0" xr:uid="{00000000-0006-0000-0700-000007000000}">
      <text>
        <r>
          <rPr>
            <sz val="9"/>
            <color indexed="81"/>
            <rFont val="Segoe UI"/>
            <family val="2"/>
          </rPr>
          <t>PT - Custos de reestruturação da operação de armazenagem, no valor de R$ 6.697 mil
EN - Restructuring costs of the warehousing operation, in the amount of R$ 6,697 thousand</t>
        </r>
      </text>
    </comment>
    <comment ref="V11" authorId="1" shapeId="0" xr:uid="{00000000-0006-0000-0700-000008000000}">
      <text>
        <r>
          <rPr>
            <sz val="9"/>
            <color indexed="81"/>
            <rFont val="Segoe UI"/>
            <family val="2"/>
          </rPr>
          <t>PT - Crédito de R$ 2,7 milhões relacionado ao recolhimento de INSS sobre verbas indenizatórias.
EN -  Cedit of 2.7 million related to the colection from INSS</t>
        </r>
      </text>
    </comment>
    <comment ref="Z11" authorId="1" shapeId="0" xr:uid="{00000000-0006-0000-0700-000009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t>
        </r>
      </text>
    </comment>
    <comment ref="AG11" authorId="0" shapeId="0" xr:uid="{00000000-0006-0000-0700-00000A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t>
        </r>
        <r>
          <rPr>
            <b/>
            <sz val="9"/>
            <color indexed="81"/>
            <rFont val="Segoe UI"/>
            <family val="2"/>
          </rPr>
          <t>além de um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t>
        </r>
        <r>
          <rPr>
            <b/>
            <sz val="9"/>
            <color indexed="81"/>
            <rFont val="Segoe UI"/>
            <family val="2"/>
          </rPr>
          <t>in addition to a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AL11" authorId="0" shapeId="0" xr:uid="{00000000-0006-0000-0700-00000B000000}">
      <text>
        <r>
          <rPr>
            <sz val="9"/>
            <color indexed="81"/>
            <rFont val="Segoe UI"/>
            <family val="2"/>
          </rPr>
          <t>PT: Custos relacionados à desmobilização de um armazém em Barueri-SP no montante de R$ 2,9 M
Eng: Costs related to demobilization of a warehouse in Barueri-SP amounting R$ 2.9 M</t>
        </r>
      </text>
    </comment>
    <comment ref="R13" authorId="1" shapeId="0" xr:uid="{00000000-0006-0000-0700-00000C000000}">
      <text>
        <r>
          <rPr>
            <sz val="9"/>
            <color indexed="81"/>
            <rFont val="Segoe UI"/>
            <family val="2"/>
          </rPr>
          <t>PT - A companhia realizou um reforço de provisão para contingências trabalhistas que impactou o resultado no montante de R$ 12.744.
Adicionalmente, foram detectadas inconsistências em saldos de depósitos judiciais que apontava para baixa de R$ 5.617 no resultado.
EN - The company made a provision for labor contingencies which affected the result in R$ 13 million.
In addition, inconsistencies were found in judicial deposits that pointed the necessity of a R$ 6 million write-down.</t>
        </r>
      </text>
    </comment>
    <comment ref="S13" authorId="1" shapeId="0" xr:uid="{00000000-0006-0000-0700-00000D000000}">
      <text>
        <r>
          <rPr>
            <sz val="9"/>
            <color indexed="81"/>
            <rFont val="Segoe UI"/>
            <family val="2"/>
          </rPr>
          <t>PT - Impacto de positivo de R$ 1.270 referente à negociação da administração da folha de pagamentos da Tegma
EN - Impact of positive of R$1,270 referring to the negotiation of the administration of the payroll of Tegma</t>
        </r>
      </text>
    </comment>
    <comment ref="V13" authorId="1" shapeId="0" xr:uid="{00000000-0006-0000-0700-00000E000000}">
      <text>
        <r>
          <rPr>
            <sz val="9"/>
            <color indexed="81"/>
            <rFont val="Segoe UI"/>
            <family val="2"/>
          </rPr>
          <t>PT - Crédito de R$ 532 mil relacionado ao recolhimento de INSS sobre verbas indenizatórias 
- Perda de R$ 1,5 milhão no 4T16 referente à decisão de não prosseguir com aquisição de um imóvel para pátio de operação de logística de veículos em São José dos Campos-SP.
- Decisão de não prosseguir com a aquisição de um imóvel localizado em Resende-RJ destinado originalmente para de operação de logística de veículos, resultou em uma baixa com impacto negativo de R$ 1,031 milhão
EN - Credit of R $ 532k related to the collection of INSS on indemnification amounts;
- Loss of R $ 1.5 million in 4Q16 referring to the decision not to proceed with the acquisition of a property for a vehicle logistics operation yard in São José dos Campos-SP.
- Decision not to proceed with the acquisition of a property located in Resende-RJ originally intended for the vehicle logistics operation, resulted in a downturn with a negative impact of R $ 1.031 million</t>
        </r>
      </text>
    </comment>
    <comment ref="X13" authorId="2" shapeId="0" xr:uid="{00000000-0006-0000-0700-00000F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Y13" authorId="1" shapeId="0" xr:uid="{00000000-0006-0000-0700-000010000000}">
      <text>
        <r>
          <rPr>
            <sz val="10"/>
            <rFont val="Arial"/>
            <family val="2"/>
          </rPr>
          <t xml:space="preserve">PT - Baixa no valo de R$ 5,7 milhões referente a contas a receber da Direct
EN - Write off of Direct account receivable amounting R$ 5.7 million </t>
        </r>
      </text>
    </comment>
    <comment ref="Z13" authorId="1" shapeId="0" xr:uid="{00000000-0006-0000-0700-000011000000}">
      <text>
        <r>
          <rPr>
            <sz val="9"/>
            <color indexed="81"/>
            <rFont val="Segoe UI"/>
            <family val="2"/>
          </rPr>
          <t>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R$ 6,6 milhões nas provisões.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 In December 2017, we concluded the revaluation work over the methodology used to calculate provisions for labor claims, resulting in an increase of R$ 6.6 million in provisions.</t>
        </r>
      </text>
    </comment>
    <comment ref="AD13" authorId="3" shapeId="0" xr:uid="{00000000-0006-0000-0700-000012000000}">
      <text>
        <r>
          <rPr>
            <sz val="9"/>
            <color indexed="81"/>
            <rFont val="Segoe UI"/>
            <family val="2"/>
          </rPr>
          <t>PT- Contingência cívil da ex controlada Direct Express de - R$ 14,5 milhões
PT- Custos de sucumbência de processo judicial de operação descontinuada: R$2,9M
Eng - Civil contingency of the former subsidiary Direct Express - R$ 14.5 million;
Eng - Costs of defead legal fee for discontinued operation: R$ 2.9M</t>
        </r>
      </text>
    </comment>
    <comment ref="AG13" authorId="0" shapeId="0" xr:uid="{00000000-0006-0000-0700-000013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t>
        </r>
        <r>
          <rPr>
            <b/>
            <sz val="9"/>
            <color indexed="81"/>
            <rFont val="Segoe UI"/>
            <family val="2"/>
          </rPr>
          <t>(R$ 56,5 milhões em outras receitas e despesas</t>
        </r>
        <r>
          <rPr>
            <sz val="9"/>
            <color indexed="81"/>
            <rFont val="Segoe UI"/>
            <family val="2"/>
          </rPr>
          <t xml:space="preserve">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r>
          <rPr>
            <b/>
            <sz val="9"/>
            <color indexed="81"/>
            <rFont val="Segoe UI"/>
            <family val="2"/>
          </rPr>
          <t xml:space="preserve">R$ 56.5 million in other revenues and expenses </t>
        </r>
        <r>
          <rPr>
            <sz val="9"/>
            <color indexed="81"/>
            <rFont val="Segoe UI"/>
            <family val="2"/>
          </rPr>
          <t>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t>
        </r>
      </text>
    </comment>
    <comment ref="AI13" authorId="4" shapeId="0" xr:uid="{00000000-0006-0000-0700-000014000000}">
      <text>
        <r>
          <rPr>
            <b/>
            <sz val="9"/>
            <color indexed="81"/>
            <rFont val="Segoe UI"/>
            <family val="2"/>
          </rPr>
          <t xml:space="preserve">PT - </t>
        </r>
        <r>
          <rPr>
            <sz val="9"/>
            <color indexed="81"/>
            <rFont val="Segoe UI"/>
            <family val="2"/>
          </rPr>
          <t xml:space="preserve">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AL13" authorId="0" shapeId="0" xr:uid="{00000000-0006-0000-0700-000015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M13" authorId="0" shapeId="0" xr:uid="{00000000-0006-0000-0700-000016000000}">
      <text>
        <r>
          <rPr>
            <sz val="9"/>
            <color indexed="81"/>
            <rFont val="Segoe UI"/>
            <family val="2"/>
          </rPr>
          <t xml:space="preserve">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
</t>
        </r>
      </text>
    </comment>
    <comment ref="AN13" authorId="5" shapeId="0" xr:uid="{00000000-0006-0000-0700-000017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O13" authorId="0" shapeId="0" xr:uid="{00000000-0006-0000-0700-000018000000}">
      <text>
        <r>
          <rPr>
            <sz val="9"/>
            <color indexed="81"/>
            <rFont val="Segoe UI"/>
            <family val="2"/>
          </rPr>
          <t xml:space="preserve">NÚMERO AJUSTADO!
PT - Despesas com assessorias financeiras e jurídicas relacionadas à oferta hostil de combinação de negócios recebida no trimestre: R$ 1,1 milhão
ADJUSTED NUMBER!
Eng - Financial and legal advisory expenses related to the hostile business combination bid received in the quarter: R$1.1 million
</t>
        </r>
      </text>
    </comment>
    <comment ref="AP13" authorId="5" shapeId="0" xr:uid="{00000000-0006-0000-0700-000019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S13" authorId="6" shapeId="0" xr:uid="{00000000-0006-0000-0700-00001A000000}">
      <text>
        <r>
          <rPr>
            <sz val="9"/>
            <color indexed="81"/>
            <rFont val="Segoe UI"/>
            <family val="2"/>
          </rPr>
          <t>PT- Contingência cívil da ex controlada Direct Express de - R$ 6,6 milhões
Eng - Civil contingency of the former subsidiary Direct Express - R$ 6.6 million;</t>
        </r>
      </text>
    </comment>
    <comment ref="AT13" authorId="0" shapeId="0" xr:uid="{00000000-0006-0000-0700-00001B000000}">
      <text>
        <r>
          <rPr>
            <sz val="9"/>
            <color indexed="81"/>
            <rFont val="Segoe UI"/>
            <family val="2"/>
          </rPr>
          <t xml:space="preserve">PT- Créditos de PIS/ COFINS da controlada Catlog (líquido de honorários advocatícios) - R$ 5,5 milhões
Eng - PIS/ COFINS tax credits from the subsidiary Catlog (net of lawyer fees) - R$ 5.5 million
</t>
        </r>
      </text>
    </comment>
    <comment ref="BG13" authorId="0" shapeId="0" xr:uid="{490B52E6-F364-4B60-9660-510A3EE46C36}">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r>
          <rPr>
            <sz val="9"/>
            <color indexed="81"/>
            <rFont val="Segoe UI"/>
            <family val="2"/>
          </rPr>
          <t xml:space="preserve">
</t>
        </r>
      </text>
    </comment>
    <comment ref="Z19" authorId="1" shapeId="0" xr:uid="{00000000-0006-0000-0700-00001C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Menção na nota 8 de impostos a recuperar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Mentin on taxes to recover note 8</t>
        </r>
      </text>
    </comment>
    <comment ref="X20" authorId="1" shapeId="0" xr:uid="{00000000-0006-0000-0700-00001D000000}">
      <text>
        <r>
          <rPr>
            <sz val="9"/>
            <color indexed="81"/>
            <rFont val="Segoe UI"/>
            <family val="2"/>
          </rPr>
          <t>PT - Nota 14 - Depósitos judiciais e provisão para demandas judiciais /
Passivo contingente decorrente de combinação de negócios
EN - Note 14 - Judicial deposits and provision for lawsuits /
Contingent liability arising from a business combination</t>
        </r>
      </text>
    </comment>
    <comment ref="AL22" authorId="0" shapeId="0" xr:uid="{00000000-0006-0000-0700-00001E000000}">
      <text>
        <r>
          <rPr>
            <sz val="9"/>
            <color indexed="81"/>
            <rFont val="Segoe UI"/>
            <family val="2"/>
          </rPr>
          <t xml:space="preserve">PT: Custos e despesas relacionados à desmobilização de um armazém em Barueri-SP no montante de R$ 5,2 M
Eng: Costs and expenses related to demobilization of a warehouse in Barueri-SP amounting R$ 5.2 M
</t>
        </r>
      </text>
    </comment>
    <comment ref="Z26" authorId="1" shapeId="0" xr:uid="{00000000-0006-0000-0700-00001F000000}">
      <text>
        <r>
          <rPr>
            <sz val="9"/>
            <color indexed="81"/>
            <rFont val="Segoe UI"/>
            <family val="2"/>
          </rPr>
          <t>PT - Menção na nota 14 de Depósitos judiciais e provisão para demandas judiciais
EN - Mention on note 14 - judicial deposits and legal provisions</t>
        </r>
      </text>
    </comment>
    <comment ref="N40" authorId="1" shapeId="0" xr:uid="{00000000-0006-0000-0700-000020000000}">
      <text>
        <r>
          <rPr>
            <sz val="9"/>
            <color indexed="81"/>
            <rFont val="Segoe UI"/>
            <family val="2"/>
          </rPr>
          <t>PT - A Companhia aderiu ao Programa de Recuperação Fiscal (REFIS) para quitação de débitos gerados por aproveitamento fiscal de ágios gerados por aquisições no valor de R$ 2.836
EN - The Company adhered to the Tax Recovery Program (REFIS) for the discharge of debts generated by the tax benefit of goodwill generated by acquisitions in the amount of R$2,836</t>
        </r>
      </text>
    </comment>
    <comment ref="R40" authorId="1" shapeId="0" xr:uid="{00000000-0006-0000-0700-000021000000}">
      <text>
        <r>
          <rPr>
            <sz val="9"/>
            <color indexed="81"/>
            <rFont val="Segoe UI"/>
            <family val="2"/>
          </rPr>
          <t>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t>
        </r>
      </text>
    </comment>
    <comment ref="S40" authorId="1" shapeId="0" xr:uid="{00000000-0006-0000-0700-000022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 $ 2,283.</t>
        </r>
      </text>
    </comment>
    <comment ref="U40" authorId="1" shapeId="0" xr:uid="{00000000-0006-0000-0700-000023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 $ 4,619</t>
        </r>
      </text>
    </comment>
    <comment ref="V40" authorId="1" shapeId="0" xr:uid="{00000000-0006-0000-0700-000024000000}">
      <text>
        <r>
          <rPr>
            <sz val="9"/>
            <color indexed="81"/>
            <rFont val="Segoe UI"/>
            <family val="2"/>
          </rPr>
          <t>PT - Atualização monetária do saldo recolhido de INSS sobre verbas indenizatórias entre 2011 e 2014 no montante de R$ 1.214 milhão positivo;
EN - Monetary updating of the balance collected from INSS on indemnity amounts between 2011 and 2014 in the amount of R $ 1,214 million positive;</t>
        </r>
      </text>
    </comment>
    <comment ref="X40" authorId="2" shapeId="0" xr:uid="{00000000-0006-0000-0700-000025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Z40" authorId="1" shapeId="0" xr:uid="{00000000-0006-0000-0700-000026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
</t>
        </r>
      </text>
    </comment>
    <comment ref="AC40" authorId="0" shapeId="0" xr:uid="{00000000-0006-0000-0700-000027000000}">
      <text>
        <r>
          <rPr>
            <sz val="9"/>
            <color indexed="81"/>
            <rFont val="Segoe UI"/>
            <family val="2"/>
          </rPr>
          <t>PT - Juros e multa denúncia espontânea TCE R$ 2,030 M
Eng - Fine and interest upon spontaneous denouncement TCE R$ 2.030 M</t>
        </r>
      </text>
    </comment>
    <comment ref="AG40" authorId="0" shapeId="0" xr:uid="{00000000-0006-0000-0700-00002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t>
        </r>
        <r>
          <rPr>
            <b/>
            <sz val="9"/>
            <color indexed="81"/>
            <rFont val="Segoe UI"/>
            <family val="2"/>
          </rPr>
          <t>R$ 34,9 milhões em receitas financeiras referente à correção monetária</t>
        </r>
        <r>
          <rPr>
            <sz val="9"/>
            <color indexed="81"/>
            <rFont val="Segoe UI"/>
            <family val="2"/>
          </rPr>
          <t xml:space="preserve">), além de um custo de R$ 6,1 milhões referente aos honorários advocatícios da causa em questão (outros custos), </t>
        </r>
        <r>
          <rPr>
            <b/>
            <sz val="9"/>
            <color indexed="81"/>
            <rFont val="Segoe UI"/>
            <family val="2"/>
          </rPr>
          <t xml:space="preserve">R$ 1,6 milhão de PIS/COFINS sobre a receita financeira </t>
        </r>
        <r>
          <rPr>
            <sz val="9"/>
            <color indexed="81"/>
            <rFont val="Segoe UI"/>
            <family val="2"/>
          </rPr>
          <t xml:space="preserve">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t>
        </r>
        <r>
          <rPr>
            <b/>
            <sz val="9"/>
            <color indexed="81"/>
            <rFont val="Segoe UI"/>
            <family val="2"/>
          </rPr>
          <t xml:space="preserve">R$ 1.6 million of PIS/COFINS tax on financial income </t>
        </r>
        <r>
          <rPr>
            <sz val="9"/>
            <color indexed="81"/>
            <rFont val="Segoe UI"/>
            <family val="2"/>
          </rPr>
          <t>and provision of R$ 28.4 million of income tax on book entry.</t>
        </r>
      </text>
    </comment>
    <comment ref="AN40" authorId="0" shapeId="0" xr:uid="{00000000-0006-0000-0700-000029000000}">
      <text>
        <r>
          <rPr>
            <sz val="9"/>
            <color indexed="81"/>
            <rFont val="Segoe UI"/>
            <family val="2"/>
          </rPr>
          <t xml:space="preserve">Pt - Correção monetária do Crédito de PIS e COFINS priveniente da Exclusão de ICMS na Base de Cálculo: R$3,4 milhões
Eng - Pt - Monetary adjustment of the PIS and COFINS Credit arising from the Exclusion of ICMS in the Calculation Base: R$3.4 million
</t>
        </r>
      </text>
    </comment>
    <comment ref="AT40" authorId="0" shapeId="0" xr:uid="{00000000-0006-0000-0700-00002A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r>
          <rPr>
            <sz val="9"/>
            <color indexed="81"/>
            <rFont val="Segoe UI"/>
            <family val="2"/>
          </rPr>
          <t xml:space="preserve">
</t>
        </r>
      </text>
    </comment>
    <comment ref="AV40" authorId="6" shapeId="0" xr:uid="{00000000-0006-0000-0700-00002B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AZ40" authorId="0" shapeId="0" xr:uid="{00000000-0006-0000-0700-00002C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X43" authorId="2" shapeId="0" xr:uid="{00000000-0006-0000-0700-00002D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EN - 2014 LALUR correction impacted by R $ 10.9 million 
- Payment of income tax on the Fundaf's lawsuit success R $ 1.9 million
- Deferred income tax constitution on a contingency of controlled capital Direct  R$ 5.1 million</t>
        </r>
      </text>
    </comment>
    <comment ref="Z43" authorId="1" shapeId="0" xr:uid="{00000000-0006-0000-0700-00002E000000}">
      <text>
        <r>
          <rPr>
            <b/>
            <sz val="9"/>
            <color indexed="81"/>
            <rFont val="Segoe UI"/>
            <family val="2"/>
          </rPr>
          <t xml:space="preserve">PT - Impacto no imposto de renda dos seguintes eventos: </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t>
        </r>
        <r>
          <rPr>
            <b/>
            <sz val="9"/>
            <color indexed="81"/>
            <rFont val="Segoe UI"/>
            <family val="2"/>
          </rPr>
          <t>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D43" authorId="3" shapeId="0" xr:uid="{00000000-0006-0000-0700-00002F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G43" authorId="0" shapeId="0" xr:uid="{00000000-0006-0000-0700-000030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t>
        </r>
        <r>
          <rPr>
            <b/>
            <sz val="9"/>
            <color indexed="81"/>
            <rFont val="Segoe UI"/>
            <family val="2"/>
          </rPr>
          <t>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t>
        </r>
        <r>
          <rPr>
            <b/>
            <sz val="9"/>
            <color indexed="81"/>
            <rFont val="Segoe UI"/>
            <family val="2"/>
          </rPr>
          <t xml:space="preserve">R$ 28.4 million of income tax on book entry.
</t>
        </r>
      </text>
    </comment>
    <comment ref="AO43" authorId="0" shapeId="0" xr:uid="{00000000-0006-0000-0700-000031000000}">
      <text>
        <r>
          <rPr>
            <sz val="9"/>
            <color indexed="81"/>
            <rFont val="Segoe UI"/>
            <family val="2"/>
          </rPr>
          <t xml:space="preserve">Pt - Crédito tributário extraordinário referente a imposto pago a maior R$12,9 milhões
Eng- Extraordinary tax credit regarding overpaid tax collection amounting R$ 12.9 million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Estrela Dantas dos Santos</author>
    <author>Rodolpho Magdaloni Agria</author>
    <author>Ian Nunes Costa e Costa</author>
  </authors>
  <commentList>
    <comment ref="W11" authorId="0" shapeId="0" xr:uid="{00000000-0006-0000-0800-000001000000}">
      <text>
        <r>
          <rPr>
            <b/>
            <sz val="9"/>
            <color indexed="81"/>
            <rFont val="Segoe UI"/>
            <family val="2"/>
          </rPr>
          <t xml:space="preserve">PT- </t>
        </r>
        <r>
          <rPr>
            <sz val="9"/>
            <color indexed="81"/>
            <rFont val="Segoe UI"/>
            <family val="2"/>
          </rPr>
          <t>O fluxo operacional do 1T20 foi impactado pelo aproveitamento do crédito de PIS COFINS (R$ 18 milhões líquido de IR/CS.</t>
        </r>
        <r>
          <rPr>
            <b/>
            <sz val="9"/>
            <color indexed="81"/>
            <rFont val="Segoe UI"/>
            <family val="2"/>
          </rPr>
          <t xml:space="preserve">
Eng - </t>
        </r>
        <r>
          <rPr>
            <sz val="9"/>
            <color indexed="81"/>
            <rFont val="Segoe UI"/>
            <family val="2"/>
          </rPr>
          <t>The operating flow in 1Q20 was impacted by the use of the PIS COFINS tax credit (R$ 18 million, net of income tax).</t>
        </r>
        <r>
          <rPr>
            <b/>
            <sz val="9"/>
            <color indexed="81"/>
            <rFont val="Segoe UI"/>
            <family val="2"/>
          </rPr>
          <t xml:space="preserve"> </t>
        </r>
      </text>
    </comment>
    <comment ref="L21" authorId="1" shapeId="0" xr:uid="{00000000-0006-0000-0800-000002000000}">
      <text>
        <r>
          <rPr>
            <sz val="9"/>
            <color indexed="81"/>
            <rFont val="Segoe UI"/>
            <family val="2"/>
          </rPr>
          <t>PT - Contingência cívil da ex controlada Direct Express de R$ 16,9 milhões.
EN - Tax contingency of the former subsidiary Direct Express of R $ 16.9 million</t>
        </r>
      </text>
    </comment>
    <comment ref="R28" authorId="2" shapeId="0" xr:uid="{00000000-0006-0000-0800-000003000000}">
      <text>
        <r>
          <rPr>
            <b/>
            <sz val="9"/>
            <color indexed="81"/>
            <rFont val="Segoe UI"/>
            <family val="2"/>
          </rPr>
          <t>Ian Nunes Costa e Costa:</t>
        </r>
        <r>
          <rPr>
            <sz val="9"/>
            <color indexed="81"/>
            <rFont val="Segoe UI"/>
            <family val="2"/>
          </rPr>
          <t xml:space="preserve">
</t>
        </r>
      </text>
    </comment>
    <comment ref="U28" authorId="2" shapeId="0" xr:uid="{00000000-0006-0000-0800-000004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text>
    </comment>
    <comment ref="N40" authorId="1" shapeId="0" xr:uid="{00000000-0006-0000-0800-000005000000}">
      <text>
        <r>
          <rPr>
            <sz val="9"/>
            <color indexed="81"/>
            <rFont val="Segoe UI"/>
            <family val="2"/>
          </rPr>
          <t xml:space="preserve">PT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impactando positivamente o imposto de renda do 4T17 em R$ 0,8 milhão. Vide nota 9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text>
    </comment>
    <comment ref="L47" authorId="1" shapeId="0" xr:uid="{00000000-0006-0000-0800-000006000000}">
      <text>
        <r>
          <rPr>
            <sz val="9"/>
            <color indexed="81"/>
            <rFont val="Segoe UI"/>
            <family val="2"/>
          </rPr>
          <t>PT - Ganho de causa Fundaf R$ 13,7 mi
EN - Fundaf Dispute gain (R$ 13.7 million)</t>
        </r>
      </text>
    </comment>
    <comment ref="M49" authorId="1" shapeId="0" xr:uid="{00000000-0006-0000-0800-000007000000}">
      <text>
        <r>
          <rPr>
            <sz val="9"/>
            <color indexed="81"/>
            <rFont val="Segoe UI"/>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trade combination receivables / indemnities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 ref="U49" authorId="2" shapeId="0" xr:uid="{00000000-0006-0000-0800-000008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T52" authorId="2" shapeId="0" xr:uid="{00000000-0006-0000-0800-000009000000}">
      <text>
        <r>
          <rPr>
            <sz val="9"/>
            <color indexed="81"/>
            <rFont val="Segoe UI"/>
            <family val="2"/>
          </rPr>
          <t>PT - No 2T19 recebemos R$ 12,3 milhões relacionado ao ganho de causa que questionou o recolhimento da contribuição ao FUNDAF sobre as receitas de serviços alfandegários da sua operação em Cariacica-ES.
Eng - In 2Q19, we received R$ 12.3 million from the lawsuit which Tegma requested to be exempted from contributing to FUNDAF regarding a tax on revenue from customs bonded services at its operation in Cariacica-ES.</t>
        </r>
      </text>
    </comment>
    <comment ref="U58" authorId="2" shapeId="0" xr:uid="{00000000-0006-0000-0800-00000A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O19" authorId="0" shapeId="0" xr:uid="{00000000-0006-0000-0900-000001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Q19" authorId="0" shapeId="0" xr:uid="{00000000-0006-0000-0900-000002000000}">
      <text>
        <r>
          <rPr>
            <sz val="9"/>
            <color indexed="81"/>
            <rFont val="Segoe UI"/>
            <family val="2"/>
          </rPr>
          <t>PT - Atualização monetária do reconhecimento do crédito de PIS/COFINS e da adesão ao PERT resultaram numa receita positiva de R$ 13,0 milhões
ENN - PIS/COFINS credit recognition' monetary update and the PERT adhesion resulted in a positive financial result of R$ 13.0 million</t>
        </r>
      </text>
    </comment>
    <comment ref="O30" authorId="0" shapeId="0" xr:uid="{00000000-0006-0000-0900-000003000000}">
      <text>
        <r>
          <rPr>
            <sz val="9"/>
            <color indexed="81"/>
            <rFont val="Segoe UI"/>
            <family val="2"/>
          </rPr>
          <t xml:space="preserve">
</t>
        </r>
      </text>
    </comment>
    <comment ref="Q30" authorId="0" shapeId="0" xr:uid="{00000000-0006-0000-0900-000004000000}">
      <text>
        <r>
          <rPr>
            <sz val="9"/>
            <color indexed="81"/>
            <rFont val="Segoe UI"/>
            <family val="2"/>
          </rPr>
          <t>PT -Crédito de PIS/COFINS resultou num ganho de R$ 29,2 milhões
EN - PIS/COFINS tax credit recognition in the amount of R$ 29.2 million</t>
        </r>
      </text>
    </comment>
    <comment ref="O31" authorId="0" shapeId="0" xr:uid="{00000000-0006-0000-0900-000005000000}">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Ian Nunes Costa e Costa</author>
    <author>William Estrela Dantas dos Santos</author>
  </authors>
  <commentList>
    <comment ref="AG25" authorId="0" shapeId="0" xr:uid="{00000000-0006-0000-0B00-000001000000}">
      <text>
        <r>
          <rPr>
            <sz val="9"/>
            <color indexed="81"/>
            <rFont val="Segoe UI"/>
            <family val="2"/>
          </rPr>
          <t xml:space="preserve">PT: Sem considerar Crédito de PIS/Cofins, ROE Seria de 26,3%.
Eng: Not considering Pis/Cofins tax credit RoE would be 26.3%
</t>
        </r>
      </text>
    </comment>
    <comment ref="AH25" authorId="0" shapeId="0" xr:uid="{00000000-0006-0000-0B00-000002000000}">
      <text>
        <r>
          <rPr>
            <sz val="9"/>
            <color indexed="81"/>
            <rFont val="Segoe UI"/>
            <family val="2"/>
          </rPr>
          <t xml:space="preserve">PT: Sem considerar Crédito de PIS/Cofins, ROE Seria de 27,9%.
Eng: Not considering Pis/Cofins tax credit RoE would be 27.9%
</t>
        </r>
      </text>
    </comment>
    <comment ref="AI25" authorId="0" shapeId="0" xr:uid="{00000000-0006-0000-0B00-000003000000}">
      <text>
        <r>
          <rPr>
            <sz val="9"/>
            <color indexed="81"/>
            <rFont val="Segoe UI"/>
            <family val="2"/>
          </rPr>
          <t>PT: Sem considerar Crédito de PIS/Cofins, ROE Seria de 25,8%.
Eng: Not considering Pis/Cofins tax credit RoE would be 25.8%</t>
        </r>
      </text>
    </comment>
    <comment ref="AJ25" authorId="0" shapeId="0" xr:uid="{00000000-0006-0000-0B00-000004000000}">
      <text>
        <r>
          <rPr>
            <sz val="9"/>
            <color indexed="81"/>
            <rFont val="Segoe UI"/>
            <family val="2"/>
          </rPr>
          <t>PT: Sem considerar Crédito de PIS/Cofins, ROE Seria de 19,7%.
Eng: Not considering Pis/Cofins tax credit RoE would be 19.7%</t>
        </r>
      </text>
    </comment>
    <comment ref="AG26" authorId="0" shapeId="0" xr:uid="{00000000-0006-0000-0B00-000005000000}">
      <text>
        <r>
          <rPr>
            <sz val="9"/>
            <color indexed="81"/>
            <rFont val="Segoe UI"/>
            <family val="2"/>
          </rPr>
          <t>PT: Sem considerar Crédito de PIS/Cofins, ROIC Seria de 29,5%.
Eng: Not considering Pis/Cofins tax credit Roic would be 29.5%</t>
        </r>
      </text>
    </comment>
    <comment ref="AH26" authorId="1" shapeId="0" xr:uid="{00000000-0006-0000-0B00-000006000000}">
      <text>
        <r>
          <rPr>
            <sz val="9"/>
            <color indexed="81"/>
            <rFont val="Segoe UI"/>
            <family val="2"/>
          </rPr>
          <t>PT: Sem considerar Crédito de PIS/Cofins, ROIC Seria de 29,4%.
Eng: Not considering Pis/Cofins tax credit Roic would be 29.4%</t>
        </r>
      </text>
    </comment>
    <comment ref="AI26" authorId="0" shapeId="0" xr:uid="{00000000-0006-0000-0B00-000007000000}">
      <text>
        <r>
          <rPr>
            <sz val="9"/>
            <color indexed="81"/>
            <rFont val="Segoe UI"/>
            <family val="2"/>
          </rPr>
          <t>PT: Sem considerar Crédito de PIS/Cofins, ROIC Seria de 26,9%.
Eng: Not considering Pis/Cofins tax credit Roic would be 26.9%</t>
        </r>
      </text>
    </comment>
    <comment ref="AJ26" authorId="0" shapeId="0" xr:uid="{00000000-0006-0000-0B00-000008000000}">
      <text>
        <r>
          <rPr>
            <sz val="9"/>
            <color indexed="81"/>
            <rFont val="Segoe UI"/>
            <family val="2"/>
          </rPr>
          <t>PT: Sem considerar Crédito de PIS/Cofins, ROIC Seria de 18,3%.
Eng: Not considering Pis/Cofins tax credit Roic would be 18,3%</t>
        </r>
      </text>
    </comment>
  </commentList>
</comments>
</file>

<file path=xl/sharedStrings.xml><?xml version="1.0" encoding="utf-8"?>
<sst xmlns="http://schemas.openxmlformats.org/spreadsheetml/2006/main" count="32633" uniqueCount="1443">
  <si>
    <t>4T13</t>
  </si>
  <si>
    <t>3T13</t>
  </si>
  <si>
    <t>2T13</t>
  </si>
  <si>
    <t>1T13</t>
  </si>
  <si>
    <t>4T12</t>
  </si>
  <si>
    <t>3T12</t>
  </si>
  <si>
    <t>2T12</t>
  </si>
  <si>
    <t>1T12</t>
  </si>
  <si>
    <t>EBITDA</t>
  </si>
  <si>
    <t>Lucro operacional</t>
  </si>
  <si>
    <t>(-) Imposto de renda e contribuição social</t>
  </si>
  <si>
    <t>Logística de Veículos</t>
  </si>
  <si>
    <t>Armazenagem</t>
  </si>
  <si>
    <t>Lucro bruto</t>
  </si>
  <si>
    <t>Lucro antes do IR e da CS</t>
  </si>
  <si>
    <t>Imposto de renda e contribuição social</t>
  </si>
  <si>
    <t>Empréstimos e financiamentos</t>
  </si>
  <si>
    <t>Aplicações financeiras</t>
  </si>
  <si>
    <t>Parcelamento de tributos</t>
  </si>
  <si>
    <t>Impostos a recuperar</t>
  </si>
  <si>
    <t>Salários e encargos sociais</t>
  </si>
  <si>
    <t>Instrumentos financeiros derivativos - Swap</t>
  </si>
  <si>
    <t>Despesas antecipadas</t>
  </si>
  <si>
    <t>Debêntures</t>
  </si>
  <si>
    <t>Demais contas a pagar</t>
  </si>
  <si>
    <t>Partes relacionadas</t>
  </si>
  <si>
    <t>Demais contas a receber</t>
  </si>
  <si>
    <t>Depósitos judiciais</t>
  </si>
  <si>
    <t>Investimentos</t>
  </si>
  <si>
    <t>Imobilizado</t>
  </si>
  <si>
    <t>Intangível</t>
  </si>
  <si>
    <t>Capital social</t>
  </si>
  <si>
    <t>Ações em tesouraria</t>
  </si>
  <si>
    <t>Logística automotiva</t>
  </si>
  <si>
    <t>Logística integrada</t>
  </si>
  <si>
    <t>Ativo circulante</t>
  </si>
  <si>
    <t>Contas a receber</t>
  </si>
  <si>
    <t>Ativo não circulante</t>
  </si>
  <si>
    <t>Total do ativo</t>
  </si>
  <si>
    <t>Passivo circulante</t>
  </si>
  <si>
    <t>Tributos a recolher</t>
  </si>
  <si>
    <t>Opção de compra em controlada</t>
  </si>
  <si>
    <t>Passivo não circulante</t>
  </si>
  <si>
    <t>Patrimônio líquido</t>
  </si>
  <si>
    <t>Total do passivo e do patrimônio líquido</t>
  </si>
  <si>
    <t>1T14</t>
  </si>
  <si>
    <t>(-) Resultado financeiro</t>
  </si>
  <si>
    <t>(-) Equivalência patrimonial</t>
  </si>
  <si>
    <t>Com pessoal</t>
  </si>
  <si>
    <t>Outros</t>
  </si>
  <si>
    <t>Baixa preço variável</t>
  </si>
  <si>
    <t>(Ganho)/Prejui. venda de ativo</t>
  </si>
  <si>
    <t>Desmobilização de Operações</t>
  </si>
  <si>
    <t>Custo de Indenização</t>
  </si>
  <si>
    <t>Dividendos a Receber</t>
  </si>
  <si>
    <t>2T14</t>
  </si>
  <si>
    <t>Receita líquida</t>
  </si>
  <si>
    <t>Lucro líquido sem operação descontinuada</t>
  </si>
  <si>
    <t>Ativos de operação descontinuada</t>
  </si>
  <si>
    <t>Passivos de operação descontinuada</t>
  </si>
  <si>
    <t>1T11</t>
  </si>
  <si>
    <t>2T11</t>
  </si>
  <si>
    <t>3T11</t>
  </si>
  <si>
    <t>4T11</t>
  </si>
  <si>
    <t>CAPEX</t>
  </si>
  <si>
    <t>* Sem depreciação e amortização</t>
  </si>
  <si>
    <t>Receita bruta</t>
  </si>
  <si>
    <t>EBITDA ajustado</t>
  </si>
  <si>
    <t>Margem EBITDA ajustado</t>
  </si>
  <si>
    <t>Logística Automotiva</t>
  </si>
  <si>
    <t>Logística Integrada</t>
  </si>
  <si>
    <t>3T14</t>
  </si>
  <si>
    <t>Lucro líquido</t>
  </si>
  <si>
    <t>TOTAL</t>
  </si>
  <si>
    <t>² Informações ajustadas dos efeitos extraordinários relacionados à venda da Direct, detalhada na aba "Anexos"</t>
  </si>
  <si>
    <t>Caixa e equivalentes de caixa</t>
  </si>
  <si>
    <t>Dívida líquida</t>
  </si>
  <si>
    <t>4T14</t>
  </si>
  <si>
    <t>Imposto de renda e contribuição social a recuperar</t>
  </si>
  <si>
    <t>Ativos não circulantes mantidos para venda</t>
  </si>
  <si>
    <t>Imposto de renda e contribuição social diferidos</t>
  </si>
  <si>
    <t xml:space="preserve">Seguros e aluguéis a pagar </t>
  </si>
  <si>
    <t>Provisões para demandas judiciais</t>
  </si>
  <si>
    <t>Outros exigiveis a longo prazo</t>
  </si>
  <si>
    <t>Reservas de capital</t>
  </si>
  <si>
    <t>Reservas de lucros</t>
  </si>
  <si>
    <t>Participação dos não controladores</t>
  </si>
  <si>
    <t>1T15</t>
  </si>
  <si>
    <t>2T15</t>
  </si>
  <si>
    <t xml:space="preserve"> </t>
  </si>
  <si>
    <t>Títulos a vencer</t>
  </si>
  <si>
    <t>Títulos vencidos até 30 dias</t>
  </si>
  <si>
    <t>Títulos vencidos de 31 até 90 dias</t>
  </si>
  <si>
    <t>Títulos vencidos de 91 até 180 dias</t>
  </si>
  <si>
    <t>Contas a Receber</t>
  </si>
  <si>
    <t>Títulos vencidos a mais de 180 dias</t>
  </si>
  <si>
    <t>Consolidado</t>
  </si>
  <si>
    <t>Controladora</t>
  </si>
  <si>
    <t>Controladas</t>
  </si>
  <si>
    <t>IRRF sobre serviços e outros</t>
  </si>
  <si>
    <t>INSS a recuperar</t>
  </si>
  <si>
    <t>IRRF sobre aplicações financeiras</t>
  </si>
  <si>
    <t>PIS e Cofins</t>
  </si>
  <si>
    <t>ICMS a recuperar</t>
  </si>
  <si>
    <t>CONSOLIDADO</t>
  </si>
  <si>
    <t>Terrenos</t>
  </si>
  <si>
    <t>Edifícios</t>
  </si>
  <si>
    <t>Computadores e periféricos</t>
  </si>
  <si>
    <t>Instalações</t>
  </si>
  <si>
    <t>Veículos</t>
  </si>
  <si>
    <t>Imobilizado andamento</t>
  </si>
  <si>
    <t>Software</t>
  </si>
  <si>
    <t>Total</t>
  </si>
  <si>
    <t>CONTROLADORA</t>
  </si>
  <si>
    <t>CONTROLADAS</t>
  </si>
  <si>
    <t>Perda provável</t>
  </si>
  <si>
    <t xml:space="preserve">Perda possível </t>
  </si>
  <si>
    <t xml:space="preserve">Perda remota </t>
  </si>
  <si>
    <t>Pedágio</t>
  </si>
  <si>
    <t>Aluguel</t>
  </si>
  <si>
    <t>Seguros</t>
  </si>
  <si>
    <t>Serviços de consultoria</t>
  </si>
  <si>
    <t>Manutenções diversas</t>
  </si>
  <si>
    <t>Combustível</t>
  </si>
  <si>
    <t>Indenizações a Pagar</t>
  </si>
  <si>
    <t>Assessoria técnica / terraplanagem</t>
  </si>
  <si>
    <t>Perdas com créditos incobráveis</t>
  </si>
  <si>
    <t>Ajustes de estoques</t>
  </si>
  <si>
    <t>Outras</t>
  </si>
  <si>
    <t>Outras receitas (despesas), líquidas</t>
  </si>
  <si>
    <t>Direct</t>
  </si>
  <si>
    <t>Serviços de fretes – agregados</t>
  </si>
  <si>
    <t>Salários</t>
  </si>
  <si>
    <t>Serviços terceirizados</t>
  </si>
  <si>
    <t>Encargos sociais</t>
  </si>
  <si>
    <t>Alugueis e leasing</t>
  </si>
  <si>
    <t>Benefícios a empregados</t>
  </si>
  <si>
    <t>Depreciação e amortização</t>
  </si>
  <si>
    <t>Outros gastos com pessoal</t>
  </si>
  <si>
    <t>Manutenção</t>
  </si>
  <si>
    <t>Outros gastos gerais</t>
  </si>
  <si>
    <t>Comunicação</t>
  </si>
  <si>
    <t>Combustiveis e lubrificantes</t>
  </si>
  <si>
    <t>Utilidades</t>
  </si>
  <si>
    <t>Materiais</t>
  </si>
  <si>
    <t>Contribuições e doações</t>
  </si>
  <si>
    <t>Despesa de viagem</t>
  </si>
  <si>
    <t>Indenização de extravio</t>
  </si>
  <si>
    <t>Custo do serviços prestados, despesas gerais e administrativas e despesas comerciais</t>
  </si>
  <si>
    <t xml:space="preserve"> -</t>
  </si>
  <si>
    <t>Resultado positivo de operação de Swap</t>
  </si>
  <si>
    <t>Ganhos cambiais</t>
  </si>
  <si>
    <t>Juros ativos</t>
  </si>
  <si>
    <t>Receitas  financeiras</t>
  </si>
  <si>
    <t>Juros sobre financiamentos bancários</t>
  </si>
  <si>
    <t>Perdas cambiais</t>
  </si>
  <si>
    <t>Resultado negativo de operação de Swap</t>
  </si>
  <si>
    <t>Despesas bancárias</t>
  </si>
  <si>
    <t>Juros passivos</t>
  </si>
  <si>
    <t>Despesas  financeiras</t>
  </si>
  <si>
    <t>-</t>
  </si>
  <si>
    <t>Menos de 1 ano</t>
  </si>
  <si>
    <t>Entre 1 e 2 anos</t>
  </si>
  <si>
    <t>Em 30 de junho de 2015</t>
  </si>
  <si>
    <t>Fornecedores e fretes a pagar</t>
  </si>
  <si>
    <t>Seguros e aluguéis a pagar</t>
  </si>
  <si>
    <t>Em 31 de março de 2015</t>
  </si>
  <si>
    <t>Em 31 de dezembro de 2014</t>
  </si>
  <si>
    <t>Em 30 de setembro de 2014</t>
  </si>
  <si>
    <t>Em 30 de junho de 2014</t>
  </si>
  <si>
    <t>Em 31 de março de 2014</t>
  </si>
  <si>
    <t>Em 31 de dezembro de 2013</t>
  </si>
  <si>
    <t>Contas a pagar - Preço variável</t>
  </si>
  <si>
    <t>31 de março de 2014</t>
  </si>
  <si>
    <t>30 de junho de 2014</t>
  </si>
  <si>
    <t>30 de setembro de 2014</t>
  </si>
  <si>
    <t>31 de dezembro de 2014</t>
  </si>
  <si>
    <t>31 de março de 2015</t>
  </si>
  <si>
    <t>30 de junho de 2015</t>
  </si>
  <si>
    <t>Exposição líquida</t>
  </si>
  <si>
    <t>Despesa</t>
  </si>
  <si>
    <t>Total do patrimônio líquido</t>
  </si>
  <si>
    <t>Índice de alavancagem financeira</t>
  </si>
  <si>
    <t>Recursos em banco e em caixa</t>
  </si>
  <si>
    <t>Contas a receber da venda de produtos e serviços:</t>
  </si>
  <si>
    <t xml:space="preserve">Contas a receber no Brasil </t>
  </si>
  <si>
    <t xml:space="preserve"> Circulante</t>
  </si>
  <si>
    <t>Não circulante</t>
  </si>
  <si>
    <t>Saldo inicial</t>
  </si>
  <si>
    <t>Adições</t>
  </si>
  <si>
    <t xml:space="preserve">Reversões </t>
  </si>
  <si>
    <t>Saldo final</t>
  </si>
  <si>
    <t>Transferencia operação descontinuada (i)</t>
  </si>
  <si>
    <t>Valor a receber venda Direct</t>
  </si>
  <si>
    <t>Sinistros a Recuperar</t>
  </si>
  <si>
    <t>Adiantamento funcionários</t>
  </si>
  <si>
    <t>Adiantamento a Fornecedores</t>
  </si>
  <si>
    <t>Recuperação de despesas a receber</t>
  </si>
  <si>
    <t>Recuperação de extravio, furtos e roubos</t>
  </si>
  <si>
    <t>Valores a receber</t>
  </si>
  <si>
    <t>Outros creditos</t>
  </si>
  <si>
    <t>Circulante</t>
  </si>
  <si>
    <t>Controle integral</t>
  </si>
  <si>
    <t>Direct Express Logística Integrada S.A. (Direct)</t>
  </si>
  <si>
    <t xml:space="preserve">Tegma Cargas Especiais Ltda. (TCE) </t>
  </si>
  <si>
    <t xml:space="preserve">Tegma Logística Integrada S.A. (TLI) </t>
  </si>
  <si>
    <t>Niyati Empreendimentos e Participações Ltda (Niyati)</t>
  </si>
  <si>
    <t>PDI Comércio e Indústria e Serviços Ltda. (PDI)</t>
  </si>
  <si>
    <t>Tegmax Comércio e Serviços Automotivos Ltda. (Tegmax)</t>
  </si>
  <si>
    <t>Controle proporcional sem consolidação</t>
  </si>
  <si>
    <t>Catlog Logística de Transportes S.A. (Catlog)</t>
  </si>
  <si>
    <t>Tegma Venezuela S.A. (TV)</t>
  </si>
  <si>
    <t>Total de investimento controladora</t>
  </si>
  <si>
    <t>TCE</t>
  </si>
  <si>
    <t>TLI</t>
  </si>
  <si>
    <t>Niyati</t>
  </si>
  <si>
    <t>PDI</t>
  </si>
  <si>
    <t>Catlog</t>
  </si>
  <si>
    <t>Tegmax</t>
  </si>
  <si>
    <t>TGI</t>
  </si>
  <si>
    <t>TV</t>
  </si>
  <si>
    <t>Guriel</t>
  </si>
  <si>
    <t>Em 31 de dezembro de 2012</t>
  </si>
  <si>
    <t>Aumento de investimento</t>
  </si>
  <si>
    <t>Adiantamento para futuro aumento de capital</t>
  </si>
  <si>
    <t>Equivalência patrimonial</t>
  </si>
  <si>
    <t>Provisão para passivo a descoberto</t>
  </si>
  <si>
    <t>Dividendos distribuídos</t>
  </si>
  <si>
    <t>Transferência para passivo a descoberto</t>
  </si>
  <si>
    <t>Transferência incorporação</t>
  </si>
  <si>
    <t>Variação cambial de investimento</t>
  </si>
  <si>
    <t>Transferência para operações descontinuadas</t>
  </si>
  <si>
    <t>Incorporação</t>
  </si>
  <si>
    <t>Guriel Empreendimentos e Participações Ltda. (Guriel)</t>
  </si>
  <si>
    <t>Ativo</t>
  </si>
  <si>
    <t>Direct (Consolidado)</t>
  </si>
  <si>
    <t>31 de dezembro de 2013</t>
  </si>
  <si>
    <t xml:space="preserve">     </t>
  </si>
  <si>
    <t xml:space="preserve"> Imobilizado</t>
  </si>
  <si>
    <t>Passivo e patrimônio líquido</t>
  </si>
  <si>
    <t xml:space="preserve"> Patrimônio líquido</t>
  </si>
  <si>
    <t xml:space="preserve"> Receita líquida</t>
  </si>
  <si>
    <t>Custo dos serviços prestados</t>
  </si>
  <si>
    <t>Despesas gerais e administrativas</t>
  </si>
  <si>
    <t>Receitas financeiras, líquidas</t>
  </si>
  <si>
    <t>Outras (despesas) receitas, líquidas</t>
  </si>
  <si>
    <t>Lucro líquido/(prejuízo) do exercício</t>
  </si>
  <si>
    <t>Amortização</t>
  </si>
  <si>
    <t>Adição</t>
  </si>
  <si>
    <t xml:space="preserve">    Direct Logística Integrada S.A.</t>
  </si>
  <si>
    <t xml:space="preserve">   Trans Commerce Transportes de Cargas Ltda.</t>
  </si>
  <si>
    <t xml:space="preserve">   Tegma Logística Integrada S.A.</t>
  </si>
  <si>
    <t xml:space="preserve">   Tegma Cargas Expecias Ltda.</t>
  </si>
  <si>
    <t xml:space="preserve">   Catlog Logística de Transportes S.A.</t>
  </si>
  <si>
    <t xml:space="preserve">   PDI comércio, Indústria e Serviços Ltda.</t>
  </si>
  <si>
    <t>Transferência (i)</t>
  </si>
  <si>
    <t>Baixa</t>
  </si>
  <si>
    <t>Baixa (i)</t>
  </si>
  <si>
    <t>Transferência (ii)</t>
  </si>
  <si>
    <t>Ágio pago na aquisição de investimentos</t>
  </si>
  <si>
    <t>Projeto Implantação TLI</t>
  </si>
  <si>
    <t>Intangível pago na aquisição de investimentos</t>
  </si>
  <si>
    <t xml:space="preserve"> Aquisição Trans Commerce</t>
  </si>
  <si>
    <t xml:space="preserve">    Carteira de agregrados </t>
  </si>
  <si>
    <t xml:space="preserve">    Relacionamento com clientes</t>
  </si>
  <si>
    <t xml:space="preserve"> Aquisição Direct</t>
  </si>
  <si>
    <t xml:space="preserve">   Marcas registradas e licenças </t>
  </si>
  <si>
    <t xml:space="preserve">   Relações contratuais com clientes </t>
  </si>
  <si>
    <t xml:space="preserve">   Custos de desenvolvimento de softwares </t>
  </si>
  <si>
    <t xml:space="preserve">      Nortev</t>
  </si>
  <si>
    <t xml:space="preserve">      Boni Amazon</t>
  </si>
  <si>
    <t>Líquido</t>
  </si>
  <si>
    <t>30/06/2014</t>
  </si>
  <si>
    <t xml:space="preserve">Finame </t>
  </si>
  <si>
    <t>Total dos empréstimos e financiamentos</t>
  </si>
  <si>
    <t>(-) Circulante</t>
  </si>
  <si>
    <t>Instrumentos financeiros derivativos - swap</t>
  </si>
  <si>
    <t>Total contratos de swap</t>
  </si>
  <si>
    <t>Total de debêntures</t>
  </si>
  <si>
    <t>Empréstimo e financiamento líquido de swap e debêntures</t>
  </si>
  <si>
    <t>INSS</t>
  </si>
  <si>
    <t>FGTS</t>
  </si>
  <si>
    <t>Salários a pagar</t>
  </si>
  <si>
    <t>Provisão para 13° salário</t>
  </si>
  <si>
    <t>Base negativa da contribuição social</t>
  </si>
  <si>
    <t>Ajuste projeção de alíquota efetiva</t>
  </si>
  <si>
    <t>Diferenças temporárias</t>
  </si>
  <si>
    <t xml:space="preserve">    Provisões para PLR e gratificação</t>
  </si>
  <si>
    <t xml:space="preserve">    Provisões para demandas judiciais</t>
  </si>
  <si>
    <t xml:space="preserve">    Provisões para fretes a pagar</t>
  </si>
  <si>
    <t xml:space="preserve">    Provisões para indenizações</t>
  </si>
  <si>
    <t xml:space="preserve">    Outras</t>
  </si>
  <si>
    <t>Subtotal</t>
  </si>
  <si>
    <t>Swap</t>
  </si>
  <si>
    <t>Despesas financeiras</t>
  </si>
  <si>
    <t>Receitas financeiras</t>
  </si>
  <si>
    <t>Total do passivo</t>
  </si>
  <si>
    <t>Receita bruta de serviços</t>
  </si>
  <si>
    <t>Descontos, seguros e pedágio</t>
  </si>
  <si>
    <t>Impostos incidentes</t>
  </si>
  <si>
    <t>Receita líquida de serviços</t>
  </si>
  <si>
    <t>Obrigações brutas de arrendamento operacional - Pagamentos mínimos de arrendamento</t>
  </si>
  <si>
    <t>Até um ano</t>
  </si>
  <si>
    <t>De dois a cinco anos</t>
  </si>
  <si>
    <t>Acima de cinco anos</t>
  </si>
  <si>
    <t>31/08/2014</t>
  </si>
  <si>
    <t>Jan/2013 a Set/2013</t>
  </si>
  <si>
    <t>Out/2013 a Dez/2013</t>
  </si>
  <si>
    <t>Jan/2013 a Dez/2013</t>
  </si>
  <si>
    <t>Jan/2014 a Mar/2014</t>
  </si>
  <si>
    <t>Jan/2014 a Jun/2014</t>
  </si>
  <si>
    <t>Jul/2014 a Ago/2014</t>
  </si>
  <si>
    <t>Jan/2014 a Ago/2014</t>
  </si>
  <si>
    <t>Jan/2013 a Jun/2013</t>
  </si>
  <si>
    <t>Atividades operacionais</t>
  </si>
  <si>
    <t>31/12/2014</t>
  </si>
  <si>
    <t xml:space="preserve">Circulante </t>
  </si>
  <si>
    <t>Receita líquida dos serviços prestados</t>
  </si>
  <si>
    <t>Atividades de investimentos</t>
  </si>
  <si>
    <t>Atividades de financiamento</t>
  </si>
  <si>
    <t>Ativos líquidos Direct</t>
  </si>
  <si>
    <t>Investimento - baixa ágio (Nota 11 e 13)</t>
  </si>
  <si>
    <t>Prejuízo bruto</t>
  </si>
  <si>
    <t>Caixa líquido (utilizado)</t>
  </si>
  <si>
    <t>Intángivel (Nota 13)</t>
  </si>
  <si>
    <t>Perda por redução ao valor recuperável (i)</t>
  </si>
  <si>
    <t>Total ativos de operação descontinuada</t>
  </si>
  <si>
    <t>Passivos líquidos Direct</t>
  </si>
  <si>
    <t xml:space="preserve">Não circulante </t>
  </si>
  <si>
    <t>Realizável a longo prazo</t>
  </si>
  <si>
    <t>Total passivos de operação descontinuada</t>
  </si>
  <si>
    <t>Resultado financeiro</t>
  </si>
  <si>
    <t xml:space="preserve">Imposto de renda e contribuição social </t>
  </si>
  <si>
    <t>Prejuízo líquido do período</t>
  </si>
  <si>
    <t>Total do passivo e patrimônio líquido</t>
  </si>
  <si>
    <t>Perda por redução ao valor recuperável</t>
  </si>
  <si>
    <t>Prejuízo do período das operações descontinuadas</t>
  </si>
  <si>
    <t>(Em R$ Mil)</t>
  </si>
  <si>
    <t>Provisão (reversão) para perdas em ativos</t>
  </si>
  <si>
    <t>Encargos financeiros de parcelamentos de tributos e títulos a pagar</t>
  </si>
  <si>
    <t xml:space="preserve">Juros aquisição / opção de compra </t>
  </si>
  <si>
    <t>Juros sobre a venda do investimento</t>
  </si>
  <si>
    <t>Despesas (receitas) que não afetam o fluxo de caixa</t>
  </si>
  <si>
    <t>Demais ativos</t>
  </si>
  <si>
    <t>Aumento (redução) de partes relacionadas</t>
  </si>
  <si>
    <t>Variações nos ativos e passivos</t>
  </si>
  <si>
    <t>Juros pagos sobre debêntures</t>
  </si>
  <si>
    <t>Juros recebidos sobre aplicações financerias</t>
  </si>
  <si>
    <t>Imposto de renda e contribuição social pagos</t>
  </si>
  <si>
    <t>(A) Caixa líquido proveniente das atividades operacionais</t>
  </si>
  <si>
    <t>Transferência para caixa e equivalentes de caixa</t>
  </si>
  <si>
    <t>Redução (aumento) das aplicações financeiras</t>
  </si>
  <si>
    <t xml:space="preserve">Recebimento pela venda de bens </t>
  </si>
  <si>
    <t>Valor recebido na venda de investimento</t>
  </si>
  <si>
    <t>(B) Caixa líquido proveniente das (aplicado nas) atividades de investimentos</t>
  </si>
  <si>
    <t>Pagamentos de títulos a pagar e tributos parcelados</t>
  </si>
  <si>
    <t>(C) Caixa líquido proveniente das (aplicado nas) atividades de financiamento</t>
  </si>
  <si>
    <t>Prejuízo antes do imposto de renda e da contribuição social das operações descontinuadas</t>
  </si>
  <si>
    <t>Variação dos ativos e passivos de operação descontinuada</t>
  </si>
  <si>
    <t>Perda na venda de investimento</t>
  </si>
  <si>
    <t>(D) Caixa líquido de operações descontinuadas</t>
  </si>
  <si>
    <t>Caixa no início do período</t>
  </si>
  <si>
    <t>Caixa no final do período</t>
  </si>
  <si>
    <t>Receitas</t>
  </si>
  <si>
    <t>No Brasil</t>
  </si>
  <si>
    <t xml:space="preserve">Empréstimos e financiamentos </t>
  </si>
  <si>
    <t xml:space="preserve">Debêntures </t>
  </si>
  <si>
    <t xml:space="preserve">Demais contas a pagar </t>
  </si>
  <si>
    <t xml:space="preserve">Partes relacionadas </t>
  </si>
  <si>
    <t xml:space="preserve">Contas a pagar - preço variável </t>
  </si>
  <si>
    <t xml:space="preserve">Contas a pagar - Preço variável </t>
  </si>
  <si>
    <t>Aquisição de controlada</t>
  </si>
  <si>
    <t>Prejuízo antes do imposto de renda e da contribuição social</t>
  </si>
  <si>
    <t>Prejuízo operacional antes do resultado financeiro e do imposto de renda e contribuição social</t>
  </si>
  <si>
    <t>Ativos líquidos diretamente associados ao grupo de operação descontinuada</t>
  </si>
  <si>
    <t>Receita antes de impostos</t>
  </si>
  <si>
    <t>Em 30 de setembro de 2015</t>
  </si>
  <si>
    <t xml:space="preserve">Contas a pagar - aquisição de controlada </t>
  </si>
  <si>
    <t>3T15</t>
  </si>
  <si>
    <t xml:space="preserve">Operações com derivativos atrelados ao CDI </t>
  </si>
  <si>
    <t xml:space="preserve">Total dos empréstimos </t>
  </si>
  <si>
    <t>Derivativos - Swap</t>
  </si>
  <si>
    <t xml:space="preserve">Caixa e equivalentes de caixa </t>
  </si>
  <si>
    <t>Dividendos distribuidos</t>
  </si>
  <si>
    <t>30 de setembro de 2015</t>
  </si>
  <si>
    <t>Ganho (perda) na venda de ativo imobilizado líquido</t>
  </si>
  <si>
    <t>Outras receitas (despesas) líquidas</t>
  </si>
  <si>
    <t>Outras despesas financeiras</t>
  </si>
  <si>
    <t>Crédito de PIS/COFINS</t>
  </si>
  <si>
    <t>Caixa líquido proveniente das atividades operacionais (ITR)</t>
  </si>
  <si>
    <t>(-) Prejuízo antes do imposto de renda e da contribuição social das operações descontinuadas</t>
  </si>
  <si>
    <t>(-) Variação dos ativos e passivos de operação descontinuada</t>
  </si>
  <si>
    <t>(-) Perda na venda de investimento</t>
  </si>
  <si>
    <t>Lucro bruto*</t>
  </si>
  <si>
    <t>Remuneração da administração</t>
  </si>
  <si>
    <t>Despesas comerciais</t>
  </si>
  <si>
    <t>Consolidado e Controladora</t>
  </si>
  <si>
    <t>Salários e encargos (Diretores)</t>
  </si>
  <si>
    <t>Opções de ações</t>
  </si>
  <si>
    <t>Participação nos lucros</t>
  </si>
  <si>
    <t>Fluxo de caixa livre (A + B)</t>
  </si>
  <si>
    <t>(-) Recebimento do ativo cindido/cedido de operações descontinuadas¹</t>
  </si>
  <si>
    <t>Movimentação de veículos e cargas</t>
  </si>
  <si>
    <t>IRPJ e CSLL</t>
  </si>
  <si>
    <t>Máquinas e equipamentos</t>
  </si>
  <si>
    <t>Provisões para crédito de liquidação duvidosa</t>
  </si>
  <si>
    <t>4T15</t>
  </si>
  <si>
    <t>Depósitos Judiciais</t>
  </si>
  <si>
    <t>Trabalhistas e previdenciárias</t>
  </si>
  <si>
    <t>Tributárias</t>
  </si>
  <si>
    <t>Cíveis</t>
  </si>
  <si>
    <t>Multas contratuais</t>
  </si>
  <si>
    <t>Em 30 de dezembro de 2015</t>
  </si>
  <si>
    <t>Em 31 de dezembro de 2015</t>
  </si>
  <si>
    <t>Vendas brutas de serviços, líquidos dos descontos</t>
  </si>
  <si>
    <t>Insumos adquiridos de terceiros</t>
  </si>
  <si>
    <t>Valor adicionado bruto</t>
  </si>
  <si>
    <t xml:space="preserve">Depreciação e amortização </t>
  </si>
  <si>
    <t>Valor adicionado líquido produzido pela Companhia</t>
  </si>
  <si>
    <t xml:space="preserve">Receitas financeiras </t>
  </si>
  <si>
    <t>Valor adicionado total a distribuir</t>
  </si>
  <si>
    <t>Pessoal e encargos</t>
  </si>
  <si>
    <t xml:space="preserve">Salários e encargos </t>
  </si>
  <si>
    <t>Participação dos empregados nos lucros</t>
  </si>
  <si>
    <t>Impostos, taxas e contribuições</t>
  </si>
  <si>
    <t xml:space="preserve">Federais </t>
  </si>
  <si>
    <t>Estaduais</t>
  </si>
  <si>
    <t>Municipais</t>
  </si>
  <si>
    <t>Financiadores</t>
  </si>
  <si>
    <t>Juros e variações cambiais</t>
  </si>
  <si>
    <t>Aluguéis</t>
  </si>
  <si>
    <t>Dividendos</t>
  </si>
  <si>
    <t>Valor adicionado distribuído</t>
  </si>
  <si>
    <t>Ativo Circulante</t>
  </si>
  <si>
    <t>Niyati Empreendimentos e Participações Ltda.</t>
  </si>
  <si>
    <t>Tegma Logística Integrada S.A.</t>
  </si>
  <si>
    <t>Tegma Cargas Especiais Ltda.</t>
  </si>
  <si>
    <t>Tegma Logística de Veículos Ltda</t>
  </si>
  <si>
    <t>Coimex Empreendimentos e Participações Ltda.</t>
  </si>
  <si>
    <t>Promotora Quinta Rueda, C.A.</t>
  </si>
  <si>
    <t>Tegmax Comercio e Serviços Automotivos Ltda.</t>
  </si>
  <si>
    <t>Balanço patrimonial</t>
  </si>
  <si>
    <t>Cisa Trading S.A.</t>
  </si>
  <si>
    <t>Catlog Logística de Transportes S.A.</t>
  </si>
  <si>
    <t>Pactus Empreendimentos e Participações Ltda.</t>
  </si>
  <si>
    <t>Coimex Empreendimentos e Participações Ltda.</t>
  </si>
  <si>
    <t xml:space="preserve">Grupo Itavema </t>
  </si>
  <si>
    <t xml:space="preserve">Tegma Cargas Especiais Ltda </t>
  </si>
  <si>
    <t>Sinimbu Participações Societarias e Empreendimentos S.A.</t>
  </si>
  <si>
    <t>Riscos possíveis</t>
  </si>
  <si>
    <t>Balanço patrimonial consolidado</t>
  </si>
  <si>
    <t>Logística industrial</t>
  </si>
  <si>
    <t>Resultado de equivalência patrimonial</t>
  </si>
  <si>
    <t>Materiais, energia, serviços de terceiros e outros operacionais</t>
  </si>
  <si>
    <t>Provisão trabalhista e ajuste de deposito judicial</t>
  </si>
  <si>
    <t>Demonstrativo de fluxo de caixa consolidado</t>
  </si>
  <si>
    <t>Demonstração de resultado consolidado</t>
  </si>
  <si>
    <t>Provisão trabalhista / ajuste depósitos judiciais</t>
  </si>
  <si>
    <t>Custo de indenização</t>
  </si>
  <si>
    <t>Conciliação do fluxo de caixa livre consolidado</t>
  </si>
  <si>
    <t>Variação de caixa (A + B + C +D)</t>
  </si>
  <si>
    <t>Liquidez corrente</t>
  </si>
  <si>
    <t>Liquidez imediata</t>
  </si>
  <si>
    <t>Liquidez geral</t>
  </si>
  <si>
    <t>Indicadores de liquidez</t>
  </si>
  <si>
    <t>ROA</t>
  </si>
  <si>
    <t>ROE</t>
  </si>
  <si>
    <t>1T16</t>
  </si>
  <si>
    <t>GENERAL MOTORS</t>
  </si>
  <si>
    <t>VOLKSWAGEN</t>
  </si>
  <si>
    <t>TOYOTA</t>
  </si>
  <si>
    <t>RENAULT/NISSAN</t>
  </si>
  <si>
    <t>HONDA</t>
  </si>
  <si>
    <t>HYUNDAI</t>
  </si>
  <si>
    <t>OUTROS</t>
  </si>
  <si>
    <t>Em 31 de março de 2016</t>
  </si>
  <si>
    <t>31 de março de 2016</t>
  </si>
  <si>
    <t>TLV</t>
  </si>
  <si>
    <t>Tegma Logística de Veículos Ltda. (TLV)</t>
  </si>
  <si>
    <t>Custos variáveis</t>
  </si>
  <si>
    <t>Crédito PIS/COFINS</t>
  </si>
  <si>
    <t>Fornecedores e fretes</t>
  </si>
  <si>
    <t>(consolidado, em milhares)</t>
  </si>
  <si>
    <t>(consolidado)</t>
  </si>
  <si>
    <t>2011</t>
  </si>
  <si>
    <t>2010</t>
  </si>
  <si>
    <t>Custos rescisórios</t>
  </si>
  <si>
    <t>Encargos Sociais</t>
  </si>
  <si>
    <t>Outras receitas</t>
  </si>
  <si>
    <t>Reestruturação armazéns</t>
  </si>
  <si>
    <t>Processos trabalhistas</t>
  </si>
  <si>
    <t>Perda estimada para créditos de liquidação duvidosa</t>
  </si>
  <si>
    <t>Transferência / Outros</t>
  </si>
  <si>
    <t>Férias a pagar</t>
  </si>
  <si>
    <t>Gratificações e participação nos lucros a pagar</t>
  </si>
  <si>
    <t>Dívida bruta / EBITDA ajustado</t>
  </si>
  <si>
    <t>Indicadores de endividamento</t>
  </si>
  <si>
    <t>(consolidado em R$ mil)</t>
  </si>
  <si>
    <t>Cotação média</t>
  </si>
  <si>
    <t>Indicadores TGMA3</t>
  </si>
  <si>
    <t>Volume total de negociação</t>
  </si>
  <si>
    <t>2T16</t>
  </si>
  <si>
    <t>Em 30 de junho de 2016</t>
  </si>
  <si>
    <t>30 de junho de 2016</t>
  </si>
  <si>
    <t>Dívida bruta</t>
  </si>
  <si>
    <t>Caixa e aplicações</t>
  </si>
  <si>
    <t xml:space="preserve">    Benefício fiscal do ágio na incorporação</t>
  </si>
  <si>
    <t xml:space="preserve">Amortização de ágio fiscal </t>
  </si>
  <si>
    <t>Diferença de taxa de depreciação</t>
  </si>
  <si>
    <t>Dívida bruta / Patrimônio Líquido</t>
  </si>
  <si>
    <t>Benfeitorias  em propriedade de terceiros</t>
  </si>
  <si>
    <t>3T16</t>
  </si>
  <si>
    <t>Indices de retorno</t>
  </si>
  <si>
    <t>Logística de veículos</t>
  </si>
  <si>
    <t>Logística de autopeças</t>
  </si>
  <si>
    <t>Leilão automotivo</t>
  </si>
  <si>
    <t>Operações descontinuadas</t>
  </si>
  <si>
    <t>(consolidado, em R$ mil)</t>
  </si>
  <si>
    <t>Em 30 de setembro de 2016</t>
  </si>
  <si>
    <t>30 de setembro de 2016</t>
  </si>
  <si>
    <t>Dívida líquida / EBITDA ajustado (&lt; 2,5)</t>
  </si>
  <si>
    <t>Remuneração do pessoal-chave da Administração</t>
  </si>
  <si>
    <t>EBITDA ajustado / Juros de empréstimos</t>
  </si>
  <si>
    <t>Lucro (prejuízo) antes do imposto sobre a renda e da contribuição social</t>
  </si>
  <si>
    <t>Alíquota nominal combinada imposto sobre a renda e contribuição social</t>
  </si>
  <si>
    <t>Imposto sobre a renda e contribuição social pela alíquota nominal</t>
  </si>
  <si>
    <t>Efeito do IRPJ e da CSLL sobre as diferenças permanentes</t>
  </si>
  <si>
    <t>Reconhecimento de diferidos sobre Prejuízo fiscal e Base negativa da contribuição social</t>
  </si>
  <si>
    <t>Imposto sobre a renda e contribuição social no resultado</t>
  </si>
  <si>
    <t>Corrente</t>
  </si>
  <si>
    <t>Diferido</t>
  </si>
  <si>
    <t>Taxa efetiva</t>
  </si>
  <si>
    <t>REFIS</t>
  </si>
  <si>
    <t>Baixa de diferido referente ágio</t>
  </si>
  <si>
    <t>i</t>
  </si>
  <si>
    <t>Dias a receber</t>
  </si>
  <si>
    <t>Aquisições de terrenos a pagar</t>
  </si>
  <si>
    <t>Benefícios</t>
  </si>
  <si>
    <t>4T16</t>
  </si>
  <si>
    <t>2007</t>
  </si>
  <si>
    <t>2008</t>
  </si>
  <si>
    <t>2009</t>
  </si>
  <si>
    <t>SANTANDER</t>
  </si>
  <si>
    <t>BRASIL PLURAL</t>
  </si>
  <si>
    <t>VOTORANTIM</t>
  </si>
  <si>
    <t>BAML</t>
  </si>
  <si>
    <t>BTG PACTUAL</t>
  </si>
  <si>
    <t>ITAÚ</t>
  </si>
  <si>
    <t>EBITDA 2018</t>
  </si>
  <si>
    <t>Lucro Líquido 2018</t>
  </si>
  <si>
    <t>EBITDA ajustado / resultado financeiro (&gt; 1,5)</t>
  </si>
  <si>
    <t>Custo</t>
  </si>
  <si>
    <t>Depreciação</t>
  </si>
  <si>
    <t>Móveis, utensílios e embalagens e outros</t>
  </si>
  <si>
    <t>Em 31 de dezembro de 2016</t>
  </si>
  <si>
    <t>31 de dezembro de 2016</t>
  </si>
  <si>
    <t>Comunicação dados e voz</t>
  </si>
  <si>
    <t>Média</t>
  </si>
  <si>
    <t>Quantidade de ações (total mil)</t>
  </si>
  <si>
    <t>Dívida bruta / Market cap</t>
  </si>
  <si>
    <t>Proventos em Dinheiro</t>
  </si>
  <si>
    <t>Montante (R$ mil)</t>
  </si>
  <si>
    <t>Cotação Data da Deliberação</t>
  </si>
  <si>
    <t xml:space="preserve">Dividendo </t>
  </si>
  <si>
    <t>Dividendo</t>
  </si>
  <si>
    <t>Juros</t>
  </si>
  <si>
    <t>Dividendos a pagar</t>
  </si>
  <si>
    <t>1T17</t>
  </si>
  <si>
    <t>Em 31 de março de 2017</t>
  </si>
  <si>
    <t>Volume diário médio de negociação</t>
  </si>
  <si>
    <t xml:space="preserve">    Provisão de pedágios a pagar</t>
  </si>
  <si>
    <t xml:space="preserve">    Provisão cut-off</t>
  </si>
  <si>
    <t>Impostos e taxas</t>
  </si>
  <si>
    <t>Contas a pagar - aquisição de controlada</t>
  </si>
  <si>
    <t>SAFRA</t>
  </si>
  <si>
    <t>2T17</t>
  </si>
  <si>
    <t>30 de junho de 2017</t>
  </si>
  <si>
    <t>Em 30 de junho de 2017</t>
  </si>
  <si>
    <t>Juros pagos sobre empréstimos e financiamentos</t>
  </si>
  <si>
    <t>Juros pagos sobre títulos a pagar e parcelamentos de tributos</t>
  </si>
  <si>
    <t>Provisão para perda de investimento</t>
  </si>
  <si>
    <t>Perda alienação de investimento</t>
  </si>
  <si>
    <t>Vigilância</t>
  </si>
  <si>
    <t xml:space="preserve">Perda alienação de investimento </t>
  </si>
  <si>
    <t>Indenizações de combinação de negócios</t>
  </si>
  <si>
    <t>Baixa ágio controlada</t>
  </si>
  <si>
    <t>Indenizações combinação de negócios</t>
  </si>
  <si>
    <t>Ganho causa Fundaf</t>
  </si>
  <si>
    <t>Constituição de provisões para demandas judiciais e indenizações pagas</t>
  </si>
  <si>
    <t>Retificação LALUR 2014</t>
  </si>
  <si>
    <t>PREÇO ALVO YE18</t>
  </si>
  <si>
    <t>EBITDA 2019</t>
  </si>
  <si>
    <t>Lucro Líquido 2019</t>
  </si>
  <si>
    <t>Receita líquida 2019</t>
  </si>
  <si>
    <t>Receita líquida 2018</t>
  </si>
  <si>
    <t>3T17</t>
  </si>
  <si>
    <t>4T17</t>
  </si>
  <si>
    <t>30 de setembro de 2017</t>
  </si>
  <si>
    <t>Em 30 de setembro de 2017</t>
  </si>
  <si>
    <t>TLA</t>
  </si>
  <si>
    <t>Reversão de patrimônio líquido negativo</t>
  </si>
  <si>
    <t>Honorários de Diretoria (Conselheiros)</t>
  </si>
  <si>
    <t>Período</t>
  </si>
  <si>
    <t>Estoques total</t>
  </si>
  <si>
    <t>Estoques Conces</t>
  </si>
  <si>
    <t>Estoques Fábrica</t>
  </si>
  <si>
    <t>Vendas usados / novos</t>
  </si>
  <si>
    <t>Fiat FCA</t>
  </si>
  <si>
    <t xml:space="preserve">Norte </t>
  </si>
  <si>
    <t>Nordeste</t>
  </si>
  <si>
    <t>CO</t>
  </si>
  <si>
    <t>Sudeste</t>
  </si>
  <si>
    <t>Sul</t>
  </si>
  <si>
    <t>Exportação/produção</t>
  </si>
  <si>
    <t>Importação/vendas domésticas</t>
  </si>
  <si>
    <t>1T09</t>
  </si>
  <si>
    <t>2T09</t>
  </si>
  <si>
    <t>3T09</t>
  </si>
  <si>
    <t>4T09</t>
  </si>
  <si>
    <t>1T10</t>
  </si>
  <si>
    <t>2T10</t>
  </si>
  <si>
    <t>3T10</t>
  </si>
  <si>
    <t>4T10</t>
  </si>
  <si>
    <t>1T18</t>
  </si>
  <si>
    <t>2T18</t>
  </si>
  <si>
    <t>3T18</t>
  </si>
  <si>
    <t>4T18</t>
  </si>
  <si>
    <t>Mkt Share Tegma</t>
  </si>
  <si>
    <t>CDI +   %</t>
  </si>
  <si>
    <t>Dívida circulante</t>
  </si>
  <si>
    <t>Baixa contas a receber operação descontinuada</t>
  </si>
  <si>
    <t>Receita média por km (Div automotiva)</t>
  </si>
  <si>
    <t>* Esse indicador não reflete exatamente o valor cobrado dos clientes porque a receita bruta inclui outros serviços que não transporte</t>
  </si>
  <si>
    <t>Cronograma de pagamento da dívida (PRINCIPAL)</t>
  </si>
  <si>
    <t>Provisão para perda de valores com vendas de controladas</t>
  </si>
  <si>
    <t>Pagamento de aquisição de investimentos</t>
  </si>
  <si>
    <t>Estoques (almoxarifado)</t>
  </si>
  <si>
    <t>Others</t>
  </si>
  <si>
    <t>Demonstração de resultado - automotivo</t>
  </si>
  <si>
    <t>A - Caixa líquido proveniente das atividades operacionais (sem descontinuadas)</t>
  </si>
  <si>
    <t>B - Aquisições de bens do ativo imobilizado/intangível (a partir do 1T17)</t>
  </si>
  <si>
    <t>2Q16</t>
  </si>
  <si>
    <t>3Q16</t>
  </si>
  <si>
    <t>4Q16</t>
  </si>
  <si>
    <t>1Q17</t>
  </si>
  <si>
    <t>2Q17</t>
  </si>
  <si>
    <t>3Q17</t>
  </si>
  <si>
    <t>Consolidated</t>
  </si>
  <si>
    <t>Company</t>
  </si>
  <si>
    <t>1Q13</t>
  </si>
  <si>
    <t>2Q13</t>
  </si>
  <si>
    <t>3Q13</t>
  </si>
  <si>
    <t>4Q13</t>
  </si>
  <si>
    <t>1Q14</t>
  </si>
  <si>
    <t>2Q14</t>
  </si>
  <si>
    <t>3Q14</t>
  </si>
  <si>
    <t>4Q14</t>
  </si>
  <si>
    <t>1Q15</t>
  </si>
  <si>
    <t>2Q15</t>
  </si>
  <si>
    <t>3Q15</t>
  </si>
  <si>
    <t>4Q15</t>
  </si>
  <si>
    <t>1Q16</t>
  </si>
  <si>
    <t>Goodwill paid on investment acquisition</t>
  </si>
  <si>
    <t>Project Implementation TLI</t>
  </si>
  <si>
    <t>Acquisition of Trans Commerce</t>
  </si>
  <si>
    <t>Aggregated portfolios</t>
  </si>
  <si>
    <t>Relationship with costumers</t>
  </si>
  <si>
    <t>Acquisition of Direct</t>
  </si>
  <si>
    <t>Trademarks and licenses</t>
  </si>
  <si>
    <t>Contractual customer relationships</t>
  </si>
  <si>
    <t>Software development costs</t>
  </si>
  <si>
    <t>Intangible asset paid on investment acquisition</t>
  </si>
  <si>
    <t>Net</t>
  </si>
  <si>
    <t>Addition</t>
  </si>
  <si>
    <t>Amortization</t>
  </si>
  <si>
    <t>Transfer</t>
  </si>
  <si>
    <t>Write-off</t>
  </si>
  <si>
    <t>Em 30 de dezembro de 2017</t>
  </si>
  <si>
    <t>4Q17</t>
  </si>
  <si>
    <t>Tegma Logística de Armazéns Ltda. (TLA)</t>
  </si>
  <si>
    <t>Redução de capital</t>
  </si>
  <si>
    <t>Provisão para patrimônio líquido negativo</t>
  </si>
  <si>
    <t>Juros sobre capital próprio</t>
  </si>
  <si>
    <t>Diferido de Períodos anteriores</t>
  </si>
  <si>
    <t>Mudança critério contingência</t>
  </si>
  <si>
    <t>Quantidade de ações tesouraria</t>
  </si>
  <si>
    <t>Movimentação contingências</t>
  </si>
  <si>
    <t>Constituição</t>
  </si>
  <si>
    <t>Transferência obrigação tributária</t>
  </si>
  <si>
    <t>Baixa por deposito judicial</t>
  </si>
  <si>
    <t>Pagamento</t>
  </si>
  <si>
    <t>Opções de ações outorgadas</t>
  </si>
  <si>
    <t>Reserva legal</t>
  </si>
  <si>
    <t>Retenção de lucros</t>
  </si>
  <si>
    <t xml:space="preserve">Lucros (prejuízos)
acumulados </t>
  </si>
  <si>
    <t xml:space="preserve">Total </t>
  </si>
  <si>
    <t>Lucro líquido do exercício</t>
  </si>
  <si>
    <t>Dividendos e Juros sobre Capital Proprio</t>
  </si>
  <si>
    <t>Aquisição de participação dos não controladores</t>
  </si>
  <si>
    <t>Destinação:</t>
  </si>
  <si>
    <t>Constituição de Reservas</t>
  </si>
  <si>
    <t>Constituição de Reserva Legal</t>
  </si>
  <si>
    <t xml:space="preserve">Variação cambial de investida localizada no exterior </t>
  </si>
  <si>
    <t>Plano de opções de ações</t>
  </si>
  <si>
    <t>Prejuízo do exercício</t>
  </si>
  <si>
    <t>Absorção de prejuízo do exercício</t>
  </si>
  <si>
    <t>Prejuízo do período</t>
  </si>
  <si>
    <t>Lucro líquido do período</t>
  </si>
  <si>
    <t>Remuneração direta</t>
  </si>
  <si>
    <t>(+)Patrimônio Líquido</t>
  </si>
  <si>
    <t>(-)Ágios de aquisição</t>
  </si>
  <si>
    <t xml:space="preserve">(+)Dívida líquida </t>
  </si>
  <si>
    <t>NOPAT (soma 4 trimestres) (A)</t>
  </si>
  <si>
    <t>ROIC (A/B)</t>
  </si>
  <si>
    <t>(consolidado, R$ milhões, exceto %)</t>
  </si>
  <si>
    <t>Juros parcelamento (REFIS)</t>
  </si>
  <si>
    <t>Juros ativos parcelamento (REFIS)</t>
  </si>
  <si>
    <t>Demandas judiciais a pagar</t>
  </si>
  <si>
    <t>FUNDAF</t>
  </si>
  <si>
    <t>Contas a receber de clientes</t>
  </si>
  <si>
    <t>Ativo fiscal diferido</t>
  </si>
  <si>
    <t>Passivo fiscal diferido</t>
  </si>
  <si>
    <t>Dividendos adicionais propostos</t>
  </si>
  <si>
    <t>Impostos e contribuições a recuperar</t>
  </si>
  <si>
    <t xml:space="preserve">Creditos fiscais extemporâneos </t>
  </si>
  <si>
    <t>Provisão para demandas judiciais</t>
  </si>
  <si>
    <t>Opções outorgadas</t>
  </si>
  <si>
    <t>Outras obrigações e tributos a recolher</t>
  </si>
  <si>
    <t>Demandas judiciais pagas</t>
  </si>
  <si>
    <t>Dividendos recebidos</t>
  </si>
  <si>
    <t>Aquisição de intangível</t>
  </si>
  <si>
    <t>Aquisições de bens do ativo imobilizado</t>
  </si>
  <si>
    <t>Captação empréstimos e financiamentos</t>
  </si>
  <si>
    <t>Dividendos e juros sobre capital próprio pagos</t>
  </si>
  <si>
    <t>HIPERLINKS</t>
  </si>
  <si>
    <t>Reversão (baixa) de patrimônio líquido negativo</t>
  </si>
  <si>
    <t>Dividendos e juros sobre capital próprio</t>
  </si>
  <si>
    <t>Receita líquida 2020</t>
  </si>
  <si>
    <t>EBITDA 2020</t>
  </si>
  <si>
    <t>Lucro Líquido 2020</t>
  </si>
  <si>
    <t>Em 30 de março de 2018</t>
  </si>
  <si>
    <t>1Q18</t>
  </si>
  <si>
    <t>Perda na baixa de ágio</t>
  </si>
  <si>
    <t xml:space="preserve">Crédito PIS/COFINS </t>
  </si>
  <si>
    <t>Deduções da receita bruta</t>
  </si>
  <si>
    <t>2017</t>
  </si>
  <si>
    <t>Valor justo na transferencia de investimento</t>
  </si>
  <si>
    <t>Lucros acumulados</t>
  </si>
  <si>
    <t>Empreendimento controlado em conjunto</t>
  </si>
  <si>
    <t xml:space="preserve">  Gestão de Desenvolvimento em Logística S.A. (“GDL”)</t>
  </si>
  <si>
    <t>Perda na baixa de ágio (ii)</t>
  </si>
  <si>
    <t>Valor justo na transferência de investimento (iii)</t>
  </si>
  <si>
    <t>Caixa e equivalentes de caixa - Tegma Logistica Integrada S.A.</t>
  </si>
  <si>
    <t>Em 30 de junho de 2018</t>
  </si>
  <si>
    <t>30 de junho de 2018</t>
  </si>
  <si>
    <t>GDL</t>
  </si>
  <si>
    <t>Reestruturação societária</t>
  </si>
  <si>
    <t>2Q18</t>
  </si>
  <si>
    <t>Novas operações</t>
  </si>
  <si>
    <t>TI</t>
  </si>
  <si>
    <t>Renovação de contratos</t>
  </si>
  <si>
    <t>Ativo indenizatório</t>
  </si>
  <si>
    <t>Tegup Inovação e Tecnologia Ltda. (“Tegup”)</t>
  </si>
  <si>
    <t>Gestão de Desenvolvimento em Logística S.A. (“GDL”)</t>
  </si>
  <si>
    <t>Aumento de capital</t>
  </si>
  <si>
    <t>Aumento de Capital</t>
  </si>
  <si>
    <t>Tegup</t>
  </si>
  <si>
    <t>GDL (100%)</t>
  </si>
  <si>
    <t xml:space="preserve">    Provisão perda com antiga controlada</t>
  </si>
  <si>
    <t>PREÇO ALVO YE19</t>
  </si>
  <si>
    <t>3Q18</t>
  </si>
  <si>
    <t>30 de setembro de 2018</t>
  </si>
  <si>
    <t>Em 30 de setembro de 2018</t>
  </si>
  <si>
    <t>Instrumentos financeiros derivativos</t>
  </si>
  <si>
    <t>Ajuste de avaliação patrimonial</t>
  </si>
  <si>
    <t>Denúncia espontãnea TCE</t>
  </si>
  <si>
    <t>Resultado da operação de swap</t>
  </si>
  <si>
    <t xml:space="preserve">Perda na venda de investimento </t>
  </si>
  <si>
    <t>Redução de capital em controladas</t>
  </si>
  <si>
    <t>Denúncia espontânea TCE</t>
  </si>
  <si>
    <t>Resultado líquido com instrumentos financeiros designados como hedge accounting</t>
  </si>
  <si>
    <t>Juros, variações monetarias e cambiais sobre empréstimos e debêntures</t>
  </si>
  <si>
    <t>Ciclo de caixa</t>
  </si>
  <si>
    <t>Dias a pagar</t>
  </si>
  <si>
    <t>Recomendação</t>
  </si>
  <si>
    <t>Buy</t>
  </si>
  <si>
    <t>ELEVEN</t>
  </si>
  <si>
    <t>Outperform</t>
  </si>
  <si>
    <t>Neutral</t>
  </si>
  <si>
    <t>Em 30 de dezembro de 2018</t>
  </si>
  <si>
    <t>4Q18</t>
  </si>
  <si>
    <t>Empréstimos e financiamentos - moeda estrangeira</t>
  </si>
  <si>
    <t>Instrumento financeiros derivativos</t>
  </si>
  <si>
    <t>Instrumento financeiros derivativos - valor justo</t>
  </si>
  <si>
    <t>NCE - Nota de crédito de exportação</t>
  </si>
  <si>
    <t>Provisão para perda de valores com vendas de controladas (i)</t>
  </si>
  <si>
    <t>Dividendos e juros sobre capital proprio</t>
  </si>
  <si>
    <t>Vendas Diretas</t>
  </si>
  <si>
    <t>1T19</t>
  </si>
  <si>
    <t>2T19</t>
  </si>
  <si>
    <t>3T19</t>
  </si>
  <si>
    <t>4T19</t>
  </si>
  <si>
    <t>Constituição/baixa ágio (GDL-TLI)</t>
  </si>
  <si>
    <t>Receita líquida 2021</t>
  </si>
  <si>
    <t>EBITDA 2021</t>
  </si>
  <si>
    <t>Lucro Líquido 2021</t>
  </si>
  <si>
    <t>1Q19</t>
  </si>
  <si>
    <t>Custos de amortização de arrendamento</t>
  </si>
  <si>
    <t>Juros sobre arrendamento</t>
  </si>
  <si>
    <t>IFRS 16 ==&gt;</t>
  </si>
  <si>
    <t>Em 31 de março de 2019</t>
  </si>
  <si>
    <t>Direito de uso</t>
  </si>
  <si>
    <t>Arrendamento mercantil</t>
  </si>
  <si>
    <t>Juros sobre arrendamento mercantil</t>
  </si>
  <si>
    <t>Receita de aplicação financeira</t>
  </si>
  <si>
    <t>Amortização direito de uso</t>
  </si>
  <si>
    <t>Cia de Transportes e Armazéns Gerais</t>
  </si>
  <si>
    <t>Tech Cargo Plataforma de Transportes Ltda (Tech Cargo) (i)</t>
  </si>
  <si>
    <t>Tech Cargo</t>
  </si>
  <si>
    <t>Tech cargo</t>
  </si>
  <si>
    <t>Imóveis</t>
  </si>
  <si>
    <t>Maquinas e equipamentos</t>
  </si>
  <si>
    <t xml:space="preserve">Movimentações </t>
  </si>
  <si>
    <t>Baixas</t>
  </si>
  <si>
    <t>Juros apropriados</t>
  </si>
  <si>
    <t>Pagamento do principal</t>
  </si>
  <si>
    <t>Pagamento de juros</t>
  </si>
  <si>
    <t>Saldo com terceiros</t>
  </si>
  <si>
    <t>Saldo com partes relacionadas</t>
  </si>
  <si>
    <t>Em 31 de dezembro de 2017</t>
  </si>
  <si>
    <t>Em 31 de março de 2018</t>
  </si>
  <si>
    <t>Em 31 de dezembro de 2018</t>
  </si>
  <si>
    <t>31 de março de 2019</t>
  </si>
  <si>
    <t>31 de dezembro de 2018</t>
  </si>
  <si>
    <t>31 de março de 2018</t>
  </si>
  <si>
    <t>31 de dezembro de 2017</t>
  </si>
  <si>
    <t>31 de março de 2017</t>
  </si>
  <si>
    <t>31 de dezembro de 2015</t>
  </si>
  <si>
    <t xml:space="preserve"> Passivo Circulante</t>
  </si>
  <si>
    <t xml:space="preserve"> Passivo Não circulante</t>
  </si>
  <si>
    <t xml:space="preserve"> AtivoCirculante</t>
  </si>
  <si>
    <t xml:space="preserve"> AtivoNão circulante</t>
  </si>
  <si>
    <t>Recuperação de despesas (i)</t>
  </si>
  <si>
    <t>Amortização do direito de uso (custo) IFRS 16</t>
  </si>
  <si>
    <t>Amortização do direito de uso (despesa) IFRS 16</t>
  </si>
  <si>
    <t>DRE</t>
  </si>
  <si>
    <t>2Q19</t>
  </si>
  <si>
    <t>3Q19</t>
  </si>
  <si>
    <t>4Q19</t>
  </si>
  <si>
    <t>Em 30 de junho de 2019</t>
  </si>
  <si>
    <t>30 de junho de 2019</t>
  </si>
  <si>
    <t>3/30/19</t>
  </si>
  <si>
    <t>Juros sobre arrendamento IFRS 16</t>
  </si>
  <si>
    <t>CATLOG (100%)</t>
  </si>
  <si>
    <t>Fluxo de caixa operacional</t>
  </si>
  <si>
    <t>Fluxo de caixa de financiamento</t>
  </si>
  <si>
    <t>Fluxo de caixa</t>
  </si>
  <si>
    <t>Frete Rápido Desenvolvimento de Tecnologia Logística S.A.</t>
  </si>
  <si>
    <t>Adoção Inicial</t>
  </si>
  <si>
    <t>Passivo Circulante</t>
  </si>
  <si>
    <t>Arrendamento Mercantil</t>
  </si>
  <si>
    <t>PREÇO ALVO YE20</t>
  </si>
  <si>
    <t>Comprar</t>
  </si>
  <si>
    <t>Em 30 de setembro de 2019</t>
  </si>
  <si>
    <t>30 de setembro de 2019</t>
  </si>
  <si>
    <t>Revisão base PIS/Cofins</t>
  </si>
  <si>
    <t>Títulos e valores mobiliários</t>
  </si>
  <si>
    <t>Outras despesas e receitas</t>
  </si>
  <si>
    <t>Prejuízo da operação descontinuada</t>
  </si>
  <si>
    <t>Efeitos extraordinários relacionados à venda da direct</t>
  </si>
  <si>
    <t>Participação dos minoritários</t>
  </si>
  <si>
    <t>Custos de serviços prestados*</t>
  </si>
  <si>
    <t>Despesas*</t>
  </si>
  <si>
    <t>Depreciação e amortização (custo)</t>
  </si>
  <si>
    <t>Depreciação e amortização (despesa)</t>
  </si>
  <si>
    <t>Efeitos extraordinários relacionados à venda da Direct</t>
  </si>
  <si>
    <t>Baixa direito de uso / arrendamento</t>
  </si>
  <si>
    <t>Ativo realizável a longo prazo</t>
  </si>
  <si>
    <t>Créditos fiscais extemporâneos</t>
  </si>
  <si>
    <t>Data de pagamento</t>
  </si>
  <si>
    <t>Deliberado em</t>
  </si>
  <si>
    <t>Valor (R$ por ação)</t>
  </si>
  <si>
    <t>Relativo a</t>
  </si>
  <si>
    <t>3T19/3Q19</t>
  </si>
  <si>
    <t>1S19</t>
  </si>
  <si>
    <t>1S18</t>
  </si>
  <si>
    <t>3T18/3Q18</t>
  </si>
  <si>
    <t>Última data antes EX</t>
  </si>
  <si>
    <t>Payout</t>
  </si>
  <si>
    <t>Em 30 de dezembro de 2019</t>
  </si>
  <si>
    <t>30 de dezembro de 2019</t>
  </si>
  <si>
    <t>Com fretes</t>
  </si>
  <si>
    <t>Custo da investigação Operação Pacto</t>
  </si>
  <si>
    <t>Reserva de subvenções governamentais</t>
  </si>
  <si>
    <t>Reserva de Incentivos fiscais</t>
  </si>
  <si>
    <t>Incentivos fiscais</t>
  </si>
  <si>
    <t>Perda na venda de bens</t>
  </si>
  <si>
    <t>Constituição INSS FAP</t>
  </si>
  <si>
    <t>Rabbot Serviços de Tecnologia Ltda</t>
  </si>
  <si>
    <t>Ganho (perda) por redução ao valor recuperável de contas a receber</t>
  </si>
  <si>
    <t>Captação</t>
  </si>
  <si>
    <t>Pagamento de principal</t>
  </si>
  <si>
    <t>Juros pagos</t>
  </si>
  <si>
    <t>Saldo Inicial - Emprestimos e Financiamentos</t>
  </si>
  <si>
    <t>Saldo Final - Emprestimos e Financiamentos</t>
  </si>
  <si>
    <t>Saldo Inicial - Debêntures</t>
  </si>
  <si>
    <t>Saldo Final - Debêntures</t>
  </si>
  <si>
    <t>Variação cambial</t>
  </si>
  <si>
    <t>Movimentação consolidado</t>
  </si>
  <si>
    <t>Rabbot Serviços de Tecnologia S.A.</t>
  </si>
  <si>
    <t>Baixa de direito de uso (liquido) IFRS 16</t>
  </si>
  <si>
    <t>Outros resultados abrangentes</t>
  </si>
  <si>
    <t>Tributos diferidos sobre hedge accounting</t>
  </si>
  <si>
    <t>1T20</t>
  </si>
  <si>
    <t>2T20</t>
  </si>
  <si>
    <t>4Q20</t>
  </si>
  <si>
    <t>Em 31 de março de 2020</t>
  </si>
  <si>
    <t>1Q20</t>
  </si>
  <si>
    <t/>
  </si>
  <si>
    <t>Efeitos IFRS 16</t>
  </si>
  <si>
    <t>C - Pagamento de arrendamento mercantil</t>
  </si>
  <si>
    <t>Manutenção &amp; Benfeitorias gerais</t>
  </si>
  <si>
    <t>Stork Express Logística de Emplacados Ltda (Stork)</t>
  </si>
  <si>
    <t>3T20</t>
  </si>
  <si>
    <t>4T20</t>
  </si>
  <si>
    <t>9M19</t>
  </si>
  <si>
    <t>9M18</t>
  </si>
  <si>
    <t>9M20</t>
  </si>
  <si>
    <t>1S20</t>
  </si>
  <si>
    <t>Custos total de aluguel (IAS 17)</t>
  </si>
  <si>
    <t>1Q09</t>
  </si>
  <si>
    <t>2Q09</t>
  </si>
  <si>
    <t>3Q09</t>
  </si>
  <si>
    <t>4Q09</t>
  </si>
  <si>
    <t>1Q10</t>
  </si>
  <si>
    <t>2Q10</t>
  </si>
  <si>
    <t>3Q10</t>
  </si>
  <si>
    <t>4Q10</t>
  </si>
  <si>
    <t>1Q11</t>
  </si>
  <si>
    <t>2Q11</t>
  </si>
  <si>
    <t>3Q11</t>
  </si>
  <si>
    <t>4Q11</t>
  </si>
  <si>
    <t>1Q12</t>
  </si>
  <si>
    <t>2Q12</t>
  </si>
  <si>
    <t>3Q12</t>
  </si>
  <si>
    <t>4Q12</t>
  </si>
  <si>
    <t>2Q20</t>
  </si>
  <si>
    <t>3Q20</t>
  </si>
  <si>
    <t>C</t>
  </si>
  <si>
    <t>Em 30 de junho de 2020</t>
  </si>
  <si>
    <t>31 de março de 2020</t>
  </si>
  <si>
    <t>30 de junho de 2020</t>
  </si>
  <si>
    <t>31/06/2020</t>
  </si>
  <si>
    <t xml:space="preserve">              -   </t>
  </si>
  <si>
    <t>Variação %</t>
  </si>
  <si>
    <t>Exportação</t>
  </si>
  <si>
    <t>Mkt share Tegma %</t>
  </si>
  <si>
    <t>Importação</t>
  </si>
  <si>
    <t>Produção de veículos</t>
  </si>
  <si>
    <t>Mercado automotivo</t>
  </si>
  <si>
    <t>Investimentos F'!</t>
  </si>
  <si>
    <t>Investments F'!</t>
  </si>
  <si>
    <t>$17</t>
  </si>
  <si>
    <t>% Lair</t>
  </si>
  <si>
    <t>% Receita bruta</t>
  </si>
  <si>
    <t>Despesas e resultado financeiro</t>
  </si>
  <si>
    <t>Variação do caixa</t>
  </si>
  <si>
    <t>Outros efeitos caixa</t>
  </si>
  <si>
    <t>DFC'!</t>
  </si>
  <si>
    <t>Cash Flow Stat'!</t>
  </si>
  <si>
    <t>Free cash flow to equity</t>
  </si>
  <si>
    <t>Captação de dívida</t>
  </si>
  <si>
    <t>Pagamento de dívida</t>
  </si>
  <si>
    <t>$5</t>
  </si>
  <si>
    <t>Free cash flow to firm</t>
  </si>
  <si>
    <t>Capital de giro</t>
  </si>
  <si>
    <t>Imposto de Renda</t>
  </si>
  <si>
    <t>BP'!</t>
  </si>
  <si>
    <t>BalSheet'!</t>
  </si>
  <si>
    <t>Empréstimos e financiamentos (Circulante e não circulante)</t>
  </si>
  <si>
    <t>Indicadores'!</t>
  </si>
  <si>
    <t>Qtrl Fig'!</t>
  </si>
  <si>
    <t>Margem EBITDA Ajustado ex-IFRS-16</t>
  </si>
  <si>
    <t>EBITDA ajustado ex-IFRS-16 (a-b-c+d)</t>
  </si>
  <si>
    <t>Anexos'!</t>
  </si>
  <si>
    <t>Attachments'!</t>
  </si>
  <si>
    <t>(d) Custos com aluguel (IFRS-16)</t>
  </si>
  <si>
    <t>Margem EBITDA Ajustado</t>
  </si>
  <si>
    <t>EBITDA ajustado (a-b-c)</t>
  </si>
  <si>
    <t>Margem operacional</t>
  </si>
  <si>
    <t>(c) Amortização (IFRS-16)</t>
  </si>
  <si>
    <t>LI'!</t>
  </si>
  <si>
    <t>IncSIntLog'!</t>
  </si>
  <si>
    <t>(b) Depreciação</t>
  </si>
  <si>
    <t>% Receita líquida</t>
  </si>
  <si>
    <t>DRE Divisão Logística integrada</t>
  </si>
  <si>
    <t>(c) Amortização (IFRS 16)</t>
  </si>
  <si>
    <t>Auto'!</t>
  </si>
  <si>
    <t>IncSAuto'!</t>
  </si>
  <si>
    <t xml:space="preserve">(b) Depreciação </t>
  </si>
  <si>
    <t>Doméstico</t>
  </si>
  <si>
    <t>Km média</t>
  </si>
  <si>
    <t>Km total</t>
  </si>
  <si>
    <t># veículos Total</t>
  </si>
  <si>
    <t>DRE Divisão automotiva</t>
  </si>
  <si>
    <t>DRE'!</t>
  </si>
  <si>
    <t>IncS'!</t>
  </si>
  <si>
    <t>Não recorrentes</t>
  </si>
  <si>
    <t>2019</t>
  </si>
  <si>
    <t>2018</t>
  </si>
  <si>
    <t>Resultado (Em R$ Mil)</t>
  </si>
  <si>
    <t>Resolução 4131 - moeda estrangeira</t>
  </si>
  <si>
    <t>Integralização do capital</t>
  </si>
  <si>
    <t>Vendas</t>
  </si>
  <si>
    <t>Stork Express</t>
  </si>
  <si>
    <t>Resolução 4131 - moeda local</t>
  </si>
  <si>
    <t>Pagamento de arrendamento</t>
  </si>
  <si>
    <t>Juros pagos sobre arrendamento</t>
  </si>
  <si>
    <t>(Ganho)  por redução ao valor recuperável de contas a receber</t>
  </si>
  <si>
    <t>Arrendamento</t>
  </si>
  <si>
    <t>Em 30 de setembro de 2020</t>
  </si>
  <si>
    <t>30 de setembro de 2020</t>
  </si>
  <si>
    <t>31/09/2020</t>
  </si>
  <si>
    <t>2T21</t>
  </si>
  <si>
    <t>3T21</t>
  </si>
  <si>
    <t>3T20/3Q20</t>
  </si>
  <si>
    <t>EBITDA 2022</t>
  </si>
  <si>
    <t>Lucro Líquido 2022</t>
  </si>
  <si>
    <t>Receita líquida 2022</t>
  </si>
  <si>
    <t>COVID- 19 =&gt;</t>
  </si>
  <si>
    <t>PREÇO ALVO YE21</t>
  </si>
  <si>
    <t>EV/EBITDA 18</t>
  </si>
  <si>
    <t>EV/EBITDA 19</t>
  </si>
  <si>
    <t>EV/EBITDA 20</t>
  </si>
  <si>
    <t>EV/EBITDA 21</t>
  </si>
  <si>
    <t>EV/EBITDA 22</t>
  </si>
  <si>
    <t>Preço/Lucro 18</t>
  </si>
  <si>
    <t>Preço/Lucro 19</t>
  </si>
  <si>
    <t>Preço/Lucro 20</t>
  </si>
  <si>
    <t>Preço/Lucro 21</t>
  </si>
  <si>
    <t>Preço/Lucro 22</t>
  </si>
  <si>
    <t>EV/EBITDA (ano seguinte)</t>
  </si>
  <si>
    <t>Preço/Lucro (ano seguinte)</t>
  </si>
  <si>
    <t>Multiplos TGMA3 (estimativas sell side)</t>
  </si>
  <si>
    <t>Hold</t>
  </si>
  <si>
    <t>Em 30 de dezembro de 2020</t>
  </si>
  <si>
    <t>30 de dezembro de 2020</t>
  </si>
  <si>
    <t>CCB</t>
  </si>
  <si>
    <t>Participação de não controladores</t>
  </si>
  <si>
    <t>1T21</t>
  </si>
  <si>
    <t>4T21</t>
  </si>
  <si>
    <t>1Q21</t>
  </si>
  <si>
    <t>2Q21</t>
  </si>
  <si>
    <t>3Q21</t>
  </si>
  <si>
    <t>4Q21</t>
  </si>
  <si>
    <t>Aumento (Redução) de capital</t>
  </si>
  <si>
    <t>Constituição de controlada</t>
  </si>
  <si>
    <t>2020</t>
  </si>
  <si>
    <t>Capital empregado (média 4 trimestres) (B)</t>
  </si>
  <si>
    <t>Frete Rápido (100%)</t>
  </si>
  <si>
    <t>Atribuível aos acionistas controladores</t>
  </si>
  <si>
    <t>Atribuível aos acionistas não controladores</t>
  </si>
  <si>
    <t>Passivo atuarial</t>
  </si>
  <si>
    <t>Constituição de passivo atuarial</t>
  </si>
  <si>
    <t>Tributos diferidos sobre passivo atuarial</t>
  </si>
  <si>
    <t xml:space="preserve">    Passivo atuarial</t>
  </si>
  <si>
    <t>Lucro retidos dos acionistas controladores</t>
  </si>
  <si>
    <t>Participação dos acionistas não controladores</t>
  </si>
  <si>
    <t>Em 31 de março de 2021</t>
  </si>
  <si>
    <t>31 de março de 2021</t>
  </si>
  <si>
    <t>Dívida (caixa) líquido</t>
  </si>
  <si>
    <t>Prejuízo da operação descontinuada e Participação de minoritários</t>
  </si>
  <si>
    <t>Em 30 de junho de 2021</t>
  </si>
  <si>
    <t>30 de junho de 2021</t>
  </si>
  <si>
    <t>1S21</t>
  </si>
  <si>
    <t>9M21</t>
  </si>
  <si>
    <t xml:space="preserve">Aquisição de equipamentos logísticos </t>
  </si>
  <si>
    <t>Pagamento de empréstimos e financiamentos</t>
  </si>
  <si>
    <t xml:space="preserve">GDL Gestão de Desenvolvimento em Logística Participações S.A. </t>
  </si>
  <si>
    <t>EBITDA ajustado (a+b)</t>
  </si>
  <si>
    <t xml:space="preserve">Depreciação </t>
  </si>
  <si>
    <t>Amortização (IFRS 16)</t>
  </si>
  <si>
    <t>(c) Custos com aluguel (IFRS-16)</t>
  </si>
  <si>
    <t>EBITDA ajustado ex-IFRS-16 (a+b+c)</t>
  </si>
  <si>
    <t>(a) Lucro operacional</t>
  </si>
  <si>
    <t>EBITDA ajustado ex-IFRS-16 (a-b-c)</t>
  </si>
  <si>
    <t>EBITDA ajustado (a-b)</t>
  </si>
  <si>
    <t>Receita líquida (ajustado eventos ñ recorr)</t>
  </si>
  <si>
    <t>% Receita bruta  (ajustado eventos ñ recorr)</t>
  </si>
  <si>
    <t>Custo dos serviços prestados (sem deprec/amort e ajustado eventos ñ recorr)</t>
  </si>
  <si>
    <t>% Receita líquida (sem deprec/amort e ajustado eventos ñ recorr)</t>
  </si>
  <si>
    <t>Lucro bruto (sem deprec/amort e ajustado eventos ñ recorr)</t>
  </si>
  <si>
    <t>Margem bruta (sem deprec/amort e ajustado eventos ñ recorr)</t>
  </si>
  <si>
    <t>(d) Custos com aluguel (IAS-17)</t>
  </si>
  <si>
    <t>Custos fixos (sem deprec/amort e ajustado eventos ñ recorr)</t>
  </si>
  <si>
    <t>(a) Lucro bruto (sem deprec/amort e ajustado eventos ñ recorr)</t>
  </si>
  <si>
    <t>Receita líquida 2023</t>
  </si>
  <si>
    <t>EBITDA 2023</t>
  </si>
  <si>
    <t>Lucro Líquido 2023</t>
  </si>
  <si>
    <t>Em 30 de setembro de 2021</t>
  </si>
  <si>
    <t>30 de setembro de 2021</t>
  </si>
  <si>
    <t>Pagamento de debêntures</t>
  </si>
  <si>
    <t>Despesas da oferta hostil</t>
  </si>
  <si>
    <t xml:space="preserve">Pagamentos de IRPJ/CSLL correntes efetuado a maior </t>
  </si>
  <si>
    <t>Imposto de renda e contribuição social correntes</t>
  </si>
  <si>
    <t>PREÇO ALVO YE22</t>
  </si>
  <si>
    <t>Em 31 de dezembro de 2021</t>
  </si>
  <si>
    <t>Investimento</t>
  </si>
  <si>
    <t>Ágio líquido</t>
  </si>
  <si>
    <t>31 de dezembro de 2021</t>
  </si>
  <si>
    <t>9/30/21</t>
  </si>
  <si>
    <t>2021</t>
  </si>
  <si>
    <t>Ganho na venda de participação acionária</t>
  </si>
  <si>
    <t>1Q22</t>
  </si>
  <si>
    <t>1T22</t>
  </si>
  <si>
    <t>Alienação de investimentos</t>
  </si>
  <si>
    <t>Ganho na alienação de investimento</t>
  </si>
  <si>
    <t>Atualização monetária INSS FAP</t>
  </si>
  <si>
    <t>Pagamento de dividendos adicionais</t>
  </si>
  <si>
    <t>2T22</t>
  </si>
  <si>
    <t>2Q22</t>
  </si>
  <si>
    <t>3T22</t>
  </si>
  <si>
    <t>3Q22</t>
  </si>
  <si>
    <t>4T22</t>
  </si>
  <si>
    <t>4Q22</t>
  </si>
  <si>
    <t>Despesas da oferta de combinação de negócios</t>
  </si>
  <si>
    <t>9M22</t>
  </si>
  <si>
    <t>EV/EBITDA 23</t>
  </si>
  <si>
    <t>Preço/Lucro 23</t>
  </si>
  <si>
    <t>Em 31 de março de 2022</t>
  </si>
  <si>
    <t>31 de março de 2022</t>
  </si>
  <si>
    <t>Contingência cívil ex controlada Direct</t>
  </si>
  <si>
    <t>GDL Logística Integrada S.A.</t>
  </si>
  <si>
    <t>EBITDA ajustado ex-IFRS-16</t>
  </si>
  <si>
    <t>1S22</t>
  </si>
  <si>
    <t>Em 30 de junho de 2022</t>
  </si>
  <si>
    <t>Em 30 de Junho de 2022</t>
  </si>
  <si>
    <t>30 de junho de 2022</t>
  </si>
  <si>
    <t>Custos variáveis¹</t>
  </si>
  <si>
    <t>¹ Custos com fretes, combustíveis, com movimentação, crédito de PIS/COFINS</t>
  </si>
  <si>
    <t>1s20</t>
  </si>
  <si>
    <t>1s22</t>
  </si>
  <si>
    <t xml:space="preserve">Aumento na participação societária </t>
  </si>
  <si>
    <t>PREÇO ALVO YE23</t>
  </si>
  <si>
    <t>Lucro Líquido</t>
  </si>
  <si>
    <t>Mês</t>
  </si>
  <si>
    <t>Ano</t>
  </si>
  <si>
    <t>Receita líquida 2024</t>
  </si>
  <si>
    <t>EBITDA 2024</t>
  </si>
  <si>
    <t>Lucro Líquido 2024</t>
  </si>
  <si>
    <t>ELEVEN RESEACH</t>
  </si>
  <si>
    <t>Em 30 de setembro de 2022</t>
  </si>
  <si>
    <t>Em 30 de Setembro de 2022</t>
  </si>
  <si>
    <t>30 de setembro de 2022</t>
  </si>
  <si>
    <t>% Vencidos &gt;180 dias / TOTAL</t>
  </si>
  <si>
    <t>Caixa e equivalentes de caixa - Catlog Logística de Transportes S.A</t>
  </si>
  <si>
    <t xml:space="preserve">Compra de participação acionária </t>
  </si>
  <si>
    <t>2022</t>
  </si>
  <si>
    <t>Em 31 de dezembro de 2022</t>
  </si>
  <si>
    <t>Crédito tributário Catlog</t>
  </si>
  <si>
    <t>Em 31 de Dezembro de 2022</t>
  </si>
  <si>
    <t>31 de dezembro de 2022</t>
  </si>
  <si>
    <t>Despesas e não operacionais (sem deprec/amort e ajustado eventos ñ recorr)</t>
  </si>
  <si>
    <t>1Q23</t>
  </si>
  <si>
    <t xml:space="preserve">Ganho na venda de investimento </t>
  </si>
  <si>
    <t>Fastline Logística Automotiva Ltda.</t>
  </si>
  <si>
    <t xml:space="preserve">GDL Logística Integrada S.A. </t>
  </si>
  <si>
    <t>Investimento em instrumentos patrimoniais</t>
  </si>
  <si>
    <t>Economic Value Added (EVA)</t>
  </si>
  <si>
    <t>NOPAT (soma 4 trimestres)</t>
  </si>
  <si>
    <t>(-) Eventos não recorrentes</t>
  </si>
  <si>
    <t>(=) NOPAT Ajustado (soma 4 trimestres) (A)</t>
  </si>
  <si>
    <t>EVA (WACC= 17%)</t>
  </si>
  <si>
    <t>EVA (WACC=12%)</t>
  </si>
  <si>
    <t>Obs: Considera o range de WACC utilizado nas projeções dos analistas de sell-side</t>
  </si>
  <si>
    <t>(=) Capital empregado (média 4 trimestres) (B)</t>
  </si>
  <si>
    <t>1T23</t>
  </si>
  <si>
    <t>2T23</t>
  </si>
  <si>
    <t>2Q23</t>
  </si>
  <si>
    <t>3T23</t>
  </si>
  <si>
    <t>3Q23</t>
  </si>
  <si>
    <t>4T23</t>
  </si>
  <si>
    <t>4Q23</t>
  </si>
  <si>
    <t>Em 31 de março de 2023</t>
  </si>
  <si>
    <t>Em 31 de Março de 2023</t>
  </si>
  <si>
    <t>31 de março de 2023</t>
  </si>
  <si>
    <t>EV/EBITDA 24</t>
  </si>
  <si>
    <t>Preço/Lucro 24</t>
  </si>
  <si>
    <t>Resultado</t>
  </si>
  <si>
    <t>Grupo Itavema</t>
  </si>
  <si>
    <t>Fastcar Transporte de Veículos e cargas Ltda.</t>
  </si>
  <si>
    <t>Receita de serviços prestados</t>
  </si>
  <si>
    <t>Tegma Cargas Especiais Ltda</t>
  </si>
  <si>
    <t>Tegmax Comércio e serviço automotivos Ltda</t>
  </si>
  <si>
    <t>Outras receitas operacionais</t>
  </si>
  <si>
    <t>GDL Logística Integrada S/A</t>
  </si>
  <si>
    <t xml:space="preserve">Sinimbu Participações Societarias e Empreendimentos S.A. </t>
  </si>
  <si>
    <t>Fundação Otacilio Coser (vii)</t>
  </si>
  <si>
    <t>Oddone Consultoria Financeira</t>
  </si>
  <si>
    <t>Km Média Exportação</t>
  </si>
  <si>
    <t>Km Média Doméstica</t>
  </si>
  <si>
    <t>Km Média Total (b/a)</t>
  </si>
  <si>
    <t>Km Exportação</t>
  </si>
  <si>
    <t>Km Doméstica</t>
  </si>
  <si>
    <t>Km Total (b)</t>
  </si>
  <si>
    <t>Veículos Exportação</t>
  </si>
  <si>
    <t>Veículos Doméstico</t>
  </si>
  <si>
    <t>Veículos Total (a)</t>
  </si>
  <si>
    <t>1S23</t>
  </si>
  <si>
    <t>9M23</t>
  </si>
  <si>
    <t>Em 30 de junho de 2023</t>
  </si>
  <si>
    <t>Em 30 de Junho de 2023</t>
  </si>
  <si>
    <t>30 de junho de 2023</t>
  </si>
  <si>
    <t>1s23</t>
  </si>
  <si>
    <t>Mercado Automotivo</t>
  </si>
  <si>
    <t>------------------</t>
  </si>
  <si>
    <t>Vendas domésticas (ANFAVEA)</t>
  </si>
  <si>
    <t>Exportação (ANFAVEA)</t>
  </si>
  <si>
    <t>-----------------</t>
  </si>
  <si>
    <t>Mkt share Exportação %</t>
  </si>
  <si>
    <t>Mkt share Doméstico %</t>
  </si>
  <si>
    <t>Receita por km*</t>
  </si>
  <si>
    <t>Em 30 de setembro de 2023</t>
  </si>
  <si>
    <t>Em 30 de setembros de 2023</t>
  </si>
  <si>
    <t>Em 30 de Setembro de 2023</t>
  </si>
  <si>
    <t>30 de setembro de 2023</t>
  </si>
  <si>
    <t>Resultados abrangentes</t>
  </si>
  <si>
    <t>Entre 2 e 16 anos</t>
  </si>
  <si>
    <t>Total das fontes de capital</t>
  </si>
  <si>
    <t xml:space="preserve"> Passivo</t>
  </si>
  <si>
    <t>Transferências</t>
  </si>
  <si>
    <t>Imposto de renda com prejuízos fiscais</t>
  </si>
  <si>
    <t>Perda por redução ao valor
   recuperável de contas a receber</t>
  </si>
  <si>
    <t>Perda por redução ao valor recuperável de contas a receber</t>
  </si>
  <si>
    <t>Outras receitas financeiras</t>
  </si>
  <si>
    <t>$11</t>
  </si>
  <si>
    <t>$12</t>
  </si>
  <si>
    <t>$13</t>
  </si>
  <si>
    <t>$14</t>
  </si>
  <si>
    <t>$15</t>
  </si>
  <si>
    <t>Div yield últimos 12 meses</t>
  </si>
  <si>
    <t>PREÇO ALVO YE24</t>
  </si>
  <si>
    <t>1Q24</t>
  </si>
  <si>
    <t>1T24</t>
  </si>
  <si>
    <t>$16</t>
  </si>
  <si>
    <t>Em 31 de dezembro de 2023</t>
  </si>
  <si>
    <t>Em 31 de Dezembro de 2023</t>
  </si>
  <si>
    <t>31 de dezembro de 2023</t>
  </si>
  <si>
    <t>2023</t>
  </si>
  <si>
    <t>Dividendos pagos</t>
  </si>
  <si>
    <t>2T24</t>
  </si>
  <si>
    <t>3T24</t>
  </si>
  <si>
    <t>4T24</t>
  </si>
  <si>
    <t>2Q24</t>
  </si>
  <si>
    <t>3Q24</t>
  </si>
  <si>
    <t>4Q24</t>
  </si>
  <si>
    <t>Total do Ativo</t>
  </si>
  <si>
    <t>Rabbot</t>
  </si>
  <si>
    <t>1t23</t>
  </si>
  <si>
    <t>1S24</t>
  </si>
  <si>
    <t>9M24</t>
  </si>
  <si>
    <t>31 de março de 2024</t>
  </si>
  <si>
    <t>Em 31 de março de 2024</t>
  </si>
  <si>
    <t>1s24</t>
  </si>
  <si>
    <t>Intangível em andamento</t>
  </si>
  <si>
    <t>Intangible in process</t>
  </si>
  <si>
    <t>Integralização de capital</t>
  </si>
  <si>
    <t>BYD</t>
  </si>
  <si>
    <t>Quantidade</t>
  </si>
  <si>
    <t>Consumidor final</t>
  </si>
  <si>
    <t>Licenciamento doméstico</t>
  </si>
  <si>
    <t>Produção</t>
  </si>
  <si>
    <t>Importados</t>
  </si>
  <si>
    <t>Em 30 de junho de 2024</t>
  </si>
  <si>
    <t>30 de junho de 2024</t>
  </si>
  <si>
    <t>2033-40</t>
  </si>
  <si>
    <t>Fastline Logística Automotiva Ltda. (FLL)</t>
  </si>
  <si>
    <t>Alteração de participação societária</t>
  </si>
  <si>
    <t>----------------</t>
  </si>
  <si>
    <t>Ecommerce</t>
  </si>
  <si>
    <t>Valor contábil</t>
  </si>
  <si>
    <t>Fluxo financeiro</t>
  </si>
  <si>
    <t>**</t>
  </si>
  <si>
    <t xml:space="preserve">** Consultar DFP e ITR / </t>
  </si>
  <si>
    <t>Outros/Others</t>
  </si>
  <si>
    <t>Outros¹</t>
  </si>
  <si>
    <t>¹ Refere-se às controladas Fastline Logística Automotiva Ltda, Tech Cargo Plataforma de Transportes Ltda e Tegmax Comércio e Serviços Automotivos Ltda</t>
  </si>
  <si>
    <t>Ágio pago na aquisição de investimentos -Nortev</t>
  </si>
  <si>
    <t>Ágio pago na aquisição de investimentos - Boni Amazon</t>
  </si>
  <si>
    <t>Goodwill paid on investment acquisition - Nortev</t>
  </si>
  <si>
    <t>Goodwill paid on investment acquisition - Boni Amazon</t>
  </si>
  <si>
    <t>Transferência</t>
  </si>
  <si>
    <t>Em 30 de Setembro de 2024</t>
  </si>
  <si>
    <t>Em 30 de setembro de 2024</t>
  </si>
  <si>
    <t>30 de setembro de 2024</t>
  </si>
  <si>
    <t>31/06/2024</t>
  </si>
  <si>
    <t xml:space="preserve">Aquisição na participação societária </t>
  </si>
  <si>
    <t>Aquisição/Aumento de capital em controladas</t>
  </si>
  <si>
    <t>Receita líquida 2025</t>
  </si>
  <si>
    <t>EBITDA 2025</t>
  </si>
  <si>
    <t>Lucro Líquido 2025</t>
  </si>
  <si>
    <t>PREÇO ALVO YE25</t>
  </si>
  <si>
    <t>Receita líquida 2026</t>
  </si>
  <si>
    <t>EBITDA 2026</t>
  </si>
  <si>
    <t>Lucro Líquido 2026</t>
  </si>
  <si>
    <t>Em 31 de dezembro de 2024</t>
  </si>
  <si>
    <t>EV/EBITDA 25</t>
  </si>
  <si>
    <t>Preço/Lucro 25</t>
  </si>
  <si>
    <t>Em 30 de dezembro de 2024</t>
  </si>
  <si>
    <t>31 de dezembro de 2024</t>
  </si>
  <si>
    <t>2024</t>
  </si>
  <si>
    <t>1T25</t>
  </si>
  <si>
    <t>1Q25</t>
  </si>
  <si>
    <t>2T25</t>
  </si>
  <si>
    <t>2Q25</t>
  </si>
  <si>
    <t>3T25</t>
  </si>
  <si>
    <t>3Q25</t>
  </si>
  <si>
    <t>4T25</t>
  </si>
  <si>
    <t>4Q25</t>
  </si>
  <si>
    <t>Transação de Capital</t>
  </si>
  <si>
    <t>Clientes exterior</t>
  </si>
  <si>
    <t>Transfers</t>
  </si>
  <si>
    <t>Ativação</t>
  </si>
  <si>
    <t>Activation</t>
  </si>
  <si>
    <t>9M25</t>
  </si>
  <si>
    <t>1S25</t>
  </si>
  <si>
    <t>Em 31 de março de 2025</t>
  </si>
  <si>
    <t>Em 31 março de 2025</t>
  </si>
  <si>
    <t>Intangível (Software e em andamento)</t>
  </si>
  <si>
    <t>Provisão de Benefícios</t>
  </si>
  <si>
    <t>Provisão de Seguros</t>
  </si>
  <si>
    <t>FLL</t>
  </si>
  <si>
    <t>31 de março de 2025</t>
  </si>
  <si>
    <t>1Q26</t>
  </si>
  <si>
    <t>Em 30 de junho de 2025</t>
  </si>
  <si>
    <t>Em 30 junho de 2025</t>
  </si>
  <si>
    <t>30 de junho de 2025</t>
  </si>
  <si>
    <t>Fastline</t>
  </si>
  <si>
    <t>EV/EBITDA 26</t>
  </si>
  <si>
    <t>Preço/Lucro 26</t>
  </si>
  <si>
    <t>¹ Refere-se às controladas Tech Cargo Plataforma de Transportes Ltda e Tegmax Comércio e Serviços Automotivos Ltda</t>
  </si>
  <si>
    <t>Em 30 de setembro de 2025</t>
  </si>
  <si>
    <t>Em 30 setembro de 2025</t>
  </si>
  <si>
    <t>30 de setembro de 2025</t>
  </si>
  <si>
    <t>1T26</t>
  </si>
  <si>
    <t>2T26</t>
  </si>
  <si>
    <t>3T26</t>
  </si>
  <si>
    <t>4T26</t>
  </si>
  <si>
    <t>Pronampe</t>
  </si>
  <si>
    <t>BUSKAR.ME Logística e Tecnologia S.A.</t>
  </si>
  <si>
    <t>Niyati Empreendimentos e Participações Ltda</t>
  </si>
  <si>
    <t>Caixa e equivalentes de caixa - Buskar-me Logística e Tecnologia S.A.</t>
  </si>
  <si>
    <t>Outros (a.i)</t>
  </si>
  <si>
    <t xml:space="preserve">    Buskar-Me</t>
  </si>
  <si>
    <t>Buskar.Me</t>
  </si>
  <si>
    <t>Complementar</t>
  </si>
  <si>
    <t>Em 31 de dezembro de 2025</t>
  </si>
  <si>
    <t>1T27</t>
  </si>
  <si>
    <t>Em 31 dezembro de 2025</t>
  </si>
  <si>
    <t>2025</t>
  </si>
  <si>
    <t>Receita líquida 2027</t>
  </si>
  <si>
    <t>EBITDA 2027</t>
  </si>
  <si>
    <t>Lucro Líquido 2027</t>
  </si>
  <si>
    <t>31 de dezembro de 2025</t>
  </si>
  <si>
    <t>Intelgralização de capital</t>
  </si>
  <si>
    <t>Aquisição de terrenos</t>
  </si>
  <si>
    <t>Reserva de Investimentos</t>
  </si>
  <si>
    <t>2Q26</t>
  </si>
  <si>
    <t>3Q26</t>
  </si>
  <si>
    <t>4Q26</t>
  </si>
  <si>
    <t>LMFSP Gestão Empresarial  Ltda</t>
  </si>
  <si>
    <t>EV/EBITDA 27</t>
  </si>
  <si>
    <t>Preço/Lucro 27</t>
  </si>
  <si>
    <t>PREÇO ALVO YE26</t>
  </si>
  <si>
    <t>Em 31 de março de 2026</t>
  </si>
  <si>
    <t>Em 31 março de 2026</t>
  </si>
  <si>
    <t>31 de março de 2026</t>
  </si>
  <si>
    <t>1S26</t>
  </si>
  <si>
    <t>9M26</t>
  </si>
  <si>
    <t>Constituição (reversão)</t>
  </si>
  <si>
    <t>#'DRE'!B5</t>
  </si>
  <si>
    <t>#'Auto'!B5</t>
  </si>
  <si>
    <t>#'LI'!B5</t>
  </si>
  <si>
    <t>#'Consolidado'!B5</t>
  </si>
  <si>
    <t>#'DFC'!B5</t>
  </si>
  <si>
    <t>#'DVA'!B5</t>
  </si>
  <si>
    <t>#'Indicadores'!B5</t>
  </si>
  <si>
    <t>#'Estimativas'!B5</t>
  </si>
  <si>
    <t>#'Dividendos'!B5</t>
  </si>
  <si>
    <t>#'Dados Mercado'!B5</t>
  </si>
  <si>
    <t>#'Anexos'!B5</t>
  </si>
  <si>
    <t>#'Risco de Liquidez'!B5</t>
  </si>
  <si>
    <t>#'Análise de Sensibilidade'!B5</t>
  </si>
  <si>
    <t>#'Gestão de Capital'!B5</t>
  </si>
  <si>
    <t>#'Caixa e Equivalente de Caixa'!B5</t>
  </si>
  <si>
    <t>#'Contas a Receber'!B5</t>
  </si>
  <si>
    <t>#'Contas a Receber Aging'!B5</t>
  </si>
  <si>
    <t>#'Contas a Receber Mov PDD'!B5</t>
  </si>
  <si>
    <t>#'Demais Contas a Receber'!B5</t>
  </si>
  <si>
    <t>#'Impostos a Recuperar'!B5</t>
  </si>
  <si>
    <t>#'Investimentos A'!B5</t>
  </si>
  <si>
    <t>#'Investimentos C'!B5</t>
  </si>
  <si>
    <t>#'Investimentos E'!B5</t>
  </si>
  <si>
    <t>#'Investimentos F'!B5</t>
  </si>
  <si>
    <t>#'Imobilizado '!B5</t>
  </si>
  <si>
    <t>#'Intangível'!B5</t>
  </si>
  <si>
    <t>#'Empréstimos e Financiamentos'!B5</t>
  </si>
  <si>
    <t>#'Salários e Encargos Sociais'!B5</t>
  </si>
  <si>
    <t>#'Riscos Judiciais'!B5</t>
  </si>
  <si>
    <t>#'Despesas de IR e CSLL'!B5</t>
  </si>
  <si>
    <t>#'IR e CS Diferidos'!B5</t>
  </si>
  <si>
    <t>#'Demais Contas a Pagar'!B5</t>
  </si>
  <si>
    <t>#'Outras receitas e despesas'!B5</t>
  </si>
  <si>
    <t>#'Receita'!B5</t>
  </si>
  <si>
    <t>#'Despesas por Natureza 1'!B5</t>
  </si>
  <si>
    <t>#'Despesas por Natureza'!B5</t>
  </si>
  <si>
    <t>#'Resultado financeiro'!B5</t>
  </si>
  <si>
    <t>#'Remuneração Administração'!B5</t>
  </si>
  <si>
    <t>#'Arrendamento Operacional'!B5</t>
  </si>
  <si>
    <t>#'Partes Relacionadas'!B5</t>
  </si>
  <si>
    <t>#'Operações Descontinuadas'!B5</t>
  </si>
  <si>
    <t>#'DMPL'!B5</t>
  </si>
  <si>
    <t>Deduções da receita bruta (ajustado eventos ñ recorr)</t>
  </si>
  <si>
    <t>Aquisição Direct Express ==&gt;</t>
  </si>
  <si>
    <t>&lt;== Com Catlog e Tegma Venezuela</t>
  </si>
  <si>
    <t>Catlog e Tegma Venezuela em investim. ==&gt;</t>
  </si>
  <si>
    <t>&lt;== Com Direct Express</t>
  </si>
  <si>
    <t>Sem Direct Express ==&gt;</t>
  </si>
  <si>
    <t>Reserva de Lucro</t>
  </si>
  <si>
    <t>Passivo</t>
  </si>
  <si>
    <t>Receita líquida acumulada</t>
  </si>
  <si>
    <t>Lucro (prejuízo) operacional</t>
  </si>
  <si>
    <t>Lucro (prejuízo) do período</t>
  </si>
  <si>
    <t>Vendas (Domésticas e Exportação)</t>
  </si>
  <si>
    <t>Estoques</t>
  </si>
  <si>
    <t>Produção e venda de veículos importados</t>
  </si>
  <si>
    <t>Categoria das vendas</t>
  </si>
  <si>
    <t>Venda de veiculos usados</t>
  </si>
  <si>
    <t>Licenciamento Doméstico por montadora</t>
  </si>
  <si>
    <t>Market share montadoras</t>
  </si>
  <si>
    <t>Vendas por região</t>
  </si>
  <si>
    <t>Mkt share por região</t>
  </si>
  <si>
    <t>Destino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</si>
</sst>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3" formatCode="_-* #,##0.00_-;\-* #,##0.00_-;_-* &quot;-&quot;??_-;_-@_-"/>
    <numFmt numFmtId="164" formatCode="_(* #,##0.00_);_(* \(#,##0.00\);_(* &quot;-&quot;??_);_(@_)"/>
    <numFmt numFmtId="165" formatCode="_([$€]* #,##0.00_);_([$€]* \(#,##0.00\);_([$€]* &quot;-&quot;??_);_(@_)"/>
    <numFmt numFmtId="166" formatCode="#,##0;\(#,##0\);\-"/>
    <numFmt numFmtId="167" formatCode="0.0%"/>
    <numFmt numFmtId="168" formatCode="_(* #,##0_);_(* \(#,##0\);_(* &quot;-&quot;??_);_(@_)"/>
    <numFmt numFmtId="169" formatCode="_(&quot;$&quot;* #,##0.00_);_(&quot;$&quot;* \(#,##0.00\);_(&quot;$&quot;* &quot;-&quot;??_);_(@_)"/>
    <numFmt numFmtId="170" formatCode="00,000"/>
    <numFmt numFmtId="171" formatCode="@&quot;²&quot;"/>
    <numFmt numFmtId="172" formatCode="#,##0.0;\(#,##0.0\);\-"/>
    <numFmt numFmtId="173" formatCode="_-* #,##0_-;\-* #,##0_-;_-* &quot;-&quot;??_-;_-@_-"/>
    <numFmt numFmtId="174" formatCode="#,##0_ ;\-#,##0\ "/>
    <numFmt numFmtId="175" formatCode="[$-416]mmm\-yy;@"/>
    <numFmt numFmtId="176" formatCode="@&quot;¹&quot;"/>
    <numFmt numFmtId="177" formatCode="#,##0;\(#,##0\);"/>
    <numFmt numFmtId="178" formatCode="dd/mm/yy;@"/>
    <numFmt numFmtId="179" formatCode="#,##0.000"/>
    <numFmt numFmtId="180" formatCode="0.0"/>
    <numFmt numFmtId="181" formatCode="#,##0.0"/>
    <numFmt numFmtId="182" formatCode="d/m/yy;@"/>
    <numFmt numFmtId="183" formatCode="0.000%"/>
    <numFmt numFmtId="184" formatCode="#,##0.00;\(#,##0.00\);\-"/>
    <numFmt numFmtId="185" formatCode="_([$€]* #,##0.0000000000_);_([$€]* \(#,##0.0000000000\);_([$€]* &quot;-&quot;??_);_(@_)"/>
    <numFmt numFmtId="186" formatCode="[$-416]d\-mmm\-yy;@"/>
    <numFmt numFmtId="187" formatCode="_([$€]* #,##0.000_);_([$€]* \(#,##0.000\);_([$€]* &quot;-&quot;??_);_(@_)"/>
    <numFmt numFmtId="188" formatCode="[$-416]yyyy;@"/>
  </numFmts>
  <fonts count="18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Times New Roman"/>
      <family val="1"/>
    </font>
    <font>
      <sz val="10"/>
      <name val="Times New Roman"/>
      <family val="1"/>
    </font>
    <font>
      <i/>
      <sz val="10"/>
      <name val="Times New Roman"/>
      <family val="1"/>
    </font>
    <font>
      <sz val="12"/>
      <color theme="1"/>
      <name val="Georgia"/>
      <family val="2"/>
    </font>
    <font>
      <sz val="10"/>
      <color theme="1"/>
      <name val="Times New Roman"/>
      <family val="1"/>
    </font>
    <font>
      <sz val="11"/>
      <color indexed="8"/>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0"/>
      <color indexed="8"/>
      <name val="Arial"/>
      <family val="2"/>
    </font>
    <font>
      <i/>
      <sz val="6"/>
      <color indexed="8"/>
      <name val="Arial"/>
      <family val="2"/>
    </font>
    <font>
      <b/>
      <i/>
      <strike/>
      <u/>
      <sz val="10"/>
      <color indexed="8"/>
      <name val="Arial"/>
      <family val="2"/>
    </font>
    <font>
      <sz val="10"/>
      <color theme="0"/>
      <name val="Times New Roman"/>
      <family val="1"/>
    </font>
    <font>
      <sz val="12"/>
      <color theme="1"/>
      <name val="Calibri"/>
      <family val="2"/>
      <scheme val="minor"/>
    </font>
    <font>
      <u/>
      <sz val="11"/>
      <color theme="10"/>
      <name val="Calibri"/>
      <family val="2"/>
      <scheme val="minor"/>
    </font>
    <font>
      <u/>
      <sz val="10"/>
      <color theme="10"/>
      <name val="Times New Roman"/>
      <family val="1"/>
    </font>
    <font>
      <sz val="8"/>
      <color theme="1"/>
      <name val="Times New Roman"/>
      <family val="1"/>
    </font>
    <font>
      <b/>
      <sz val="10"/>
      <color indexed="8"/>
      <name val="Times New Roman"/>
      <family val="1"/>
    </font>
    <font>
      <sz val="10"/>
      <color indexed="8"/>
      <name val="Times New Roman"/>
      <family val="1"/>
    </font>
    <font>
      <b/>
      <sz val="10"/>
      <color theme="1"/>
      <name val="Times New Roman"/>
      <family val="1"/>
    </font>
    <font>
      <b/>
      <sz val="8"/>
      <color theme="1"/>
      <name val="Times New Roman"/>
      <family val="1"/>
    </font>
    <font>
      <sz val="11"/>
      <color theme="1"/>
      <name val="Century Gothic"/>
      <family val="2"/>
    </font>
    <font>
      <u/>
      <sz val="11"/>
      <color theme="10"/>
      <name val="Times New Roman"/>
      <family val="1"/>
    </font>
    <font>
      <sz val="11"/>
      <color theme="1"/>
      <name val="Georgia"/>
      <family val="1"/>
    </font>
    <font>
      <b/>
      <sz val="9"/>
      <color theme="1"/>
      <name val="Georgia"/>
      <family val="1"/>
    </font>
    <font>
      <b/>
      <sz val="11"/>
      <color theme="1"/>
      <name val="Georgia"/>
      <family val="1"/>
    </font>
    <font>
      <sz val="9"/>
      <color theme="1"/>
      <name val="Georgia"/>
      <family val="1"/>
    </font>
    <font>
      <sz val="9"/>
      <color rgb="FF000000"/>
      <name val="Georgia"/>
      <family val="1"/>
    </font>
    <font>
      <b/>
      <sz val="9"/>
      <color rgb="FF000000"/>
      <name val="Georgia"/>
      <family val="1"/>
    </font>
    <font>
      <b/>
      <sz val="10"/>
      <color theme="1"/>
      <name val="Georgia"/>
      <family val="1"/>
    </font>
    <font>
      <sz val="8"/>
      <color theme="1"/>
      <name val="Georgia"/>
      <family val="1"/>
    </font>
    <font>
      <b/>
      <sz val="8"/>
      <color theme="1"/>
      <name val="Georgia"/>
      <family val="1"/>
    </font>
    <font>
      <sz val="8"/>
      <color rgb="FF000000"/>
      <name val="Georgia"/>
      <family val="1"/>
    </font>
    <font>
      <i/>
      <sz val="11"/>
      <color theme="1"/>
      <name val="Georgia"/>
      <family val="1"/>
    </font>
    <font>
      <i/>
      <sz val="9"/>
      <color rgb="FF000000"/>
      <name val="Georgia"/>
      <family val="1"/>
    </font>
    <font>
      <i/>
      <sz val="9"/>
      <color theme="1"/>
      <name val="Georgia"/>
      <family val="1"/>
    </font>
    <font>
      <b/>
      <sz val="10"/>
      <color theme="1"/>
      <name val="Arial"/>
      <family val="2"/>
    </font>
    <font>
      <sz val="10"/>
      <color theme="1"/>
      <name val="Arial"/>
      <family val="2"/>
    </font>
    <font>
      <b/>
      <sz val="10"/>
      <color indexed="8"/>
      <name val="Arial"/>
      <family val="2"/>
    </font>
    <font>
      <sz val="10"/>
      <color rgb="FF000000"/>
      <name val="Arial"/>
      <family val="2"/>
    </font>
    <font>
      <b/>
      <sz val="10"/>
      <color rgb="FF000000"/>
      <name val="Arial"/>
      <family val="2"/>
    </font>
    <font>
      <b/>
      <sz val="10"/>
      <name val="Arial"/>
      <family val="2"/>
    </font>
    <font>
      <b/>
      <sz val="10"/>
      <color theme="0" tint="-0.499984740745262"/>
      <name val="Arial"/>
      <family val="2"/>
    </font>
    <font>
      <sz val="10"/>
      <color theme="0"/>
      <name val="Arial"/>
      <family val="2"/>
    </font>
    <font>
      <sz val="10"/>
      <color theme="1"/>
      <name val="Calibri"/>
      <family val="2"/>
      <scheme val="minor"/>
    </font>
    <font>
      <b/>
      <sz val="12"/>
      <color rgb="FF000000"/>
      <name val="Arial"/>
      <family val="2"/>
    </font>
    <font>
      <sz val="14"/>
      <color theme="1"/>
      <name val="Georgia"/>
      <family val="1"/>
    </font>
    <font>
      <sz val="12"/>
      <color theme="1"/>
      <name val="Georgia"/>
      <family val="1"/>
    </font>
    <font>
      <u/>
      <sz val="14"/>
      <color theme="1"/>
      <name val="Georgia"/>
      <family val="1"/>
    </font>
    <font>
      <sz val="8"/>
      <color theme="1"/>
      <name val="Arial"/>
      <family val="2"/>
    </font>
    <font>
      <b/>
      <sz val="10"/>
      <name val="Calibri"/>
      <family val="2"/>
      <scheme val="minor"/>
    </font>
    <font>
      <sz val="10"/>
      <color theme="0" tint="-0.499984740745262"/>
      <name val="Arial"/>
      <family val="2"/>
    </font>
    <font>
      <sz val="10"/>
      <color rgb="FFFF0000"/>
      <name val="Arial"/>
      <family val="2"/>
    </font>
    <font>
      <i/>
      <sz val="10"/>
      <color indexed="8"/>
      <name val="Times New Roman"/>
      <family val="1"/>
    </font>
    <font>
      <sz val="11"/>
      <color theme="0"/>
      <name val="Georgia"/>
      <family val="1"/>
    </font>
    <font>
      <b/>
      <u/>
      <sz val="10"/>
      <color theme="10"/>
      <name val="Times New Roman"/>
      <family val="1"/>
    </font>
    <font>
      <sz val="10"/>
      <color theme="0" tint="-0.34998626667073579"/>
      <name val="Times New Roman"/>
      <family val="1"/>
    </font>
    <font>
      <u/>
      <sz val="10"/>
      <color theme="0" tint="-0.34998626667073579"/>
      <name val="Times New Roman"/>
      <family val="1"/>
    </font>
    <font>
      <b/>
      <sz val="10"/>
      <color theme="0" tint="-0.34998626667073579"/>
      <name val="Times New Roman"/>
      <family val="1"/>
    </font>
    <font>
      <sz val="10"/>
      <color theme="0" tint="-0.34998626667073579"/>
      <name val="Arial"/>
      <family val="2"/>
    </font>
    <font>
      <sz val="11"/>
      <color theme="0" tint="-0.34998626667073579"/>
      <name val="Georgia"/>
      <family val="1"/>
    </font>
    <font>
      <i/>
      <sz val="10"/>
      <name val="Arial"/>
      <family val="2"/>
    </font>
    <font>
      <b/>
      <sz val="10"/>
      <color theme="0"/>
      <name val="Times New Roman"/>
      <family val="1"/>
    </font>
    <font>
      <sz val="10"/>
      <color rgb="FFFF0000"/>
      <name val="Times New Roman"/>
      <family val="1"/>
    </font>
    <font>
      <b/>
      <sz val="10"/>
      <color rgb="FFFF0000"/>
      <name val="Times New Roman"/>
      <family val="1"/>
    </font>
    <font>
      <sz val="9"/>
      <color indexed="81"/>
      <name val="Segoe UI"/>
      <family val="2"/>
    </font>
    <font>
      <sz val="11"/>
      <color theme="1"/>
      <name val="Times New Roman"/>
      <family val="1"/>
    </font>
    <font>
      <b/>
      <i/>
      <sz val="10"/>
      <color indexed="8"/>
      <name val="Times New Roman"/>
      <family val="1"/>
    </font>
    <font>
      <b/>
      <i/>
      <sz val="10"/>
      <name val="Times New Roman"/>
      <family val="1"/>
    </font>
    <font>
      <b/>
      <u/>
      <sz val="10"/>
      <name val="Times New Roman"/>
      <family val="1"/>
    </font>
    <font>
      <b/>
      <sz val="10"/>
      <color rgb="FF585A5B"/>
      <name val="Times New Roman"/>
      <family val="1"/>
    </font>
    <font>
      <sz val="10"/>
      <color rgb="FF585A5B"/>
      <name val="Times New Roman"/>
      <family val="1"/>
    </font>
    <font>
      <sz val="10"/>
      <color theme="0" tint="-0.249977111117893"/>
      <name val="Arial"/>
      <family val="2"/>
    </font>
    <font>
      <sz val="10"/>
      <color theme="0" tint="-0.249977111117893"/>
      <name val="Times New Roman"/>
      <family val="1"/>
    </font>
    <font>
      <b/>
      <sz val="10"/>
      <color theme="0" tint="-0.499984740745262"/>
      <name val="Times New Roman"/>
      <family val="1"/>
    </font>
    <font>
      <sz val="10"/>
      <color theme="0" tint="-0.499984740745262"/>
      <name val="Times New Roman"/>
      <family val="1"/>
    </font>
    <font>
      <sz val="10"/>
      <color rgb="FF00B0F0"/>
      <name val="Times New Roman"/>
      <family val="1"/>
    </font>
    <font>
      <b/>
      <sz val="9"/>
      <color indexed="81"/>
      <name val="Segoe UI"/>
      <family val="2"/>
    </font>
    <font>
      <sz val="11"/>
      <color rgb="FFFF0000"/>
      <name val="Georgia"/>
      <family val="1"/>
    </font>
    <font>
      <sz val="8"/>
      <color indexed="81"/>
      <name val="Segoe UI"/>
      <family val="2"/>
    </font>
    <font>
      <i/>
      <sz val="10"/>
      <color theme="1"/>
      <name val="Times New Roman"/>
      <family val="1"/>
    </font>
    <font>
      <b/>
      <sz val="10"/>
      <color theme="0"/>
      <name val="Arial"/>
      <family val="2"/>
    </font>
    <font>
      <sz val="8"/>
      <name val="Times New Roman"/>
      <family val="1"/>
    </font>
    <font>
      <sz val="14"/>
      <name val="Times New Roman"/>
      <family val="1"/>
    </font>
    <font>
      <sz val="12"/>
      <color theme="0"/>
      <name val="Calibri"/>
      <family val="2"/>
      <scheme val="minor"/>
    </font>
    <font>
      <sz val="14"/>
      <color rgb="FFED7D31"/>
      <name val="Times New Roman"/>
      <family val="1"/>
    </font>
    <font>
      <sz val="12"/>
      <color rgb="FFED7D31"/>
      <name val="Calibri"/>
      <family val="2"/>
      <scheme val="minor"/>
    </font>
    <font>
      <sz val="10"/>
      <color theme="5"/>
      <name val="Times New Roman"/>
      <family val="1"/>
    </font>
    <font>
      <i/>
      <sz val="10"/>
      <color theme="5"/>
      <name val="Times New Roman"/>
      <family val="1"/>
    </font>
    <font>
      <i/>
      <sz val="10"/>
      <color theme="0"/>
      <name val="Times New Roman"/>
      <family val="1"/>
    </font>
    <font>
      <b/>
      <sz val="10"/>
      <color theme="0"/>
      <name val="Calibri"/>
      <family val="2"/>
      <scheme val="minor"/>
    </font>
    <font>
      <b/>
      <sz val="12"/>
      <color theme="0"/>
      <name val="Arial"/>
      <family val="2"/>
    </font>
    <font>
      <sz val="14"/>
      <color theme="0"/>
      <name val="Georgia"/>
      <family val="1"/>
    </font>
    <font>
      <sz val="12"/>
      <color theme="0"/>
      <name val="Georgia"/>
      <family val="1"/>
    </font>
    <font>
      <sz val="9"/>
      <color theme="0"/>
      <name val="Georgia"/>
      <family val="1"/>
    </font>
    <font>
      <u/>
      <sz val="11"/>
      <color theme="0"/>
      <name val="Calibri"/>
      <family val="2"/>
      <scheme val="minor"/>
    </font>
    <font>
      <u/>
      <sz val="11"/>
      <color rgb="FFFF0000"/>
      <name val="Calibri"/>
      <family val="2"/>
      <scheme val="minor"/>
    </font>
    <font>
      <sz val="12"/>
      <color rgb="FFFF0000"/>
      <name val="Calibri"/>
      <family val="2"/>
      <scheme val="minor"/>
    </font>
    <font>
      <sz val="14"/>
      <color theme="0"/>
      <name val="Times New Roman"/>
      <family val="1"/>
    </font>
    <font>
      <sz val="11"/>
      <color theme="0"/>
      <name val="Times New Roman"/>
      <family val="1"/>
    </font>
    <font>
      <sz val="9"/>
      <color theme="0"/>
      <name val="Arial"/>
      <family val="2"/>
    </font>
    <font>
      <b/>
      <sz val="8"/>
      <color theme="0"/>
      <name val="Arial"/>
      <family val="2"/>
    </font>
    <font>
      <b/>
      <sz val="9"/>
      <color theme="0"/>
      <name val="Arial"/>
      <family val="2"/>
    </font>
    <font>
      <sz val="8"/>
      <color theme="0" tint="-0.249977111117893"/>
      <name val="Arial"/>
      <family val="2"/>
    </font>
    <font>
      <b/>
      <sz val="10"/>
      <color rgb="FFFF0000"/>
      <name val="Arial"/>
      <family val="2"/>
    </font>
    <font>
      <sz val="8"/>
      <color theme="0"/>
      <name val="Georgia"/>
      <family val="1"/>
    </font>
    <font>
      <sz val="10"/>
      <color theme="4"/>
      <name val="Times New Roman"/>
      <family val="1"/>
    </font>
    <font>
      <i/>
      <sz val="10"/>
      <color rgb="FFFF0000"/>
      <name val="Times New Roman"/>
      <family val="1"/>
    </font>
    <font>
      <sz val="8"/>
      <color theme="0" tint="-0.34998626667073579"/>
      <name val="Arial"/>
      <family val="2"/>
    </font>
    <font>
      <sz val="11"/>
      <name val="Georgia"/>
      <family val="1"/>
    </font>
    <font>
      <sz val="9"/>
      <color theme="0" tint="-0.34998626667073579"/>
      <name val="Georgia"/>
      <family val="1"/>
    </font>
    <font>
      <sz val="11"/>
      <name val="Times New Roman"/>
      <family val="1"/>
    </font>
    <font>
      <b/>
      <sz val="10"/>
      <color theme="0" tint="-0.249977111117893"/>
      <name val="Times New Roman"/>
      <family val="1"/>
    </font>
    <font>
      <sz val="10"/>
      <color rgb="FFC00000"/>
      <name val="Arial"/>
      <family val="2"/>
    </font>
    <font>
      <sz val="14"/>
      <color rgb="FFFF0000"/>
      <name val="Georgia"/>
      <family val="1"/>
    </font>
    <font>
      <sz val="11"/>
      <color rgb="FFFF0000"/>
      <name val="Times New Roman"/>
      <family val="1"/>
    </font>
    <font>
      <i/>
      <sz val="8"/>
      <name val="Times New Roman"/>
      <family val="1"/>
    </font>
    <font>
      <i/>
      <sz val="8"/>
      <color theme="0"/>
      <name val="Times New Roman"/>
      <family val="1"/>
    </font>
    <font>
      <i/>
      <sz val="8"/>
      <color indexed="8"/>
      <name val="Times New Roman"/>
      <family val="1"/>
    </font>
    <font>
      <sz val="9"/>
      <name val="Times New Roman"/>
      <family val="1"/>
    </font>
    <font>
      <sz val="9"/>
      <color theme="0"/>
      <name val="Times New Roman"/>
      <family val="1"/>
    </font>
    <font>
      <sz val="8"/>
      <color rgb="FFFF0000"/>
      <name val="Times New Roman"/>
      <family val="1"/>
    </font>
    <font>
      <b/>
      <sz val="9"/>
      <name val="Arial"/>
      <family val="2"/>
    </font>
    <font>
      <b/>
      <sz val="11"/>
      <color rgb="FFFF0000"/>
      <name val="Georgia"/>
      <family val="1"/>
    </font>
    <font>
      <sz val="10"/>
      <color theme="2"/>
      <name val="Arial"/>
      <family val="2"/>
    </font>
    <font>
      <sz val="10"/>
      <color theme="2"/>
      <name val="Times New Roman"/>
      <family val="1"/>
    </font>
    <font>
      <b/>
      <sz val="10"/>
      <color theme="2"/>
      <name val="Calibri"/>
      <family val="2"/>
      <scheme val="minor"/>
    </font>
    <font>
      <u/>
      <sz val="9"/>
      <color indexed="81"/>
      <name val="Segoe UI"/>
      <family val="2"/>
    </font>
    <font>
      <b/>
      <sz val="10"/>
      <color indexed="81"/>
      <name val="Arial"/>
      <family val="2"/>
    </font>
    <font>
      <b/>
      <sz val="10"/>
      <color theme="2" tint="-9.9978637043366805E-2"/>
      <name val="Calibri"/>
      <family val="2"/>
      <scheme val="minor"/>
    </font>
    <font>
      <sz val="10"/>
      <color rgb="FFFEF1E2"/>
      <name val="Times New Roman"/>
      <family val="1"/>
    </font>
    <font>
      <sz val="10"/>
      <color theme="2" tint="-0.249977111117893"/>
      <name val="Arial"/>
      <family val="2"/>
    </font>
    <font>
      <sz val="10"/>
      <color theme="5" tint="-0.249977111117893"/>
      <name val="Arial"/>
      <family val="2"/>
    </font>
    <font>
      <sz val="10"/>
      <color theme="5" tint="0.39997558519241921"/>
      <name val="Arial"/>
      <family val="2"/>
    </font>
    <font>
      <b/>
      <sz val="9"/>
      <color rgb="FF656565"/>
      <name val="Calibri"/>
      <family val="2"/>
    </font>
    <font>
      <sz val="8"/>
      <color theme="0"/>
      <name val="Times New Roman"/>
      <family val="1"/>
    </font>
    <font>
      <sz val="11"/>
      <color theme="0" tint="-0.249977111117893"/>
      <name val="Times New Roman"/>
      <family val="1"/>
    </font>
    <font>
      <b/>
      <sz val="10"/>
      <color rgb="FFFF0000"/>
      <name val="Calibri"/>
      <family val="2"/>
      <scheme val="minor"/>
    </font>
    <font>
      <sz val="8"/>
      <name val="Arial"/>
      <family val="2"/>
    </font>
    <font>
      <sz val="10"/>
      <color theme="4"/>
      <name val="Arial"/>
      <family val="2"/>
    </font>
    <font>
      <sz val="9"/>
      <color rgb="FF000000"/>
      <name val="Arial"/>
      <family val="2"/>
    </font>
    <font>
      <sz val="10"/>
      <color rgb="FFFFC000"/>
      <name val="Arial"/>
      <family val="2"/>
    </font>
    <font>
      <i/>
      <sz val="8"/>
      <color rgb="FFFF0000"/>
      <name val="Times New Roman"/>
      <family val="1"/>
    </font>
    <font>
      <sz val="8"/>
      <color rgb="FFFF0000"/>
      <name val="Arial"/>
      <family val="2"/>
    </font>
  </fonts>
  <fills count="5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7931D"/>
        <bgColor indexed="64"/>
      </patternFill>
    </fill>
    <fill>
      <patternFill patternType="solid">
        <fgColor rgb="FFFEF1E2"/>
        <bgColor indexed="64"/>
      </patternFill>
    </fill>
    <fill>
      <patternFill patternType="solid">
        <fgColor rgb="FFFCDBB2"/>
        <bgColor indexed="64"/>
      </patternFill>
    </fill>
    <fill>
      <patternFill patternType="solid">
        <fgColor rgb="FFFFFFFF"/>
        <bgColor rgb="FFFFFFFF"/>
      </patternFill>
    </fill>
    <fill>
      <patternFill patternType="solid">
        <fgColor theme="5"/>
        <bgColor rgb="FFFFFFFF"/>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rgb="FFFFFFFF"/>
      </patternFill>
    </fill>
    <fill>
      <patternFill patternType="solid">
        <fgColor theme="5"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00"/>
        <bgColor indexed="64"/>
      </patternFill>
    </fill>
  </fills>
  <borders count="81">
    <border>
      <left/>
      <right/>
      <top/>
      <bottom/>
      <diagonal/>
    </border>
    <border>
      <left/>
      <right/>
      <top style="medium">
        <color auto="1"/>
      </top>
      <bottom/>
      <diagonal/>
    </border>
    <border>
      <left/>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bottom/>
      <diagonal/>
    </border>
    <border>
      <left style="thin">
        <color theme="0"/>
      </left>
      <right/>
      <top/>
      <bottom/>
      <diagonal/>
    </border>
    <border>
      <left style="thin">
        <color auto="1"/>
      </left>
      <right/>
      <top/>
      <bottom/>
      <diagonal/>
    </border>
    <border>
      <left/>
      <right style="thin">
        <color auto="1"/>
      </right>
      <top/>
      <bottom/>
      <diagonal/>
    </border>
    <border>
      <left style="medium">
        <color auto="1"/>
      </left>
      <right style="medium">
        <color auto="1"/>
      </right>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indexed="64"/>
      </bottom>
      <diagonal/>
    </border>
    <border>
      <left/>
      <right style="thin">
        <color auto="1"/>
      </right>
      <top/>
      <bottom style="thin">
        <color indexed="64"/>
      </bottom>
      <diagonal/>
    </border>
    <border>
      <left style="thick">
        <color auto="1"/>
      </left>
      <right/>
      <top/>
      <bottom/>
      <diagonal/>
    </border>
    <border>
      <left/>
      <right style="thick">
        <color auto="1"/>
      </right>
      <top/>
      <bottom/>
      <diagonal/>
    </border>
    <border>
      <left style="thin">
        <color indexed="64"/>
      </left>
      <right/>
      <top style="medium">
        <color auto="1"/>
      </top>
      <bottom/>
      <diagonal/>
    </border>
    <border>
      <left style="thin">
        <color theme="0"/>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FFFFFF"/>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CCCFD1"/>
      </bottom>
      <diagonal/>
    </border>
    <border>
      <left style="medium">
        <color rgb="FFE6E9EB"/>
      </left>
      <right/>
      <top/>
      <bottom style="medium">
        <color rgb="FFCCCFD1"/>
      </bottom>
      <diagonal/>
    </border>
    <border>
      <left style="medium">
        <color rgb="FF000000"/>
      </left>
      <right style="medium">
        <color rgb="FFE6E9EB"/>
      </right>
      <top/>
      <bottom style="medium">
        <color rgb="FFCCCFD1"/>
      </bottom>
      <diagonal/>
    </border>
    <border>
      <left style="medium">
        <color rgb="FFE6E9EB"/>
      </left>
      <right style="medium">
        <color rgb="FF000000"/>
      </right>
      <top/>
      <bottom style="medium">
        <color rgb="FFCCCFD1"/>
      </bottom>
      <diagonal/>
    </border>
    <border>
      <left style="medium">
        <color rgb="FF000000"/>
      </left>
      <right style="medium">
        <color rgb="FFE6E9EB"/>
      </right>
      <top style="medium">
        <color rgb="FF000000"/>
      </top>
      <bottom style="medium">
        <color rgb="FF000000"/>
      </bottom>
      <diagonal/>
    </border>
    <border>
      <left style="medium">
        <color rgb="FFE6E9EB"/>
      </left>
      <right style="medium">
        <color rgb="FF000000"/>
      </right>
      <top style="medium">
        <color rgb="FF000000"/>
      </top>
      <bottom style="medium">
        <color rgb="FF000000"/>
      </bottom>
      <diagonal/>
    </border>
    <border>
      <left style="medium">
        <color rgb="FF000000"/>
      </left>
      <right/>
      <top style="medium">
        <color rgb="FFCCCFD1"/>
      </top>
      <bottom style="medium">
        <color rgb="FFCCCFD1"/>
      </bottom>
      <diagonal/>
    </border>
    <border>
      <left style="medium">
        <color rgb="FFE6E9EB"/>
      </left>
      <right/>
      <top style="medium">
        <color rgb="FFCCCFD1"/>
      </top>
      <bottom style="medium">
        <color rgb="FFCCCFD1"/>
      </bottom>
      <diagonal/>
    </border>
    <border>
      <left style="medium">
        <color rgb="FFE6E9EB"/>
      </left>
      <right style="medium">
        <color rgb="FF000000"/>
      </right>
      <top style="medium">
        <color rgb="FFCCCFD1"/>
      </top>
      <bottom style="medium">
        <color rgb="FFCCCFD1"/>
      </bottom>
      <diagonal/>
    </border>
    <border>
      <left style="medium">
        <color rgb="FF000000"/>
      </left>
      <right/>
      <top style="medium">
        <color rgb="FFCCCFD1"/>
      </top>
      <bottom style="medium">
        <color rgb="FF000000"/>
      </bottom>
      <diagonal/>
    </border>
    <border>
      <left style="medium">
        <color rgb="FFE6E9EB"/>
      </left>
      <right/>
      <top style="medium">
        <color rgb="FFCCCFD1"/>
      </top>
      <bottom style="medium">
        <color rgb="FF000000"/>
      </bottom>
      <diagonal/>
    </border>
    <border>
      <left style="medium">
        <color rgb="FF000000"/>
      </left>
      <right style="medium">
        <color rgb="FFE6E9EB"/>
      </right>
      <top style="medium">
        <color rgb="FFCCCFD1"/>
      </top>
      <bottom style="medium">
        <color rgb="FF000000"/>
      </bottom>
      <diagonal/>
    </border>
    <border>
      <left style="medium">
        <color rgb="FFE6E9EB"/>
      </left>
      <right style="medium">
        <color rgb="FF000000"/>
      </right>
      <top style="medium">
        <color rgb="FFCCCFD1"/>
      </top>
      <bottom style="medium">
        <color rgb="FF000000"/>
      </bottom>
      <diagonal/>
    </border>
    <border>
      <left style="medium">
        <color rgb="FF000000"/>
      </left>
      <right/>
      <top style="medium">
        <color rgb="FF000000"/>
      </top>
      <bottom style="medium">
        <color rgb="FFCCCFD1"/>
      </bottom>
      <diagonal/>
    </border>
    <border>
      <left style="medium">
        <color rgb="FFE6E9EB"/>
      </left>
      <right/>
      <top style="medium">
        <color rgb="FF000000"/>
      </top>
      <bottom style="medium">
        <color rgb="FFCCCFD1"/>
      </bottom>
      <diagonal/>
    </border>
    <border>
      <left style="medium">
        <color rgb="FF000000"/>
      </left>
      <right style="medium">
        <color rgb="FFE6E9EB"/>
      </right>
      <top style="medium">
        <color rgb="FF000000"/>
      </top>
      <bottom style="medium">
        <color rgb="FFCCCFD1"/>
      </bottom>
      <diagonal/>
    </border>
    <border>
      <left style="medium">
        <color rgb="FFE6E9EB"/>
      </left>
      <right style="medium">
        <color rgb="FF000000"/>
      </right>
      <top style="medium">
        <color rgb="FF000000"/>
      </top>
      <bottom style="medium">
        <color rgb="FFCCCFD1"/>
      </bottom>
      <diagonal/>
    </border>
    <border>
      <left style="medium">
        <color rgb="FF000000"/>
      </left>
      <right style="medium">
        <color rgb="FFE6E9EB"/>
      </right>
      <top style="medium">
        <color rgb="FFCCCFD1"/>
      </top>
      <bottom style="medium">
        <color rgb="FFCCCFD1"/>
      </bottom>
      <diagonal/>
    </border>
    <border>
      <left style="medium">
        <color rgb="FFFFFFFF"/>
      </left>
      <right style="medium">
        <color rgb="FFFFFFFF"/>
      </right>
      <top style="medium">
        <color rgb="FF000000"/>
      </top>
      <bottom style="medium">
        <color rgb="FF000000"/>
      </bottom>
      <diagonal/>
    </border>
    <border>
      <left style="medium">
        <color rgb="FFE6E9EB"/>
      </left>
      <right style="medium">
        <color rgb="FFE6E9EB"/>
      </right>
      <top style="medium">
        <color rgb="FFCCCFD1"/>
      </top>
      <bottom style="medium">
        <color indexed="64"/>
      </bottom>
      <diagonal/>
    </border>
    <border>
      <left style="mediumDashDot">
        <color auto="1"/>
      </left>
      <right style="mediumDashDot">
        <color auto="1"/>
      </right>
      <top/>
      <bottom/>
      <diagonal/>
    </border>
    <border>
      <left style="double">
        <color auto="1"/>
      </left>
      <right/>
      <top/>
      <bottom/>
      <diagonal/>
    </border>
    <border>
      <left/>
      <right style="double">
        <color auto="1"/>
      </right>
      <top/>
      <bottom/>
      <diagonal/>
    </border>
    <border>
      <left style="thin">
        <color indexed="64"/>
      </left>
      <right style="thin">
        <color indexed="64"/>
      </right>
      <top/>
      <bottom/>
      <diagonal/>
    </border>
    <border>
      <left/>
      <right/>
      <top style="thin">
        <color theme="0" tint="-0.24994659260841701"/>
      </top>
      <bottom/>
      <diagonal/>
    </border>
    <border>
      <left/>
      <right/>
      <top/>
      <bottom style="thin">
        <color theme="0" tint="-0.24994659260841701"/>
      </bottom>
      <diagonal/>
    </border>
    <border>
      <left style="thin">
        <color indexed="64"/>
      </left>
      <right/>
      <top style="thin">
        <color theme="0" tint="-0.24994659260841701"/>
      </top>
      <bottom/>
      <diagonal/>
    </border>
    <border>
      <left style="thin">
        <color indexed="64"/>
      </left>
      <right/>
      <top/>
      <bottom style="thin">
        <color theme="0" tint="-0.24994659260841701"/>
      </bottom>
      <diagonal/>
    </border>
    <border>
      <left style="mediumDashed">
        <color rgb="FFFF0000"/>
      </left>
      <right/>
      <top style="mediumDashed">
        <color rgb="FFFF0000"/>
      </top>
      <bottom/>
      <diagonal/>
    </border>
    <border>
      <left/>
      <right/>
      <top style="mediumDashed">
        <color rgb="FFFF0000"/>
      </top>
      <bottom/>
      <diagonal/>
    </border>
    <border>
      <left style="mediumDashed">
        <color rgb="FFFF0000"/>
      </left>
      <right/>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diagonal/>
    </border>
    <border>
      <left/>
      <right style="mediumDashed">
        <color rgb="FFFF0000"/>
      </right>
      <top/>
      <bottom style="mediumDashed">
        <color rgb="FFFF0000"/>
      </bottom>
      <diagonal/>
    </border>
    <border>
      <left style="medium">
        <color rgb="FFE6E9EB"/>
      </left>
      <right style="medium">
        <color rgb="FF000000"/>
      </right>
      <top style="medium">
        <color rgb="FFCCCFD1"/>
      </top>
      <bottom/>
      <diagonal/>
    </border>
    <border>
      <left style="medium">
        <color rgb="FFE6E9EB"/>
      </left>
      <right style="medium">
        <color rgb="FF000000"/>
      </right>
      <top/>
      <bottom style="medium">
        <color rgb="FF000000"/>
      </bottom>
      <diagonal/>
    </border>
    <border>
      <left style="medium">
        <color rgb="FFE6E9EB"/>
      </left>
      <right style="medium">
        <color rgb="FF000000"/>
      </right>
      <top style="medium">
        <color rgb="FF000000"/>
      </top>
      <bottom/>
      <diagonal/>
    </border>
    <border>
      <left/>
      <right style="mediumDashed">
        <color rgb="FFFF0000"/>
      </right>
      <top style="mediumDashed">
        <color rgb="FFFF0000"/>
      </top>
      <bottom/>
      <diagonal/>
    </border>
  </borders>
  <cellStyleXfs count="2172">
    <xf numFmtId="165" fontId="0" fillId="0" borderId="0"/>
    <xf numFmtId="9" fontId="29" fillId="0" borderId="0" applyFont="0" applyFill="0" applyBorder="0" applyAlignment="0" applyProtection="0"/>
    <xf numFmtId="165" fontId="29" fillId="0" borderId="0"/>
    <xf numFmtId="0" fontId="33" fillId="0" borderId="0"/>
    <xf numFmtId="164" fontId="33" fillId="0" borderId="0" applyFont="0" applyFill="0" applyBorder="0" applyAlignment="0" applyProtection="0"/>
    <xf numFmtId="9" fontId="33" fillId="0" borderId="0" applyFont="0" applyFill="0" applyBorder="0" applyAlignment="0" applyProtection="0"/>
    <xf numFmtId="0" fontId="29" fillId="0" borderId="0"/>
    <xf numFmtId="0" fontId="29" fillId="0" borderId="0"/>
    <xf numFmtId="164" fontId="29" fillId="0" borderId="0" applyFont="0" applyFill="0" applyBorder="0" applyAlignment="0" applyProtection="0"/>
    <xf numFmtId="164" fontId="28" fillId="0" borderId="0" applyFont="0" applyFill="0" applyBorder="0" applyAlignment="0" applyProtection="0"/>
    <xf numFmtId="9" fontId="29" fillId="0" borderId="0" applyFont="0" applyFill="0" applyBorder="0" applyAlignment="0" applyProtection="0"/>
    <xf numFmtId="9" fontId="28" fillId="0" borderId="0" applyFont="0" applyFill="0" applyBorder="0" applyAlignment="0" applyProtection="0"/>
    <xf numFmtId="0" fontId="27" fillId="0" borderId="0"/>
    <xf numFmtId="164" fontId="27" fillId="0" borderId="0" applyFont="0" applyFill="0" applyBorder="0" applyAlignment="0" applyProtection="0"/>
    <xf numFmtId="9" fontId="27" fillId="0" borderId="0" applyFont="0" applyFill="0" applyBorder="0" applyAlignment="0" applyProtection="0"/>
    <xf numFmtId="0" fontId="26" fillId="0" borderId="0"/>
    <xf numFmtId="0" fontId="25" fillId="0" borderId="0"/>
    <xf numFmtId="164" fontId="35" fillId="0" borderId="0" applyFont="0" applyFill="0" applyBorder="0" applyAlignment="0" applyProtection="0"/>
    <xf numFmtId="0" fontId="24" fillId="0" borderId="0"/>
    <xf numFmtId="164" fontId="24" fillId="0" borderId="0" applyFont="0" applyFill="0" applyBorder="0" applyAlignment="0" applyProtection="0"/>
    <xf numFmtId="9" fontId="24" fillId="0" borderId="0" applyFont="0" applyFill="0" applyBorder="0" applyAlignment="0" applyProtection="0"/>
    <xf numFmtId="0" fontId="29" fillId="0" borderId="0"/>
    <xf numFmtId="0" fontId="29" fillId="0" borderId="0" applyFont="0" applyFill="0" applyBorder="0" applyAlignment="0" applyProtection="0"/>
    <xf numFmtId="0" fontId="24" fillId="0" borderId="0"/>
    <xf numFmtId="0" fontId="29" fillId="0" borderId="0"/>
    <xf numFmtId="0" fontId="29" fillId="0" borderId="0"/>
    <xf numFmtId="0" fontId="29" fillId="0" borderId="0"/>
    <xf numFmtId="0" fontId="29" fillId="0" borderId="0"/>
    <xf numFmtId="0" fontId="51" fillId="0" borderId="0" applyNumberFormat="0" applyFill="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12"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50" fillId="13" borderId="0" applyNumberFormat="0" applyBorder="0" applyAlignment="0" applyProtection="0"/>
    <xf numFmtId="0" fontId="50" fillId="17" borderId="0" applyNumberFormat="0" applyBorder="0" applyAlignment="0" applyProtection="0"/>
    <xf numFmtId="0" fontId="50" fillId="21" borderId="0" applyNumberFormat="0" applyBorder="0" applyAlignment="0" applyProtection="0"/>
    <xf numFmtId="0" fontId="50" fillId="25" borderId="0" applyNumberFormat="0" applyBorder="0" applyAlignment="0" applyProtection="0"/>
    <xf numFmtId="0" fontId="50" fillId="29" borderId="0" applyNumberFormat="0" applyBorder="0" applyAlignment="0" applyProtection="0"/>
    <xf numFmtId="0" fontId="50" fillId="33" borderId="0" applyNumberFormat="0" applyBorder="0" applyAlignment="0" applyProtection="0"/>
    <xf numFmtId="0" fontId="50" fillId="10" borderId="0" applyNumberFormat="0" applyBorder="0" applyAlignment="0" applyProtection="0"/>
    <xf numFmtId="0" fontId="50" fillId="14"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40" fillId="4" borderId="0" applyNumberFormat="0" applyBorder="0" applyAlignment="0" applyProtection="0"/>
    <xf numFmtId="0" fontId="44" fillId="7" borderId="6" applyNumberFormat="0" applyAlignment="0" applyProtection="0"/>
    <xf numFmtId="0" fontId="46" fillId="8" borderId="9" applyNumberFormat="0" applyAlignment="0" applyProtection="0"/>
    <xf numFmtId="0" fontId="48" fillId="0" borderId="0" applyNumberFormat="0" applyFill="0" applyBorder="0" applyAlignment="0" applyProtection="0"/>
    <xf numFmtId="0" fontId="39" fillId="3"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42" fillId="6" borderId="6" applyNumberFormat="0" applyAlignment="0" applyProtection="0"/>
    <xf numFmtId="0" fontId="45" fillId="0" borderId="8" applyNumberFormat="0" applyFill="0" applyAlignment="0" applyProtection="0"/>
    <xf numFmtId="0" fontId="41" fillId="5" borderId="0" applyNumberFormat="0" applyBorder="0" applyAlignment="0" applyProtection="0"/>
    <xf numFmtId="0" fontId="35" fillId="9" borderId="10" applyNumberFormat="0" applyFont="0" applyAlignment="0" applyProtection="0"/>
    <xf numFmtId="0" fontId="43" fillId="7" borderId="7" applyNumberFormat="0" applyAlignment="0" applyProtection="0"/>
    <xf numFmtId="164" fontId="35" fillId="0" borderId="0" applyFont="0" applyFill="0" applyBorder="0" applyAlignment="0" applyProtection="0"/>
    <xf numFmtId="0" fontId="49" fillId="0" borderId="11" applyNumberFormat="0" applyFill="0" applyAlignment="0" applyProtection="0"/>
    <xf numFmtId="0" fontId="47" fillId="0" borderId="0" applyNumberFormat="0" applyFill="0" applyBorder="0" applyAlignment="0" applyProtection="0"/>
    <xf numFmtId="164" fontId="29" fillId="0" borderId="0" applyFont="0" applyFill="0" applyBorder="0" applyAlignment="0" applyProtection="0"/>
    <xf numFmtId="164" fontId="24" fillId="0" borderId="0" applyFont="0" applyFill="0" applyBorder="0" applyAlignment="0" applyProtection="0"/>
    <xf numFmtId="9" fontId="29" fillId="0" borderId="0" applyFont="0" applyFill="0" applyBorder="0" applyAlignment="0" applyProtection="0"/>
    <xf numFmtId="0" fontId="52" fillId="0" borderId="0" applyNumberFormat="0" applyFill="0" applyBorder="0" applyAlignment="0" applyProtection="0"/>
    <xf numFmtId="0" fontId="24" fillId="0" borderId="0"/>
    <xf numFmtId="0" fontId="53" fillId="0" borderId="0" applyNumberFormat="0" applyFill="0" applyBorder="0">
      <alignment horizontal="left" vertical="top"/>
      <protection locked="0"/>
    </xf>
    <xf numFmtId="164" fontId="24" fillId="0" borderId="0" applyFont="0" applyFill="0" applyBorder="0" applyAlignment="0" applyProtection="0"/>
    <xf numFmtId="0" fontId="29" fillId="0" borderId="0"/>
    <xf numFmtId="164" fontId="24" fillId="0" borderId="0" applyFont="0" applyFill="0" applyBorder="0" applyAlignment="0" applyProtection="0"/>
    <xf numFmtId="169" fontId="24" fillId="0" borderId="0" applyFont="0" applyFill="0" applyBorder="0" applyAlignment="0" applyProtection="0"/>
    <xf numFmtId="170" fontId="54" fillId="0" borderId="0" applyFont="0" applyFill="0" applyBorder="0" applyAlignment="0" applyProtection="0"/>
    <xf numFmtId="164" fontId="24" fillId="0" borderId="0" applyFont="0" applyFill="0" applyBorder="0" applyAlignment="0" applyProtection="0"/>
    <xf numFmtId="0" fontId="23" fillId="0" borderId="0"/>
    <xf numFmtId="0" fontId="57" fillId="0" borderId="0" applyNumberFormat="0" applyFill="0" applyBorder="0" applyAlignment="0" applyProtection="0"/>
    <xf numFmtId="0" fontId="22" fillId="0" borderId="0"/>
    <xf numFmtId="165" fontId="29" fillId="0" borderId="0"/>
    <xf numFmtId="0" fontId="21" fillId="0" borderId="0"/>
    <xf numFmtId="0" fontId="64"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20" fillId="0" borderId="0"/>
    <xf numFmtId="164" fontId="20" fillId="0" borderId="0" applyFont="0" applyFill="0" applyBorder="0" applyAlignment="0" applyProtection="0"/>
    <xf numFmtId="164" fontId="20" fillId="0" borderId="0" applyFont="0" applyFill="0" applyBorder="0" applyAlignment="0" applyProtection="0"/>
    <xf numFmtId="9" fontId="20"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164" fontId="35"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164" fontId="35"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164" fontId="33"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29"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29"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7" fillId="0" borderId="0"/>
    <xf numFmtId="0" fontId="16" fillId="0" borderId="0"/>
    <xf numFmtId="9" fontId="16" fillId="0" borderId="0" applyFont="0" applyFill="0" applyBorder="0" applyAlignment="0" applyProtection="0"/>
    <xf numFmtId="164" fontId="16"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29"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29"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13"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164" fontId="13" fillId="0" borderId="0" applyFont="0" applyFill="0" applyBorder="0" applyAlignment="0" applyProtection="0"/>
    <xf numFmtId="0" fontId="12" fillId="0" borderId="0"/>
    <xf numFmtId="164" fontId="11"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8" fillId="0" borderId="0"/>
    <xf numFmtId="164" fontId="8" fillId="0" borderId="0" applyFont="0" applyFill="0" applyBorder="0" applyAlignment="0" applyProtection="0"/>
    <xf numFmtId="165" fontId="29"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164" fontId="5"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260">
    <xf numFmtId="165" fontId="0" fillId="0" borderId="0" xfId="0"/>
    <xf numFmtId="3" fontId="30" fillId="2" borderId="0" xfId="0" applyNumberFormat="1" applyFont="1" applyFill="1" applyAlignment="1">
      <alignment horizontal="center" vertical="center" wrapText="1"/>
    </xf>
    <xf numFmtId="165" fontId="31" fillId="0" borderId="0" xfId="0" applyFont="1"/>
    <xf numFmtId="0" fontId="56" fillId="0" borderId="0" xfId="82" applyFont="1"/>
    <xf numFmtId="0" fontId="23" fillId="0" borderId="0" xfId="82"/>
    <xf numFmtId="0" fontId="31" fillId="0" borderId="0" xfId="82" applyFont="1"/>
    <xf numFmtId="0" fontId="58" fillId="0" borderId="0" xfId="83" applyFont="1"/>
    <xf numFmtId="0" fontId="34" fillId="0" borderId="0" xfId="82" applyFont="1"/>
    <xf numFmtId="0" fontId="59" fillId="0" borderId="0" xfId="82" applyFont="1"/>
    <xf numFmtId="167" fontId="32" fillId="0" borderId="0" xfId="3" applyNumberFormat="1" applyFont="1" applyAlignment="1">
      <alignment horizontal="left" vertical="center"/>
    </xf>
    <xf numFmtId="165" fontId="31" fillId="2" borderId="0" xfId="0" applyFont="1" applyFill="1"/>
    <xf numFmtId="3" fontId="31" fillId="2" borderId="0" xfId="0" applyNumberFormat="1" applyFont="1" applyFill="1" applyAlignment="1">
      <alignment horizontal="center"/>
    </xf>
    <xf numFmtId="165" fontId="31" fillId="2" borderId="0" xfId="0" applyFont="1" applyFill="1" applyAlignment="1">
      <alignment horizontal="center"/>
    </xf>
    <xf numFmtId="165" fontId="32" fillId="2" borderId="0" xfId="0" applyFont="1" applyFill="1"/>
    <xf numFmtId="167" fontId="32" fillId="2" borderId="0" xfId="1" applyNumberFormat="1" applyFont="1" applyFill="1" applyBorder="1" applyAlignment="1">
      <alignment horizontal="center" vertical="center" wrapText="1"/>
    </xf>
    <xf numFmtId="14" fontId="63" fillId="0" borderId="0" xfId="82" applyNumberFormat="1" applyFont="1" applyAlignment="1">
      <alignment horizontal="left"/>
    </xf>
    <xf numFmtId="0" fontId="30" fillId="0" borderId="0" xfId="3" applyFont="1" applyAlignment="1">
      <alignment textRotation="90"/>
    </xf>
    <xf numFmtId="0" fontId="30" fillId="0" borderId="0" xfId="3" applyFont="1" applyAlignment="1">
      <alignment vertical="center" textRotation="90"/>
    </xf>
    <xf numFmtId="0" fontId="31" fillId="0" borderId="0" xfId="86" applyFont="1"/>
    <xf numFmtId="0" fontId="65" fillId="0" borderId="0" xfId="83" applyFont="1"/>
    <xf numFmtId="0" fontId="32" fillId="0" borderId="0" xfId="3" applyFont="1" applyAlignment="1">
      <alignment horizontal="left"/>
    </xf>
    <xf numFmtId="0" fontId="31" fillId="0" borderId="12" xfId="3" applyFont="1" applyBorder="1" applyAlignment="1">
      <alignment textRotation="90"/>
    </xf>
    <xf numFmtId="0" fontId="31" fillId="0" borderId="13" xfId="3" applyFont="1" applyBorder="1" applyAlignment="1">
      <alignment textRotation="90"/>
    </xf>
    <xf numFmtId="0" fontId="30" fillId="0" borderId="13" xfId="3" applyFont="1" applyBorder="1" applyAlignment="1">
      <alignment textRotation="90"/>
    </xf>
    <xf numFmtId="0" fontId="30" fillId="0" borderId="13" xfId="3" applyFont="1" applyBorder="1" applyAlignment="1">
      <alignment vertical="center" textRotation="90"/>
    </xf>
    <xf numFmtId="165" fontId="66" fillId="2" borderId="0" xfId="0" applyFont="1" applyFill="1" applyAlignment="1">
      <alignment horizontal="right"/>
    </xf>
    <xf numFmtId="165" fontId="69" fillId="2" borderId="0" xfId="0" applyFont="1" applyFill="1" applyAlignment="1">
      <alignment horizontal="right"/>
    </xf>
    <xf numFmtId="165" fontId="69" fillId="2" borderId="0" xfId="0" applyFont="1" applyFill="1" applyAlignment="1">
      <alignment horizontal="center"/>
    </xf>
    <xf numFmtId="165" fontId="0" fillId="2" borderId="0" xfId="0" applyFill="1"/>
    <xf numFmtId="3" fontId="73" fillId="2" borderId="0" xfId="0" applyNumberFormat="1" applyFont="1" applyFill="1" applyAlignment="1">
      <alignment horizontal="right"/>
    </xf>
    <xf numFmtId="3" fontId="75" fillId="2" borderId="0" xfId="0" applyNumberFormat="1" applyFont="1" applyFill="1" applyAlignment="1">
      <alignment vertical="center" wrapText="1"/>
    </xf>
    <xf numFmtId="165" fontId="73" fillId="2" borderId="0" xfId="0" applyFont="1" applyFill="1" applyAlignment="1">
      <alignment horizontal="right"/>
    </xf>
    <xf numFmtId="3" fontId="67" fillId="2" borderId="1" xfId="0" applyNumberFormat="1" applyFont="1" applyFill="1" applyBorder="1" applyAlignment="1">
      <alignment horizontal="center" vertical="center" wrapText="1"/>
    </xf>
    <xf numFmtId="3" fontId="69" fillId="2" borderId="20" xfId="0" applyNumberFormat="1" applyFont="1" applyFill="1" applyBorder="1" applyAlignment="1">
      <alignment horizontal="center"/>
    </xf>
    <xf numFmtId="3" fontId="78" fillId="2" borderId="0" xfId="0" applyNumberFormat="1" applyFont="1" applyFill="1" applyAlignment="1">
      <alignment horizontal="center"/>
    </xf>
    <xf numFmtId="3" fontId="78" fillId="2" borderId="2" xfId="0" applyNumberFormat="1" applyFont="1" applyFill="1" applyBorder="1" applyAlignment="1">
      <alignment horizontal="center"/>
    </xf>
    <xf numFmtId="165" fontId="68" fillId="2" borderId="0" xfId="0" applyFont="1" applyFill="1" applyAlignment="1">
      <alignment horizontal="right" wrapText="1"/>
    </xf>
    <xf numFmtId="0" fontId="31" fillId="0" borderId="0" xfId="86" applyFont="1" applyAlignment="1">
      <alignment horizontal="center" wrapText="1"/>
    </xf>
    <xf numFmtId="165" fontId="31" fillId="0" borderId="0" xfId="0" applyFont="1" applyAlignment="1">
      <alignment horizontal="center"/>
    </xf>
    <xf numFmtId="0" fontId="34" fillId="0" borderId="0" xfId="86" applyFont="1"/>
    <xf numFmtId="165" fontId="80" fillId="0" borderId="0" xfId="0" applyFont="1"/>
    <xf numFmtId="165" fontId="52" fillId="0" borderId="0" xfId="0" applyFont="1"/>
    <xf numFmtId="168" fontId="81" fillId="0" borderId="0" xfId="90" applyNumberFormat="1" applyFont="1" applyBorder="1"/>
    <xf numFmtId="168" fontId="80" fillId="0" borderId="0" xfId="0" applyNumberFormat="1" applyFont="1"/>
    <xf numFmtId="165" fontId="82" fillId="0" borderId="0" xfId="0" applyFont="1" applyAlignment="1">
      <alignment vertical="center" wrapText="1"/>
    </xf>
    <xf numFmtId="165" fontId="83" fillId="0" borderId="0" xfId="0" applyFont="1" applyAlignment="1">
      <alignment horizontal="center" vertical="center" wrapText="1"/>
    </xf>
    <xf numFmtId="165" fontId="0" fillId="0" borderId="0" xfId="0" applyAlignment="1">
      <alignment horizontal="centerContinuous"/>
    </xf>
    <xf numFmtId="165" fontId="80" fillId="0" borderId="0" xfId="0" applyFont="1" applyAlignment="1">
      <alignment vertical="center" wrapText="1"/>
    </xf>
    <xf numFmtId="3" fontId="80" fillId="0" borderId="0" xfId="0" applyNumberFormat="1" applyFont="1" applyAlignment="1">
      <alignment horizontal="right" vertical="center"/>
    </xf>
    <xf numFmtId="165" fontId="52" fillId="0" borderId="0" xfId="0" applyFont="1" applyAlignment="1">
      <alignment horizontal="centerContinuous"/>
    </xf>
    <xf numFmtId="168" fontId="81" fillId="0" borderId="0" xfId="91" applyNumberFormat="1" applyFont="1" applyFill="1" applyBorder="1"/>
    <xf numFmtId="165" fontId="66" fillId="0" borderId="0" xfId="0" applyFont="1" applyAlignment="1">
      <alignment horizontal="right"/>
    </xf>
    <xf numFmtId="3" fontId="66" fillId="0" borderId="0" xfId="0" applyNumberFormat="1" applyFont="1" applyAlignment="1">
      <alignment horizontal="right"/>
    </xf>
    <xf numFmtId="165" fontId="52" fillId="0" borderId="0" xfId="0" quotePrefix="1" applyFont="1"/>
    <xf numFmtId="165" fontId="52" fillId="0" borderId="0" xfId="0" quotePrefix="1" applyFont="1" applyAlignment="1">
      <alignment horizontal="centerContinuous"/>
    </xf>
    <xf numFmtId="165" fontId="81" fillId="0" borderId="0" xfId="0" applyFont="1" applyAlignment="1">
      <alignment horizontal="centerContinuous"/>
    </xf>
    <xf numFmtId="164" fontId="85" fillId="0" borderId="0" xfId="91" applyFont="1"/>
    <xf numFmtId="164" fontId="86" fillId="0" borderId="0" xfId="91" applyFont="1" applyFill="1"/>
    <xf numFmtId="3" fontId="80" fillId="0" borderId="0" xfId="0" applyNumberFormat="1" applyFont="1"/>
    <xf numFmtId="168" fontId="80" fillId="0" borderId="0" xfId="91" applyNumberFormat="1" applyFont="1"/>
    <xf numFmtId="165" fontId="82" fillId="0" borderId="0" xfId="0" applyFont="1" applyAlignment="1">
      <alignment vertical="center"/>
    </xf>
    <xf numFmtId="165" fontId="83" fillId="0" borderId="0" xfId="0" applyFont="1" applyAlignment="1">
      <alignment horizontal="centerContinuous" vertical="center" wrapText="1"/>
    </xf>
    <xf numFmtId="165" fontId="83" fillId="0" borderId="0" xfId="0" applyFont="1" applyAlignment="1">
      <alignment vertical="center"/>
    </xf>
    <xf numFmtId="168" fontId="83" fillId="0" borderId="0" xfId="91" applyNumberFormat="1" applyFont="1" applyBorder="1" applyAlignment="1">
      <alignment horizontal="right" vertical="center"/>
    </xf>
    <xf numFmtId="165" fontId="87" fillId="0" borderId="0" xfId="0" applyFont="1" applyAlignment="1">
      <alignment vertical="center"/>
    </xf>
    <xf numFmtId="3" fontId="82" fillId="0" borderId="0" xfId="0" applyNumberFormat="1" applyFont="1" applyAlignment="1">
      <alignment horizontal="right" vertical="center"/>
    </xf>
    <xf numFmtId="165" fontId="83" fillId="0" borderId="0" xfId="0" applyFont="1" applyAlignment="1">
      <alignment vertical="center" wrapText="1"/>
    </xf>
    <xf numFmtId="14" fontId="79" fillId="0" borderId="0" xfId="0" quotePrefix="1" applyNumberFormat="1" applyFont="1" applyAlignment="1">
      <alignment horizontal="center" wrapText="1"/>
    </xf>
    <xf numFmtId="168" fontId="82" fillId="0" borderId="0" xfId="9" applyNumberFormat="1" applyFont="1" applyBorder="1" applyAlignment="1">
      <alignment horizontal="right" vertical="center"/>
    </xf>
    <xf numFmtId="168" fontId="83" fillId="0" borderId="0" xfId="9" applyNumberFormat="1" applyFont="1" applyBorder="1" applyAlignment="1">
      <alignment horizontal="right" vertical="center"/>
    </xf>
    <xf numFmtId="165" fontId="89" fillId="2" borderId="0" xfId="0" applyFont="1" applyFill="1"/>
    <xf numFmtId="165" fontId="90" fillId="2" borderId="0" xfId="0" applyFont="1" applyFill="1"/>
    <xf numFmtId="165" fontId="71" fillId="2" borderId="17" xfId="0" applyFont="1" applyFill="1" applyBorder="1" applyAlignment="1">
      <alignment horizontal="center" vertical="center" wrapText="1"/>
    </xf>
    <xf numFmtId="3" fontId="71" fillId="2" borderId="17" xfId="0" applyNumberFormat="1" applyFont="1" applyFill="1" applyBorder="1" applyAlignment="1">
      <alignment horizontal="center" vertical="center" wrapText="1"/>
    </xf>
    <xf numFmtId="3" fontId="67" fillId="2" borderId="23" xfId="0" applyNumberFormat="1" applyFont="1" applyFill="1" applyBorder="1" applyAlignment="1">
      <alignment horizontal="center" vertical="center" wrapText="1"/>
    </xf>
    <xf numFmtId="3" fontId="67" fillId="2" borderId="17" xfId="0" applyNumberFormat="1" applyFont="1" applyFill="1" applyBorder="1" applyAlignment="1">
      <alignment horizontal="center" vertical="center" wrapText="1"/>
    </xf>
    <xf numFmtId="165" fontId="70" fillId="2" borderId="22" xfId="0" applyFont="1" applyFill="1" applyBorder="1" applyAlignment="1">
      <alignment horizontal="center"/>
    </xf>
    <xf numFmtId="3" fontId="70" fillId="2" borderId="22" xfId="0" applyNumberFormat="1" applyFont="1" applyFill="1" applyBorder="1" applyAlignment="1">
      <alignment horizontal="center"/>
    </xf>
    <xf numFmtId="3" fontId="69" fillId="2" borderId="21" xfId="0" applyNumberFormat="1" applyFont="1" applyFill="1" applyBorder="1" applyAlignment="1">
      <alignment horizontal="center"/>
    </xf>
    <xf numFmtId="3" fontId="69" fillId="2" borderId="22" xfId="0" applyNumberFormat="1" applyFont="1" applyFill="1" applyBorder="1" applyAlignment="1">
      <alignment horizontal="center"/>
    </xf>
    <xf numFmtId="165" fontId="77" fillId="2" borderId="19" xfId="0" applyFont="1" applyFill="1" applyBorder="1" applyAlignment="1">
      <alignment horizontal="center"/>
    </xf>
    <xf numFmtId="3" fontId="77" fillId="2" borderId="19" xfId="0" applyNumberFormat="1" applyFont="1" applyFill="1" applyBorder="1" applyAlignment="1">
      <alignment horizontal="center"/>
    </xf>
    <xf numFmtId="3" fontId="78" fillId="2" borderId="18" xfId="0" applyNumberFormat="1" applyFont="1" applyFill="1" applyBorder="1" applyAlignment="1">
      <alignment horizontal="center"/>
    </xf>
    <xf numFmtId="3" fontId="78" fillId="2" borderId="19" xfId="0" applyNumberFormat="1" applyFont="1" applyFill="1" applyBorder="1" applyAlignment="1">
      <alignment horizontal="center"/>
    </xf>
    <xf numFmtId="165" fontId="77" fillId="2" borderId="24" xfId="0" applyFont="1" applyFill="1" applyBorder="1" applyAlignment="1">
      <alignment horizontal="center"/>
    </xf>
    <xf numFmtId="3" fontId="77" fillId="2" borderId="24" xfId="0" applyNumberFormat="1" applyFont="1" applyFill="1" applyBorder="1" applyAlignment="1">
      <alignment horizontal="center"/>
    </xf>
    <xf numFmtId="3" fontId="78" fillId="2" borderId="25" xfId="0" applyNumberFormat="1" applyFont="1" applyFill="1" applyBorder="1" applyAlignment="1">
      <alignment horizontal="center"/>
    </xf>
    <xf numFmtId="3" fontId="78" fillId="2" borderId="24" xfId="0" applyNumberFormat="1" applyFont="1" applyFill="1" applyBorder="1" applyAlignment="1">
      <alignment horizontal="center"/>
    </xf>
    <xf numFmtId="168" fontId="0" fillId="0" borderId="0" xfId="0" applyNumberFormat="1"/>
    <xf numFmtId="14" fontId="83" fillId="0" borderId="0" xfId="0" applyNumberFormat="1" applyFont="1" applyAlignment="1">
      <alignment horizontal="center" vertical="center" wrapText="1"/>
    </xf>
    <xf numFmtId="165" fontId="82" fillId="0" borderId="0" xfId="0" applyFont="1" applyAlignment="1">
      <alignment wrapText="1"/>
    </xf>
    <xf numFmtId="165" fontId="82" fillId="0" borderId="0" xfId="0" applyFont="1" applyAlignment="1">
      <alignment horizontal="right" wrapText="1"/>
    </xf>
    <xf numFmtId="164" fontId="82" fillId="0" borderId="0" xfId="91" applyFont="1" applyAlignment="1">
      <alignment horizontal="right" wrapText="1"/>
    </xf>
    <xf numFmtId="164" fontId="82" fillId="0" borderId="0" xfId="91" applyFont="1" applyAlignment="1">
      <alignment wrapText="1"/>
    </xf>
    <xf numFmtId="168" fontId="79" fillId="0" borderId="0" xfId="91" applyNumberFormat="1" applyFont="1" applyBorder="1"/>
    <xf numFmtId="168" fontId="80" fillId="0" borderId="0" xfId="91" applyNumberFormat="1" applyFont="1" applyBorder="1" applyAlignment="1">
      <alignment horizontal="right" vertical="center" wrapText="1"/>
    </xf>
    <xf numFmtId="168" fontId="83" fillId="0" borderId="0" xfId="9" applyNumberFormat="1" applyFont="1" applyBorder="1" applyAlignment="1">
      <alignment horizontal="right"/>
    </xf>
    <xf numFmtId="14" fontId="83" fillId="0" borderId="0" xfId="0" applyNumberFormat="1" applyFont="1" applyAlignment="1">
      <alignment horizontal="center" vertical="center"/>
    </xf>
    <xf numFmtId="165" fontId="79" fillId="0" borderId="0" xfId="0" applyFont="1" applyAlignment="1">
      <alignment horizontal="right" vertical="center"/>
    </xf>
    <xf numFmtId="165" fontId="82" fillId="0" borderId="0" xfId="0" applyFont="1"/>
    <xf numFmtId="165" fontId="83" fillId="0" borderId="0" xfId="0" applyFont="1"/>
    <xf numFmtId="3" fontId="79" fillId="0" borderId="0" xfId="0" applyNumberFormat="1" applyFont="1" applyAlignment="1">
      <alignment horizontal="right" vertical="center"/>
    </xf>
    <xf numFmtId="166" fontId="79" fillId="0" borderId="0" xfId="0" applyNumberFormat="1" applyFont="1" applyAlignment="1">
      <alignment horizontal="right" vertical="center"/>
    </xf>
    <xf numFmtId="164" fontId="80" fillId="0" borderId="0" xfId="91" applyFont="1" applyFill="1" applyBorder="1" applyAlignment="1">
      <alignment horizontal="right" vertical="center"/>
    </xf>
    <xf numFmtId="164" fontId="80" fillId="0" borderId="0" xfId="91" applyFont="1" applyBorder="1" applyAlignment="1">
      <alignment horizontal="right" vertical="center"/>
    </xf>
    <xf numFmtId="165" fontId="79" fillId="0" borderId="0" xfId="0" applyFont="1" applyAlignment="1">
      <alignment vertical="center"/>
    </xf>
    <xf numFmtId="14" fontId="83" fillId="0" borderId="0" xfId="0" applyNumberFormat="1" applyFont="1" applyAlignment="1">
      <alignment horizontal="centerContinuous" vertical="center" wrapText="1"/>
    </xf>
    <xf numFmtId="3" fontId="80" fillId="0" borderId="0" xfId="0" applyNumberFormat="1" applyFont="1" applyAlignment="1">
      <alignment horizontal="right" vertical="center" wrapText="1"/>
    </xf>
    <xf numFmtId="164" fontId="80" fillId="0" borderId="0" xfId="0" applyNumberFormat="1" applyFont="1"/>
    <xf numFmtId="164" fontId="29" fillId="2" borderId="0" xfId="0" applyNumberFormat="1" applyFont="1" applyFill="1"/>
    <xf numFmtId="165" fontId="49" fillId="0" borderId="0" xfId="0" applyFont="1" applyAlignment="1">
      <alignment horizontal="center" vertical="center"/>
    </xf>
    <xf numFmtId="168" fontId="29" fillId="0" borderId="0" xfId="91" applyNumberFormat="1" applyFont="1" applyFill="1"/>
    <xf numFmtId="164" fontId="87" fillId="0" borderId="0" xfId="0" applyNumberFormat="1" applyFont="1"/>
    <xf numFmtId="49" fontId="30" fillId="34" borderId="0" xfId="0" applyNumberFormat="1" applyFont="1" applyFill="1" applyAlignment="1">
      <alignment horizontal="left" vertical="center"/>
    </xf>
    <xf numFmtId="176" fontId="30" fillId="34" borderId="0" xfId="0" applyNumberFormat="1" applyFont="1" applyFill="1" applyAlignment="1">
      <alignment horizontal="center" vertical="center"/>
    </xf>
    <xf numFmtId="49" fontId="30" fillId="34" borderId="0" xfId="0" applyNumberFormat="1" applyFont="1" applyFill="1" applyAlignment="1">
      <alignment horizontal="center" vertical="center"/>
    </xf>
    <xf numFmtId="171" fontId="30" fillId="34" borderId="0" xfId="0" applyNumberFormat="1" applyFont="1" applyFill="1" applyAlignment="1">
      <alignment horizontal="center" vertical="center"/>
    </xf>
    <xf numFmtId="165" fontId="61" fillId="35" borderId="0" xfId="0" applyFont="1" applyFill="1" applyAlignment="1">
      <alignment horizontal="left" vertical="center" indent="1"/>
    </xf>
    <xf numFmtId="166" fontId="31" fillId="35" borderId="0" xfId="4" applyNumberFormat="1" applyFont="1" applyFill="1" applyBorder="1" applyAlignment="1">
      <alignment horizontal="center" vertical="center" wrapText="1"/>
    </xf>
    <xf numFmtId="165" fontId="60" fillId="36" borderId="0" xfId="0" applyFont="1" applyFill="1" applyAlignment="1">
      <alignment vertical="center"/>
    </xf>
    <xf numFmtId="166" fontId="30" fillId="36" borderId="0" xfId="4" applyNumberFormat="1" applyFont="1" applyFill="1" applyBorder="1" applyAlignment="1">
      <alignment horizontal="center" vertical="center" wrapText="1"/>
    </xf>
    <xf numFmtId="166" fontId="30" fillId="35" borderId="0" xfId="4" applyNumberFormat="1" applyFont="1" applyFill="1" applyBorder="1" applyAlignment="1">
      <alignment horizontal="center" vertical="center" wrapText="1"/>
    </xf>
    <xf numFmtId="165" fontId="32" fillId="2" borderId="0" xfId="0" applyFont="1" applyFill="1" applyAlignment="1">
      <alignment horizontal="left" vertical="center" indent="2"/>
    </xf>
    <xf numFmtId="165" fontId="60" fillId="36" borderId="0" xfId="0" applyFont="1" applyFill="1" applyAlignment="1">
      <alignment vertical="center" wrapText="1"/>
    </xf>
    <xf numFmtId="165" fontId="60" fillId="36" borderId="26" xfId="0" applyFont="1" applyFill="1" applyBorder="1" applyAlignment="1">
      <alignment vertical="center"/>
    </xf>
    <xf numFmtId="166" fontId="30" fillId="36" borderId="26" xfId="4" applyNumberFormat="1" applyFont="1" applyFill="1" applyBorder="1" applyAlignment="1">
      <alignment horizontal="center" vertical="center" wrapText="1"/>
    </xf>
    <xf numFmtId="166" fontId="30" fillId="36" borderId="0" xfId="4" applyNumberFormat="1" applyFont="1" applyFill="1" applyBorder="1" applyAlignment="1">
      <alignment horizontal="left" vertical="center" wrapText="1"/>
    </xf>
    <xf numFmtId="9" fontId="62" fillId="34" borderId="0" xfId="0" applyNumberFormat="1" applyFont="1" applyFill="1"/>
    <xf numFmtId="0" fontId="30" fillId="34" borderId="0" xfId="87" applyFont="1" applyFill="1" applyAlignment="1">
      <alignment horizontal="center" vertical="center"/>
    </xf>
    <xf numFmtId="172" fontId="31" fillId="35" borderId="0" xfId="88" applyNumberFormat="1" applyFont="1" applyFill="1" applyBorder="1" applyAlignment="1">
      <alignment horizontal="left" vertical="center" wrapText="1"/>
    </xf>
    <xf numFmtId="172" fontId="31" fillId="35" borderId="0" xfId="88" applyNumberFormat="1" applyFont="1" applyFill="1" applyBorder="1" applyAlignment="1">
      <alignment horizontal="center" vertical="center" wrapText="1"/>
    </xf>
    <xf numFmtId="166" fontId="93" fillId="0" borderId="0" xfId="0" applyNumberFormat="1" applyFont="1"/>
    <xf numFmtId="166" fontId="30" fillId="34" borderId="0" xfId="0" applyNumberFormat="1" applyFont="1" applyFill="1" applyAlignment="1">
      <alignment horizontal="center" vertical="center"/>
    </xf>
    <xf numFmtId="165" fontId="60" fillId="36" borderId="13" xfId="0" applyFont="1" applyFill="1" applyBorder="1" applyAlignment="1">
      <alignment vertical="center" wrapText="1"/>
    </xf>
    <xf numFmtId="166" fontId="30" fillId="36" borderId="0" xfId="88" applyNumberFormat="1" applyFont="1" applyFill="1" applyBorder="1" applyAlignment="1">
      <alignment horizontal="center" vertical="center" wrapText="1"/>
    </xf>
    <xf numFmtId="165" fontId="61" fillId="35" borderId="13" xfId="0" applyFont="1" applyFill="1" applyBorder="1" applyAlignment="1">
      <alignment horizontal="left" vertical="center" wrapText="1" indent="2"/>
    </xf>
    <xf numFmtId="166" fontId="31" fillId="35" borderId="0" xfId="88" applyNumberFormat="1" applyFont="1" applyFill="1" applyBorder="1" applyAlignment="1">
      <alignment horizontal="center" vertical="center" wrapText="1"/>
    </xf>
    <xf numFmtId="166" fontId="84" fillId="0" borderId="0" xfId="91" applyNumberFormat="1" applyFont="1" applyFill="1" applyBorder="1" applyAlignment="1">
      <alignment horizontal="right"/>
    </xf>
    <xf numFmtId="165" fontId="93" fillId="0" borderId="0" xfId="0" applyFont="1"/>
    <xf numFmtId="166" fontId="30" fillId="34" borderId="0" xfId="0" applyNumberFormat="1" applyFont="1" applyFill="1" applyAlignment="1">
      <alignment horizontal="center" vertical="center" wrapText="1"/>
    </xf>
    <xf numFmtId="165" fontId="30" fillId="34" borderId="0" xfId="0" applyFont="1" applyFill="1" applyAlignment="1">
      <alignment horizontal="center"/>
    </xf>
    <xf numFmtId="165" fontId="30" fillId="34" borderId="0" xfId="0" applyFont="1" applyFill="1" applyAlignment="1">
      <alignment horizontal="center" vertical="center"/>
    </xf>
    <xf numFmtId="165" fontId="84" fillId="0" borderId="0" xfId="0" applyFont="1"/>
    <xf numFmtId="165" fontId="30" fillId="34" borderId="0" xfId="0" applyFont="1" applyFill="1" applyAlignment="1">
      <alignment horizontal="centerContinuous" vertical="center"/>
    </xf>
    <xf numFmtId="167" fontId="30" fillId="36" borderId="0" xfId="4" applyNumberFormat="1" applyFont="1" applyFill="1" applyBorder="1" applyAlignment="1">
      <alignment horizontal="center" vertical="center" wrapText="1"/>
    </xf>
    <xf numFmtId="49" fontId="30" fillId="34" borderId="0" xfId="0" applyNumberFormat="1" applyFont="1" applyFill="1" applyAlignment="1">
      <alignment horizontal="center" vertical="center" wrapText="1"/>
    </xf>
    <xf numFmtId="49" fontId="31" fillId="34" borderId="0" xfId="0" applyNumberFormat="1" applyFont="1" applyFill="1" applyAlignment="1">
      <alignment horizontal="center" vertical="center" wrapText="1"/>
    </xf>
    <xf numFmtId="165" fontId="81" fillId="0" borderId="0" xfId="0" applyFont="1"/>
    <xf numFmtId="168" fontId="81" fillId="0" borderId="0" xfId="91" applyNumberFormat="1" applyFont="1" applyBorder="1"/>
    <xf numFmtId="166" fontId="30" fillId="0" borderId="0" xfId="4" applyNumberFormat="1" applyFont="1" applyFill="1" applyBorder="1" applyAlignment="1">
      <alignment horizontal="left" vertical="center" wrapText="1"/>
    </xf>
    <xf numFmtId="166" fontId="30" fillId="0" borderId="0" xfId="4" applyNumberFormat="1" applyFont="1" applyFill="1" applyBorder="1" applyAlignment="1">
      <alignment horizontal="center" vertical="center" wrapText="1"/>
    </xf>
    <xf numFmtId="165" fontId="30" fillId="34" borderId="0" xfId="0" applyFont="1" applyFill="1" applyAlignment="1">
      <alignment horizontal="centerContinuous" vertical="center" wrapText="1"/>
    </xf>
    <xf numFmtId="3" fontId="71" fillId="0" borderId="0" xfId="0" applyNumberFormat="1" applyFont="1"/>
    <xf numFmtId="166" fontId="30" fillId="2" borderId="0" xfId="4" applyNumberFormat="1" applyFont="1" applyFill="1" applyBorder="1" applyAlignment="1">
      <alignment horizontal="left" vertical="center" wrapText="1"/>
    </xf>
    <xf numFmtId="166" fontId="30" fillId="2" borderId="0" xfId="4" applyNumberFormat="1" applyFont="1" applyFill="1" applyBorder="1" applyAlignment="1">
      <alignment horizontal="center" vertical="center" wrapText="1"/>
    </xf>
    <xf numFmtId="49" fontId="30" fillId="34" borderId="0" xfId="0" applyNumberFormat="1" applyFont="1" applyFill="1" applyAlignment="1">
      <alignment horizontal="centerContinuous" vertical="center"/>
    </xf>
    <xf numFmtId="49" fontId="30" fillId="34" borderId="30" xfId="0" applyNumberFormat="1" applyFont="1" applyFill="1" applyBorder="1" applyAlignment="1">
      <alignment horizontal="centerContinuous" vertical="center"/>
    </xf>
    <xf numFmtId="49" fontId="30" fillId="34" borderId="29" xfId="0" applyNumberFormat="1" applyFont="1" applyFill="1" applyBorder="1" applyAlignment="1">
      <alignment horizontal="centerContinuous" vertical="center"/>
    </xf>
    <xf numFmtId="49" fontId="30" fillId="34" borderId="31" xfId="0" applyNumberFormat="1" applyFont="1" applyFill="1" applyBorder="1" applyAlignment="1">
      <alignment horizontal="centerContinuous" vertical="center"/>
    </xf>
    <xf numFmtId="49" fontId="31" fillId="34" borderId="15" xfId="0" applyNumberFormat="1" applyFont="1" applyFill="1" applyBorder="1" applyAlignment="1">
      <alignment horizontal="center" vertical="center" wrapText="1"/>
    </xf>
    <xf numFmtId="166" fontId="31" fillId="35" borderId="14" xfId="4" applyNumberFormat="1" applyFont="1" applyFill="1" applyBorder="1" applyAlignment="1">
      <alignment horizontal="center" vertical="center" wrapText="1"/>
    </xf>
    <xf numFmtId="166" fontId="31" fillId="35" borderId="15" xfId="4" applyNumberFormat="1" applyFont="1" applyFill="1" applyBorder="1" applyAlignment="1">
      <alignment horizontal="center" vertical="center" wrapText="1"/>
    </xf>
    <xf numFmtId="166" fontId="30" fillId="36" borderId="14" xfId="4" applyNumberFormat="1" applyFont="1" applyFill="1" applyBorder="1" applyAlignment="1">
      <alignment horizontal="center" vertical="center" wrapText="1"/>
    </xf>
    <xf numFmtId="166" fontId="30" fillId="36" borderId="15" xfId="4" applyNumberFormat="1" applyFont="1" applyFill="1" applyBorder="1" applyAlignment="1">
      <alignment horizontal="center" vertical="center" wrapText="1"/>
    </xf>
    <xf numFmtId="166" fontId="30" fillId="36" borderId="32" xfId="4" applyNumberFormat="1" applyFont="1" applyFill="1" applyBorder="1" applyAlignment="1">
      <alignment horizontal="center" vertical="center" wrapText="1"/>
    </xf>
    <xf numFmtId="166" fontId="30" fillId="36" borderId="33" xfId="4" applyNumberFormat="1" applyFont="1" applyFill="1" applyBorder="1" applyAlignment="1">
      <alignment horizontal="center" vertical="center" wrapText="1"/>
    </xf>
    <xf numFmtId="49" fontId="30" fillId="2" borderId="0" xfId="0" applyNumberFormat="1" applyFont="1" applyFill="1" applyAlignment="1">
      <alignment horizontal="center" vertical="center" wrapText="1"/>
    </xf>
    <xf numFmtId="49" fontId="30" fillId="2" borderId="0" xfId="0" applyNumberFormat="1" applyFont="1" applyFill="1" applyAlignment="1">
      <alignment horizontal="center" vertical="center"/>
    </xf>
    <xf numFmtId="172" fontId="31" fillId="2" borderId="0" xfId="88" applyNumberFormat="1" applyFont="1" applyFill="1" applyBorder="1" applyAlignment="1">
      <alignment horizontal="left" vertical="center" wrapText="1"/>
    </xf>
    <xf numFmtId="166" fontId="31" fillId="2" borderId="0" xfId="4" applyNumberFormat="1" applyFont="1" applyFill="1" applyBorder="1" applyAlignment="1">
      <alignment horizontal="center" vertical="center" wrapText="1"/>
    </xf>
    <xf numFmtId="0" fontId="30" fillId="36" borderId="0" xfId="4" applyNumberFormat="1" applyFont="1" applyFill="1" applyBorder="1" applyAlignment="1">
      <alignment horizontal="center" vertical="center" wrapText="1"/>
    </xf>
    <xf numFmtId="49" fontId="30" fillId="34" borderId="30" xfId="0" applyNumberFormat="1" applyFont="1" applyFill="1" applyBorder="1" applyAlignment="1">
      <alignment horizontal="centerContinuous" vertical="center" wrapText="1"/>
    </xf>
    <xf numFmtId="49" fontId="30" fillId="34" borderId="31" xfId="0" applyNumberFormat="1" applyFont="1" applyFill="1" applyBorder="1" applyAlignment="1">
      <alignment horizontal="centerContinuous" vertical="center" wrapText="1"/>
    </xf>
    <xf numFmtId="0" fontId="30" fillId="36" borderId="14" xfId="4" applyNumberFormat="1" applyFont="1" applyFill="1" applyBorder="1" applyAlignment="1">
      <alignment horizontal="center" vertical="center" wrapText="1"/>
    </xf>
    <xf numFmtId="49" fontId="30" fillId="34" borderId="29" xfId="0" applyNumberFormat="1" applyFont="1" applyFill="1" applyBorder="1" applyAlignment="1">
      <alignment horizontal="centerContinuous" vertical="center" wrapText="1"/>
    </xf>
    <xf numFmtId="14" fontId="30" fillId="36" borderId="15" xfId="4" applyNumberFormat="1" applyFont="1" applyFill="1" applyBorder="1" applyAlignment="1">
      <alignment horizontal="center" vertical="center" wrapText="1"/>
    </xf>
    <xf numFmtId="172" fontId="31" fillId="35" borderId="14" xfId="88" applyNumberFormat="1" applyFont="1" applyFill="1" applyBorder="1" applyAlignment="1">
      <alignment horizontal="left" vertical="center" wrapText="1"/>
    </xf>
    <xf numFmtId="165" fontId="79" fillId="0" borderId="0" xfId="0" applyFont="1" applyAlignment="1">
      <alignment horizontal="center" vertical="center" wrapText="1"/>
    </xf>
    <xf numFmtId="3" fontId="75" fillId="2" borderId="0" xfId="0" applyNumberFormat="1" applyFont="1" applyFill="1" applyAlignment="1">
      <alignment vertical="center"/>
    </xf>
    <xf numFmtId="165" fontId="73" fillId="2" borderId="0" xfId="0" applyFont="1" applyFill="1" applyAlignment="1">
      <alignment horizontal="left" vertical="top"/>
    </xf>
    <xf numFmtId="165" fontId="72" fillId="2" borderId="0" xfId="0" applyFont="1" applyFill="1"/>
    <xf numFmtId="168" fontId="0" fillId="2" borderId="0" xfId="0" applyNumberFormat="1" applyFill="1"/>
    <xf numFmtId="165" fontId="30" fillId="2" borderId="0" xfId="0" applyFont="1" applyFill="1" applyAlignment="1">
      <alignment horizontal="center" vertical="center"/>
    </xf>
    <xf numFmtId="166" fontId="30" fillId="2" borderId="0" xfId="0" applyNumberFormat="1" applyFont="1" applyFill="1" applyAlignment="1">
      <alignment horizontal="center" vertical="center" wrapText="1"/>
    </xf>
    <xf numFmtId="177" fontId="0" fillId="0" borderId="0" xfId="0" applyNumberFormat="1"/>
    <xf numFmtId="165" fontId="61" fillId="35" borderId="0" xfId="0" applyFont="1" applyFill="1" applyAlignment="1">
      <alignment horizontal="left" vertical="center" wrapText="1"/>
    </xf>
    <xf numFmtId="166" fontId="30" fillId="35" borderId="0" xfId="88" applyNumberFormat="1" applyFont="1" applyFill="1" applyBorder="1" applyAlignment="1">
      <alignment horizontal="center" vertical="center" wrapText="1"/>
    </xf>
    <xf numFmtId="165" fontId="34" fillId="0" borderId="0" xfId="0" applyFont="1"/>
    <xf numFmtId="166" fontId="83" fillId="0" borderId="0" xfId="0" applyNumberFormat="1" applyFont="1" applyAlignment="1">
      <alignment vertical="center"/>
    </xf>
    <xf numFmtId="166" fontId="0" fillId="0" borderId="0" xfId="0" applyNumberFormat="1"/>
    <xf numFmtId="166" fontId="82" fillId="0" borderId="0" xfId="0" applyNumberFormat="1" applyFont="1" applyAlignment="1">
      <alignment horizontal="right" vertical="center"/>
    </xf>
    <xf numFmtId="167" fontId="89" fillId="2" borderId="0" xfId="0" applyNumberFormat="1" applyFont="1" applyFill="1"/>
    <xf numFmtId="172" fontId="31" fillId="35" borderId="0" xfId="88" applyNumberFormat="1" applyFont="1" applyFill="1" applyBorder="1" applyAlignment="1">
      <alignment horizontal="left" vertical="center" wrapText="1" indent="1"/>
    </xf>
    <xf numFmtId="0" fontId="80" fillId="0" borderId="0" xfId="93" applyFont="1"/>
    <xf numFmtId="0" fontId="92" fillId="0" borderId="0" xfId="93" applyFont="1"/>
    <xf numFmtId="165" fontId="61" fillId="36" borderId="13" xfId="0" applyFont="1" applyFill="1" applyBorder="1" applyAlignment="1">
      <alignment vertical="center" wrapText="1"/>
    </xf>
    <xf numFmtId="166" fontId="31" fillId="36" borderId="0" xfId="88" applyNumberFormat="1" applyFont="1" applyFill="1" applyBorder="1" applyAlignment="1">
      <alignment horizontal="center" vertical="center" wrapText="1"/>
    </xf>
    <xf numFmtId="1" fontId="30" fillId="34" borderId="0" xfId="0" applyNumberFormat="1" applyFont="1" applyFill="1" applyAlignment="1">
      <alignment horizontal="center" vertical="center"/>
    </xf>
    <xf numFmtId="173" fontId="79" fillId="0" borderId="0" xfId="94" applyNumberFormat="1" applyFont="1" applyBorder="1"/>
    <xf numFmtId="165" fontId="61" fillId="0" borderId="13" xfId="0" applyFont="1" applyBorder="1" applyAlignment="1">
      <alignment horizontal="left" vertical="center" wrapText="1" indent="2"/>
    </xf>
    <xf numFmtId="166" fontId="31" fillId="0" borderId="0" xfId="88" applyNumberFormat="1" applyFont="1" applyFill="1" applyBorder="1" applyAlignment="1">
      <alignment horizontal="center" vertical="center" wrapText="1"/>
    </xf>
    <xf numFmtId="0" fontId="80" fillId="0" borderId="0" xfId="93" applyFont="1" applyAlignment="1">
      <alignment vertical="center"/>
    </xf>
    <xf numFmtId="168" fontId="80" fillId="0" borderId="0" xfId="95" applyNumberFormat="1" applyFont="1" applyFill="1" applyAlignment="1">
      <alignment vertical="center"/>
    </xf>
    <xf numFmtId="168" fontId="80" fillId="0" borderId="0" xfId="95" applyNumberFormat="1" applyFont="1" applyFill="1" applyBorder="1" applyAlignment="1">
      <alignment vertical="center"/>
    </xf>
    <xf numFmtId="164" fontId="80" fillId="0" borderId="0" xfId="91" applyFont="1" applyFill="1" applyBorder="1" applyAlignment="1">
      <alignment vertical="center"/>
    </xf>
    <xf numFmtId="178" fontId="30" fillId="34" borderId="0" xfId="0" applyNumberFormat="1" applyFont="1" applyFill="1" applyAlignment="1">
      <alignment horizontal="center" vertical="center"/>
    </xf>
    <xf numFmtId="166" fontId="31" fillId="36" borderId="0" xfId="4" applyNumberFormat="1" applyFont="1" applyFill="1" applyBorder="1" applyAlignment="1">
      <alignment horizontal="left" vertical="center" wrapText="1"/>
    </xf>
    <xf numFmtId="166" fontId="31" fillId="36" borderId="0" xfId="4" applyNumberFormat="1" applyFont="1" applyFill="1" applyBorder="1" applyAlignment="1">
      <alignment horizontal="center" vertical="center" wrapText="1"/>
    </xf>
    <xf numFmtId="4" fontId="66" fillId="2" borderId="0" xfId="0" applyNumberFormat="1" applyFont="1" applyFill="1" applyAlignment="1">
      <alignment horizontal="right"/>
    </xf>
    <xf numFmtId="172" fontId="31" fillId="35" borderId="0" xfId="4" applyNumberFormat="1" applyFont="1" applyFill="1" applyBorder="1" applyAlignment="1">
      <alignment horizontal="center" vertical="center" wrapText="1"/>
    </xf>
    <xf numFmtId="167" fontId="31" fillId="35" borderId="0" xfId="4" applyNumberFormat="1" applyFont="1" applyFill="1" applyBorder="1" applyAlignment="1">
      <alignment horizontal="center" vertical="center" wrapText="1"/>
    </xf>
    <xf numFmtId="166" fontId="31" fillId="35" borderId="0" xfId="97" applyNumberFormat="1" applyFont="1" applyFill="1" applyBorder="1" applyAlignment="1">
      <alignment horizontal="center" vertical="center" wrapText="1"/>
    </xf>
    <xf numFmtId="166" fontId="31" fillId="35" borderId="14" xfId="97" applyNumberFormat="1" applyFont="1" applyFill="1" applyBorder="1" applyAlignment="1">
      <alignment horizontal="center" vertical="center" wrapText="1"/>
    </xf>
    <xf numFmtId="166" fontId="31" fillId="35" borderId="15" xfId="97" applyNumberFormat="1" applyFont="1" applyFill="1" applyBorder="1" applyAlignment="1">
      <alignment horizontal="center" vertical="center" wrapText="1"/>
    </xf>
    <xf numFmtId="166" fontId="31" fillId="35" borderId="0" xfId="411" applyNumberFormat="1" applyFont="1" applyFill="1" applyBorder="1" applyAlignment="1">
      <alignment horizontal="center" vertical="center" wrapText="1"/>
    </xf>
    <xf numFmtId="3" fontId="31" fillId="35" borderId="0" xfId="4" applyNumberFormat="1" applyFont="1" applyFill="1" applyBorder="1" applyAlignment="1">
      <alignment horizontal="center" vertical="center" wrapText="1"/>
    </xf>
    <xf numFmtId="3" fontId="97" fillId="2" borderId="0" xfId="0" applyNumberFormat="1" applyFont="1" applyFill="1" applyAlignment="1">
      <alignment horizontal="right"/>
    </xf>
    <xf numFmtId="165" fontId="99" fillId="35" borderId="0" xfId="0" applyFont="1" applyFill="1" applyAlignment="1">
      <alignment horizontal="left" vertical="center"/>
    </xf>
    <xf numFmtId="166" fontId="99" fillId="35" borderId="0" xfId="4" applyNumberFormat="1" applyFont="1" applyFill="1" applyBorder="1" applyAlignment="1">
      <alignment horizontal="center" vertical="center" wrapText="1"/>
    </xf>
    <xf numFmtId="166" fontId="99" fillId="35" borderId="14" xfId="4" applyNumberFormat="1" applyFont="1" applyFill="1" applyBorder="1" applyAlignment="1">
      <alignment horizontal="center" vertical="center" wrapText="1"/>
    </xf>
    <xf numFmtId="165" fontId="99" fillId="0" borderId="0" xfId="0" applyFont="1"/>
    <xf numFmtId="165" fontId="58" fillId="35" borderId="0" xfId="83" applyNumberFormat="1" applyFont="1" applyFill="1" applyBorder="1" applyAlignment="1">
      <alignment horizontal="left" vertical="center" indent="2"/>
    </xf>
    <xf numFmtId="49" fontId="30" fillId="34" borderId="14" xfId="0" applyNumberFormat="1" applyFont="1" applyFill="1" applyBorder="1" applyAlignment="1">
      <alignment horizontal="center" vertical="center"/>
    </xf>
    <xf numFmtId="168" fontId="55" fillId="2" borderId="0" xfId="7" applyNumberFormat="1" applyFont="1" applyFill="1"/>
    <xf numFmtId="168" fontId="59" fillId="2" borderId="34" xfId="7" applyNumberFormat="1" applyFont="1" applyFill="1" applyBorder="1"/>
    <xf numFmtId="166" fontId="101" fillId="35" borderId="0" xfId="4" applyNumberFormat="1" applyFont="1" applyFill="1" applyBorder="1" applyAlignment="1">
      <alignment horizontal="center" vertical="center" wrapText="1"/>
    </xf>
    <xf numFmtId="0" fontId="101" fillId="0" borderId="13" xfId="3" applyFont="1" applyBorder="1" applyAlignment="1">
      <alignment vertical="center" textRotation="90"/>
    </xf>
    <xf numFmtId="165" fontId="99" fillId="35" borderId="0" xfId="0" applyFont="1" applyFill="1" applyAlignment="1">
      <alignment horizontal="left" vertical="center" indent="1"/>
    </xf>
    <xf numFmtId="0" fontId="101" fillId="0" borderId="13" xfId="3" applyFont="1" applyBorder="1" applyAlignment="1">
      <alignment textRotation="90"/>
    </xf>
    <xf numFmtId="165" fontId="101" fillId="35" borderId="0" xfId="0" applyFont="1" applyFill="1" applyAlignment="1">
      <alignment horizontal="left" vertical="center"/>
    </xf>
    <xf numFmtId="165" fontId="99" fillId="35" borderId="13" xfId="0" applyFont="1" applyFill="1" applyBorder="1" applyAlignment="1">
      <alignment horizontal="left" vertical="center" wrapText="1" indent="2"/>
    </xf>
    <xf numFmtId="166" fontId="99" fillId="35" borderId="0" xfId="88" applyNumberFormat="1" applyFont="1" applyFill="1" applyBorder="1" applyAlignment="1">
      <alignment horizontal="center" vertical="center" wrapText="1"/>
    </xf>
    <xf numFmtId="165" fontId="102" fillId="0" borderId="0" xfId="0" applyFont="1"/>
    <xf numFmtId="165" fontId="99" fillId="2" borderId="0" xfId="0" applyFont="1" applyFill="1" applyAlignment="1">
      <alignment horizontal="left" vertical="center" wrapText="1" indent="1"/>
    </xf>
    <xf numFmtId="166" fontId="99" fillId="2" borderId="0" xfId="0" applyNumberFormat="1" applyFont="1" applyFill="1" applyAlignment="1">
      <alignment horizontal="center" vertical="center"/>
    </xf>
    <xf numFmtId="0" fontId="99" fillId="0" borderId="13" xfId="3" applyFont="1" applyBorder="1" applyAlignment="1">
      <alignment textRotation="90"/>
    </xf>
    <xf numFmtId="172" fontId="31" fillId="35" borderId="14" xfId="4" applyNumberFormat="1" applyFont="1" applyFill="1" applyBorder="1" applyAlignment="1">
      <alignment horizontal="center" vertical="center" wrapText="1"/>
    </xf>
    <xf numFmtId="165" fontId="61" fillId="35" borderId="37" xfId="0" applyFont="1" applyFill="1" applyBorder="1" applyAlignment="1">
      <alignment horizontal="left" vertical="center" wrapText="1" indent="2"/>
    </xf>
    <xf numFmtId="166" fontId="31" fillId="35" borderId="26" xfId="88" applyNumberFormat="1" applyFont="1" applyFill="1" applyBorder="1" applyAlignment="1">
      <alignment horizontal="center" vertical="center" wrapText="1"/>
    </xf>
    <xf numFmtId="165" fontId="60" fillId="36" borderId="37" xfId="0" applyFont="1" applyFill="1" applyBorder="1" applyAlignment="1">
      <alignment vertical="center" wrapText="1"/>
    </xf>
    <xf numFmtId="166" fontId="30" fillId="36" borderId="26" xfId="88" applyNumberFormat="1" applyFont="1" applyFill="1" applyBorder="1" applyAlignment="1">
      <alignment horizontal="center" vertical="center" wrapText="1"/>
    </xf>
    <xf numFmtId="166" fontId="31" fillId="35" borderId="14" xfId="88" applyNumberFormat="1" applyFont="1" applyFill="1" applyBorder="1" applyAlignment="1">
      <alignment horizontal="center" vertical="center" wrapText="1"/>
    </xf>
    <xf numFmtId="166" fontId="31" fillId="36" borderId="14" xfId="88" applyNumberFormat="1" applyFont="1" applyFill="1" applyBorder="1" applyAlignment="1">
      <alignment horizontal="center" vertical="center" wrapText="1"/>
    </xf>
    <xf numFmtId="166" fontId="30" fillId="36" borderId="32" xfId="88" applyNumberFormat="1" applyFont="1" applyFill="1" applyBorder="1" applyAlignment="1">
      <alignment horizontal="center" vertical="center" wrapText="1"/>
    </xf>
    <xf numFmtId="165" fontId="88" fillId="2" borderId="0" xfId="0" applyFont="1" applyFill="1" applyAlignment="1">
      <alignment horizontal="center" vertical="center"/>
    </xf>
    <xf numFmtId="165" fontId="0" fillId="0" borderId="0" xfId="0" applyAlignment="1">
      <alignment horizontal="center"/>
    </xf>
    <xf numFmtId="0" fontId="30" fillId="34" borderId="0" xfId="0" applyNumberFormat="1" applyFont="1" applyFill="1" applyAlignment="1">
      <alignment horizontal="center" vertical="center"/>
    </xf>
    <xf numFmtId="179" fontId="31" fillId="0" borderId="0" xfId="0" applyNumberFormat="1" applyFont="1"/>
    <xf numFmtId="165" fontId="103" fillId="2" borderId="0" xfId="0" applyFont="1" applyFill="1" applyAlignment="1">
      <alignment horizontal="right"/>
    </xf>
    <xf numFmtId="172" fontId="99" fillId="35" borderId="0" xfId="88" applyNumberFormat="1" applyFont="1" applyFill="1" applyBorder="1" applyAlignment="1">
      <alignment horizontal="left" vertical="center" wrapText="1"/>
    </xf>
    <xf numFmtId="172" fontId="30" fillId="35" borderId="0" xfId="88" applyNumberFormat="1" applyFont="1" applyFill="1" applyBorder="1" applyAlignment="1">
      <alignment horizontal="left" vertical="center" wrapText="1"/>
    </xf>
    <xf numFmtId="165" fontId="68" fillId="2" borderId="0" xfId="0" applyFont="1" applyFill="1" applyAlignment="1">
      <alignment horizontal="right"/>
    </xf>
    <xf numFmtId="9" fontId="31" fillId="35" borderId="0" xfId="4" applyNumberFormat="1" applyFont="1" applyFill="1" applyBorder="1" applyAlignment="1">
      <alignment horizontal="center" vertical="center" wrapText="1"/>
    </xf>
    <xf numFmtId="165" fontId="76" fillId="2" borderId="0" xfId="0" applyFont="1" applyFill="1" applyAlignment="1">
      <alignment horizontal="right"/>
    </xf>
    <xf numFmtId="172" fontId="32" fillId="35" borderId="0" xfId="88" applyNumberFormat="1" applyFont="1" applyFill="1" applyBorder="1" applyAlignment="1">
      <alignment horizontal="left" vertical="center" wrapText="1"/>
    </xf>
    <xf numFmtId="9" fontId="32" fillId="35" borderId="0" xfId="1" applyFont="1" applyFill="1" applyBorder="1" applyAlignment="1">
      <alignment horizontal="center" vertical="center" wrapText="1"/>
    </xf>
    <xf numFmtId="9" fontId="32" fillId="35" borderId="14" xfId="1" applyFont="1" applyFill="1" applyBorder="1" applyAlignment="1">
      <alignment horizontal="center" vertical="center" wrapText="1"/>
    </xf>
    <xf numFmtId="165" fontId="104" fillId="0" borderId="0" xfId="0" applyFont="1"/>
    <xf numFmtId="166" fontId="32" fillId="35" borderId="0" xfId="4" applyNumberFormat="1" applyFont="1" applyFill="1" applyBorder="1" applyAlignment="1">
      <alignment horizontal="center" vertical="center" wrapText="1"/>
    </xf>
    <xf numFmtId="166" fontId="32" fillId="35" borderId="14" xfId="4" applyNumberFormat="1" applyFont="1" applyFill="1" applyBorder="1" applyAlignment="1">
      <alignment horizontal="center" vertical="center" wrapText="1"/>
    </xf>
    <xf numFmtId="166" fontId="107" fillId="35" borderId="0" xfId="4" applyNumberFormat="1" applyFont="1" applyFill="1" applyBorder="1" applyAlignment="1">
      <alignment horizontal="center" vertical="center" wrapText="1"/>
    </xf>
    <xf numFmtId="166" fontId="106" fillId="35" borderId="0" xfId="4" applyNumberFormat="1" applyFont="1" applyFill="1" applyBorder="1" applyAlignment="1">
      <alignment horizontal="center" vertical="center" wrapText="1"/>
    </xf>
    <xf numFmtId="0" fontId="109" fillId="0" borderId="0" xfId="466" applyFont="1"/>
    <xf numFmtId="175" fontId="30" fillId="34" borderId="0" xfId="0" applyNumberFormat="1" applyFont="1" applyFill="1" applyAlignment="1">
      <alignment horizontal="center" vertical="center"/>
    </xf>
    <xf numFmtId="180" fontId="61" fillId="35" borderId="0" xfId="0" applyNumberFormat="1" applyFont="1" applyFill="1" applyAlignment="1">
      <alignment horizontal="center" vertical="center"/>
    </xf>
    <xf numFmtId="1" fontId="61" fillId="35" borderId="0" xfId="0" applyNumberFormat="1" applyFont="1" applyFill="1" applyAlignment="1">
      <alignment horizontal="center" vertical="center"/>
    </xf>
    <xf numFmtId="3" fontId="31" fillId="0" borderId="0" xfId="0" applyNumberFormat="1" applyFont="1"/>
    <xf numFmtId="165" fontId="55" fillId="0" borderId="0" xfId="0" applyFont="1"/>
    <xf numFmtId="3" fontId="55" fillId="0" borderId="0" xfId="0" applyNumberFormat="1" applyFont="1" applyAlignment="1">
      <alignment horizontal="center"/>
    </xf>
    <xf numFmtId="3" fontId="55" fillId="2" borderId="0" xfId="0" applyNumberFormat="1" applyFont="1" applyFill="1" applyAlignment="1">
      <alignment horizontal="center" vertical="center" wrapText="1"/>
    </xf>
    <xf numFmtId="3" fontId="55" fillId="2" borderId="0" xfId="0" applyNumberFormat="1" applyFont="1" applyFill="1" applyAlignment="1">
      <alignment horizontal="center" vertical="center"/>
    </xf>
    <xf numFmtId="175" fontId="30" fillId="35" borderId="0" xfId="88" applyNumberFormat="1" applyFont="1" applyFill="1" applyBorder="1" applyAlignment="1">
      <alignment horizontal="center" vertical="center" wrapText="1"/>
    </xf>
    <xf numFmtId="172" fontId="30" fillId="35" borderId="0" xfId="88" applyNumberFormat="1" applyFont="1" applyFill="1" applyBorder="1" applyAlignment="1">
      <alignment horizontal="center" vertical="center" wrapText="1"/>
    </xf>
    <xf numFmtId="165" fontId="84" fillId="0" borderId="0" xfId="0" applyFont="1" applyAlignment="1">
      <alignment horizontal="center"/>
    </xf>
    <xf numFmtId="49" fontId="30" fillId="34" borderId="0" xfId="0" applyNumberFormat="1" applyFont="1" applyFill="1" applyAlignment="1">
      <alignment horizontal="center" vertical="top" wrapText="1"/>
    </xf>
    <xf numFmtId="9" fontId="31" fillId="0" borderId="0" xfId="0" applyNumberFormat="1" applyFont="1"/>
    <xf numFmtId="180" fontId="99" fillId="35" borderId="0" xfId="0" applyNumberFormat="1" applyFont="1" applyFill="1" applyAlignment="1">
      <alignment horizontal="center" vertical="center"/>
    </xf>
    <xf numFmtId="1" fontId="99" fillId="35" borderId="0" xfId="0" applyNumberFormat="1" applyFont="1" applyFill="1" applyAlignment="1">
      <alignment horizontal="center" vertical="center"/>
    </xf>
    <xf numFmtId="165" fontId="61" fillId="35" borderId="29" xfId="0" applyFont="1" applyFill="1" applyBorder="1" applyAlignment="1">
      <alignment horizontal="left" vertical="center" indent="1"/>
    </xf>
    <xf numFmtId="180" fontId="61" fillId="35" borderId="29" xfId="0" applyNumberFormat="1" applyFont="1" applyFill="1" applyBorder="1" applyAlignment="1">
      <alignment horizontal="center" vertical="center"/>
    </xf>
    <xf numFmtId="165" fontId="96" fillId="35" borderId="0" xfId="0" applyFont="1" applyFill="1" applyAlignment="1">
      <alignment horizontal="left" vertical="center" indent="2"/>
    </xf>
    <xf numFmtId="172" fontId="32" fillId="35" borderId="0" xfId="4" applyNumberFormat="1" applyFont="1" applyFill="1" applyBorder="1" applyAlignment="1">
      <alignment horizontal="center" vertical="center" wrapText="1"/>
    </xf>
    <xf numFmtId="172" fontId="32" fillId="35" borderId="14" xfId="4" applyNumberFormat="1" applyFont="1" applyFill="1" applyBorder="1" applyAlignment="1">
      <alignment horizontal="center" vertical="center" wrapText="1"/>
    </xf>
    <xf numFmtId="165" fontId="32" fillId="0" borderId="0" xfId="0" applyFont="1"/>
    <xf numFmtId="181" fontId="32" fillId="35" borderId="0" xfId="4" applyNumberFormat="1" applyFont="1" applyFill="1" applyBorder="1" applyAlignment="1">
      <alignment horizontal="center" vertical="center" wrapText="1"/>
    </xf>
    <xf numFmtId="181" fontId="32" fillId="35" borderId="14" xfId="4" applyNumberFormat="1" applyFont="1" applyFill="1" applyBorder="1" applyAlignment="1">
      <alignment horizontal="center" vertical="center" wrapText="1"/>
    </xf>
    <xf numFmtId="172" fontId="111" fillId="35" borderId="0" xfId="4" applyNumberFormat="1" applyFont="1" applyFill="1" applyBorder="1" applyAlignment="1">
      <alignment horizontal="center" vertical="center" wrapText="1"/>
    </xf>
    <xf numFmtId="172" fontId="111" fillId="35" borderId="14" xfId="4" applyNumberFormat="1" applyFont="1" applyFill="1" applyBorder="1" applyAlignment="1">
      <alignment horizontal="center" vertical="center" wrapText="1"/>
    </xf>
    <xf numFmtId="165" fontId="91" fillId="2" borderId="0" xfId="0" applyFont="1" applyFill="1" applyAlignment="1">
      <alignment horizontal="left" wrapText="1"/>
    </xf>
    <xf numFmtId="165" fontId="89" fillId="2" borderId="0" xfId="0" applyFont="1" applyFill="1" applyAlignment="1">
      <alignment horizontal="center"/>
    </xf>
    <xf numFmtId="165" fontId="91" fillId="2" borderId="0" xfId="0" applyFont="1" applyFill="1" applyAlignment="1">
      <alignment horizontal="center" wrapText="1"/>
    </xf>
    <xf numFmtId="165" fontId="113" fillId="38" borderId="38" xfId="0" applyFont="1" applyFill="1" applyBorder="1" applyAlignment="1">
      <alignment horizontal="center" vertical="center" wrapText="1"/>
    </xf>
    <xf numFmtId="165" fontId="113" fillId="38" borderId="60" xfId="0" applyFont="1" applyFill="1" applyBorder="1" applyAlignment="1">
      <alignment horizontal="center" vertical="center" wrapText="1"/>
    </xf>
    <xf numFmtId="165" fontId="113" fillId="38" borderId="39" xfId="0" applyFont="1" applyFill="1" applyBorder="1" applyAlignment="1">
      <alignment horizontal="center" vertical="center" wrapText="1"/>
    </xf>
    <xf numFmtId="165" fontId="113" fillId="38" borderId="40" xfId="0" applyFont="1" applyFill="1" applyBorder="1" applyAlignment="1">
      <alignment horizontal="center" vertical="center" wrapText="1"/>
    </xf>
    <xf numFmtId="2" fontId="113" fillId="37" borderId="39" xfId="0" applyNumberFormat="1" applyFont="1" applyFill="1" applyBorder="1" applyAlignment="1">
      <alignment horizontal="center" vertical="center" wrapText="1"/>
    </xf>
    <xf numFmtId="165" fontId="113" fillId="37" borderId="38" xfId="0" applyFont="1" applyFill="1" applyBorder="1" applyAlignment="1">
      <alignment horizontal="center" vertical="center" wrapText="1"/>
    </xf>
    <xf numFmtId="165" fontId="114" fillId="37" borderId="42" xfId="0" applyFont="1" applyFill="1" applyBorder="1" applyAlignment="1">
      <alignment horizontal="center" wrapText="1"/>
    </xf>
    <xf numFmtId="2" fontId="114" fillId="37" borderId="43" xfId="0" applyNumberFormat="1" applyFont="1" applyFill="1" applyBorder="1" applyAlignment="1">
      <alignment horizontal="center" wrapText="1"/>
    </xf>
    <xf numFmtId="2" fontId="114" fillId="37" borderId="44" xfId="0" applyNumberFormat="1" applyFont="1" applyFill="1" applyBorder="1" applyAlignment="1">
      <alignment horizontal="center" wrapText="1"/>
    </xf>
    <xf numFmtId="2" fontId="114" fillId="37" borderId="39" xfId="0" applyNumberFormat="1" applyFont="1" applyFill="1" applyBorder="1" applyAlignment="1">
      <alignment horizontal="center" wrapText="1"/>
    </xf>
    <xf numFmtId="2" fontId="114" fillId="37" borderId="46" xfId="0" applyNumberFormat="1" applyFont="1" applyFill="1" applyBorder="1" applyAlignment="1">
      <alignment horizontal="center" wrapText="1"/>
    </xf>
    <xf numFmtId="165" fontId="114" fillId="37" borderId="48" xfId="0" applyFont="1" applyFill="1" applyBorder="1" applyAlignment="1">
      <alignment horizontal="center" wrapText="1"/>
    </xf>
    <xf numFmtId="2" fontId="114" fillId="37" borderId="49" xfId="0" applyNumberFormat="1" applyFont="1" applyFill="1" applyBorder="1" applyAlignment="1">
      <alignment horizontal="center" wrapText="1"/>
    </xf>
    <xf numFmtId="165" fontId="114" fillId="37" borderId="51" xfId="0" applyFont="1" applyFill="1" applyBorder="1" applyAlignment="1">
      <alignment horizontal="center" wrapText="1"/>
    </xf>
    <xf numFmtId="2" fontId="114" fillId="37" borderId="52" xfId="0" applyNumberFormat="1" applyFont="1" applyFill="1" applyBorder="1" applyAlignment="1">
      <alignment horizontal="center" wrapText="1"/>
    </xf>
    <xf numFmtId="2" fontId="114" fillId="37" borderId="53" xfId="0" applyNumberFormat="1" applyFont="1" applyFill="1" applyBorder="1" applyAlignment="1">
      <alignment horizontal="center" wrapText="1"/>
    </xf>
    <xf numFmtId="165" fontId="114" fillId="37" borderId="55" xfId="0" applyFont="1" applyFill="1" applyBorder="1" applyAlignment="1">
      <alignment horizontal="center" wrapText="1"/>
    </xf>
    <xf numFmtId="2" fontId="114" fillId="37" borderId="56" xfId="0" applyNumberFormat="1" applyFont="1" applyFill="1" applyBorder="1" applyAlignment="1">
      <alignment horizontal="center" wrapText="1"/>
    </xf>
    <xf numFmtId="2" fontId="114" fillId="37" borderId="57" xfId="0" applyNumberFormat="1" applyFont="1" applyFill="1" applyBorder="1" applyAlignment="1">
      <alignment horizontal="center" wrapText="1"/>
    </xf>
    <xf numFmtId="2" fontId="114" fillId="37" borderId="59" xfId="0" applyNumberFormat="1" applyFont="1" applyFill="1" applyBorder="1" applyAlignment="1">
      <alignment horizontal="center" wrapText="1"/>
    </xf>
    <xf numFmtId="165" fontId="115" fillId="0" borderId="0" xfId="0" applyFont="1"/>
    <xf numFmtId="166" fontId="116" fillId="35" borderId="0" xfId="4" applyNumberFormat="1" applyFont="1" applyFill="1" applyBorder="1" applyAlignment="1">
      <alignment horizontal="center" vertical="center" wrapText="1"/>
    </xf>
    <xf numFmtId="165" fontId="94" fillId="0" borderId="0" xfId="0" applyFont="1"/>
    <xf numFmtId="166" fontId="117" fillId="34" borderId="0" xfId="0" applyNumberFormat="1" applyFont="1" applyFill="1" applyAlignment="1">
      <alignment horizontal="center" vertical="center" wrapText="1"/>
    </xf>
    <xf numFmtId="166" fontId="117" fillId="36" borderId="0" xfId="4" applyNumberFormat="1" applyFont="1" applyFill="1" applyBorder="1" applyAlignment="1">
      <alignment horizontal="center" vertical="center" wrapText="1"/>
    </xf>
    <xf numFmtId="166" fontId="117" fillId="2" borderId="0" xfId="4" applyNumberFormat="1" applyFont="1" applyFill="1" applyBorder="1" applyAlignment="1">
      <alignment horizontal="center" vertical="center" wrapText="1"/>
    </xf>
    <xf numFmtId="166" fontId="118" fillId="35" borderId="0" xfId="4" applyNumberFormat="1" applyFont="1" applyFill="1" applyBorder="1" applyAlignment="1">
      <alignment horizontal="center" vertical="center" wrapText="1"/>
    </xf>
    <xf numFmtId="172" fontId="116" fillId="35" borderId="0" xfId="88" applyNumberFormat="1" applyFont="1" applyFill="1" applyBorder="1" applyAlignment="1">
      <alignment horizontal="left" vertical="center" wrapText="1"/>
    </xf>
    <xf numFmtId="166" fontId="116" fillId="35" borderId="14" xfId="4" applyNumberFormat="1" applyFont="1" applyFill="1" applyBorder="1" applyAlignment="1">
      <alignment horizontal="center" vertical="center" wrapText="1"/>
    </xf>
    <xf numFmtId="172" fontId="34" fillId="35" borderId="0" xfId="88" applyNumberFormat="1" applyFont="1" applyFill="1" applyBorder="1" applyAlignment="1">
      <alignment horizontal="left" vertical="center" wrapText="1"/>
    </xf>
    <xf numFmtId="166" fontId="34" fillId="35" borderId="0" xfId="4" applyNumberFormat="1" applyFont="1" applyFill="1" applyBorder="1" applyAlignment="1">
      <alignment horizontal="center" vertical="center" wrapText="1"/>
    </xf>
    <xf numFmtId="182" fontId="114" fillId="37" borderId="43" xfId="0" applyNumberFormat="1" applyFont="1" applyFill="1" applyBorder="1" applyAlignment="1">
      <alignment horizontal="center" wrapText="1"/>
    </xf>
    <xf numFmtId="182" fontId="114" fillId="37" borderId="61" xfId="0" applyNumberFormat="1" applyFont="1" applyFill="1" applyBorder="1" applyAlignment="1">
      <alignment horizontal="center" wrapText="1"/>
    </xf>
    <xf numFmtId="14" fontId="30" fillId="36" borderId="0" xfId="4" applyNumberFormat="1" applyFont="1" applyFill="1" applyBorder="1" applyAlignment="1">
      <alignment horizontal="center" vertical="center" wrapText="1"/>
    </xf>
    <xf numFmtId="49" fontId="30" fillId="34" borderId="62" xfId="0" applyNumberFormat="1" applyFont="1" applyFill="1" applyBorder="1" applyAlignment="1">
      <alignment horizontal="center" vertical="center" wrapText="1"/>
    </xf>
    <xf numFmtId="166" fontId="31" fillId="35" borderId="62" xfId="4" applyNumberFormat="1" applyFont="1" applyFill="1" applyBorder="1" applyAlignment="1">
      <alignment horizontal="center" vertical="center" wrapText="1"/>
    </xf>
    <xf numFmtId="1" fontId="61" fillId="35" borderId="29" xfId="0" applyNumberFormat="1" applyFont="1" applyFill="1" applyBorder="1" applyAlignment="1">
      <alignment horizontal="center" vertical="center"/>
    </xf>
    <xf numFmtId="165" fontId="95" fillId="0" borderId="0" xfId="0" applyFont="1"/>
    <xf numFmtId="167" fontId="31" fillId="0" borderId="0" xfId="0" applyNumberFormat="1" applyFont="1"/>
    <xf numFmtId="4" fontId="86" fillId="0" borderId="0" xfId="0" applyNumberFormat="1" applyFont="1"/>
    <xf numFmtId="14" fontId="30" fillId="36" borderId="14" xfId="4" applyNumberFormat="1" applyFont="1" applyFill="1" applyBorder="1" applyAlignment="1">
      <alignment horizontal="center" vertical="center" wrapText="1"/>
    </xf>
    <xf numFmtId="166" fontId="116" fillId="35" borderId="15" xfId="4" applyNumberFormat="1" applyFont="1" applyFill="1" applyBorder="1" applyAlignment="1">
      <alignment horizontal="center" vertical="center" wrapText="1"/>
    </xf>
    <xf numFmtId="166" fontId="106" fillId="35" borderId="0" xfId="88" applyNumberFormat="1" applyFont="1" applyFill="1" applyBorder="1" applyAlignment="1">
      <alignment horizontal="center" vertical="center" wrapText="1"/>
    </xf>
    <xf numFmtId="166" fontId="107" fillId="36" borderId="0" xfId="4" applyNumberFormat="1" applyFont="1" applyFill="1" applyBorder="1" applyAlignment="1">
      <alignment horizontal="center" vertical="center" wrapText="1"/>
    </xf>
    <xf numFmtId="166" fontId="31" fillId="35" borderId="0" xfId="4" applyNumberFormat="1" applyFont="1" applyFill="1" applyBorder="1" applyAlignment="1">
      <alignment horizontal="center" wrapText="1"/>
    </xf>
    <xf numFmtId="165" fontId="31" fillId="35" borderId="0" xfId="0" applyFont="1" applyFill="1" applyAlignment="1">
      <alignment horizontal="left" vertical="center" indent="1"/>
    </xf>
    <xf numFmtId="3" fontId="61" fillId="35" borderId="0" xfId="0" applyNumberFormat="1" applyFont="1" applyFill="1" applyAlignment="1">
      <alignment horizontal="center" vertical="center"/>
    </xf>
    <xf numFmtId="3" fontId="61" fillId="35" borderId="29" xfId="0" applyNumberFormat="1" applyFont="1" applyFill="1" applyBorder="1" applyAlignment="1">
      <alignment horizontal="center" vertical="center"/>
    </xf>
    <xf numFmtId="9" fontId="109" fillId="0" borderId="0" xfId="466" applyNumberFormat="1" applyFont="1" applyAlignment="1">
      <alignment horizontal="center"/>
    </xf>
    <xf numFmtId="0" fontId="109" fillId="0" borderId="0" xfId="466" applyFont="1" applyAlignment="1">
      <alignment horizontal="center"/>
    </xf>
    <xf numFmtId="3" fontId="106" fillId="35" borderId="0" xfId="0" applyNumberFormat="1" applyFont="1" applyFill="1" applyAlignment="1">
      <alignment horizontal="center" vertical="center"/>
    </xf>
    <xf numFmtId="3" fontId="119" fillId="35" borderId="0" xfId="0" applyNumberFormat="1" applyFont="1" applyFill="1" applyAlignment="1">
      <alignment horizontal="center" vertical="center"/>
    </xf>
    <xf numFmtId="1" fontId="106" fillId="35" borderId="0" xfId="0" applyNumberFormat="1" applyFont="1" applyFill="1" applyAlignment="1">
      <alignment horizontal="center" vertical="center"/>
    </xf>
    <xf numFmtId="175" fontId="62" fillId="34" borderId="0" xfId="0" applyNumberFormat="1" applyFont="1" applyFill="1" applyAlignment="1">
      <alignment horizontal="center" vertical="center"/>
    </xf>
    <xf numFmtId="180" fontId="34" fillId="35" borderId="0" xfId="0" applyNumberFormat="1" applyFont="1" applyFill="1" applyAlignment="1">
      <alignment horizontal="center" vertical="center"/>
    </xf>
    <xf numFmtId="180" fontId="34" fillId="35" borderId="29" xfId="0" applyNumberFormat="1" applyFont="1" applyFill="1" applyBorder="1" applyAlignment="1">
      <alignment horizontal="center" vertical="center"/>
    </xf>
    <xf numFmtId="3" fontId="34" fillId="35" borderId="0" xfId="0" applyNumberFormat="1" applyFont="1" applyFill="1" applyAlignment="1">
      <alignment horizontal="center" vertical="center"/>
    </xf>
    <xf numFmtId="3" fontId="34" fillId="35" borderId="29" xfId="0" applyNumberFormat="1" applyFont="1" applyFill="1" applyBorder="1" applyAlignment="1">
      <alignment horizontal="center" vertical="center"/>
    </xf>
    <xf numFmtId="1" fontId="34" fillId="35" borderId="0" xfId="0" applyNumberFormat="1" applyFont="1" applyFill="1" applyAlignment="1">
      <alignment horizontal="center" vertical="center"/>
    </xf>
    <xf numFmtId="1" fontId="34" fillId="35" borderId="29" xfId="0" applyNumberFormat="1" applyFont="1" applyFill="1" applyBorder="1" applyAlignment="1">
      <alignment horizontal="center" vertical="center"/>
    </xf>
    <xf numFmtId="1" fontId="119" fillId="35" borderId="0" xfId="0" applyNumberFormat="1" applyFont="1" applyFill="1" applyAlignment="1">
      <alignment horizontal="center" vertical="center"/>
    </xf>
    <xf numFmtId="180" fontId="31" fillId="35" borderId="0" xfId="0" applyNumberFormat="1" applyFont="1" applyFill="1" applyAlignment="1">
      <alignment horizontal="center" vertical="center"/>
    </xf>
    <xf numFmtId="165" fontId="121" fillId="2" borderId="0" xfId="0" applyFont="1" applyFill="1" applyAlignment="1">
      <alignment horizontal="right"/>
    </xf>
    <xf numFmtId="0" fontId="34" fillId="0" borderId="0" xfId="467" applyFont="1" applyAlignment="1">
      <alignment horizontal="center" wrapText="1"/>
    </xf>
    <xf numFmtId="175" fontId="34" fillId="0" borderId="0" xfId="467" applyNumberFormat="1" applyFont="1" applyAlignment="1">
      <alignment horizontal="center" wrapText="1"/>
    </xf>
    <xf numFmtId="0" fontId="34" fillId="0" borderId="0" xfId="467" applyFont="1" applyAlignment="1">
      <alignment horizontal="center" vertical="center" wrapText="1"/>
    </xf>
    <xf numFmtId="175" fontId="34" fillId="0" borderId="0" xfId="467" applyNumberFormat="1" applyFont="1" applyAlignment="1">
      <alignment horizontal="center" vertical="center" wrapText="1"/>
    </xf>
    <xf numFmtId="0" fontId="62" fillId="0" borderId="63" xfId="467" applyFont="1" applyBorder="1" applyAlignment="1">
      <alignment horizontal="center" vertical="center" wrapText="1"/>
    </xf>
    <xf numFmtId="0" fontId="34" fillId="0" borderId="64" xfId="467" applyFont="1" applyBorder="1" applyAlignment="1">
      <alignment horizontal="center" vertical="center" wrapText="1"/>
    </xf>
    <xf numFmtId="0" fontId="34" fillId="0" borderId="63" xfId="467" applyFont="1" applyBorder="1" applyAlignment="1">
      <alignment horizontal="center" vertical="center" wrapText="1"/>
    </xf>
    <xf numFmtId="0" fontId="123" fillId="0" borderId="63" xfId="467" applyFont="1" applyBorder="1" applyAlignment="1">
      <alignment horizontal="center" vertical="center" wrapText="1"/>
    </xf>
    <xf numFmtId="0" fontId="123" fillId="0" borderId="0" xfId="467" applyFont="1" applyAlignment="1">
      <alignment horizontal="center" vertical="center" wrapText="1"/>
    </xf>
    <xf numFmtId="0" fontId="123" fillId="0" borderId="64" xfId="467" applyFont="1" applyBorder="1" applyAlignment="1">
      <alignment horizontal="center" vertical="center" wrapText="1"/>
    </xf>
    <xf numFmtId="0" fontId="34" fillId="0" borderId="0" xfId="467" applyFont="1" applyAlignment="1">
      <alignment horizontal="center"/>
    </xf>
    <xf numFmtId="175" fontId="34" fillId="0" borderId="0" xfId="467" applyNumberFormat="1" applyFont="1" applyAlignment="1">
      <alignment horizontal="center"/>
    </xf>
    <xf numFmtId="3" fontId="62" fillId="0" borderId="63" xfId="467" applyNumberFormat="1" applyFont="1" applyBorder="1" applyAlignment="1">
      <alignment horizontal="center"/>
    </xf>
    <xf numFmtId="3" fontId="34" fillId="0" borderId="0" xfId="467" applyNumberFormat="1" applyFont="1" applyAlignment="1">
      <alignment horizontal="center"/>
    </xf>
    <xf numFmtId="3" fontId="62" fillId="0" borderId="0" xfId="467" applyNumberFormat="1" applyFont="1" applyAlignment="1">
      <alignment horizontal="center"/>
    </xf>
    <xf numFmtId="3" fontId="34" fillId="0" borderId="64" xfId="467" applyNumberFormat="1" applyFont="1" applyBorder="1" applyAlignment="1">
      <alignment horizontal="center"/>
    </xf>
    <xf numFmtId="3" fontId="62" fillId="0" borderId="64" xfId="467" applyNumberFormat="1" applyFont="1" applyBorder="1" applyAlignment="1">
      <alignment horizontal="center"/>
    </xf>
    <xf numFmtId="3" fontId="34" fillId="0" borderId="63" xfId="467" applyNumberFormat="1" applyFont="1" applyBorder="1" applyAlignment="1">
      <alignment horizontal="center"/>
    </xf>
    <xf numFmtId="3" fontId="123" fillId="0" borderId="63" xfId="467" applyNumberFormat="1" applyFont="1" applyBorder="1" applyAlignment="1">
      <alignment horizontal="center"/>
    </xf>
    <xf numFmtId="3" fontId="123" fillId="0" borderId="0" xfId="467" applyNumberFormat="1" applyFont="1" applyAlignment="1">
      <alignment horizontal="center"/>
    </xf>
    <xf numFmtId="3" fontId="123" fillId="0" borderId="64" xfId="467" applyNumberFormat="1" applyFont="1" applyBorder="1" applyAlignment="1">
      <alignment horizontal="center"/>
    </xf>
    <xf numFmtId="167" fontId="34" fillId="0" borderId="0" xfId="467" applyNumberFormat="1" applyFont="1" applyAlignment="1">
      <alignment horizontal="center"/>
    </xf>
    <xf numFmtId="167" fontId="123" fillId="0" borderId="0" xfId="467" applyNumberFormat="1" applyFont="1" applyAlignment="1">
      <alignment horizontal="center"/>
    </xf>
    <xf numFmtId="3" fontId="62" fillId="40" borderId="63" xfId="467" applyNumberFormat="1" applyFont="1" applyFill="1" applyBorder="1" applyAlignment="1">
      <alignment horizontal="center"/>
    </xf>
    <xf numFmtId="3" fontId="34" fillId="40" borderId="0" xfId="467" applyNumberFormat="1" applyFont="1" applyFill="1" applyAlignment="1">
      <alignment horizontal="center"/>
    </xf>
    <xf numFmtId="3" fontId="34" fillId="40" borderId="64" xfId="467" applyNumberFormat="1" applyFont="1" applyFill="1" applyBorder="1" applyAlignment="1">
      <alignment horizontal="center"/>
    </xf>
    <xf numFmtId="3" fontId="34" fillId="40" borderId="63" xfId="467" applyNumberFormat="1" applyFont="1" applyFill="1" applyBorder="1" applyAlignment="1">
      <alignment horizontal="center"/>
    </xf>
    <xf numFmtId="167" fontId="34" fillId="40" borderId="0" xfId="467" applyNumberFormat="1" applyFont="1" applyFill="1" applyAlignment="1">
      <alignment horizontal="center"/>
    </xf>
    <xf numFmtId="167" fontId="34" fillId="40" borderId="64" xfId="467" applyNumberFormat="1" applyFont="1" applyFill="1" applyBorder="1" applyAlignment="1">
      <alignment horizontal="center"/>
    </xf>
    <xf numFmtId="3" fontId="123" fillId="40" borderId="63" xfId="467" applyNumberFormat="1" applyFont="1" applyFill="1" applyBorder="1" applyAlignment="1">
      <alignment horizontal="center"/>
    </xf>
    <xf numFmtId="167" fontId="123" fillId="40" borderId="0" xfId="467" applyNumberFormat="1" applyFont="1" applyFill="1" applyAlignment="1">
      <alignment horizontal="center"/>
    </xf>
    <xf numFmtId="167" fontId="123" fillId="40" borderId="64" xfId="467" applyNumberFormat="1" applyFont="1" applyFill="1" applyBorder="1" applyAlignment="1">
      <alignment horizontal="center"/>
    </xf>
    <xf numFmtId="167" fontId="34" fillId="40" borderId="63" xfId="467" applyNumberFormat="1" applyFont="1" applyFill="1" applyBorder="1" applyAlignment="1">
      <alignment horizontal="center"/>
    </xf>
    <xf numFmtId="9" fontId="34" fillId="40" borderId="63" xfId="467" applyNumberFormat="1" applyFont="1" applyFill="1" applyBorder="1" applyAlignment="1">
      <alignment horizontal="center"/>
    </xf>
    <xf numFmtId="9" fontId="34" fillId="40" borderId="64" xfId="467" applyNumberFormat="1" applyFont="1" applyFill="1" applyBorder="1" applyAlignment="1">
      <alignment horizontal="center"/>
    </xf>
    <xf numFmtId="3" fontId="62" fillId="41" borderId="63" xfId="467" applyNumberFormat="1" applyFont="1" applyFill="1" applyBorder="1" applyAlignment="1">
      <alignment horizontal="center"/>
    </xf>
    <xf numFmtId="3" fontId="34" fillId="41" borderId="0" xfId="467" applyNumberFormat="1" applyFont="1" applyFill="1" applyAlignment="1">
      <alignment horizontal="center"/>
    </xf>
    <xf numFmtId="3" fontId="34" fillId="41" borderId="64" xfId="467" applyNumberFormat="1" applyFont="1" applyFill="1" applyBorder="1" applyAlignment="1">
      <alignment horizontal="center"/>
    </xf>
    <xf numFmtId="3" fontId="34" fillId="41" borderId="63" xfId="467" applyNumberFormat="1" applyFont="1" applyFill="1" applyBorder="1" applyAlignment="1">
      <alignment horizontal="center"/>
    </xf>
    <xf numFmtId="167" fontId="34" fillId="41" borderId="0" xfId="467" applyNumberFormat="1" applyFont="1" applyFill="1" applyAlignment="1">
      <alignment horizontal="center"/>
    </xf>
    <xf numFmtId="167" fontId="34" fillId="41" borderId="64" xfId="467" applyNumberFormat="1" applyFont="1" applyFill="1" applyBorder="1" applyAlignment="1">
      <alignment horizontal="center"/>
    </xf>
    <xf numFmtId="3" fontId="123" fillId="41" borderId="63" xfId="467" applyNumberFormat="1" applyFont="1" applyFill="1" applyBorder="1" applyAlignment="1">
      <alignment horizontal="center"/>
    </xf>
    <xf numFmtId="167" fontId="123" fillId="41" borderId="0" xfId="467" applyNumberFormat="1" applyFont="1" applyFill="1" applyAlignment="1">
      <alignment horizontal="center"/>
    </xf>
    <xf numFmtId="167" fontId="123" fillId="41" borderId="64" xfId="467" applyNumberFormat="1" applyFont="1" applyFill="1" applyBorder="1" applyAlignment="1">
      <alignment horizontal="center"/>
    </xf>
    <xf numFmtId="167" fontId="34" fillId="41" borderId="63" xfId="467" applyNumberFormat="1" applyFont="1" applyFill="1" applyBorder="1" applyAlignment="1">
      <alignment horizontal="center"/>
    </xf>
    <xf numFmtId="9" fontId="34" fillId="41" borderId="63" xfId="467" applyNumberFormat="1" applyFont="1" applyFill="1" applyBorder="1" applyAlignment="1">
      <alignment horizontal="center"/>
    </xf>
    <xf numFmtId="9" fontId="34" fillId="41" borderId="64" xfId="467" applyNumberFormat="1" applyFont="1" applyFill="1" applyBorder="1" applyAlignment="1">
      <alignment horizontal="center"/>
    </xf>
    <xf numFmtId="3" fontId="62" fillId="42" borderId="63" xfId="467" applyNumberFormat="1" applyFont="1" applyFill="1" applyBorder="1" applyAlignment="1">
      <alignment horizontal="center"/>
    </xf>
    <xf numFmtId="3" fontId="34" fillId="42" borderId="0" xfId="467" applyNumberFormat="1" applyFont="1" applyFill="1" applyAlignment="1">
      <alignment horizontal="center"/>
    </xf>
    <xf numFmtId="3" fontId="62" fillId="42" borderId="0" xfId="467" applyNumberFormat="1" applyFont="1" applyFill="1" applyAlignment="1">
      <alignment horizontal="center"/>
    </xf>
    <xf numFmtId="3" fontId="34" fillId="42" borderId="64" xfId="467" applyNumberFormat="1" applyFont="1" applyFill="1" applyBorder="1" applyAlignment="1">
      <alignment horizontal="center"/>
    </xf>
    <xf numFmtId="3" fontId="34" fillId="42" borderId="63" xfId="467" applyNumberFormat="1" applyFont="1" applyFill="1" applyBorder="1" applyAlignment="1">
      <alignment horizontal="center"/>
    </xf>
    <xf numFmtId="181" fontId="34" fillId="42" borderId="64" xfId="467" applyNumberFormat="1" applyFont="1" applyFill="1" applyBorder="1" applyAlignment="1">
      <alignment horizontal="center"/>
    </xf>
    <xf numFmtId="167" fontId="34" fillId="42" borderId="64" xfId="467" applyNumberFormat="1" applyFont="1" applyFill="1" applyBorder="1" applyAlignment="1">
      <alignment horizontal="center"/>
    </xf>
    <xf numFmtId="9" fontId="34" fillId="42" borderId="63" xfId="467" applyNumberFormat="1" applyFont="1" applyFill="1" applyBorder="1" applyAlignment="1">
      <alignment horizontal="center"/>
    </xf>
    <xf numFmtId="9" fontId="34" fillId="42" borderId="64" xfId="467" applyNumberFormat="1" applyFont="1" applyFill="1" applyBorder="1" applyAlignment="1">
      <alignment horizontal="center"/>
    </xf>
    <xf numFmtId="9" fontId="34" fillId="42" borderId="0" xfId="467" applyNumberFormat="1" applyFont="1" applyFill="1" applyAlignment="1">
      <alignment horizontal="center"/>
    </xf>
    <xf numFmtId="181" fontId="34" fillId="42" borderId="0" xfId="467" applyNumberFormat="1" applyFont="1" applyFill="1" applyAlignment="1">
      <alignment horizontal="center"/>
    </xf>
    <xf numFmtId="3" fontId="62" fillId="43" borderId="63" xfId="467" applyNumberFormat="1" applyFont="1" applyFill="1" applyBorder="1" applyAlignment="1">
      <alignment horizontal="center"/>
    </xf>
    <xf numFmtId="3" fontId="34" fillId="43" borderId="0" xfId="467" applyNumberFormat="1" applyFont="1" applyFill="1" applyAlignment="1">
      <alignment horizontal="center"/>
    </xf>
    <xf numFmtId="3" fontId="34" fillId="43" borderId="64" xfId="467" applyNumberFormat="1" applyFont="1" applyFill="1" applyBorder="1" applyAlignment="1">
      <alignment horizontal="center"/>
    </xf>
    <xf numFmtId="3" fontId="34" fillId="43" borderId="63" xfId="467" applyNumberFormat="1" applyFont="1" applyFill="1" applyBorder="1" applyAlignment="1">
      <alignment horizontal="center"/>
    </xf>
    <xf numFmtId="9" fontId="34" fillId="43" borderId="64" xfId="467" applyNumberFormat="1" applyFont="1" applyFill="1" applyBorder="1" applyAlignment="1">
      <alignment horizontal="center"/>
    </xf>
    <xf numFmtId="181" fontId="34" fillId="43" borderId="64" xfId="467" applyNumberFormat="1" applyFont="1" applyFill="1" applyBorder="1" applyAlignment="1">
      <alignment horizontal="center"/>
    </xf>
    <xf numFmtId="167" fontId="34" fillId="43" borderId="0" xfId="467" applyNumberFormat="1" applyFont="1" applyFill="1" applyAlignment="1">
      <alignment horizontal="center"/>
    </xf>
    <xf numFmtId="181" fontId="34" fillId="43" borderId="0" xfId="467" applyNumberFormat="1" applyFont="1" applyFill="1" applyAlignment="1">
      <alignment horizontal="center"/>
    </xf>
    <xf numFmtId="167" fontId="34" fillId="43" borderId="64" xfId="467" applyNumberFormat="1" applyFont="1" applyFill="1" applyBorder="1" applyAlignment="1">
      <alignment horizontal="center"/>
    </xf>
    <xf numFmtId="9" fontId="34" fillId="43" borderId="63" xfId="467" applyNumberFormat="1" applyFont="1" applyFill="1" applyBorder="1" applyAlignment="1">
      <alignment horizontal="center"/>
    </xf>
    <xf numFmtId="3" fontId="62" fillId="44" borderId="63" xfId="467" applyNumberFormat="1" applyFont="1" applyFill="1" applyBorder="1" applyAlignment="1">
      <alignment horizontal="center"/>
    </xf>
    <xf numFmtId="3" fontId="34" fillId="44" borderId="0" xfId="467" applyNumberFormat="1" applyFont="1" applyFill="1" applyAlignment="1">
      <alignment horizontal="center"/>
    </xf>
    <xf numFmtId="3" fontId="34" fillId="44" borderId="64" xfId="467" applyNumberFormat="1" applyFont="1" applyFill="1" applyBorder="1" applyAlignment="1">
      <alignment horizontal="center"/>
    </xf>
    <xf numFmtId="3" fontId="34" fillId="44" borderId="63" xfId="467" applyNumberFormat="1" applyFont="1" applyFill="1" applyBorder="1" applyAlignment="1">
      <alignment horizontal="center"/>
    </xf>
    <xf numFmtId="9" fontId="34" fillId="44" borderId="64" xfId="467" applyNumberFormat="1" applyFont="1" applyFill="1" applyBorder="1" applyAlignment="1">
      <alignment horizontal="center"/>
    </xf>
    <xf numFmtId="181" fontId="34" fillId="44" borderId="64" xfId="467" applyNumberFormat="1" applyFont="1" applyFill="1" applyBorder="1" applyAlignment="1">
      <alignment horizontal="center"/>
    </xf>
    <xf numFmtId="167" fontId="34" fillId="44" borderId="0" xfId="467" applyNumberFormat="1" applyFont="1" applyFill="1" applyAlignment="1">
      <alignment horizontal="center"/>
    </xf>
    <xf numFmtId="181" fontId="34" fillId="44" borderId="0" xfId="467" applyNumberFormat="1" applyFont="1" applyFill="1" applyAlignment="1">
      <alignment horizontal="center"/>
    </xf>
    <xf numFmtId="167" fontId="34" fillId="44" borderId="64" xfId="467" applyNumberFormat="1" applyFont="1" applyFill="1" applyBorder="1" applyAlignment="1">
      <alignment horizontal="center"/>
    </xf>
    <xf numFmtId="9" fontId="34" fillId="44" borderId="63" xfId="467" applyNumberFormat="1" applyFont="1" applyFill="1" applyBorder="1" applyAlignment="1">
      <alignment horizontal="center"/>
    </xf>
    <xf numFmtId="0" fontId="62" fillId="0" borderId="63" xfId="467" applyFont="1" applyBorder="1" applyAlignment="1">
      <alignment horizontal="center"/>
    </xf>
    <xf numFmtId="0" fontId="34" fillId="0" borderId="64" xfId="467" applyFont="1" applyBorder="1" applyAlignment="1">
      <alignment horizontal="center"/>
    </xf>
    <xf numFmtId="0" fontId="34" fillId="0" borderId="63" xfId="467" applyFont="1" applyBorder="1" applyAlignment="1">
      <alignment horizontal="center"/>
    </xf>
    <xf numFmtId="0" fontId="123" fillId="0" borderId="63" xfId="467" applyFont="1" applyBorder="1" applyAlignment="1">
      <alignment horizontal="center"/>
    </xf>
    <xf numFmtId="0" fontId="123" fillId="0" borderId="0" xfId="467" applyFont="1" applyAlignment="1">
      <alignment horizontal="center"/>
    </xf>
    <xf numFmtId="0" fontId="123" fillId="0" borderId="64" xfId="467" applyFont="1" applyBorder="1" applyAlignment="1">
      <alignment horizontal="center"/>
    </xf>
    <xf numFmtId="175" fontId="34" fillId="42" borderId="0" xfId="467" applyNumberFormat="1" applyFont="1" applyFill="1" applyAlignment="1">
      <alignment horizontal="center" vertical="center" wrapText="1"/>
    </xf>
    <xf numFmtId="3" fontId="123" fillId="42" borderId="63" xfId="467" applyNumberFormat="1" applyFont="1" applyFill="1" applyBorder="1" applyAlignment="1">
      <alignment horizontal="center"/>
    </xf>
    <xf numFmtId="3" fontId="123" fillId="42" borderId="0" xfId="467" applyNumberFormat="1" applyFont="1" applyFill="1" applyAlignment="1">
      <alignment horizontal="center"/>
    </xf>
    <xf numFmtId="3" fontId="123" fillId="42" borderId="64" xfId="467" applyNumberFormat="1" applyFont="1" applyFill="1" applyBorder="1" applyAlignment="1">
      <alignment horizontal="center"/>
    </xf>
    <xf numFmtId="0" fontId="34" fillId="42" borderId="63" xfId="467" applyFont="1" applyFill="1" applyBorder="1" applyAlignment="1">
      <alignment horizontal="center"/>
    </xf>
    <xf numFmtId="0" fontId="34" fillId="42" borderId="0" xfId="467" applyFont="1" applyFill="1" applyAlignment="1">
      <alignment horizontal="center"/>
    </xf>
    <xf numFmtId="0" fontId="34" fillId="42" borderId="64" xfId="467" applyFont="1" applyFill="1" applyBorder="1" applyAlignment="1">
      <alignment horizontal="center"/>
    </xf>
    <xf numFmtId="175" fontId="34" fillId="42" borderId="0" xfId="467" applyNumberFormat="1" applyFont="1" applyFill="1" applyAlignment="1">
      <alignment horizontal="center"/>
    </xf>
    <xf numFmtId="9" fontId="123" fillId="42" borderId="63" xfId="467" applyNumberFormat="1" applyFont="1" applyFill="1" applyBorder="1" applyAlignment="1">
      <alignment horizontal="center"/>
    </xf>
    <xf numFmtId="9" fontId="123" fillId="42" borderId="0" xfId="467" applyNumberFormat="1" applyFont="1" applyFill="1" applyAlignment="1">
      <alignment horizontal="center"/>
    </xf>
    <xf numFmtId="9" fontId="123" fillId="42" borderId="64" xfId="467" applyNumberFormat="1" applyFont="1" applyFill="1" applyBorder="1" applyAlignment="1">
      <alignment horizontal="center"/>
    </xf>
    <xf numFmtId="3" fontId="62" fillId="42" borderId="64" xfId="467" applyNumberFormat="1" applyFont="1" applyFill="1" applyBorder="1" applyAlignment="1">
      <alignment horizontal="center"/>
    </xf>
    <xf numFmtId="174" fontId="34" fillId="42" borderId="0" xfId="469" applyNumberFormat="1" applyFont="1" applyFill="1" applyBorder="1" applyAlignment="1">
      <alignment horizontal="center"/>
    </xf>
    <xf numFmtId="174" fontId="34" fillId="42" borderId="63" xfId="469" applyNumberFormat="1" applyFont="1" applyFill="1" applyBorder="1" applyAlignment="1">
      <alignment horizontal="center"/>
    </xf>
    <xf numFmtId="174" fontId="34" fillId="42" borderId="64" xfId="469" applyNumberFormat="1" applyFont="1" applyFill="1" applyBorder="1" applyAlignment="1">
      <alignment horizontal="center"/>
    </xf>
    <xf numFmtId="175" fontId="31" fillId="0" borderId="0" xfId="0" applyNumberFormat="1" applyFont="1"/>
    <xf numFmtId="3" fontId="31" fillId="35" borderId="0" xfId="4" applyNumberFormat="1" applyFont="1" applyFill="1" applyBorder="1" applyAlignment="1">
      <alignment horizontal="center" wrapText="1"/>
    </xf>
    <xf numFmtId="3" fontId="30" fillId="35" borderId="0" xfId="4" applyNumberFormat="1" applyFont="1" applyFill="1" applyBorder="1" applyAlignment="1">
      <alignment horizontal="center" wrapText="1"/>
    </xf>
    <xf numFmtId="3" fontId="106" fillId="35" borderId="0" xfId="4" applyNumberFormat="1" applyFont="1" applyFill="1" applyBorder="1" applyAlignment="1">
      <alignment horizontal="center" wrapText="1"/>
    </xf>
    <xf numFmtId="165" fontId="106" fillId="0" borderId="0" xfId="0" applyFont="1" applyAlignment="1">
      <alignment horizontal="center"/>
    </xf>
    <xf numFmtId="4" fontId="31" fillId="35" borderId="0" xfId="4" applyNumberFormat="1" applyFont="1" applyFill="1" applyBorder="1" applyAlignment="1">
      <alignment horizontal="center" vertical="center" wrapText="1"/>
    </xf>
    <xf numFmtId="165" fontId="125" fillId="0" borderId="0" xfId="0" applyFont="1" applyAlignment="1">
      <alignment horizontal="left" indent="1"/>
    </xf>
    <xf numFmtId="165" fontId="110" fillId="35" borderId="0" xfId="0" applyFont="1" applyFill="1" applyAlignment="1">
      <alignment horizontal="left" vertical="center" wrapText="1"/>
    </xf>
    <xf numFmtId="175" fontId="30" fillId="34" borderId="30" xfId="0" applyNumberFormat="1" applyFont="1" applyFill="1" applyBorder="1" applyAlignment="1">
      <alignment horizontal="center" vertical="center"/>
    </xf>
    <xf numFmtId="175" fontId="30" fillId="34" borderId="31" xfId="0" applyNumberFormat="1" applyFont="1" applyFill="1" applyBorder="1" applyAlignment="1">
      <alignment horizontal="center" vertical="center"/>
    </xf>
    <xf numFmtId="3" fontId="31" fillId="35" borderId="14" xfId="4" applyNumberFormat="1" applyFont="1" applyFill="1" applyBorder="1" applyAlignment="1">
      <alignment horizontal="center" wrapText="1"/>
    </xf>
    <xf numFmtId="3" fontId="31" fillId="35" borderId="15" xfId="4" applyNumberFormat="1" applyFont="1" applyFill="1" applyBorder="1" applyAlignment="1">
      <alignment horizontal="center" wrapText="1"/>
    </xf>
    <xf numFmtId="175" fontId="30" fillId="34" borderId="29" xfId="0" applyNumberFormat="1" applyFont="1" applyFill="1" applyBorder="1" applyAlignment="1">
      <alignment horizontal="center" vertical="center"/>
    </xf>
    <xf numFmtId="3" fontId="106" fillId="35" borderId="14" xfId="4" applyNumberFormat="1" applyFont="1" applyFill="1" applyBorder="1" applyAlignment="1">
      <alignment horizontal="center" wrapText="1"/>
    </xf>
    <xf numFmtId="3" fontId="106" fillId="35" borderId="15" xfId="4" applyNumberFormat="1" applyFont="1" applyFill="1" applyBorder="1" applyAlignment="1">
      <alignment horizontal="center" wrapText="1"/>
    </xf>
    <xf numFmtId="0" fontId="15" fillId="0" borderId="0" xfId="82" applyFont="1"/>
    <xf numFmtId="0" fontId="57" fillId="0" borderId="0" xfId="83"/>
    <xf numFmtId="0" fontId="56" fillId="2" borderId="0" xfId="82" applyFont="1" applyFill="1"/>
    <xf numFmtId="0" fontId="127" fillId="2" borderId="0" xfId="82" applyFont="1" applyFill="1"/>
    <xf numFmtId="0" fontId="127" fillId="0" borderId="0" xfId="82" applyFont="1"/>
    <xf numFmtId="0" fontId="50" fillId="0" borderId="0" xfId="82" applyFont="1"/>
    <xf numFmtId="0" fontId="14" fillId="0" borderId="0" xfId="82" applyFont="1"/>
    <xf numFmtId="0" fontId="129" fillId="2" borderId="0" xfId="82" applyFont="1" applyFill="1"/>
    <xf numFmtId="165" fontId="31" fillId="0" borderId="0" xfId="0" applyFont="1" applyProtection="1">
      <protection locked="0"/>
    </xf>
    <xf numFmtId="0" fontId="31" fillId="0" borderId="0" xfId="7" applyFont="1" applyAlignment="1" applyProtection="1">
      <alignment vertical="center"/>
      <protection locked="0"/>
    </xf>
    <xf numFmtId="49" fontId="30" fillId="34" borderId="0" xfId="0" applyNumberFormat="1" applyFont="1" applyFill="1" applyAlignment="1" applyProtection="1">
      <alignment vertical="center"/>
      <protection locked="0"/>
    </xf>
    <xf numFmtId="49" fontId="30" fillId="34" borderId="0" xfId="0" applyNumberFormat="1" applyFont="1" applyFill="1" applyAlignment="1" applyProtection="1">
      <alignment horizontal="center" vertical="center"/>
      <protection locked="0"/>
    </xf>
    <xf numFmtId="49" fontId="30" fillId="34" borderId="14" xfId="0" applyNumberFormat="1" applyFont="1" applyFill="1" applyBorder="1" applyAlignment="1" applyProtection="1">
      <alignment horizontal="center" vertical="center"/>
      <protection locked="0"/>
    </xf>
    <xf numFmtId="165" fontId="60" fillId="36" borderId="26" xfId="0" applyFont="1" applyFill="1" applyBorder="1" applyAlignment="1" applyProtection="1">
      <alignment vertical="center"/>
      <protection locked="0"/>
    </xf>
    <xf numFmtId="166" fontId="30" fillId="36" borderId="26" xfId="4" applyNumberFormat="1" applyFont="1" applyFill="1" applyBorder="1" applyAlignment="1" applyProtection="1">
      <alignment horizontal="center" vertical="center" wrapText="1"/>
      <protection locked="0"/>
    </xf>
    <xf numFmtId="166" fontId="30" fillId="36" borderId="32" xfId="4" applyNumberFormat="1" applyFont="1" applyFill="1" applyBorder="1" applyAlignment="1" applyProtection="1">
      <alignment horizontal="center" vertical="center" wrapText="1"/>
      <protection locked="0"/>
    </xf>
    <xf numFmtId="165" fontId="58" fillId="35" borderId="0" xfId="83" applyNumberFormat="1" applyFont="1" applyFill="1" applyBorder="1" applyAlignment="1" applyProtection="1">
      <alignment horizontal="left" vertical="center"/>
      <protection locked="0"/>
    </xf>
    <xf numFmtId="166" fontId="31" fillId="35" borderId="0" xfId="4" applyNumberFormat="1" applyFont="1" applyFill="1" applyBorder="1" applyAlignment="1" applyProtection="1">
      <alignment horizontal="center" vertical="center" wrapText="1"/>
      <protection locked="0"/>
    </xf>
    <xf numFmtId="166" fontId="31" fillId="35" borderId="14" xfId="4" applyNumberFormat="1" applyFont="1" applyFill="1" applyBorder="1" applyAlignment="1" applyProtection="1">
      <alignment horizontal="center" vertical="center" wrapText="1"/>
      <protection locked="0"/>
    </xf>
    <xf numFmtId="165" fontId="61" fillId="35" borderId="0" xfId="0" applyFont="1" applyFill="1" applyAlignment="1" applyProtection="1">
      <alignment horizontal="left" vertical="center"/>
      <protection locked="0"/>
    </xf>
    <xf numFmtId="166" fontId="106" fillId="35" borderId="0" xfId="4" applyNumberFormat="1" applyFont="1" applyFill="1" applyBorder="1" applyAlignment="1" applyProtection="1">
      <alignment horizontal="center" vertical="center" wrapText="1"/>
      <protection locked="0"/>
    </xf>
    <xf numFmtId="166" fontId="31" fillId="35" borderId="32" xfId="4" applyNumberFormat="1" applyFont="1" applyFill="1" applyBorder="1" applyAlignment="1" applyProtection="1">
      <alignment horizontal="center" vertical="center" wrapText="1"/>
      <protection locked="0"/>
    </xf>
    <xf numFmtId="165" fontId="99" fillId="35" borderId="0" xfId="0" applyFont="1" applyFill="1" applyAlignment="1" applyProtection="1">
      <alignment horizontal="left" vertical="center"/>
      <protection locked="0"/>
    </xf>
    <xf numFmtId="166" fontId="99" fillId="35" borderId="0" xfId="4" applyNumberFormat="1" applyFont="1" applyFill="1" applyBorder="1" applyAlignment="1" applyProtection="1">
      <alignment horizontal="center" vertical="center" wrapText="1"/>
      <protection locked="0"/>
    </xf>
    <xf numFmtId="166" fontId="99" fillId="35" borderId="14" xfId="4" applyNumberFormat="1" applyFont="1" applyFill="1" applyBorder="1" applyAlignment="1" applyProtection="1">
      <alignment horizontal="center" vertical="center" wrapText="1"/>
      <protection locked="0"/>
    </xf>
    <xf numFmtId="165" fontId="100" fillId="35" borderId="0" xfId="83" applyNumberFormat="1" applyFont="1" applyFill="1" applyBorder="1" applyAlignment="1" applyProtection="1">
      <alignment horizontal="left" vertical="center"/>
      <protection locked="0"/>
    </xf>
    <xf numFmtId="165" fontId="100" fillId="35" borderId="26" xfId="83" applyNumberFormat="1" applyFont="1" applyFill="1" applyBorder="1" applyAlignment="1" applyProtection="1">
      <alignment horizontal="left" vertical="center"/>
      <protection locked="0"/>
    </xf>
    <xf numFmtId="166" fontId="99" fillId="35" borderId="26" xfId="4" applyNumberFormat="1" applyFont="1" applyFill="1" applyBorder="1" applyAlignment="1" applyProtection="1">
      <alignment horizontal="center" vertical="center" wrapText="1"/>
      <protection locked="0"/>
    </xf>
    <xf numFmtId="166" fontId="99" fillId="35" borderId="32" xfId="4" applyNumberFormat="1" applyFont="1" applyFill="1" applyBorder="1" applyAlignment="1" applyProtection="1">
      <alignment horizontal="center" vertical="center" wrapText="1"/>
      <protection locked="0"/>
    </xf>
    <xf numFmtId="0" fontId="30" fillId="0" borderId="0" xfId="7" applyFont="1" applyAlignment="1" applyProtection="1">
      <alignment vertical="center"/>
      <protection locked="0"/>
    </xf>
    <xf numFmtId="165" fontId="101" fillId="36" borderId="26" xfId="0" applyFont="1" applyFill="1" applyBorder="1" applyAlignment="1" applyProtection="1">
      <alignment vertical="center"/>
      <protection locked="0"/>
    </xf>
    <xf numFmtId="166" fontId="101" fillId="36" borderId="26" xfId="4" applyNumberFormat="1" applyFont="1" applyFill="1" applyBorder="1" applyAlignment="1" applyProtection="1">
      <alignment horizontal="center" vertical="center" wrapText="1"/>
      <protection locked="0"/>
    </xf>
    <xf numFmtId="166" fontId="101" fillId="36" borderId="14" xfId="4" applyNumberFormat="1" applyFont="1" applyFill="1" applyBorder="1" applyAlignment="1" applyProtection="1">
      <alignment horizontal="center" vertical="center" wrapText="1"/>
      <protection locked="0"/>
    </xf>
    <xf numFmtId="166" fontId="101" fillId="36" borderId="32" xfId="4" applyNumberFormat="1" applyFont="1" applyFill="1" applyBorder="1" applyAlignment="1" applyProtection="1">
      <alignment horizontal="center" vertical="center" wrapText="1"/>
      <protection locked="0"/>
    </xf>
    <xf numFmtId="0" fontId="31" fillId="0" borderId="29" xfId="7" applyFont="1" applyBorder="1" applyAlignment="1" applyProtection="1">
      <alignment vertical="center"/>
      <protection locked="0"/>
    </xf>
    <xf numFmtId="0" fontId="30" fillId="0" borderId="29" xfId="7" applyFont="1" applyBorder="1" applyAlignment="1" applyProtection="1">
      <alignment vertical="center"/>
      <protection locked="0"/>
    </xf>
    <xf numFmtId="165" fontId="99" fillId="35" borderId="26" xfId="0" applyFont="1" applyFill="1" applyBorder="1" applyAlignment="1" applyProtection="1">
      <alignment horizontal="left" vertical="center"/>
      <protection locked="0"/>
    </xf>
    <xf numFmtId="166" fontId="34" fillId="35" borderId="0" xfId="4" applyNumberFormat="1" applyFont="1" applyFill="1" applyBorder="1" applyAlignment="1" applyProtection="1">
      <alignment horizontal="center" vertical="center" wrapText="1"/>
      <protection locked="0"/>
    </xf>
    <xf numFmtId="165" fontId="61" fillId="35" borderId="1" xfId="0" applyFont="1" applyFill="1" applyBorder="1" applyAlignment="1" applyProtection="1">
      <alignment horizontal="left" vertical="center"/>
      <protection locked="0"/>
    </xf>
    <xf numFmtId="166" fontId="31" fillId="35" borderId="1" xfId="4" applyNumberFormat="1" applyFont="1" applyFill="1" applyBorder="1" applyAlignment="1" applyProtection="1">
      <alignment horizontal="center" vertical="center" wrapText="1"/>
      <protection locked="0"/>
    </xf>
    <xf numFmtId="166" fontId="31" fillId="35" borderId="36" xfId="4" applyNumberFormat="1" applyFont="1" applyFill="1" applyBorder="1" applyAlignment="1" applyProtection="1">
      <alignment horizontal="center" vertical="center" wrapText="1"/>
      <protection locked="0"/>
    </xf>
    <xf numFmtId="165" fontId="61" fillId="35" borderId="26" xfId="0" applyFont="1" applyFill="1" applyBorder="1" applyAlignment="1" applyProtection="1">
      <alignment horizontal="left" vertical="center"/>
      <protection locked="0"/>
    </xf>
    <xf numFmtId="166" fontId="31" fillId="35" borderId="26" xfId="4" applyNumberFormat="1" applyFont="1" applyFill="1" applyBorder="1" applyAlignment="1" applyProtection="1">
      <alignment horizontal="center" vertical="center" wrapText="1"/>
      <protection locked="0"/>
    </xf>
    <xf numFmtId="165" fontId="31" fillId="0" borderId="0" xfId="0" applyFont="1" applyAlignment="1" applyProtection="1">
      <alignment horizontal="center"/>
      <protection locked="0"/>
    </xf>
    <xf numFmtId="0" fontId="31" fillId="0" borderId="0" xfId="7" applyFont="1" applyAlignment="1" applyProtection="1">
      <alignment horizontal="center" vertical="center"/>
      <protection locked="0"/>
    </xf>
    <xf numFmtId="168" fontId="30" fillId="0" borderId="0" xfId="7" applyNumberFormat="1" applyFont="1" applyAlignment="1" applyProtection="1">
      <alignment horizontal="center" vertical="center" wrapText="1"/>
      <protection locked="0"/>
    </xf>
    <xf numFmtId="0" fontId="31" fillId="0" borderId="0" xfId="3" applyFont="1" applyProtection="1">
      <protection locked="0"/>
    </xf>
    <xf numFmtId="166" fontId="31" fillId="0" borderId="0" xfId="3" applyNumberFormat="1" applyFont="1" applyAlignment="1" applyProtection="1">
      <alignment horizontal="center" vertical="center"/>
      <protection locked="0"/>
    </xf>
    <xf numFmtId="167" fontId="32" fillId="0" borderId="0" xfId="3" applyNumberFormat="1" applyFont="1" applyAlignment="1" applyProtection="1">
      <alignment horizontal="left" vertical="center"/>
      <protection locked="0"/>
    </xf>
    <xf numFmtId="49" fontId="30" fillId="34" borderId="0" xfId="0" applyNumberFormat="1" applyFont="1" applyFill="1" applyAlignment="1" applyProtection="1">
      <alignment horizontal="left" vertical="center"/>
      <protection locked="0"/>
    </xf>
    <xf numFmtId="176" fontId="30" fillId="34" borderId="0" xfId="0" applyNumberFormat="1" applyFont="1" applyFill="1" applyAlignment="1" applyProtection="1">
      <alignment horizontal="center" vertical="center"/>
      <protection locked="0"/>
    </xf>
    <xf numFmtId="171" fontId="30" fillId="34" borderId="0" xfId="0" applyNumberFormat="1" applyFont="1" applyFill="1" applyAlignment="1" applyProtection="1">
      <alignment horizontal="center" vertical="center"/>
      <protection locked="0"/>
    </xf>
    <xf numFmtId="165" fontId="60" fillId="36" borderId="0" xfId="0" applyFont="1" applyFill="1" applyAlignment="1" applyProtection="1">
      <alignment vertical="center"/>
      <protection locked="0"/>
    </xf>
    <xf numFmtId="166" fontId="30" fillId="36" borderId="0" xfId="4" applyNumberFormat="1" applyFont="1" applyFill="1" applyBorder="1" applyAlignment="1" applyProtection="1">
      <alignment horizontal="center" vertical="center" wrapText="1"/>
      <protection locked="0"/>
    </xf>
    <xf numFmtId="166" fontId="31" fillId="0" borderId="0" xfId="3" applyNumberFormat="1" applyFont="1" applyProtection="1">
      <protection locked="0"/>
    </xf>
    <xf numFmtId="166" fontId="30" fillId="35" borderId="0" xfId="4" applyNumberFormat="1" applyFont="1" applyFill="1" applyBorder="1" applyAlignment="1" applyProtection="1">
      <alignment horizontal="center" vertical="center" wrapText="1"/>
      <protection locked="0"/>
    </xf>
    <xf numFmtId="165" fontId="61" fillId="35" borderId="0" xfId="0" applyFont="1" applyFill="1" applyAlignment="1" applyProtection="1">
      <alignment horizontal="left" vertical="center" indent="1"/>
      <protection locked="0"/>
    </xf>
    <xf numFmtId="165" fontId="60" fillId="36" borderId="0" xfId="0" applyFont="1" applyFill="1" applyAlignment="1" applyProtection="1">
      <alignment vertical="center" wrapText="1"/>
      <protection locked="0"/>
    </xf>
    <xf numFmtId="166" fontId="101" fillId="35" borderId="0" xfId="4" applyNumberFormat="1" applyFont="1" applyFill="1" applyBorder="1" applyAlignment="1" applyProtection="1">
      <alignment horizontal="center" vertical="center" wrapText="1"/>
      <protection locked="0"/>
    </xf>
    <xf numFmtId="165" fontId="60" fillId="36" borderId="26" xfId="0" applyFont="1" applyFill="1" applyBorder="1" applyAlignment="1" applyProtection="1">
      <alignment vertical="center" wrapText="1"/>
      <protection locked="0"/>
    </xf>
    <xf numFmtId="0" fontId="32" fillId="0" borderId="0" xfId="3" applyFont="1" applyAlignment="1" applyProtection="1">
      <alignment horizontal="left"/>
      <protection locked="0"/>
    </xf>
    <xf numFmtId="0" fontId="0" fillId="2" borderId="0" xfId="0" applyNumberFormat="1" applyFill="1" applyProtection="1">
      <protection locked="0"/>
    </xf>
    <xf numFmtId="165" fontId="130" fillId="0" borderId="0" xfId="0" applyFont="1" applyProtection="1">
      <protection locked="0"/>
    </xf>
    <xf numFmtId="0" fontId="131" fillId="0" borderId="0" xfId="6" applyFont="1" applyAlignment="1" applyProtection="1">
      <alignment vertical="center"/>
      <protection locked="0"/>
    </xf>
    <xf numFmtId="0" fontId="30" fillId="34" borderId="0" xfId="0" applyNumberFormat="1" applyFont="1" applyFill="1" applyAlignment="1" applyProtection="1">
      <alignment horizontal="center" vertical="center"/>
      <protection locked="0"/>
    </xf>
    <xf numFmtId="0" fontId="30" fillId="34" borderId="29" xfId="0" applyNumberFormat="1" applyFont="1" applyFill="1" applyBorder="1" applyAlignment="1">
      <alignment horizontal="centerContinuous" vertical="center"/>
    </xf>
    <xf numFmtId="0" fontId="30" fillId="34" borderId="31" xfId="0" applyNumberFormat="1" applyFont="1" applyFill="1" applyBorder="1" applyAlignment="1">
      <alignment horizontal="centerContinuous" vertical="center"/>
    </xf>
    <xf numFmtId="165" fontId="30" fillId="34" borderId="30" xfId="0" applyFont="1" applyFill="1" applyBorder="1" applyAlignment="1">
      <alignment horizontal="centerContinuous" vertical="center"/>
    </xf>
    <xf numFmtId="165" fontId="30" fillId="34" borderId="29" xfId="0" applyFont="1" applyFill="1" applyBorder="1" applyAlignment="1">
      <alignment horizontal="centerContinuous" vertical="center"/>
    </xf>
    <xf numFmtId="0" fontId="31" fillId="34" borderId="14" xfId="0" applyNumberFormat="1" applyFont="1" applyFill="1" applyBorder="1" applyAlignment="1">
      <alignment horizontal="center" vertical="center" wrapText="1"/>
    </xf>
    <xf numFmtId="0" fontId="31" fillId="34" borderId="0" xfId="0" applyNumberFormat="1" applyFont="1" applyFill="1" applyAlignment="1">
      <alignment horizontal="center" vertical="center" wrapText="1"/>
    </xf>
    <xf numFmtId="0" fontId="30" fillId="34" borderId="0" xfId="0" applyNumberFormat="1" applyFont="1" applyFill="1" applyAlignment="1">
      <alignment horizontal="center" vertical="center" wrapText="1"/>
    </xf>
    <xf numFmtId="0" fontId="30" fillId="34" borderId="30" xfId="0" applyNumberFormat="1" applyFont="1" applyFill="1" applyBorder="1" applyAlignment="1">
      <alignment horizontal="centerContinuous" vertical="center" wrapText="1"/>
    </xf>
    <xf numFmtId="166" fontId="55" fillId="0" borderId="0" xfId="3" applyNumberFormat="1" applyFont="1" applyAlignment="1" applyProtection="1">
      <alignment horizontal="center" vertical="center"/>
      <protection locked="0"/>
    </xf>
    <xf numFmtId="165" fontId="55" fillId="2" borderId="0" xfId="0" applyFont="1" applyFill="1" applyAlignment="1">
      <alignment vertical="center"/>
    </xf>
    <xf numFmtId="3" fontId="132" fillId="0" borderId="0" xfId="0" applyNumberFormat="1" applyFont="1" applyAlignment="1">
      <alignment horizontal="center"/>
    </xf>
    <xf numFmtId="165" fontId="86" fillId="0" borderId="0" xfId="0" applyFont="1"/>
    <xf numFmtId="166" fontId="133" fillId="0" borderId="0" xfId="0" applyNumberFormat="1" applyFont="1"/>
    <xf numFmtId="165" fontId="133" fillId="0" borderId="0" xfId="0" applyFont="1"/>
    <xf numFmtId="165" fontId="55" fillId="0" borderId="0" xfId="0" applyFont="1" applyAlignment="1">
      <alignment horizontal="center"/>
    </xf>
    <xf numFmtId="165" fontId="124" fillId="0" borderId="0" xfId="0" applyFont="1"/>
    <xf numFmtId="165" fontId="97" fillId="2" borderId="0" xfId="0" applyFont="1" applyFill="1" applyAlignment="1">
      <alignment horizontal="right"/>
    </xf>
    <xf numFmtId="165" fontId="86" fillId="2" borderId="0" xfId="0" applyFont="1" applyFill="1"/>
    <xf numFmtId="165" fontId="134" fillId="2" borderId="0" xfId="0" applyFont="1" applyFill="1" applyAlignment="1">
      <alignment horizontal="center" vertical="center"/>
    </xf>
    <xf numFmtId="165" fontId="86" fillId="0" borderId="0" xfId="0" applyFont="1" applyAlignment="1">
      <alignment horizontal="centerContinuous"/>
    </xf>
    <xf numFmtId="165" fontId="124" fillId="0" borderId="0" xfId="0" applyFont="1" applyAlignment="1">
      <alignment horizontal="centerContinuous"/>
    </xf>
    <xf numFmtId="165" fontId="135" fillId="2" borderId="0" xfId="0" applyFont="1" applyFill="1"/>
    <xf numFmtId="165" fontId="136" fillId="2" borderId="0" xfId="0" applyFont="1" applyFill="1"/>
    <xf numFmtId="165" fontId="137" fillId="2" borderId="0" xfId="0" applyFont="1" applyFill="1" applyAlignment="1">
      <alignment horizontal="right"/>
    </xf>
    <xf numFmtId="165" fontId="137" fillId="2" borderId="0" xfId="0" applyFont="1" applyFill="1" applyAlignment="1">
      <alignment horizontal="center"/>
    </xf>
    <xf numFmtId="0" fontId="55" fillId="0" borderId="0" xfId="82" applyFont="1"/>
    <xf numFmtId="0" fontId="138" fillId="0" borderId="0" xfId="83" applyFont="1"/>
    <xf numFmtId="168" fontId="86" fillId="0" borderId="0" xfId="95" applyNumberFormat="1" applyFont="1" applyFill="1" applyBorder="1" applyAlignment="1">
      <alignment vertical="center"/>
    </xf>
    <xf numFmtId="168" fontId="124" fillId="0" borderId="0" xfId="95" applyNumberFormat="1" applyFont="1" applyFill="1" applyBorder="1" applyAlignment="1">
      <alignment vertical="center"/>
    </xf>
    <xf numFmtId="0" fontId="86" fillId="0" borderId="0" xfId="93" applyFont="1" applyAlignment="1">
      <alignment vertical="center"/>
    </xf>
    <xf numFmtId="0" fontId="139" fillId="0" borderId="0" xfId="83" applyFont="1"/>
    <xf numFmtId="0" fontId="140" fillId="0" borderId="0" xfId="82" applyFont="1"/>
    <xf numFmtId="1" fontId="114" fillId="37" borderId="38" xfId="0" applyNumberFormat="1" applyFont="1" applyFill="1" applyBorder="1" applyAlignment="1">
      <alignment wrapText="1"/>
    </xf>
    <xf numFmtId="1" fontId="31" fillId="0" borderId="39" xfId="0" applyNumberFormat="1" applyFont="1" applyBorder="1"/>
    <xf numFmtId="165" fontId="55" fillId="0" borderId="0" xfId="0" applyFont="1" applyProtection="1">
      <protection locked="0"/>
    </xf>
    <xf numFmtId="0" fontId="55" fillId="0" borderId="0" xfId="3" applyFont="1" applyProtection="1">
      <protection locked="0"/>
    </xf>
    <xf numFmtId="0" fontId="141" fillId="2" borderId="0" xfId="3" applyFont="1" applyFill="1" applyAlignment="1" applyProtection="1">
      <alignment horizontal="center" vertical="center"/>
      <protection locked="0"/>
    </xf>
    <xf numFmtId="0" fontId="55" fillId="2" borderId="0" xfId="3" applyFont="1" applyFill="1" applyProtection="1">
      <protection locked="0"/>
    </xf>
    <xf numFmtId="0" fontId="142" fillId="0" borderId="0" xfId="466" applyFont="1"/>
    <xf numFmtId="0" fontId="142" fillId="0" borderId="0" xfId="466" applyFont="1" applyAlignment="1">
      <alignment horizontal="center"/>
    </xf>
    <xf numFmtId="182" fontId="55" fillId="45" borderId="0" xfId="0" applyNumberFormat="1" applyFont="1" applyFill="1" applyAlignment="1">
      <alignment horizontal="center" wrapText="1"/>
    </xf>
    <xf numFmtId="165" fontId="55" fillId="2" borderId="0" xfId="0" applyFont="1" applyFill="1"/>
    <xf numFmtId="1" fontId="55" fillId="2" borderId="0" xfId="0" applyNumberFormat="1" applyFont="1" applyFill="1"/>
    <xf numFmtId="14" fontId="143" fillId="2" borderId="0" xfId="0" applyNumberFormat="1" applyFont="1" applyFill="1"/>
    <xf numFmtId="0" fontId="55" fillId="0" borderId="0" xfId="86" applyFont="1"/>
    <xf numFmtId="165" fontId="86" fillId="2" borderId="0" xfId="0" applyFont="1" applyFill="1" applyAlignment="1">
      <alignment vertical="center" wrapText="1"/>
    </xf>
    <xf numFmtId="165" fontId="86" fillId="0" borderId="0" xfId="0" quotePrefix="1" applyFont="1"/>
    <xf numFmtId="165" fontId="86" fillId="0" borderId="0" xfId="0" applyFont="1" applyAlignment="1">
      <alignment vertical="center"/>
    </xf>
    <xf numFmtId="165" fontId="144" fillId="0" borderId="0" xfId="0" applyFont="1" applyAlignment="1">
      <alignment horizontal="centerContinuous" vertical="center" wrapText="1"/>
    </xf>
    <xf numFmtId="168" fontId="86" fillId="2" borderId="0" xfId="95" applyNumberFormat="1" applyFont="1" applyFill="1" applyBorder="1" applyAlignment="1">
      <alignment vertical="center"/>
    </xf>
    <xf numFmtId="168" fontId="86" fillId="0" borderId="0" xfId="95" applyNumberFormat="1" applyFont="1" applyFill="1" applyAlignment="1">
      <alignment vertical="center"/>
    </xf>
    <xf numFmtId="181" fontId="119" fillId="35" borderId="0" xfId="0" applyNumberFormat="1" applyFont="1" applyFill="1" applyAlignment="1">
      <alignment horizontal="center" vertical="center"/>
    </xf>
    <xf numFmtId="3" fontId="31" fillId="35" borderId="0" xfId="0" applyNumberFormat="1" applyFont="1" applyFill="1" applyAlignment="1">
      <alignment horizontal="center" vertical="center"/>
    </xf>
    <xf numFmtId="1" fontId="31" fillId="35" borderId="0" xfId="0" applyNumberFormat="1" applyFont="1" applyFill="1" applyAlignment="1">
      <alignment horizontal="center" vertical="center"/>
    </xf>
    <xf numFmtId="174" fontId="34" fillId="42" borderId="63" xfId="469" applyNumberFormat="1" applyFont="1" applyFill="1" applyBorder="1" applyAlignment="1" applyProtection="1">
      <alignment horizontal="center"/>
    </xf>
    <xf numFmtId="174" fontId="34" fillId="42" borderId="0" xfId="469" applyNumberFormat="1" applyFont="1" applyFill="1" applyBorder="1" applyAlignment="1" applyProtection="1">
      <alignment horizontal="center"/>
    </xf>
    <xf numFmtId="174" fontId="34" fillId="42" borderId="64" xfId="469" applyNumberFormat="1" applyFont="1" applyFill="1" applyBorder="1" applyAlignment="1" applyProtection="1">
      <alignment horizontal="center"/>
    </xf>
    <xf numFmtId="181" fontId="31" fillId="35" borderId="0" xfId="0" applyNumberFormat="1" applyFont="1" applyFill="1" applyAlignment="1">
      <alignment horizontal="center" vertical="center"/>
    </xf>
    <xf numFmtId="165" fontId="145" fillId="2" borderId="0" xfId="0" quotePrefix="1" applyFont="1" applyFill="1" applyAlignment="1">
      <alignment horizontal="center"/>
    </xf>
    <xf numFmtId="166" fontId="86" fillId="2" borderId="0" xfId="0" applyNumberFormat="1" applyFont="1" applyFill="1" applyAlignment="1">
      <alignment horizontal="center" vertical="center"/>
    </xf>
    <xf numFmtId="166" fontId="145" fillId="2" borderId="0" xfId="0" applyNumberFormat="1" applyFont="1" applyFill="1" applyAlignment="1">
      <alignment horizontal="center" vertical="center"/>
    </xf>
    <xf numFmtId="166" fontId="105" fillId="2" borderId="0" xfId="4" applyNumberFormat="1" applyFont="1" applyFill="1" applyBorder="1" applyAlignment="1">
      <alignment horizontal="center" vertical="center" wrapText="1"/>
    </xf>
    <xf numFmtId="165" fontId="86" fillId="2" borderId="0" xfId="0" applyFont="1" applyFill="1" applyAlignment="1">
      <alignment vertical="center"/>
    </xf>
    <xf numFmtId="168" fontId="124" fillId="2" borderId="0" xfId="9" applyNumberFormat="1" applyFont="1" applyFill="1" applyBorder="1" applyAlignment="1">
      <alignment horizontal="right" vertical="center"/>
    </xf>
    <xf numFmtId="0" fontId="128" fillId="2" borderId="0" xfId="82" applyFont="1" applyFill="1" applyAlignment="1">
      <alignment horizontal="center" vertical="center"/>
    </xf>
    <xf numFmtId="0" fontId="126" fillId="2" borderId="0" xfId="82" applyFont="1" applyFill="1" applyAlignment="1">
      <alignment horizontal="center" vertical="center"/>
    </xf>
    <xf numFmtId="0" fontId="57" fillId="2" borderId="0" xfId="83" applyFill="1" applyBorder="1" applyAlignment="1">
      <alignment horizontal="center" vertical="center"/>
    </xf>
    <xf numFmtId="0" fontId="0" fillId="0" borderId="0" xfId="0" applyNumberFormat="1" applyProtection="1">
      <protection locked="0"/>
    </xf>
    <xf numFmtId="172" fontId="31" fillId="0" borderId="0" xfId="88" applyNumberFormat="1" applyFont="1" applyFill="1" applyBorder="1" applyAlignment="1">
      <alignment horizontal="left" vertical="center" wrapText="1"/>
    </xf>
    <xf numFmtId="166" fontId="31" fillId="0" borderId="0" xfId="4" applyNumberFormat="1" applyFont="1" applyFill="1" applyBorder="1" applyAlignment="1">
      <alignment horizontal="center" vertical="center" wrapText="1"/>
    </xf>
    <xf numFmtId="166" fontId="118" fillId="0" borderId="0" xfId="4" applyNumberFormat="1" applyFont="1" applyFill="1" applyBorder="1" applyAlignment="1">
      <alignment horizontal="center" vertical="center" wrapText="1"/>
    </xf>
    <xf numFmtId="14" fontId="86" fillId="0" borderId="0" xfId="0" applyNumberFormat="1" applyFont="1"/>
    <xf numFmtId="0" fontId="86" fillId="2" borderId="0" xfId="0" applyNumberFormat="1" applyFont="1" applyFill="1" applyProtection="1">
      <protection locked="0"/>
    </xf>
    <xf numFmtId="3" fontId="34" fillId="46" borderId="63" xfId="467" applyNumberFormat="1" applyFont="1" applyFill="1" applyBorder="1" applyAlignment="1">
      <alignment horizontal="center"/>
    </xf>
    <xf numFmtId="3" fontId="34" fillId="46" borderId="64" xfId="467" applyNumberFormat="1" applyFont="1" applyFill="1" applyBorder="1" applyAlignment="1">
      <alignment horizontal="center"/>
    </xf>
    <xf numFmtId="3" fontId="34" fillId="46" borderId="0" xfId="467" applyNumberFormat="1" applyFont="1" applyFill="1" applyAlignment="1">
      <alignment horizontal="center"/>
    </xf>
    <xf numFmtId="3" fontId="62" fillId="46" borderId="63" xfId="467" applyNumberFormat="1" applyFont="1" applyFill="1" applyBorder="1" applyAlignment="1">
      <alignment horizontal="center"/>
    </xf>
    <xf numFmtId="9" fontId="34" fillId="46" borderId="63" xfId="1" applyFont="1" applyFill="1" applyBorder="1" applyAlignment="1">
      <alignment horizontal="center"/>
    </xf>
    <xf numFmtId="9" fontId="34" fillId="46" borderId="64" xfId="1" applyFont="1" applyFill="1" applyBorder="1" applyAlignment="1">
      <alignment horizontal="center"/>
    </xf>
    <xf numFmtId="165" fontId="60" fillId="35" borderId="0" xfId="0" applyFont="1" applyFill="1" applyAlignment="1">
      <alignment horizontal="left" vertical="center" indent="1"/>
    </xf>
    <xf numFmtId="165" fontId="61" fillId="35" borderId="0" xfId="0" applyFont="1" applyFill="1" applyAlignment="1">
      <alignment horizontal="left" vertical="center" indent="2"/>
    </xf>
    <xf numFmtId="165" fontId="96" fillId="35" borderId="0" xfId="0" applyFont="1" applyFill="1" applyAlignment="1">
      <alignment horizontal="left" vertical="center" indent="3"/>
    </xf>
    <xf numFmtId="167" fontId="30" fillId="35" borderId="0" xfId="4" applyNumberFormat="1" applyFont="1" applyFill="1" applyBorder="1" applyAlignment="1">
      <alignment horizontal="center" vertical="center" wrapText="1"/>
    </xf>
    <xf numFmtId="167" fontId="30" fillId="35" borderId="14" xfId="4" applyNumberFormat="1" applyFont="1" applyFill="1" applyBorder="1" applyAlignment="1">
      <alignment horizontal="center" vertical="center" wrapText="1"/>
    </xf>
    <xf numFmtId="3" fontId="31" fillId="35" borderId="14" xfId="4" applyNumberFormat="1" applyFont="1" applyFill="1" applyBorder="1" applyAlignment="1">
      <alignment horizontal="center" vertical="center" wrapText="1"/>
    </xf>
    <xf numFmtId="0" fontId="146" fillId="0" borderId="0" xfId="93" applyFont="1"/>
    <xf numFmtId="165" fontId="116" fillId="0" borderId="0" xfId="0" applyFont="1"/>
    <xf numFmtId="165" fontId="116" fillId="35" borderId="13" xfId="0" applyFont="1" applyFill="1" applyBorder="1" applyAlignment="1">
      <alignment horizontal="left" vertical="center" wrapText="1" indent="2"/>
    </xf>
    <xf numFmtId="166" fontId="116" fillId="35" borderId="0" xfId="88" applyNumberFormat="1" applyFont="1" applyFill="1" applyBorder="1" applyAlignment="1">
      <alignment horizontal="center" vertical="center" wrapText="1"/>
    </xf>
    <xf numFmtId="166" fontId="116" fillId="35" borderId="14" xfId="88" applyNumberFormat="1" applyFont="1" applyFill="1" applyBorder="1" applyAlignment="1">
      <alignment horizontal="center" vertical="center" wrapText="1"/>
    </xf>
    <xf numFmtId="0" fontId="105" fillId="0" borderId="0" xfId="3" applyFont="1" applyAlignment="1">
      <alignment textRotation="90"/>
    </xf>
    <xf numFmtId="167" fontId="132" fillId="0" borderId="0" xfId="3" applyNumberFormat="1" applyFont="1" applyAlignment="1">
      <alignment horizontal="left" vertical="center"/>
    </xf>
    <xf numFmtId="165" fontId="105" fillId="2" borderId="0" xfId="0" applyFont="1" applyFill="1" applyAlignment="1">
      <alignment vertical="center"/>
    </xf>
    <xf numFmtId="0" fontId="55" fillId="0" borderId="0" xfId="3" applyFont="1" applyAlignment="1">
      <alignment textRotation="90"/>
    </xf>
    <xf numFmtId="3" fontId="105" fillId="2" borderId="0" xfId="0" applyNumberFormat="1" applyFont="1" applyFill="1" applyAlignment="1">
      <alignment horizontal="center" vertical="center" wrapText="1"/>
    </xf>
    <xf numFmtId="165" fontId="132" fillId="2" borderId="0" xfId="2" applyFont="1" applyFill="1"/>
    <xf numFmtId="0" fontId="56" fillId="0" borderId="27" xfId="82" applyFont="1" applyBorder="1"/>
    <xf numFmtId="0" fontId="56" fillId="0" borderId="16" xfId="82" applyFont="1" applyBorder="1"/>
    <xf numFmtId="0" fontId="56" fillId="0" borderId="28" xfId="82" applyFont="1" applyBorder="1"/>
    <xf numFmtId="0" fontId="105" fillId="0" borderId="0" xfId="3" applyFont="1" applyAlignment="1">
      <alignment vertical="center" textRotation="90"/>
    </xf>
    <xf numFmtId="0" fontId="55" fillId="0" borderId="0" xfId="3" applyFont="1"/>
    <xf numFmtId="0" fontId="55" fillId="2" borderId="0" xfId="3" applyFont="1" applyFill="1"/>
    <xf numFmtId="1" fontId="31" fillId="35" borderId="29" xfId="0" applyNumberFormat="1" applyFont="1" applyFill="1" applyBorder="1" applyAlignment="1">
      <alignment horizontal="center" vertical="center"/>
    </xf>
    <xf numFmtId="166" fontId="31" fillId="35" borderId="0" xfId="4" quotePrefix="1" applyNumberFormat="1" applyFont="1" applyFill="1" applyBorder="1" applyAlignment="1">
      <alignment horizontal="center" vertical="center" wrapText="1"/>
    </xf>
    <xf numFmtId="166" fontId="31" fillId="35" borderId="0" xfId="830" applyNumberFormat="1" applyFont="1" applyFill="1" applyBorder="1" applyAlignment="1">
      <alignment horizontal="center" vertical="center" wrapText="1"/>
    </xf>
    <xf numFmtId="166" fontId="30" fillId="35" borderId="0" xfId="830" applyNumberFormat="1" applyFont="1" applyFill="1" applyBorder="1" applyAlignment="1">
      <alignment horizontal="center" vertical="center" wrapText="1"/>
    </xf>
    <xf numFmtId="166" fontId="31" fillId="35" borderId="0" xfId="830" applyNumberFormat="1" applyFont="1" applyFill="1" applyBorder="1" applyAlignment="1" applyProtection="1">
      <alignment horizontal="center" vertical="center" wrapText="1"/>
      <protection locked="0"/>
    </xf>
    <xf numFmtId="3" fontId="30" fillId="35" borderId="14" xfId="4" applyNumberFormat="1" applyFont="1" applyFill="1" applyBorder="1" applyAlignment="1">
      <alignment horizontal="center" wrapText="1"/>
    </xf>
    <xf numFmtId="3" fontId="30" fillId="35" borderId="15" xfId="4" applyNumberFormat="1" applyFont="1" applyFill="1" applyBorder="1" applyAlignment="1">
      <alignment horizontal="center" wrapText="1"/>
    </xf>
    <xf numFmtId="166" fontId="55" fillId="0" borderId="0" xfId="88" applyNumberFormat="1" applyFont="1" applyFill="1" applyBorder="1" applyAlignment="1">
      <alignment horizontal="center" vertical="center" wrapText="1"/>
    </xf>
    <xf numFmtId="166" fontId="31" fillId="36" borderId="14" xfId="4" applyNumberFormat="1" applyFont="1" applyFill="1" applyBorder="1" applyAlignment="1">
      <alignment horizontal="center" vertical="center" wrapText="1"/>
    </xf>
    <xf numFmtId="166" fontId="31" fillId="36" borderId="15" xfId="4" applyNumberFormat="1" applyFont="1" applyFill="1" applyBorder="1" applyAlignment="1">
      <alignment horizontal="center" vertical="center" wrapText="1"/>
    </xf>
    <xf numFmtId="0" fontId="148" fillId="2" borderId="0" xfId="0" applyNumberFormat="1" applyFont="1" applyFill="1"/>
    <xf numFmtId="166" fontId="148" fillId="2" borderId="0" xfId="0" applyNumberFormat="1" applyFont="1" applyFill="1"/>
    <xf numFmtId="184" fontId="148" fillId="2" borderId="0" xfId="0" applyNumberFormat="1" applyFont="1" applyFill="1"/>
    <xf numFmtId="4" fontId="97" fillId="2" borderId="0" xfId="0" applyNumberFormat="1" applyFont="1" applyFill="1" applyAlignment="1">
      <alignment horizontal="right"/>
    </xf>
    <xf numFmtId="9" fontId="34" fillId="43" borderId="0" xfId="467" applyNumberFormat="1" applyFont="1" applyFill="1" applyAlignment="1">
      <alignment horizontal="center"/>
    </xf>
    <xf numFmtId="9" fontId="34" fillId="44" borderId="0" xfId="467" applyNumberFormat="1" applyFont="1" applyFill="1" applyAlignment="1">
      <alignment horizontal="center"/>
    </xf>
    <xf numFmtId="9" fontId="34" fillId="46" borderId="0" xfId="1" applyFont="1" applyFill="1" applyBorder="1" applyAlignment="1">
      <alignment horizontal="center"/>
    </xf>
    <xf numFmtId="181" fontId="34" fillId="0" borderId="0" xfId="467" applyNumberFormat="1" applyFont="1" applyAlignment="1">
      <alignment horizontal="center"/>
    </xf>
    <xf numFmtId="181" fontId="34" fillId="0" borderId="64" xfId="467" applyNumberFormat="1" applyFont="1" applyBorder="1" applyAlignment="1">
      <alignment horizontal="center"/>
    </xf>
    <xf numFmtId="181" fontId="34" fillId="40" borderId="0" xfId="467" applyNumberFormat="1" applyFont="1" applyFill="1" applyAlignment="1">
      <alignment horizontal="center"/>
    </xf>
    <xf numFmtId="181" fontId="34" fillId="40" borderId="64" xfId="467" applyNumberFormat="1" applyFont="1" applyFill="1" applyBorder="1" applyAlignment="1">
      <alignment horizontal="center"/>
    </xf>
    <xf numFmtId="181" fontId="34" fillId="41" borderId="0" xfId="467" applyNumberFormat="1" applyFont="1" applyFill="1" applyAlignment="1">
      <alignment horizontal="center"/>
    </xf>
    <xf numFmtId="181" fontId="34" fillId="41" borderId="64" xfId="467" applyNumberFormat="1" applyFont="1" applyFill="1" applyBorder="1" applyAlignment="1">
      <alignment horizontal="center"/>
    </xf>
    <xf numFmtId="181" fontId="34" fillId="46" borderId="0" xfId="467" applyNumberFormat="1" applyFont="1" applyFill="1" applyAlignment="1">
      <alignment horizontal="center"/>
    </xf>
    <xf numFmtId="181" fontId="34" fillId="46" borderId="64" xfId="467" applyNumberFormat="1" applyFont="1" applyFill="1" applyBorder="1" applyAlignment="1">
      <alignment horizontal="center"/>
    </xf>
    <xf numFmtId="167" fontId="123" fillId="42" borderId="63" xfId="467" applyNumberFormat="1" applyFont="1" applyFill="1" applyBorder="1" applyAlignment="1">
      <alignment horizontal="center"/>
    </xf>
    <xf numFmtId="167" fontId="123" fillId="42" borderId="0" xfId="467" applyNumberFormat="1" applyFont="1" applyFill="1" applyAlignment="1">
      <alignment horizontal="center"/>
    </xf>
    <xf numFmtId="167" fontId="123" fillId="42" borderId="64" xfId="467" applyNumberFormat="1" applyFont="1" applyFill="1" applyBorder="1" applyAlignment="1">
      <alignment horizontal="center"/>
    </xf>
    <xf numFmtId="184" fontId="73" fillId="2" borderId="0" xfId="0" applyNumberFormat="1" applyFont="1" applyFill="1" applyAlignment="1">
      <alignment horizontal="center"/>
    </xf>
    <xf numFmtId="182" fontId="86" fillId="2" borderId="0" xfId="95" applyNumberFormat="1" applyFont="1" applyFill="1" applyBorder="1" applyAlignment="1">
      <alignment vertical="center"/>
    </xf>
    <xf numFmtId="167" fontId="34" fillId="42" borderId="63" xfId="467" applyNumberFormat="1" applyFont="1" applyFill="1" applyBorder="1" applyAlignment="1">
      <alignment horizontal="center"/>
    </xf>
    <xf numFmtId="167" fontId="34" fillId="42" borderId="0" xfId="467" applyNumberFormat="1" applyFont="1" applyFill="1" applyAlignment="1">
      <alignment horizontal="center"/>
    </xf>
    <xf numFmtId="3" fontId="30" fillId="35" borderId="0" xfId="4" applyNumberFormat="1" applyFont="1" applyFill="1" applyBorder="1" applyAlignment="1">
      <alignment horizontal="center" vertical="center" wrapText="1"/>
    </xf>
    <xf numFmtId="167" fontId="34" fillId="43" borderId="63" xfId="467" applyNumberFormat="1" applyFont="1" applyFill="1" applyBorder="1" applyAlignment="1">
      <alignment horizontal="center"/>
    </xf>
    <xf numFmtId="167" fontId="34" fillId="44" borderId="63" xfId="467" applyNumberFormat="1" applyFont="1" applyFill="1" applyBorder="1" applyAlignment="1">
      <alignment horizontal="center"/>
    </xf>
    <xf numFmtId="167" fontId="34" fillId="46" borderId="63" xfId="1" applyNumberFormat="1" applyFont="1" applyFill="1" applyBorder="1" applyAlignment="1">
      <alignment horizontal="center"/>
    </xf>
    <xf numFmtId="167" fontId="34" fillId="46" borderId="0" xfId="1" applyNumberFormat="1" applyFont="1" applyFill="1" applyBorder="1" applyAlignment="1">
      <alignment horizontal="center"/>
    </xf>
    <xf numFmtId="167" fontId="34" fillId="46" borderId="64" xfId="1" applyNumberFormat="1" applyFont="1" applyFill="1" applyBorder="1" applyAlignment="1">
      <alignment horizontal="center"/>
    </xf>
    <xf numFmtId="180" fontId="106" fillId="35" borderId="0" xfId="0" applyNumberFormat="1" applyFont="1" applyFill="1" applyAlignment="1">
      <alignment horizontal="center" vertical="center"/>
    </xf>
    <xf numFmtId="181" fontId="31" fillId="35" borderId="0" xfId="4" applyNumberFormat="1" applyFont="1" applyFill="1" applyBorder="1" applyAlignment="1">
      <alignment horizontal="center" vertical="center" wrapText="1"/>
    </xf>
    <xf numFmtId="181" fontId="61" fillId="35" borderId="0" xfId="0" applyNumberFormat="1" applyFont="1" applyFill="1" applyAlignment="1">
      <alignment horizontal="center" vertical="center"/>
    </xf>
    <xf numFmtId="166" fontId="111" fillId="36" borderId="0" xfId="4" applyNumberFormat="1" applyFont="1" applyFill="1" applyBorder="1" applyAlignment="1">
      <alignment horizontal="left" vertical="center" wrapText="1"/>
    </xf>
    <xf numFmtId="166" fontId="111" fillId="36" borderId="0" xfId="4" applyNumberFormat="1" applyFont="1" applyFill="1" applyBorder="1" applyAlignment="1">
      <alignment horizontal="center" vertical="center" wrapText="1"/>
    </xf>
    <xf numFmtId="4" fontId="31" fillId="0" borderId="0" xfId="0" applyNumberFormat="1" applyFont="1"/>
    <xf numFmtId="3" fontId="149" fillId="35" borderId="0" xfId="0" applyNumberFormat="1" applyFont="1" applyFill="1" applyAlignment="1">
      <alignment horizontal="center" vertical="center"/>
    </xf>
    <xf numFmtId="181" fontId="149" fillId="35" borderId="0" xfId="0" applyNumberFormat="1" applyFont="1" applyFill="1" applyAlignment="1">
      <alignment horizontal="center" vertical="center"/>
    </xf>
    <xf numFmtId="181" fontId="61" fillId="35" borderId="0" xfId="0" applyNumberFormat="1" applyFont="1" applyFill="1" applyAlignment="1">
      <alignment horizontal="left" vertical="center"/>
    </xf>
    <xf numFmtId="3" fontId="34" fillId="47" borderId="63" xfId="467" applyNumberFormat="1" applyFont="1" applyFill="1" applyBorder="1" applyAlignment="1">
      <alignment horizontal="center"/>
    </xf>
    <xf numFmtId="3" fontId="34" fillId="47" borderId="64" xfId="467" applyNumberFormat="1" applyFont="1" applyFill="1" applyBorder="1" applyAlignment="1">
      <alignment horizontal="center"/>
    </xf>
    <xf numFmtId="165" fontId="107" fillId="2" borderId="0" xfId="0" applyFont="1" applyFill="1" applyAlignment="1">
      <alignment vertical="center"/>
    </xf>
    <xf numFmtId="4" fontId="0" fillId="0" borderId="0" xfId="0" applyNumberFormat="1"/>
    <xf numFmtId="3" fontId="62" fillId="47" borderId="63" xfId="467" applyNumberFormat="1" applyFont="1" applyFill="1" applyBorder="1" applyAlignment="1">
      <alignment horizontal="center"/>
    </xf>
    <xf numFmtId="3" fontId="34" fillId="47" borderId="0" xfId="467" applyNumberFormat="1" applyFont="1" applyFill="1" applyAlignment="1">
      <alignment horizontal="center"/>
    </xf>
    <xf numFmtId="181" fontId="34" fillId="47" borderId="0" xfId="467" applyNumberFormat="1" applyFont="1" applyFill="1" applyAlignment="1">
      <alignment horizontal="center"/>
    </xf>
    <xf numFmtId="181" fontId="34" fillId="47" borderId="64" xfId="467" applyNumberFormat="1" applyFont="1" applyFill="1" applyBorder="1" applyAlignment="1">
      <alignment horizontal="center"/>
    </xf>
    <xf numFmtId="167" fontId="34" fillId="47" borderId="63" xfId="1" applyNumberFormat="1" applyFont="1" applyFill="1" applyBorder="1" applyAlignment="1">
      <alignment horizontal="center"/>
    </xf>
    <xf numFmtId="167" fontId="34" fillId="47" borderId="0" xfId="1" applyNumberFormat="1" applyFont="1" applyFill="1" applyBorder="1" applyAlignment="1">
      <alignment horizontal="center"/>
    </xf>
    <xf numFmtId="167" fontId="34" fillId="47" borderId="64" xfId="1" applyNumberFormat="1" applyFont="1" applyFill="1" applyBorder="1" applyAlignment="1">
      <alignment horizontal="center"/>
    </xf>
    <xf numFmtId="9" fontId="34" fillId="47" borderId="63" xfId="1" applyFont="1" applyFill="1" applyBorder="1" applyAlignment="1">
      <alignment horizontal="center"/>
    </xf>
    <xf numFmtId="9" fontId="34" fillId="47" borderId="0" xfId="1" applyFont="1" applyFill="1" applyBorder="1" applyAlignment="1">
      <alignment horizontal="center"/>
    </xf>
    <xf numFmtId="9" fontId="34" fillId="47" borderId="64" xfId="1" applyFont="1" applyFill="1" applyBorder="1" applyAlignment="1">
      <alignment horizontal="center"/>
    </xf>
    <xf numFmtId="164" fontId="31" fillId="0" borderId="0" xfId="89" applyFont="1" applyAlignment="1">
      <alignment horizontal="right"/>
    </xf>
    <xf numFmtId="0" fontId="30" fillId="34" borderId="29" xfId="0" applyNumberFormat="1" applyFont="1" applyFill="1" applyBorder="1" applyAlignment="1">
      <alignment horizontal="centerContinuous" vertical="center" wrapText="1"/>
    </xf>
    <xf numFmtId="0" fontId="30" fillId="34" borderId="31" xfId="0" applyNumberFormat="1" applyFont="1" applyFill="1" applyBorder="1" applyAlignment="1">
      <alignment horizontal="centerContinuous" vertical="center" wrapText="1"/>
    </xf>
    <xf numFmtId="165" fontId="58" fillId="35" borderId="26" xfId="83" applyNumberFormat="1" applyFont="1" applyFill="1" applyBorder="1" applyAlignment="1" applyProtection="1">
      <alignment horizontal="left" vertical="center"/>
      <protection locked="0"/>
    </xf>
    <xf numFmtId="165" fontId="31" fillId="35" borderId="0" xfId="0" applyFont="1" applyFill="1" applyAlignment="1" applyProtection="1">
      <alignment horizontal="left" vertical="center"/>
      <protection locked="0"/>
    </xf>
    <xf numFmtId="165" fontId="61" fillId="35" borderId="0" xfId="0" applyFont="1" applyFill="1" applyAlignment="1">
      <alignment horizontal="left" vertical="center"/>
    </xf>
    <xf numFmtId="168" fontId="59" fillId="2" borderId="14" xfId="7" applyNumberFormat="1" applyFont="1" applyFill="1" applyBorder="1" applyProtection="1">
      <protection locked="0"/>
    </xf>
    <xf numFmtId="1" fontId="149" fillId="35" borderId="0" xfId="0" applyNumberFormat="1" applyFont="1" applyFill="1" applyAlignment="1">
      <alignment horizontal="center" vertical="center"/>
    </xf>
    <xf numFmtId="165" fontId="55" fillId="0" borderId="0" xfId="0" applyFont="1" applyAlignment="1" applyProtection="1">
      <alignment horizontal="center"/>
      <protection locked="0"/>
    </xf>
    <xf numFmtId="168" fontId="55" fillId="2" borderId="0" xfId="7" applyNumberFormat="1" applyFont="1" applyFill="1" applyAlignment="1" applyProtection="1">
      <alignment horizontal="center" vertical="center"/>
      <protection locked="0"/>
    </xf>
    <xf numFmtId="168" fontId="130" fillId="2" borderId="0" xfId="7" applyNumberFormat="1" applyFont="1" applyFill="1" applyAlignment="1" applyProtection="1">
      <alignment horizontal="center" vertical="center"/>
      <protection locked="0"/>
    </xf>
    <xf numFmtId="168" fontId="59" fillId="2" borderId="0" xfId="7" applyNumberFormat="1" applyFont="1" applyFill="1" applyAlignment="1" applyProtection="1">
      <alignment horizontal="center"/>
      <protection locked="0"/>
    </xf>
    <xf numFmtId="168" fontId="59" fillId="2" borderId="35" xfId="7" applyNumberFormat="1" applyFont="1" applyFill="1" applyBorder="1" applyAlignment="1" applyProtection="1">
      <alignment horizontal="center"/>
      <protection locked="0"/>
    </xf>
    <xf numFmtId="168" fontId="59" fillId="2" borderId="34" xfId="7" applyNumberFormat="1" applyFont="1" applyFill="1" applyBorder="1" applyAlignment="1" applyProtection="1">
      <alignment horizontal="center"/>
      <protection locked="0"/>
    </xf>
    <xf numFmtId="168" fontId="55" fillId="2" borderId="0" xfId="7" applyNumberFormat="1" applyFont="1" applyFill="1" applyAlignment="1" applyProtection="1">
      <alignment horizontal="center"/>
      <protection locked="0"/>
    </xf>
    <xf numFmtId="166" fontId="105" fillId="0" borderId="0" xfId="7" applyNumberFormat="1" applyFont="1" applyAlignment="1" applyProtection="1">
      <alignment horizontal="center" vertical="center"/>
      <protection locked="0"/>
    </xf>
    <xf numFmtId="166" fontId="105" fillId="0" borderId="14" xfId="7" applyNumberFormat="1" applyFont="1" applyBorder="1" applyAlignment="1" applyProtection="1">
      <alignment horizontal="center" vertical="center"/>
      <protection locked="0"/>
    </xf>
    <xf numFmtId="0" fontId="30" fillId="0" borderId="14" xfId="7" applyFont="1" applyBorder="1" applyAlignment="1" applyProtection="1">
      <alignment horizontal="center" vertical="center"/>
      <protection locked="0"/>
    </xf>
    <xf numFmtId="0" fontId="30" fillId="0" borderId="0" xfId="7" applyFont="1" applyAlignment="1" applyProtection="1">
      <alignment horizontal="center" vertical="center"/>
      <protection locked="0"/>
    </xf>
    <xf numFmtId="0" fontId="30" fillId="0" borderId="29" xfId="7" applyFont="1" applyBorder="1" applyAlignment="1" applyProtection="1">
      <alignment horizontal="center" vertical="center"/>
      <protection locked="0"/>
    </xf>
    <xf numFmtId="0" fontId="30" fillId="0" borderId="30" xfId="7" applyFont="1" applyBorder="1" applyAlignment="1" applyProtection="1">
      <alignment horizontal="center" vertical="center"/>
      <protection locked="0"/>
    </xf>
    <xf numFmtId="165" fontId="31" fillId="0" borderId="29" xfId="0" applyFont="1" applyBorder="1" applyAlignment="1" applyProtection="1">
      <alignment horizontal="center"/>
      <protection locked="0"/>
    </xf>
    <xf numFmtId="165" fontId="31" fillId="0" borderId="29" xfId="0" quotePrefix="1" applyFont="1" applyBorder="1" applyAlignment="1" applyProtection="1">
      <alignment horizontal="center"/>
      <protection locked="0"/>
    </xf>
    <xf numFmtId="166" fontId="105" fillId="0" borderId="0" xfId="7" quotePrefix="1" applyNumberFormat="1" applyFont="1" applyAlignment="1" applyProtection="1">
      <alignment horizontal="center" vertical="center"/>
      <protection locked="0"/>
    </xf>
    <xf numFmtId="166" fontId="30" fillId="0" borderId="0" xfId="7" quotePrefix="1" applyNumberFormat="1" applyFont="1" applyAlignment="1" applyProtection="1">
      <alignment horizontal="center" vertical="center"/>
      <protection locked="0"/>
    </xf>
    <xf numFmtId="3" fontId="55" fillId="0" borderId="0" xfId="0" applyNumberFormat="1" applyFont="1" applyAlignment="1" applyProtection="1">
      <alignment horizontal="center"/>
      <protection locked="0"/>
    </xf>
    <xf numFmtId="0" fontId="105" fillId="0" borderId="14" xfId="7" applyFont="1" applyBorder="1" applyAlignment="1" applyProtection="1">
      <alignment horizontal="center" vertical="center"/>
      <protection locked="0"/>
    </xf>
    <xf numFmtId="0" fontId="105" fillId="0" borderId="0" xfId="7" applyFont="1" applyAlignment="1" applyProtection="1">
      <alignment horizontal="center" vertical="center"/>
      <protection locked="0"/>
    </xf>
    <xf numFmtId="165" fontId="55" fillId="0" borderId="0" xfId="0" quotePrefix="1" applyFont="1" applyAlignment="1" applyProtection="1">
      <alignment horizontal="center"/>
      <protection locked="0"/>
    </xf>
    <xf numFmtId="165" fontId="31" fillId="0" borderId="0" xfId="0" quotePrefix="1" applyFont="1" applyAlignment="1" applyProtection="1">
      <alignment horizontal="center"/>
      <protection locked="0"/>
    </xf>
    <xf numFmtId="4" fontId="31" fillId="0" borderId="0" xfId="0" applyNumberFormat="1" applyFont="1" applyAlignment="1" applyProtection="1">
      <alignment horizontal="center"/>
      <protection locked="0"/>
    </xf>
    <xf numFmtId="165" fontId="0" fillId="0" borderId="0" xfId="0" applyAlignment="1" applyProtection="1">
      <alignment horizontal="center"/>
      <protection locked="0"/>
    </xf>
    <xf numFmtId="3" fontId="31" fillId="0" borderId="0" xfId="0" applyNumberFormat="1" applyFont="1" applyAlignment="1" applyProtection="1">
      <alignment horizontal="center"/>
      <protection locked="0"/>
    </xf>
    <xf numFmtId="9" fontId="31" fillId="0" borderId="0" xfId="0" applyNumberFormat="1" applyFont="1" applyAlignment="1" applyProtection="1">
      <alignment horizontal="center"/>
      <protection locked="0"/>
    </xf>
    <xf numFmtId="9" fontId="0" fillId="0" borderId="0" xfId="1" applyFont="1" applyBorder="1"/>
    <xf numFmtId="9" fontId="66" fillId="2" borderId="0" xfId="1" applyFont="1" applyFill="1" applyBorder="1" applyAlignment="1">
      <alignment horizontal="right"/>
    </xf>
    <xf numFmtId="0" fontId="86" fillId="0" borderId="0" xfId="0" applyNumberFormat="1" applyFont="1" applyProtection="1">
      <protection locked="0"/>
    </xf>
    <xf numFmtId="166" fontId="31" fillId="35" borderId="14" xfId="830" applyNumberFormat="1" applyFont="1" applyFill="1" applyBorder="1" applyAlignment="1">
      <alignment horizontal="center" vertical="center" wrapText="1"/>
    </xf>
    <xf numFmtId="166" fontId="30" fillId="35" borderId="14" xfId="4" applyNumberFormat="1" applyFont="1" applyFill="1" applyBorder="1" applyAlignment="1">
      <alignment horizontal="center" vertical="center" wrapText="1"/>
    </xf>
    <xf numFmtId="167" fontId="32" fillId="2" borderId="14" xfId="1" applyNumberFormat="1" applyFont="1" applyFill="1" applyBorder="1" applyAlignment="1">
      <alignment horizontal="center" vertical="center" wrapText="1"/>
    </xf>
    <xf numFmtId="166" fontId="30" fillId="36" borderId="14" xfId="4" applyNumberFormat="1" applyFont="1" applyFill="1" applyBorder="1" applyAlignment="1" applyProtection="1">
      <alignment horizontal="center" vertical="center" wrapText="1"/>
      <protection locked="0"/>
    </xf>
    <xf numFmtId="166" fontId="30" fillId="35" borderId="14" xfId="4" applyNumberFormat="1" applyFont="1" applyFill="1" applyBorder="1" applyAlignment="1" applyProtection="1">
      <alignment horizontal="center" vertical="center" wrapText="1"/>
      <protection locked="0"/>
    </xf>
    <xf numFmtId="166" fontId="31" fillId="35" borderId="14" xfId="830" applyNumberFormat="1" applyFont="1" applyFill="1" applyBorder="1" applyAlignment="1" applyProtection="1">
      <alignment horizontal="center" vertical="center" wrapText="1"/>
      <protection locked="0"/>
    </xf>
    <xf numFmtId="0" fontId="31" fillId="0" borderId="0" xfId="3" applyFont="1" applyAlignment="1">
      <alignment textRotation="90"/>
    </xf>
    <xf numFmtId="168" fontId="59" fillId="2" borderId="0" xfId="7" applyNumberFormat="1" applyFont="1" applyFill="1" applyProtection="1">
      <protection locked="0"/>
    </xf>
    <xf numFmtId="166" fontId="31" fillId="0" borderId="14" xfId="3" applyNumberFormat="1" applyFont="1" applyBorder="1" applyAlignment="1" applyProtection="1">
      <alignment horizontal="center" vertical="center"/>
      <protection locked="0"/>
    </xf>
    <xf numFmtId="3" fontId="125" fillId="2" borderId="14" xfId="0" applyNumberFormat="1" applyFont="1" applyFill="1" applyBorder="1" applyAlignment="1">
      <alignment horizontal="center" vertical="center"/>
    </xf>
    <xf numFmtId="164" fontId="0" fillId="0" borderId="0" xfId="89" applyFont="1"/>
    <xf numFmtId="0" fontId="151" fillId="0" borderId="0" xfId="93" applyFont="1"/>
    <xf numFmtId="166" fontId="99" fillId="35" borderId="14" xfId="88" applyNumberFormat="1" applyFont="1" applyFill="1" applyBorder="1" applyAlignment="1">
      <alignment horizontal="center" vertical="center" wrapText="1"/>
    </xf>
    <xf numFmtId="166" fontId="99" fillId="35" borderId="15" xfId="4" applyNumberFormat="1" applyFont="1" applyFill="1" applyBorder="1" applyAlignment="1">
      <alignment horizontal="center" vertical="center" wrapText="1"/>
    </xf>
    <xf numFmtId="172" fontId="99" fillId="35" borderId="14" xfId="88" applyNumberFormat="1" applyFont="1" applyFill="1" applyBorder="1" applyAlignment="1">
      <alignment horizontal="left" vertical="center" wrapText="1"/>
    </xf>
    <xf numFmtId="166" fontId="99" fillId="35" borderId="15" xfId="97" applyNumberFormat="1" applyFont="1" applyFill="1" applyBorder="1" applyAlignment="1">
      <alignment horizontal="center" vertical="center" wrapText="1"/>
    </xf>
    <xf numFmtId="166" fontId="99" fillId="35" borderId="0" xfId="97" applyNumberFormat="1" applyFont="1" applyFill="1" applyBorder="1" applyAlignment="1">
      <alignment horizontal="center" vertical="center" wrapText="1"/>
    </xf>
    <xf numFmtId="172" fontId="99" fillId="35" borderId="0" xfId="88" applyNumberFormat="1" applyFont="1" applyFill="1" applyBorder="1" applyAlignment="1">
      <alignment horizontal="left" vertical="center" wrapText="1" indent="1"/>
    </xf>
    <xf numFmtId="165" fontId="152" fillId="2" borderId="0" xfId="0" applyFont="1" applyFill="1" applyAlignment="1">
      <alignment horizontal="right"/>
    </xf>
    <xf numFmtId="165" fontId="102" fillId="2" borderId="0" xfId="0" applyFont="1" applyFill="1"/>
    <xf numFmtId="165" fontId="153" fillId="2" borderId="0" xfId="0" applyFont="1" applyFill="1" applyAlignment="1">
      <alignment horizontal="center"/>
    </xf>
    <xf numFmtId="166" fontId="105" fillId="0" borderId="0" xfId="4" applyNumberFormat="1" applyFont="1" applyFill="1" applyBorder="1" applyAlignment="1">
      <alignment horizontal="center" vertical="center" wrapText="1"/>
    </xf>
    <xf numFmtId="166" fontId="55" fillId="0" borderId="0" xfId="4" applyNumberFormat="1" applyFont="1" applyFill="1" applyBorder="1" applyAlignment="1">
      <alignment horizontal="center" vertical="center" wrapText="1"/>
    </xf>
    <xf numFmtId="9" fontId="0" fillId="0" borderId="0" xfId="0" applyNumberFormat="1"/>
    <xf numFmtId="168" fontId="73" fillId="2" borderId="0" xfId="89" applyNumberFormat="1" applyFont="1" applyFill="1" applyBorder="1" applyAlignment="1">
      <alignment horizontal="center"/>
    </xf>
    <xf numFmtId="168" fontId="66" fillId="2" borderId="0" xfId="89" applyNumberFormat="1" applyFont="1" applyFill="1" applyBorder="1" applyAlignment="1">
      <alignment horizontal="center"/>
    </xf>
    <xf numFmtId="168" fontId="66" fillId="2" borderId="0" xfId="89" applyNumberFormat="1" applyFont="1" applyFill="1" applyBorder="1" applyAlignment="1">
      <alignment horizontal="right"/>
    </xf>
    <xf numFmtId="14" fontId="0" fillId="0" borderId="0" xfId="0" applyNumberFormat="1"/>
    <xf numFmtId="0" fontId="154" fillId="0" borderId="0" xfId="466" applyFont="1"/>
    <xf numFmtId="3" fontId="125" fillId="2" borderId="0" xfId="0" applyNumberFormat="1" applyFont="1" applyFill="1" applyAlignment="1">
      <alignment horizontal="center" vertical="center"/>
    </xf>
    <xf numFmtId="167" fontId="107" fillId="35" borderId="0" xfId="4" applyNumberFormat="1" applyFont="1" applyFill="1" applyBorder="1" applyAlignment="1">
      <alignment horizontal="center" vertical="center" wrapText="1"/>
    </xf>
    <xf numFmtId="0" fontId="155" fillId="0" borderId="13" xfId="3" applyFont="1" applyBorder="1" applyAlignment="1">
      <alignment vertical="center" textRotation="90"/>
    </xf>
    <xf numFmtId="165" fontId="116" fillId="35" borderId="0" xfId="0" applyFont="1" applyFill="1" applyAlignment="1">
      <alignment horizontal="left" vertical="center" indent="1"/>
    </xf>
    <xf numFmtId="181" fontId="149" fillId="35" borderId="0" xfId="0" applyNumberFormat="1" applyFont="1" applyFill="1" applyAlignment="1">
      <alignment horizontal="left" vertical="center"/>
    </xf>
    <xf numFmtId="166" fontId="106" fillId="35" borderId="0" xfId="830" applyNumberFormat="1" applyFont="1" applyFill="1" applyBorder="1" applyAlignment="1" applyProtection="1">
      <alignment horizontal="center" vertical="center" wrapText="1"/>
      <protection locked="0"/>
    </xf>
    <xf numFmtId="165" fontId="34" fillId="2" borderId="0" xfId="0" applyFont="1" applyFill="1" applyAlignment="1">
      <alignment horizontal="center"/>
    </xf>
    <xf numFmtId="1" fontId="114" fillId="37" borderId="43" xfId="0" applyNumberFormat="1" applyFont="1" applyFill="1" applyBorder="1" applyAlignment="1">
      <alignment horizontal="center" wrapText="1"/>
    </xf>
    <xf numFmtId="2" fontId="114" fillId="37" borderId="39" xfId="0" applyNumberFormat="1" applyFont="1" applyFill="1" applyBorder="1" applyAlignment="1">
      <alignment horizontal="center" vertical="center" wrapText="1"/>
    </xf>
    <xf numFmtId="165" fontId="55" fillId="2" borderId="0" xfId="0" applyFont="1" applyFill="1" applyAlignment="1">
      <alignment horizontal="center" wrapText="1"/>
    </xf>
    <xf numFmtId="10" fontId="113" fillId="37" borderId="39" xfId="0" applyNumberFormat="1" applyFont="1" applyFill="1" applyBorder="1" applyAlignment="1">
      <alignment horizontal="center" vertical="center" wrapText="1"/>
    </xf>
    <xf numFmtId="10" fontId="114" fillId="37" borderId="43" xfId="0" applyNumberFormat="1" applyFont="1" applyFill="1" applyBorder="1" applyAlignment="1">
      <alignment horizontal="center" wrapText="1"/>
    </xf>
    <xf numFmtId="10" fontId="114" fillId="37" borderId="39" xfId="0" applyNumberFormat="1" applyFont="1" applyFill="1" applyBorder="1" applyAlignment="1">
      <alignment horizontal="center" vertical="center" wrapText="1"/>
    </xf>
    <xf numFmtId="10" fontId="114" fillId="37" borderId="39" xfId="0" applyNumberFormat="1" applyFont="1" applyFill="1" applyBorder="1" applyAlignment="1">
      <alignment horizontal="center" wrapText="1"/>
    </xf>
    <xf numFmtId="10" fontId="114" fillId="37" borderId="49" xfId="0" applyNumberFormat="1" applyFont="1" applyFill="1" applyBorder="1" applyAlignment="1">
      <alignment horizontal="center" wrapText="1"/>
    </xf>
    <xf numFmtId="10" fontId="114" fillId="37" borderId="52" xfId="0" applyNumberFormat="1" applyFont="1" applyFill="1" applyBorder="1" applyAlignment="1">
      <alignment horizontal="center" wrapText="1"/>
    </xf>
    <xf numFmtId="10" fontId="114" fillId="37" borderId="56" xfId="0" applyNumberFormat="1" applyFont="1" applyFill="1" applyBorder="1" applyAlignment="1">
      <alignment horizontal="center" wrapText="1"/>
    </xf>
    <xf numFmtId="9" fontId="113" fillId="37" borderId="41" xfId="0" applyNumberFormat="1" applyFont="1" applyFill="1" applyBorder="1" applyAlignment="1">
      <alignment horizontal="center" vertical="center" wrapText="1"/>
    </xf>
    <xf numFmtId="183" fontId="114" fillId="37" borderId="45" xfId="0" applyNumberFormat="1" applyFont="1" applyFill="1" applyBorder="1" applyAlignment="1">
      <alignment horizontal="center" wrapText="1"/>
    </xf>
    <xf numFmtId="183" fontId="114" fillId="37" borderId="47" xfId="0" applyNumberFormat="1" applyFont="1" applyFill="1" applyBorder="1" applyAlignment="1">
      <alignment horizontal="center" wrapText="1"/>
    </xf>
    <xf numFmtId="183" fontId="114" fillId="37" borderId="50" xfId="0" applyNumberFormat="1" applyFont="1" applyFill="1" applyBorder="1" applyAlignment="1">
      <alignment horizontal="center" wrapText="1"/>
    </xf>
    <xf numFmtId="183" fontId="114" fillId="37" borderId="54" xfId="0" applyNumberFormat="1" applyFont="1" applyFill="1" applyBorder="1" applyAlignment="1">
      <alignment horizontal="center" wrapText="1"/>
    </xf>
    <xf numFmtId="183" fontId="114" fillId="37" borderId="58" xfId="0" applyNumberFormat="1" applyFont="1" applyFill="1" applyBorder="1" applyAlignment="1">
      <alignment horizontal="center" wrapText="1"/>
    </xf>
    <xf numFmtId="183" fontId="114" fillId="37" borderId="41" xfId="0" applyNumberFormat="1" applyFont="1" applyFill="1" applyBorder="1" applyAlignment="1">
      <alignment horizontal="center" vertical="center" wrapText="1"/>
    </xf>
    <xf numFmtId="182" fontId="113" fillId="37" borderId="39" xfId="0" applyNumberFormat="1" applyFont="1" applyFill="1" applyBorder="1" applyAlignment="1">
      <alignment horizontal="center" vertical="center" wrapText="1"/>
    </xf>
    <xf numFmtId="0" fontId="109" fillId="2" borderId="0" xfId="466" applyFont="1" applyFill="1"/>
    <xf numFmtId="3" fontId="106" fillId="2" borderId="0" xfId="0" applyNumberFormat="1" applyFont="1" applyFill="1" applyAlignment="1">
      <alignment horizontal="center" vertical="center"/>
    </xf>
    <xf numFmtId="0" fontId="106" fillId="0" borderId="0" xfId="7" applyFont="1" applyAlignment="1" applyProtection="1">
      <alignment horizontal="center" vertical="center"/>
      <protection locked="0"/>
    </xf>
    <xf numFmtId="168" fontId="55" fillId="0" borderId="0" xfId="7" applyNumberFormat="1" applyFont="1" applyAlignment="1" applyProtection="1">
      <alignment horizontal="center" vertical="center"/>
      <protection locked="0"/>
    </xf>
    <xf numFmtId="3" fontId="106" fillId="0" borderId="0" xfId="0" applyNumberFormat="1" applyFont="1" applyAlignment="1">
      <alignment horizontal="center"/>
    </xf>
    <xf numFmtId="165" fontId="147" fillId="0" borderId="0" xfId="0" applyFont="1" applyAlignment="1">
      <alignment horizontal="centerContinuous"/>
    </xf>
    <xf numFmtId="165" fontId="156" fillId="0" borderId="0" xfId="0" applyFont="1"/>
    <xf numFmtId="165" fontId="157" fillId="2" borderId="0" xfId="0" applyFont="1" applyFill="1"/>
    <xf numFmtId="168" fontId="59" fillId="2" borderId="0" xfId="7" applyNumberFormat="1" applyFont="1" applyFill="1" applyAlignment="1">
      <alignment horizontal="right"/>
    </xf>
    <xf numFmtId="0" fontId="86" fillId="2" borderId="0" xfId="93" applyFont="1" applyFill="1" applyAlignment="1">
      <alignment vertical="center"/>
    </xf>
    <xf numFmtId="168" fontId="124" fillId="2" borderId="0" xfId="95" applyNumberFormat="1" applyFont="1" applyFill="1" applyBorder="1" applyAlignment="1">
      <alignment vertical="center"/>
    </xf>
    <xf numFmtId="180" fontId="31" fillId="35" borderId="29" xfId="0" applyNumberFormat="1" applyFont="1" applyFill="1" applyBorder="1" applyAlignment="1">
      <alignment horizontal="center" vertical="center"/>
    </xf>
    <xf numFmtId="181" fontId="31" fillId="35" borderId="0" xfId="0" applyNumberFormat="1" applyFont="1" applyFill="1" applyAlignment="1">
      <alignment horizontal="left" vertical="center"/>
    </xf>
    <xf numFmtId="3" fontId="31" fillId="35" borderId="29" xfId="0" applyNumberFormat="1" applyFont="1" applyFill="1" applyBorder="1" applyAlignment="1">
      <alignment horizontal="center" vertical="center"/>
    </xf>
    <xf numFmtId="0" fontId="154" fillId="0" borderId="0" xfId="466" applyFont="1" applyAlignment="1">
      <alignment horizontal="center"/>
    </xf>
    <xf numFmtId="166" fontId="31" fillId="35" borderId="14" xfId="4" quotePrefix="1" applyNumberFormat="1" applyFont="1" applyFill="1" applyBorder="1" applyAlignment="1">
      <alignment horizontal="center" vertical="center" wrapText="1"/>
    </xf>
    <xf numFmtId="0" fontId="158" fillId="2" borderId="0" xfId="466" applyFont="1" applyFill="1"/>
    <xf numFmtId="0" fontId="158" fillId="0" borderId="0" xfId="466" applyFont="1"/>
    <xf numFmtId="0" fontId="142" fillId="2" borderId="0" xfId="466" applyFont="1" applyFill="1"/>
    <xf numFmtId="165" fontId="133" fillId="2" borderId="0" xfId="0" applyFont="1" applyFill="1"/>
    <xf numFmtId="166" fontId="133" fillId="2" borderId="0" xfId="0" applyNumberFormat="1" applyFont="1" applyFill="1"/>
    <xf numFmtId="3" fontId="31" fillId="35" borderId="65" xfId="4" applyNumberFormat="1" applyFont="1" applyFill="1" applyBorder="1" applyAlignment="1">
      <alignment horizontal="center" wrapText="1"/>
    </xf>
    <xf numFmtId="165" fontId="0" fillId="0" borderId="0" xfId="0" quotePrefix="1"/>
    <xf numFmtId="165" fontId="144" fillId="2" borderId="0" xfId="0" applyFont="1" applyFill="1" applyAlignment="1">
      <alignment horizontal="centerContinuous" vertical="center" wrapText="1"/>
    </xf>
    <xf numFmtId="165" fontId="86" fillId="2" borderId="0" xfId="0" applyFont="1" applyFill="1" applyAlignment="1">
      <alignment horizontal="centerContinuous"/>
    </xf>
    <xf numFmtId="182" fontId="86" fillId="2" borderId="0" xfId="0" applyNumberFormat="1" applyFont="1" applyFill="1"/>
    <xf numFmtId="0" fontId="55" fillId="2" borderId="0" xfId="86" applyFont="1" applyFill="1"/>
    <xf numFmtId="0" fontId="31" fillId="2" borderId="0" xfId="86" applyFont="1" applyFill="1"/>
    <xf numFmtId="0" fontId="34" fillId="2" borderId="0" xfId="86" applyFont="1" applyFill="1"/>
    <xf numFmtId="165" fontId="61" fillId="35" borderId="13" xfId="0" applyFont="1" applyFill="1" applyBorder="1" applyAlignment="1">
      <alignment horizontal="left" vertical="center" wrapText="1"/>
    </xf>
    <xf numFmtId="166" fontId="34" fillId="2" borderId="0" xfId="4" applyNumberFormat="1" applyFont="1" applyFill="1" applyBorder="1" applyAlignment="1">
      <alignment horizontal="center" vertical="center" wrapText="1"/>
    </xf>
    <xf numFmtId="185" fontId="0" fillId="0" borderId="0" xfId="0" applyNumberFormat="1"/>
    <xf numFmtId="168" fontId="0" fillId="2" borderId="0" xfId="89" applyNumberFormat="1" applyFont="1" applyFill="1"/>
    <xf numFmtId="172" fontId="30" fillId="35" borderId="0" xfId="4" applyNumberFormat="1" applyFont="1" applyFill="1" applyBorder="1" applyAlignment="1">
      <alignment horizontal="center" vertical="center" wrapText="1"/>
    </xf>
    <xf numFmtId="172" fontId="30" fillId="35" borderId="14" xfId="4" applyNumberFormat="1" applyFont="1" applyFill="1" applyBorder="1" applyAlignment="1">
      <alignment horizontal="center" vertical="center" wrapText="1"/>
    </xf>
    <xf numFmtId="166" fontId="107" fillId="35" borderId="0" xfId="88" applyNumberFormat="1" applyFont="1" applyFill="1" applyBorder="1" applyAlignment="1">
      <alignment horizontal="center" vertical="center" wrapText="1"/>
    </xf>
    <xf numFmtId="3" fontId="31" fillId="0" borderId="0" xfId="0" applyNumberFormat="1" applyFont="1" applyAlignment="1">
      <alignment horizontal="center"/>
    </xf>
    <xf numFmtId="1" fontId="55" fillId="0" borderId="0" xfId="3" applyNumberFormat="1" applyFont="1" applyAlignment="1" applyProtection="1">
      <alignment horizontal="center" vertical="center"/>
      <protection locked="0"/>
    </xf>
    <xf numFmtId="1" fontId="55" fillId="0" borderId="0" xfId="89" applyNumberFormat="1" applyFont="1" applyBorder="1" applyProtection="1">
      <protection locked="0"/>
    </xf>
    <xf numFmtId="3" fontId="99" fillId="35" borderId="0" xfId="0" applyNumberFormat="1" applyFont="1" applyFill="1" applyAlignment="1">
      <alignment horizontal="center" vertical="center"/>
    </xf>
    <xf numFmtId="1" fontId="99" fillId="35" borderId="29" xfId="0" applyNumberFormat="1" applyFont="1" applyFill="1" applyBorder="1" applyAlignment="1">
      <alignment horizontal="center" vertical="center"/>
    </xf>
    <xf numFmtId="181" fontId="99" fillId="35" borderId="14" xfId="0" applyNumberFormat="1" applyFont="1" applyFill="1" applyBorder="1" applyAlignment="1">
      <alignment horizontal="center" vertical="center"/>
    </xf>
    <xf numFmtId="181" fontId="99" fillId="35" borderId="0" xfId="0" applyNumberFormat="1" applyFont="1" applyFill="1" applyAlignment="1">
      <alignment horizontal="center" vertical="center"/>
    </xf>
    <xf numFmtId="181" fontId="106" fillId="35" borderId="0" xfId="0" applyNumberFormat="1" applyFont="1" applyFill="1" applyAlignment="1">
      <alignment horizontal="center" vertical="center"/>
    </xf>
    <xf numFmtId="181" fontId="99" fillId="35" borderId="30" xfId="0" applyNumberFormat="1" applyFont="1" applyFill="1" applyBorder="1" applyAlignment="1">
      <alignment horizontal="center" vertical="center"/>
    </xf>
    <xf numFmtId="181" fontId="99" fillId="35" borderId="29" xfId="0" applyNumberFormat="1" applyFont="1" applyFill="1" applyBorder="1" applyAlignment="1">
      <alignment horizontal="center" vertical="center"/>
    </xf>
    <xf numFmtId="181" fontId="30" fillId="2" borderId="0" xfId="0" applyNumberFormat="1" applyFont="1" applyFill="1" applyAlignment="1">
      <alignment horizontal="center" vertical="center" wrapText="1"/>
    </xf>
    <xf numFmtId="9" fontId="0" fillId="0" borderId="0" xfId="89" applyNumberFormat="1" applyFont="1"/>
    <xf numFmtId="165" fontId="159" fillId="0" borderId="0" xfId="0" applyFont="1"/>
    <xf numFmtId="165" fontId="160" fillId="0" borderId="0" xfId="0" applyFont="1"/>
    <xf numFmtId="167" fontId="159" fillId="35" borderId="26" xfId="830" applyNumberFormat="1" applyFont="1" applyFill="1" applyBorder="1" applyAlignment="1">
      <alignment horizontal="center" vertical="center" wrapText="1"/>
    </xf>
    <xf numFmtId="167" fontId="159" fillId="0" borderId="26" xfId="830" applyNumberFormat="1" applyFont="1" applyFill="1" applyBorder="1" applyAlignment="1">
      <alignment horizontal="center" vertical="center" wrapText="1"/>
    </xf>
    <xf numFmtId="165" fontId="161" fillId="35" borderId="32" xfId="0" applyFont="1" applyFill="1" applyBorder="1" applyAlignment="1" applyProtection="1">
      <alignment horizontal="left" vertical="center"/>
      <protection locked="0"/>
    </xf>
    <xf numFmtId="0" fontId="159" fillId="0" borderId="13" xfId="3" applyFont="1" applyBorder="1" applyAlignment="1">
      <alignment vertical="center" textRotation="90"/>
    </xf>
    <xf numFmtId="166" fontId="31" fillId="0" borderId="0" xfId="830"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indent="1"/>
      <protection locked="0"/>
    </xf>
    <xf numFmtId="167" fontId="159" fillId="35" borderId="0" xfId="830" applyNumberFormat="1" applyFont="1" applyFill="1" applyBorder="1" applyAlignment="1">
      <alignment horizontal="center" vertical="center" wrapText="1"/>
    </xf>
    <xf numFmtId="167" fontId="159" fillId="0" borderId="0" xfId="830" applyNumberFormat="1" applyFont="1" applyFill="1" applyBorder="1" applyAlignment="1">
      <alignment horizontal="center" vertical="center" wrapText="1"/>
    </xf>
    <xf numFmtId="165" fontId="161" fillId="35" borderId="14" xfId="0" applyFont="1" applyFill="1" applyBorder="1" applyAlignment="1" applyProtection="1">
      <alignment horizontal="left" vertical="center"/>
      <protection locked="0"/>
    </xf>
    <xf numFmtId="167" fontId="32" fillId="35" borderId="0" xfId="830" applyNumberFormat="1" applyFont="1" applyFill="1" applyBorder="1" applyAlignment="1">
      <alignment horizontal="center" vertical="center" wrapText="1"/>
    </xf>
    <xf numFmtId="167" fontId="32" fillId="0" borderId="0" xfId="830" applyNumberFormat="1" applyFont="1" applyFill="1" applyBorder="1" applyAlignment="1">
      <alignment horizontal="center" vertical="center" wrapText="1"/>
    </xf>
    <xf numFmtId="166" fontId="30" fillId="36" borderId="0" xfId="830" applyNumberFormat="1" applyFont="1" applyFill="1" applyBorder="1" applyAlignment="1">
      <alignment horizontal="center" vertical="center" wrapText="1"/>
    </xf>
    <xf numFmtId="166" fontId="30" fillId="0" borderId="0" xfId="830" applyNumberFormat="1" applyFont="1" applyFill="1" applyBorder="1" applyAlignment="1">
      <alignment horizontal="center" vertical="center" wrapText="1"/>
    </xf>
    <xf numFmtId="165" fontId="60" fillId="36" borderId="14" xfId="0" applyFont="1" applyFill="1" applyBorder="1" applyAlignment="1" applyProtection="1">
      <alignment vertical="center"/>
      <protection locked="0"/>
    </xf>
    <xf numFmtId="49" fontId="30" fillId="34" borderId="29" xfId="0" applyNumberFormat="1" applyFont="1" applyFill="1" applyBorder="1" applyAlignment="1" applyProtection="1">
      <alignment horizontal="center" vertical="center"/>
      <protection locked="0"/>
    </xf>
    <xf numFmtId="49" fontId="30" fillId="34" borderId="30" xfId="0" applyNumberFormat="1" applyFont="1" applyFill="1" applyBorder="1" applyAlignment="1">
      <alignment horizontal="left" vertical="center"/>
    </xf>
    <xf numFmtId="167" fontId="32" fillId="35" borderId="26" xfId="830" applyNumberFormat="1" applyFont="1" applyFill="1" applyBorder="1" applyAlignment="1">
      <alignment horizontal="center" vertical="center" wrapText="1"/>
    </xf>
    <xf numFmtId="165" fontId="61" fillId="35" borderId="32" xfId="0" applyFont="1" applyFill="1" applyBorder="1" applyAlignment="1" applyProtection="1">
      <alignment horizontal="left" vertical="center" indent="1"/>
      <protection locked="0"/>
    </xf>
    <xf numFmtId="166" fontId="30" fillId="36" borderId="26" xfId="142" applyNumberFormat="1" applyFont="1" applyFill="1" applyBorder="1" applyAlignment="1">
      <alignment horizontal="center" vertical="center" wrapText="1"/>
    </xf>
    <xf numFmtId="166" fontId="31" fillId="0" borderId="26" xfId="830" applyNumberFormat="1" applyFont="1" applyFill="1" applyBorder="1" applyAlignment="1">
      <alignment horizontal="center" vertical="center" wrapText="1"/>
    </xf>
    <xf numFmtId="165" fontId="60" fillId="36" borderId="32" xfId="0" applyFont="1" applyFill="1" applyBorder="1" applyAlignment="1" applyProtection="1">
      <alignment vertical="center"/>
      <protection locked="0"/>
    </xf>
    <xf numFmtId="166" fontId="30" fillId="36" borderId="0" xfId="142" applyNumberFormat="1" applyFont="1" applyFill="1" applyBorder="1" applyAlignment="1">
      <alignment horizontal="center" vertical="center" wrapText="1"/>
    </xf>
    <xf numFmtId="9" fontId="32" fillId="0" borderId="0" xfId="830" applyNumberFormat="1" applyFont="1" applyFill="1" applyBorder="1" applyAlignment="1">
      <alignment horizontal="center" vertical="center" wrapText="1"/>
    </xf>
    <xf numFmtId="167" fontId="30" fillId="35" borderId="0" xfId="830" applyNumberFormat="1" applyFont="1" applyFill="1" applyBorder="1" applyAlignment="1">
      <alignment horizontal="center" vertical="center" wrapText="1"/>
    </xf>
    <xf numFmtId="166" fontId="31" fillId="35" borderId="0" xfId="142" applyNumberFormat="1" applyFont="1" applyFill="1" applyBorder="1" applyAlignment="1">
      <alignment horizontal="center" vertical="center" wrapText="1"/>
    </xf>
    <xf numFmtId="166" fontId="30" fillId="35" borderId="0" xfId="142"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protection locked="0"/>
    </xf>
    <xf numFmtId="4" fontId="31" fillId="0" borderId="0" xfId="0" applyNumberFormat="1" applyFont="1" applyAlignment="1">
      <alignment horizontal="center"/>
    </xf>
    <xf numFmtId="166" fontId="31" fillId="35" borderId="26" xfId="830" applyNumberFormat="1" applyFont="1" applyFill="1" applyBorder="1" applyAlignment="1">
      <alignment horizontal="center" vertical="center" wrapText="1"/>
    </xf>
    <xf numFmtId="166" fontId="31" fillId="2" borderId="26" xfId="830" applyNumberFormat="1" applyFont="1" applyFill="1" applyBorder="1" applyAlignment="1">
      <alignment horizontal="center" vertical="center" wrapText="1"/>
    </xf>
    <xf numFmtId="166" fontId="31" fillId="2" borderId="0" xfId="830" applyNumberFormat="1" applyFont="1" applyFill="1" applyBorder="1" applyAlignment="1">
      <alignment horizontal="center" vertical="center" wrapText="1"/>
    </xf>
    <xf numFmtId="165" fontId="61" fillId="0" borderId="14" xfId="0" applyFont="1" applyBorder="1" applyAlignment="1">
      <alignment horizontal="left" vertical="center" indent="1"/>
    </xf>
    <xf numFmtId="165" fontId="30" fillId="0" borderId="0" xfId="0" applyFont="1"/>
    <xf numFmtId="165" fontId="105" fillId="0" borderId="0" xfId="0" applyFont="1"/>
    <xf numFmtId="166" fontId="30" fillId="2" borderId="0" xfId="830" applyNumberFormat="1" applyFont="1" applyFill="1" applyBorder="1" applyAlignment="1">
      <alignment horizontal="center" vertical="center" wrapText="1"/>
    </xf>
    <xf numFmtId="165" fontId="60" fillId="35" borderId="14" xfId="0" applyFont="1" applyFill="1" applyBorder="1" applyAlignment="1" applyProtection="1">
      <alignment horizontal="left" vertical="center" indent="1"/>
      <protection locked="0"/>
    </xf>
    <xf numFmtId="165" fontId="132" fillId="0" borderId="0" xfId="0" applyFont="1"/>
    <xf numFmtId="166" fontId="32" fillId="35" borderId="0" xfId="830" applyNumberFormat="1" applyFont="1" applyFill="1" applyBorder="1" applyAlignment="1">
      <alignment horizontal="center" vertical="center" wrapText="1"/>
    </xf>
    <xf numFmtId="3" fontId="32" fillId="0" borderId="0" xfId="830" applyNumberFormat="1" applyFont="1" applyFill="1" applyBorder="1" applyAlignment="1">
      <alignment horizontal="center" vertical="center" wrapText="1"/>
    </xf>
    <xf numFmtId="165" fontId="96" fillId="35" borderId="14" xfId="0" applyFont="1" applyFill="1" applyBorder="1" applyAlignment="1" applyProtection="1">
      <alignment horizontal="left" vertical="center"/>
      <protection locked="0"/>
    </xf>
    <xf numFmtId="0" fontId="32" fillId="0" borderId="13" xfId="3" applyFont="1" applyBorder="1" applyAlignment="1">
      <alignment vertical="center" textRotation="90"/>
    </xf>
    <xf numFmtId="165" fontId="162" fillId="0" borderId="0" xfId="0" applyFont="1"/>
    <xf numFmtId="165" fontId="163" fillId="0" borderId="0" xfId="0" applyFont="1"/>
    <xf numFmtId="166" fontId="162" fillId="0" borderId="0" xfId="830"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indent="2"/>
      <protection locked="0"/>
    </xf>
    <xf numFmtId="0" fontId="31" fillId="0" borderId="13" xfId="3" applyFont="1" applyBorder="1" applyAlignment="1">
      <alignment vertical="center" textRotation="90"/>
    </xf>
    <xf numFmtId="9" fontId="32" fillId="35" borderId="0" xfId="830" applyNumberFormat="1" applyFont="1" applyFill="1" applyBorder="1" applyAlignment="1">
      <alignment horizontal="center" vertical="center" wrapText="1"/>
    </xf>
    <xf numFmtId="166" fontId="106" fillId="0" borderId="0" xfId="830" applyNumberFormat="1" applyFont="1" applyFill="1" applyBorder="1" applyAlignment="1">
      <alignment horizontal="center" vertical="center" wrapText="1"/>
    </xf>
    <xf numFmtId="167" fontId="32" fillId="35" borderId="67" xfId="830" applyNumberFormat="1" applyFont="1" applyFill="1" applyBorder="1" applyAlignment="1">
      <alignment horizontal="center" vertical="center" wrapText="1"/>
    </xf>
    <xf numFmtId="9" fontId="32" fillId="0" borderId="67" xfId="830" applyNumberFormat="1" applyFont="1" applyFill="1" applyBorder="1" applyAlignment="1">
      <alignment horizontal="center" vertical="center" wrapText="1"/>
    </xf>
    <xf numFmtId="9" fontId="32" fillId="35" borderId="67" xfId="830" applyNumberFormat="1" applyFont="1" applyFill="1" applyBorder="1" applyAlignment="1">
      <alignment horizontal="center" vertical="center" wrapText="1"/>
    </xf>
    <xf numFmtId="165" fontId="161" fillId="35" borderId="69" xfId="0" applyFont="1" applyFill="1" applyBorder="1" applyAlignment="1" applyProtection="1">
      <alignment horizontal="left" vertical="center"/>
      <protection locked="0"/>
    </xf>
    <xf numFmtId="184" fontId="30" fillId="35" borderId="66" xfId="830" applyNumberFormat="1" applyFont="1" applyFill="1" applyBorder="1" applyAlignment="1">
      <alignment horizontal="center" vertical="center" wrapText="1"/>
    </xf>
    <xf numFmtId="184" fontId="30" fillId="0" borderId="66" xfId="830" applyNumberFormat="1" applyFont="1" applyFill="1" applyBorder="1" applyAlignment="1">
      <alignment horizontal="center" vertical="center" wrapText="1"/>
    </xf>
    <xf numFmtId="165" fontId="60" fillId="35" borderId="68" xfId="0" applyFont="1" applyFill="1" applyBorder="1" applyAlignment="1" applyProtection="1">
      <alignment horizontal="left" vertical="center" indent="1"/>
      <protection locked="0"/>
    </xf>
    <xf numFmtId="166" fontId="30" fillId="35" borderId="66" xfId="830" applyNumberFormat="1" applyFont="1" applyFill="1" applyBorder="1" applyAlignment="1">
      <alignment horizontal="center" vertical="center" wrapText="1"/>
    </xf>
    <xf numFmtId="166" fontId="30" fillId="0" borderId="66" xfId="830" applyNumberFormat="1" applyFont="1" applyFill="1" applyBorder="1" applyAlignment="1">
      <alignment horizontal="center" vertical="center" wrapText="1"/>
    </xf>
    <xf numFmtId="165" fontId="60" fillId="35" borderId="14" xfId="0" applyFont="1" applyFill="1" applyBorder="1" applyAlignment="1" applyProtection="1">
      <alignment horizontal="left" vertical="center"/>
      <protection locked="0"/>
    </xf>
    <xf numFmtId="166" fontId="30" fillId="36" borderId="26" xfId="830" applyNumberFormat="1" applyFont="1" applyFill="1" applyBorder="1" applyAlignment="1">
      <alignment horizontal="center" vertical="center" wrapText="1"/>
    </xf>
    <xf numFmtId="166" fontId="30" fillId="0" borderId="26" xfId="830" applyNumberFormat="1" applyFont="1" applyFill="1" applyBorder="1" applyAlignment="1">
      <alignment horizontal="center" vertical="center" wrapText="1"/>
    </xf>
    <xf numFmtId="3" fontId="31" fillId="35" borderId="0" xfId="830" applyNumberFormat="1" applyFont="1" applyFill="1" applyBorder="1" applyAlignment="1">
      <alignment horizontal="center" vertical="center" wrapText="1"/>
    </xf>
    <xf numFmtId="166" fontId="106" fillId="35" borderId="0" xfId="830" applyNumberFormat="1" applyFont="1" applyFill="1" applyBorder="1" applyAlignment="1">
      <alignment horizontal="center" vertical="center" wrapText="1"/>
    </xf>
    <xf numFmtId="165" fontId="150" fillId="35" borderId="14" xfId="0" applyFont="1" applyFill="1" applyBorder="1" applyAlignment="1" applyProtection="1">
      <alignment horizontal="left" vertical="center"/>
      <protection locked="0"/>
    </xf>
    <xf numFmtId="0" fontId="32" fillId="0" borderId="0" xfId="3" applyFont="1" applyAlignment="1">
      <alignment vertical="center" textRotation="90"/>
    </xf>
    <xf numFmtId="167" fontId="32" fillId="0" borderId="30" xfId="3" applyNumberFormat="1" applyFont="1" applyBorder="1" applyAlignment="1" applyProtection="1">
      <alignment horizontal="left" vertical="center"/>
      <protection locked="0"/>
    </xf>
    <xf numFmtId="165" fontId="30" fillId="0" borderId="0" xfId="0" applyFont="1" applyAlignment="1">
      <alignment vertical="center"/>
    </xf>
    <xf numFmtId="165" fontId="30" fillId="2" borderId="0" xfId="0" applyFont="1" applyFill="1" applyAlignment="1">
      <alignment vertical="center"/>
    </xf>
    <xf numFmtId="165" fontId="32" fillId="2" borderId="0" xfId="2" applyFont="1" applyFill="1"/>
    <xf numFmtId="165" fontId="60" fillId="36" borderId="30" xfId="0" applyFont="1" applyFill="1" applyBorder="1" applyAlignment="1" applyProtection="1">
      <alignment vertical="center"/>
      <protection locked="0"/>
    </xf>
    <xf numFmtId="166" fontId="30" fillId="0" borderId="29" xfId="830" applyNumberFormat="1" applyFont="1" applyFill="1" applyBorder="1" applyAlignment="1">
      <alignment horizontal="center" vertical="center" wrapText="1"/>
    </xf>
    <xf numFmtId="165" fontId="106" fillId="0" borderId="0" xfId="0" applyFont="1"/>
    <xf numFmtId="165" fontId="164" fillId="0" borderId="0" xfId="0" applyFont="1" applyAlignment="1">
      <alignment horizontal="left" indent="1"/>
    </xf>
    <xf numFmtId="186" fontId="106" fillId="0" borderId="0" xfId="0" applyNumberFormat="1" applyFont="1"/>
    <xf numFmtId="4" fontId="106" fillId="0" borderId="0" xfId="0" applyNumberFormat="1" applyFont="1"/>
    <xf numFmtId="0" fontId="109" fillId="2" borderId="15" xfId="466" applyFont="1" applyFill="1" applyBorder="1" applyAlignment="1">
      <alignment vertical="center" textRotation="135" wrapText="1"/>
    </xf>
    <xf numFmtId="0" fontId="109" fillId="2" borderId="15" xfId="466" applyFont="1" applyFill="1" applyBorder="1" applyAlignment="1">
      <alignment vertical="center" textRotation="90" wrapText="1"/>
    </xf>
    <xf numFmtId="0" fontId="109" fillId="0" borderId="15" xfId="466" applyFont="1" applyBorder="1"/>
    <xf numFmtId="175" fontId="30" fillId="34" borderId="15" xfId="0" applyNumberFormat="1" applyFont="1" applyFill="1" applyBorder="1" applyAlignment="1">
      <alignment horizontal="center" vertical="center"/>
    </xf>
    <xf numFmtId="181" fontId="31" fillId="35" borderId="15" xfId="0" applyNumberFormat="1" applyFont="1" applyFill="1" applyBorder="1" applyAlignment="1">
      <alignment horizontal="left" vertical="center"/>
    </xf>
    <xf numFmtId="3" fontId="31" fillId="35" borderId="15" xfId="0" applyNumberFormat="1" applyFont="1" applyFill="1" applyBorder="1" applyAlignment="1">
      <alignment horizontal="center" vertical="center"/>
    </xf>
    <xf numFmtId="3" fontId="31" fillId="35" borderId="31" xfId="0" applyNumberFormat="1" applyFont="1" applyFill="1" applyBorder="1" applyAlignment="1">
      <alignment horizontal="center" vertical="center"/>
    </xf>
    <xf numFmtId="165" fontId="0" fillId="0" borderId="15" xfId="0" applyBorder="1"/>
    <xf numFmtId="1" fontId="31" fillId="35" borderId="15" xfId="0" applyNumberFormat="1" applyFont="1" applyFill="1" applyBorder="1" applyAlignment="1">
      <alignment horizontal="center" vertical="center"/>
    </xf>
    <xf numFmtId="1" fontId="31" fillId="35" borderId="31" xfId="0" applyNumberFormat="1" applyFont="1" applyFill="1" applyBorder="1" applyAlignment="1">
      <alignment horizontal="center" vertical="center"/>
    </xf>
    <xf numFmtId="0" fontId="154" fillId="0" borderId="15" xfId="466" applyFont="1" applyBorder="1"/>
    <xf numFmtId="0" fontId="154" fillId="0" borderId="15" xfId="466" applyFont="1" applyBorder="1" applyAlignment="1">
      <alignment horizontal="center"/>
    </xf>
    <xf numFmtId="181" fontId="106" fillId="35" borderId="14" xfId="0" applyNumberFormat="1" applyFont="1" applyFill="1" applyBorder="1" applyAlignment="1">
      <alignment horizontal="center" vertical="center"/>
    </xf>
    <xf numFmtId="9" fontId="62" fillId="34" borderId="30" xfId="0" applyNumberFormat="1" applyFont="1" applyFill="1" applyBorder="1"/>
    <xf numFmtId="10" fontId="30" fillId="35" borderId="15" xfId="4" applyNumberFormat="1" applyFont="1" applyFill="1" applyBorder="1" applyAlignment="1">
      <alignment horizontal="center" wrapText="1"/>
    </xf>
    <xf numFmtId="167" fontId="32" fillId="0" borderId="14" xfId="3" applyNumberFormat="1" applyFont="1" applyBorder="1" applyAlignment="1">
      <alignment horizontal="left" vertical="center"/>
    </xf>
    <xf numFmtId="181" fontId="119" fillId="35" borderId="0" xfId="0" applyNumberFormat="1" applyFont="1" applyFill="1" applyAlignment="1">
      <alignment horizontal="left" vertical="center"/>
    </xf>
    <xf numFmtId="3" fontId="34" fillId="35" borderId="15" xfId="0" applyNumberFormat="1" applyFont="1" applyFill="1" applyBorder="1" applyAlignment="1">
      <alignment horizontal="center" vertical="center"/>
    </xf>
    <xf numFmtId="3" fontId="31" fillId="35" borderId="30" xfId="0" applyNumberFormat="1" applyFont="1" applyFill="1" applyBorder="1" applyAlignment="1">
      <alignment horizontal="center" vertical="center"/>
    </xf>
    <xf numFmtId="181" fontId="34" fillId="35" borderId="0" xfId="0" applyNumberFormat="1" applyFont="1" applyFill="1" applyAlignment="1">
      <alignment horizontal="center" vertical="center"/>
    </xf>
    <xf numFmtId="181" fontId="34" fillId="35" borderId="14" xfId="0" applyNumberFormat="1" applyFont="1" applyFill="1" applyBorder="1" applyAlignment="1">
      <alignment horizontal="center" vertical="center"/>
    </xf>
    <xf numFmtId="181" fontId="30" fillId="35" borderId="0" xfId="4" applyNumberFormat="1" applyFont="1" applyFill="1" applyBorder="1" applyAlignment="1">
      <alignment horizontal="center" vertical="center" wrapText="1"/>
    </xf>
    <xf numFmtId="181" fontId="106" fillId="35" borderId="0" xfId="0" applyNumberFormat="1" applyFont="1" applyFill="1" applyAlignment="1">
      <alignment horizontal="left" vertical="center"/>
    </xf>
    <xf numFmtId="49" fontId="112" fillId="0" borderId="0" xfId="0" applyNumberFormat="1" applyFont="1" applyAlignment="1">
      <alignment horizontal="left" vertical="center"/>
    </xf>
    <xf numFmtId="165" fontId="89" fillId="2" borderId="0" xfId="0" applyFont="1" applyFill="1" applyAlignment="1">
      <alignment horizontal="centerContinuous"/>
    </xf>
    <xf numFmtId="49" fontId="30" fillId="0" borderId="0" xfId="0" applyNumberFormat="1" applyFont="1" applyAlignment="1">
      <alignment horizontal="left" vertical="center"/>
    </xf>
    <xf numFmtId="49" fontId="30" fillId="0" borderId="0" xfId="0" applyNumberFormat="1" applyFont="1" applyAlignment="1">
      <alignment horizontal="centerContinuous" vertical="center" wrapText="1"/>
    </xf>
    <xf numFmtId="165" fontId="31" fillId="36" borderId="26" xfId="0" applyFont="1" applyFill="1" applyBorder="1" applyAlignment="1" applyProtection="1">
      <alignment vertical="center"/>
      <protection locked="0"/>
    </xf>
    <xf numFmtId="166" fontId="31" fillId="36" borderId="26" xfId="4" applyNumberFormat="1" applyFont="1" applyFill="1" applyBorder="1" applyAlignment="1" applyProtection="1">
      <alignment horizontal="center" vertical="center" wrapText="1"/>
      <protection locked="0"/>
    </xf>
    <xf numFmtId="166" fontId="31" fillId="36" borderId="32" xfId="4" applyNumberFormat="1" applyFont="1" applyFill="1" applyBorder="1" applyAlignment="1" applyProtection="1">
      <alignment horizontal="center" vertical="center" wrapText="1"/>
      <protection locked="0"/>
    </xf>
    <xf numFmtId="167" fontId="34" fillId="42" borderId="63" xfId="1" applyNumberFormat="1" applyFont="1" applyFill="1" applyBorder="1" applyAlignment="1">
      <alignment horizontal="center"/>
    </xf>
    <xf numFmtId="167" fontId="34" fillId="42" borderId="0" xfId="1" applyNumberFormat="1" applyFont="1" applyFill="1" applyBorder="1" applyAlignment="1">
      <alignment horizontal="center"/>
    </xf>
    <xf numFmtId="167" fontId="34" fillId="42" borderId="64" xfId="1" applyNumberFormat="1" applyFont="1" applyFill="1" applyBorder="1" applyAlignment="1">
      <alignment horizontal="center"/>
    </xf>
    <xf numFmtId="9" fontId="34" fillId="42" borderId="63" xfId="1" applyFont="1" applyFill="1" applyBorder="1" applyAlignment="1">
      <alignment horizontal="center"/>
    </xf>
    <xf numFmtId="9" fontId="34" fillId="42" borderId="0" xfId="1" applyFont="1" applyFill="1" applyBorder="1" applyAlignment="1">
      <alignment horizontal="center"/>
    </xf>
    <xf numFmtId="9" fontId="34" fillId="42" borderId="64" xfId="1" applyFont="1" applyFill="1" applyBorder="1" applyAlignment="1">
      <alignment horizontal="center"/>
    </xf>
    <xf numFmtId="0" fontId="55" fillId="0" borderId="0" xfId="467" applyFont="1" applyAlignment="1">
      <alignment horizontal="center"/>
    </xf>
    <xf numFmtId="3" fontId="62" fillId="48" borderId="63" xfId="467" applyNumberFormat="1" applyFont="1" applyFill="1" applyBorder="1" applyAlignment="1">
      <alignment horizontal="center"/>
    </xf>
    <xf numFmtId="3" fontId="34" fillId="48" borderId="0" xfId="467" applyNumberFormat="1" applyFont="1" applyFill="1" applyAlignment="1">
      <alignment horizontal="center"/>
    </xf>
    <xf numFmtId="3" fontId="34" fillId="48" borderId="64" xfId="467" applyNumberFormat="1" applyFont="1" applyFill="1" applyBorder="1" applyAlignment="1">
      <alignment horizontal="center"/>
    </xf>
    <xf numFmtId="181" fontId="34" fillId="48" borderId="0" xfId="467" applyNumberFormat="1" applyFont="1" applyFill="1" applyAlignment="1">
      <alignment horizontal="center"/>
    </xf>
    <xf numFmtId="181" fontId="34" fillId="48" borderId="64" xfId="467" applyNumberFormat="1" applyFont="1" applyFill="1" applyBorder="1" applyAlignment="1">
      <alignment horizontal="center"/>
    </xf>
    <xf numFmtId="3" fontId="34" fillId="48" borderId="63" xfId="467" applyNumberFormat="1" applyFont="1" applyFill="1" applyBorder="1" applyAlignment="1">
      <alignment horizontal="center"/>
    </xf>
    <xf numFmtId="167" fontId="34" fillId="48" borderId="63" xfId="1" applyNumberFormat="1" applyFont="1" applyFill="1" applyBorder="1" applyAlignment="1">
      <alignment horizontal="center"/>
    </xf>
    <xf numFmtId="167" fontId="34" fillId="48" borderId="0" xfId="1" applyNumberFormat="1" applyFont="1" applyFill="1" applyBorder="1" applyAlignment="1">
      <alignment horizontal="center"/>
    </xf>
    <xf numFmtId="167" fontId="34" fillId="48" borderId="64" xfId="1" applyNumberFormat="1" applyFont="1" applyFill="1" applyBorder="1" applyAlignment="1">
      <alignment horizontal="center"/>
    </xf>
    <xf numFmtId="9" fontId="34" fillId="48" borderId="63" xfId="1" applyFont="1" applyFill="1" applyBorder="1" applyAlignment="1">
      <alignment horizontal="center"/>
    </xf>
    <xf numFmtId="9" fontId="34" fillId="48" borderId="0" xfId="1" applyFont="1" applyFill="1" applyBorder="1" applyAlignment="1">
      <alignment horizontal="center"/>
    </xf>
    <xf numFmtId="9" fontId="34" fillId="48" borderId="64" xfId="1" applyFont="1" applyFill="1" applyBorder="1" applyAlignment="1">
      <alignment horizontal="center"/>
    </xf>
    <xf numFmtId="166" fontId="86" fillId="0" borderId="0" xfId="0" applyNumberFormat="1" applyFont="1"/>
    <xf numFmtId="166" fontId="165" fillId="2" borderId="0" xfId="0" applyNumberFormat="1" applyFont="1" applyFill="1" applyAlignment="1">
      <alignment horizontal="center" vertical="center"/>
    </xf>
    <xf numFmtId="167" fontId="31" fillId="0" borderId="29" xfId="1" quotePrefix="1" applyNumberFormat="1" applyFont="1" applyFill="1" applyBorder="1" applyAlignment="1" applyProtection="1">
      <alignment horizontal="center"/>
      <protection locked="0"/>
    </xf>
    <xf numFmtId="0" fontId="154" fillId="2" borderId="0" xfId="466" applyFont="1" applyFill="1"/>
    <xf numFmtId="1" fontId="55" fillId="0" borderId="0" xfId="0" applyNumberFormat="1" applyFont="1" applyAlignment="1">
      <alignment horizontal="center"/>
    </xf>
    <xf numFmtId="165" fontId="106" fillId="0" borderId="0" xfId="0" applyFont="1" applyAlignment="1" applyProtection="1">
      <alignment horizontal="center"/>
      <protection locked="0"/>
    </xf>
    <xf numFmtId="168" fontId="106" fillId="0" borderId="0" xfId="7" applyNumberFormat="1" applyFont="1" applyAlignment="1" applyProtection="1">
      <alignment horizontal="center" vertical="center"/>
      <protection locked="0"/>
    </xf>
    <xf numFmtId="165" fontId="107" fillId="0" borderId="0" xfId="0" applyFont="1" applyAlignment="1">
      <alignment vertical="center"/>
    </xf>
    <xf numFmtId="0" fontId="31" fillId="0" borderId="0" xfId="3" applyFont="1" applyAlignment="1">
      <alignment vertical="center" textRotation="90"/>
    </xf>
    <xf numFmtId="0" fontId="99" fillId="0" borderId="13" xfId="3" applyFont="1" applyBorder="1" applyAlignment="1">
      <alignment vertical="center" textRotation="90"/>
    </xf>
    <xf numFmtId="165" fontId="99" fillId="35" borderId="0" xfId="0" applyFont="1" applyFill="1" applyAlignment="1">
      <alignment horizontal="left" vertical="center" wrapText="1" indent="1"/>
    </xf>
    <xf numFmtId="165" fontId="98" fillId="35" borderId="0" xfId="83" applyNumberFormat="1" applyFont="1" applyFill="1" applyBorder="1" applyAlignment="1" applyProtection="1">
      <alignment horizontal="left" vertical="center" indent="1"/>
      <protection locked="0"/>
    </xf>
    <xf numFmtId="165" fontId="58" fillId="35" borderId="0" xfId="83" applyNumberFormat="1" applyFont="1" applyFill="1" applyBorder="1" applyAlignment="1" applyProtection="1">
      <alignment horizontal="left" vertical="center" indent="1"/>
      <protection locked="0"/>
    </xf>
    <xf numFmtId="165" fontId="61" fillId="35" borderId="0" xfId="0" applyFont="1" applyFill="1" applyAlignment="1" applyProtection="1">
      <alignment horizontal="left" vertical="center" indent="2"/>
      <protection locked="0"/>
    </xf>
    <xf numFmtId="0" fontId="55" fillId="0" borderId="0" xfId="3" applyFont="1" applyAlignment="1">
      <alignment vertical="center" textRotation="90"/>
    </xf>
    <xf numFmtId="165" fontId="60" fillId="36" borderId="0" xfId="0" applyFont="1" applyFill="1" applyAlignment="1">
      <alignment horizontal="left" vertical="center" indent="1"/>
    </xf>
    <xf numFmtId="0" fontId="95" fillId="2" borderId="0" xfId="0" applyNumberFormat="1" applyFont="1" applyFill="1" applyProtection="1">
      <protection locked="0"/>
    </xf>
    <xf numFmtId="167" fontId="0" fillId="0" borderId="0" xfId="1" applyNumberFormat="1" applyFont="1"/>
    <xf numFmtId="165" fontId="167" fillId="0" borderId="0" xfId="0" applyFont="1"/>
    <xf numFmtId="165" fontId="168" fillId="0" borderId="0" xfId="0" applyFont="1"/>
    <xf numFmtId="184" fontId="169" fillId="0" borderId="0" xfId="0" applyNumberFormat="1" applyFont="1"/>
    <xf numFmtId="166" fontId="150" fillId="0" borderId="0" xfId="830" applyNumberFormat="1" applyFont="1" applyFill="1" applyBorder="1" applyAlignment="1">
      <alignment horizontal="center" vertical="center" wrapText="1"/>
    </xf>
    <xf numFmtId="166" fontId="150" fillId="35" borderId="0" xfId="830" applyNumberFormat="1" applyFont="1" applyFill="1" applyBorder="1" applyAlignment="1">
      <alignment horizontal="center" vertical="center" wrapText="1"/>
    </xf>
    <xf numFmtId="166" fontId="32" fillId="0" borderId="0" xfId="830" applyNumberFormat="1" applyFont="1" applyFill="1" applyBorder="1" applyAlignment="1">
      <alignment horizontal="center" vertical="center" wrapText="1"/>
    </xf>
    <xf numFmtId="166" fontId="107" fillId="0" borderId="0" xfId="830" applyNumberFormat="1" applyFont="1" applyFill="1" applyBorder="1" applyAlignment="1">
      <alignment horizontal="center" vertical="center" wrapText="1"/>
    </xf>
    <xf numFmtId="166" fontId="107" fillId="36" borderId="0" xfId="830" applyNumberFormat="1" applyFont="1" applyFill="1" applyBorder="1" applyAlignment="1">
      <alignment horizontal="center" vertical="center" wrapText="1"/>
    </xf>
    <xf numFmtId="9" fontId="32" fillId="35" borderId="26" xfId="830" applyNumberFormat="1" applyFont="1" applyFill="1" applyBorder="1" applyAlignment="1">
      <alignment horizontal="center" vertical="center" wrapText="1"/>
    </xf>
    <xf numFmtId="166" fontId="107" fillId="0" borderId="29" xfId="830" applyNumberFormat="1" applyFont="1" applyFill="1" applyBorder="1" applyAlignment="1">
      <alignment horizontal="center" vertical="center" wrapText="1"/>
    </xf>
    <xf numFmtId="166" fontId="107" fillId="36" borderId="29" xfId="830" applyNumberFormat="1" applyFont="1" applyFill="1" applyBorder="1" applyAlignment="1">
      <alignment horizontal="center" vertical="center" wrapText="1"/>
    </xf>
    <xf numFmtId="1" fontId="31" fillId="0" borderId="0" xfId="0" applyNumberFormat="1" applyFont="1" applyAlignment="1">
      <alignment horizontal="center"/>
    </xf>
    <xf numFmtId="165" fontId="61" fillId="0" borderId="0" xfId="0" applyFont="1" applyAlignment="1">
      <alignment horizontal="left" vertical="center" indent="1"/>
    </xf>
    <xf numFmtId="1" fontId="61" fillId="0" borderId="0" xfId="0" applyNumberFormat="1" applyFont="1" applyAlignment="1">
      <alignment horizontal="center" vertical="center"/>
    </xf>
    <xf numFmtId="1" fontId="31" fillId="0" borderId="0" xfId="0" applyNumberFormat="1" applyFont="1" applyAlignment="1">
      <alignment horizontal="center" vertical="center"/>
    </xf>
    <xf numFmtId="1" fontId="34" fillId="0" borderId="0" xfId="0" applyNumberFormat="1" applyFont="1" applyAlignment="1">
      <alignment horizontal="center" vertical="center"/>
    </xf>
    <xf numFmtId="1" fontId="31" fillId="0" borderId="15" xfId="0" applyNumberFormat="1" applyFont="1" applyBorder="1" applyAlignment="1">
      <alignment horizontal="center" vertical="center"/>
    </xf>
    <xf numFmtId="1" fontId="99" fillId="0" borderId="0" xfId="0" applyNumberFormat="1" applyFont="1" applyAlignment="1">
      <alignment horizontal="center" vertical="center"/>
    </xf>
    <xf numFmtId="166" fontId="31" fillId="35" borderId="0" xfId="894" applyNumberFormat="1" applyFont="1" applyFill="1" applyBorder="1" applyAlignment="1">
      <alignment horizontal="center" vertical="center" wrapText="1"/>
    </xf>
    <xf numFmtId="166" fontId="31" fillId="35" borderId="0" xfId="901" applyNumberFormat="1" applyFont="1" applyFill="1" applyBorder="1" applyAlignment="1">
      <alignment horizontal="center" vertical="center" wrapText="1"/>
    </xf>
    <xf numFmtId="9" fontId="106" fillId="2" borderId="0" xfId="0" applyNumberFormat="1" applyFont="1" applyFill="1" applyAlignment="1">
      <alignment horizontal="center" vertical="center"/>
    </xf>
    <xf numFmtId="184" fontId="172" fillId="0" borderId="0" xfId="0" applyNumberFormat="1" applyFont="1"/>
    <xf numFmtId="181" fontId="31" fillId="35" borderId="14" xfId="0" applyNumberFormat="1" applyFont="1" applyFill="1" applyBorder="1" applyAlignment="1">
      <alignment horizontal="center" vertical="center"/>
    </xf>
    <xf numFmtId="165" fontId="106" fillId="2" borderId="0" xfId="0" applyFont="1" applyFill="1"/>
    <xf numFmtId="10" fontId="0" fillId="0" borderId="0" xfId="89" applyNumberFormat="1" applyFont="1"/>
    <xf numFmtId="187" fontId="0" fillId="0" borderId="0" xfId="0" applyNumberFormat="1"/>
    <xf numFmtId="3" fontId="62" fillId="49" borderId="63" xfId="467" applyNumberFormat="1" applyFont="1" applyFill="1" applyBorder="1" applyAlignment="1">
      <alignment horizontal="center"/>
    </xf>
    <xf numFmtId="3" fontId="34" fillId="49" borderId="0" xfId="467" applyNumberFormat="1" applyFont="1" applyFill="1" applyAlignment="1">
      <alignment horizontal="center"/>
    </xf>
    <xf numFmtId="3" fontId="34" fillId="49" borderId="64" xfId="467" applyNumberFormat="1" applyFont="1" applyFill="1" applyBorder="1" applyAlignment="1">
      <alignment horizontal="center"/>
    </xf>
    <xf numFmtId="181" fontId="34" fillId="49" borderId="0" xfId="467" applyNumberFormat="1" applyFont="1" applyFill="1" applyAlignment="1">
      <alignment horizontal="center"/>
    </xf>
    <xf numFmtId="181" fontId="34" fillId="49" borderId="64" xfId="467" applyNumberFormat="1" applyFont="1" applyFill="1" applyBorder="1" applyAlignment="1">
      <alignment horizontal="center"/>
    </xf>
    <xf numFmtId="3" fontId="34" fillId="49" borderId="63" xfId="467" applyNumberFormat="1" applyFont="1" applyFill="1" applyBorder="1" applyAlignment="1">
      <alignment horizontal="center"/>
    </xf>
    <xf numFmtId="167" fontId="34" fillId="49" borderId="63" xfId="1" applyNumberFormat="1" applyFont="1" applyFill="1" applyBorder="1" applyAlignment="1">
      <alignment horizontal="center"/>
    </xf>
    <xf numFmtId="167" fontId="34" fillId="49" borderId="0" xfId="1" applyNumberFormat="1" applyFont="1" applyFill="1" applyBorder="1" applyAlignment="1">
      <alignment horizontal="center"/>
    </xf>
    <xf numFmtId="167" fontId="34" fillId="49" borderId="64" xfId="1" applyNumberFormat="1" applyFont="1" applyFill="1" applyBorder="1" applyAlignment="1">
      <alignment horizontal="center"/>
    </xf>
    <xf numFmtId="9" fontId="34" fillId="49" borderId="63" xfId="1" applyFont="1" applyFill="1" applyBorder="1" applyAlignment="1">
      <alignment horizontal="center"/>
    </xf>
    <xf numFmtId="9" fontId="34" fillId="49" borderId="0" xfId="1" applyFont="1" applyFill="1" applyBorder="1" applyAlignment="1">
      <alignment horizontal="center"/>
    </xf>
    <xf numFmtId="9" fontId="34" fillId="49" borderId="64" xfId="1" applyFont="1" applyFill="1" applyBorder="1" applyAlignment="1">
      <alignment horizontal="center"/>
    </xf>
    <xf numFmtId="168" fontId="125" fillId="2" borderId="0" xfId="7" applyNumberFormat="1" applyFont="1" applyFill="1" applyProtection="1">
      <protection locked="0"/>
    </xf>
    <xf numFmtId="9" fontId="31" fillId="2" borderId="0" xfId="0" applyNumberFormat="1" applyFont="1" applyFill="1" applyAlignment="1">
      <alignment horizontal="center" vertical="center"/>
    </xf>
    <xf numFmtId="165" fontId="173" fillId="0" borderId="0" xfId="0" applyFont="1"/>
    <xf numFmtId="168" fontId="125" fillId="0" borderId="0" xfId="89" applyNumberFormat="1" applyFont="1" applyFill="1"/>
    <xf numFmtId="168" fontId="29" fillId="2" borderId="0" xfId="95" applyNumberFormat="1" applyFont="1" applyFill="1" applyBorder="1" applyAlignment="1">
      <alignment vertical="center"/>
    </xf>
    <xf numFmtId="165" fontId="174" fillId="0" borderId="0" xfId="0" applyFont="1"/>
    <xf numFmtId="165" fontId="175" fillId="0" borderId="0" xfId="0" applyFont="1"/>
    <xf numFmtId="165" fontId="176" fillId="0" borderId="0" xfId="0" applyFont="1"/>
    <xf numFmtId="174" fontId="114" fillId="37" borderId="39" xfId="0" applyNumberFormat="1" applyFont="1" applyFill="1" applyBorder="1" applyAlignment="1">
      <alignment horizontal="center" wrapText="1"/>
    </xf>
    <xf numFmtId="174" fontId="114" fillId="37" borderId="43" xfId="0" applyNumberFormat="1" applyFont="1" applyFill="1" applyBorder="1" applyAlignment="1">
      <alignment horizontal="center" wrapText="1"/>
    </xf>
    <xf numFmtId="174" fontId="113" fillId="37" borderId="39" xfId="0" applyNumberFormat="1" applyFont="1" applyFill="1" applyBorder="1" applyAlignment="1">
      <alignment horizontal="center" vertical="center" wrapText="1"/>
    </xf>
    <xf numFmtId="174" fontId="114" fillId="37" borderId="49" xfId="0" applyNumberFormat="1" applyFont="1" applyFill="1" applyBorder="1" applyAlignment="1">
      <alignment horizontal="center" wrapText="1"/>
    </xf>
    <xf numFmtId="174" fontId="114" fillId="37" borderId="52" xfId="0" applyNumberFormat="1" applyFont="1" applyFill="1" applyBorder="1" applyAlignment="1">
      <alignment horizontal="center" wrapText="1"/>
    </xf>
    <xf numFmtId="174" fontId="114" fillId="37" borderId="56" xfId="0" applyNumberFormat="1" applyFont="1" applyFill="1" applyBorder="1" applyAlignment="1">
      <alignment horizontal="center" wrapText="1"/>
    </xf>
    <xf numFmtId="165" fontId="177" fillId="0" borderId="0" xfId="0" applyFont="1"/>
    <xf numFmtId="166" fontId="30" fillId="34" borderId="31" xfId="0" applyNumberFormat="1" applyFont="1" applyFill="1" applyBorder="1" applyAlignment="1">
      <alignment horizontal="centerContinuous" vertical="center" wrapText="1"/>
    </xf>
    <xf numFmtId="165" fontId="31" fillId="35" borderId="0" xfId="0" applyFont="1" applyFill="1"/>
    <xf numFmtId="1" fontId="113" fillId="37" borderId="38" xfId="0" applyNumberFormat="1" applyFont="1" applyFill="1" applyBorder="1" applyAlignment="1">
      <alignment wrapText="1"/>
    </xf>
    <xf numFmtId="1" fontId="30" fillId="0" borderId="39" xfId="0" applyNumberFormat="1" applyFont="1" applyBorder="1"/>
    <xf numFmtId="174" fontId="113" fillId="37" borderId="39" xfId="0" applyNumberFormat="1" applyFont="1" applyFill="1" applyBorder="1" applyAlignment="1">
      <alignment horizontal="center" wrapText="1"/>
    </xf>
    <xf numFmtId="2" fontId="113" fillId="37" borderId="46" xfId="0" applyNumberFormat="1" applyFont="1" applyFill="1" applyBorder="1" applyAlignment="1">
      <alignment horizontal="center" wrapText="1"/>
    </xf>
    <xf numFmtId="1" fontId="105" fillId="2" borderId="0" xfId="0" applyNumberFormat="1" applyFont="1" applyFill="1"/>
    <xf numFmtId="182" fontId="30" fillId="0" borderId="39" xfId="0" applyNumberFormat="1" applyFont="1" applyBorder="1"/>
    <xf numFmtId="165" fontId="113" fillId="37" borderId="42" xfId="0" applyFont="1" applyFill="1" applyBorder="1" applyAlignment="1">
      <alignment horizontal="center" wrapText="1"/>
    </xf>
    <xf numFmtId="182" fontId="113" fillId="37" borderId="43" xfId="0" applyNumberFormat="1" applyFont="1" applyFill="1" applyBorder="1" applyAlignment="1">
      <alignment horizontal="center" wrapText="1"/>
    </xf>
    <xf numFmtId="2" fontId="113" fillId="37" borderId="43" xfId="0" applyNumberFormat="1" applyFont="1" applyFill="1" applyBorder="1" applyAlignment="1">
      <alignment horizontal="center" wrapText="1"/>
    </xf>
    <xf numFmtId="174" fontId="113" fillId="37" borderId="43" xfId="0" applyNumberFormat="1" applyFont="1" applyFill="1" applyBorder="1" applyAlignment="1">
      <alignment horizontal="center" wrapText="1"/>
    </xf>
    <xf numFmtId="2" fontId="113" fillId="37" borderId="44" xfId="0" applyNumberFormat="1" applyFont="1" applyFill="1" applyBorder="1" applyAlignment="1">
      <alignment horizontal="center" wrapText="1"/>
    </xf>
    <xf numFmtId="10" fontId="113" fillId="37" borderId="43" xfId="0" applyNumberFormat="1" applyFont="1" applyFill="1" applyBorder="1" applyAlignment="1">
      <alignment horizontal="center" wrapText="1"/>
    </xf>
    <xf numFmtId="183" fontId="113" fillId="37" borderId="45" xfId="0" applyNumberFormat="1" applyFont="1" applyFill="1" applyBorder="1" applyAlignment="1">
      <alignment horizontal="center" wrapText="1"/>
    </xf>
    <xf numFmtId="182" fontId="105" fillId="45" borderId="0" xfId="0" applyNumberFormat="1" applyFont="1" applyFill="1" applyAlignment="1">
      <alignment horizontal="center" wrapText="1"/>
    </xf>
    <xf numFmtId="2" fontId="113" fillId="37" borderId="39" xfId="0" applyNumberFormat="1" applyFont="1" applyFill="1" applyBorder="1" applyAlignment="1">
      <alignment horizontal="center" wrapText="1"/>
    </xf>
    <xf numFmtId="10" fontId="113" fillId="37" borderId="39" xfId="0" applyNumberFormat="1" applyFont="1" applyFill="1" applyBorder="1" applyAlignment="1">
      <alignment horizontal="center" wrapText="1"/>
    </xf>
    <xf numFmtId="183" fontId="113" fillId="37" borderId="47" xfId="0" applyNumberFormat="1" applyFont="1" applyFill="1" applyBorder="1" applyAlignment="1">
      <alignment horizontal="center" wrapText="1"/>
    </xf>
    <xf numFmtId="164" fontId="55" fillId="0" borderId="0" xfId="89" applyFont="1" applyAlignment="1">
      <alignment horizontal="right"/>
    </xf>
    <xf numFmtId="9" fontId="105" fillId="2" borderId="0" xfId="1" applyFont="1" applyFill="1" applyBorder="1" applyAlignment="1">
      <alignment horizontal="center" vertical="center" wrapText="1"/>
    </xf>
    <xf numFmtId="0" fontId="55" fillId="0" borderId="0" xfId="3" applyFont="1" applyAlignment="1" applyProtection="1">
      <alignment vertical="center"/>
      <protection locked="0"/>
    </xf>
    <xf numFmtId="168" fontId="55" fillId="0" borderId="0" xfId="89" applyNumberFormat="1" applyFont="1" applyBorder="1" applyProtection="1">
      <protection locked="0"/>
    </xf>
    <xf numFmtId="9" fontId="86" fillId="0" borderId="0" xfId="0" applyNumberFormat="1" applyFont="1"/>
    <xf numFmtId="165" fontId="86" fillId="0" borderId="0" xfId="0" applyFont="1" applyAlignment="1">
      <alignment horizontal="center"/>
    </xf>
    <xf numFmtId="165" fontId="133" fillId="0" borderId="0" xfId="0" applyFont="1" applyAlignment="1">
      <alignment horizontal="center"/>
    </xf>
    <xf numFmtId="166" fontId="133" fillId="0" borderId="0" xfId="0" applyNumberFormat="1" applyFont="1" applyAlignment="1">
      <alignment horizontal="center"/>
    </xf>
    <xf numFmtId="3" fontId="105" fillId="0" borderId="0" xfId="0" applyNumberFormat="1" applyFont="1" applyAlignment="1">
      <alignment horizontal="center" vertical="center" wrapText="1"/>
    </xf>
    <xf numFmtId="1" fontId="55" fillId="0" borderId="0" xfId="89" applyNumberFormat="1" applyFont="1" applyBorder="1" applyAlignment="1" applyProtection="1">
      <alignment horizontal="center"/>
      <protection locked="0"/>
    </xf>
    <xf numFmtId="165" fontId="178" fillId="0" borderId="0" xfId="0" applyFont="1" applyAlignment="1">
      <alignment horizontal="left" indent="1"/>
    </xf>
    <xf numFmtId="168" fontId="178" fillId="0" borderId="0" xfId="89" applyNumberFormat="1" applyFont="1" applyFill="1"/>
    <xf numFmtId="0" fontId="179" fillId="0" borderId="0" xfId="466" applyFont="1" applyAlignment="1">
      <alignment horizontal="center"/>
    </xf>
    <xf numFmtId="0" fontId="179" fillId="2" borderId="0" xfId="466" applyFont="1" applyFill="1" applyAlignment="1">
      <alignment horizontal="center"/>
    </xf>
    <xf numFmtId="182" fontId="142" fillId="0" borderId="0" xfId="466" applyNumberFormat="1" applyFont="1"/>
    <xf numFmtId="182" fontId="142" fillId="0" borderId="0" xfId="466" applyNumberFormat="1" applyFont="1" applyAlignment="1">
      <alignment horizontal="center"/>
    </xf>
    <xf numFmtId="182" fontId="142" fillId="2" borderId="0" xfId="466" applyNumberFormat="1" applyFont="1" applyFill="1"/>
    <xf numFmtId="182" fontId="142" fillId="2" borderId="15" xfId="466" applyNumberFormat="1" applyFont="1" applyFill="1" applyBorder="1"/>
    <xf numFmtId="0" fontId="179" fillId="0" borderId="0" xfId="466" applyFont="1"/>
    <xf numFmtId="1" fontId="179" fillId="0" borderId="0" xfId="466" applyNumberFormat="1" applyFont="1"/>
    <xf numFmtId="1" fontId="179" fillId="0" borderId="0" xfId="466" applyNumberFormat="1" applyFont="1" applyAlignment="1">
      <alignment horizontal="center"/>
    </xf>
    <xf numFmtId="3" fontId="179" fillId="0" borderId="0" xfId="466" applyNumberFormat="1" applyFont="1"/>
    <xf numFmtId="165" fontId="60" fillId="35" borderId="29" xfId="0" applyFont="1" applyFill="1" applyBorder="1" applyAlignment="1">
      <alignment horizontal="left" vertical="center" indent="1"/>
    </xf>
    <xf numFmtId="1" fontId="60" fillId="35" borderId="29" xfId="0" applyNumberFormat="1" applyFont="1" applyFill="1" applyBorder="1" applyAlignment="1">
      <alignment horizontal="center" vertical="center"/>
    </xf>
    <xf numFmtId="3" fontId="60" fillId="35" borderId="29" xfId="0" applyNumberFormat="1" applyFont="1" applyFill="1" applyBorder="1" applyAlignment="1">
      <alignment horizontal="center" vertical="center"/>
    </xf>
    <xf numFmtId="1" fontId="30" fillId="35" borderId="29" xfId="0" applyNumberFormat="1" applyFont="1" applyFill="1" applyBorder="1" applyAlignment="1">
      <alignment horizontal="center" vertical="center"/>
    </xf>
    <xf numFmtId="1" fontId="62" fillId="35" borderId="29" xfId="0" applyNumberFormat="1" applyFont="1" applyFill="1" applyBorder="1" applyAlignment="1">
      <alignment horizontal="center" vertical="center"/>
    </xf>
    <xf numFmtId="1" fontId="30" fillId="35" borderId="31" xfId="0" applyNumberFormat="1" applyFont="1" applyFill="1" applyBorder="1" applyAlignment="1">
      <alignment horizontal="center" vertical="center"/>
    </xf>
    <xf numFmtId="1" fontId="101" fillId="35" borderId="29" xfId="0" applyNumberFormat="1" applyFont="1" applyFill="1" applyBorder="1" applyAlignment="1">
      <alignment horizontal="center" vertical="center"/>
    </xf>
    <xf numFmtId="3" fontId="30" fillId="35" borderId="29" xfId="0" applyNumberFormat="1" applyFont="1" applyFill="1" applyBorder="1" applyAlignment="1">
      <alignment horizontal="center" vertical="center"/>
    </xf>
    <xf numFmtId="180" fontId="116" fillId="35" borderId="0" xfId="0" applyNumberFormat="1" applyFont="1" applyFill="1" applyAlignment="1">
      <alignment horizontal="center" vertical="center"/>
    </xf>
    <xf numFmtId="1" fontId="116" fillId="35" borderId="0" xfId="0" applyNumberFormat="1" applyFont="1" applyFill="1" applyAlignment="1">
      <alignment horizontal="center" vertical="center"/>
    </xf>
    <xf numFmtId="3" fontId="116" fillId="35" borderId="0" xfId="0" applyNumberFormat="1" applyFont="1" applyFill="1" applyAlignment="1">
      <alignment horizontal="center" vertical="center"/>
    </xf>
    <xf numFmtId="3" fontId="116" fillId="35" borderId="15" xfId="0" applyNumberFormat="1" applyFont="1" applyFill="1" applyBorder="1" applyAlignment="1">
      <alignment horizontal="center" vertical="center"/>
    </xf>
    <xf numFmtId="182" fontId="114" fillId="0" borderId="43" xfId="0" applyNumberFormat="1" applyFont="1" applyBorder="1" applyAlignment="1">
      <alignment horizontal="center" wrapText="1"/>
    </xf>
    <xf numFmtId="2" fontId="114" fillId="0" borderId="43" xfId="0" applyNumberFormat="1" applyFont="1" applyBorder="1" applyAlignment="1">
      <alignment horizontal="center" wrapText="1"/>
    </xf>
    <xf numFmtId="9" fontId="74" fillId="2" borderId="0" xfId="0" applyNumberFormat="1" applyFont="1" applyFill="1" applyAlignment="1">
      <alignment horizontal="right"/>
    </xf>
    <xf numFmtId="167" fontId="74" fillId="2" borderId="0" xfId="0" applyNumberFormat="1" applyFont="1" applyFill="1" applyAlignment="1">
      <alignment horizontal="right"/>
    </xf>
    <xf numFmtId="165" fontId="31" fillId="2" borderId="12" xfId="0" applyFont="1" applyFill="1" applyBorder="1" applyAlignment="1">
      <alignment vertical="center"/>
    </xf>
    <xf numFmtId="166" fontId="30" fillId="36" borderId="29" xfId="830" applyNumberFormat="1" applyFont="1" applyFill="1" applyBorder="1" applyAlignment="1">
      <alignment horizontal="center" vertical="center" wrapText="1"/>
    </xf>
    <xf numFmtId="168" fontId="86" fillId="0" borderId="0" xfId="89" applyNumberFormat="1" applyFont="1"/>
    <xf numFmtId="165" fontId="180" fillId="0" borderId="0" xfId="0" applyFont="1"/>
    <xf numFmtId="166" fontId="180" fillId="0" borderId="0" xfId="0" applyNumberFormat="1" applyFont="1"/>
    <xf numFmtId="164" fontId="86" fillId="0" borderId="0" xfId="89" applyFont="1"/>
    <xf numFmtId="3" fontId="150" fillId="0" borderId="0" xfId="830" applyNumberFormat="1" applyFont="1" applyFill="1" applyBorder="1" applyAlignment="1">
      <alignment horizontal="center" vertical="center" wrapText="1"/>
    </xf>
    <xf numFmtId="164" fontId="55" fillId="0" borderId="0" xfId="89" applyFont="1" applyBorder="1" applyProtection="1">
      <protection locked="0"/>
    </xf>
    <xf numFmtId="164" fontId="84" fillId="0" borderId="0" xfId="89" applyFont="1"/>
    <xf numFmtId="165" fontId="125" fillId="0" borderId="0" xfId="0" applyFont="1" applyAlignment="1">
      <alignment vertical="center" wrapText="1"/>
    </xf>
    <xf numFmtId="1" fontId="114" fillId="0" borderId="43" xfId="0" applyNumberFormat="1" applyFont="1" applyBorder="1" applyAlignment="1">
      <alignment horizontal="center" wrapText="1"/>
    </xf>
    <xf numFmtId="174" fontId="114" fillId="0" borderId="43" xfId="0" applyNumberFormat="1" applyFont="1" applyBorder="1" applyAlignment="1">
      <alignment horizontal="center" wrapText="1"/>
    </xf>
    <xf numFmtId="49" fontId="109" fillId="0" borderId="0" xfId="466" applyNumberFormat="1" applyFont="1"/>
    <xf numFmtId="49" fontId="179" fillId="2" borderId="0" xfId="466" applyNumberFormat="1" applyFont="1" applyFill="1" applyAlignment="1">
      <alignment horizontal="center"/>
    </xf>
    <xf numFmtId="166" fontId="31" fillId="35" borderId="0" xfId="911" applyNumberFormat="1" applyFont="1" applyFill="1" applyBorder="1" applyAlignment="1">
      <alignment horizontal="center" vertical="center" wrapText="1"/>
    </xf>
    <xf numFmtId="166" fontId="34" fillId="35" borderId="0" xfId="830" applyNumberFormat="1" applyFont="1" applyFill="1" applyBorder="1" applyAlignment="1">
      <alignment horizontal="center" vertical="center" wrapText="1"/>
    </xf>
    <xf numFmtId="166" fontId="123" fillId="35" borderId="0" xfId="830" applyNumberFormat="1" applyFont="1" applyFill="1" applyBorder="1" applyAlignment="1">
      <alignment horizontal="center" vertical="center" wrapText="1"/>
    </xf>
    <xf numFmtId="166" fontId="34" fillId="0" borderId="0" xfId="830" applyNumberFormat="1" applyFont="1" applyFill="1" applyBorder="1" applyAlignment="1">
      <alignment horizontal="center" vertical="center" wrapText="1"/>
    </xf>
    <xf numFmtId="167" fontId="30" fillId="36" borderId="0" xfId="1" applyNumberFormat="1" applyFont="1" applyFill="1" applyBorder="1" applyAlignment="1">
      <alignment horizontal="center" vertical="center" wrapText="1"/>
    </xf>
    <xf numFmtId="1" fontId="86" fillId="0" borderId="0" xfId="0" applyNumberFormat="1" applyFont="1"/>
    <xf numFmtId="165" fontId="125" fillId="0" borderId="0" xfId="0" applyFont="1" applyAlignment="1">
      <alignment horizontal="left"/>
    </xf>
    <xf numFmtId="49" fontId="30" fillId="34" borderId="70" xfId="0" applyNumberFormat="1" applyFont="1" applyFill="1" applyBorder="1" applyAlignment="1">
      <alignment horizontal="left" vertical="center"/>
    </xf>
    <xf numFmtId="49" fontId="30" fillId="2" borderId="71" xfId="0" applyNumberFormat="1" applyFont="1" applyFill="1" applyBorder="1" applyAlignment="1">
      <alignment horizontal="center" vertical="center"/>
    </xf>
    <xf numFmtId="165" fontId="61" fillId="35" borderId="72" xfId="0" applyFont="1" applyFill="1" applyBorder="1" applyAlignment="1" applyProtection="1">
      <alignment horizontal="left" vertical="center" indent="1"/>
      <protection locked="0"/>
    </xf>
    <xf numFmtId="165" fontId="161" fillId="35" borderId="72" xfId="0" applyFont="1" applyFill="1" applyBorder="1" applyAlignment="1" applyProtection="1">
      <alignment horizontal="left" vertical="center"/>
      <protection locked="0"/>
    </xf>
    <xf numFmtId="165" fontId="60" fillId="36" borderId="73" xfId="0" applyFont="1" applyFill="1" applyBorder="1" applyAlignment="1" applyProtection="1">
      <alignment vertical="center"/>
      <protection locked="0"/>
    </xf>
    <xf numFmtId="166" fontId="30" fillId="0" borderId="74" xfId="830" applyNumberFormat="1" applyFont="1" applyFill="1" applyBorder="1" applyAlignment="1">
      <alignment horizontal="center" vertical="center" wrapText="1"/>
    </xf>
    <xf numFmtId="166" fontId="30" fillId="36" borderId="74" xfId="830" applyNumberFormat="1" applyFont="1" applyFill="1" applyBorder="1" applyAlignment="1">
      <alignment horizontal="center" vertical="center" wrapText="1"/>
    </xf>
    <xf numFmtId="3" fontId="34" fillId="35" borderId="15" xfId="4" applyNumberFormat="1" applyFont="1" applyFill="1" applyBorder="1" applyAlignment="1">
      <alignment horizontal="center" wrapText="1"/>
    </xf>
    <xf numFmtId="188" fontId="30" fillId="34" borderId="31" xfId="0" applyNumberFormat="1" applyFont="1" applyFill="1" applyBorder="1" applyAlignment="1">
      <alignment horizontal="center" vertical="center"/>
    </xf>
    <xf numFmtId="167" fontId="0" fillId="0" borderId="0" xfId="89" applyNumberFormat="1" applyFont="1"/>
    <xf numFmtId="167" fontId="84" fillId="0" borderId="0" xfId="1" applyNumberFormat="1" applyFont="1"/>
    <xf numFmtId="166" fontId="31" fillId="35" borderId="0" xfId="941" applyNumberFormat="1" applyFont="1" applyFill="1" applyBorder="1" applyAlignment="1">
      <alignment horizontal="center" vertical="center" wrapText="1"/>
    </xf>
    <xf numFmtId="166" fontId="31" fillId="35" borderId="0" xfId="999" applyNumberFormat="1" applyFont="1" applyFill="1" applyBorder="1" applyAlignment="1">
      <alignment horizontal="center" vertical="center" wrapText="1"/>
    </xf>
    <xf numFmtId="167" fontId="31" fillId="0" borderId="0" xfId="1" applyNumberFormat="1" applyFont="1" applyAlignment="1">
      <alignment horizontal="right"/>
    </xf>
    <xf numFmtId="3" fontId="106" fillId="0" borderId="0" xfId="0" applyNumberFormat="1" applyFont="1"/>
    <xf numFmtId="167" fontId="55" fillId="0" borderId="0" xfId="1" applyNumberFormat="1" applyFont="1" applyBorder="1" applyProtection="1">
      <protection locked="0"/>
    </xf>
    <xf numFmtId="164" fontId="34" fillId="0" borderId="0" xfId="89" applyFont="1" applyAlignment="1">
      <alignment horizontal="right"/>
    </xf>
    <xf numFmtId="181" fontId="105" fillId="2" borderId="0" xfId="0" applyNumberFormat="1" applyFont="1" applyFill="1" applyAlignment="1">
      <alignment horizontal="center" vertical="center" wrapText="1"/>
    </xf>
    <xf numFmtId="165" fontId="55" fillId="2" borderId="0" xfId="0" applyFont="1" applyFill="1" applyAlignment="1">
      <alignment vertical="top"/>
    </xf>
    <xf numFmtId="167" fontId="55" fillId="0" borderId="0" xfId="1" applyNumberFormat="1" applyFont="1" applyBorder="1"/>
    <xf numFmtId="166" fontId="99" fillId="35" borderId="0" xfId="411" applyNumberFormat="1" applyFont="1" applyFill="1" applyBorder="1" applyAlignment="1">
      <alignment horizontal="center" vertical="center" wrapText="1"/>
    </xf>
    <xf numFmtId="166" fontId="31" fillId="50" borderId="0" xfId="4" applyNumberFormat="1" applyFont="1" applyFill="1" applyBorder="1" applyAlignment="1">
      <alignment horizontal="center" vertical="center" wrapText="1"/>
    </xf>
    <xf numFmtId="166" fontId="0" fillId="2" borderId="0" xfId="0" applyNumberFormat="1" applyFill="1" applyProtection="1">
      <protection locked="0"/>
    </xf>
    <xf numFmtId="9" fontId="0" fillId="2" borderId="0" xfId="0" applyNumberFormat="1" applyFill="1" applyProtection="1">
      <protection locked="0"/>
    </xf>
    <xf numFmtId="187" fontId="31" fillId="0" borderId="0" xfId="0" applyNumberFormat="1" applyFont="1"/>
    <xf numFmtId="166" fontId="31" fillId="35" borderId="0" xfId="1057" applyNumberFormat="1" applyFont="1" applyFill="1" applyBorder="1" applyAlignment="1">
      <alignment horizontal="center" vertical="center" wrapText="1"/>
    </xf>
    <xf numFmtId="167" fontId="31" fillId="0" borderId="0" xfId="89" applyNumberFormat="1" applyFont="1" applyBorder="1" applyProtection="1">
      <protection locked="0"/>
    </xf>
    <xf numFmtId="167" fontId="31" fillId="2" borderId="0" xfId="89" applyNumberFormat="1" applyFont="1" applyFill="1" applyBorder="1" applyProtection="1">
      <protection locked="0"/>
    </xf>
    <xf numFmtId="9" fontId="31" fillId="0" borderId="0" xfId="1" applyFont="1"/>
    <xf numFmtId="166" fontId="95" fillId="0" borderId="0" xfId="0" applyNumberFormat="1" applyFont="1"/>
    <xf numFmtId="0" fontId="111" fillId="39" borderId="63" xfId="467" applyFont="1" applyFill="1" applyBorder="1" applyAlignment="1">
      <alignment horizontal="centerContinuous" wrapText="1"/>
    </xf>
    <xf numFmtId="0" fontId="111" fillId="39" borderId="0" xfId="467" applyFont="1" applyFill="1" applyAlignment="1">
      <alignment horizontal="centerContinuous" wrapText="1"/>
    </xf>
    <xf numFmtId="0" fontId="111" fillId="39" borderId="64" xfId="467" applyFont="1" applyFill="1" applyBorder="1" applyAlignment="1">
      <alignment horizontal="centerContinuous" wrapText="1"/>
    </xf>
    <xf numFmtId="0" fontId="30" fillId="39" borderId="63" xfId="467" applyFont="1" applyFill="1" applyBorder="1" applyAlignment="1">
      <alignment horizontal="centerContinuous" wrapText="1"/>
    </xf>
    <xf numFmtId="0" fontId="30" fillId="39" borderId="0" xfId="467" applyFont="1" applyFill="1" applyAlignment="1">
      <alignment horizontal="centerContinuous" wrapText="1"/>
    </xf>
    <xf numFmtId="0" fontId="30" fillId="39" borderId="64" xfId="467" applyFont="1" applyFill="1" applyBorder="1" applyAlignment="1">
      <alignment horizontal="centerContinuous" wrapText="1"/>
    </xf>
    <xf numFmtId="167" fontId="55" fillId="0" borderId="0" xfId="1" applyNumberFormat="1" applyFont="1"/>
    <xf numFmtId="1" fontId="160" fillId="0" borderId="0" xfId="0" applyNumberFormat="1" applyFont="1" applyAlignment="1">
      <alignment horizontal="center"/>
    </xf>
    <xf numFmtId="9" fontId="55" fillId="0" borderId="0" xfId="0" applyNumberFormat="1" applyFont="1"/>
    <xf numFmtId="165" fontId="55" fillId="0" borderId="0" xfId="0" quotePrefix="1" applyFont="1"/>
    <xf numFmtId="167" fontId="31" fillId="0" borderId="0" xfId="1" applyNumberFormat="1" applyFont="1"/>
    <xf numFmtId="165" fontId="29" fillId="0" borderId="0" xfId="0" applyFont="1"/>
    <xf numFmtId="2" fontId="114" fillId="0" borderId="44" xfId="0" applyNumberFormat="1" applyFont="1" applyBorder="1" applyAlignment="1">
      <alignment horizontal="center" wrapText="1"/>
    </xf>
    <xf numFmtId="167" fontId="84" fillId="0" borderId="0" xfId="89" applyNumberFormat="1" applyFont="1"/>
    <xf numFmtId="165" fontId="84" fillId="0" borderId="0" xfId="0" applyFont="1" applyAlignment="1">
      <alignment horizontal="centerContinuous"/>
    </xf>
    <xf numFmtId="165" fontId="159" fillId="2" borderId="0" xfId="0" applyFont="1" applyFill="1" applyAlignment="1">
      <alignment horizontal="left" vertical="center"/>
    </xf>
    <xf numFmtId="165" fontId="164" fillId="0" borderId="0" xfId="0" applyFont="1" applyAlignment="1">
      <alignment horizontal="center"/>
    </xf>
    <xf numFmtId="168" fontId="29" fillId="0" borderId="0" xfId="95" applyNumberFormat="1" applyFont="1" applyFill="1" applyAlignment="1">
      <alignment vertical="center"/>
    </xf>
    <xf numFmtId="4" fontId="95" fillId="0" borderId="0" xfId="0" applyNumberFormat="1" applyFont="1"/>
    <xf numFmtId="3" fontId="61" fillId="35" borderId="15" xfId="0" applyNumberFormat="1" applyFont="1" applyFill="1" applyBorder="1" applyAlignment="1">
      <alignment horizontal="center" vertical="center"/>
    </xf>
    <xf numFmtId="165" fontId="182" fillId="0" borderId="0" xfId="0" applyFont="1"/>
    <xf numFmtId="164" fontId="149" fillId="0" borderId="0" xfId="89" applyFont="1" applyAlignment="1">
      <alignment horizontal="right"/>
    </xf>
    <xf numFmtId="165" fontId="183" fillId="0" borderId="0" xfId="0" applyFont="1"/>
    <xf numFmtId="9" fontId="106" fillId="2" borderId="0" xfId="3" applyNumberFormat="1" applyFont="1" applyFill="1" applyProtection="1">
      <protection locked="0"/>
    </xf>
    <xf numFmtId="181" fontId="32" fillId="0" borderId="0" xfId="830" applyNumberFormat="1" applyFont="1" applyFill="1" applyBorder="1" applyAlignment="1">
      <alignment horizontal="center" vertical="center" wrapText="1"/>
    </xf>
    <xf numFmtId="165" fontId="95" fillId="2" borderId="0" xfId="0" applyFont="1" applyFill="1"/>
    <xf numFmtId="0" fontId="95" fillId="2" borderId="0" xfId="93" applyFont="1" applyFill="1" applyAlignment="1">
      <alignment vertical="center"/>
    </xf>
    <xf numFmtId="3" fontId="34" fillId="0" borderId="0" xfId="0" applyNumberFormat="1" applyFont="1" applyAlignment="1">
      <alignment horizontal="center"/>
    </xf>
    <xf numFmtId="49" fontId="30" fillId="2" borderId="80" xfId="0" applyNumberFormat="1" applyFont="1" applyFill="1" applyBorder="1" applyAlignment="1">
      <alignment horizontal="center" vertical="center"/>
    </xf>
    <xf numFmtId="167" fontId="106" fillId="0" borderId="0" xfId="1" applyNumberFormat="1" applyFont="1" applyAlignment="1">
      <alignment horizontal="right"/>
    </xf>
    <xf numFmtId="164" fontId="106" fillId="0" borderId="0" xfId="89" applyFont="1" applyAlignment="1">
      <alignment horizontal="right"/>
    </xf>
    <xf numFmtId="165" fontId="80" fillId="0" borderId="0" xfId="0" applyFont="1" applyAlignment="1">
      <alignment horizontal="center"/>
    </xf>
    <xf numFmtId="1" fontId="80" fillId="0" borderId="0" xfId="0" applyNumberFormat="1" applyFont="1"/>
    <xf numFmtId="9" fontId="34" fillId="43" borderId="63" xfId="1" applyFont="1" applyFill="1" applyBorder="1" applyAlignment="1">
      <alignment horizontal="center"/>
    </xf>
    <xf numFmtId="9" fontId="34" fillId="43" borderId="64" xfId="1" applyFont="1" applyFill="1" applyBorder="1" applyAlignment="1">
      <alignment horizontal="center"/>
    </xf>
    <xf numFmtId="9" fontId="34" fillId="43" borderId="0" xfId="1" applyFont="1" applyFill="1" applyBorder="1" applyAlignment="1">
      <alignment horizontal="center"/>
    </xf>
    <xf numFmtId="167" fontId="34" fillId="43" borderId="63" xfId="1" applyNumberFormat="1" applyFont="1" applyFill="1" applyBorder="1" applyAlignment="1">
      <alignment horizontal="center"/>
    </xf>
    <xf numFmtId="167" fontId="34" fillId="43" borderId="0" xfId="1" applyNumberFormat="1" applyFont="1" applyFill="1" applyBorder="1" applyAlignment="1">
      <alignment horizontal="center"/>
    </xf>
    <xf numFmtId="167" fontId="34" fillId="43" borderId="64" xfId="1" applyNumberFormat="1" applyFont="1" applyFill="1" applyBorder="1" applyAlignment="1">
      <alignment horizontal="center"/>
    </xf>
    <xf numFmtId="0" fontId="29" fillId="0" borderId="0" xfId="93" applyFont="1" applyAlignment="1">
      <alignment vertical="center"/>
    </xf>
    <xf numFmtId="165" fontId="31" fillId="0" borderId="26" xfId="0" applyFont="1" applyBorder="1" applyAlignment="1">
      <alignment horizontal="center"/>
    </xf>
    <xf numFmtId="167" fontId="113" fillId="37" borderId="39" xfId="0" applyNumberFormat="1" applyFont="1" applyFill="1" applyBorder="1" applyAlignment="1">
      <alignment horizontal="center" vertical="center" wrapText="1"/>
    </xf>
    <xf numFmtId="166" fontId="31" fillId="36" borderId="26" xfId="4" applyNumberFormat="1" applyFont="1" applyFill="1" applyBorder="1" applyAlignment="1">
      <alignment horizontal="center" vertical="center" wrapText="1"/>
    </xf>
    <xf numFmtId="0" fontId="34" fillId="0" borderId="0" xfId="3" applyFont="1" applyProtection="1">
      <protection locked="0"/>
    </xf>
    <xf numFmtId="166" fontId="34" fillId="0" borderId="0" xfId="3" applyNumberFormat="1" applyFont="1" applyProtection="1">
      <protection locked="0"/>
    </xf>
    <xf numFmtId="4" fontId="34" fillId="0" borderId="0" xfId="3" applyNumberFormat="1" applyFont="1" applyProtection="1">
      <protection locked="0"/>
    </xf>
    <xf numFmtId="3" fontId="106" fillId="35" borderId="65" xfId="4" applyNumberFormat="1" applyFont="1" applyFill="1" applyBorder="1" applyAlignment="1">
      <alignment horizontal="center" wrapText="1"/>
    </xf>
    <xf numFmtId="9" fontId="55" fillId="0" borderId="0" xfId="0" applyNumberFormat="1" applyFont="1" applyAlignment="1">
      <alignment horizontal="center"/>
    </xf>
    <xf numFmtId="4" fontId="31" fillId="0" borderId="0" xfId="0" applyNumberFormat="1" applyFont="1" applyProtection="1">
      <protection locked="0"/>
    </xf>
    <xf numFmtId="9" fontId="106" fillId="0" borderId="0" xfId="3" applyNumberFormat="1" applyFont="1" applyProtection="1">
      <protection locked="0"/>
    </xf>
    <xf numFmtId="165" fontId="69" fillId="0" borderId="0" xfId="0" applyFont="1" applyAlignment="1">
      <alignment horizontal="center"/>
    </xf>
    <xf numFmtId="165" fontId="121" fillId="0" borderId="0" xfId="0" applyFont="1" applyAlignment="1">
      <alignment horizontal="right"/>
    </xf>
    <xf numFmtId="165" fontId="68" fillId="0" borderId="0" xfId="0" applyFont="1" applyAlignment="1">
      <alignment horizontal="right" wrapText="1"/>
    </xf>
    <xf numFmtId="165" fontId="166" fillId="0" borderId="0" xfId="0" applyFont="1" applyAlignment="1">
      <alignment horizontal="right" wrapText="1"/>
    </xf>
    <xf numFmtId="165" fontId="95" fillId="0" borderId="0" xfId="0" applyFont="1" applyAlignment="1">
      <alignment horizontal="center"/>
    </xf>
    <xf numFmtId="0" fontId="154" fillId="2" borderId="0" xfId="466" applyFont="1" applyFill="1" applyAlignment="1">
      <alignment horizontal="center"/>
    </xf>
    <xf numFmtId="1" fontId="154" fillId="0" borderId="0" xfId="466" applyNumberFormat="1" applyFont="1"/>
    <xf numFmtId="165" fontId="105" fillId="0" borderId="0" xfId="0" applyFont="1" applyAlignment="1">
      <alignment vertical="center"/>
    </xf>
    <xf numFmtId="168" fontId="55" fillId="0" borderId="0" xfId="89" applyNumberFormat="1" applyFont="1"/>
    <xf numFmtId="167" fontId="160" fillId="0" borderId="0" xfId="1" applyNumberFormat="1" applyFont="1"/>
    <xf numFmtId="166" fontId="73" fillId="2" borderId="0" xfId="0" applyNumberFormat="1" applyFont="1" applyFill="1" applyAlignment="1">
      <alignment horizontal="center"/>
    </xf>
    <xf numFmtId="1" fontId="106" fillId="0" borderId="0" xfId="89" applyNumberFormat="1" applyFont="1" applyBorder="1" applyAlignment="1" applyProtection="1">
      <alignment horizontal="center"/>
      <protection locked="0"/>
    </xf>
    <xf numFmtId="1" fontId="95" fillId="0" borderId="0" xfId="0" applyNumberFormat="1" applyFont="1"/>
    <xf numFmtId="165" fontId="184" fillId="0" borderId="0" xfId="0" applyFont="1"/>
    <xf numFmtId="167" fontId="86" fillId="0" borderId="0" xfId="89" applyNumberFormat="1" applyFont="1"/>
    <xf numFmtId="168" fontId="106" fillId="0" borderId="0" xfId="89" applyNumberFormat="1" applyFont="1" applyBorder="1" applyProtection="1">
      <protection locked="0"/>
    </xf>
    <xf numFmtId="10" fontId="114" fillId="0" borderId="43" xfId="0" applyNumberFormat="1" applyFont="1" applyBorder="1" applyAlignment="1">
      <alignment horizontal="center" wrapText="1"/>
    </xf>
    <xf numFmtId="166" fontId="31" fillId="0" borderId="0" xfId="86" applyNumberFormat="1" applyFont="1"/>
    <xf numFmtId="4" fontId="0" fillId="0" borderId="0" xfId="89" applyNumberFormat="1" applyFont="1"/>
    <xf numFmtId="49" fontId="30" fillId="34" borderId="30" xfId="0" applyNumberFormat="1" applyFont="1" applyFill="1" applyBorder="1" applyAlignment="1">
      <alignment horizontal="center" vertical="center" wrapText="1"/>
    </xf>
    <xf numFmtId="2" fontId="106" fillId="0" borderId="0" xfId="3" applyNumberFormat="1" applyFont="1" applyProtection="1">
      <protection locked="0"/>
    </xf>
    <xf numFmtId="167" fontId="106" fillId="0" borderId="0" xfId="3" applyNumberFormat="1" applyFont="1" applyProtection="1">
      <protection locked="0"/>
    </xf>
    <xf numFmtId="165" fontId="107" fillId="0" borderId="0" xfId="0" applyFont="1"/>
    <xf numFmtId="165" fontId="185" fillId="0" borderId="0" xfId="0" applyFont="1"/>
    <xf numFmtId="167" fontId="0" fillId="0" borderId="0" xfId="0" applyNumberFormat="1"/>
    <xf numFmtId="9" fontId="114" fillId="37" borderId="58" xfId="0" applyNumberFormat="1" applyFont="1" applyFill="1" applyBorder="1" applyAlignment="1">
      <alignment horizontal="center" vertical="center" wrapText="1"/>
    </xf>
    <xf numFmtId="1" fontId="114" fillId="0" borderId="43" xfId="0" applyNumberFormat="1" applyFont="1" applyBorder="1" applyAlignment="1">
      <alignment horizontal="center" vertical="center" wrapText="1"/>
    </xf>
    <xf numFmtId="166" fontId="147" fillId="0" borderId="0" xfId="91" applyNumberFormat="1" applyFont="1" applyFill="1" applyBorder="1" applyAlignment="1">
      <alignment horizontal="right"/>
    </xf>
    <xf numFmtId="0" fontId="186" fillId="0" borderId="0" xfId="93" applyFont="1"/>
    <xf numFmtId="4" fontId="31" fillId="0" borderId="29" xfId="1" quotePrefix="1" applyNumberFormat="1" applyFont="1" applyFill="1" applyBorder="1" applyAlignment="1" applyProtection="1">
      <alignment horizontal="center"/>
      <protection locked="0"/>
    </xf>
    <xf numFmtId="9" fontId="66" fillId="2" borderId="0" xfId="0" applyNumberFormat="1" applyFont="1" applyFill="1" applyAlignment="1">
      <alignment horizontal="right"/>
    </xf>
    <xf numFmtId="184" fontId="111" fillId="35" borderId="0" xfId="4" applyNumberFormat="1" applyFont="1" applyFill="1" applyBorder="1" applyAlignment="1">
      <alignment horizontal="center" vertical="center" wrapText="1"/>
    </xf>
    <xf numFmtId="166" fontId="31" fillId="0" borderId="75" xfId="830" applyNumberFormat="1" applyFont="1" applyFill="1" applyBorder="1" applyAlignment="1">
      <alignment horizontal="center" vertical="center" wrapText="1"/>
    </xf>
    <xf numFmtId="167" fontId="159" fillId="0" borderId="75" xfId="830" applyNumberFormat="1" applyFont="1" applyFill="1" applyBorder="1" applyAlignment="1">
      <alignment horizontal="center" vertical="center" wrapText="1"/>
    </xf>
    <xf numFmtId="166" fontId="30" fillId="0" borderId="76" xfId="830" applyNumberFormat="1" applyFont="1" applyFill="1" applyBorder="1" applyAlignment="1">
      <alignment horizontal="center" vertical="center" wrapText="1"/>
    </xf>
    <xf numFmtId="166" fontId="107" fillId="0" borderId="0" xfId="7" quotePrefix="1" applyNumberFormat="1" applyFont="1" applyAlignment="1" applyProtection="1">
      <alignment horizontal="center" vertical="center"/>
      <protection locked="0"/>
    </xf>
    <xf numFmtId="165" fontId="66" fillId="2" borderId="0" xfId="0" applyFont="1" applyFill="1" applyAlignment="1">
      <alignment horizontal="left"/>
    </xf>
    <xf numFmtId="181" fontId="62" fillId="43" borderId="0" xfId="467" applyNumberFormat="1" applyFont="1" applyFill="1" applyAlignment="1">
      <alignment horizontal="center"/>
    </xf>
    <xf numFmtId="181" fontId="62" fillId="43" borderId="64" xfId="467" applyNumberFormat="1" applyFont="1" applyFill="1" applyBorder="1" applyAlignment="1">
      <alignment horizontal="center"/>
    </xf>
    <xf numFmtId="181" fontId="62" fillId="48" borderId="0" xfId="467" applyNumberFormat="1" applyFont="1" applyFill="1" applyAlignment="1">
      <alignment horizontal="center"/>
    </xf>
    <xf numFmtId="181" fontId="62" fillId="48" borderId="64" xfId="467" applyNumberFormat="1" applyFont="1" applyFill="1" applyBorder="1" applyAlignment="1">
      <alignment horizontal="center"/>
    </xf>
    <xf numFmtId="168" fontId="59" fillId="2" borderId="0" xfId="7" applyNumberFormat="1" applyFont="1" applyFill="1" applyAlignment="1" applyProtection="1">
      <alignment horizontal="center"/>
      <protection locked="0"/>
    </xf>
    <xf numFmtId="168" fontId="59" fillId="2" borderId="35" xfId="7" applyNumberFormat="1" applyFont="1" applyFill="1" applyBorder="1" applyAlignment="1" applyProtection="1">
      <alignment horizontal="center"/>
      <protection locked="0"/>
    </xf>
    <xf numFmtId="165" fontId="55" fillId="0" borderId="0" xfId="0" applyFont="1" applyAlignment="1">
      <alignment horizontal="center" vertical="center"/>
    </xf>
    <xf numFmtId="165" fontId="30" fillId="2" borderId="0" xfId="0" applyFont="1" applyFill="1" applyAlignment="1">
      <alignment horizontal="center"/>
    </xf>
    <xf numFmtId="165" fontId="30" fillId="2" borderId="2" xfId="0" applyFont="1" applyFill="1" applyBorder="1" applyAlignment="1">
      <alignment horizontal="center"/>
    </xf>
    <xf numFmtId="168" fontId="59" fillId="2" borderId="0" xfId="7" applyNumberFormat="1" applyFont="1" applyFill="1" applyAlignment="1">
      <alignment horizontal="right"/>
    </xf>
    <xf numFmtId="168" fontId="59" fillId="2" borderId="35" xfId="7" applyNumberFormat="1" applyFont="1" applyFill="1" applyBorder="1" applyAlignment="1">
      <alignment horizontal="right"/>
    </xf>
    <xf numFmtId="9" fontId="114" fillId="45" borderId="77" xfId="0" applyNumberFormat="1" applyFont="1" applyFill="1" applyBorder="1" applyAlignment="1">
      <alignment horizontal="center" vertical="center" wrapText="1"/>
    </xf>
    <xf numFmtId="9" fontId="114" fillId="45" borderId="45" xfId="0" applyNumberFormat="1" applyFont="1" applyFill="1" applyBorder="1" applyAlignment="1">
      <alignment horizontal="center" vertical="center" wrapText="1"/>
    </xf>
    <xf numFmtId="183" fontId="114" fillId="37" borderId="79" xfId="0" applyNumberFormat="1" applyFont="1" applyFill="1" applyBorder="1" applyAlignment="1">
      <alignment horizontal="center" vertical="center" wrapText="1"/>
    </xf>
    <xf numFmtId="183" fontId="114" fillId="37" borderId="45" xfId="0" applyNumberFormat="1" applyFont="1" applyFill="1" applyBorder="1" applyAlignment="1">
      <alignment horizontal="center" vertical="center" wrapText="1"/>
    </xf>
    <xf numFmtId="167" fontId="114" fillId="37" borderId="77" xfId="0" applyNumberFormat="1" applyFont="1" applyFill="1" applyBorder="1" applyAlignment="1">
      <alignment horizontal="center" vertical="center" wrapText="1"/>
    </xf>
    <xf numFmtId="167" fontId="114" fillId="37" borderId="78" xfId="0" applyNumberFormat="1" applyFont="1" applyFill="1" applyBorder="1" applyAlignment="1">
      <alignment horizontal="center" vertical="center" wrapText="1"/>
    </xf>
    <xf numFmtId="167" fontId="114" fillId="37" borderId="45" xfId="0" applyNumberFormat="1" applyFont="1" applyFill="1" applyBorder="1" applyAlignment="1">
      <alignment horizontal="center" vertical="center" wrapText="1"/>
    </xf>
    <xf numFmtId="0" fontId="30" fillId="39" borderId="63" xfId="467" applyFont="1" applyFill="1" applyBorder="1" applyAlignment="1">
      <alignment horizontal="center" wrapText="1"/>
    </xf>
    <xf numFmtId="0" fontId="30" fillId="39" borderId="0" xfId="467" applyFont="1" applyFill="1" applyAlignment="1">
      <alignment horizontal="center" wrapText="1"/>
    </xf>
    <xf numFmtId="0" fontId="30" fillId="39" borderId="64" xfId="467" applyFont="1" applyFill="1" applyBorder="1" applyAlignment="1">
      <alignment horizontal="center" wrapText="1"/>
    </xf>
    <xf numFmtId="0" fontId="62" fillId="39" borderId="63" xfId="467" applyFont="1" applyFill="1" applyBorder="1" applyAlignment="1">
      <alignment horizontal="center" wrapText="1"/>
    </xf>
    <xf numFmtId="0" fontId="62" fillId="39" borderId="64" xfId="467" applyFont="1" applyFill="1" applyBorder="1" applyAlignment="1">
      <alignment horizontal="center" wrapText="1"/>
    </xf>
    <xf numFmtId="165" fontId="83" fillId="0" borderId="0" xfId="0" applyFont="1" applyAlignment="1">
      <alignment horizontal="center" vertical="center" wrapText="1"/>
    </xf>
    <xf numFmtId="14" fontId="83" fillId="0" borderId="0" xfId="0" applyNumberFormat="1" applyFont="1" applyAlignment="1">
      <alignment horizontal="center" vertical="center" wrapText="1"/>
    </xf>
    <xf numFmtId="165" fontId="30" fillId="34" borderId="30" xfId="0" applyFont="1" applyFill="1" applyBorder="1" applyAlignment="1">
      <alignment horizontal="center" vertical="center"/>
    </xf>
    <xf numFmtId="165" fontId="30" fillId="34" borderId="29" xfId="0" applyFont="1" applyFill="1" applyBorder="1" applyAlignment="1">
      <alignment horizontal="center" vertical="center"/>
    </xf>
    <xf numFmtId="165" fontId="30" fillId="34" borderId="31" xfId="0" applyFont="1" applyFill="1" applyBorder="1" applyAlignment="1">
      <alignment horizontal="center" vertical="center"/>
    </xf>
    <xf numFmtId="49" fontId="30" fillId="34" borderId="30" xfId="0" applyNumberFormat="1" applyFont="1" applyFill="1" applyBorder="1" applyAlignment="1">
      <alignment horizontal="center" vertical="center"/>
    </xf>
    <xf numFmtId="49" fontId="30" fillId="34" borderId="29" xfId="0" applyNumberFormat="1" applyFont="1" applyFill="1" applyBorder="1" applyAlignment="1">
      <alignment horizontal="center" vertical="center"/>
    </xf>
    <xf numFmtId="49" fontId="30" fillId="34" borderId="31" xfId="0" applyNumberFormat="1" applyFont="1" applyFill="1" applyBorder="1" applyAlignment="1">
      <alignment horizontal="center" vertical="center"/>
    </xf>
    <xf numFmtId="49" fontId="30" fillId="34" borderId="30" xfId="0" applyNumberFormat="1" applyFont="1" applyFill="1" applyBorder="1" applyAlignment="1">
      <alignment horizontal="center" vertical="center" wrapText="1"/>
    </xf>
    <xf numFmtId="49" fontId="30" fillId="34" borderId="29" xfId="0" applyNumberFormat="1" applyFont="1" applyFill="1" applyBorder="1" applyAlignment="1">
      <alignment horizontal="center" vertical="center" wrapText="1"/>
    </xf>
    <xf numFmtId="49" fontId="30" fillId="34" borderId="31" xfId="0" applyNumberFormat="1" applyFont="1" applyFill="1" applyBorder="1" applyAlignment="1">
      <alignment horizontal="center" vertical="center" wrapText="1"/>
    </xf>
  </cellXfs>
  <cellStyles count="2172">
    <cellStyle name="20% - Ênfase1 2" xfId="29" xr:uid="{00000000-0005-0000-0000-000000000000}"/>
    <cellStyle name="20% - Ênfase1 2 2" xfId="156" xr:uid="{00000000-0005-0000-0000-000001000000}"/>
    <cellStyle name="20% - Ênfase1 2 2 2" xfId="425" xr:uid="{00000000-0005-0000-0000-000002000000}"/>
    <cellStyle name="20% - Ênfase1 2 2 2 2" xfId="844" xr:uid="{00000000-0005-0000-0000-000003000000}"/>
    <cellStyle name="20% - Ênfase1 2 2 2 2 2" xfId="1905" xr:uid="{00000000-0005-0000-0000-000004000000}"/>
    <cellStyle name="20% - Ênfase1 2 2 2 3" xfId="1486" xr:uid="{00000000-0005-0000-0000-000005000000}"/>
    <cellStyle name="20% - Ênfase1 2 2 3" xfId="241" xr:uid="{00000000-0005-0000-0000-000006000000}"/>
    <cellStyle name="20% - Ênfase1 2 2 3 2" xfId="660" xr:uid="{00000000-0005-0000-0000-000007000000}"/>
    <cellStyle name="20% - Ênfase1 2 2 3 2 2" xfId="1721" xr:uid="{00000000-0005-0000-0000-000008000000}"/>
    <cellStyle name="20% - Ênfase1 2 2 3 3" xfId="1302" xr:uid="{00000000-0005-0000-0000-000009000000}"/>
    <cellStyle name="20% - Ênfase1 2 2 4" xfId="575" xr:uid="{00000000-0005-0000-0000-00000A000000}"/>
    <cellStyle name="20% - Ênfase1 2 2 4 2" xfId="1636" xr:uid="{00000000-0005-0000-0000-00000B000000}"/>
    <cellStyle name="20% - Ênfase1 2 2 5" xfId="1217" xr:uid="{00000000-0005-0000-0000-00000C000000}"/>
    <cellStyle name="20% - Ênfase1 2 3" xfId="111" xr:uid="{00000000-0005-0000-0000-00000D000000}"/>
    <cellStyle name="20% - Ênfase1 2 3 2" xfId="380" xr:uid="{00000000-0005-0000-0000-00000E000000}"/>
    <cellStyle name="20% - Ênfase1 2 3 2 2" xfId="799" xr:uid="{00000000-0005-0000-0000-00000F000000}"/>
    <cellStyle name="20% - Ênfase1 2 3 2 2 2" xfId="1860" xr:uid="{00000000-0005-0000-0000-000010000000}"/>
    <cellStyle name="20% - Ênfase1 2 3 2 3" xfId="1441" xr:uid="{00000000-0005-0000-0000-000011000000}"/>
    <cellStyle name="20% - Ênfase1 2 3 3" xfId="287" xr:uid="{00000000-0005-0000-0000-000012000000}"/>
    <cellStyle name="20% - Ênfase1 2 3 3 2" xfId="706" xr:uid="{00000000-0005-0000-0000-000013000000}"/>
    <cellStyle name="20% - Ênfase1 2 3 3 2 2" xfId="1767" xr:uid="{00000000-0005-0000-0000-000014000000}"/>
    <cellStyle name="20% - Ênfase1 2 3 3 3" xfId="1348" xr:uid="{00000000-0005-0000-0000-000015000000}"/>
    <cellStyle name="20% - Ênfase1 2 3 4" xfId="530" xr:uid="{00000000-0005-0000-0000-000016000000}"/>
    <cellStyle name="20% - Ênfase1 2 3 4 2" xfId="1591" xr:uid="{00000000-0005-0000-0000-000017000000}"/>
    <cellStyle name="20% - Ênfase1 2 3 5" xfId="1172" xr:uid="{00000000-0005-0000-0000-000018000000}"/>
    <cellStyle name="20% - Ênfase1 2 4" xfId="338" xr:uid="{00000000-0005-0000-0000-000019000000}"/>
    <cellStyle name="20% - Ênfase1 2 4 2" xfId="757" xr:uid="{00000000-0005-0000-0000-00001A000000}"/>
    <cellStyle name="20% - Ênfase1 2 4 2 2" xfId="1818" xr:uid="{00000000-0005-0000-0000-00001B000000}"/>
    <cellStyle name="20% - Ênfase1 2 4 3" xfId="1399" xr:uid="{00000000-0005-0000-0000-00001C000000}"/>
    <cellStyle name="20% - Ênfase1 2 5" xfId="200" xr:uid="{00000000-0005-0000-0000-00001D000000}"/>
    <cellStyle name="20% - Ênfase1 2 5 2" xfId="619" xr:uid="{00000000-0005-0000-0000-00001E000000}"/>
    <cellStyle name="20% - Ênfase1 2 5 2 2" xfId="1680" xr:uid="{00000000-0005-0000-0000-00001F000000}"/>
    <cellStyle name="20% - Ênfase1 2 5 3" xfId="1261" xr:uid="{00000000-0005-0000-0000-000020000000}"/>
    <cellStyle name="20% - Ênfase1 2 6" xfId="484" xr:uid="{00000000-0005-0000-0000-000021000000}"/>
    <cellStyle name="20% - Ênfase1 2 6 2" xfId="1545" xr:uid="{00000000-0005-0000-0000-000022000000}"/>
    <cellStyle name="20% - Ênfase1 2 7" xfId="1126" xr:uid="{00000000-0005-0000-0000-000023000000}"/>
    <cellStyle name="20% - Ênfase2 2" xfId="30" xr:uid="{00000000-0005-0000-0000-000024000000}"/>
    <cellStyle name="20% - Ênfase2 2 2" xfId="157" xr:uid="{00000000-0005-0000-0000-000025000000}"/>
    <cellStyle name="20% - Ênfase2 2 2 2" xfId="426" xr:uid="{00000000-0005-0000-0000-000026000000}"/>
    <cellStyle name="20% - Ênfase2 2 2 2 2" xfId="845" xr:uid="{00000000-0005-0000-0000-000027000000}"/>
    <cellStyle name="20% - Ênfase2 2 2 2 2 2" xfId="1906" xr:uid="{00000000-0005-0000-0000-000028000000}"/>
    <cellStyle name="20% - Ênfase2 2 2 2 3" xfId="1487" xr:uid="{00000000-0005-0000-0000-000029000000}"/>
    <cellStyle name="20% - Ênfase2 2 2 3" xfId="242" xr:uid="{00000000-0005-0000-0000-00002A000000}"/>
    <cellStyle name="20% - Ênfase2 2 2 3 2" xfId="661" xr:uid="{00000000-0005-0000-0000-00002B000000}"/>
    <cellStyle name="20% - Ênfase2 2 2 3 2 2" xfId="1722" xr:uid="{00000000-0005-0000-0000-00002C000000}"/>
    <cellStyle name="20% - Ênfase2 2 2 3 3" xfId="1303" xr:uid="{00000000-0005-0000-0000-00002D000000}"/>
    <cellStyle name="20% - Ênfase2 2 2 4" xfId="576" xr:uid="{00000000-0005-0000-0000-00002E000000}"/>
    <cellStyle name="20% - Ênfase2 2 2 4 2" xfId="1637" xr:uid="{00000000-0005-0000-0000-00002F000000}"/>
    <cellStyle name="20% - Ênfase2 2 2 5" xfId="1218" xr:uid="{00000000-0005-0000-0000-000030000000}"/>
    <cellStyle name="20% - Ênfase2 2 3" xfId="112" xr:uid="{00000000-0005-0000-0000-000031000000}"/>
    <cellStyle name="20% - Ênfase2 2 3 2" xfId="381" xr:uid="{00000000-0005-0000-0000-000032000000}"/>
    <cellStyle name="20% - Ênfase2 2 3 2 2" xfId="800" xr:uid="{00000000-0005-0000-0000-000033000000}"/>
    <cellStyle name="20% - Ênfase2 2 3 2 2 2" xfId="1861" xr:uid="{00000000-0005-0000-0000-000034000000}"/>
    <cellStyle name="20% - Ênfase2 2 3 2 3" xfId="1442" xr:uid="{00000000-0005-0000-0000-000035000000}"/>
    <cellStyle name="20% - Ênfase2 2 3 3" xfId="288" xr:uid="{00000000-0005-0000-0000-000036000000}"/>
    <cellStyle name="20% - Ênfase2 2 3 3 2" xfId="707" xr:uid="{00000000-0005-0000-0000-000037000000}"/>
    <cellStyle name="20% - Ênfase2 2 3 3 2 2" xfId="1768" xr:uid="{00000000-0005-0000-0000-000038000000}"/>
    <cellStyle name="20% - Ênfase2 2 3 3 3" xfId="1349" xr:uid="{00000000-0005-0000-0000-000039000000}"/>
    <cellStyle name="20% - Ênfase2 2 3 4" xfId="531" xr:uid="{00000000-0005-0000-0000-00003A000000}"/>
    <cellStyle name="20% - Ênfase2 2 3 4 2" xfId="1592" xr:uid="{00000000-0005-0000-0000-00003B000000}"/>
    <cellStyle name="20% - Ênfase2 2 3 5" xfId="1173" xr:uid="{00000000-0005-0000-0000-00003C000000}"/>
    <cellStyle name="20% - Ênfase2 2 4" xfId="339" xr:uid="{00000000-0005-0000-0000-00003D000000}"/>
    <cellStyle name="20% - Ênfase2 2 4 2" xfId="758" xr:uid="{00000000-0005-0000-0000-00003E000000}"/>
    <cellStyle name="20% - Ênfase2 2 4 2 2" xfId="1819" xr:uid="{00000000-0005-0000-0000-00003F000000}"/>
    <cellStyle name="20% - Ênfase2 2 4 3" xfId="1400" xr:uid="{00000000-0005-0000-0000-000040000000}"/>
    <cellStyle name="20% - Ênfase2 2 5" xfId="201" xr:uid="{00000000-0005-0000-0000-000041000000}"/>
    <cellStyle name="20% - Ênfase2 2 5 2" xfId="620" xr:uid="{00000000-0005-0000-0000-000042000000}"/>
    <cellStyle name="20% - Ênfase2 2 5 2 2" xfId="1681" xr:uid="{00000000-0005-0000-0000-000043000000}"/>
    <cellStyle name="20% - Ênfase2 2 5 3" xfId="1262" xr:uid="{00000000-0005-0000-0000-000044000000}"/>
    <cellStyle name="20% - Ênfase2 2 6" xfId="485" xr:uid="{00000000-0005-0000-0000-000045000000}"/>
    <cellStyle name="20% - Ênfase2 2 6 2" xfId="1546" xr:uid="{00000000-0005-0000-0000-000046000000}"/>
    <cellStyle name="20% - Ênfase2 2 7" xfId="1127" xr:uid="{00000000-0005-0000-0000-000047000000}"/>
    <cellStyle name="20% - Ênfase3 2" xfId="31" xr:uid="{00000000-0005-0000-0000-000048000000}"/>
    <cellStyle name="20% - Ênfase3 2 2" xfId="158" xr:uid="{00000000-0005-0000-0000-000049000000}"/>
    <cellStyle name="20% - Ênfase3 2 2 2" xfId="427" xr:uid="{00000000-0005-0000-0000-00004A000000}"/>
    <cellStyle name="20% - Ênfase3 2 2 2 2" xfId="846" xr:uid="{00000000-0005-0000-0000-00004B000000}"/>
    <cellStyle name="20% - Ênfase3 2 2 2 2 2" xfId="1907" xr:uid="{00000000-0005-0000-0000-00004C000000}"/>
    <cellStyle name="20% - Ênfase3 2 2 2 3" xfId="1488" xr:uid="{00000000-0005-0000-0000-00004D000000}"/>
    <cellStyle name="20% - Ênfase3 2 2 3" xfId="243" xr:uid="{00000000-0005-0000-0000-00004E000000}"/>
    <cellStyle name="20% - Ênfase3 2 2 3 2" xfId="662" xr:uid="{00000000-0005-0000-0000-00004F000000}"/>
    <cellStyle name="20% - Ênfase3 2 2 3 2 2" xfId="1723" xr:uid="{00000000-0005-0000-0000-000050000000}"/>
    <cellStyle name="20% - Ênfase3 2 2 3 3" xfId="1304" xr:uid="{00000000-0005-0000-0000-000051000000}"/>
    <cellStyle name="20% - Ênfase3 2 2 4" xfId="577" xr:uid="{00000000-0005-0000-0000-000052000000}"/>
    <cellStyle name="20% - Ênfase3 2 2 4 2" xfId="1638" xr:uid="{00000000-0005-0000-0000-000053000000}"/>
    <cellStyle name="20% - Ênfase3 2 2 5" xfId="1219" xr:uid="{00000000-0005-0000-0000-000054000000}"/>
    <cellStyle name="20% - Ênfase3 2 3" xfId="113" xr:uid="{00000000-0005-0000-0000-000055000000}"/>
    <cellStyle name="20% - Ênfase3 2 3 2" xfId="382" xr:uid="{00000000-0005-0000-0000-000056000000}"/>
    <cellStyle name="20% - Ênfase3 2 3 2 2" xfId="801" xr:uid="{00000000-0005-0000-0000-000057000000}"/>
    <cellStyle name="20% - Ênfase3 2 3 2 2 2" xfId="1862" xr:uid="{00000000-0005-0000-0000-000058000000}"/>
    <cellStyle name="20% - Ênfase3 2 3 2 3" xfId="1443" xr:uid="{00000000-0005-0000-0000-000059000000}"/>
    <cellStyle name="20% - Ênfase3 2 3 3" xfId="289" xr:uid="{00000000-0005-0000-0000-00005A000000}"/>
    <cellStyle name="20% - Ênfase3 2 3 3 2" xfId="708" xr:uid="{00000000-0005-0000-0000-00005B000000}"/>
    <cellStyle name="20% - Ênfase3 2 3 3 2 2" xfId="1769" xr:uid="{00000000-0005-0000-0000-00005C000000}"/>
    <cellStyle name="20% - Ênfase3 2 3 3 3" xfId="1350" xr:uid="{00000000-0005-0000-0000-00005D000000}"/>
    <cellStyle name="20% - Ênfase3 2 3 4" xfId="532" xr:uid="{00000000-0005-0000-0000-00005E000000}"/>
    <cellStyle name="20% - Ênfase3 2 3 4 2" xfId="1593" xr:uid="{00000000-0005-0000-0000-00005F000000}"/>
    <cellStyle name="20% - Ênfase3 2 3 5" xfId="1174" xr:uid="{00000000-0005-0000-0000-000060000000}"/>
    <cellStyle name="20% - Ênfase3 2 4" xfId="340" xr:uid="{00000000-0005-0000-0000-000061000000}"/>
    <cellStyle name="20% - Ênfase3 2 4 2" xfId="759" xr:uid="{00000000-0005-0000-0000-000062000000}"/>
    <cellStyle name="20% - Ênfase3 2 4 2 2" xfId="1820" xr:uid="{00000000-0005-0000-0000-000063000000}"/>
    <cellStyle name="20% - Ênfase3 2 4 3" xfId="1401" xr:uid="{00000000-0005-0000-0000-000064000000}"/>
    <cellStyle name="20% - Ênfase3 2 5" xfId="202" xr:uid="{00000000-0005-0000-0000-000065000000}"/>
    <cellStyle name="20% - Ênfase3 2 5 2" xfId="621" xr:uid="{00000000-0005-0000-0000-000066000000}"/>
    <cellStyle name="20% - Ênfase3 2 5 2 2" xfId="1682" xr:uid="{00000000-0005-0000-0000-000067000000}"/>
    <cellStyle name="20% - Ênfase3 2 5 3" xfId="1263" xr:uid="{00000000-0005-0000-0000-000068000000}"/>
    <cellStyle name="20% - Ênfase3 2 6" xfId="486" xr:uid="{00000000-0005-0000-0000-000069000000}"/>
    <cellStyle name="20% - Ênfase3 2 6 2" xfId="1547" xr:uid="{00000000-0005-0000-0000-00006A000000}"/>
    <cellStyle name="20% - Ênfase3 2 7" xfId="1128" xr:uid="{00000000-0005-0000-0000-00006B000000}"/>
    <cellStyle name="20% - Ênfase4 2" xfId="32" xr:uid="{00000000-0005-0000-0000-00006C000000}"/>
    <cellStyle name="20% - Ênfase4 2 2" xfId="159" xr:uid="{00000000-0005-0000-0000-00006D000000}"/>
    <cellStyle name="20% - Ênfase4 2 2 2" xfId="428" xr:uid="{00000000-0005-0000-0000-00006E000000}"/>
    <cellStyle name="20% - Ênfase4 2 2 2 2" xfId="847" xr:uid="{00000000-0005-0000-0000-00006F000000}"/>
    <cellStyle name="20% - Ênfase4 2 2 2 2 2" xfId="1908" xr:uid="{00000000-0005-0000-0000-000070000000}"/>
    <cellStyle name="20% - Ênfase4 2 2 2 3" xfId="1489" xr:uid="{00000000-0005-0000-0000-000071000000}"/>
    <cellStyle name="20% - Ênfase4 2 2 3" xfId="244" xr:uid="{00000000-0005-0000-0000-000072000000}"/>
    <cellStyle name="20% - Ênfase4 2 2 3 2" xfId="663" xr:uid="{00000000-0005-0000-0000-000073000000}"/>
    <cellStyle name="20% - Ênfase4 2 2 3 2 2" xfId="1724" xr:uid="{00000000-0005-0000-0000-000074000000}"/>
    <cellStyle name="20% - Ênfase4 2 2 3 3" xfId="1305" xr:uid="{00000000-0005-0000-0000-000075000000}"/>
    <cellStyle name="20% - Ênfase4 2 2 4" xfId="578" xr:uid="{00000000-0005-0000-0000-000076000000}"/>
    <cellStyle name="20% - Ênfase4 2 2 4 2" xfId="1639" xr:uid="{00000000-0005-0000-0000-000077000000}"/>
    <cellStyle name="20% - Ênfase4 2 2 5" xfId="1220" xr:uid="{00000000-0005-0000-0000-000078000000}"/>
    <cellStyle name="20% - Ênfase4 2 3" xfId="114" xr:uid="{00000000-0005-0000-0000-000079000000}"/>
    <cellStyle name="20% - Ênfase4 2 3 2" xfId="383" xr:uid="{00000000-0005-0000-0000-00007A000000}"/>
    <cellStyle name="20% - Ênfase4 2 3 2 2" xfId="802" xr:uid="{00000000-0005-0000-0000-00007B000000}"/>
    <cellStyle name="20% - Ênfase4 2 3 2 2 2" xfId="1863" xr:uid="{00000000-0005-0000-0000-00007C000000}"/>
    <cellStyle name="20% - Ênfase4 2 3 2 3" xfId="1444" xr:uid="{00000000-0005-0000-0000-00007D000000}"/>
    <cellStyle name="20% - Ênfase4 2 3 3" xfId="290" xr:uid="{00000000-0005-0000-0000-00007E000000}"/>
    <cellStyle name="20% - Ênfase4 2 3 3 2" xfId="709" xr:uid="{00000000-0005-0000-0000-00007F000000}"/>
    <cellStyle name="20% - Ênfase4 2 3 3 2 2" xfId="1770" xr:uid="{00000000-0005-0000-0000-000080000000}"/>
    <cellStyle name="20% - Ênfase4 2 3 3 3" xfId="1351" xr:uid="{00000000-0005-0000-0000-000081000000}"/>
    <cellStyle name="20% - Ênfase4 2 3 4" xfId="533" xr:uid="{00000000-0005-0000-0000-000082000000}"/>
    <cellStyle name="20% - Ênfase4 2 3 4 2" xfId="1594" xr:uid="{00000000-0005-0000-0000-000083000000}"/>
    <cellStyle name="20% - Ênfase4 2 3 5" xfId="1175" xr:uid="{00000000-0005-0000-0000-000084000000}"/>
    <cellStyle name="20% - Ênfase4 2 4" xfId="341" xr:uid="{00000000-0005-0000-0000-000085000000}"/>
    <cellStyle name="20% - Ênfase4 2 4 2" xfId="760" xr:uid="{00000000-0005-0000-0000-000086000000}"/>
    <cellStyle name="20% - Ênfase4 2 4 2 2" xfId="1821" xr:uid="{00000000-0005-0000-0000-000087000000}"/>
    <cellStyle name="20% - Ênfase4 2 4 3" xfId="1402" xr:uid="{00000000-0005-0000-0000-000088000000}"/>
    <cellStyle name="20% - Ênfase4 2 5" xfId="203" xr:uid="{00000000-0005-0000-0000-000089000000}"/>
    <cellStyle name="20% - Ênfase4 2 5 2" xfId="622" xr:uid="{00000000-0005-0000-0000-00008A000000}"/>
    <cellStyle name="20% - Ênfase4 2 5 2 2" xfId="1683" xr:uid="{00000000-0005-0000-0000-00008B000000}"/>
    <cellStyle name="20% - Ênfase4 2 5 3" xfId="1264" xr:uid="{00000000-0005-0000-0000-00008C000000}"/>
    <cellStyle name="20% - Ênfase4 2 6" xfId="487" xr:uid="{00000000-0005-0000-0000-00008D000000}"/>
    <cellStyle name="20% - Ênfase4 2 6 2" xfId="1548" xr:uid="{00000000-0005-0000-0000-00008E000000}"/>
    <cellStyle name="20% - Ênfase4 2 7" xfId="1129" xr:uid="{00000000-0005-0000-0000-00008F000000}"/>
    <cellStyle name="20% - Ênfase5 2" xfId="33" xr:uid="{00000000-0005-0000-0000-000090000000}"/>
    <cellStyle name="20% - Ênfase5 2 2" xfId="160" xr:uid="{00000000-0005-0000-0000-000091000000}"/>
    <cellStyle name="20% - Ênfase5 2 2 2" xfId="429" xr:uid="{00000000-0005-0000-0000-000092000000}"/>
    <cellStyle name="20% - Ênfase5 2 2 2 2" xfId="848" xr:uid="{00000000-0005-0000-0000-000093000000}"/>
    <cellStyle name="20% - Ênfase5 2 2 2 2 2" xfId="1909" xr:uid="{00000000-0005-0000-0000-000094000000}"/>
    <cellStyle name="20% - Ênfase5 2 2 2 3" xfId="1490" xr:uid="{00000000-0005-0000-0000-000095000000}"/>
    <cellStyle name="20% - Ênfase5 2 2 3" xfId="245" xr:uid="{00000000-0005-0000-0000-000096000000}"/>
    <cellStyle name="20% - Ênfase5 2 2 3 2" xfId="664" xr:uid="{00000000-0005-0000-0000-000097000000}"/>
    <cellStyle name="20% - Ênfase5 2 2 3 2 2" xfId="1725" xr:uid="{00000000-0005-0000-0000-000098000000}"/>
    <cellStyle name="20% - Ênfase5 2 2 3 3" xfId="1306" xr:uid="{00000000-0005-0000-0000-000099000000}"/>
    <cellStyle name="20% - Ênfase5 2 2 4" xfId="579" xr:uid="{00000000-0005-0000-0000-00009A000000}"/>
    <cellStyle name="20% - Ênfase5 2 2 4 2" xfId="1640" xr:uid="{00000000-0005-0000-0000-00009B000000}"/>
    <cellStyle name="20% - Ênfase5 2 2 5" xfId="1221" xr:uid="{00000000-0005-0000-0000-00009C000000}"/>
    <cellStyle name="20% - Ênfase5 2 3" xfId="115" xr:uid="{00000000-0005-0000-0000-00009D000000}"/>
    <cellStyle name="20% - Ênfase5 2 3 2" xfId="384" xr:uid="{00000000-0005-0000-0000-00009E000000}"/>
    <cellStyle name="20% - Ênfase5 2 3 2 2" xfId="803" xr:uid="{00000000-0005-0000-0000-00009F000000}"/>
    <cellStyle name="20% - Ênfase5 2 3 2 2 2" xfId="1864" xr:uid="{00000000-0005-0000-0000-0000A0000000}"/>
    <cellStyle name="20% - Ênfase5 2 3 2 3" xfId="1445" xr:uid="{00000000-0005-0000-0000-0000A1000000}"/>
    <cellStyle name="20% - Ênfase5 2 3 3" xfId="291" xr:uid="{00000000-0005-0000-0000-0000A2000000}"/>
    <cellStyle name="20% - Ênfase5 2 3 3 2" xfId="710" xr:uid="{00000000-0005-0000-0000-0000A3000000}"/>
    <cellStyle name="20% - Ênfase5 2 3 3 2 2" xfId="1771" xr:uid="{00000000-0005-0000-0000-0000A4000000}"/>
    <cellStyle name="20% - Ênfase5 2 3 3 3" xfId="1352" xr:uid="{00000000-0005-0000-0000-0000A5000000}"/>
    <cellStyle name="20% - Ênfase5 2 3 4" xfId="534" xr:uid="{00000000-0005-0000-0000-0000A6000000}"/>
    <cellStyle name="20% - Ênfase5 2 3 4 2" xfId="1595" xr:uid="{00000000-0005-0000-0000-0000A7000000}"/>
    <cellStyle name="20% - Ênfase5 2 3 5" xfId="1176" xr:uid="{00000000-0005-0000-0000-0000A8000000}"/>
    <cellStyle name="20% - Ênfase5 2 4" xfId="342" xr:uid="{00000000-0005-0000-0000-0000A9000000}"/>
    <cellStyle name="20% - Ênfase5 2 4 2" xfId="761" xr:uid="{00000000-0005-0000-0000-0000AA000000}"/>
    <cellStyle name="20% - Ênfase5 2 4 2 2" xfId="1822" xr:uid="{00000000-0005-0000-0000-0000AB000000}"/>
    <cellStyle name="20% - Ênfase5 2 4 3" xfId="1403" xr:uid="{00000000-0005-0000-0000-0000AC000000}"/>
    <cellStyle name="20% - Ênfase5 2 5" xfId="204" xr:uid="{00000000-0005-0000-0000-0000AD000000}"/>
    <cellStyle name="20% - Ênfase5 2 5 2" xfId="623" xr:uid="{00000000-0005-0000-0000-0000AE000000}"/>
    <cellStyle name="20% - Ênfase5 2 5 2 2" xfId="1684" xr:uid="{00000000-0005-0000-0000-0000AF000000}"/>
    <cellStyle name="20% - Ênfase5 2 5 3" xfId="1265" xr:uid="{00000000-0005-0000-0000-0000B0000000}"/>
    <cellStyle name="20% - Ênfase5 2 6" xfId="488" xr:uid="{00000000-0005-0000-0000-0000B1000000}"/>
    <cellStyle name="20% - Ênfase5 2 6 2" xfId="1549" xr:uid="{00000000-0005-0000-0000-0000B2000000}"/>
    <cellStyle name="20% - Ênfase5 2 7" xfId="1130" xr:uid="{00000000-0005-0000-0000-0000B3000000}"/>
    <cellStyle name="20% - Ênfase6 2" xfId="34" xr:uid="{00000000-0005-0000-0000-0000B4000000}"/>
    <cellStyle name="20% - Ênfase6 2 2" xfId="161" xr:uid="{00000000-0005-0000-0000-0000B5000000}"/>
    <cellStyle name="20% - Ênfase6 2 2 2" xfId="430" xr:uid="{00000000-0005-0000-0000-0000B6000000}"/>
    <cellStyle name="20% - Ênfase6 2 2 2 2" xfId="849" xr:uid="{00000000-0005-0000-0000-0000B7000000}"/>
    <cellStyle name="20% - Ênfase6 2 2 2 2 2" xfId="1910" xr:uid="{00000000-0005-0000-0000-0000B8000000}"/>
    <cellStyle name="20% - Ênfase6 2 2 2 3" xfId="1491" xr:uid="{00000000-0005-0000-0000-0000B9000000}"/>
    <cellStyle name="20% - Ênfase6 2 2 3" xfId="246" xr:uid="{00000000-0005-0000-0000-0000BA000000}"/>
    <cellStyle name="20% - Ênfase6 2 2 3 2" xfId="665" xr:uid="{00000000-0005-0000-0000-0000BB000000}"/>
    <cellStyle name="20% - Ênfase6 2 2 3 2 2" xfId="1726" xr:uid="{00000000-0005-0000-0000-0000BC000000}"/>
    <cellStyle name="20% - Ênfase6 2 2 3 3" xfId="1307" xr:uid="{00000000-0005-0000-0000-0000BD000000}"/>
    <cellStyle name="20% - Ênfase6 2 2 4" xfId="580" xr:uid="{00000000-0005-0000-0000-0000BE000000}"/>
    <cellStyle name="20% - Ênfase6 2 2 4 2" xfId="1641" xr:uid="{00000000-0005-0000-0000-0000BF000000}"/>
    <cellStyle name="20% - Ênfase6 2 2 5" xfId="1222" xr:uid="{00000000-0005-0000-0000-0000C0000000}"/>
    <cellStyle name="20% - Ênfase6 2 3" xfId="116" xr:uid="{00000000-0005-0000-0000-0000C1000000}"/>
    <cellStyle name="20% - Ênfase6 2 3 2" xfId="385" xr:uid="{00000000-0005-0000-0000-0000C2000000}"/>
    <cellStyle name="20% - Ênfase6 2 3 2 2" xfId="804" xr:uid="{00000000-0005-0000-0000-0000C3000000}"/>
    <cellStyle name="20% - Ênfase6 2 3 2 2 2" xfId="1865" xr:uid="{00000000-0005-0000-0000-0000C4000000}"/>
    <cellStyle name="20% - Ênfase6 2 3 2 3" xfId="1446" xr:uid="{00000000-0005-0000-0000-0000C5000000}"/>
    <cellStyle name="20% - Ênfase6 2 3 3" xfId="292" xr:uid="{00000000-0005-0000-0000-0000C6000000}"/>
    <cellStyle name="20% - Ênfase6 2 3 3 2" xfId="711" xr:uid="{00000000-0005-0000-0000-0000C7000000}"/>
    <cellStyle name="20% - Ênfase6 2 3 3 2 2" xfId="1772" xr:uid="{00000000-0005-0000-0000-0000C8000000}"/>
    <cellStyle name="20% - Ênfase6 2 3 3 3" xfId="1353" xr:uid="{00000000-0005-0000-0000-0000C9000000}"/>
    <cellStyle name="20% - Ênfase6 2 3 4" xfId="535" xr:uid="{00000000-0005-0000-0000-0000CA000000}"/>
    <cellStyle name="20% - Ênfase6 2 3 4 2" xfId="1596" xr:uid="{00000000-0005-0000-0000-0000CB000000}"/>
    <cellStyle name="20% - Ênfase6 2 3 5" xfId="1177" xr:uid="{00000000-0005-0000-0000-0000CC000000}"/>
    <cellStyle name="20% - Ênfase6 2 4" xfId="343" xr:uid="{00000000-0005-0000-0000-0000CD000000}"/>
    <cellStyle name="20% - Ênfase6 2 4 2" xfId="762" xr:uid="{00000000-0005-0000-0000-0000CE000000}"/>
    <cellStyle name="20% - Ênfase6 2 4 2 2" xfId="1823" xr:uid="{00000000-0005-0000-0000-0000CF000000}"/>
    <cellStyle name="20% - Ênfase6 2 4 3" xfId="1404" xr:uid="{00000000-0005-0000-0000-0000D0000000}"/>
    <cellStyle name="20% - Ênfase6 2 5" xfId="205" xr:uid="{00000000-0005-0000-0000-0000D1000000}"/>
    <cellStyle name="20% - Ênfase6 2 5 2" xfId="624" xr:uid="{00000000-0005-0000-0000-0000D2000000}"/>
    <cellStyle name="20% - Ênfase6 2 5 2 2" xfId="1685" xr:uid="{00000000-0005-0000-0000-0000D3000000}"/>
    <cellStyle name="20% - Ênfase6 2 5 3" xfId="1266" xr:uid="{00000000-0005-0000-0000-0000D4000000}"/>
    <cellStyle name="20% - Ênfase6 2 6" xfId="489" xr:uid="{00000000-0005-0000-0000-0000D5000000}"/>
    <cellStyle name="20% - Ênfase6 2 6 2" xfId="1550" xr:uid="{00000000-0005-0000-0000-0000D6000000}"/>
    <cellStyle name="20% - Ênfase6 2 7" xfId="1131" xr:uid="{00000000-0005-0000-0000-0000D7000000}"/>
    <cellStyle name="40% - Ênfase1 2" xfId="35" xr:uid="{00000000-0005-0000-0000-0000D8000000}"/>
    <cellStyle name="40% - Ênfase1 2 2" xfId="162" xr:uid="{00000000-0005-0000-0000-0000D9000000}"/>
    <cellStyle name="40% - Ênfase1 2 2 2" xfId="431" xr:uid="{00000000-0005-0000-0000-0000DA000000}"/>
    <cellStyle name="40% - Ênfase1 2 2 2 2" xfId="850" xr:uid="{00000000-0005-0000-0000-0000DB000000}"/>
    <cellStyle name="40% - Ênfase1 2 2 2 2 2" xfId="1911" xr:uid="{00000000-0005-0000-0000-0000DC000000}"/>
    <cellStyle name="40% - Ênfase1 2 2 2 3" xfId="1492" xr:uid="{00000000-0005-0000-0000-0000DD000000}"/>
    <cellStyle name="40% - Ênfase1 2 2 3" xfId="247" xr:uid="{00000000-0005-0000-0000-0000DE000000}"/>
    <cellStyle name="40% - Ênfase1 2 2 3 2" xfId="666" xr:uid="{00000000-0005-0000-0000-0000DF000000}"/>
    <cellStyle name="40% - Ênfase1 2 2 3 2 2" xfId="1727" xr:uid="{00000000-0005-0000-0000-0000E0000000}"/>
    <cellStyle name="40% - Ênfase1 2 2 3 3" xfId="1308" xr:uid="{00000000-0005-0000-0000-0000E1000000}"/>
    <cellStyle name="40% - Ênfase1 2 2 4" xfId="581" xr:uid="{00000000-0005-0000-0000-0000E2000000}"/>
    <cellStyle name="40% - Ênfase1 2 2 4 2" xfId="1642" xr:uid="{00000000-0005-0000-0000-0000E3000000}"/>
    <cellStyle name="40% - Ênfase1 2 2 5" xfId="1223" xr:uid="{00000000-0005-0000-0000-0000E4000000}"/>
    <cellStyle name="40% - Ênfase1 2 3" xfId="117" xr:uid="{00000000-0005-0000-0000-0000E5000000}"/>
    <cellStyle name="40% - Ênfase1 2 3 2" xfId="386" xr:uid="{00000000-0005-0000-0000-0000E6000000}"/>
    <cellStyle name="40% - Ênfase1 2 3 2 2" xfId="805" xr:uid="{00000000-0005-0000-0000-0000E7000000}"/>
    <cellStyle name="40% - Ênfase1 2 3 2 2 2" xfId="1866" xr:uid="{00000000-0005-0000-0000-0000E8000000}"/>
    <cellStyle name="40% - Ênfase1 2 3 2 3" xfId="1447" xr:uid="{00000000-0005-0000-0000-0000E9000000}"/>
    <cellStyle name="40% - Ênfase1 2 3 3" xfId="293" xr:uid="{00000000-0005-0000-0000-0000EA000000}"/>
    <cellStyle name="40% - Ênfase1 2 3 3 2" xfId="712" xr:uid="{00000000-0005-0000-0000-0000EB000000}"/>
    <cellStyle name="40% - Ênfase1 2 3 3 2 2" xfId="1773" xr:uid="{00000000-0005-0000-0000-0000EC000000}"/>
    <cellStyle name="40% - Ênfase1 2 3 3 3" xfId="1354" xr:uid="{00000000-0005-0000-0000-0000ED000000}"/>
    <cellStyle name="40% - Ênfase1 2 3 4" xfId="536" xr:uid="{00000000-0005-0000-0000-0000EE000000}"/>
    <cellStyle name="40% - Ênfase1 2 3 4 2" xfId="1597" xr:uid="{00000000-0005-0000-0000-0000EF000000}"/>
    <cellStyle name="40% - Ênfase1 2 3 5" xfId="1178" xr:uid="{00000000-0005-0000-0000-0000F0000000}"/>
    <cellStyle name="40% - Ênfase1 2 4" xfId="344" xr:uid="{00000000-0005-0000-0000-0000F1000000}"/>
    <cellStyle name="40% - Ênfase1 2 4 2" xfId="763" xr:uid="{00000000-0005-0000-0000-0000F2000000}"/>
    <cellStyle name="40% - Ênfase1 2 4 2 2" xfId="1824" xr:uid="{00000000-0005-0000-0000-0000F3000000}"/>
    <cellStyle name="40% - Ênfase1 2 4 3" xfId="1405" xr:uid="{00000000-0005-0000-0000-0000F4000000}"/>
    <cellStyle name="40% - Ênfase1 2 5" xfId="206" xr:uid="{00000000-0005-0000-0000-0000F5000000}"/>
    <cellStyle name="40% - Ênfase1 2 5 2" xfId="625" xr:uid="{00000000-0005-0000-0000-0000F6000000}"/>
    <cellStyle name="40% - Ênfase1 2 5 2 2" xfId="1686" xr:uid="{00000000-0005-0000-0000-0000F7000000}"/>
    <cellStyle name="40% - Ênfase1 2 5 3" xfId="1267" xr:uid="{00000000-0005-0000-0000-0000F8000000}"/>
    <cellStyle name="40% - Ênfase1 2 6" xfId="490" xr:uid="{00000000-0005-0000-0000-0000F9000000}"/>
    <cellStyle name="40% - Ênfase1 2 6 2" xfId="1551" xr:uid="{00000000-0005-0000-0000-0000FA000000}"/>
    <cellStyle name="40% - Ênfase1 2 7" xfId="1132" xr:uid="{00000000-0005-0000-0000-0000FB000000}"/>
    <cellStyle name="40% - Ênfase2 2" xfId="36" xr:uid="{00000000-0005-0000-0000-0000FC000000}"/>
    <cellStyle name="40% - Ênfase2 2 2" xfId="163" xr:uid="{00000000-0005-0000-0000-0000FD000000}"/>
    <cellStyle name="40% - Ênfase2 2 2 2" xfId="432" xr:uid="{00000000-0005-0000-0000-0000FE000000}"/>
    <cellStyle name="40% - Ênfase2 2 2 2 2" xfId="851" xr:uid="{00000000-0005-0000-0000-0000FF000000}"/>
    <cellStyle name="40% - Ênfase2 2 2 2 2 2" xfId="1912" xr:uid="{00000000-0005-0000-0000-000000010000}"/>
    <cellStyle name="40% - Ênfase2 2 2 2 3" xfId="1493" xr:uid="{00000000-0005-0000-0000-000001010000}"/>
    <cellStyle name="40% - Ênfase2 2 2 3" xfId="248" xr:uid="{00000000-0005-0000-0000-000002010000}"/>
    <cellStyle name="40% - Ênfase2 2 2 3 2" xfId="667" xr:uid="{00000000-0005-0000-0000-000003010000}"/>
    <cellStyle name="40% - Ênfase2 2 2 3 2 2" xfId="1728" xr:uid="{00000000-0005-0000-0000-000004010000}"/>
    <cellStyle name="40% - Ênfase2 2 2 3 3" xfId="1309" xr:uid="{00000000-0005-0000-0000-000005010000}"/>
    <cellStyle name="40% - Ênfase2 2 2 4" xfId="582" xr:uid="{00000000-0005-0000-0000-000006010000}"/>
    <cellStyle name="40% - Ênfase2 2 2 4 2" xfId="1643" xr:uid="{00000000-0005-0000-0000-000007010000}"/>
    <cellStyle name="40% - Ênfase2 2 2 5" xfId="1224" xr:uid="{00000000-0005-0000-0000-000008010000}"/>
    <cellStyle name="40% - Ênfase2 2 3" xfId="118" xr:uid="{00000000-0005-0000-0000-000009010000}"/>
    <cellStyle name="40% - Ênfase2 2 3 2" xfId="387" xr:uid="{00000000-0005-0000-0000-00000A010000}"/>
    <cellStyle name="40% - Ênfase2 2 3 2 2" xfId="806" xr:uid="{00000000-0005-0000-0000-00000B010000}"/>
    <cellStyle name="40% - Ênfase2 2 3 2 2 2" xfId="1867" xr:uid="{00000000-0005-0000-0000-00000C010000}"/>
    <cellStyle name="40% - Ênfase2 2 3 2 3" xfId="1448" xr:uid="{00000000-0005-0000-0000-00000D010000}"/>
    <cellStyle name="40% - Ênfase2 2 3 3" xfId="294" xr:uid="{00000000-0005-0000-0000-00000E010000}"/>
    <cellStyle name="40% - Ênfase2 2 3 3 2" xfId="713" xr:uid="{00000000-0005-0000-0000-00000F010000}"/>
    <cellStyle name="40% - Ênfase2 2 3 3 2 2" xfId="1774" xr:uid="{00000000-0005-0000-0000-000010010000}"/>
    <cellStyle name="40% - Ênfase2 2 3 3 3" xfId="1355" xr:uid="{00000000-0005-0000-0000-000011010000}"/>
    <cellStyle name="40% - Ênfase2 2 3 4" xfId="537" xr:uid="{00000000-0005-0000-0000-000012010000}"/>
    <cellStyle name="40% - Ênfase2 2 3 4 2" xfId="1598" xr:uid="{00000000-0005-0000-0000-000013010000}"/>
    <cellStyle name="40% - Ênfase2 2 3 5" xfId="1179" xr:uid="{00000000-0005-0000-0000-000014010000}"/>
    <cellStyle name="40% - Ênfase2 2 4" xfId="345" xr:uid="{00000000-0005-0000-0000-000015010000}"/>
    <cellStyle name="40% - Ênfase2 2 4 2" xfId="764" xr:uid="{00000000-0005-0000-0000-000016010000}"/>
    <cellStyle name="40% - Ênfase2 2 4 2 2" xfId="1825" xr:uid="{00000000-0005-0000-0000-000017010000}"/>
    <cellStyle name="40% - Ênfase2 2 4 3" xfId="1406" xr:uid="{00000000-0005-0000-0000-000018010000}"/>
    <cellStyle name="40% - Ênfase2 2 5" xfId="207" xr:uid="{00000000-0005-0000-0000-000019010000}"/>
    <cellStyle name="40% - Ênfase2 2 5 2" xfId="626" xr:uid="{00000000-0005-0000-0000-00001A010000}"/>
    <cellStyle name="40% - Ênfase2 2 5 2 2" xfId="1687" xr:uid="{00000000-0005-0000-0000-00001B010000}"/>
    <cellStyle name="40% - Ênfase2 2 5 3" xfId="1268" xr:uid="{00000000-0005-0000-0000-00001C010000}"/>
    <cellStyle name="40% - Ênfase2 2 6" xfId="491" xr:uid="{00000000-0005-0000-0000-00001D010000}"/>
    <cellStyle name="40% - Ênfase2 2 6 2" xfId="1552" xr:uid="{00000000-0005-0000-0000-00001E010000}"/>
    <cellStyle name="40% - Ênfase2 2 7" xfId="1133" xr:uid="{00000000-0005-0000-0000-00001F010000}"/>
    <cellStyle name="40% - Ênfase3 2" xfId="37" xr:uid="{00000000-0005-0000-0000-000020010000}"/>
    <cellStyle name="40% - Ênfase3 2 2" xfId="164" xr:uid="{00000000-0005-0000-0000-000021010000}"/>
    <cellStyle name="40% - Ênfase3 2 2 2" xfId="433" xr:uid="{00000000-0005-0000-0000-000022010000}"/>
    <cellStyle name="40% - Ênfase3 2 2 2 2" xfId="852" xr:uid="{00000000-0005-0000-0000-000023010000}"/>
    <cellStyle name="40% - Ênfase3 2 2 2 2 2" xfId="1913" xr:uid="{00000000-0005-0000-0000-000024010000}"/>
    <cellStyle name="40% - Ênfase3 2 2 2 3" xfId="1494" xr:uid="{00000000-0005-0000-0000-000025010000}"/>
    <cellStyle name="40% - Ênfase3 2 2 3" xfId="249" xr:uid="{00000000-0005-0000-0000-000026010000}"/>
    <cellStyle name="40% - Ênfase3 2 2 3 2" xfId="668" xr:uid="{00000000-0005-0000-0000-000027010000}"/>
    <cellStyle name="40% - Ênfase3 2 2 3 2 2" xfId="1729" xr:uid="{00000000-0005-0000-0000-000028010000}"/>
    <cellStyle name="40% - Ênfase3 2 2 3 3" xfId="1310" xr:uid="{00000000-0005-0000-0000-000029010000}"/>
    <cellStyle name="40% - Ênfase3 2 2 4" xfId="583" xr:uid="{00000000-0005-0000-0000-00002A010000}"/>
    <cellStyle name="40% - Ênfase3 2 2 4 2" xfId="1644" xr:uid="{00000000-0005-0000-0000-00002B010000}"/>
    <cellStyle name="40% - Ênfase3 2 2 5" xfId="1225" xr:uid="{00000000-0005-0000-0000-00002C010000}"/>
    <cellStyle name="40% - Ênfase3 2 3" xfId="119" xr:uid="{00000000-0005-0000-0000-00002D010000}"/>
    <cellStyle name="40% - Ênfase3 2 3 2" xfId="388" xr:uid="{00000000-0005-0000-0000-00002E010000}"/>
    <cellStyle name="40% - Ênfase3 2 3 2 2" xfId="807" xr:uid="{00000000-0005-0000-0000-00002F010000}"/>
    <cellStyle name="40% - Ênfase3 2 3 2 2 2" xfId="1868" xr:uid="{00000000-0005-0000-0000-000030010000}"/>
    <cellStyle name="40% - Ênfase3 2 3 2 3" xfId="1449" xr:uid="{00000000-0005-0000-0000-000031010000}"/>
    <cellStyle name="40% - Ênfase3 2 3 3" xfId="295" xr:uid="{00000000-0005-0000-0000-000032010000}"/>
    <cellStyle name="40% - Ênfase3 2 3 3 2" xfId="714" xr:uid="{00000000-0005-0000-0000-000033010000}"/>
    <cellStyle name="40% - Ênfase3 2 3 3 2 2" xfId="1775" xr:uid="{00000000-0005-0000-0000-000034010000}"/>
    <cellStyle name="40% - Ênfase3 2 3 3 3" xfId="1356" xr:uid="{00000000-0005-0000-0000-000035010000}"/>
    <cellStyle name="40% - Ênfase3 2 3 4" xfId="538" xr:uid="{00000000-0005-0000-0000-000036010000}"/>
    <cellStyle name="40% - Ênfase3 2 3 4 2" xfId="1599" xr:uid="{00000000-0005-0000-0000-000037010000}"/>
    <cellStyle name="40% - Ênfase3 2 3 5" xfId="1180" xr:uid="{00000000-0005-0000-0000-000038010000}"/>
    <cellStyle name="40% - Ênfase3 2 4" xfId="346" xr:uid="{00000000-0005-0000-0000-000039010000}"/>
    <cellStyle name="40% - Ênfase3 2 4 2" xfId="765" xr:uid="{00000000-0005-0000-0000-00003A010000}"/>
    <cellStyle name="40% - Ênfase3 2 4 2 2" xfId="1826" xr:uid="{00000000-0005-0000-0000-00003B010000}"/>
    <cellStyle name="40% - Ênfase3 2 4 3" xfId="1407" xr:uid="{00000000-0005-0000-0000-00003C010000}"/>
    <cellStyle name="40% - Ênfase3 2 5" xfId="208" xr:uid="{00000000-0005-0000-0000-00003D010000}"/>
    <cellStyle name="40% - Ênfase3 2 5 2" xfId="627" xr:uid="{00000000-0005-0000-0000-00003E010000}"/>
    <cellStyle name="40% - Ênfase3 2 5 2 2" xfId="1688" xr:uid="{00000000-0005-0000-0000-00003F010000}"/>
    <cellStyle name="40% - Ênfase3 2 5 3" xfId="1269" xr:uid="{00000000-0005-0000-0000-000040010000}"/>
    <cellStyle name="40% - Ênfase3 2 6" xfId="492" xr:uid="{00000000-0005-0000-0000-000041010000}"/>
    <cellStyle name="40% - Ênfase3 2 6 2" xfId="1553" xr:uid="{00000000-0005-0000-0000-000042010000}"/>
    <cellStyle name="40% - Ênfase3 2 7" xfId="1134" xr:uid="{00000000-0005-0000-0000-000043010000}"/>
    <cellStyle name="40% - Ênfase4 2" xfId="38" xr:uid="{00000000-0005-0000-0000-000044010000}"/>
    <cellStyle name="40% - Ênfase4 2 2" xfId="165" xr:uid="{00000000-0005-0000-0000-000045010000}"/>
    <cellStyle name="40% - Ênfase4 2 2 2" xfId="434" xr:uid="{00000000-0005-0000-0000-000046010000}"/>
    <cellStyle name="40% - Ênfase4 2 2 2 2" xfId="853" xr:uid="{00000000-0005-0000-0000-000047010000}"/>
    <cellStyle name="40% - Ênfase4 2 2 2 2 2" xfId="1914" xr:uid="{00000000-0005-0000-0000-000048010000}"/>
    <cellStyle name="40% - Ênfase4 2 2 2 3" xfId="1495" xr:uid="{00000000-0005-0000-0000-000049010000}"/>
    <cellStyle name="40% - Ênfase4 2 2 3" xfId="250" xr:uid="{00000000-0005-0000-0000-00004A010000}"/>
    <cellStyle name="40% - Ênfase4 2 2 3 2" xfId="669" xr:uid="{00000000-0005-0000-0000-00004B010000}"/>
    <cellStyle name="40% - Ênfase4 2 2 3 2 2" xfId="1730" xr:uid="{00000000-0005-0000-0000-00004C010000}"/>
    <cellStyle name="40% - Ênfase4 2 2 3 3" xfId="1311" xr:uid="{00000000-0005-0000-0000-00004D010000}"/>
    <cellStyle name="40% - Ênfase4 2 2 4" xfId="584" xr:uid="{00000000-0005-0000-0000-00004E010000}"/>
    <cellStyle name="40% - Ênfase4 2 2 4 2" xfId="1645" xr:uid="{00000000-0005-0000-0000-00004F010000}"/>
    <cellStyle name="40% - Ênfase4 2 2 5" xfId="1226" xr:uid="{00000000-0005-0000-0000-000050010000}"/>
    <cellStyle name="40% - Ênfase4 2 3" xfId="120" xr:uid="{00000000-0005-0000-0000-000051010000}"/>
    <cellStyle name="40% - Ênfase4 2 3 2" xfId="389" xr:uid="{00000000-0005-0000-0000-000052010000}"/>
    <cellStyle name="40% - Ênfase4 2 3 2 2" xfId="808" xr:uid="{00000000-0005-0000-0000-000053010000}"/>
    <cellStyle name="40% - Ênfase4 2 3 2 2 2" xfId="1869" xr:uid="{00000000-0005-0000-0000-000054010000}"/>
    <cellStyle name="40% - Ênfase4 2 3 2 3" xfId="1450" xr:uid="{00000000-0005-0000-0000-000055010000}"/>
    <cellStyle name="40% - Ênfase4 2 3 3" xfId="296" xr:uid="{00000000-0005-0000-0000-000056010000}"/>
    <cellStyle name="40% - Ênfase4 2 3 3 2" xfId="715" xr:uid="{00000000-0005-0000-0000-000057010000}"/>
    <cellStyle name="40% - Ênfase4 2 3 3 2 2" xfId="1776" xr:uid="{00000000-0005-0000-0000-000058010000}"/>
    <cellStyle name="40% - Ênfase4 2 3 3 3" xfId="1357" xr:uid="{00000000-0005-0000-0000-000059010000}"/>
    <cellStyle name="40% - Ênfase4 2 3 4" xfId="539" xr:uid="{00000000-0005-0000-0000-00005A010000}"/>
    <cellStyle name="40% - Ênfase4 2 3 4 2" xfId="1600" xr:uid="{00000000-0005-0000-0000-00005B010000}"/>
    <cellStyle name="40% - Ênfase4 2 3 5" xfId="1181" xr:uid="{00000000-0005-0000-0000-00005C010000}"/>
    <cellStyle name="40% - Ênfase4 2 4" xfId="347" xr:uid="{00000000-0005-0000-0000-00005D010000}"/>
    <cellStyle name="40% - Ênfase4 2 4 2" xfId="766" xr:uid="{00000000-0005-0000-0000-00005E010000}"/>
    <cellStyle name="40% - Ênfase4 2 4 2 2" xfId="1827" xr:uid="{00000000-0005-0000-0000-00005F010000}"/>
    <cellStyle name="40% - Ênfase4 2 4 3" xfId="1408" xr:uid="{00000000-0005-0000-0000-000060010000}"/>
    <cellStyle name="40% - Ênfase4 2 5" xfId="209" xr:uid="{00000000-0005-0000-0000-000061010000}"/>
    <cellStyle name="40% - Ênfase4 2 5 2" xfId="628" xr:uid="{00000000-0005-0000-0000-000062010000}"/>
    <cellStyle name="40% - Ênfase4 2 5 2 2" xfId="1689" xr:uid="{00000000-0005-0000-0000-000063010000}"/>
    <cellStyle name="40% - Ênfase4 2 5 3" xfId="1270" xr:uid="{00000000-0005-0000-0000-000064010000}"/>
    <cellStyle name="40% - Ênfase4 2 6" xfId="493" xr:uid="{00000000-0005-0000-0000-000065010000}"/>
    <cellStyle name="40% - Ênfase4 2 6 2" xfId="1554" xr:uid="{00000000-0005-0000-0000-000066010000}"/>
    <cellStyle name="40% - Ênfase4 2 7" xfId="1135" xr:uid="{00000000-0005-0000-0000-000067010000}"/>
    <cellStyle name="40% - Ênfase5 2" xfId="39" xr:uid="{00000000-0005-0000-0000-000068010000}"/>
    <cellStyle name="40% - Ênfase5 2 2" xfId="166" xr:uid="{00000000-0005-0000-0000-000069010000}"/>
    <cellStyle name="40% - Ênfase5 2 2 2" xfId="435" xr:uid="{00000000-0005-0000-0000-00006A010000}"/>
    <cellStyle name="40% - Ênfase5 2 2 2 2" xfId="854" xr:uid="{00000000-0005-0000-0000-00006B010000}"/>
    <cellStyle name="40% - Ênfase5 2 2 2 2 2" xfId="1915" xr:uid="{00000000-0005-0000-0000-00006C010000}"/>
    <cellStyle name="40% - Ênfase5 2 2 2 3" xfId="1496" xr:uid="{00000000-0005-0000-0000-00006D010000}"/>
    <cellStyle name="40% - Ênfase5 2 2 3" xfId="251" xr:uid="{00000000-0005-0000-0000-00006E010000}"/>
    <cellStyle name="40% - Ênfase5 2 2 3 2" xfId="670" xr:uid="{00000000-0005-0000-0000-00006F010000}"/>
    <cellStyle name="40% - Ênfase5 2 2 3 2 2" xfId="1731" xr:uid="{00000000-0005-0000-0000-000070010000}"/>
    <cellStyle name="40% - Ênfase5 2 2 3 3" xfId="1312" xr:uid="{00000000-0005-0000-0000-000071010000}"/>
    <cellStyle name="40% - Ênfase5 2 2 4" xfId="585" xr:uid="{00000000-0005-0000-0000-000072010000}"/>
    <cellStyle name="40% - Ênfase5 2 2 4 2" xfId="1646" xr:uid="{00000000-0005-0000-0000-000073010000}"/>
    <cellStyle name="40% - Ênfase5 2 2 5" xfId="1227" xr:uid="{00000000-0005-0000-0000-000074010000}"/>
    <cellStyle name="40% - Ênfase5 2 3" xfId="121" xr:uid="{00000000-0005-0000-0000-000075010000}"/>
    <cellStyle name="40% - Ênfase5 2 3 2" xfId="390" xr:uid="{00000000-0005-0000-0000-000076010000}"/>
    <cellStyle name="40% - Ênfase5 2 3 2 2" xfId="809" xr:uid="{00000000-0005-0000-0000-000077010000}"/>
    <cellStyle name="40% - Ênfase5 2 3 2 2 2" xfId="1870" xr:uid="{00000000-0005-0000-0000-000078010000}"/>
    <cellStyle name="40% - Ênfase5 2 3 2 3" xfId="1451" xr:uid="{00000000-0005-0000-0000-000079010000}"/>
    <cellStyle name="40% - Ênfase5 2 3 3" xfId="297" xr:uid="{00000000-0005-0000-0000-00007A010000}"/>
    <cellStyle name="40% - Ênfase5 2 3 3 2" xfId="716" xr:uid="{00000000-0005-0000-0000-00007B010000}"/>
    <cellStyle name="40% - Ênfase5 2 3 3 2 2" xfId="1777" xr:uid="{00000000-0005-0000-0000-00007C010000}"/>
    <cellStyle name="40% - Ênfase5 2 3 3 3" xfId="1358" xr:uid="{00000000-0005-0000-0000-00007D010000}"/>
    <cellStyle name="40% - Ênfase5 2 3 4" xfId="540" xr:uid="{00000000-0005-0000-0000-00007E010000}"/>
    <cellStyle name="40% - Ênfase5 2 3 4 2" xfId="1601" xr:uid="{00000000-0005-0000-0000-00007F010000}"/>
    <cellStyle name="40% - Ênfase5 2 3 5" xfId="1182" xr:uid="{00000000-0005-0000-0000-000080010000}"/>
    <cellStyle name="40% - Ênfase5 2 4" xfId="348" xr:uid="{00000000-0005-0000-0000-000081010000}"/>
    <cellStyle name="40% - Ênfase5 2 4 2" xfId="767" xr:uid="{00000000-0005-0000-0000-000082010000}"/>
    <cellStyle name="40% - Ênfase5 2 4 2 2" xfId="1828" xr:uid="{00000000-0005-0000-0000-000083010000}"/>
    <cellStyle name="40% - Ênfase5 2 4 3" xfId="1409" xr:uid="{00000000-0005-0000-0000-000084010000}"/>
    <cellStyle name="40% - Ênfase5 2 5" xfId="210" xr:uid="{00000000-0005-0000-0000-000085010000}"/>
    <cellStyle name="40% - Ênfase5 2 5 2" xfId="629" xr:uid="{00000000-0005-0000-0000-000086010000}"/>
    <cellStyle name="40% - Ênfase5 2 5 2 2" xfId="1690" xr:uid="{00000000-0005-0000-0000-000087010000}"/>
    <cellStyle name="40% - Ênfase5 2 5 3" xfId="1271" xr:uid="{00000000-0005-0000-0000-000088010000}"/>
    <cellStyle name="40% - Ênfase5 2 6" xfId="494" xr:uid="{00000000-0005-0000-0000-000089010000}"/>
    <cellStyle name="40% - Ênfase5 2 6 2" xfId="1555" xr:uid="{00000000-0005-0000-0000-00008A010000}"/>
    <cellStyle name="40% - Ênfase5 2 7" xfId="1136" xr:uid="{00000000-0005-0000-0000-00008B010000}"/>
    <cellStyle name="40% - Ênfase6 2" xfId="40" xr:uid="{00000000-0005-0000-0000-00008C010000}"/>
    <cellStyle name="40% - Ênfase6 2 2" xfId="167" xr:uid="{00000000-0005-0000-0000-00008D010000}"/>
    <cellStyle name="40% - Ênfase6 2 2 2" xfId="436" xr:uid="{00000000-0005-0000-0000-00008E010000}"/>
    <cellStyle name="40% - Ênfase6 2 2 2 2" xfId="855" xr:uid="{00000000-0005-0000-0000-00008F010000}"/>
    <cellStyle name="40% - Ênfase6 2 2 2 2 2" xfId="1916" xr:uid="{00000000-0005-0000-0000-000090010000}"/>
    <cellStyle name="40% - Ênfase6 2 2 2 3" xfId="1497" xr:uid="{00000000-0005-0000-0000-000091010000}"/>
    <cellStyle name="40% - Ênfase6 2 2 3" xfId="252" xr:uid="{00000000-0005-0000-0000-000092010000}"/>
    <cellStyle name="40% - Ênfase6 2 2 3 2" xfId="671" xr:uid="{00000000-0005-0000-0000-000093010000}"/>
    <cellStyle name="40% - Ênfase6 2 2 3 2 2" xfId="1732" xr:uid="{00000000-0005-0000-0000-000094010000}"/>
    <cellStyle name="40% - Ênfase6 2 2 3 3" xfId="1313" xr:uid="{00000000-0005-0000-0000-000095010000}"/>
    <cellStyle name="40% - Ênfase6 2 2 4" xfId="586" xr:uid="{00000000-0005-0000-0000-000096010000}"/>
    <cellStyle name="40% - Ênfase6 2 2 4 2" xfId="1647" xr:uid="{00000000-0005-0000-0000-000097010000}"/>
    <cellStyle name="40% - Ênfase6 2 2 5" xfId="1228" xr:uid="{00000000-0005-0000-0000-000098010000}"/>
    <cellStyle name="40% - Ênfase6 2 3" xfId="122" xr:uid="{00000000-0005-0000-0000-000099010000}"/>
    <cellStyle name="40% - Ênfase6 2 3 2" xfId="391" xr:uid="{00000000-0005-0000-0000-00009A010000}"/>
    <cellStyle name="40% - Ênfase6 2 3 2 2" xfId="810" xr:uid="{00000000-0005-0000-0000-00009B010000}"/>
    <cellStyle name="40% - Ênfase6 2 3 2 2 2" xfId="1871" xr:uid="{00000000-0005-0000-0000-00009C010000}"/>
    <cellStyle name="40% - Ênfase6 2 3 2 3" xfId="1452" xr:uid="{00000000-0005-0000-0000-00009D010000}"/>
    <cellStyle name="40% - Ênfase6 2 3 3" xfId="298" xr:uid="{00000000-0005-0000-0000-00009E010000}"/>
    <cellStyle name="40% - Ênfase6 2 3 3 2" xfId="717" xr:uid="{00000000-0005-0000-0000-00009F010000}"/>
    <cellStyle name="40% - Ênfase6 2 3 3 2 2" xfId="1778" xr:uid="{00000000-0005-0000-0000-0000A0010000}"/>
    <cellStyle name="40% - Ênfase6 2 3 3 3" xfId="1359" xr:uid="{00000000-0005-0000-0000-0000A1010000}"/>
    <cellStyle name="40% - Ênfase6 2 3 4" xfId="541" xr:uid="{00000000-0005-0000-0000-0000A2010000}"/>
    <cellStyle name="40% - Ênfase6 2 3 4 2" xfId="1602" xr:uid="{00000000-0005-0000-0000-0000A3010000}"/>
    <cellStyle name="40% - Ênfase6 2 3 5" xfId="1183" xr:uid="{00000000-0005-0000-0000-0000A4010000}"/>
    <cellStyle name="40% - Ênfase6 2 4" xfId="349" xr:uid="{00000000-0005-0000-0000-0000A5010000}"/>
    <cellStyle name="40% - Ênfase6 2 4 2" xfId="768" xr:uid="{00000000-0005-0000-0000-0000A6010000}"/>
    <cellStyle name="40% - Ênfase6 2 4 2 2" xfId="1829" xr:uid="{00000000-0005-0000-0000-0000A7010000}"/>
    <cellStyle name="40% - Ênfase6 2 4 3" xfId="1410" xr:uid="{00000000-0005-0000-0000-0000A8010000}"/>
    <cellStyle name="40% - Ênfase6 2 5" xfId="211" xr:uid="{00000000-0005-0000-0000-0000A9010000}"/>
    <cellStyle name="40% - Ênfase6 2 5 2" xfId="630" xr:uid="{00000000-0005-0000-0000-0000AA010000}"/>
    <cellStyle name="40% - Ênfase6 2 5 2 2" xfId="1691" xr:uid="{00000000-0005-0000-0000-0000AB010000}"/>
    <cellStyle name="40% - Ênfase6 2 5 3" xfId="1272" xr:uid="{00000000-0005-0000-0000-0000AC010000}"/>
    <cellStyle name="40% - Ênfase6 2 6" xfId="495" xr:uid="{00000000-0005-0000-0000-0000AD010000}"/>
    <cellStyle name="40% - Ênfase6 2 6 2" xfId="1556" xr:uid="{00000000-0005-0000-0000-0000AE010000}"/>
    <cellStyle name="40% - Ênfase6 2 7" xfId="1137" xr:uid="{00000000-0005-0000-0000-0000AF010000}"/>
    <cellStyle name="60% - Ênfase1 2" xfId="41" xr:uid="{00000000-0005-0000-0000-0000B0010000}"/>
    <cellStyle name="60% - Ênfase2 2" xfId="42" xr:uid="{00000000-0005-0000-0000-0000B1010000}"/>
    <cellStyle name="60% - Ênfase3 2" xfId="43" xr:uid="{00000000-0005-0000-0000-0000B2010000}"/>
    <cellStyle name="60% - Ênfase4 2" xfId="44" xr:uid="{00000000-0005-0000-0000-0000B3010000}"/>
    <cellStyle name="60% - Ênfase5 2" xfId="45" xr:uid="{00000000-0005-0000-0000-0000B4010000}"/>
    <cellStyle name="60% - Ênfase6 2" xfId="46" xr:uid="{00000000-0005-0000-0000-0000B5010000}"/>
    <cellStyle name="Bom 2" xfId="57" xr:uid="{00000000-0005-0000-0000-0000B6010000}"/>
    <cellStyle name="Cálculo 2" xfId="54" xr:uid="{00000000-0005-0000-0000-0000B7010000}"/>
    <cellStyle name="Célula de Verificação 2" xfId="55" xr:uid="{00000000-0005-0000-0000-0000B8010000}"/>
    <cellStyle name="Célula Vinculada 2" xfId="63" xr:uid="{00000000-0005-0000-0000-0000B9010000}"/>
    <cellStyle name="Ênfase1 2" xfId="47" xr:uid="{00000000-0005-0000-0000-0000BA010000}"/>
    <cellStyle name="Ênfase2 2" xfId="48" xr:uid="{00000000-0005-0000-0000-0000BB010000}"/>
    <cellStyle name="Ênfase3 2" xfId="49" xr:uid="{00000000-0005-0000-0000-0000BC010000}"/>
    <cellStyle name="Ênfase4 2" xfId="50" xr:uid="{00000000-0005-0000-0000-0000BD010000}"/>
    <cellStyle name="Ênfase5 2" xfId="51" xr:uid="{00000000-0005-0000-0000-0000BE010000}"/>
    <cellStyle name="Ênfase6 2" xfId="52" xr:uid="{00000000-0005-0000-0000-0000BF010000}"/>
    <cellStyle name="Entrada 2" xfId="62" xr:uid="{00000000-0005-0000-0000-0000C0010000}"/>
    <cellStyle name="Hiperlink" xfId="83" builtinId="8"/>
    <cellStyle name="Incorreto 2" xfId="53" xr:uid="{00000000-0005-0000-0000-0000C2010000}"/>
    <cellStyle name="Moeda 2" xfId="79" xr:uid="{00000000-0005-0000-0000-0000C3010000}"/>
    <cellStyle name="Moeda 2 2" xfId="174" xr:uid="{00000000-0005-0000-0000-0000C4010000}"/>
    <cellStyle name="Moeda 2 2 2" xfId="443" xr:uid="{00000000-0005-0000-0000-0000C5010000}"/>
    <cellStyle name="Moeda 2 2 2 2" xfId="862" xr:uid="{00000000-0005-0000-0000-0000C6010000}"/>
    <cellStyle name="Moeda 2 2 2 2 2" xfId="1923" xr:uid="{00000000-0005-0000-0000-0000C7010000}"/>
    <cellStyle name="Moeda 2 2 2 3" xfId="1504" xr:uid="{00000000-0005-0000-0000-0000C8010000}"/>
    <cellStyle name="Moeda 2 2 3" xfId="259" xr:uid="{00000000-0005-0000-0000-0000C9010000}"/>
    <cellStyle name="Moeda 2 2 3 2" xfId="678" xr:uid="{00000000-0005-0000-0000-0000CA010000}"/>
    <cellStyle name="Moeda 2 2 3 2 2" xfId="1739" xr:uid="{00000000-0005-0000-0000-0000CB010000}"/>
    <cellStyle name="Moeda 2 2 3 3" xfId="1320" xr:uid="{00000000-0005-0000-0000-0000CC010000}"/>
    <cellStyle name="Moeda 2 2 4" xfId="593" xr:uid="{00000000-0005-0000-0000-0000CD010000}"/>
    <cellStyle name="Moeda 2 2 4 2" xfId="1654" xr:uid="{00000000-0005-0000-0000-0000CE010000}"/>
    <cellStyle name="Moeda 2 2 5" xfId="1235" xr:uid="{00000000-0005-0000-0000-0000CF010000}"/>
    <cellStyle name="Moeda 2 3" xfId="129" xr:uid="{00000000-0005-0000-0000-0000D0010000}"/>
    <cellStyle name="Moeda 2 3 2" xfId="398" xr:uid="{00000000-0005-0000-0000-0000D1010000}"/>
    <cellStyle name="Moeda 2 3 2 2" xfId="817" xr:uid="{00000000-0005-0000-0000-0000D2010000}"/>
    <cellStyle name="Moeda 2 3 2 2 2" xfId="1878" xr:uid="{00000000-0005-0000-0000-0000D3010000}"/>
    <cellStyle name="Moeda 2 3 2 3" xfId="1459" xr:uid="{00000000-0005-0000-0000-0000D4010000}"/>
    <cellStyle name="Moeda 2 3 3" xfId="305" xr:uid="{00000000-0005-0000-0000-0000D5010000}"/>
    <cellStyle name="Moeda 2 3 3 2" xfId="724" xr:uid="{00000000-0005-0000-0000-0000D6010000}"/>
    <cellStyle name="Moeda 2 3 3 2 2" xfId="1785" xr:uid="{00000000-0005-0000-0000-0000D7010000}"/>
    <cellStyle name="Moeda 2 3 3 3" xfId="1366" xr:uid="{00000000-0005-0000-0000-0000D8010000}"/>
    <cellStyle name="Moeda 2 3 4" xfId="548" xr:uid="{00000000-0005-0000-0000-0000D9010000}"/>
    <cellStyle name="Moeda 2 3 4 2" xfId="1609" xr:uid="{00000000-0005-0000-0000-0000DA010000}"/>
    <cellStyle name="Moeda 2 3 5" xfId="1190" xr:uid="{00000000-0005-0000-0000-0000DB010000}"/>
    <cellStyle name="Moeda 2 4" xfId="356" xr:uid="{00000000-0005-0000-0000-0000DC010000}"/>
    <cellStyle name="Moeda 2 4 2" xfId="775" xr:uid="{00000000-0005-0000-0000-0000DD010000}"/>
    <cellStyle name="Moeda 2 4 2 2" xfId="1836" xr:uid="{00000000-0005-0000-0000-0000DE010000}"/>
    <cellStyle name="Moeda 2 4 3" xfId="1417" xr:uid="{00000000-0005-0000-0000-0000DF010000}"/>
    <cellStyle name="Moeda 2 5" xfId="218" xr:uid="{00000000-0005-0000-0000-0000E0010000}"/>
    <cellStyle name="Moeda 2 5 2" xfId="637" xr:uid="{00000000-0005-0000-0000-0000E1010000}"/>
    <cellStyle name="Moeda 2 5 2 2" xfId="1698" xr:uid="{00000000-0005-0000-0000-0000E2010000}"/>
    <cellStyle name="Moeda 2 5 3" xfId="1279" xr:uid="{00000000-0005-0000-0000-0000E3010000}"/>
    <cellStyle name="Moeda 2 6" xfId="502" xr:uid="{00000000-0005-0000-0000-0000E4010000}"/>
    <cellStyle name="Moeda 2 6 2" xfId="1563" xr:uid="{00000000-0005-0000-0000-0000E5010000}"/>
    <cellStyle name="Moeda 2 7" xfId="1144" xr:uid="{00000000-0005-0000-0000-0000E6010000}"/>
    <cellStyle name="Neutra 2" xfId="64" xr:uid="{00000000-0005-0000-0000-0000E7010000}"/>
    <cellStyle name="Normal" xfId="0" builtinId="0"/>
    <cellStyle name="Normal 10" xfId="93" xr:uid="{00000000-0005-0000-0000-0000E9010000}"/>
    <cellStyle name="Normal 10 2" xfId="184" xr:uid="{00000000-0005-0000-0000-0000EA010000}"/>
    <cellStyle name="Normal 10 2 2" xfId="453" xr:uid="{00000000-0005-0000-0000-0000EB010000}"/>
    <cellStyle name="Normal 10 2 2 2" xfId="872" xr:uid="{00000000-0005-0000-0000-0000EC010000}"/>
    <cellStyle name="Normal 10 2 2 2 2" xfId="1933" xr:uid="{00000000-0005-0000-0000-0000ED010000}"/>
    <cellStyle name="Normal 10 2 2 3" xfId="1514" xr:uid="{00000000-0005-0000-0000-0000EE010000}"/>
    <cellStyle name="Normal 10 2 3" xfId="269" xr:uid="{00000000-0005-0000-0000-0000EF010000}"/>
    <cellStyle name="Normal 10 2 3 2" xfId="688" xr:uid="{00000000-0005-0000-0000-0000F0010000}"/>
    <cellStyle name="Normal 10 2 3 2 2" xfId="1749" xr:uid="{00000000-0005-0000-0000-0000F1010000}"/>
    <cellStyle name="Normal 10 2 3 3" xfId="1330" xr:uid="{00000000-0005-0000-0000-0000F2010000}"/>
    <cellStyle name="Normal 10 2 4" xfId="603" xr:uid="{00000000-0005-0000-0000-0000F3010000}"/>
    <cellStyle name="Normal 10 2 4 2" xfId="1664" xr:uid="{00000000-0005-0000-0000-0000F4010000}"/>
    <cellStyle name="Normal 10 2 5" xfId="1245" xr:uid="{00000000-0005-0000-0000-0000F5010000}"/>
    <cellStyle name="Normal 10 3" xfId="139" xr:uid="{00000000-0005-0000-0000-0000F6010000}"/>
    <cellStyle name="Normal 10 3 2" xfId="408" xr:uid="{00000000-0005-0000-0000-0000F7010000}"/>
    <cellStyle name="Normal 10 3 2 2" xfId="827" xr:uid="{00000000-0005-0000-0000-0000F8010000}"/>
    <cellStyle name="Normal 10 3 2 2 2" xfId="1888" xr:uid="{00000000-0005-0000-0000-0000F9010000}"/>
    <cellStyle name="Normal 10 3 2 3" xfId="1469" xr:uid="{00000000-0005-0000-0000-0000FA010000}"/>
    <cellStyle name="Normal 10 3 3" xfId="315" xr:uid="{00000000-0005-0000-0000-0000FB010000}"/>
    <cellStyle name="Normal 10 3 3 2" xfId="734" xr:uid="{00000000-0005-0000-0000-0000FC010000}"/>
    <cellStyle name="Normal 10 3 3 2 2" xfId="1795" xr:uid="{00000000-0005-0000-0000-0000FD010000}"/>
    <cellStyle name="Normal 10 3 3 3" xfId="1376" xr:uid="{00000000-0005-0000-0000-0000FE010000}"/>
    <cellStyle name="Normal 10 3 4" xfId="558" xr:uid="{00000000-0005-0000-0000-0000FF010000}"/>
    <cellStyle name="Normal 10 3 4 2" xfId="1619" xr:uid="{00000000-0005-0000-0000-000000020000}"/>
    <cellStyle name="Normal 10 3 5" xfId="1200" xr:uid="{00000000-0005-0000-0000-000001020000}"/>
    <cellStyle name="Normal 10 4" xfId="362" xr:uid="{00000000-0005-0000-0000-000002020000}"/>
    <cellStyle name="Normal 10 4 2" xfId="781" xr:uid="{00000000-0005-0000-0000-000003020000}"/>
    <cellStyle name="Normal 10 4 2 2" xfId="1842" xr:uid="{00000000-0005-0000-0000-000004020000}"/>
    <cellStyle name="Normal 10 4 3" xfId="1423" xr:uid="{00000000-0005-0000-0000-000005020000}"/>
    <cellStyle name="Normal 10 5" xfId="224" xr:uid="{00000000-0005-0000-0000-000006020000}"/>
    <cellStyle name="Normal 10 5 2" xfId="643" xr:uid="{00000000-0005-0000-0000-000007020000}"/>
    <cellStyle name="Normal 10 5 2 2" xfId="1704" xr:uid="{00000000-0005-0000-0000-000008020000}"/>
    <cellStyle name="Normal 10 5 3" xfId="1285" xr:uid="{00000000-0005-0000-0000-000009020000}"/>
    <cellStyle name="Normal 10 6" xfId="512" xr:uid="{00000000-0005-0000-0000-00000A020000}"/>
    <cellStyle name="Normal 10 6 2" xfId="1573" xr:uid="{00000000-0005-0000-0000-00000B020000}"/>
    <cellStyle name="Normal 10 7" xfId="1154" xr:uid="{00000000-0005-0000-0000-00000C020000}"/>
    <cellStyle name="Normal 11" xfId="466" xr:uid="{00000000-0005-0000-0000-00000D020000}"/>
    <cellStyle name="Normal 11 2" xfId="885" xr:uid="{00000000-0005-0000-0000-00000E020000}"/>
    <cellStyle name="Normal 11 2 2" xfId="1946" xr:uid="{00000000-0005-0000-0000-00000F020000}"/>
    <cellStyle name="Normal 11 3" xfId="1527" xr:uid="{00000000-0005-0000-0000-000010020000}"/>
    <cellStyle name="Normal 114" xfId="74" xr:uid="{00000000-0005-0000-0000-000011020000}"/>
    <cellStyle name="Normal 114 2" xfId="171" xr:uid="{00000000-0005-0000-0000-000012020000}"/>
    <cellStyle name="Normal 114 2 2" xfId="440" xr:uid="{00000000-0005-0000-0000-000013020000}"/>
    <cellStyle name="Normal 114 2 2 2" xfId="859" xr:uid="{00000000-0005-0000-0000-000014020000}"/>
    <cellStyle name="Normal 114 2 2 2 2" xfId="1920" xr:uid="{00000000-0005-0000-0000-000015020000}"/>
    <cellStyle name="Normal 114 2 2 3" xfId="1501" xr:uid="{00000000-0005-0000-0000-000016020000}"/>
    <cellStyle name="Normal 114 2 3" xfId="256" xr:uid="{00000000-0005-0000-0000-000017020000}"/>
    <cellStyle name="Normal 114 2 3 2" xfId="675" xr:uid="{00000000-0005-0000-0000-000018020000}"/>
    <cellStyle name="Normal 114 2 3 2 2" xfId="1736" xr:uid="{00000000-0005-0000-0000-000019020000}"/>
    <cellStyle name="Normal 114 2 3 3" xfId="1317" xr:uid="{00000000-0005-0000-0000-00001A020000}"/>
    <cellStyle name="Normal 114 2 4" xfId="590" xr:uid="{00000000-0005-0000-0000-00001B020000}"/>
    <cellStyle name="Normal 114 2 4 2" xfId="1651" xr:uid="{00000000-0005-0000-0000-00001C020000}"/>
    <cellStyle name="Normal 114 2 5" xfId="1232" xr:uid="{00000000-0005-0000-0000-00001D020000}"/>
    <cellStyle name="Normal 114 3" xfId="126" xr:uid="{00000000-0005-0000-0000-00001E020000}"/>
    <cellStyle name="Normal 114 3 2" xfId="395" xr:uid="{00000000-0005-0000-0000-00001F020000}"/>
    <cellStyle name="Normal 114 3 2 2" xfId="814" xr:uid="{00000000-0005-0000-0000-000020020000}"/>
    <cellStyle name="Normal 114 3 2 2 2" xfId="1875" xr:uid="{00000000-0005-0000-0000-000021020000}"/>
    <cellStyle name="Normal 114 3 2 3" xfId="1456" xr:uid="{00000000-0005-0000-0000-000022020000}"/>
    <cellStyle name="Normal 114 3 3" xfId="302" xr:uid="{00000000-0005-0000-0000-000023020000}"/>
    <cellStyle name="Normal 114 3 3 2" xfId="721" xr:uid="{00000000-0005-0000-0000-000024020000}"/>
    <cellStyle name="Normal 114 3 3 2 2" xfId="1782" xr:uid="{00000000-0005-0000-0000-000025020000}"/>
    <cellStyle name="Normal 114 3 3 3" xfId="1363" xr:uid="{00000000-0005-0000-0000-000026020000}"/>
    <cellStyle name="Normal 114 3 4" xfId="545" xr:uid="{00000000-0005-0000-0000-000027020000}"/>
    <cellStyle name="Normal 114 3 4 2" xfId="1606" xr:uid="{00000000-0005-0000-0000-000028020000}"/>
    <cellStyle name="Normal 114 3 5" xfId="1187" xr:uid="{00000000-0005-0000-0000-000029020000}"/>
    <cellStyle name="Normal 114 4" xfId="353" xr:uid="{00000000-0005-0000-0000-00002A020000}"/>
    <cellStyle name="Normal 114 4 2" xfId="772" xr:uid="{00000000-0005-0000-0000-00002B020000}"/>
    <cellStyle name="Normal 114 4 2 2" xfId="1833" xr:uid="{00000000-0005-0000-0000-00002C020000}"/>
    <cellStyle name="Normal 114 4 3" xfId="1414" xr:uid="{00000000-0005-0000-0000-00002D020000}"/>
    <cellStyle name="Normal 114 5" xfId="215" xr:uid="{00000000-0005-0000-0000-00002E020000}"/>
    <cellStyle name="Normal 114 5 2" xfId="634" xr:uid="{00000000-0005-0000-0000-00002F020000}"/>
    <cellStyle name="Normal 114 5 2 2" xfId="1695" xr:uid="{00000000-0005-0000-0000-000030020000}"/>
    <cellStyle name="Normal 114 5 3" xfId="1276" xr:uid="{00000000-0005-0000-0000-000031020000}"/>
    <cellStyle name="Normal 114 6" xfId="499" xr:uid="{00000000-0005-0000-0000-000032020000}"/>
    <cellStyle name="Normal 114 6 2" xfId="1560" xr:uid="{00000000-0005-0000-0000-000033020000}"/>
    <cellStyle name="Normal 114 7" xfId="1141" xr:uid="{00000000-0005-0000-0000-000034020000}"/>
    <cellStyle name="Normal 12" xfId="467" xr:uid="{00000000-0005-0000-0000-000035020000}"/>
    <cellStyle name="Normal 12 2" xfId="886" xr:uid="{00000000-0005-0000-0000-000036020000}"/>
    <cellStyle name="Normal 12 2 2" xfId="1947" xr:uid="{00000000-0005-0000-0000-000037020000}"/>
    <cellStyle name="Normal 12 3" xfId="1528" xr:uid="{00000000-0005-0000-0000-000038020000}"/>
    <cellStyle name="Normal 13" xfId="891" xr:uid="{00000000-0005-0000-0000-000039020000}"/>
    <cellStyle name="Normal 13 2" xfId="1952" xr:uid="{00000000-0005-0000-0000-00003A020000}"/>
    <cellStyle name="Normal 14" xfId="898" xr:uid="{00000000-0005-0000-0000-00003B020000}"/>
    <cellStyle name="Normal 14 2" xfId="1959" xr:uid="{00000000-0005-0000-0000-00003C020000}"/>
    <cellStyle name="Normal 15" xfId="905" xr:uid="{00000000-0005-0000-0000-00003D020000}"/>
    <cellStyle name="Normal 15 2" xfId="1966" xr:uid="{00000000-0005-0000-0000-00003E020000}"/>
    <cellStyle name="Normal 16" xfId="907" xr:uid="{00000000-0005-0000-0000-00003F020000}"/>
    <cellStyle name="Normal 17" xfId="908" xr:uid="{00000000-0005-0000-0000-000040020000}"/>
    <cellStyle name="Normal 17 2" xfId="1968" xr:uid="{00000000-0005-0000-0000-000041020000}"/>
    <cellStyle name="Normal 18" xfId="934" xr:uid="{00000000-0005-0000-0000-000042020000}"/>
    <cellStyle name="Normal 18 2" xfId="1994" xr:uid="{00000000-0005-0000-0000-000043020000}"/>
    <cellStyle name="Normal 19" xfId="936" xr:uid="{00000000-0005-0000-0000-000044020000}"/>
    <cellStyle name="Normal 19 2" xfId="1996" xr:uid="{00000000-0005-0000-0000-000045020000}"/>
    <cellStyle name="Normal 2" xfId="3" xr:uid="{00000000-0005-0000-0000-000046020000}"/>
    <cellStyle name="Normal 2 2" xfId="7" xr:uid="{00000000-0005-0000-0000-000047020000}"/>
    <cellStyle name="Normal 2 2 2" xfId="21" xr:uid="{00000000-0005-0000-0000-000048020000}"/>
    <cellStyle name="Normal 2 2 2 2 2 12" xfId="85" xr:uid="{00000000-0005-0000-0000-000049020000}"/>
    <cellStyle name="Normal 2 2 4" xfId="25" xr:uid="{00000000-0005-0000-0000-00004A020000}"/>
    <cellStyle name="Normal 2 2 5" xfId="26" xr:uid="{00000000-0005-0000-0000-00004B020000}"/>
    <cellStyle name="Normal 2 3" xfId="73" xr:uid="{00000000-0005-0000-0000-00004C020000}"/>
    <cellStyle name="Normal 20" xfId="938" xr:uid="{00000000-0005-0000-0000-00004D020000}"/>
    <cellStyle name="Normal 20 2" xfId="1998" xr:uid="{00000000-0005-0000-0000-00004E020000}"/>
    <cellStyle name="Normal 21" xfId="996" xr:uid="{00000000-0005-0000-0000-00004F020000}"/>
    <cellStyle name="Normal 21 2" xfId="2056" xr:uid="{00000000-0005-0000-0000-000050020000}"/>
    <cellStyle name="Normal 22" xfId="1054" xr:uid="{00000000-0005-0000-0000-000051020000}"/>
    <cellStyle name="Normal 22 2" xfId="2114" xr:uid="{00000000-0005-0000-0000-000052020000}"/>
    <cellStyle name="Normal 3" xfId="12" xr:uid="{00000000-0005-0000-0000-000053020000}"/>
    <cellStyle name="Normal 3 10" xfId="889" xr:uid="{00000000-0005-0000-0000-000054020000}"/>
    <cellStyle name="Normal 3 10 2" xfId="1950" xr:uid="{00000000-0005-0000-0000-000055020000}"/>
    <cellStyle name="Normal 3 11" xfId="1116" xr:uid="{00000000-0005-0000-0000-000056020000}"/>
    <cellStyle name="Normal 3 2" xfId="15" xr:uid="{00000000-0005-0000-0000-000057020000}"/>
    <cellStyle name="Normal 3 2 2" xfId="77" xr:uid="{00000000-0005-0000-0000-000058020000}"/>
    <cellStyle name="Normal 3 2 3" xfId="149" xr:uid="{00000000-0005-0000-0000-000059020000}"/>
    <cellStyle name="Normal 3 2 3 2" xfId="418" xr:uid="{00000000-0005-0000-0000-00005A020000}"/>
    <cellStyle name="Normal 3 2 3 2 2" xfId="837" xr:uid="{00000000-0005-0000-0000-00005B020000}"/>
    <cellStyle name="Normal 3 2 3 2 2 2" xfId="1898" xr:uid="{00000000-0005-0000-0000-00005C020000}"/>
    <cellStyle name="Normal 3 2 3 2 3" xfId="1479" xr:uid="{00000000-0005-0000-0000-00005D020000}"/>
    <cellStyle name="Normal 3 2 3 3" xfId="234" xr:uid="{00000000-0005-0000-0000-00005E020000}"/>
    <cellStyle name="Normal 3 2 3 3 2" xfId="653" xr:uid="{00000000-0005-0000-0000-00005F020000}"/>
    <cellStyle name="Normal 3 2 3 3 2 2" xfId="1714" xr:uid="{00000000-0005-0000-0000-000060020000}"/>
    <cellStyle name="Normal 3 2 3 3 3" xfId="1295" xr:uid="{00000000-0005-0000-0000-000061020000}"/>
    <cellStyle name="Normal 3 2 3 4" xfId="568" xr:uid="{00000000-0005-0000-0000-000062020000}"/>
    <cellStyle name="Normal 3 2 3 4 2" xfId="1629" xr:uid="{00000000-0005-0000-0000-000063020000}"/>
    <cellStyle name="Normal 3 2 3 5" xfId="1210" xr:uid="{00000000-0005-0000-0000-000064020000}"/>
    <cellStyle name="Normal 3 2 4" xfId="104" xr:uid="{00000000-0005-0000-0000-000065020000}"/>
    <cellStyle name="Normal 3 2 4 2" xfId="373" xr:uid="{00000000-0005-0000-0000-000066020000}"/>
    <cellStyle name="Normal 3 2 4 2 2" xfId="792" xr:uid="{00000000-0005-0000-0000-000067020000}"/>
    <cellStyle name="Normal 3 2 4 2 2 2" xfId="1853" xr:uid="{00000000-0005-0000-0000-000068020000}"/>
    <cellStyle name="Normal 3 2 4 2 3" xfId="1434" xr:uid="{00000000-0005-0000-0000-000069020000}"/>
    <cellStyle name="Normal 3 2 4 3" xfId="280" xr:uid="{00000000-0005-0000-0000-00006A020000}"/>
    <cellStyle name="Normal 3 2 4 3 2" xfId="699" xr:uid="{00000000-0005-0000-0000-00006B020000}"/>
    <cellStyle name="Normal 3 2 4 3 2 2" xfId="1760" xr:uid="{00000000-0005-0000-0000-00006C020000}"/>
    <cellStyle name="Normal 3 2 4 3 3" xfId="1341" xr:uid="{00000000-0005-0000-0000-00006D020000}"/>
    <cellStyle name="Normal 3 2 4 4" xfId="523" xr:uid="{00000000-0005-0000-0000-00006E020000}"/>
    <cellStyle name="Normal 3 2 4 4 2" xfId="1584" xr:uid="{00000000-0005-0000-0000-00006F020000}"/>
    <cellStyle name="Normal 3 2 4 5" xfId="1165" xr:uid="{00000000-0005-0000-0000-000070020000}"/>
    <cellStyle name="Normal 3 2 5" xfId="332" xr:uid="{00000000-0005-0000-0000-000071020000}"/>
    <cellStyle name="Normal 3 2 5 2" xfId="751" xr:uid="{00000000-0005-0000-0000-000072020000}"/>
    <cellStyle name="Normal 3 2 5 2 2" xfId="1812" xr:uid="{00000000-0005-0000-0000-000073020000}"/>
    <cellStyle name="Normal 3 2 5 3" xfId="1393" xr:uid="{00000000-0005-0000-0000-000074020000}"/>
    <cellStyle name="Normal 3 2 6" xfId="194" xr:uid="{00000000-0005-0000-0000-000075020000}"/>
    <cellStyle name="Normal 3 2 6 2" xfId="613" xr:uid="{00000000-0005-0000-0000-000076020000}"/>
    <cellStyle name="Normal 3 2 6 2 2" xfId="1674" xr:uid="{00000000-0005-0000-0000-000077020000}"/>
    <cellStyle name="Normal 3 2 6 3" xfId="1255" xr:uid="{00000000-0005-0000-0000-000078020000}"/>
    <cellStyle name="Normal 3 2 7" xfId="477" xr:uid="{00000000-0005-0000-0000-000079020000}"/>
    <cellStyle name="Normal 3 2 7 2" xfId="1538" xr:uid="{00000000-0005-0000-0000-00007A020000}"/>
    <cellStyle name="Normal 3 2 8" xfId="1119" xr:uid="{00000000-0005-0000-0000-00007B020000}"/>
    <cellStyle name="Normal 3 3" xfId="23" xr:uid="{00000000-0005-0000-0000-00007C020000}"/>
    <cellStyle name="Normal 3 3 2" xfId="155" xr:uid="{00000000-0005-0000-0000-00007D020000}"/>
    <cellStyle name="Normal 3 3 2 2" xfId="424" xr:uid="{00000000-0005-0000-0000-00007E020000}"/>
    <cellStyle name="Normal 3 3 2 2 2" xfId="843" xr:uid="{00000000-0005-0000-0000-00007F020000}"/>
    <cellStyle name="Normal 3 3 2 2 2 2" xfId="1904" xr:uid="{00000000-0005-0000-0000-000080020000}"/>
    <cellStyle name="Normal 3 3 2 2 3" xfId="1485" xr:uid="{00000000-0005-0000-0000-000081020000}"/>
    <cellStyle name="Normal 3 3 2 3" xfId="240" xr:uid="{00000000-0005-0000-0000-000082020000}"/>
    <cellStyle name="Normal 3 3 2 3 2" xfId="659" xr:uid="{00000000-0005-0000-0000-000083020000}"/>
    <cellStyle name="Normal 3 3 2 3 2 2" xfId="1720" xr:uid="{00000000-0005-0000-0000-000084020000}"/>
    <cellStyle name="Normal 3 3 2 3 3" xfId="1301" xr:uid="{00000000-0005-0000-0000-000085020000}"/>
    <cellStyle name="Normal 3 3 2 4" xfId="574" xr:uid="{00000000-0005-0000-0000-000086020000}"/>
    <cellStyle name="Normal 3 3 2 4 2" xfId="1635" xr:uid="{00000000-0005-0000-0000-000087020000}"/>
    <cellStyle name="Normal 3 3 2 5" xfId="1216" xr:uid="{00000000-0005-0000-0000-000088020000}"/>
    <cellStyle name="Normal 3 3 3" xfId="110" xr:uid="{00000000-0005-0000-0000-000089020000}"/>
    <cellStyle name="Normal 3 3 3 2" xfId="379" xr:uid="{00000000-0005-0000-0000-00008A020000}"/>
    <cellStyle name="Normal 3 3 3 2 2" xfId="798" xr:uid="{00000000-0005-0000-0000-00008B020000}"/>
    <cellStyle name="Normal 3 3 3 2 2 2" xfId="1859" xr:uid="{00000000-0005-0000-0000-00008C020000}"/>
    <cellStyle name="Normal 3 3 3 2 3" xfId="1440" xr:uid="{00000000-0005-0000-0000-00008D020000}"/>
    <cellStyle name="Normal 3 3 3 3" xfId="286" xr:uid="{00000000-0005-0000-0000-00008E020000}"/>
    <cellStyle name="Normal 3 3 3 3 2" xfId="705" xr:uid="{00000000-0005-0000-0000-00008F020000}"/>
    <cellStyle name="Normal 3 3 3 3 2 2" xfId="1766" xr:uid="{00000000-0005-0000-0000-000090020000}"/>
    <cellStyle name="Normal 3 3 3 3 3" xfId="1347" xr:uid="{00000000-0005-0000-0000-000091020000}"/>
    <cellStyle name="Normal 3 3 3 4" xfId="529" xr:uid="{00000000-0005-0000-0000-000092020000}"/>
    <cellStyle name="Normal 3 3 3 4 2" xfId="1590" xr:uid="{00000000-0005-0000-0000-000093020000}"/>
    <cellStyle name="Normal 3 3 3 5" xfId="1171" xr:uid="{00000000-0005-0000-0000-000094020000}"/>
    <cellStyle name="Normal 3 3 4" xfId="337" xr:uid="{00000000-0005-0000-0000-000095020000}"/>
    <cellStyle name="Normal 3 3 4 2" xfId="756" xr:uid="{00000000-0005-0000-0000-000096020000}"/>
    <cellStyle name="Normal 3 3 4 2 2" xfId="1817" xr:uid="{00000000-0005-0000-0000-000097020000}"/>
    <cellStyle name="Normal 3 3 4 3" xfId="1398" xr:uid="{00000000-0005-0000-0000-000098020000}"/>
    <cellStyle name="Normal 3 3 5" xfId="199" xr:uid="{00000000-0005-0000-0000-000099020000}"/>
    <cellStyle name="Normal 3 3 5 2" xfId="618" xr:uid="{00000000-0005-0000-0000-00009A020000}"/>
    <cellStyle name="Normal 3 3 5 2 2" xfId="1679" xr:uid="{00000000-0005-0000-0000-00009B020000}"/>
    <cellStyle name="Normal 3 3 5 3" xfId="1260" xr:uid="{00000000-0005-0000-0000-00009C020000}"/>
    <cellStyle name="Normal 3 3 6" xfId="483" xr:uid="{00000000-0005-0000-0000-00009D020000}"/>
    <cellStyle name="Normal 3 3 6 2" xfId="1544" xr:uid="{00000000-0005-0000-0000-00009E020000}"/>
    <cellStyle name="Normal 3 3 7" xfId="1125" xr:uid="{00000000-0005-0000-0000-00009F020000}"/>
    <cellStyle name="Normal 3 4" xfId="86" xr:uid="{00000000-0005-0000-0000-0000A0020000}"/>
    <cellStyle name="Normal 3 4 2" xfId="178" xr:uid="{00000000-0005-0000-0000-0000A1020000}"/>
    <cellStyle name="Normal 3 4 2 2" xfId="447" xr:uid="{00000000-0005-0000-0000-0000A2020000}"/>
    <cellStyle name="Normal 3 4 2 2 2" xfId="866" xr:uid="{00000000-0005-0000-0000-0000A3020000}"/>
    <cellStyle name="Normal 3 4 2 2 2 2" xfId="1927" xr:uid="{00000000-0005-0000-0000-0000A4020000}"/>
    <cellStyle name="Normal 3 4 2 2 3" xfId="1508" xr:uid="{00000000-0005-0000-0000-0000A5020000}"/>
    <cellStyle name="Normal 3 4 2 3" xfId="263" xr:uid="{00000000-0005-0000-0000-0000A6020000}"/>
    <cellStyle name="Normal 3 4 2 3 2" xfId="682" xr:uid="{00000000-0005-0000-0000-0000A7020000}"/>
    <cellStyle name="Normal 3 4 2 3 2 2" xfId="1743" xr:uid="{00000000-0005-0000-0000-0000A8020000}"/>
    <cellStyle name="Normal 3 4 2 3 3" xfId="1324" xr:uid="{00000000-0005-0000-0000-0000A9020000}"/>
    <cellStyle name="Normal 3 4 2 4" xfId="597" xr:uid="{00000000-0005-0000-0000-0000AA020000}"/>
    <cellStyle name="Normal 3 4 2 4 2" xfId="1658" xr:uid="{00000000-0005-0000-0000-0000AB020000}"/>
    <cellStyle name="Normal 3 4 2 5" xfId="1239" xr:uid="{00000000-0005-0000-0000-0000AC020000}"/>
    <cellStyle name="Normal 3 4 3" xfId="133" xr:uid="{00000000-0005-0000-0000-0000AD020000}"/>
    <cellStyle name="Normal 3 4 3 2" xfId="402" xr:uid="{00000000-0005-0000-0000-0000AE020000}"/>
    <cellStyle name="Normal 3 4 3 2 2" xfId="821" xr:uid="{00000000-0005-0000-0000-0000AF020000}"/>
    <cellStyle name="Normal 3 4 3 2 2 2" xfId="1882" xr:uid="{00000000-0005-0000-0000-0000B0020000}"/>
    <cellStyle name="Normal 3 4 3 2 3" xfId="1463" xr:uid="{00000000-0005-0000-0000-0000B1020000}"/>
    <cellStyle name="Normal 3 4 3 3" xfId="309" xr:uid="{00000000-0005-0000-0000-0000B2020000}"/>
    <cellStyle name="Normal 3 4 3 3 2" xfId="728" xr:uid="{00000000-0005-0000-0000-0000B3020000}"/>
    <cellStyle name="Normal 3 4 3 3 2 2" xfId="1789" xr:uid="{00000000-0005-0000-0000-0000B4020000}"/>
    <cellStyle name="Normal 3 4 3 3 3" xfId="1370" xr:uid="{00000000-0005-0000-0000-0000B5020000}"/>
    <cellStyle name="Normal 3 4 3 4" xfId="552" xr:uid="{00000000-0005-0000-0000-0000B6020000}"/>
    <cellStyle name="Normal 3 4 3 4 2" xfId="1613" xr:uid="{00000000-0005-0000-0000-0000B7020000}"/>
    <cellStyle name="Normal 3 4 3 5" xfId="1194" xr:uid="{00000000-0005-0000-0000-0000B8020000}"/>
    <cellStyle name="Normal 3 4 4" xfId="360" xr:uid="{00000000-0005-0000-0000-0000B9020000}"/>
    <cellStyle name="Normal 3 4 4 2" xfId="779" xr:uid="{00000000-0005-0000-0000-0000BA020000}"/>
    <cellStyle name="Normal 3 4 4 2 2" xfId="1840" xr:uid="{00000000-0005-0000-0000-0000BB020000}"/>
    <cellStyle name="Normal 3 4 4 3" xfId="1421" xr:uid="{00000000-0005-0000-0000-0000BC020000}"/>
    <cellStyle name="Normal 3 4 5" xfId="222" xr:uid="{00000000-0005-0000-0000-0000BD020000}"/>
    <cellStyle name="Normal 3 4 5 2" xfId="641" xr:uid="{00000000-0005-0000-0000-0000BE020000}"/>
    <cellStyle name="Normal 3 4 5 2 2" xfId="1702" xr:uid="{00000000-0005-0000-0000-0000BF020000}"/>
    <cellStyle name="Normal 3 4 5 3" xfId="1283" xr:uid="{00000000-0005-0000-0000-0000C0020000}"/>
    <cellStyle name="Normal 3 4 6" xfId="506" xr:uid="{00000000-0005-0000-0000-0000C1020000}"/>
    <cellStyle name="Normal 3 4 6 2" xfId="1567" xr:uid="{00000000-0005-0000-0000-0000C2020000}"/>
    <cellStyle name="Normal 3 4 7" xfId="1148" xr:uid="{00000000-0005-0000-0000-0000C3020000}"/>
    <cellStyle name="Normal 3 5" xfId="146" xr:uid="{00000000-0005-0000-0000-0000C4020000}"/>
    <cellStyle name="Normal 3 5 2" xfId="415" xr:uid="{00000000-0005-0000-0000-0000C5020000}"/>
    <cellStyle name="Normal 3 5 2 2" xfId="834" xr:uid="{00000000-0005-0000-0000-0000C6020000}"/>
    <cellStyle name="Normal 3 5 2 2 2" xfId="1895" xr:uid="{00000000-0005-0000-0000-0000C7020000}"/>
    <cellStyle name="Normal 3 5 2 3" xfId="1476" xr:uid="{00000000-0005-0000-0000-0000C8020000}"/>
    <cellStyle name="Normal 3 5 3" xfId="231" xr:uid="{00000000-0005-0000-0000-0000C9020000}"/>
    <cellStyle name="Normal 3 5 3 2" xfId="650" xr:uid="{00000000-0005-0000-0000-0000CA020000}"/>
    <cellStyle name="Normal 3 5 3 2 2" xfId="1711" xr:uid="{00000000-0005-0000-0000-0000CB020000}"/>
    <cellStyle name="Normal 3 5 3 3" xfId="1292" xr:uid="{00000000-0005-0000-0000-0000CC020000}"/>
    <cellStyle name="Normal 3 5 4" xfId="565" xr:uid="{00000000-0005-0000-0000-0000CD020000}"/>
    <cellStyle name="Normal 3 5 4 2" xfId="1626" xr:uid="{00000000-0005-0000-0000-0000CE020000}"/>
    <cellStyle name="Normal 3 5 5" xfId="1207" xr:uid="{00000000-0005-0000-0000-0000CF020000}"/>
    <cellStyle name="Normal 3 6" xfId="101" xr:uid="{00000000-0005-0000-0000-0000D0020000}"/>
    <cellStyle name="Normal 3 6 2" xfId="370" xr:uid="{00000000-0005-0000-0000-0000D1020000}"/>
    <cellStyle name="Normal 3 6 2 2" xfId="789" xr:uid="{00000000-0005-0000-0000-0000D2020000}"/>
    <cellStyle name="Normal 3 6 2 2 2" xfId="1850" xr:uid="{00000000-0005-0000-0000-0000D3020000}"/>
    <cellStyle name="Normal 3 6 2 3" xfId="1431" xr:uid="{00000000-0005-0000-0000-0000D4020000}"/>
    <cellStyle name="Normal 3 6 3" xfId="277" xr:uid="{00000000-0005-0000-0000-0000D5020000}"/>
    <cellStyle name="Normal 3 6 3 2" xfId="696" xr:uid="{00000000-0005-0000-0000-0000D6020000}"/>
    <cellStyle name="Normal 3 6 3 2 2" xfId="1757" xr:uid="{00000000-0005-0000-0000-0000D7020000}"/>
    <cellStyle name="Normal 3 6 3 3" xfId="1338" xr:uid="{00000000-0005-0000-0000-0000D8020000}"/>
    <cellStyle name="Normal 3 6 4" xfId="520" xr:uid="{00000000-0005-0000-0000-0000D9020000}"/>
    <cellStyle name="Normal 3 6 4 2" xfId="1581" xr:uid="{00000000-0005-0000-0000-0000DA020000}"/>
    <cellStyle name="Normal 3 6 5" xfId="1162" xr:uid="{00000000-0005-0000-0000-0000DB020000}"/>
    <cellStyle name="Normal 3 7" xfId="329" xr:uid="{00000000-0005-0000-0000-0000DC020000}"/>
    <cellStyle name="Normal 3 7 2" xfId="748" xr:uid="{00000000-0005-0000-0000-0000DD020000}"/>
    <cellStyle name="Normal 3 7 2 2" xfId="1809" xr:uid="{00000000-0005-0000-0000-0000DE020000}"/>
    <cellStyle name="Normal 3 7 3" xfId="1390" xr:uid="{00000000-0005-0000-0000-0000DF020000}"/>
    <cellStyle name="Normal 3 8" xfId="191" xr:uid="{00000000-0005-0000-0000-0000E0020000}"/>
    <cellStyle name="Normal 3 8 2" xfId="610" xr:uid="{00000000-0005-0000-0000-0000E1020000}"/>
    <cellStyle name="Normal 3 8 2 2" xfId="1671" xr:uid="{00000000-0005-0000-0000-0000E2020000}"/>
    <cellStyle name="Normal 3 8 3" xfId="1252" xr:uid="{00000000-0005-0000-0000-0000E3020000}"/>
    <cellStyle name="Normal 3 9" xfId="474" xr:uid="{00000000-0005-0000-0000-0000E4020000}"/>
    <cellStyle name="Normal 3 9 2" xfId="1535" xr:uid="{00000000-0005-0000-0000-0000E5020000}"/>
    <cellStyle name="Normal 4" xfId="16" xr:uid="{00000000-0005-0000-0000-0000E6020000}"/>
    <cellStyle name="Normal 4 2" xfId="24" xr:uid="{00000000-0005-0000-0000-0000E7020000}"/>
    <cellStyle name="Normal 4 3" xfId="150" xr:uid="{00000000-0005-0000-0000-0000E8020000}"/>
    <cellStyle name="Normal 4 3 2" xfId="419" xr:uid="{00000000-0005-0000-0000-0000E9020000}"/>
    <cellStyle name="Normal 4 3 2 2" xfId="838" xr:uid="{00000000-0005-0000-0000-0000EA020000}"/>
    <cellStyle name="Normal 4 3 2 2 2" xfId="1899" xr:uid="{00000000-0005-0000-0000-0000EB020000}"/>
    <cellStyle name="Normal 4 3 2 3" xfId="1480" xr:uid="{00000000-0005-0000-0000-0000EC020000}"/>
    <cellStyle name="Normal 4 3 3" xfId="235" xr:uid="{00000000-0005-0000-0000-0000ED020000}"/>
    <cellStyle name="Normal 4 3 3 2" xfId="654" xr:uid="{00000000-0005-0000-0000-0000EE020000}"/>
    <cellStyle name="Normal 4 3 3 2 2" xfId="1715" xr:uid="{00000000-0005-0000-0000-0000EF020000}"/>
    <cellStyle name="Normal 4 3 3 3" xfId="1296" xr:uid="{00000000-0005-0000-0000-0000F0020000}"/>
    <cellStyle name="Normal 4 3 4" xfId="569" xr:uid="{00000000-0005-0000-0000-0000F1020000}"/>
    <cellStyle name="Normal 4 3 4 2" xfId="1630" xr:uid="{00000000-0005-0000-0000-0000F2020000}"/>
    <cellStyle name="Normal 4 3 5" xfId="1211" xr:uid="{00000000-0005-0000-0000-0000F3020000}"/>
    <cellStyle name="Normal 4 4" xfId="105" xr:uid="{00000000-0005-0000-0000-0000F4020000}"/>
    <cellStyle name="Normal 4 4 2" xfId="374" xr:uid="{00000000-0005-0000-0000-0000F5020000}"/>
    <cellStyle name="Normal 4 4 2 2" xfId="793" xr:uid="{00000000-0005-0000-0000-0000F6020000}"/>
    <cellStyle name="Normal 4 4 2 2 2" xfId="1854" xr:uid="{00000000-0005-0000-0000-0000F7020000}"/>
    <cellStyle name="Normal 4 4 2 3" xfId="1435" xr:uid="{00000000-0005-0000-0000-0000F8020000}"/>
    <cellStyle name="Normal 4 4 3" xfId="281" xr:uid="{00000000-0005-0000-0000-0000F9020000}"/>
    <cellStyle name="Normal 4 4 3 2" xfId="700" xr:uid="{00000000-0005-0000-0000-0000FA020000}"/>
    <cellStyle name="Normal 4 4 3 2 2" xfId="1761" xr:uid="{00000000-0005-0000-0000-0000FB020000}"/>
    <cellStyle name="Normal 4 4 3 3" xfId="1342" xr:uid="{00000000-0005-0000-0000-0000FC020000}"/>
    <cellStyle name="Normal 4 4 4" xfId="524" xr:uid="{00000000-0005-0000-0000-0000FD020000}"/>
    <cellStyle name="Normal 4 4 4 2" xfId="1585" xr:uid="{00000000-0005-0000-0000-0000FE020000}"/>
    <cellStyle name="Normal 4 4 5" xfId="1166" xr:uid="{00000000-0005-0000-0000-0000FF020000}"/>
    <cellStyle name="Normal 4 5" xfId="333" xr:uid="{00000000-0005-0000-0000-000000030000}"/>
    <cellStyle name="Normal 4 5 2" xfId="752" xr:uid="{00000000-0005-0000-0000-000001030000}"/>
    <cellStyle name="Normal 4 5 2 2" xfId="1813" xr:uid="{00000000-0005-0000-0000-000002030000}"/>
    <cellStyle name="Normal 4 5 3" xfId="1394" xr:uid="{00000000-0005-0000-0000-000003030000}"/>
    <cellStyle name="Normal 4 6" xfId="195" xr:uid="{00000000-0005-0000-0000-000004030000}"/>
    <cellStyle name="Normal 4 6 2" xfId="614" xr:uid="{00000000-0005-0000-0000-000005030000}"/>
    <cellStyle name="Normal 4 6 2 2" xfId="1675" xr:uid="{00000000-0005-0000-0000-000006030000}"/>
    <cellStyle name="Normal 4 6 3" xfId="1256" xr:uid="{00000000-0005-0000-0000-000007030000}"/>
    <cellStyle name="Normal 4 7" xfId="478" xr:uid="{00000000-0005-0000-0000-000008030000}"/>
    <cellStyle name="Normal 4 7 2" xfId="1539" xr:uid="{00000000-0005-0000-0000-000009030000}"/>
    <cellStyle name="Normal 4 8" xfId="1120" xr:uid="{00000000-0005-0000-0000-00000A030000}"/>
    <cellStyle name="Normal 5" xfId="18" xr:uid="{00000000-0005-0000-0000-00000B030000}"/>
    <cellStyle name="Normal 5 2" xfId="152" xr:uid="{00000000-0005-0000-0000-00000C030000}"/>
    <cellStyle name="Normal 5 2 2" xfId="421" xr:uid="{00000000-0005-0000-0000-00000D030000}"/>
    <cellStyle name="Normal 5 2 2 2" xfId="840" xr:uid="{00000000-0005-0000-0000-00000E030000}"/>
    <cellStyle name="Normal 5 2 2 2 2" xfId="1901" xr:uid="{00000000-0005-0000-0000-00000F030000}"/>
    <cellStyle name="Normal 5 2 2 3" xfId="1482" xr:uid="{00000000-0005-0000-0000-000010030000}"/>
    <cellStyle name="Normal 5 2 3" xfId="237" xr:uid="{00000000-0005-0000-0000-000011030000}"/>
    <cellStyle name="Normal 5 2 3 2" xfId="656" xr:uid="{00000000-0005-0000-0000-000012030000}"/>
    <cellStyle name="Normal 5 2 3 2 2" xfId="1717" xr:uid="{00000000-0005-0000-0000-000013030000}"/>
    <cellStyle name="Normal 5 2 3 3" xfId="1298" xr:uid="{00000000-0005-0000-0000-000014030000}"/>
    <cellStyle name="Normal 5 2 4" xfId="571" xr:uid="{00000000-0005-0000-0000-000015030000}"/>
    <cellStyle name="Normal 5 2 4 2" xfId="1632" xr:uid="{00000000-0005-0000-0000-000016030000}"/>
    <cellStyle name="Normal 5 2 5" xfId="1213" xr:uid="{00000000-0005-0000-0000-000017030000}"/>
    <cellStyle name="Normal 5 3" xfId="107" xr:uid="{00000000-0005-0000-0000-000018030000}"/>
    <cellStyle name="Normal 5 3 2" xfId="376" xr:uid="{00000000-0005-0000-0000-000019030000}"/>
    <cellStyle name="Normal 5 3 2 2" xfId="795" xr:uid="{00000000-0005-0000-0000-00001A030000}"/>
    <cellStyle name="Normal 5 3 2 2 2" xfId="1856" xr:uid="{00000000-0005-0000-0000-00001B030000}"/>
    <cellStyle name="Normal 5 3 2 3" xfId="1437" xr:uid="{00000000-0005-0000-0000-00001C030000}"/>
    <cellStyle name="Normal 5 3 3" xfId="283" xr:uid="{00000000-0005-0000-0000-00001D030000}"/>
    <cellStyle name="Normal 5 3 3 2" xfId="702" xr:uid="{00000000-0005-0000-0000-00001E030000}"/>
    <cellStyle name="Normal 5 3 3 2 2" xfId="1763" xr:uid="{00000000-0005-0000-0000-00001F030000}"/>
    <cellStyle name="Normal 5 3 3 3" xfId="1344" xr:uid="{00000000-0005-0000-0000-000020030000}"/>
    <cellStyle name="Normal 5 3 4" xfId="526" xr:uid="{00000000-0005-0000-0000-000021030000}"/>
    <cellStyle name="Normal 5 3 4 2" xfId="1587" xr:uid="{00000000-0005-0000-0000-000022030000}"/>
    <cellStyle name="Normal 5 3 5" xfId="1168" xr:uid="{00000000-0005-0000-0000-000023030000}"/>
    <cellStyle name="Normal 5 4" xfId="334" xr:uid="{00000000-0005-0000-0000-000024030000}"/>
    <cellStyle name="Normal 5 4 2" xfId="753" xr:uid="{00000000-0005-0000-0000-000025030000}"/>
    <cellStyle name="Normal 5 4 2 2" xfId="1814" xr:uid="{00000000-0005-0000-0000-000026030000}"/>
    <cellStyle name="Normal 5 4 3" xfId="1395" xr:uid="{00000000-0005-0000-0000-000027030000}"/>
    <cellStyle name="Normal 5 5" xfId="196" xr:uid="{00000000-0005-0000-0000-000028030000}"/>
    <cellStyle name="Normal 5 5 2" xfId="615" xr:uid="{00000000-0005-0000-0000-000029030000}"/>
    <cellStyle name="Normal 5 5 2 2" xfId="1676" xr:uid="{00000000-0005-0000-0000-00002A030000}"/>
    <cellStyle name="Normal 5 5 3" xfId="1257" xr:uid="{00000000-0005-0000-0000-00002B030000}"/>
    <cellStyle name="Normal 5 6" xfId="480" xr:uid="{00000000-0005-0000-0000-00002C030000}"/>
    <cellStyle name="Normal 5 6 2" xfId="1541" xr:uid="{00000000-0005-0000-0000-00002D030000}"/>
    <cellStyle name="Normal 5 7" xfId="1122" xr:uid="{00000000-0005-0000-0000-00002E030000}"/>
    <cellStyle name="Normal 6" xfId="27" xr:uid="{00000000-0005-0000-0000-00002F030000}"/>
    <cellStyle name="Normal 7" xfId="82" xr:uid="{00000000-0005-0000-0000-000030030000}"/>
    <cellStyle name="Normal 7 2" xfId="176" xr:uid="{00000000-0005-0000-0000-000031030000}"/>
    <cellStyle name="Normal 7 2 2" xfId="445" xr:uid="{00000000-0005-0000-0000-000032030000}"/>
    <cellStyle name="Normal 7 2 2 2" xfId="864" xr:uid="{00000000-0005-0000-0000-000033030000}"/>
    <cellStyle name="Normal 7 2 2 2 2" xfId="1925" xr:uid="{00000000-0005-0000-0000-000034030000}"/>
    <cellStyle name="Normal 7 2 2 3" xfId="1506" xr:uid="{00000000-0005-0000-0000-000035030000}"/>
    <cellStyle name="Normal 7 2 3" xfId="261" xr:uid="{00000000-0005-0000-0000-000036030000}"/>
    <cellStyle name="Normal 7 2 3 2" xfId="680" xr:uid="{00000000-0005-0000-0000-000037030000}"/>
    <cellStyle name="Normal 7 2 3 2 2" xfId="1741" xr:uid="{00000000-0005-0000-0000-000038030000}"/>
    <cellStyle name="Normal 7 2 3 3" xfId="1322" xr:uid="{00000000-0005-0000-0000-000039030000}"/>
    <cellStyle name="Normal 7 2 4" xfId="595" xr:uid="{00000000-0005-0000-0000-00003A030000}"/>
    <cellStyle name="Normal 7 2 4 2" xfId="1656" xr:uid="{00000000-0005-0000-0000-00003B030000}"/>
    <cellStyle name="Normal 7 2 5" xfId="1237" xr:uid="{00000000-0005-0000-0000-00003C030000}"/>
    <cellStyle name="Normal 7 3" xfId="131" xr:uid="{00000000-0005-0000-0000-00003D030000}"/>
    <cellStyle name="Normal 7 3 2" xfId="400" xr:uid="{00000000-0005-0000-0000-00003E030000}"/>
    <cellStyle name="Normal 7 3 2 2" xfId="819" xr:uid="{00000000-0005-0000-0000-00003F030000}"/>
    <cellStyle name="Normal 7 3 2 2 2" xfId="1880" xr:uid="{00000000-0005-0000-0000-000040030000}"/>
    <cellStyle name="Normal 7 3 2 3" xfId="1461" xr:uid="{00000000-0005-0000-0000-000041030000}"/>
    <cellStyle name="Normal 7 3 3" xfId="307" xr:uid="{00000000-0005-0000-0000-000042030000}"/>
    <cellStyle name="Normal 7 3 3 2" xfId="726" xr:uid="{00000000-0005-0000-0000-000043030000}"/>
    <cellStyle name="Normal 7 3 3 2 2" xfId="1787" xr:uid="{00000000-0005-0000-0000-000044030000}"/>
    <cellStyle name="Normal 7 3 3 3" xfId="1368" xr:uid="{00000000-0005-0000-0000-000045030000}"/>
    <cellStyle name="Normal 7 3 4" xfId="550" xr:uid="{00000000-0005-0000-0000-000046030000}"/>
    <cellStyle name="Normal 7 3 4 2" xfId="1611" xr:uid="{00000000-0005-0000-0000-000047030000}"/>
    <cellStyle name="Normal 7 3 5" xfId="1192" xr:uid="{00000000-0005-0000-0000-000048030000}"/>
    <cellStyle name="Normal 7 4" xfId="358" xr:uid="{00000000-0005-0000-0000-000049030000}"/>
    <cellStyle name="Normal 7 4 2" xfId="777" xr:uid="{00000000-0005-0000-0000-00004A030000}"/>
    <cellStyle name="Normal 7 4 2 2" xfId="1838" xr:uid="{00000000-0005-0000-0000-00004B030000}"/>
    <cellStyle name="Normal 7 4 3" xfId="1419" xr:uid="{00000000-0005-0000-0000-00004C030000}"/>
    <cellStyle name="Normal 7 5" xfId="220" xr:uid="{00000000-0005-0000-0000-00004D030000}"/>
    <cellStyle name="Normal 7 5 2" xfId="639" xr:uid="{00000000-0005-0000-0000-00004E030000}"/>
    <cellStyle name="Normal 7 5 2 2" xfId="1700" xr:uid="{00000000-0005-0000-0000-00004F030000}"/>
    <cellStyle name="Normal 7 5 3" xfId="1281" xr:uid="{00000000-0005-0000-0000-000050030000}"/>
    <cellStyle name="Normal 7 6" xfId="504" xr:uid="{00000000-0005-0000-0000-000051030000}"/>
    <cellStyle name="Normal 7 6 2" xfId="1565" xr:uid="{00000000-0005-0000-0000-000052030000}"/>
    <cellStyle name="Normal 7 7" xfId="1146" xr:uid="{00000000-0005-0000-0000-000053030000}"/>
    <cellStyle name="Normal 8" xfId="84" xr:uid="{00000000-0005-0000-0000-000054030000}"/>
    <cellStyle name="Normal 8 2" xfId="177" xr:uid="{00000000-0005-0000-0000-000055030000}"/>
    <cellStyle name="Normal 8 2 2" xfId="446" xr:uid="{00000000-0005-0000-0000-000056030000}"/>
    <cellStyle name="Normal 8 2 2 2" xfId="865" xr:uid="{00000000-0005-0000-0000-000057030000}"/>
    <cellStyle name="Normal 8 2 2 2 2" xfId="1926" xr:uid="{00000000-0005-0000-0000-000058030000}"/>
    <cellStyle name="Normal 8 2 2 3" xfId="1507" xr:uid="{00000000-0005-0000-0000-000059030000}"/>
    <cellStyle name="Normal 8 2 3" xfId="262" xr:uid="{00000000-0005-0000-0000-00005A030000}"/>
    <cellStyle name="Normal 8 2 3 2" xfId="681" xr:uid="{00000000-0005-0000-0000-00005B030000}"/>
    <cellStyle name="Normal 8 2 3 2 2" xfId="1742" xr:uid="{00000000-0005-0000-0000-00005C030000}"/>
    <cellStyle name="Normal 8 2 3 3" xfId="1323" xr:uid="{00000000-0005-0000-0000-00005D030000}"/>
    <cellStyle name="Normal 8 2 4" xfId="596" xr:uid="{00000000-0005-0000-0000-00005E030000}"/>
    <cellStyle name="Normal 8 2 4 2" xfId="1657" xr:uid="{00000000-0005-0000-0000-00005F030000}"/>
    <cellStyle name="Normal 8 2 5" xfId="1238" xr:uid="{00000000-0005-0000-0000-000060030000}"/>
    <cellStyle name="Normal 8 3" xfId="132" xr:uid="{00000000-0005-0000-0000-000061030000}"/>
    <cellStyle name="Normal 8 3 2" xfId="401" xr:uid="{00000000-0005-0000-0000-000062030000}"/>
    <cellStyle name="Normal 8 3 2 2" xfId="820" xr:uid="{00000000-0005-0000-0000-000063030000}"/>
    <cellStyle name="Normal 8 3 2 2 2" xfId="1881" xr:uid="{00000000-0005-0000-0000-000064030000}"/>
    <cellStyle name="Normal 8 3 2 3" xfId="1462" xr:uid="{00000000-0005-0000-0000-000065030000}"/>
    <cellStyle name="Normal 8 3 3" xfId="308" xr:uid="{00000000-0005-0000-0000-000066030000}"/>
    <cellStyle name="Normal 8 3 3 2" xfId="727" xr:uid="{00000000-0005-0000-0000-000067030000}"/>
    <cellStyle name="Normal 8 3 3 2 2" xfId="1788" xr:uid="{00000000-0005-0000-0000-000068030000}"/>
    <cellStyle name="Normal 8 3 3 3" xfId="1369" xr:uid="{00000000-0005-0000-0000-000069030000}"/>
    <cellStyle name="Normal 8 3 4" xfId="551" xr:uid="{00000000-0005-0000-0000-00006A030000}"/>
    <cellStyle name="Normal 8 3 4 2" xfId="1612" xr:uid="{00000000-0005-0000-0000-00006B030000}"/>
    <cellStyle name="Normal 8 3 5" xfId="1193" xr:uid="{00000000-0005-0000-0000-00006C030000}"/>
    <cellStyle name="Normal 8 4" xfId="359" xr:uid="{00000000-0005-0000-0000-00006D030000}"/>
    <cellStyle name="Normal 8 4 2" xfId="778" xr:uid="{00000000-0005-0000-0000-00006E030000}"/>
    <cellStyle name="Normal 8 4 2 2" xfId="1839" xr:uid="{00000000-0005-0000-0000-00006F030000}"/>
    <cellStyle name="Normal 8 4 3" xfId="1420" xr:uid="{00000000-0005-0000-0000-000070030000}"/>
    <cellStyle name="Normal 8 5" xfId="221" xr:uid="{00000000-0005-0000-0000-000071030000}"/>
    <cellStyle name="Normal 8 5 2" xfId="640" xr:uid="{00000000-0005-0000-0000-000072030000}"/>
    <cellStyle name="Normal 8 5 2 2" xfId="1701" xr:uid="{00000000-0005-0000-0000-000073030000}"/>
    <cellStyle name="Normal 8 5 3" xfId="1282" xr:uid="{00000000-0005-0000-0000-000074030000}"/>
    <cellStyle name="Normal 8 6" xfId="505" xr:uid="{00000000-0005-0000-0000-000075030000}"/>
    <cellStyle name="Normal 8 6 2" xfId="1566" xr:uid="{00000000-0005-0000-0000-000076030000}"/>
    <cellStyle name="Normal 8 7" xfId="1147" xr:uid="{00000000-0005-0000-0000-000077030000}"/>
    <cellStyle name="Normal 9" xfId="87" xr:uid="{00000000-0005-0000-0000-000078030000}"/>
    <cellStyle name="Normal_9_Rentab. por Cliente - Veiculos" xfId="6" xr:uid="{00000000-0005-0000-0000-000079030000}"/>
    <cellStyle name="Normal_9_Rentab. por Cliente - Veiculos 2" xfId="2" xr:uid="{00000000-0005-0000-0000-00007A030000}"/>
    <cellStyle name="Nota 2" xfId="65" xr:uid="{00000000-0005-0000-0000-00007C030000}"/>
    <cellStyle name="Porcentagem" xfId="1" builtinId="5"/>
    <cellStyle name="Porcentagem 10" xfId="1004" xr:uid="{00000000-0005-0000-0000-00007E030000}"/>
    <cellStyle name="Porcentagem 10 2" xfId="2064" xr:uid="{00000000-0005-0000-0000-00007F030000}"/>
    <cellStyle name="Porcentagem 11" xfId="1062" xr:uid="{00000000-0005-0000-0000-000080030000}"/>
    <cellStyle name="Porcentagem 11 2" xfId="2122" xr:uid="{00000000-0005-0000-0000-000081030000}"/>
    <cellStyle name="Porcentagem 2" xfId="5" xr:uid="{00000000-0005-0000-0000-000082030000}"/>
    <cellStyle name="Porcentagem 2 2" xfId="10" xr:uid="{00000000-0005-0000-0000-000083030000}"/>
    <cellStyle name="Porcentagem 2 3" xfId="75" xr:uid="{00000000-0005-0000-0000-000084030000}"/>
    <cellStyle name="Porcentagem 3" xfId="11" xr:uid="{00000000-0005-0000-0000-000085030000}"/>
    <cellStyle name="Porcentagem 3 2" xfId="72" xr:uid="{00000000-0005-0000-0000-000086030000}"/>
    <cellStyle name="Porcentagem 3 3" xfId="145" xr:uid="{00000000-0005-0000-0000-000087030000}"/>
    <cellStyle name="Porcentagem 3 3 2" xfId="414" xr:uid="{00000000-0005-0000-0000-000088030000}"/>
    <cellStyle name="Porcentagem 3 3 2 2" xfId="833" xr:uid="{00000000-0005-0000-0000-000089030000}"/>
    <cellStyle name="Porcentagem 3 3 2 2 2" xfId="1894" xr:uid="{00000000-0005-0000-0000-00008A030000}"/>
    <cellStyle name="Porcentagem 3 3 2 3" xfId="1475" xr:uid="{00000000-0005-0000-0000-00008B030000}"/>
    <cellStyle name="Porcentagem 3 3 3" xfId="230" xr:uid="{00000000-0005-0000-0000-00008C030000}"/>
    <cellStyle name="Porcentagem 3 3 3 2" xfId="649" xr:uid="{00000000-0005-0000-0000-00008D030000}"/>
    <cellStyle name="Porcentagem 3 3 3 2 2" xfId="1710" xr:uid="{00000000-0005-0000-0000-00008E030000}"/>
    <cellStyle name="Porcentagem 3 3 3 3" xfId="1291" xr:uid="{00000000-0005-0000-0000-00008F030000}"/>
    <cellStyle name="Porcentagem 3 3 4" xfId="564" xr:uid="{00000000-0005-0000-0000-000090030000}"/>
    <cellStyle name="Porcentagem 3 3 4 2" xfId="1625" xr:uid="{00000000-0005-0000-0000-000091030000}"/>
    <cellStyle name="Porcentagem 3 3 5" xfId="1206" xr:uid="{00000000-0005-0000-0000-000092030000}"/>
    <cellStyle name="Porcentagem 3 4" xfId="100" xr:uid="{00000000-0005-0000-0000-000093030000}"/>
    <cellStyle name="Porcentagem 3 4 2" xfId="369" xr:uid="{00000000-0005-0000-0000-000094030000}"/>
    <cellStyle name="Porcentagem 3 4 2 2" xfId="788" xr:uid="{00000000-0005-0000-0000-000095030000}"/>
    <cellStyle name="Porcentagem 3 4 2 2 2" xfId="1849" xr:uid="{00000000-0005-0000-0000-000096030000}"/>
    <cellStyle name="Porcentagem 3 4 2 3" xfId="1430" xr:uid="{00000000-0005-0000-0000-000097030000}"/>
    <cellStyle name="Porcentagem 3 4 3" xfId="276" xr:uid="{00000000-0005-0000-0000-000098030000}"/>
    <cellStyle name="Porcentagem 3 4 3 2" xfId="695" xr:uid="{00000000-0005-0000-0000-000099030000}"/>
    <cellStyle name="Porcentagem 3 4 3 2 2" xfId="1756" xr:uid="{00000000-0005-0000-0000-00009A030000}"/>
    <cellStyle name="Porcentagem 3 4 3 3" xfId="1337" xr:uid="{00000000-0005-0000-0000-00009B030000}"/>
    <cellStyle name="Porcentagem 3 4 4" xfId="519" xr:uid="{00000000-0005-0000-0000-00009C030000}"/>
    <cellStyle name="Porcentagem 3 4 4 2" xfId="1580" xr:uid="{00000000-0005-0000-0000-00009D030000}"/>
    <cellStyle name="Porcentagem 3 4 5" xfId="1161" xr:uid="{00000000-0005-0000-0000-00009E030000}"/>
    <cellStyle name="Porcentagem 3 5" xfId="328" xr:uid="{00000000-0005-0000-0000-00009F030000}"/>
    <cellStyle name="Porcentagem 3 5 2" xfId="747" xr:uid="{00000000-0005-0000-0000-0000A0030000}"/>
    <cellStyle name="Porcentagem 3 5 2 2" xfId="1808" xr:uid="{00000000-0005-0000-0000-0000A1030000}"/>
    <cellStyle name="Porcentagem 3 5 3" xfId="1389" xr:uid="{00000000-0005-0000-0000-0000A2030000}"/>
    <cellStyle name="Porcentagem 3 6" xfId="190" xr:uid="{00000000-0005-0000-0000-0000A3030000}"/>
    <cellStyle name="Porcentagem 3 6 2" xfId="609" xr:uid="{00000000-0005-0000-0000-0000A4030000}"/>
    <cellStyle name="Porcentagem 3 6 2 2" xfId="1670" xr:uid="{00000000-0005-0000-0000-0000A5030000}"/>
    <cellStyle name="Porcentagem 3 6 3" xfId="1251" xr:uid="{00000000-0005-0000-0000-0000A6030000}"/>
    <cellStyle name="Porcentagem 3 7" xfId="473" xr:uid="{00000000-0005-0000-0000-0000A7030000}"/>
    <cellStyle name="Porcentagem 3 7 2" xfId="1534" xr:uid="{00000000-0005-0000-0000-0000A8030000}"/>
    <cellStyle name="Porcentagem 3 8" xfId="1115" xr:uid="{00000000-0005-0000-0000-0000A9030000}"/>
    <cellStyle name="Porcentagem 4" xfId="14" xr:uid="{00000000-0005-0000-0000-0000AA030000}"/>
    <cellStyle name="Porcentagem 4 2" xfId="148" xr:uid="{00000000-0005-0000-0000-0000AB030000}"/>
    <cellStyle name="Porcentagem 4 2 2" xfId="417" xr:uid="{00000000-0005-0000-0000-0000AC030000}"/>
    <cellStyle name="Porcentagem 4 2 2 2" xfId="836" xr:uid="{00000000-0005-0000-0000-0000AD030000}"/>
    <cellStyle name="Porcentagem 4 2 2 2 2" xfId="1897" xr:uid="{00000000-0005-0000-0000-0000AE030000}"/>
    <cellStyle name="Porcentagem 4 2 2 3" xfId="1478" xr:uid="{00000000-0005-0000-0000-0000AF030000}"/>
    <cellStyle name="Porcentagem 4 2 3" xfId="233" xr:uid="{00000000-0005-0000-0000-0000B0030000}"/>
    <cellStyle name="Porcentagem 4 2 3 2" xfId="652" xr:uid="{00000000-0005-0000-0000-0000B1030000}"/>
    <cellStyle name="Porcentagem 4 2 3 2 2" xfId="1713" xr:uid="{00000000-0005-0000-0000-0000B2030000}"/>
    <cellStyle name="Porcentagem 4 2 3 3" xfId="1294" xr:uid="{00000000-0005-0000-0000-0000B3030000}"/>
    <cellStyle name="Porcentagem 4 2 4" xfId="567" xr:uid="{00000000-0005-0000-0000-0000B4030000}"/>
    <cellStyle name="Porcentagem 4 2 4 2" xfId="1628" xr:uid="{00000000-0005-0000-0000-0000B5030000}"/>
    <cellStyle name="Porcentagem 4 2 5" xfId="1209" xr:uid="{00000000-0005-0000-0000-0000B6030000}"/>
    <cellStyle name="Porcentagem 4 3" xfId="103" xr:uid="{00000000-0005-0000-0000-0000B7030000}"/>
    <cellStyle name="Porcentagem 4 3 2" xfId="372" xr:uid="{00000000-0005-0000-0000-0000B8030000}"/>
    <cellStyle name="Porcentagem 4 3 2 2" xfId="791" xr:uid="{00000000-0005-0000-0000-0000B9030000}"/>
    <cellStyle name="Porcentagem 4 3 2 2 2" xfId="1852" xr:uid="{00000000-0005-0000-0000-0000BA030000}"/>
    <cellStyle name="Porcentagem 4 3 2 3" xfId="1433" xr:uid="{00000000-0005-0000-0000-0000BB030000}"/>
    <cellStyle name="Porcentagem 4 3 3" xfId="279" xr:uid="{00000000-0005-0000-0000-0000BC030000}"/>
    <cellStyle name="Porcentagem 4 3 3 2" xfId="698" xr:uid="{00000000-0005-0000-0000-0000BD030000}"/>
    <cellStyle name="Porcentagem 4 3 3 2 2" xfId="1759" xr:uid="{00000000-0005-0000-0000-0000BE030000}"/>
    <cellStyle name="Porcentagem 4 3 3 3" xfId="1340" xr:uid="{00000000-0005-0000-0000-0000BF030000}"/>
    <cellStyle name="Porcentagem 4 3 4" xfId="522" xr:uid="{00000000-0005-0000-0000-0000C0030000}"/>
    <cellStyle name="Porcentagem 4 3 4 2" xfId="1583" xr:uid="{00000000-0005-0000-0000-0000C1030000}"/>
    <cellStyle name="Porcentagem 4 3 5" xfId="1164" xr:uid="{00000000-0005-0000-0000-0000C2030000}"/>
    <cellStyle name="Porcentagem 4 4" xfId="331" xr:uid="{00000000-0005-0000-0000-0000C3030000}"/>
    <cellStyle name="Porcentagem 4 4 2" xfId="750" xr:uid="{00000000-0005-0000-0000-0000C4030000}"/>
    <cellStyle name="Porcentagem 4 4 2 2" xfId="1811" xr:uid="{00000000-0005-0000-0000-0000C5030000}"/>
    <cellStyle name="Porcentagem 4 4 3" xfId="1392" xr:uid="{00000000-0005-0000-0000-0000C6030000}"/>
    <cellStyle name="Porcentagem 4 5" xfId="193" xr:uid="{00000000-0005-0000-0000-0000C7030000}"/>
    <cellStyle name="Porcentagem 4 5 2" xfId="612" xr:uid="{00000000-0005-0000-0000-0000C8030000}"/>
    <cellStyle name="Porcentagem 4 5 2 2" xfId="1673" xr:uid="{00000000-0005-0000-0000-0000C9030000}"/>
    <cellStyle name="Porcentagem 4 5 3" xfId="1254" xr:uid="{00000000-0005-0000-0000-0000CA030000}"/>
    <cellStyle name="Porcentagem 4 6" xfId="476" xr:uid="{00000000-0005-0000-0000-0000CB030000}"/>
    <cellStyle name="Porcentagem 4 6 2" xfId="1537" xr:uid="{00000000-0005-0000-0000-0000CC030000}"/>
    <cellStyle name="Porcentagem 4 7" xfId="1118" xr:uid="{00000000-0005-0000-0000-0000CD030000}"/>
    <cellStyle name="Porcentagem 5" xfId="20" xr:uid="{00000000-0005-0000-0000-0000CE030000}"/>
    <cellStyle name="Porcentagem 5 2" xfId="154" xr:uid="{00000000-0005-0000-0000-0000CF030000}"/>
    <cellStyle name="Porcentagem 5 2 2" xfId="423" xr:uid="{00000000-0005-0000-0000-0000D0030000}"/>
    <cellStyle name="Porcentagem 5 2 2 2" xfId="842" xr:uid="{00000000-0005-0000-0000-0000D1030000}"/>
    <cellStyle name="Porcentagem 5 2 2 2 2" xfId="1903" xr:uid="{00000000-0005-0000-0000-0000D2030000}"/>
    <cellStyle name="Porcentagem 5 2 2 3" xfId="1484" xr:uid="{00000000-0005-0000-0000-0000D3030000}"/>
    <cellStyle name="Porcentagem 5 2 3" xfId="239" xr:uid="{00000000-0005-0000-0000-0000D4030000}"/>
    <cellStyle name="Porcentagem 5 2 3 2" xfId="658" xr:uid="{00000000-0005-0000-0000-0000D5030000}"/>
    <cellStyle name="Porcentagem 5 2 3 2 2" xfId="1719" xr:uid="{00000000-0005-0000-0000-0000D6030000}"/>
    <cellStyle name="Porcentagem 5 2 3 3" xfId="1300" xr:uid="{00000000-0005-0000-0000-0000D7030000}"/>
    <cellStyle name="Porcentagem 5 2 4" xfId="573" xr:uid="{00000000-0005-0000-0000-0000D8030000}"/>
    <cellStyle name="Porcentagem 5 2 4 2" xfId="1634" xr:uid="{00000000-0005-0000-0000-0000D9030000}"/>
    <cellStyle name="Porcentagem 5 2 5" xfId="1215" xr:uid="{00000000-0005-0000-0000-0000DA030000}"/>
    <cellStyle name="Porcentagem 5 3" xfId="109" xr:uid="{00000000-0005-0000-0000-0000DB030000}"/>
    <cellStyle name="Porcentagem 5 3 2" xfId="378" xr:uid="{00000000-0005-0000-0000-0000DC030000}"/>
    <cellStyle name="Porcentagem 5 3 2 2" xfId="797" xr:uid="{00000000-0005-0000-0000-0000DD030000}"/>
    <cellStyle name="Porcentagem 5 3 2 2 2" xfId="1858" xr:uid="{00000000-0005-0000-0000-0000DE030000}"/>
    <cellStyle name="Porcentagem 5 3 2 3" xfId="1439" xr:uid="{00000000-0005-0000-0000-0000DF030000}"/>
    <cellStyle name="Porcentagem 5 3 3" xfId="285" xr:uid="{00000000-0005-0000-0000-0000E0030000}"/>
    <cellStyle name="Porcentagem 5 3 3 2" xfId="704" xr:uid="{00000000-0005-0000-0000-0000E1030000}"/>
    <cellStyle name="Porcentagem 5 3 3 2 2" xfId="1765" xr:uid="{00000000-0005-0000-0000-0000E2030000}"/>
    <cellStyle name="Porcentagem 5 3 3 3" xfId="1346" xr:uid="{00000000-0005-0000-0000-0000E3030000}"/>
    <cellStyle name="Porcentagem 5 3 4" xfId="528" xr:uid="{00000000-0005-0000-0000-0000E4030000}"/>
    <cellStyle name="Porcentagem 5 3 4 2" xfId="1589" xr:uid="{00000000-0005-0000-0000-0000E5030000}"/>
    <cellStyle name="Porcentagem 5 3 5" xfId="1170" xr:uid="{00000000-0005-0000-0000-0000E6030000}"/>
    <cellStyle name="Porcentagem 5 4" xfId="336" xr:uid="{00000000-0005-0000-0000-0000E7030000}"/>
    <cellStyle name="Porcentagem 5 4 2" xfId="755" xr:uid="{00000000-0005-0000-0000-0000E8030000}"/>
    <cellStyle name="Porcentagem 5 4 2 2" xfId="1816" xr:uid="{00000000-0005-0000-0000-0000E9030000}"/>
    <cellStyle name="Porcentagem 5 4 3" xfId="1397" xr:uid="{00000000-0005-0000-0000-0000EA030000}"/>
    <cellStyle name="Porcentagem 5 5" xfId="198" xr:uid="{00000000-0005-0000-0000-0000EB030000}"/>
    <cellStyle name="Porcentagem 5 5 2" xfId="617" xr:uid="{00000000-0005-0000-0000-0000EC030000}"/>
    <cellStyle name="Porcentagem 5 5 2 2" xfId="1678" xr:uid="{00000000-0005-0000-0000-0000ED030000}"/>
    <cellStyle name="Porcentagem 5 5 3" xfId="1259" xr:uid="{00000000-0005-0000-0000-0000EE030000}"/>
    <cellStyle name="Porcentagem 5 6" xfId="482" xr:uid="{00000000-0005-0000-0000-0000EF030000}"/>
    <cellStyle name="Porcentagem 5 6 2" xfId="1543" xr:uid="{00000000-0005-0000-0000-0000F0030000}"/>
    <cellStyle name="Porcentagem 5 7" xfId="1124" xr:uid="{00000000-0005-0000-0000-0000F1030000}"/>
    <cellStyle name="Porcentagem 6" xfId="96" xr:uid="{00000000-0005-0000-0000-0000F2030000}"/>
    <cellStyle name="Porcentagem 6 2" xfId="187" xr:uid="{00000000-0005-0000-0000-0000F3030000}"/>
    <cellStyle name="Porcentagem 6 2 2" xfId="456" xr:uid="{00000000-0005-0000-0000-0000F4030000}"/>
    <cellStyle name="Porcentagem 6 2 2 2" xfId="875" xr:uid="{00000000-0005-0000-0000-0000F5030000}"/>
    <cellStyle name="Porcentagem 6 2 2 2 2" xfId="1936" xr:uid="{00000000-0005-0000-0000-0000F6030000}"/>
    <cellStyle name="Porcentagem 6 2 2 3" xfId="1517" xr:uid="{00000000-0005-0000-0000-0000F7030000}"/>
    <cellStyle name="Porcentagem 6 2 3" xfId="325" xr:uid="{00000000-0005-0000-0000-0000F8030000}"/>
    <cellStyle name="Porcentagem 6 2 3 2" xfId="744" xr:uid="{00000000-0005-0000-0000-0000F9030000}"/>
    <cellStyle name="Porcentagem 6 2 3 2 2" xfId="1805" xr:uid="{00000000-0005-0000-0000-0000FA030000}"/>
    <cellStyle name="Porcentagem 6 2 3 3" xfId="1386" xr:uid="{00000000-0005-0000-0000-0000FB030000}"/>
    <cellStyle name="Porcentagem 6 2 4" xfId="606" xr:uid="{00000000-0005-0000-0000-0000FC030000}"/>
    <cellStyle name="Porcentagem 6 2 4 2" xfId="1667" xr:uid="{00000000-0005-0000-0000-0000FD030000}"/>
    <cellStyle name="Porcentagem 6 2 5" xfId="1248" xr:uid="{00000000-0005-0000-0000-0000FE030000}"/>
    <cellStyle name="Porcentagem 6 3" xfId="365" xr:uid="{00000000-0005-0000-0000-0000FF030000}"/>
    <cellStyle name="Porcentagem 6 3 2" xfId="784" xr:uid="{00000000-0005-0000-0000-000000040000}"/>
    <cellStyle name="Porcentagem 6 3 2 2" xfId="1845" xr:uid="{00000000-0005-0000-0000-000001040000}"/>
    <cellStyle name="Porcentagem 6 3 3" xfId="1426" xr:uid="{00000000-0005-0000-0000-000002040000}"/>
    <cellStyle name="Porcentagem 6 4" xfId="272" xr:uid="{00000000-0005-0000-0000-000003040000}"/>
    <cellStyle name="Porcentagem 6 4 2" xfId="691" xr:uid="{00000000-0005-0000-0000-000004040000}"/>
    <cellStyle name="Porcentagem 6 4 2 2" xfId="1752" xr:uid="{00000000-0005-0000-0000-000005040000}"/>
    <cellStyle name="Porcentagem 6 4 3" xfId="1333" xr:uid="{00000000-0005-0000-0000-000006040000}"/>
    <cellStyle name="Porcentagem 6 5" xfId="515" xr:uid="{00000000-0005-0000-0000-000007040000}"/>
    <cellStyle name="Porcentagem 6 5 2" xfId="1576" xr:uid="{00000000-0005-0000-0000-000008040000}"/>
    <cellStyle name="Porcentagem 6 6" xfId="1157" xr:uid="{00000000-0005-0000-0000-000009040000}"/>
    <cellStyle name="Porcentagem 7" xfId="468" xr:uid="{00000000-0005-0000-0000-00000A040000}"/>
    <cellStyle name="Porcentagem 7 2" xfId="887" xr:uid="{00000000-0005-0000-0000-00000B040000}"/>
    <cellStyle name="Porcentagem 7 2 2" xfId="1948" xr:uid="{00000000-0005-0000-0000-00000C040000}"/>
    <cellStyle name="Porcentagem 7 3" xfId="1529" xr:uid="{00000000-0005-0000-0000-00000D040000}"/>
    <cellStyle name="Porcentagem 8" xfId="916" xr:uid="{00000000-0005-0000-0000-00000E040000}"/>
    <cellStyle name="Porcentagem 8 2" xfId="1976" xr:uid="{00000000-0005-0000-0000-00000F040000}"/>
    <cellStyle name="Porcentagem 9" xfId="946" xr:uid="{00000000-0005-0000-0000-000010040000}"/>
    <cellStyle name="Porcentagem 9 2" xfId="2006" xr:uid="{00000000-0005-0000-0000-000011040000}"/>
    <cellStyle name="Saída 2" xfId="66" xr:uid="{00000000-0005-0000-0000-000012040000}"/>
    <cellStyle name="Separador de milhares 10" xfId="90" xr:uid="{00000000-0005-0000-0000-000013040000}"/>
    <cellStyle name="Separador de milhares 10 2" xfId="181" xr:uid="{00000000-0005-0000-0000-000014040000}"/>
    <cellStyle name="Separador de milhares 10 2 2" xfId="321" xr:uid="{00000000-0005-0000-0000-000015040000}"/>
    <cellStyle name="Separador de milhares 10 2 2 2" xfId="461" xr:uid="{00000000-0005-0000-0000-000016040000}"/>
    <cellStyle name="Separador de milhares 10 2 2 2 2" xfId="880" xr:uid="{00000000-0005-0000-0000-000017040000}"/>
    <cellStyle name="Separador de milhares 10 2 2 2 2 2" xfId="1941" xr:uid="{00000000-0005-0000-0000-000018040000}"/>
    <cellStyle name="Separador de milhares 10 2 2 2 3" xfId="1522" xr:uid="{00000000-0005-0000-0000-000019040000}"/>
    <cellStyle name="Separador de milhares 10 2 2 3" xfId="740" xr:uid="{00000000-0005-0000-0000-00001A040000}"/>
    <cellStyle name="Separador de milhares 10 2 2 3 2" xfId="1801" xr:uid="{00000000-0005-0000-0000-00001B040000}"/>
    <cellStyle name="Separador de milhares 10 2 2 4" xfId="1382" xr:uid="{00000000-0005-0000-0000-00001C040000}"/>
    <cellStyle name="Separador de milhares 10 2 3" xfId="450" xr:uid="{00000000-0005-0000-0000-00001D040000}"/>
    <cellStyle name="Separador de milhares 10 2 3 2" xfId="869" xr:uid="{00000000-0005-0000-0000-00001E040000}"/>
    <cellStyle name="Separador de milhares 10 2 3 2 2" xfId="1930" xr:uid="{00000000-0005-0000-0000-00001F040000}"/>
    <cellStyle name="Separador de milhares 10 2 3 3" xfId="1511" xr:uid="{00000000-0005-0000-0000-000020040000}"/>
    <cellStyle name="Separador de milhares 10 2 4" xfId="266" xr:uid="{00000000-0005-0000-0000-000021040000}"/>
    <cellStyle name="Separador de milhares 10 2 4 2" xfId="685" xr:uid="{00000000-0005-0000-0000-000022040000}"/>
    <cellStyle name="Separador de milhares 10 2 4 2 2" xfId="1746" xr:uid="{00000000-0005-0000-0000-000023040000}"/>
    <cellStyle name="Separador de milhares 10 2 4 3" xfId="1327" xr:uid="{00000000-0005-0000-0000-000024040000}"/>
    <cellStyle name="Separador de milhares 10 2 5" xfId="600" xr:uid="{00000000-0005-0000-0000-000025040000}"/>
    <cellStyle name="Separador de milhares 10 2 5 2" xfId="1661" xr:uid="{00000000-0005-0000-0000-000026040000}"/>
    <cellStyle name="Separador de milhares 10 2 6" xfId="1242" xr:uid="{00000000-0005-0000-0000-000027040000}"/>
    <cellStyle name="Separador de milhares 10 3" xfId="136" xr:uid="{00000000-0005-0000-0000-000028040000}"/>
    <cellStyle name="Separador de milhares 10 3 2" xfId="405" xr:uid="{00000000-0005-0000-0000-000029040000}"/>
    <cellStyle name="Separador de milhares 10 3 2 2" xfId="824" xr:uid="{00000000-0005-0000-0000-00002A040000}"/>
    <cellStyle name="Separador de milhares 10 3 2 2 2" xfId="1885" xr:uid="{00000000-0005-0000-0000-00002B040000}"/>
    <cellStyle name="Separador de milhares 10 3 2 3" xfId="1466" xr:uid="{00000000-0005-0000-0000-00002C040000}"/>
    <cellStyle name="Separador de milhares 10 3 3" xfId="312" xr:uid="{00000000-0005-0000-0000-00002D040000}"/>
    <cellStyle name="Separador de milhares 10 3 3 2" xfId="731" xr:uid="{00000000-0005-0000-0000-00002E040000}"/>
    <cellStyle name="Separador de milhares 10 3 3 2 2" xfId="1792" xr:uid="{00000000-0005-0000-0000-00002F040000}"/>
    <cellStyle name="Separador de milhares 10 3 3 3" xfId="1373" xr:uid="{00000000-0005-0000-0000-000030040000}"/>
    <cellStyle name="Separador de milhares 10 3 4" xfId="555" xr:uid="{00000000-0005-0000-0000-000031040000}"/>
    <cellStyle name="Separador de milhares 10 3 4 2" xfId="1616" xr:uid="{00000000-0005-0000-0000-000032040000}"/>
    <cellStyle name="Separador de milhares 10 3 5" xfId="1197" xr:uid="{00000000-0005-0000-0000-000033040000}"/>
    <cellStyle name="Separador de milhares 10 4" xfId="509" xr:uid="{00000000-0005-0000-0000-000034040000}"/>
    <cellStyle name="Separador de milhares 10 4 2" xfId="1570" xr:uid="{00000000-0005-0000-0000-000035040000}"/>
    <cellStyle name="Separador de milhares 10 5" xfId="1151" xr:uid="{00000000-0005-0000-0000-000036040000}"/>
    <cellStyle name="Separador de milhares 2" xfId="8" xr:uid="{00000000-0005-0000-0000-000037040000}"/>
    <cellStyle name="Separador de milhares 2 2" xfId="22" xr:uid="{00000000-0005-0000-0000-000038040000}"/>
    <cellStyle name="Separador de milhares 2 3" xfId="80" xr:uid="{00000000-0005-0000-0000-000039040000}"/>
    <cellStyle name="Separador de milhares 2 4" xfId="76" xr:uid="{00000000-0005-0000-0000-00003A040000}"/>
    <cellStyle name="Separador de milhares 2 4 2" xfId="172" xr:uid="{00000000-0005-0000-0000-00003B040000}"/>
    <cellStyle name="Separador de milhares 2 4 2 2" xfId="441" xr:uid="{00000000-0005-0000-0000-00003C040000}"/>
    <cellStyle name="Separador de milhares 2 4 2 2 2" xfId="860" xr:uid="{00000000-0005-0000-0000-00003D040000}"/>
    <cellStyle name="Separador de milhares 2 4 2 2 2 2" xfId="1921" xr:uid="{00000000-0005-0000-0000-00003E040000}"/>
    <cellStyle name="Separador de milhares 2 4 2 2 3" xfId="1502" xr:uid="{00000000-0005-0000-0000-00003F040000}"/>
    <cellStyle name="Separador de milhares 2 4 2 3" xfId="257" xr:uid="{00000000-0005-0000-0000-000040040000}"/>
    <cellStyle name="Separador de milhares 2 4 2 3 2" xfId="676" xr:uid="{00000000-0005-0000-0000-000041040000}"/>
    <cellStyle name="Separador de milhares 2 4 2 3 2 2" xfId="1737" xr:uid="{00000000-0005-0000-0000-000042040000}"/>
    <cellStyle name="Separador de milhares 2 4 2 3 3" xfId="1318" xr:uid="{00000000-0005-0000-0000-000043040000}"/>
    <cellStyle name="Separador de milhares 2 4 2 4" xfId="591" xr:uid="{00000000-0005-0000-0000-000044040000}"/>
    <cellStyle name="Separador de milhares 2 4 2 4 2" xfId="1652" xr:uid="{00000000-0005-0000-0000-000045040000}"/>
    <cellStyle name="Separador de milhares 2 4 2 5" xfId="1233" xr:uid="{00000000-0005-0000-0000-000046040000}"/>
    <cellStyle name="Separador de milhares 2 4 3" xfId="127" xr:uid="{00000000-0005-0000-0000-000047040000}"/>
    <cellStyle name="Separador de milhares 2 4 3 2" xfId="396" xr:uid="{00000000-0005-0000-0000-000048040000}"/>
    <cellStyle name="Separador de milhares 2 4 3 2 2" xfId="815" xr:uid="{00000000-0005-0000-0000-000049040000}"/>
    <cellStyle name="Separador de milhares 2 4 3 2 2 2" xfId="1876" xr:uid="{00000000-0005-0000-0000-00004A040000}"/>
    <cellStyle name="Separador de milhares 2 4 3 2 3" xfId="1457" xr:uid="{00000000-0005-0000-0000-00004B040000}"/>
    <cellStyle name="Separador de milhares 2 4 3 3" xfId="303" xr:uid="{00000000-0005-0000-0000-00004C040000}"/>
    <cellStyle name="Separador de milhares 2 4 3 3 2" xfId="722" xr:uid="{00000000-0005-0000-0000-00004D040000}"/>
    <cellStyle name="Separador de milhares 2 4 3 3 2 2" xfId="1783" xr:uid="{00000000-0005-0000-0000-00004E040000}"/>
    <cellStyle name="Separador de milhares 2 4 3 3 3" xfId="1364" xr:uid="{00000000-0005-0000-0000-00004F040000}"/>
    <cellStyle name="Separador de milhares 2 4 3 4" xfId="546" xr:uid="{00000000-0005-0000-0000-000050040000}"/>
    <cellStyle name="Separador de milhares 2 4 3 4 2" xfId="1607" xr:uid="{00000000-0005-0000-0000-000051040000}"/>
    <cellStyle name="Separador de milhares 2 4 3 5" xfId="1188" xr:uid="{00000000-0005-0000-0000-000052040000}"/>
    <cellStyle name="Separador de milhares 2 4 4" xfId="354" xr:uid="{00000000-0005-0000-0000-000053040000}"/>
    <cellStyle name="Separador de milhares 2 4 4 2" xfId="773" xr:uid="{00000000-0005-0000-0000-000054040000}"/>
    <cellStyle name="Separador de milhares 2 4 4 2 2" xfId="1834" xr:uid="{00000000-0005-0000-0000-000055040000}"/>
    <cellStyle name="Separador de milhares 2 4 4 3" xfId="1415" xr:uid="{00000000-0005-0000-0000-000056040000}"/>
    <cellStyle name="Separador de milhares 2 4 5" xfId="216" xr:uid="{00000000-0005-0000-0000-000057040000}"/>
    <cellStyle name="Separador de milhares 2 4 5 2" xfId="635" xr:uid="{00000000-0005-0000-0000-000058040000}"/>
    <cellStyle name="Separador de milhares 2 4 5 2 2" xfId="1696" xr:uid="{00000000-0005-0000-0000-000059040000}"/>
    <cellStyle name="Separador de milhares 2 4 5 3" xfId="1277" xr:uid="{00000000-0005-0000-0000-00005A040000}"/>
    <cellStyle name="Separador de milhares 2 4 6" xfId="500" xr:uid="{00000000-0005-0000-0000-00005B040000}"/>
    <cellStyle name="Separador de milhares 2 4 6 2" xfId="1561" xr:uid="{00000000-0005-0000-0000-00005C040000}"/>
    <cellStyle name="Separador de milhares 2 4 7" xfId="1142" xr:uid="{00000000-0005-0000-0000-00005D040000}"/>
    <cellStyle name="Separador de milhares 2 5" xfId="143" xr:uid="{00000000-0005-0000-0000-00005E040000}"/>
    <cellStyle name="Separador de milhares 2 5 2" xfId="318" xr:uid="{00000000-0005-0000-0000-00005F040000}"/>
    <cellStyle name="Separador de milhares 2 5 2 2" xfId="458" xr:uid="{00000000-0005-0000-0000-000060040000}"/>
    <cellStyle name="Separador de milhares 2 5 2 2 2" xfId="877" xr:uid="{00000000-0005-0000-0000-000061040000}"/>
    <cellStyle name="Separador de milhares 2 5 2 2 2 2" xfId="1938" xr:uid="{00000000-0005-0000-0000-000062040000}"/>
    <cellStyle name="Separador de milhares 2 5 2 2 3" xfId="1519" xr:uid="{00000000-0005-0000-0000-000063040000}"/>
    <cellStyle name="Separador de milhares 2 5 2 3" xfId="737" xr:uid="{00000000-0005-0000-0000-000064040000}"/>
    <cellStyle name="Separador de milhares 2 5 2 3 2" xfId="1798" xr:uid="{00000000-0005-0000-0000-000065040000}"/>
    <cellStyle name="Separador de milhares 2 5 2 4" xfId="1379" xr:uid="{00000000-0005-0000-0000-000066040000}"/>
    <cellStyle name="Separador de milhares 2 5 3" xfId="412" xr:uid="{00000000-0005-0000-0000-000067040000}"/>
    <cellStyle name="Separador de milhares 2 5 3 2" xfId="831" xr:uid="{00000000-0005-0000-0000-000068040000}"/>
    <cellStyle name="Separador de milhares 2 5 3 2 2" xfId="1892" xr:uid="{00000000-0005-0000-0000-000069040000}"/>
    <cellStyle name="Separador de milhares 2 5 3 3" xfId="1473" xr:uid="{00000000-0005-0000-0000-00006A040000}"/>
    <cellStyle name="Separador de milhares 2 5 4" xfId="228" xr:uid="{00000000-0005-0000-0000-00006B040000}"/>
    <cellStyle name="Separador de milhares 2 5 4 2" xfId="647" xr:uid="{00000000-0005-0000-0000-00006C040000}"/>
    <cellStyle name="Separador de milhares 2 5 4 2 2" xfId="1708" xr:uid="{00000000-0005-0000-0000-00006D040000}"/>
    <cellStyle name="Separador de milhares 2 5 4 3" xfId="1289" xr:uid="{00000000-0005-0000-0000-00006E040000}"/>
    <cellStyle name="Separador de milhares 2 5 5" xfId="562" xr:uid="{00000000-0005-0000-0000-00006F040000}"/>
    <cellStyle name="Separador de milhares 2 5 5 2" xfId="1623" xr:uid="{00000000-0005-0000-0000-000070040000}"/>
    <cellStyle name="Separador de milhares 2 5 6" xfId="1204" xr:uid="{00000000-0005-0000-0000-000071040000}"/>
    <cellStyle name="Separador de milhares 2 6" xfId="98" xr:uid="{00000000-0005-0000-0000-000072040000}"/>
    <cellStyle name="Separador de milhares 2 6 2" xfId="367" xr:uid="{00000000-0005-0000-0000-000073040000}"/>
    <cellStyle name="Separador de milhares 2 6 2 2" xfId="786" xr:uid="{00000000-0005-0000-0000-000074040000}"/>
    <cellStyle name="Separador de milhares 2 6 2 2 2" xfId="1847" xr:uid="{00000000-0005-0000-0000-000075040000}"/>
    <cellStyle name="Separador de milhares 2 6 2 3" xfId="1428" xr:uid="{00000000-0005-0000-0000-000076040000}"/>
    <cellStyle name="Separador de milhares 2 6 3" xfId="274" xr:uid="{00000000-0005-0000-0000-000077040000}"/>
    <cellStyle name="Separador de milhares 2 6 3 2" xfId="693" xr:uid="{00000000-0005-0000-0000-000078040000}"/>
    <cellStyle name="Separador de milhares 2 6 3 2 2" xfId="1754" xr:uid="{00000000-0005-0000-0000-000079040000}"/>
    <cellStyle name="Separador de milhares 2 6 3 3" xfId="1335" xr:uid="{00000000-0005-0000-0000-00007A040000}"/>
    <cellStyle name="Separador de milhares 2 6 4" xfId="517" xr:uid="{00000000-0005-0000-0000-00007B040000}"/>
    <cellStyle name="Separador de milhares 2 6 4 2" xfId="1578" xr:uid="{00000000-0005-0000-0000-00007C040000}"/>
    <cellStyle name="Separador de milhares 2 6 5" xfId="1159" xr:uid="{00000000-0005-0000-0000-00007D040000}"/>
    <cellStyle name="Separador de milhares 2 7" xfId="471" xr:uid="{00000000-0005-0000-0000-00007E040000}"/>
    <cellStyle name="Separador de milhares 2 7 2" xfId="1532" xr:uid="{00000000-0005-0000-0000-00007F040000}"/>
    <cellStyle name="Separador de milhares 2 8" xfId="1113" xr:uid="{00000000-0005-0000-0000-000080040000}"/>
    <cellStyle name="Separador de milhares 25" xfId="71" xr:uid="{00000000-0005-0000-0000-000081040000}"/>
    <cellStyle name="Separador de milhares 25 2" xfId="170" xr:uid="{00000000-0005-0000-0000-000082040000}"/>
    <cellStyle name="Separador de milhares 25 2 2" xfId="439" xr:uid="{00000000-0005-0000-0000-000083040000}"/>
    <cellStyle name="Separador de milhares 25 2 2 2" xfId="858" xr:uid="{00000000-0005-0000-0000-000084040000}"/>
    <cellStyle name="Separador de milhares 25 2 2 2 2" xfId="1919" xr:uid="{00000000-0005-0000-0000-000085040000}"/>
    <cellStyle name="Separador de milhares 25 2 2 3" xfId="1500" xr:uid="{00000000-0005-0000-0000-000086040000}"/>
    <cellStyle name="Separador de milhares 25 2 3" xfId="255" xr:uid="{00000000-0005-0000-0000-000087040000}"/>
    <cellStyle name="Separador de milhares 25 2 3 2" xfId="674" xr:uid="{00000000-0005-0000-0000-000088040000}"/>
    <cellStyle name="Separador de milhares 25 2 3 2 2" xfId="1735" xr:uid="{00000000-0005-0000-0000-000089040000}"/>
    <cellStyle name="Separador de milhares 25 2 3 3" xfId="1316" xr:uid="{00000000-0005-0000-0000-00008A040000}"/>
    <cellStyle name="Separador de milhares 25 2 4" xfId="589" xr:uid="{00000000-0005-0000-0000-00008B040000}"/>
    <cellStyle name="Separador de milhares 25 2 4 2" xfId="1650" xr:uid="{00000000-0005-0000-0000-00008C040000}"/>
    <cellStyle name="Separador de milhares 25 2 5" xfId="1231" xr:uid="{00000000-0005-0000-0000-00008D040000}"/>
    <cellStyle name="Separador de milhares 25 3" xfId="125" xr:uid="{00000000-0005-0000-0000-00008E040000}"/>
    <cellStyle name="Separador de milhares 25 3 2" xfId="394" xr:uid="{00000000-0005-0000-0000-00008F040000}"/>
    <cellStyle name="Separador de milhares 25 3 2 2" xfId="813" xr:uid="{00000000-0005-0000-0000-000090040000}"/>
    <cellStyle name="Separador de milhares 25 3 2 2 2" xfId="1874" xr:uid="{00000000-0005-0000-0000-000091040000}"/>
    <cellStyle name="Separador de milhares 25 3 2 3" xfId="1455" xr:uid="{00000000-0005-0000-0000-000092040000}"/>
    <cellStyle name="Separador de milhares 25 3 3" xfId="301" xr:uid="{00000000-0005-0000-0000-000093040000}"/>
    <cellStyle name="Separador de milhares 25 3 3 2" xfId="720" xr:uid="{00000000-0005-0000-0000-000094040000}"/>
    <cellStyle name="Separador de milhares 25 3 3 2 2" xfId="1781" xr:uid="{00000000-0005-0000-0000-000095040000}"/>
    <cellStyle name="Separador de milhares 25 3 3 3" xfId="1362" xr:uid="{00000000-0005-0000-0000-000096040000}"/>
    <cellStyle name="Separador de milhares 25 3 4" xfId="544" xr:uid="{00000000-0005-0000-0000-000097040000}"/>
    <cellStyle name="Separador de milhares 25 3 4 2" xfId="1605" xr:uid="{00000000-0005-0000-0000-000098040000}"/>
    <cellStyle name="Separador de milhares 25 3 5" xfId="1186" xr:uid="{00000000-0005-0000-0000-000099040000}"/>
    <cellStyle name="Separador de milhares 25 4" xfId="352" xr:uid="{00000000-0005-0000-0000-00009A040000}"/>
    <cellStyle name="Separador de milhares 25 4 2" xfId="771" xr:uid="{00000000-0005-0000-0000-00009B040000}"/>
    <cellStyle name="Separador de milhares 25 4 2 2" xfId="1832" xr:uid="{00000000-0005-0000-0000-00009C040000}"/>
    <cellStyle name="Separador de milhares 25 4 3" xfId="1413" xr:uid="{00000000-0005-0000-0000-00009D040000}"/>
    <cellStyle name="Separador de milhares 25 5" xfId="214" xr:uid="{00000000-0005-0000-0000-00009E040000}"/>
    <cellStyle name="Separador de milhares 25 5 2" xfId="633" xr:uid="{00000000-0005-0000-0000-00009F040000}"/>
    <cellStyle name="Separador de milhares 25 5 2 2" xfId="1694" xr:uid="{00000000-0005-0000-0000-0000A0040000}"/>
    <cellStyle name="Separador de milhares 25 5 3" xfId="1275" xr:uid="{00000000-0005-0000-0000-0000A1040000}"/>
    <cellStyle name="Separador de milhares 25 6" xfId="498" xr:uid="{00000000-0005-0000-0000-0000A2040000}"/>
    <cellStyle name="Separador de milhares 25 6 2" xfId="1559" xr:uid="{00000000-0005-0000-0000-0000A3040000}"/>
    <cellStyle name="Separador de milhares 25 7" xfId="1140" xr:uid="{00000000-0005-0000-0000-0000A4040000}"/>
    <cellStyle name="Separador de milhares 3" xfId="70" xr:uid="{00000000-0005-0000-0000-0000A5040000}"/>
    <cellStyle name="Separador de milhares 3 2" xfId="169" xr:uid="{00000000-0005-0000-0000-0000A6040000}"/>
    <cellStyle name="Separador de milhares 3 2 2" xfId="438" xr:uid="{00000000-0005-0000-0000-0000A7040000}"/>
    <cellStyle name="Separador de milhares 3 2 2 2" xfId="857" xr:uid="{00000000-0005-0000-0000-0000A8040000}"/>
    <cellStyle name="Separador de milhares 3 2 2 2 2" xfId="1918" xr:uid="{00000000-0005-0000-0000-0000A9040000}"/>
    <cellStyle name="Separador de milhares 3 2 2 3" xfId="1499" xr:uid="{00000000-0005-0000-0000-0000AA040000}"/>
    <cellStyle name="Separador de milhares 3 2 3" xfId="254" xr:uid="{00000000-0005-0000-0000-0000AB040000}"/>
    <cellStyle name="Separador de milhares 3 2 3 2" xfId="673" xr:uid="{00000000-0005-0000-0000-0000AC040000}"/>
    <cellStyle name="Separador de milhares 3 2 3 2 2" xfId="1734" xr:uid="{00000000-0005-0000-0000-0000AD040000}"/>
    <cellStyle name="Separador de milhares 3 2 3 3" xfId="1315" xr:uid="{00000000-0005-0000-0000-0000AE040000}"/>
    <cellStyle name="Separador de milhares 3 2 4" xfId="588" xr:uid="{00000000-0005-0000-0000-0000AF040000}"/>
    <cellStyle name="Separador de milhares 3 2 4 2" xfId="1649" xr:uid="{00000000-0005-0000-0000-0000B0040000}"/>
    <cellStyle name="Separador de milhares 3 2 5" xfId="1230" xr:uid="{00000000-0005-0000-0000-0000B1040000}"/>
    <cellStyle name="Separador de milhares 3 3" xfId="124" xr:uid="{00000000-0005-0000-0000-0000B2040000}"/>
    <cellStyle name="Separador de milhares 3 3 2" xfId="393" xr:uid="{00000000-0005-0000-0000-0000B3040000}"/>
    <cellStyle name="Separador de milhares 3 3 2 2" xfId="812" xr:uid="{00000000-0005-0000-0000-0000B4040000}"/>
    <cellStyle name="Separador de milhares 3 3 2 2 2" xfId="1873" xr:uid="{00000000-0005-0000-0000-0000B5040000}"/>
    <cellStyle name="Separador de milhares 3 3 2 3" xfId="1454" xr:uid="{00000000-0005-0000-0000-0000B6040000}"/>
    <cellStyle name="Separador de milhares 3 3 3" xfId="300" xr:uid="{00000000-0005-0000-0000-0000B7040000}"/>
    <cellStyle name="Separador de milhares 3 3 3 2" xfId="719" xr:uid="{00000000-0005-0000-0000-0000B8040000}"/>
    <cellStyle name="Separador de milhares 3 3 3 2 2" xfId="1780" xr:uid="{00000000-0005-0000-0000-0000B9040000}"/>
    <cellStyle name="Separador de milhares 3 3 3 3" xfId="1361" xr:uid="{00000000-0005-0000-0000-0000BA040000}"/>
    <cellStyle name="Separador de milhares 3 3 4" xfId="543" xr:uid="{00000000-0005-0000-0000-0000BB040000}"/>
    <cellStyle name="Separador de milhares 3 3 4 2" xfId="1604" xr:uid="{00000000-0005-0000-0000-0000BC040000}"/>
    <cellStyle name="Separador de milhares 3 3 5" xfId="1185" xr:uid="{00000000-0005-0000-0000-0000BD040000}"/>
    <cellStyle name="Separador de milhares 3 4" xfId="351" xr:uid="{00000000-0005-0000-0000-0000BE040000}"/>
    <cellStyle name="Separador de milhares 3 4 2" xfId="770" xr:uid="{00000000-0005-0000-0000-0000BF040000}"/>
    <cellStyle name="Separador de milhares 3 4 2 2" xfId="1831" xr:uid="{00000000-0005-0000-0000-0000C0040000}"/>
    <cellStyle name="Separador de milhares 3 4 3" xfId="1412" xr:uid="{00000000-0005-0000-0000-0000C1040000}"/>
    <cellStyle name="Separador de milhares 3 5" xfId="213" xr:uid="{00000000-0005-0000-0000-0000C2040000}"/>
    <cellStyle name="Separador de milhares 3 5 2" xfId="632" xr:uid="{00000000-0005-0000-0000-0000C3040000}"/>
    <cellStyle name="Separador de milhares 3 5 2 2" xfId="1693" xr:uid="{00000000-0005-0000-0000-0000C4040000}"/>
    <cellStyle name="Separador de milhares 3 5 3" xfId="1274" xr:uid="{00000000-0005-0000-0000-0000C5040000}"/>
    <cellStyle name="Separador de milhares 3 6" xfId="497" xr:uid="{00000000-0005-0000-0000-0000C6040000}"/>
    <cellStyle name="Separador de milhares 3 6 2" xfId="1558" xr:uid="{00000000-0005-0000-0000-0000C7040000}"/>
    <cellStyle name="Separador de milhares 3 7" xfId="1139" xr:uid="{00000000-0005-0000-0000-0000C8040000}"/>
    <cellStyle name="Texto de Aviso 2" xfId="69" xr:uid="{00000000-0005-0000-0000-0000C9040000}"/>
    <cellStyle name="Texto Explicativo 2" xfId="56" xr:uid="{00000000-0005-0000-0000-0000CA040000}"/>
    <cellStyle name="Título 1 2" xfId="58" xr:uid="{00000000-0005-0000-0000-0000CB040000}"/>
    <cellStyle name="Título 2 2" xfId="59" xr:uid="{00000000-0005-0000-0000-0000CC040000}"/>
    <cellStyle name="Título 3 2" xfId="60" xr:uid="{00000000-0005-0000-0000-0000CD040000}"/>
    <cellStyle name="Título 4 2" xfId="61" xr:uid="{00000000-0005-0000-0000-0000CE040000}"/>
    <cellStyle name="Título 5" xfId="28" xr:uid="{00000000-0005-0000-0000-0000CF040000}"/>
    <cellStyle name="Total 2" xfId="68" xr:uid="{00000000-0005-0000-0000-0000D0040000}"/>
    <cellStyle name="Vírgula" xfId="89" builtinId="3"/>
    <cellStyle name="Vírgula 10" xfId="361" xr:uid="{00000000-0005-0000-0000-0000D2040000}"/>
    <cellStyle name="Vírgula 10 2" xfId="780" xr:uid="{00000000-0005-0000-0000-0000D3040000}"/>
    <cellStyle name="Vírgula 10 2 2" xfId="974" xr:uid="{00000000-0005-0000-0000-0000D4040000}"/>
    <cellStyle name="Vírgula 10 2 2 2" xfId="2034" xr:uid="{00000000-0005-0000-0000-0000D5040000}"/>
    <cellStyle name="Vírgula 10 2 3" xfId="1032" xr:uid="{00000000-0005-0000-0000-0000D6040000}"/>
    <cellStyle name="Vírgula 10 2 3 2" xfId="2092" xr:uid="{00000000-0005-0000-0000-0000D7040000}"/>
    <cellStyle name="Vírgula 10 2 4" xfId="1090" xr:uid="{00000000-0005-0000-0000-0000D8040000}"/>
    <cellStyle name="Vírgula 10 2 4 2" xfId="2150" xr:uid="{00000000-0005-0000-0000-0000D9040000}"/>
    <cellStyle name="Vírgula 10 2 5" xfId="1841" xr:uid="{00000000-0005-0000-0000-0000DA040000}"/>
    <cellStyle name="Vírgula 10 3" xfId="917" xr:uid="{00000000-0005-0000-0000-0000DB040000}"/>
    <cellStyle name="Vírgula 10 3 2" xfId="1977" xr:uid="{00000000-0005-0000-0000-0000DC040000}"/>
    <cellStyle name="Vírgula 10 4" xfId="947" xr:uid="{00000000-0005-0000-0000-0000DD040000}"/>
    <cellStyle name="Vírgula 10 4 2" xfId="2007" xr:uid="{00000000-0005-0000-0000-0000DE040000}"/>
    <cellStyle name="Vírgula 10 5" xfId="1005" xr:uid="{00000000-0005-0000-0000-0000DF040000}"/>
    <cellStyle name="Vírgula 10 5 2" xfId="2065" xr:uid="{00000000-0005-0000-0000-0000E0040000}"/>
    <cellStyle name="Vírgula 10 6" xfId="1063" xr:uid="{00000000-0005-0000-0000-0000E1040000}"/>
    <cellStyle name="Vírgula 10 6 2" xfId="2123" xr:uid="{00000000-0005-0000-0000-0000E2040000}"/>
    <cellStyle name="Vírgula 10 7" xfId="1422" xr:uid="{00000000-0005-0000-0000-0000E3040000}"/>
    <cellStyle name="Vírgula 11" xfId="223" xr:uid="{00000000-0005-0000-0000-0000E4040000}"/>
    <cellStyle name="Vírgula 11 2" xfId="642" xr:uid="{00000000-0005-0000-0000-0000E5040000}"/>
    <cellStyle name="Vírgula 11 2 2" xfId="983" xr:uid="{00000000-0005-0000-0000-0000E6040000}"/>
    <cellStyle name="Vírgula 11 2 2 2" xfId="2043" xr:uid="{00000000-0005-0000-0000-0000E7040000}"/>
    <cellStyle name="Vírgula 11 2 3" xfId="1041" xr:uid="{00000000-0005-0000-0000-0000E8040000}"/>
    <cellStyle name="Vírgula 11 2 3 2" xfId="2101" xr:uid="{00000000-0005-0000-0000-0000E9040000}"/>
    <cellStyle name="Vírgula 11 2 4" xfId="1099" xr:uid="{00000000-0005-0000-0000-0000EA040000}"/>
    <cellStyle name="Vírgula 11 2 4 2" xfId="2159" xr:uid="{00000000-0005-0000-0000-0000EB040000}"/>
    <cellStyle name="Vírgula 11 2 5" xfId="1703" xr:uid="{00000000-0005-0000-0000-0000EC040000}"/>
    <cellStyle name="Vírgula 11 3" xfId="926" xr:uid="{00000000-0005-0000-0000-0000ED040000}"/>
    <cellStyle name="Vírgula 11 3 2" xfId="1986" xr:uid="{00000000-0005-0000-0000-0000EE040000}"/>
    <cellStyle name="Vírgula 11 4" xfId="956" xr:uid="{00000000-0005-0000-0000-0000EF040000}"/>
    <cellStyle name="Vírgula 11 4 2" xfId="2016" xr:uid="{00000000-0005-0000-0000-0000F0040000}"/>
    <cellStyle name="Vírgula 11 5" xfId="1014" xr:uid="{00000000-0005-0000-0000-0000F1040000}"/>
    <cellStyle name="Vírgula 11 5 2" xfId="2074" xr:uid="{00000000-0005-0000-0000-0000F2040000}"/>
    <cellStyle name="Vírgula 11 6" xfId="1072" xr:uid="{00000000-0005-0000-0000-0000F3040000}"/>
    <cellStyle name="Vírgula 11 6 2" xfId="2132" xr:uid="{00000000-0005-0000-0000-0000F4040000}"/>
    <cellStyle name="Vírgula 11 7" xfId="1284" xr:uid="{00000000-0005-0000-0000-0000F5040000}"/>
    <cellStyle name="Vírgula 12" xfId="469" xr:uid="{00000000-0005-0000-0000-0000F6040000}"/>
    <cellStyle name="Vírgula 12 2" xfId="888" xr:uid="{00000000-0005-0000-0000-0000F7040000}"/>
    <cellStyle name="Vírgula 12 2 2" xfId="984" xr:uid="{00000000-0005-0000-0000-0000F8040000}"/>
    <cellStyle name="Vírgula 12 2 2 2" xfId="2044" xr:uid="{00000000-0005-0000-0000-0000F9040000}"/>
    <cellStyle name="Vírgula 12 2 3" xfId="1042" xr:uid="{00000000-0005-0000-0000-0000FA040000}"/>
    <cellStyle name="Vírgula 12 2 3 2" xfId="2102" xr:uid="{00000000-0005-0000-0000-0000FB040000}"/>
    <cellStyle name="Vírgula 12 2 4" xfId="1100" xr:uid="{00000000-0005-0000-0000-0000FC040000}"/>
    <cellStyle name="Vírgula 12 2 4 2" xfId="2160" xr:uid="{00000000-0005-0000-0000-0000FD040000}"/>
    <cellStyle name="Vírgula 12 2 5" xfId="1949" xr:uid="{00000000-0005-0000-0000-0000FE040000}"/>
    <cellStyle name="Vírgula 12 3" xfId="927" xr:uid="{00000000-0005-0000-0000-0000FF040000}"/>
    <cellStyle name="Vírgula 12 3 2" xfId="1987" xr:uid="{00000000-0005-0000-0000-000000050000}"/>
    <cellStyle name="Vírgula 12 4" xfId="957" xr:uid="{00000000-0005-0000-0000-000001050000}"/>
    <cellStyle name="Vírgula 12 4 2" xfId="2017" xr:uid="{00000000-0005-0000-0000-000002050000}"/>
    <cellStyle name="Vírgula 12 5" xfId="1015" xr:uid="{00000000-0005-0000-0000-000003050000}"/>
    <cellStyle name="Vírgula 12 5 2" xfId="2075" xr:uid="{00000000-0005-0000-0000-000004050000}"/>
    <cellStyle name="Vírgula 12 6" xfId="1073" xr:uid="{00000000-0005-0000-0000-000005050000}"/>
    <cellStyle name="Vírgula 12 6 2" xfId="2133" xr:uid="{00000000-0005-0000-0000-000006050000}"/>
    <cellStyle name="Vírgula 12 7" xfId="1530" xr:uid="{00000000-0005-0000-0000-000007050000}"/>
    <cellStyle name="Vírgula 13" xfId="508" xr:uid="{00000000-0005-0000-0000-000008050000}"/>
    <cellStyle name="Vírgula 13 2" xfId="928" xr:uid="{00000000-0005-0000-0000-000009050000}"/>
    <cellStyle name="Vírgula 13 2 2" xfId="985" xr:uid="{00000000-0005-0000-0000-00000A050000}"/>
    <cellStyle name="Vírgula 13 2 2 2" xfId="2045" xr:uid="{00000000-0005-0000-0000-00000B050000}"/>
    <cellStyle name="Vírgula 13 2 3" xfId="1043" xr:uid="{00000000-0005-0000-0000-00000C050000}"/>
    <cellStyle name="Vírgula 13 2 3 2" xfId="2103" xr:uid="{00000000-0005-0000-0000-00000D050000}"/>
    <cellStyle name="Vírgula 13 2 4" xfId="1101" xr:uid="{00000000-0005-0000-0000-00000E050000}"/>
    <cellStyle name="Vírgula 13 2 4 2" xfId="2161" xr:uid="{00000000-0005-0000-0000-00000F050000}"/>
    <cellStyle name="Vírgula 13 2 5" xfId="1988" xr:uid="{00000000-0005-0000-0000-000010050000}"/>
    <cellStyle name="Vírgula 13 3" xfId="958" xr:uid="{00000000-0005-0000-0000-000011050000}"/>
    <cellStyle name="Vírgula 13 3 2" xfId="2018" xr:uid="{00000000-0005-0000-0000-000012050000}"/>
    <cellStyle name="Vírgula 13 4" xfId="1016" xr:uid="{00000000-0005-0000-0000-000013050000}"/>
    <cellStyle name="Vírgula 13 4 2" xfId="2076" xr:uid="{00000000-0005-0000-0000-000014050000}"/>
    <cellStyle name="Vírgula 13 5" xfId="1074" xr:uid="{00000000-0005-0000-0000-000015050000}"/>
    <cellStyle name="Vírgula 13 5 2" xfId="2134" xr:uid="{00000000-0005-0000-0000-000016050000}"/>
    <cellStyle name="Vírgula 13 6" xfId="1569" xr:uid="{00000000-0005-0000-0000-000017050000}"/>
    <cellStyle name="Vírgula 14" xfId="892" xr:uid="{00000000-0005-0000-0000-000018050000}"/>
    <cellStyle name="Vírgula 14 2" xfId="929" xr:uid="{00000000-0005-0000-0000-000019050000}"/>
    <cellStyle name="Vírgula 14 2 2" xfId="986" xr:uid="{00000000-0005-0000-0000-00001A050000}"/>
    <cellStyle name="Vírgula 14 2 2 2" xfId="2046" xr:uid="{00000000-0005-0000-0000-00001B050000}"/>
    <cellStyle name="Vírgula 14 2 3" xfId="1044" xr:uid="{00000000-0005-0000-0000-00001C050000}"/>
    <cellStyle name="Vírgula 14 2 3 2" xfId="2104" xr:uid="{00000000-0005-0000-0000-00001D050000}"/>
    <cellStyle name="Vírgula 14 2 4" xfId="1102" xr:uid="{00000000-0005-0000-0000-00001E050000}"/>
    <cellStyle name="Vírgula 14 2 4 2" xfId="2162" xr:uid="{00000000-0005-0000-0000-00001F050000}"/>
    <cellStyle name="Vírgula 14 2 5" xfId="1989" xr:uid="{00000000-0005-0000-0000-000020050000}"/>
    <cellStyle name="Vírgula 14 3" xfId="959" xr:uid="{00000000-0005-0000-0000-000021050000}"/>
    <cellStyle name="Vírgula 14 3 2" xfId="2019" xr:uid="{00000000-0005-0000-0000-000022050000}"/>
    <cellStyle name="Vírgula 14 4" xfId="1017" xr:uid="{00000000-0005-0000-0000-000023050000}"/>
    <cellStyle name="Vírgula 14 4 2" xfId="2077" xr:uid="{00000000-0005-0000-0000-000024050000}"/>
    <cellStyle name="Vírgula 14 5" xfId="1075" xr:uid="{00000000-0005-0000-0000-000025050000}"/>
    <cellStyle name="Vírgula 14 5 2" xfId="2135" xr:uid="{00000000-0005-0000-0000-000026050000}"/>
    <cellStyle name="Vírgula 14 6" xfId="1953" xr:uid="{00000000-0005-0000-0000-000027050000}"/>
    <cellStyle name="Vírgula 15" xfId="899" xr:uid="{00000000-0005-0000-0000-000028050000}"/>
    <cellStyle name="Vírgula 15 2" xfId="930" xr:uid="{00000000-0005-0000-0000-000029050000}"/>
    <cellStyle name="Vírgula 15 2 2" xfId="987" xr:uid="{00000000-0005-0000-0000-00002A050000}"/>
    <cellStyle name="Vírgula 15 2 2 2" xfId="2047" xr:uid="{00000000-0005-0000-0000-00002B050000}"/>
    <cellStyle name="Vírgula 15 2 3" xfId="1045" xr:uid="{00000000-0005-0000-0000-00002C050000}"/>
    <cellStyle name="Vírgula 15 2 3 2" xfId="2105" xr:uid="{00000000-0005-0000-0000-00002D050000}"/>
    <cellStyle name="Vírgula 15 2 4" xfId="1103" xr:uid="{00000000-0005-0000-0000-00002E050000}"/>
    <cellStyle name="Vírgula 15 2 4 2" xfId="2163" xr:uid="{00000000-0005-0000-0000-00002F050000}"/>
    <cellStyle name="Vírgula 15 2 5" xfId="1990" xr:uid="{00000000-0005-0000-0000-000030050000}"/>
    <cellStyle name="Vírgula 15 3" xfId="960" xr:uid="{00000000-0005-0000-0000-000031050000}"/>
    <cellStyle name="Vírgula 15 3 2" xfId="2020" xr:uid="{00000000-0005-0000-0000-000032050000}"/>
    <cellStyle name="Vírgula 15 4" xfId="1018" xr:uid="{00000000-0005-0000-0000-000033050000}"/>
    <cellStyle name="Vírgula 15 4 2" xfId="2078" xr:uid="{00000000-0005-0000-0000-000034050000}"/>
    <cellStyle name="Vírgula 15 5" xfId="1076" xr:uid="{00000000-0005-0000-0000-000035050000}"/>
    <cellStyle name="Vírgula 15 5 2" xfId="2136" xr:uid="{00000000-0005-0000-0000-000036050000}"/>
    <cellStyle name="Vírgula 15 6" xfId="1960" xr:uid="{00000000-0005-0000-0000-000037050000}"/>
    <cellStyle name="Vírgula 16" xfId="906" xr:uid="{00000000-0005-0000-0000-000038050000}"/>
    <cellStyle name="Vírgula 16 2" xfId="931" xr:uid="{00000000-0005-0000-0000-000039050000}"/>
    <cellStyle name="Vírgula 16 2 2" xfId="988" xr:uid="{00000000-0005-0000-0000-00003A050000}"/>
    <cellStyle name="Vírgula 16 2 2 2" xfId="2048" xr:uid="{00000000-0005-0000-0000-00003B050000}"/>
    <cellStyle name="Vírgula 16 2 3" xfId="1046" xr:uid="{00000000-0005-0000-0000-00003C050000}"/>
    <cellStyle name="Vírgula 16 2 3 2" xfId="2106" xr:uid="{00000000-0005-0000-0000-00003D050000}"/>
    <cellStyle name="Vírgula 16 2 4" xfId="1104" xr:uid="{00000000-0005-0000-0000-00003E050000}"/>
    <cellStyle name="Vírgula 16 2 4 2" xfId="2164" xr:uid="{00000000-0005-0000-0000-00003F050000}"/>
    <cellStyle name="Vírgula 16 2 5" xfId="1991" xr:uid="{00000000-0005-0000-0000-000040050000}"/>
    <cellStyle name="Vírgula 16 3" xfId="961" xr:uid="{00000000-0005-0000-0000-000041050000}"/>
    <cellStyle name="Vírgula 16 3 2" xfId="2021" xr:uid="{00000000-0005-0000-0000-000042050000}"/>
    <cellStyle name="Vírgula 16 4" xfId="1019" xr:uid="{00000000-0005-0000-0000-000043050000}"/>
    <cellStyle name="Vírgula 16 4 2" xfId="2079" xr:uid="{00000000-0005-0000-0000-000044050000}"/>
    <cellStyle name="Vírgula 16 5" xfId="1077" xr:uid="{00000000-0005-0000-0000-000045050000}"/>
    <cellStyle name="Vírgula 16 5 2" xfId="2137" xr:uid="{00000000-0005-0000-0000-000046050000}"/>
    <cellStyle name="Vírgula 16 6" xfId="1967" xr:uid="{00000000-0005-0000-0000-000047050000}"/>
    <cellStyle name="Vírgula 17" xfId="91" xr:uid="{00000000-0005-0000-0000-000048050000}"/>
    <cellStyle name="Vírgula 17 2" xfId="182" xr:uid="{00000000-0005-0000-0000-000049050000}"/>
    <cellStyle name="Vírgula 17 2 2" xfId="322" xr:uid="{00000000-0005-0000-0000-00004A050000}"/>
    <cellStyle name="Vírgula 17 2 2 2" xfId="462" xr:uid="{00000000-0005-0000-0000-00004B050000}"/>
    <cellStyle name="Vírgula 17 2 2 2 2" xfId="881" xr:uid="{00000000-0005-0000-0000-00004C050000}"/>
    <cellStyle name="Vírgula 17 2 2 2 2 2" xfId="1942" xr:uid="{00000000-0005-0000-0000-00004D050000}"/>
    <cellStyle name="Vírgula 17 2 2 2 3" xfId="1523" xr:uid="{00000000-0005-0000-0000-00004E050000}"/>
    <cellStyle name="Vírgula 17 2 2 3" xfId="741" xr:uid="{00000000-0005-0000-0000-00004F050000}"/>
    <cellStyle name="Vírgula 17 2 2 3 2" xfId="1802" xr:uid="{00000000-0005-0000-0000-000050050000}"/>
    <cellStyle name="Vírgula 17 2 2 4" xfId="1383" xr:uid="{00000000-0005-0000-0000-000051050000}"/>
    <cellStyle name="Vírgula 17 2 3" xfId="451" xr:uid="{00000000-0005-0000-0000-000052050000}"/>
    <cellStyle name="Vírgula 17 2 3 2" xfId="870" xr:uid="{00000000-0005-0000-0000-000053050000}"/>
    <cellStyle name="Vírgula 17 2 3 2 2" xfId="1931" xr:uid="{00000000-0005-0000-0000-000054050000}"/>
    <cellStyle name="Vírgula 17 2 3 3" xfId="1512" xr:uid="{00000000-0005-0000-0000-000055050000}"/>
    <cellStyle name="Vírgula 17 2 4" xfId="267" xr:uid="{00000000-0005-0000-0000-000056050000}"/>
    <cellStyle name="Vírgula 17 2 4 2" xfId="686" xr:uid="{00000000-0005-0000-0000-000057050000}"/>
    <cellStyle name="Vírgula 17 2 4 2 2" xfId="1747" xr:uid="{00000000-0005-0000-0000-000058050000}"/>
    <cellStyle name="Vírgula 17 2 4 3" xfId="1328" xr:uid="{00000000-0005-0000-0000-000059050000}"/>
    <cellStyle name="Vírgula 17 2 5" xfId="601" xr:uid="{00000000-0005-0000-0000-00005A050000}"/>
    <cellStyle name="Vírgula 17 2 5 2" xfId="1662" xr:uid="{00000000-0005-0000-0000-00005B050000}"/>
    <cellStyle name="Vírgula 17 2 6" xfId="989" xr:uid="{00000000-0005-0000-0000-00005C050000}"/>
    <cellStyle name="Vírgula 17 2 6 2" xfId="2049" xr:uid="{00000000-0005-0000-0000-00005D050000}"/>
    <cellStyle name="Vírgula 17 2 7" xfId="1047" xr:uid="{00000000-0005-0000-0000-00005E050000}"/>
    <cellStyle name="Vírgula 17 2 7 2" xfId="2107" xr:uid="{00000000-0005-0000-0000-00005F050000}"/>
    <cellStyle name="Vírgula 17 2 8" xfId="1105" xr:uid="{00000000-0005-0000-0000-000060050000}"/>
    <cellStyle name="Vírgula 17 2 8 2" xfId="2165" xr:uid="{00000000-0005-0000-0000-000061050000}"/>
    <cellStyle name="Vírgula 17 2 9" xfId="1243" xr:uid="{00000000-0005-0000-0000-000062050000}"/>
    <cellStyle name="Vírgula 17 3" xfId="137" xr:uid="{00000000-0005-0000-0000-000063050000}"/>
    <cellStyle name="Vírgula 17 3 2" xfId="406" xr:uid="{00000000-0005-0000-0000-000064050000}"/>
    <cellStyle name="Vírgula 17 3 2 2" xfId="825" xr:uid="{00000000-0005-0000-0000-000065050000}"/>
    <cellStyle name="Vírgula 17 3 2 2 2" xfId="1886" xr:uid="{00000000-0005-0000-0000-000066050000}"/>
    <cellStyle name="Vírgula 17 3 2 3" xfId="1467" xr:uid="{00000000-0005-0000-0000-000067050000}"/>
    <cellStyle name="Vírgula 17 3 3" xfId="313" xr:uid="{00000000-0005-0000-0000-000068050000}"/>
    <cellStyle name="Vírgula 17 3 3 2" xfId="732" xr:uid="{00000000-0005-0000-0000-000069050000}"/>
    <cellStyle name="Vírgula 17 3 3 2 2" xfId="1793" xr:uid="{00000000-0005-0000-0000-00006A050000}"/>
    <cellStyle name="Vírgula 17 3 3 3" xfId="1374" xr:uid="{00000000-0005-0000-0000-00006B050000}"/>
    <cellStyle name="Vírgula 17 3 4" xfId="556" xr:uid="{00000000-0005-0000-0000-00006C050000}"/>
    <cellStyle name="Vírgula 17 3 4 2" xfId="1617" xr:uid="{00000000-0005-0000-0000-00006D050000}"/>
    <cellStyle name="Vírgula 17 3 5" xfId="1198" xr:uid="{00000000-0005-0000-0000-00006E050000}"/>
    <cellStyle name="Vírgula 17 4" xfId="510" xr:uid="{00000000-0005-0000-0000-00006F050000}"/>
    <cellStyle name="Vírgula 17 4 2" xfId="1571" xr:uid="{00000000-0005-0000-0000-000070050000}"/>
    <cellStyle name="Vírgula 17 5" xfId="932" xr:uid="{00000000-0005-0000-0000-000071050000}"/>
    <cellStyle name="Vírgula 17 5 2" xfId="1992" xr:uid="{00000000-0005-0000-0000-000072050000}"/>
    <cellStyle name="Vírgula 17 6" xfId="962" xr:uid="{00000000-0005-0000-0000-000073050000}"/>
    <cellStyle name="Vírgula 17 6 2" xfId="2022" xr:uid="{00000000-0005-0000-0000-000074050000}"/>
    <cellStyle name="Vírgula 17 7" xfId="1020" xr:uid="{00000000-0005-0000-0000-000075050000}"/>
    <cellStyle name="Vírgula 17 7 2" xfId="2080" xr:uid="{00000000-0005-0000-0000-000076050000}"/>
    <cellStyle name="Vírgula 17 8" xfId="1078" xr:uid="{00000000-0005-0000-0000-000077050000}"/>
    <cellStyle name="Vírgula 17 8 2" xfId="2138" xr:uid="{00000000-0005-0000-0000-000078050000}"/>
    <cellStyle name="Vírgula 17 9" xfId="1152" xr:uid="{00000000-0005-0000-0000-000079050000}"/>
    <cellStyle name="Vírgula 18" xfId="933" xr:uid="{00000000-0005-0000-0000-00007A050000}"/>
    <cellStyle name="Vírgula 18 2" xfId="990" xr:uid="{00000000-0005-0000-0000-00007B050000}"/>
    <cellStyle name="Vírgula 18 2 2" xfId="1048" xr:uid="{00000000-0005-0000-0000-00007C050000}"/>
    <cellStyle name="Vírgula 18 2 2 2" xfId="2108" xr:uid="{00000000-0005-0000-0000-00007D050000}"/>
    <cellStyle name="Vírgula 18 2 3" xfId="1106" xr:uid="{00000000-0005-0000-0000-00007E050000}"/>
    <cellStyle name="Vírgula 18 2 3 2" xfId="2166" xr:uid="{00000000-0005-0000-0000-00007F050000}"/>
    <cellStyle name="Vírgula 18 2 4" xfId="2050" xr:uid="{00000000-0005-0000-0000-000080050000}"/>
    <cellStyle name="Vírgula 18 3" xfId="963" xr:uid="{00000000-0005-0000-0000-000081050000}"/>
    <cellStyle name="Vírgula 18 3 2" xfId="2023" xr:uid="{00000000-0005-0000-0000-000082050000}"/>
    <cellStyle name="Vírgula 18 4" xfId="1021" xr:uid="{00000000-0005-0000-0000-000083050000}"/>
    <cellStyle name="Vírgula 18 4 2" xfId="2081" xr:uid="{00000000-0005-0000-0000-000084050000}"/>
    <cellStyle name="Vírgula 18 5" xfId="1079" xr:uid="{00000000-0005-0000-0000-000085050000}"/>
    <cellStyle name="Vírgula 18 5 2" xfId="2139" xr:uid="{00000000-0005-0000-0000-000086050000}"/>
    <cellStyle name="Vírgula 18 6" xfId="1993" xr:uid="{00000000-0005-0000-0000-000087050000}"/>
    <cellStyle name="Vírgula 19" xfId="909" xr:uid="{00000000-0005-0000-0000-000088050000}"/>
    <cellStyle name="Vírgula 19 2" xfId="991" xr:uid="{00000000-0005-0000-0000-000089050000}"/>
    <cellStyle name="Vírgula 19 2 2" xfId="1049" xr:uid="{00000000-0005-0000-0000-00008A050000}"/>
    <cellStyle name="Vírgula 19 2 2 2" xfId="2109" xr:uid="{00000000-0005-0000-0000-00008B050000}"/>
    <cellStyle name="Vírgula 19 2 3" xfId="1107" xr:uid="{00000000-0005-0000-0000-00008C050000}"/>
    <cellStyle name="Vírgula 19 2 3 2" xfId="2167" xr:uid="{00000000-0005-0000-0000-00008D050000}"/>
    <cellStyle name="Vírgula 19 2 4" xfId="2051" xr:uid="{00000000-0005-0000-0000-00008E050000}"/>
    <cellStyle name="Vírgula 19 3" xfId="964" xr:uid="{00000000-0005-0000-0000-00008F050000}"/>
    <cellStyle name="Vírgula 19 3 2" xfId="2024" xr:uid="{00000000-0005-0000-0000-000090050000}"/>
    <cellStyle name="Vírgula 19 4" xfId="1022" xr:uid="{00000000-0005-0000-0000-000091050000}"/>
    <cellStyle name="Vírgula 19 4 2" xfId="2082" xr:uid="{00000000-0005-0000-0000-000092050000}"/>
    <cellStyle name="Vírgula 19 5" xfId="1080" xr:uid="{00000000-0005-0000-0000-000093050000}"/>
    <cellStyle name="Vírgula 19 5 2" xfId="2140" xr:uid="{00000000-0005-0000-0000-000094050000}"/>
    <cellStyle name="Vírgula 19 6" xfId="1969" xr:uid="{00000000-0005-0000-0000-000095050000}"/>
    <cellStyle name="Vírgula 2" xfId="4" xr:uid="{00000000-0005-0000-0000-000096050000}"/>
    <cellStyle name="Vírgula 2 10" xfId="890" xr:uid="{00000000-0005-0000-0000-000097050000}"/>
    <cellStyle name="Vírgula 2 10 2" xfId="1951" xr:uid="{00000000-0005-0000-0000-000098050000}"/>
    <cellStyle name="Vírgula 2 11" xfId="894" xr:uid="{00000000-0005-0000-0000-000099050000}"/>
    <cellStyle name="Vírgula 2 11 2" xfId="1955" xr:uid="{00000000-0005-0000-0000-00009A050000}"/>
    <cellStyle name="Vírgula 2 12" xfId="901" xr:uid="{00000000-0005-0000-0000-00009B050000}"/>
    <cellStyle name="Vírgula 2 12 2" xfId="1962" xr:uid="{00000000-0005-0000-0000-00009C050000}"/>
    <cellStyle name="Vírgula 2 13" xfId="911" xr:uid="{00000000-0005-0000-0000-00009D050000}"/>
    <cellStyle name="Vírgula 2 13 2" xfId="1971" xr:uid="{00000000-0005-0000-0000-00009E050000}"/>
    <cellStyle name="Vírgula 2 14" xfId="941" xr:uid="{00000000-0005-0000-0000-00009F050000}"/>
    <cellStyle name="Vírgula 2 14 2" xfId="2001" xr:uid="{00000000-0005-0000-0000-0000A0050000}"/>
    <cellStyle name="Vírgula 2 15" xfId="999" xr:uid="{00000000-0005-0000-0000-0000A1050000}"/>
    <cellStyle name="Vírgula 2 15 2" xfId="2059" xr:uid="{00000000-0005-0000-0000-0000A2050000}"/>
    <cellStyle name="Vírgula 2 16" xfId="1057" xr:uid="{00000000-0005-0000-0000-0000A3050000}"/>
    <cellStyle name="Vírgula 2 16 2" xfId="2117" xr:uid="{00000000-0005-0000-0000-0000A4050000}"/>
    <cellStyle name="Vírgula 2 17" xfId="1112" xr:uid="{00000000-0005-0000-0000-0000A5050000}"/>
    <cellStyle name="Vírgula 2 2" xfId="67" xr:uid="{00000000-0005-0000-0000-0000A6050000}"/>
    <cellStyle name="Vírgula 2 2 10" xfId="1065" xr:uid="{00000000-0005-0000-0000-0000A7050000}"/>
    <cellStyle name="Vírgula 2 2 10 2" xfId="2125" xr:uid="{00000000-0005-0000-0000-0000A8050000}"/>
    <cellStyle name="Vírgula 2 2 11" xfId="1138" xr:uid="{00000000-0005-0000-0000-0000A9050000}"/>
    <cellStyle name="Vírgula 2 2 2" xfId="168" xr:uid="{00000000-0005-0000-0000-0000AA050000}"/>
    <cellStyle name="Vírgula 2 2 2 2" xfId="437" xr:uid="{00000000-0005-0000-0000-0000AB050000}"/>
    <cellStyle name="Vírgula 2 2 2 2 2" xfId="856" xr:uid="{00000000-0005-0000-0000-0000AC050000}"/>
    <cellStyle name="Vírgula 2 2 2 2 2 2" xfId="1917" xr:uid="{00000000-0005-0000-0000-0000AD050000}"/>
    <cellStyle name="Vírgula 2 2 2 2 3" xfId="1498" xr:uid="{00000000-0005-0000-0000-0000AE050000}"/>
    <cellStyle name="Vírgula 2 2 2 3" xfId="253" xr:uid="{00000000-0005-0000-0000-0000AF050000}"/>
    <cellStyle name="Vírgula 2 2 2 3 2" xfId="672" xr:uid="{00000000-0005-0000-0000-0000B0050000}"/>
    <cellStyle name="Vírgula 2 2 2 3 2 2" xfId="1733" xr:uid="{00000000-0005-0000-0000-0000B1050000}"/>
    <cellStyle name="Vírgula 2 2 2 3 3" xfId="1314" xr:uid="{00000000-0005-0000-0000-0000B2050000}"/>
    <cellStyle name="Vírgula 2 2 2 4" xfId="587" xr:uid="{00000000-0005-0000-0000-0000B3050000}"/>
    <cellStyle name="Vírgula 2 2 2 4 2" xfId="1648" xr:uid="{00000000-0005-0000-0000-0000B4050000}"/>
    <cellStyle name="Vírgula 2 2 2 5" xfId="976" xr:uid="{00000000-0005-0000-0000-0000B5050000}"/>
    <cellStyle name="Vírgula 2 2 2 5 2" xfId="2036" xr:uid="{00000000-0005-0000-0000-0000B6050000}"/>
    <cellStyle name="Vírgula 2 2 2 6" xfId="1034" xr:uid="{00000000-0005-0000-0000-0000B7050000}"/>
    <cellStyle name="Vírgula 2 2 2 6 2" xfId="2094" xr:uid="{00000000-0005-0000-0000-0000B8050000}"/>
    <cellStyle name="Vírgula 2 2 2 7" xfId="1092" xr:uid="{00000000-0005-0000-0000-0000B9050000}"/>
    <cellStyle name="Vírgula 2 2 2 7 2" xfId="2152" xr:uid="{00000000-0005-0000-0000-0000BA050000}"/>
    <cellStyle name="Vírgula 2 2 2 8" xfId="1229" xr:uid="{00000000-0005-0000-0000-0000BB050000}"/>
    <cellStyle name="Vírgula 2 2 3" xfId="123" xr:uid="{00000000-0005-0000-0000-0000BC050000}"/>
    <cellStyle name="Vírgula 2 2 3 2" xfId="392" xr:uid="{00000000-0005-0000-0000-0000BD050000}"/>
    <cellStyle name="Vírgula 2 2 3 2 2" xfId="811" xr:uid="{00000000-0005-0000-0000-0000BE050000}"/>
    <cellStyle name="Vírgula 2 2 3 2 2 2" xfId="1872" xr:uid="{00000000-0005-0000-0000-0000BF050000}"/>
    <cellStyle name="Vírgula 2 2 3 2 3" xfId="1453" xr:uid="{00000000-0005-0000-0000-0000C0050000}"/>
    <cellStyle name="Vírgula 2 2 3 3" xfId="299" xr:uid="{00000000-0005-0000-0000-0000C1050000}"/>
    <cellStyle name="Vírgula 2 2 3 3 2" xfId="718" xr:uid="{00000000-0005-0000-0000-0000C2050000}"/>
    <cellStyle name="Vírgula 2 2 3 3 2 2" xfId="1779" xr:uid="{00000000-0005-0000-0000-0000C3050000}"/>
    <cellStyle name="Vírgula 2 2 3 3 3" xfId="1360" xr:uid="{00000000-0005-0000-0000-0000C4050000}"/>
    <cellStyle name="Vírgula 2 2 3 4" xfId="542" xr:uid="{00000000-0005-0000-0000-0000C5050000}"/>
    <cellStyle name="Vírgula 2 2 3 4 2" xfId="1603" xr:uid="{00000000-0005-0000-0000-0000C6050000}"/>
    <cellStyle name="Vírgula 2 2 3 5" xfId="1184" xr:uid="{00000000-0005-0000-0000-0000C7050000}"/>
    <cellStyle name="Vírgula 2 2 4" xfId="350" xr:uid="{00000000-0005-0000-0000-0000C8050000}"/>
    <cellStyle name="Vírgula 2 2 4 2" xfId="769" xr:uid="{00000000-0005-0000-0000-0000C9050000}"/>
    <cellStyle name="Vírgula 2 2 4 2 2" xfId="1830" xr:uid="{00000000-0005-0000-0000-0000CA050000}"/>
    <cellStyle name="Vírgula 2 2 4 3" xfId="1411" xr:uid="{00000000-0005-0000-0000-0000CB050000}"/>
    <cellStyle name="Vírgula 2 2 5" xfId="212" xr:uid="{00000000-0005-0000-0000-0000CC050000}"/>
    <cellStyle name="Vírgula 2 2 5 2" xfId="631" xr:uid="{00000000-0005-0000-0000-0000CD050000}"/>
    <cellStyle name="Vírgula 2 2 5 2 2" xfId="1692" xr:uid="{00000000-0005-0000-0000-0000CE050000}"/>
    <cellStyle name="Vírgula 2 2 5 3" xfId="1273" xr:uid="{00000000-0005-0000-0000-0000CF050000}"/>
    <cellStyle name="Vírgula 2 2 6" xfId="496" xr:uid="{00000000-0005-0000-0000-0000D0050000}"/>
    <cellStyle name="Vírgula 2 2 6 2" xfId="1557" xr:uid="{00000000-0005-0000-0000-0000D1050000}"/>
    <cellStyle name="Vírgula 2 2 7" xfId="919" xr:uid="{00000000-0005-0000-0000-0000D2050000}"/>
    <cellStyle name="Vírgula 2 2 7 2" xfId="1979" xr:uid="{00000000-0005-0000-0000-0000D3050000}"/>
    <cellStyle name="Vírgula 2 2 8" xfId="949" xr:uid="{00000000-0005-0000-0000-0000D4050000}"/>
    <cellStyle name="Vírgula 2 2 8 2" xfId="2009" xr:uid="{00000000-0005-0000-0000-0000D5050000}"/>
    <cellStyle name="Vírgula 2 2 9" xfId="1007" xr:uid="{00000000-0005-0000-0000-0000D6050000}"/>
    <cellStyle name="Vírgula 2 2 9 2" xfId="2067" xr:uid="{00000000-0005-0000-0000-0000D7050000}"/>
    <cellStyle name="Vírgula 2 3" xfId="88" xr:uid="{00000000-0005-0000-0000-0000D8050000}"/>
    <cellStyle name="Vírgula 2 3 2" xfId="179" xr:uid="{00000000-0005-0000-0000-0000D9050000}"/>
    <cellStyle name="Vírgula 2 3 2 2" xfId="320" xr:uid="{00000000-0005-0000-0000-0000DA050000}"/>
    <cellStyle name="Vírgula 2 3 2 2 2" xfId="460" xr:uid="{00000000-0005-0000-0000-0000DB050000}"/>
    <cellStyle name="Vírgula 2 3 2 2 2 2" xfId="879" xr:uid="{00000000-0005-0000-0000-0000DC050000}"/>
    <cellStyle name="Vírgula 2 3 2 2 2 2 2" xfId="1940" xr:uid="{00000000-0005-0000-0000-0000DD050000}"/>
    <cellStyle name="Vírgula 2 3 2 2 2 3" xfId="1521" xr:uid="{00000000-0005-0000-0000-0000DE050000}"/>
    <cellStyle name="Vírgula 2 3 2 2 3" xfId="739" xr:uid="{00000000-0005-0000-0000-0000DF050000}"/>
    <cellStyle name="Vírgula 2 3 2 2 3 2" xfId="1800" xr:uid="{00000000-0005-0000-0000-0000E0050000}"/>
    <cellStyle name="Vírgula 2 3 2 2 4" xfId="1381" xr:uid="{00000000-0005-0000-0000-0000E1050000}"/>
    <cellStyle name="Vírgula 2 3 2 3" xfId="448" xr:uid="{00000000-0005-0000-0000-0000E2050000}"/>
    <cellStyle name="Vírgula 2 3 2 3 2" xfId="867" xr:uid="{00000000-0005-0000-0000-0000E3050000}"/>
    <cellStyle name="Vírgula 2 3 2 3 2 2" xfId="1928" xr:uid="{00000000-0005-0000-0000-0000E4050000}"/>
    <cellStyle name="Vírgula 2 3 2 3 3" xfId="1509" xr:uid="{00000000-0005-0000-0000-0000E5050000}"/>
    <cellStyle name="Vírgula 2 3 2 4" xfId="264" xr:uid="{00000000-0005-0000-0000-0000E6050000}"/>
    <cellStyle name="Vírgula 2 3 2 4 2" xfId="683" xr:uid="{00000000-0005-0000-0000-0000E7050000}"/>
    <cellStyle name="Vírgula 2 3 2 4 2 2" xfId="1744" xr:uid="{00000000-0005-0000-0000-0000E8050000}"/>
    <cellStyle name="Vírgula 2 3 2 4 3" xfId="1325" xr:uid="{00000000-0005-0000-0000-0000E9050000}"/>
    <cellStyle name="Vírgula 2 3 2 5" xfId="598" xr:uid="{00000000-0005-0000-0000-0000EA050000}"/>
    <cellStyle name="Vírgula 2 3 2 5 2" xfId="1659" xr:uid="{00000000-0005-0000-0000-0000EB050000}"/>
    <cellStyle name="Vírgula 2 3 2 6" xfId="1240" xr:uid="{00000000-0005-0000-0000-0000EC050000}"/>
    <cellStyle name="Vírgula 2 3 3" xfId="134" xr:uid="{00000000-0005-0000-0000-0000ED050000}"/>
    <cellStyle name="Vírgula 2 3 3 2" xfId="403" xr:uid="{00000000-0005-0000-0000-0000EE050000}"/>
    <cellStyle name="Vírgula 2 3 3 2 2" xfId="822" xr:uid="{00000000-0005-0000-0000-0000EF050000}"/>
    <cellStyle name="Vírgula 2 3 3 2 2 2" xfId="1883" xr:uid="{00000000-0005-0000-0000-0000F0050000}"/>
    <cellStyle name="Vírgula 2 3 3 2 3" xfId="1464" xr:uid="{00000000-0005-0000-0000-0000F1050000}"/>
    <cellStyle name="Vírgula 2 3 3 3" xfId="310" xr:uid="{00000000-0005-0000-0000-0000F2050000}"/>
    <cellStyle name="Vírgula 2 3 3 3 2" xfId="729" xr:uid="{00000000-0005-0000-0000-0000F3050000}"/>
    <cellStyle name="Vírgula 2 3 3 3 2 2" xfId="1790" xr:uid="{00000000-0005-0000-0000-0000F4050000}"/>
    <cellStyle name="Vírgula 2 3 3 3 3" xfId="1371" xr:uid="{00000000-0005-0000-0000-0000F5050000}"/>
    <cellStyle name="Vírgula 2 3 3 4" xfId="553" xr:uid="{00000000-0005-0000-0000-0000F6050000}"/>
    <cellStyle name="Vírgula 2 3 3 4 2" xfId="1614" xr:uid="{00000000-0005-0000-0000-0000F7050000}"/>
    <cellStyle name="Vírgula 2 3 3 5" xfId="1195" xr:uid="{00000000-0005-0000-0000-0000F8050000}"/>
    <cellStyle name="Vírgula 2 3 4" xfId="507" xr:uid="{00000000-0005-0000-0000-0000F9050000}"/>
    <cellStyle name="Vírgula 2 3 4 2" xfId="1568" xr:uid="{00000000-0005-0000-0000-0000FA050000}"/>
    <cellStyle name="Vírgula 2 3 5" xfId="969" xr:uid="{00000000-0005-0000-0000-0000FB050000}"/>
    <cellStyle name="Vírgula 2 3 5 2" xfId="2029" xr:uid="{00000000-0005-0000-0000-0000FC050000}"/>
    <cellStyle name="Vírgula 2 3 6" xfId="1027" xr:uid="{00000000-0005-0000-0000-0000FD050000}"/>
    <cellStyle name="Vírgula 2 3 6 2" xfId="2087" xr:uid="{00000000-0005-0000-0000-0000FE050000}"/>
    <cellStyle name="Vírgula 2 3 7" xfId="1085" xr:uid="{00000000-0005-0000-0000-0000FF050000}"/>
    <cellStyle name="Vírgula 2 3 7 2" xfId="2145" xr:uid="{00000000-0005-0000-0000-000000060000}"/>
    <cellStyle name="Vírgula 2 3 8" xfId="1149" xr:uid="{00000000-0005-0000-0000-000001060000}"/>
    <cellStyle name="Vírgula 2 4" xfId="94" xr:uid="{00000000-0005-0000-0000-000002060000}"/>
    <cellStyle name="Vírgula 2 4 2" xfId="185" xr:uid="{00000000-0005-0000-0000-000003060000}"/>
    <cellStyle name="Vírgula 2 4 2 2" xfId="454" xr:uid="{00000000-0005-0000-0000-000004060000}"/>
    <cellStyle name="Vírgula 2 4 2 2 2" xfId="873" xr:uid="{00000000-0005-0000-0000-000005060000}"/>
    <cellStyle name="Vírgula 2 4 2 2 2 2" xfId="1934" xr:uid="{00000000-0005-0000-0000-000006060000}"/>
    <cellStyle name="Vírgula 2 4 2 2 3" xfId="1515" xr:uid="{00000000-0005-0000-0000-000007060000}"/>
    <cellStyle name="Vírgula 2 4 2 3" xfId="270" xr:uid="{00000000-0005-0000-0000-000008060000}"/>
    <cellStyle name="Vírgula 2 4 2 3 2" xfId="689" xr:uid="{00000000-0005-0000-0000-000009060000}"/>
    <cellStyle name="Vírgula 2 4 2 3 2 2" xfId="1750" xr:uid="{00000000-0005-0000-0000-00000A060000}"/>
    <cellStyle name="Vírgula 2 4 2 3 3" xfId="1331" xr:uid="{00000000-0005-0000-0000-00000B060000}"/>
    <cellStyle name="Vírgula 2 4 2 4" xfId="604" xr:uid="{00000000-0005-0000-0000-00000C060000}"/>
    <cellStyle name="Vírgula 2 4 2 4 2" xfId="1665" xr:uid="{00000000-0005-0000-0000-00000D060000}"/>
    <cellStyle name="Vírgula 2 4 2 5" xfId="1246" xr:uid="{00000000-0005-0000-0000-00000E060000}"/>
    <cellStyle name="Vírgula 2 4 3" xfId="140" xr:uid="{00000000-0005-0000-0000-00000F060000}"/>
    <cellStyle name="Vírgula 2 4 3 2" xfId="409" xr:uid="{00000000-0005-0000-0000-000010060000}"/>
    <cellStyle name="Vírgula 2 4 3 2 2" xfId="828" xr:uid="{00000000-0005-0000-0000-000011060000}"/>
    <cellStyle name="Vírgula 2 4 3 2 2 2" xfId="1889" xr:uid="{00000000-0005-0000-0000-000012060000}"/>
    <cellStyle name="Vírgula 2 4 3 2 3" xfId="1470" xr:uid="{00000000-0005-0000-0000-000013060000}"/>
    <cellStyle name="Vírgula 2 4 3 3" xfId="316" xr:uid="{00000000-0005-0000-0000-000014060000}"/>
    <cellStyle name="Vírgula 2 4 3 3 2" xfId="735" xr:uid="{00000000-0005-0000-0000-000015060000}"/>
    <cellStyle name="Vírgula 2 4 3 3 2 2" xfId="1796" xr:uid="{00000000-0005-0000-0000-000016060000}"/>
    <cellStyle name="Vírgula 2 4 3 3 3" xfId="1377" xr:uid="{00000000-0005-0000-0000-000017060000}"/>
    <cellStyle name="Vírgula 2 4 3 4" xfId="559" xr:uid="{00000000-0005-0000-0000-000018060000}"/>
    <cellStyle name="Vírgula 2 4 3 4 2" xfId="1620" xr:uid="{00000000-0005-0000-0000-000019060000}"/>
    <cellStyle name="Vírgula 2 4 3 5" xfId="1201" xr:uid="{00000000-0005-0000-0000-00001A060000}"/>
    <cellStyle name="Vírgula 2 4 4" xfId="363" xr:uid="{00000000-0005-0000-0000-00001B060000}"/>
    <cellStyle name="Vírgula 2 4 4 2" xfId="782" xr:uid="{00000000-0005-0000-0000-00001C060000}"/>
    <cellStyle name="Vírgula 2 4 4 2 2" xfId="1843" xr:uid="{00000000-0005-0000-0000-00001D060000}"/>
    <cellStyle name="Vírgula 2 4 4 3" xfId="1424" xr:uid="{00000000-0005-0000-0000-00001E060000}"/>
    <cellStyle name="Vírgula 2 4 5" xfId="225" xr:uid="{00000000-0005-0000-0000-00001F060000}"/>
    <cellStyle name="Vírgula 2 4 5 2" xfId="644" xr:uid="{00000000-0005-0000-0000-000020060000}"/>
    <cellStyle name="Vírgula 2 4 5 2 2" xfId="1705" xr:uid="{00000000-0005-0000-0000-000021060000}"/>
    <cellStyle name="Vírgula 2 4 5 3" xfId="1286" xr:uid="{00000000-0005-0000-0000-000022060000}"/>
    <cellStyle name="Vírgula 2 4 6" xfId="513" xr:uid="{00000000-0005-0000-0000-000023060000}"/>
    <cellStyle name="Vírgula 2 4 6 2" xfId="1574" xr:uid="{00000000-0005-0000-0000-000024060000}"/>
    <cellStyle name="Vírgula 2 4 7" xfId="1155" xr:uid="{00000000-0005-0000-0000-000025060000}"/>
    <cellStyle name="Vírgula 2 5" xfId="142" xr:uid="{00000000-0005-0000-0000-000026060000}"/>
    <cellStyle name="Vírgula 2 5 2" xfId="411" xr:uid="{00000000-0005-0000-0000-000027060000}"/>
    <cellStyle name="Vírgula 2 5 2 2" xfId="830" xr:uid="{00000000-0005-0000-0000-000028060000}"/>
    <cellStyle name="Vírgula 2 5 2 2 2" xfId="1891" xr:uid="{00000000-0005-0000-0000-000029060000}"/>
    <cellStyle name="Vírgula 2 5 2 3" xfId="1472" xr:uid="{00000000-0005-0000-0000-00002A060000}"/>
    <cellStyle name="Vírgula 2 5 3" xfId="227" xr:uid="{00000000-0005-0000-0000-00002B060000}"/>
    <cellStyle name="Vírgula 2 5 3 2" xfId="646" xr:uid="{00000000-0005-0000-0000-00002C060000}"/>
    <cellStyle name="Vírgula 2 5 3 2 2" xfId="1707" xr:uid="{00000000-0005-0000-0000-00002D060000}"/>
    <cellStyle name="Vírgula 2 5 3 3" xfId="1288" xr:uid="{00000000-0005-0000-0000-00002E060000}"/>
    <cellStyle name="Vírgula 2 5 4" xfId="561" xr:uid="{00000000-0005-0000-0000-00002F060000}"/>
    <cellStyle name="Vírgula 2 5 4 2" xfId="1622" xr:uid="{00000000-0005-0000-0000-000030060000}"/>
    <cellStyle name="Vírgula 2 5 5" xfId="1203" xr:uid="{00000000-0005-0000-0000-000031060000}"/>
    <cellStyle name="Vírgula 2 6" xfId="97" xr:uid="{00000000-0005-0000-0000-000032060000}"/>
    <cellStyle name="Vírgula 2 6 2" xfId="366" xr:uid="{00000000-0005-0000-0000-000033060000}"/>
    <cellStyle name="Vírgula 2 6 2 2" xfId="785" xr:uid="{00000000-0005-0000-0000-000034060000}"/>
    <cellStyle name="Vírgula 2 6 2 2 2" xfId="1846" xr:uid="{00000000-0005-0000-0000-000035060000}"/>
    <cellStyle name="Vírgula 2 6 2 3" xfId="1427" xr:uid="{00000000-0005-0000-0000-000036060000}"/>
    <cellStyle name="Vírgula 2 6 3" xfId="273" xr:uid="{00000000-0005-0000-0000-000037060000}"/>
    <cellStyle name="Vírgula 2 6 3 2" xfId="692" xr:uid="{00000000-0005-0000-0000-000038060000}"/>
    <cellStyle name="Vírgula 2 6 3 2 2" xfId="1753" xr:uid="{00000000-0005-0000-0000-000039060000}"/>
    <cellStyle name="Vírgula 2 6 3 3" xfId="1334" xr:uid="{00000000-0005-0000-0000-00003A060000}"/>
    <cellStyle name="Vírgula 2 6 4" xfId="516" xr:uid="{00000000-0005-0000-0000-00003B060000}"/>
    <cellStyle name="Vírgula 2 6 4 2" xfId="1577" xr:uid="{00000000-0005-0000-0000-00003C060000}"/>
    <cellStyle name="Vírgula 2 6 5" xfId="1158" xr:uid="{00000000-0005-0000-0000-00003D060000}"/>
    <cellStyle name="Vírgula 2 7" xfId="326" xr:uid="{00000000-0005-0000-0000-00003E060000}"/>
    <cellStyle name="Vírgula 2 7 2" xfId="745" xr:uid="{00000000-0005-0000-0000-00003F060000}"/>
    <cellStyle name="Vírgula 2 7 2 2" xfId="1806" xr:uid="{00000000-0005-0000-0000-000040060000}"/>
    <cellStyle name="Vírgula 2 7 3" xfId="1387" xr:uid="{00000000-0005-0000-0000-000041060000}"/>
    <cellStyle name="Vírgula 2 8" xfId="188" xr:uid="{00000000-0005-0000-0000-000042060000}"/>
    <cellStyle name="Vírgula 2 8 2" xfId="607" xr:uid="{00000000-0005-0000-0000-000043060000}"/>
    <cellStyle name="Vírgula 2 8 2 2" xfId="1668" xr:uid="{00000000-0005-0000-0000-000044060000}"/>
    <cellStyle name="Vírgula 2 8 3" xfId="1249" xr:uid="{00000000-0005-0000-0000-000045060000}"/>
    <cellStyle name="Vírgula 2 9" xfId="470" xr:uid="{00000000-0005-0000-0000-000046060000}"/>
    <cellStyle name="Vírgula 2 9 2" xfId="1531" xr:uid="{00000000-0005-0000-0000-000047060000}"/>
    <cellStyle name="Vírgula 20" xfId="935" xr:uid="{00000000-0005-0000-0000-000048060000}"/>
    <cellStyle name="Vírgula 20 2" xfId="992" xr:uid="{00000000-0005-0000-0000-000049060000}"/>
    <cellStyle name="Vírgula 20 2 2" xfId="1050" xr:uid="{00000000-0005-0000-0000-00004A060000}"/>
    <cellStyle name="Vírgula 20 2 2 2" xfId="2110" xr:uid="{00000000-0005-0000-0000-00004B060000}"/>
    <cellStyle name="Vírgula 20 2 3" xfId="1108" xr:uid="{00000000-0005-0000-0000-00004C060000}"/>
    <cellStyle name="Vírgula 20 2 3 2" xfId="2168" xr:uid="{00000000-0005-0000-0000-00004D060000}"/>
    <cellStyle name="Vírgula 20 2 4" xfId="2052" xr:uid="{00000000-0005-0000-0000-00004E060000}"/>
    <cellStyle name="Vírgula 20 3" xfId="965" xr:uid="{00000000-0005-0000-0000-00004F060000}"/>
    <cellStyle name="Vírgula 20 3 2" xfId="2025" xr:uid="{00000000-0005-0000-0000-000050060000}"/>
    <cellStyle name="Vírgula 20 4" xfId="1023" xr:uid="{00000000-0005-0000-0000-000051060000}"/>
    <cellStyle name="Vírgula 20 4 2" xfId="2083" xr:uid="{00000000-0005-0000-0000-000052060000}"/>
    <cellStyle name="Vírgula 20 5" xfId="1081" xr:uid="{00000000-0005-0000-0000-000053060000}"/>
    <cellStyle name="Vírgula 20 5 2" xfId="2141" xr:uid="{00000000-0005-0000-0000-000054060000}"/>
    <cellStyle name="Vírgula 20 6" xfId="1995" xr:uid="{00000000-0005-0000-0000-000055060000}"/>
    <cellStyle name="Vírgula 21" xfId="937" xr:uid="{00000000-0005-0000-0000-000056060000}"/>
    <cellStyle name="Vírgula 21 2" xfId="993" xr:uid="{00000000-0005-0000-0000-000057060000}"/>
    <cellStyle name="Vírgula 21 2 2" xfId="1051" xr:uid="{00000000-0005-0000-0000-000058060000}"/>
    <cellStyle name="Vírgula 21 2 2 2" xfId="2111" xr:uid="{00000000-0005-0000-0000-000059060000}"/>
    <cellStyle name="Vírgula 21 2 3" xfId="1109" xr:uid="{00000000-0005-0000-0000-00005A060000}"/>
    <cellStyle name="Vírgula 21 2 3 2" xfId="2169" xr:uid="{00000000-0005-0000-0000-00005B060000}"/>
    <cellStyle name="Vírgula 21 2 4" xfId="2053" xr:uid="{00000000-0005-0000-0000-00005C060000}"/>
    <cellStyle name="Vírgula 21 3" xfId="966" xr:uid="{00000000-0005-0000-0000-00005D060000}"/>
    <cellStyle name="Vírgula 21 3 2" xfId="2026" xr:uid="{00000000-0005-0000-0000-00005E060000}"/>
    <cellStyle name="Vírgula 21 4" xfId="1024" xr:uid="{00000000-0005-0000-0000-00005F060000}"/>
    <cellStyle name="Vírgula 21 4 2" xfId="2084" xr:uid="{00000000-0005-0000-0000-000060060000}"/>
    <cellStyle name="Vírgula 21 5" xfId="1082" xr:uid="{00000000-0005-0000-0000-000061060000}"/>
    <cellStyle name="Vírgula 21 5 2" xfId="2142" xr:uid="{00000000-0005-0000-0000-000062060000}"/>
    <cellStyle name="Vírgula 21 6" xfId="1997" xr:uid="{00000000-0005-0000-0000-000063060000}"/>
    <cellStyle name="Vírgula 22" xfId="967" xr:uid="{00000000-0005-0000-0000-000064060000}"/>
    <cellStyle name="Vírgula 22 2" xfId="1025" xr:uid="{00000000-0005-0000-0000-000065060000}"/>
    <cellStyle name="Vírgula 22 2 2" xfId="2085" xr:uid="{00000000-0005-0000-0000-000066060000}"/>
    <cellStyle name="Vírgula 22 3" xfId="1083" xr:uid="{00000000-0005-0000-0000-000067060000}"/>
    <cellStyle name="Vírgula 22 3 2" xfId="2143" xr:uid="{00000000-0005-0000-0000-000068060000}"/>
    <cellStyle name="Vírgula 22 4" xfId="2027" xr:uid="{00000000-0005-0000-0000-000069060000}"/>
    <cellStyle name="Vírgula 23" xfId="994" xr:uid="{00000000-0005-0000-0000-00006A060000}"/>
    <cellStyle name="Vírgula 23 2" xfId="1052" xr:uid="{00000000-0005-0000-0000-00006B060000}"/>
    <cellStyle name="Vírgula 23 2 2" xfId="2112" xr:uid="{00000000-0005-0000-0000-00006C060000}"/>
    <cellStyle name="Vírgula 23 3" xfId="1110" xr:uid="{00000000-0005-0000-0000-00006D060000}"/>
    <cellStyle name="Vírgula 23 3 2" xfId="2170" xr:uid="{00000000-0005-0000-0000-00006E060000}"/>
    <cellStyle name="Vírgula 23 4" xfId="2054" xr:uid="{00000000-0005-0000-0000-00006F060000}"/>
    <cellStyle name="Vírgula 24" xfId="995" xr:uid="{00000000-0005-0000-0000-000070060000}"/>
    <cellStyle name="Vírgula 24 2" xfId="1053" xr:uid="{00000000-0005-0000-0000-000071060000}"/>
    <cellStyle name="Vírgula 24 2 2" xfId="2113" xr:uid="{00000000-0005-0000-0000-000072060000}"/>
    <cellStyle name="Vírgula 24 3" xfId="1111" xr:uid="{00000000-0005-0000-0000-000073060000}"/>
    <cellStyle name="Vírgula 24 3 2" xfId="2171" xr:uid="{00000000-0005-0000-0000-000074060000}"/>
    <cellStyle name="Vírgula 24 4" xfId="2055" xr:uid="{00000000-0005-0000-0000-000075060000}"/>
    <cellStyle name="Vírgula 25" xfId="939" xr:uid="{00000000-0005-0000-0000-000076060000}"/>
    <cellStyle name="Vírgula 25 2" xfId="1999" xr:uid="{00000000-0005-0000-0000-000077060000}"/>
    <cellStyle name="Vírgula 26" xfId="997" xr:uid="{00000000-0005-0000-0000-000078060000}"/>
    <cellStyle name="Vírgula 26 2" xfId="2057" xr:uid="{00000000-0005-0000-0000-000079060000}"/>
    <cellStyle name="Vírgula 27" xfId="1055" xr:uid="{00000000-0005-0000-0000-00007A060000}"/>
    <cellStyle name="Vírgula 27 2" xfId="2115" xr:uid="{00000000-0005-0000-0000-00007B060000}"/>
    <cellStyle name="Vírgula 28" xfId="1150" xr:uid="{00000000-0005-0000-0000-00007C060000}"/>
    <cellStyle name="Vírgula 3" xfId="9" xr:uid="{00000000-0005-0000-0000-00007D060000}"/>
    <cellStyle name="Vírgula 3 10" xfId="902" xr:uid="{00000000-0005-0000-0000-00007E060000}"/>
    <cellStyle name="Vírgula 3 10 2" xfId="1963" xr:uid="{00000000-0005-0000-0000-00007F060000}"/>
    <cellStyle name="Vírgula 3 11" xfId="912" xr:uid="{00000000-0005-0000-0000-000080060000}"/>
    <cellStyle name="Vírgula 3 11 2" xfId="1972" xr:uid="{00000000-0005-0000-0000-000081060000}"/>
    <cellStyle name="Vírgula 3 12" xfId="942" xr:uid="{00000000-0005-0000-0000-000082060000}"/>
    <cellStyle name="Vírgula 3 12 2" xfId="2002" xr:uid="{00000000-0005-0000-0000-000083060000}"/>
    <cellStyle name="Vírgula 3 13" xfId="1000" xr:uid="{00000000-0005-0000-0000-000084060000}"/>
    <cellStyle name="Vírgula 3 13 2" xfId="2060" xr:uid="{00000000-0005-0000-0000-000085060000}"/>
    <cellStyle name="Vírgula 3 14" xfId="1058" xr:uid="{00000000-0005-0000-0000-000086060000}"/>
    <cellStyle name="Vírgula 3 14 2" xfId="2118" xr:uid="{00000000-0005-0000-0000-000087060000}"/>
    <cellStyle name="Vírgula 3 15" xfId="1114" xr:uid="{00000000-0005-0000-0000-000088060000}"/>
    <cellStyle name="Vírgula 3 2" xfId="78" xr:uid="{00000000-0005-0000-0000-000089060000}"/>
    <cellStyle name="Vírgula 3 2 10" xfId="1066" xr:uid="{00000000-0005-0000-0000-00008A060000}"/>
    <cellStyle name="Vírgula 3 2 10 2" xfId="2126" xr:uid="{00000000-0005-0000-0000-00008B060000}"/>
    <cellStyle name="Vírgula 3 2 11" xfId="1143" xr:uid="{00000000-0005-0000-0000-00008C060000}"/>
    <cellStyle name="Vírgula 3 2 2" xfId="173" xr:uid="{00000000-0005-0000-0000-00008D060000}"/>
    <cellStyle name="Vírgula 3 2 2 2" xfId="442" xr:uid="{00000000-0005-0000-0000-00008E060000}"/>
    <cellStyle name="Vírgula 3 2 2 2 2" xfId="861" xr:uid="{00000000-0005-0000-0000-00008F060000}"/>
    <cellStyle name="Vírgula 3 2 2 2 2 2" xfId="1922" xr:uid="{00000000-0005-0000-0000-000090060000}"/>
    <cellStyle name="Vírgula 3 2 2 2 3" xfId="1503" xr:uid="{00000000-0005-0000-0000-000091060000}"/>
    <cellStyle name="Vírgula 3 2 2 3" xfId="258" xr:uid="{00000000-0005-0000-0000-000092060000}"/>
    <cellStyle name="Vírgula 3 2 2 3 2" xfId="677" xr:uid="{00000000-0005-0000-0000-000093060000}"/>
    <cellStyle name="Vírgula 3 2 2 3 2 2" xfId="1738" xr:uid="{00000000-0005-0000-0000-000094060000}"/>
    <cellStyle name="Vírgula 3 2 2 3 3" xfId="1319" xr:uid="{00000000-0005-0000-0000-000095060000}"/>
    <cellStyle name="Vírgula 3 2 2 4" xfId="592" xr:uid="{00000000-0005-0000-0000-000096060000}"/>
    <cellStyle name="Vírgula 3 2 2 4 2" xfId="1653" xr:uid="{00000000-0005-0000-0000-000097060000}"/>
    <cellStyle name="Vírgula 3 2 2 5" xfId="977" xr:uid="{00000000-0005-0000-0000-000098060000}"/>
    <cellStyle name="Vírgula 3 2 2 5 2" xfId="2037" xr:uid="{00000000-0005-0000-0000-000099060000}"/>
    <cellStyle name="Vírgula 3 2 2 6" xfId="1035" xr:uid="{00000000-0005-0000-0000-00009A060000}"/>
    <cellStyle name="Vírgula 3 2 2 6 2" xfId="2095" xr:uid="{00000000-0005-0000-0000-00009B060000}"/>
    <cellStyle name="Vírgula 3 2 2 7" xfId="1093" xr:uid="{00000000-0005-0000-0000-00009C060000}"/>
    <cellStyle name="Vírgula 3 2 2 7 2" xfId="2153" xr:uid="{00000000-0005-0000-0000-00009D060000}"/>
    <cellStyle name="Vírgula 3 2 2 8" xfId="1234" xr:uid="{00000000-0005-0000-0000-00009E060000}"/>
    <cellStyle name="Vírgula 3 2 3" xfId="128" xr:uid="{00000000-0005-0000-0000-00009F060000}"/>
    <cellStyle name="Vírgula 3 2 3 2" xfId="397" xr:uid="{00000000-0005-0000-0000-0000A0060000}"/>
    <cellStyle name="Vírgula 3 2 3 2 2" xfId="816" xr:uid="{00000000-0005-0000-0000-0000A1060000}"/>
    <cellStyle name="Vírgula 3 2 3 2 2 2" xfId="1877" xr:uid="{00000000-0005-0000-0000-0000A2060000}"/>
    <cellStyle name="Vírgula 3 2 3 2 3" xfId="1458" xr:uid="{00000000-0005-0000-0000-0000A3060000}"/>
    <cellStyle name="Vírgula 3 2 3 3" xfId="304" xr:uid="{00000000-0005-0000-0000-0000A4060000}"/>
    <cellStyle name="Vírgula 3 2 3 3 2" xfId="723" xr:uid="{00000000-0005-0000-0000-0000A5060000}"/>
    <cellStyle name="Vírgula 3 2 3 3 2 2" xfId="1784" xr:uid="{00000000-0005-0000-0000-0000A6060000}"/>
    <cellStyle name="Vírgula 3 2 3 3 3" xfId="1365" xr:uid="{00000000-0005-0000-0000-0000A7060000}"/>
    <cellStyle name="Vírgula 3 2 3 4" xfId="547" xr:uid="{00000000-0005-0000-0000-0000A8060000}"/>
    <cellStyle name="Vírgula 3 2 3 4 2" xfId="1608" xr:uid="{00000000-0005-0000-0000-0000A9060000}"/>
    <cellStyle name="Vírgula 3 2 3 5" xfId="1189" xr:uid="{00000000-0005-0000-0000-0000AA060000}"/>
    <cellStyle name="Vírgula 3 2 4" xfId="355" xr:uid="{00000000-0005-0000-0000-0000AB060000}"/>
    <cellStyle name="Vírgula 3 2 4 2" xfId="774" xr:uid="{00000000-0005-0000-0000-0000AC060000}"/>
    <cellStyle name="Vírgula 3 2 4 2 2" xfId="1835" xr:uid="{00000000-0005-0000-0000-0000AD060000}"/>
    <cellStyle name="Vírgula 3 2 4 3" xfId="1416" xr:uid="{00000000-0005-0000-0000-0000AE060000}"/>
    <cellStyle name="Vírgula 3 2 5" xfId="217" xr:uid="{00000000-0005-0000-0000-0000AF060000}"/>
    <cellStyle name="Vírgula 3 2 5 2" xfId="636" xr:uid="{00000000-0005-0000-0000-0000B0060000}"/>
    <cellStyle name="Vírgula 3 2 5 2 2" xfId="1697" xr:uid="{00000000-0005-0000-0000-0000B1060000}"/>
    <cellStyle name="Vírgula 3 2 5 3" xfId="1278" xr:uid="{00000000-0005-0000-0000-0000B2060000}"/>
    <cellStyle name="Vírgula 3 2 6" xfId="501" xr:uid="{00000000-0005-0000-0000-0000B3060000}"/>
    <cellStyle name="Vírgula 3 2 6 2" xfId="1562" xr:uid="{00000000-0005-0000-0000-0000B4060000}"/>
    <cellStyle name="Vírgula 3 2 7" xfId="920" xr:uid="{00000000-0005-0000-0000-0000B5060000}"/>
    <cellStyle name="Vírgula 3 2 7 2" xfId="1980" xr:uid="{00000000-0005-0000-0000-0000B6060000}"/>
    <cellStyle name="Vírgula 3 2 8" xfId="950" xr:uid="{00000000-0005-0000-0000-0000B7060000}"/>
    <cellStyle name="Vírgula 3 2 8 2" xfId="2010" xr:uid="{00000000-0005-0000-0000-0000B8060000}"/>
    <cellStyle name="Vírgula 3 2 9" xfId="1008" xr:uid="{00000000-0005-0000-0000-0000B9060000}"/>
    <cellStyle name="Vírgula 3 2 9 2" xfId="2068" xr:uid="{00000000-0005-0000-0000-0000BA060000}"/>
    <cellStyle name="Vírgula 3 3" xfId="95" xr:uid="{00000000-0005-0000-0000-0000BB060000}"/>
    <cellStyle name="Vírgula 3 3 10" xfId="1156" xr:uid="{00000000-0005-0000-0000-0000BC060000}"/>
    <cellStyle name="Vírgula 3 3 2" xfId="186" xr:uid="{00000000-0005-0000-0000-0000BD060000}"/>
    <cellStyle name="Vírgula 3 3 2 2" xfId="324" xr:uid="{00000000-0005-0000-0000-0000BE060000}"/>
    <cellStyle name="Vírgula 3 3 2 2 2" xfId="464" xr:uid="{00000000-0005-0000-0000-0000BF060000}"/>
    <cellStyle name="Vírgula 3 3 2 2 2 2" xfId="883" xr:uid="{00000000-0005-0000-0000-0000C0060000}"/>
    <cellStyle name="Vírgula 3 3 2 2 2 2 2" xfId="1944" xr:uid="{00000000-0005-0000-0000-0000C1060000}"/>
    <cellStyle name="Vírgula 3 3 2 2 2 3" xfId="1525" xr:uid="{00000000-0005-0000-0000-0000C2060000}"/>
    <cellStyle name="Vírgula 3 3 2 2 3" xfId="743" xr:uid="{00000000-0005-0000-0000-0000C3060000}"/>
    <cellStyle name="Vírgula 3 3 2 2 3 2" xfId="1804" xr:uid="{00000000-0005-0000-0000-0000C4060000}"/>
    <cellStyle name="Vírgula 3 3 2 2 4" xfId="1385" xr:uid="{00000000-0005-0000-0000-0000C5060000}"/>
    <cellStyle name="Vírgula 3 3 2 3" xfId="455" xr:uid="{00000000-0005-0000-0000-0000C6060000}"/>
    <cellStyle name="Vírgula 3 3 2 3 2" xfId="874" xr:uid="{00000000-0005-0000-0000-0000C7060000}"/>
    <cellStyle name="Vírgula 3 3 2 3 2 2" xfId="1935" xr:uid="{00000000-0005-0000-0000-0000C8060000}"/>
    <cellStyle name="Vírgula 3 3 2 3 3" xfId="1516" xr:uid="{00000000-0005-0000-0000-0000C9060000}"/>
    <cellStyle name="Vírgula 3 3 2 4" xfId="271" xr:uid="{00000000-0005-0000-0000-0000CA060000}"/>
    <cellStyle name="Vírgula 3 3 2 4 2" xfId="690" xr:uid="{00000000-0005-0000-0000-0000CB060000}"/>
    <cellStyle name="Vírgula 3 3 2 4 2 2" xfId="1751" xr:uid="{00000000-0005-0000-0000-0000CC060000}"/>
    <cellStyle name="Vírgula 3 3 2 4 3" xfId="1332" xr:uid="{00000000-0005-0000-0000-0000CD060000}"/>
    <cellStyle name="Vírgula 3 3 2 5" xfId="605" xr:uid="{00000000-0005-0000-0000-0000CE060000}"/>
    <cellStyle name="Vírgula 3 3 2 5 2" xfId="1666" xr:uid="{00000000-0005-0000-0000-0000CF060000}"/>
    <cellStyle name="Vírgula 3 3 2 6" xfId="1247" xr:uid="{00000000-0005-0000-0000-0000D0060000}"/>
    <cellStyle name="Vírgula 3 3 3" xfId="141" xr:uid="{00000000-0005-0000-0000-0000D1060000}"/>
    <cellStyle name="Vírgula 3 3 3 2" xfId="410" xr:uid="{00000000-0005-0000-0000-0000D2060000}"/>
    <cellStyle name="Vírgula 3 3 3 2 2" xfId="829" xr:uid="{00000000-0005-0000-0000-0000D3060000}"/>
    <cellStyle name="Vírgula 3 3 3 2 2 2" xfId="1890" xr:uid="{00000000-0005-0000-0000-0000D4060000}"/>
    <cellStyle name="Vírgula 3 3 3 2 3" xfId="1471" xr:uid="{00000000-0005-0000-0000-0000D5060000}"/>
    <cellStyle name="Vírgula 3 3 3 3" xfId="317" xr:uid="{00000000-0005-0000-0000-0000D6060000}"/>
    <cellStyle name="Vírgula 3 3 3 3 2" xfId="736" xr:uid="{00000000-0005-0000-0000-0000D7060000}"/>
    <cellStyle name="Vírgula 3 3 3 3 2 2" xfId="1797" xr:uid="{00000000-0005-0000-0000-0000D8060000}"/>
    <cellStyle name="Vírgula 3 3 3 3 3" xfId="1378" xr:uid="{00000000-0005-0000-0000-0000D9060000}"/>
    <cellStyle name="Vírgula 3 3 3 4" xfId="560" xr:uid="{00000000-0005-0000-0000-0000DA060000}"/>
    <cellStyle name="Vírgula 3 3 3 4 2" xfId="1621" xr:uid="{00000000-0005-0000-0000-0000DB060000}"/>
    <cellStyle name="Vírgula 3 3 3 5" xfId="1202" xr:uid="{00000000-0005-0000-0000-0000DC060000}"/>
    <cellStyle name="Vírgula 3 3 4" xfId="364" xr:uid="{00000000-0005-0000-0000-0000DD060000}"/>
    <cellStyle name="Vírgula 3 3 4 2" xfId="465" xr:uid="{00000000-0005-0000-0000-0000DE060000}"/>
    <cellStyle name="Vírgula 3 3 4 2 2" xfId="884" xr:uid="{00000000-0005-0000-0000-0000DF060000}"/>
    <cellStyle name="Vírgula 3 3 4 2 2 2" xfId="1945" xr:uid="{00000000-0005-0000-0000-0000E0060000}"/>
    <cellStyle name="Vírgula 3 3 4 2 3" xfId="1526" xr:uid="{00000000-0005-0000-0000-0000E1060000}"/>
    <cellStyle name="Vírgula 3 3 4 3" xfId="783" xr:uid="{00000000-0005-0000-0000-0000E2060000}"/>
    <cellStyle name="Vírgula 3 3 4 3 2" xfId="1844" xr:uid="{00000000-0005-0000-0000-0000E3060000}"/>
    <cellStyle name="Vírgula 3 3 4 4" xfId="1425" xr:uid="{00000000-0005-0000-0000-0000E4060000}"/>
    <cellStyle name="Vírgula 3 3 5" xfId="226" xr:uid="{00000000-0005-0000-0000-0000E5060000}"/>
    <cellStyle name="Vírgula 3 3 5 2" xfId="457" xr:uid="{00000000-0005-0000-0000-0000E6060000}"/>
    <cellStyle name="Vírgula 3 3 5 2 2" xfId="876" xr:uid="{00000000-0005-0000-0000-0000E7060000}"/>
    <cellStyle name="Vírgula 3 3 5 2 2 2" xfId="1937" xr:uid="{00000000-0005-0000-0000-0000E8060000}"/>
    <cellStyle name="Vírgula 3 3 5 2 3" xfId="1518" xr:uid="{00000000-0005-0000-0000-0000E9060000}"/>
    <cellStyle name="Vírgula 3 3 5 3" xfId="645" xr:uid="{00000000-0005-0000-0000-0000EA060000}"/>
    <cellStyle name="Vírgula 3 3 5 3 2" xfId="1706" xr:uid="{00000000-0005-0000-0000-0000EB060000}"/>
    <cellStyle name="Vírgula 3 3 5 4" xfId="1287" xr:uid="{00000000-0005-0000-0000-0000EC060000}"/>
    <cellStyle name="Vírgula 3 3 6" xfId="514" xr:uid="{00000000-0005-0000-0000-0000ED060000}"/>
    <cellStyle name="Vírgula 3 3 6 2" xfId="1575" xr:uid="{00000000-0005-0000-0000-0000EE060000}"/>
    <cellStyle name="Vírgula 3 3 7" xfId="970" xr:uid="{00000000-0005-0000-0000-0000EF060000}"/>
    <cellStyle name="Vírgula 3 3 7 2" xfId="2030" xr:uid="{00000000-0005-0000-0000-0000F0060000}"/>
    <cellStyle name="Vírgula 3 3 8" xfId="1028" xr:uid="{00000000-0005-0000-0000-0000F1060000}"/>
    <cellStyle name="Vírgula 3 3 8 2" xfId="2088" xr:uid="{00000000-0005-0000-0000-0000F2060000}"/>
    <cellStyle name="Vírgula 3 3 9" xfId="1086" xr:uid="{00000000-0005-0000-0000-0000F3060000}"/>
    <cellStyle name="Vírgula 3 3 9 2" xfId="2146" xr:uid="{00000000-0005-0000-0000-0000F4060000}"/>
    <cellStyle name="Vírgula 3 4" xfId="144" xr:uid="{00000000-0005-0000-0000-0000F5060000}"/>
    <cellStyle name="Vírgula 3 4 2" xfId="413" xr:uid="{00000000-0005-0000-0000-0000F6060000}"/>
    <cellStyle name="Vírgula 3 4 2 2" xfId="832" xr:uid="{00000000-0005-0000-0000-0000F7060000}"/>
    <cellStyle name="Vírgula 3 4 2 2 2" xfId="1893" xr:uid="{00000000-0005-0000-0000-0000F8060000}"/>
    <cellStyle name="Vírgula 3 4 2 3" xfId="1474" xr:uid="{00000000-0005-0000-0000-0000F9060000}"/>
    <cellStyle name="Vírgula 3 4 3" xfId="229" xr:uid="{00000000-0005-0000-0000-0000FA060000}"/>
    <cellStyle name="Vírgula 3 4 3 2" xfId="648" xr:uid="{00000000-0005-0000-0000-0000FB060000}"/>
    <cellStyle name="Vírgula 3 4 3 2 2" xfId="1709" xr:uid="{00000000-0005-0000-0000-0000FC060000}"/>
    <cellStyle name="Vírgula 3 4 3 3" xfId="1290" xr:uid="{00000000-0005-0000-0000-0000FD060000}"/>
    <cellStyle name="Vírgula 3 4 4" xfId="563" xr:uid="{00000000-0005-0000-0000-0000FE060000}"/>
    <cellStyle name="Vírgula 3 4 4 2" xfId="1624" xr:uid="{00000000-0005-0000-0000-0000FF060000}"/>
    <cellStyle name="Vírgula 3 4 5" xfId="1205" xr:uid="{00000000-0005-0000-0000-000000070000}"/>
    <cellStyle name="Vírgula 3 5" xfId="99" xr:uid="{00000000-0005-0000-0000-000001070000}"/>
    <cellStyle name="Vírgula 3 5 2" xfId="368" xr:uid="{00000000-0005-0000-0000-000002070000}"/>
    <cellStyle name="Vírgula 3 5 2 2" xfId="787" xr:uid="{00000000-0005-0000-0000-000003070000}"/>
    <cellStyle name="Vírgula 3 5 2 2 2" xfId="1848" xr:uid="{00000000-0005-0000-0000-000004070000}"/>
    <cellStyle name="Vírgula 3 5 2 3" xfId="1429" xr:uid="{00000000-0005-0000-0000-000005070000}"/>
    <cellStyle name="Vírgula 3 5 3" xfId="275" xr:uid="{00000000-0005-0000-0000-000006070000}"/>
    <cellStyle name="Vírgula 3 5 3 2" xfId="694" xr:uid="{00000000-0005-0000-0000-000007070000}"/>
    <cellStyle name="Vírgula 3 5 3 2 2" xfId="1755" xr:uid="{00000000-0005-0000-0000-000008070000}"/>
    <cellStyle name="Vírgula 3 5 3 3" xfId="1336" xr:uid="{00000000-0005-0000-0000-000009070000}"/>
    <cellStyle name="Vírgula 3 5 4" xfId="518" xr:uid="{00000000-0005-0000-0000-00000A070000}"/>
    <cellStyle name="Vírgula 3 5 4 2" xfId="1579" xr:uid="{00000000-0005-0000-0000-00000B070000}"/>
    <cellStyle name="Vírgula 3 5 5" xfId="1160" xr:uid="{00000000-0005-0000-0000-00000C070000}"/>
    <cellStyle name="Vírgula 3 6" xfId="327" xr:uid="{00000000-0005-0000-0000-00000D070000}"/>
    <cellStyle name="Vírgula 3 6 2" xfId="746" xr:uid="{00000000-0005-0000-0000-00000E070000}"/>
    <cellStyle name="Vírgula 3 6 2 2" xfId="1807" xr:uid="{00000000-0005-0000-0000-00000F070000}"/>
    <cellStyle name="Vírgula 3 6 3" xfId="1388" xr:uid="{00000000-0005-0000-0000-000010070000}"/>
    <cellStyle name="Vírgula 3 7" xfId="189" xr:uid="{00000000-0005-0000-0000-000011070000}"/>
    <cellStyle name="Vírgula 3 7 2" xfId="608" xr:uid="{00000000-0005-0000-0000-000012070000}"/>
    <cellStyle name="Vírgula 3 7 2 2" xfId="1669" xr:uid="{00000000-0005-0000-0000-000013070000}"/>
    <cellStyle name="Vírgula 3 7 3" xfId="1250" xr:uid="{00000000-0005-0000-0000-000014070000}"/>
    <cellStyle name="Vírgula 3 8" xfId="472" xr:uid="{00000000-0005-0000-0000-000015070000}"/>
    <cellStyle name="Vírgula 3 8 2" xfId="1533" xr:uid="{00000000-0005-0000-0000-000016070000}"/>
    <cellStyle name="Vírgula 3 9" xfId="895" xr:uid="{00000000-0005-0000-0000-000017070000}"/>
    <cellStyle name="Vírgula 3 9 2" xfId="1956" xr:uid="{00000000-0005-0000-0000-000018070000}"/>
    <cellStyle name="Vírgula 4" xfId="13" xr:uid="{00000000-0005-0000-0000-000019070000}"/>
    <cellStyle name="Vírgula 4 10" xfId="913" xr:uid="{00000000-0005-0000-0000-00001A070000}"/>
    <cellStyle name="Vírgula 4 10 2" xfId="1973" xr:uid="{00000000-0005-0000-0000-00001B070000}"/>
    <cellStyle name="Vírgula 4 11" xfId="943" xr:uid="{00000000-0005-0000-0000-00001C070000}"/>
    <cellStyle name="Vírgula 4 11 2" xfId="2003" xr:uid="{00000000-0005-0000-0000-00001D070000}"/>
    <cellStyle name="Vírgula 4 12" xfId="1001" xr:uid="{00000000-0005-0000-0000-00001E070000}"/>
    <cellStyle name="Vírgula 4 12 2" xfId="2061" xr:uid="{00000000-0005-0000-0000-00001F070000}"/>
    <cellStyle name="Vírgula 4 13" xfId="1059" xr:uid="{00000000-0005-0000-0000-000020070000}"/>
    <cellStyle name="Vírgula 4 13 2" xfId="2119" xr:uid="{00000000-0005-0000-0000-000021070000}"/>
    <cellStyle name="Vírgula 4 14" xfId="1117" xr:uid="{00000000-0005-0000-0000-000022070000}"/>
    <cellStyle name="Vírgula 4 2" xfId="81" xr:uid="{00000000-0005-0000-0000-000023070000}"/>
    <cellStyle name="Vírgula 4 2 10" xfId="1067" xr:uid="{00000000-0005-0000-0000-000024070000}"/>
    <cellStyle name="Vírgula 4 2 10 2" xfId="2127" xr:uid="{00000000-0005-0000-0000-000025070000}"/>
    <cellStyle name="Vírgula 4 2 11" xfId="1145" xr:uid="{00000000-0005-0000-0000-000026070000}"/>
    <cellStyle name="Vírgula 4 2 2" xfId="175" xr:uid="{00000000-0005-0000-0000-000027070000}"/>
    <cellStyle name="Vírgula 4 2 2 2" xfId="444" xr:uid="{00000000-0005-0000-0000-000028070000}"/>
    <cellStyle name="Vírgula 4 2 2 2 2" xfId="863" xr:uid="{00000000-0005-0000-0000-000029070000}"/>
    <cellStyle name="Vírgula 4 2 2 2 2 2" xfId="1924" xr:uid="{00000000-0005-0000-0000-00002A070000}"/>
    <cellStyle name="Vírgula 4 2 2 2 3" xfId="1505" xr:uid="{00000000-0005-0000-0000-00002B070000}"/>
    <cellStyle name="Vírgula 4 2 2 3" xfId="260" xr:uid="{00000000-0005-0000-0000-00002C070000}"/>
    <cellStyle name="Vírgula 4 2 2 3 2" xfId="679" xr:uid="{00000000-0005-0000-0000-00002D070000}"/>
    <cellStyle name="Vírgula 4 2 2 3 2 2" xfId="1740" xr:uid="{00000000-0005-0000-0000-00002E070000}"/>
    <cellStyle name="Vírgula 4 2 2 3 3" xfId="1321" xr:uid="{00000000-0005-0000-0000-00002F070000}"/>
    <cellStyle name="Vírgula 4 2 2 4" xfId="594" xr:uid="{00000000-0005-0000-0000-000030070000}"/>
    <cellStyle name="Vírgula 4 2 2 4 2" xfId="1655" xr:uid="{00000000-0005-0000-0000-000031070000}"/>
    <cellStyle name="Vírgula 4 2 2 5" xfId="978" xr:uid="{00000000-0005-0000-0000-000032070000}"/>
    <cellStyle name="Vírgula 4 2 2 5 2" xfId="2038" xr:uid="{00000000-0005-0000-0000-000033070000}"/>
    <cellStyle name="Vírgula 4 2 2 6" xfId="1036" xr:uid="{00000000-0005-0000-0000-000034070000}"/>
    <cellStyle name="Vírgula 4 2 2 6 2" xfId="2096" xr:uid="{00000000-0005-0000-0000-000035070000}"/>
    <cellStyle name="Vírgula 4 2 2 7" xfId="1094" xr:uid="{00000000-0005-0000-0000-000036070000}"/>
    <cellStyle name="Vírgula 4 2 2 7 2" xfId="2154" xr:uid="{00000000-0005-0000-0000-000037070000}"/>
    <cellStyle name="Vírgula 4 2 2 8" xfId="1236" xr:uid="{00000000-0005-0000-0000-000038070000}"/>
    <cellStyle name="Vírgula 4 2 3" xfId="130" xr:uid="{00000000-0005-0000-0000-000039070000}"/>
    <cellStyle name="Vírgula 4 2 3 2" xfId="399" xr:uid="{00000000-0005-0000-0000-00003A070000}"/>
    <cellStyle name="Vírgula 4 2 3 2 2" xfId="818" xr:uid="{00000000-0005-0000-0000-00003B070000}"/>
    <cellStyle name="Vírgula 4 2 3 2 2 2" xfId="1879" xr:uid="{00000000-0005-0000-0000-00003C070000}"/>
    <cellStyle name="Vírgula 4 2 3 2 3" xfId="1460" xr:uid="{00000000-0005-0000-0000-00003D070000}"/>
    <cellStyle name="Vírgula 4 2 3 3" xfId="306" xr:uid="{00000000-0005-0000-0000-00003E070000}"/>
    <cellStyle name="Vírgula 4 2 3 3 2" xfId="725" xr:uid="{00000000-0005-0000-0000-00003F070000}"/>
    <cellStyle name="Vírgula 4 2 3 3 2 2" xfId="1786" xr:uid="{00000000-0005-0000-0000-000040070000}"/>
    <cellStyle name="Vírgula 4 2 3 3 3" xfId="1367" xr:uid="{00000000-0005-0000-0000-000041070000}"/>
    <cellStyle name="Vírgula 4 2 3 4" xfId="549" xr:uid="{00000000-0005-0000-0000-000042070000}"/>
    <cellStyle name="Vírgula 4 2 3 4 2" xfId="1610" xr:uid="{00000000-0005-0000-0000-000043070000}"/>
    <cellStyle name="Vírgula 4 2 3 5" xfId="1191" xr:uid="{00000000-0005-0000-0000-000044070000}"/>
    <cellStyle name="Vírgula 4 2 4" xfId="357" xr:uid="{00000000-0005-0000-0000-000045070000}"/>
    <cellStyle name="Vírgula 4 2 4 2" xfId="776" xr:uid="{00000000-0005-0000-0000-000046070000}"/>
    <cellStyle name="Vírgula 4 2 4 2 2" xfId="1837" xr:uid="{00000000-0005-0000-0000-000047070000}"/>
    <cellStyle name="Vírgula 4 2 4 3" xfId="1418" xr:uid="{00000000-0005-0000-0000-000048070000}"/>
    <cellStyle name="Vírgula 4 2 5" xfId="219" xr:uid="{00000000-0005-0000-0000-000049070000}"/>
    <cellStyle name="Vírgula 4 2 5 2" xfId="638" xr:uid="{00000000-0005-0000-0000-00004A070000}"/>
    <cellStyle name="Vírgula 4 2 5 2 2" xfId="1699" xr:uid="{00000000-0005-0000-0000-00004B070000}"/>
    <cellStyle name="Vírgula 4 2 5 3" xfId="1280" xr:uid="{00000000-0005-0000-0000-00004C070000}"/>
    <cellStyle name="Vírgula 4 2 6" xfId="503" xr:uid="{00000000-0005-0000-0000-00004D070000}"/>
    <cellStyle name="Vírgula 4 2 6 2" xfId="1564" xr:uid="{00000000-0005-0000-0000-00004E070000}"/>
    <cellStyle name="Vírgula 4 2 7" xfId="921" xr:uid="{00000000-0005-0000-0000-00004F070000}"/>
    <cellStyle name="Vírgula 4 2 7 2" xfId="1981" xr:uid="{00000000-0005-0000-0000-000050070000}"/>
    <cellStyle name="Vírgula 4 2 8" xfId="951" xr:uid="{00000000-0005-0000-0000-000051070000}"/>
    <cellStyle name="Vírgula 4 2 8 2" xfId="2011" xr:uid="{00000000-0005-0000-0000-000052070000}"/>
    <cellStyle name="Vírgula 4 2 9" xfId="1009" xr:uid="{00000000-0005-0000-0000-000053070000}"/>
    <cellStyle name="Vírgula 4 2 9 2" xfId="2069" xr:uid="{00000000-0005-0000-0000-000054070000}"/>
    <cellStyle name="Vírgula 4 3" xfId="147" xr:uid="{00000000-0005-0000-0000-000055070000}"/>
    <cellStyle name="Vírgula 4 3 2" xfId="416" xr:uid="{00000000-0005-0000-0000-000056070000}"/>
    <cellStyle name="Vírgula 4 3 2 2" xfId="835" xr:uid="{00000000-0005-0000-0000-000057070000}"/>
    <cellStyle name="Vírgula 4 3 2 2 2" xfId="1896" xr:uid="{00000000-0005-0000-0000-000058070000}"/>
    <cellStyle name="Vírgula 4 3 2 3" xfId="1477" xr:uid="{00000000-0005-0000-0000-000059070000}"/>
    <cellStyle name="Vírgula 4 3 3" xfId="232" xr:uid="{00000000-0005-0000-0000-00005A070000}"/>
    <cellStyle name="Vírgula 4 3 3 2" xfId="651" xr:uid="{00000000-0005-0000-0000-00005B070000}"/>
    <cellStyle name="Vírgula 4 3 3 2 2" xfId="1712" xr:uid="{00000000-0005-0000-0000-00005C070000}"/>
    <cellStyle name="Vírgula 4 3 3 3" xfId="1293" xr:uid="{00000000-0005-0000-0000-00005D070000}"/>
    <cellStyle name="Vírgula 4 3 4" xfId="566" xr:uid="{00000000-0005-0000-0000-00005E070000}"/>
    <cellStyle name="Vírgula 4 3 4 2" xfId="1627" xr:uid="{00000000-0005-0000-0000-00005F070000}"/>
    <cellStyle name="Vírgula 4 3 5" xfId="971" xr:uid="{00000000-0005-0000-0000-000060070000}"/>
    <cellStyle name="Vírgula 4 3 5 2" xfId="2031" xr:uid="{00000000-0005-0000-0000-000061070000}"/>
    <cellStyle name="Vírgula 4 3 6" xfId="1029" xr:uid="{00000000-0005-0000-0000-000062070000}"/>
    <cellStyle name="Vírgula 4 3 6 2" xfId="2089" xr:uid="{00000000-0005-0000-0000-000063070000}"/>
    <cellStyle name="Vírgula 4 3 7" xfId="1087" xr:uid="{00000000-0005-0000-0000-000064070000}"/>
    <cellStyle name="Vírgula 4 3 7 2" xfId="2147" xr:uid="{00000000-0005-0000-0000-000065070000}"/>
    <cellStyle name="Vírgula 4 3 8" xfId="1208" xr:uid="{00000000-0005-0000-0000-000066070000}"/>
    <cellStyle name="Vírgula 4 4" xfId="102" xr:uid="{00000000-0005-0000-0000-000067070000}"/>
    <cellStyle name="Vírgula 4 4 2" xfId="371" xr:uid="{00000000-0005-0000-0000-000068070000}"/>
    <cellStyle name="Vírgula 4 4 2 2" xfId="790" xr:uid="{00000000-0005-0000-0000-000069070000}"/>
    <cellStyle name="Vírgula 4 4 2 2 2" xfId="1851" xr:uid="{00000000-0005-0000-0000-00006A070000}"/>
    <cellStyle name="Vírgula 4 4 2 3" xfId="1432" xr:uid="{00000000-0005-0000-0000-00006B070000}"/>
    <cellStyle name="Vírgula 4 4 3" xfId="278" xr:uid="{00000000-0005-0000-0000-00006C070000}"/>
    <cellStyle name="Vírgula 4 4 3 2" xfId="697" xr:uid="{00000000-0005-0000-0000-00006D070000}"/>
    <cellStyle name="Vírgula 4 4 3 2 2" xfId="1758" xr:uid="{00000000-0005-0000-0000-00006E070000}"/>
    <cellStyle name="Vírgula 4 4 3 3" xfId="1339" xr:uid="{00000000-0005-0000-0000-00006F070000}"/>
    <cellStyle name="Vírgula 4 4 4" xfId="521" xr:uid="{00000000-0005-0000-0000-000070070000}"/>
    <cellStyle name="Vírgula 4 4 4 2" xfId="1582" xr:uid="{00000000-0005-0000-0000-000071070000}"/>
    <cellStyle name="Vírgula 4 4 5" xfId="1163" xr:uid="{00000000-0005-0000-0000-000072070000}"/>
    <cellStyle name="Vírgula 4 5" xfId="330" xr:uid="{00000000-0005-0000-0000-000073070000}"/>
    <cellStyle name="Vírgula 4 5 2" xfId="749" xr:uid="{00000000-0005-0000-0000-000074070000}"/>
    <cellStyle name="Vírgula 4 5 2 2" xfId="1810" xr:uid="{00000000-0005-0000-0000-000075070000}"/>
    <cellStyle name="Vírgula 4 5 3" xfId="1391" xr:uid="{00000000-0005-0000-0000-000076070000}"/>
    <cellStyle name="Vírgula 4 6" xfId="192" xr:uid="{00000000-0005-0000-0000-000077070000}"/>
    <cellStyle name="Vírgula 4 6 2" xfId="611" xr:uid="{00000000-0005-0000-0000-000078070000}"/>
    <cellStyle name="Vírgula 4 6 2 2" xfId="1672" xr:uid="{00000000-0005-0000-0000-000079070000}"/>
    <cellStyle name="Vírgula 4 6 3" xfId="1253" xr:uid="{00000000-0005-0000-0000-00007A070000}"/>
    <cellStyle name="Vírgula 4 7" xfId="475" xr:uid="{00000000-0005-0000-0000-00007B070000}"/>
    <cellStyle name="Vírgula 4 7 2" xfId="1536" xr:uid="{00000000-0005-0000-0000-00007C070000}"/>
    <cellStyle name="Vírgula 4 8" xfId="896" xr:uid="{00000000-0005-0000-0000-00007D070000}"/>
    <cellStyle name="Vírgula 4 8 2" xfId="1957" xr:uid="{00000000-0005-0000-0000-00007E070000}"/>
    <cellStyle name="Vírgula 4 9" xfId="903" xr:uid="{00000000-0005-0000-0000-00007F070000}"/>
    <cellStyle name="Vírgula 4 9 2" xfId="1964" xr:uid="{00000000-0005-0000-0000-000080070000}"/>
    <cellStyle name="Vírgula 5" xfId="19" xr:uid="{00000000-0005-0000-0000-000081070000}"/>
    <cellStyle name="Vírgula 5 10" xfId="944" xr:uid="{00000000-0005-0000-0000-000082070000}"/>
    <cellStyle name="Vírgula 5 10 2" xfId="2004" xr:uid="{00000000-0005-0000-0000-000083070000}"/>
    <cellStyle name="Vírgula 5 11" xfId="1002" xr:uid="{00000000-0005-0000-0000-000084070000}"/>
    <cellStyle name="Vírgula 5 11 2" xfId="2062" xr:uid="{00000000-0005-0000-0000-000085070000}"/>
    <cellStyle name="Vírgula 5 12" xfId="1060" xr:uid="{00000000-0005-0000-0000-000086070000}"/>
    <cellStyle name="Vírgula 5 12 2" xfId="2120" xr:uid="{00000000-0005-0000-0000-000087070000}"/>
    <cellStyle name="Vírgula 5 13" xfId="1123" xr:uid="{00000000-0005-0000-0000-000088070000}"/>
    <cellStyle name="Vírgula 5 2" xfId="153" xr:uid="{00000000-0005-0000-0000-000089070000}"/>
    <cellStyle name="Vírgula 5 2 2" xfId="422" xr:uid="{00000000-0005-0000-0000-00008A070000}"/>
    <cellStyle name="Vírgula 5 2 2 2" xfId="841" xr:uid="{00000000-0005-0000-0000-00008B070000}"/>
    <cellStyle name="Vírgula 5 2 2 2 2" xfId="1902" xr:uid="{00000000-0005-0000-0000-00008C070000}"/>
    <cellStyle name="Vírgula 5 2 2 3" xfId="979" xr:uid="{00000000-0005-0000-0000-00008D070000}"/>
    <cellStyle name="Vírgula 5 2 2 3 2" xfId="2039" xr:uid="{00000000-0005-0000-0000-00008E070000}"/>
    <cellStyle name="Vírgula 5 2 2 4" xfId="1037" xr:uid="{00000000-0005-0000-0000-00008F070000}"/>
    <cellStyle name="Vírgula 5 2 2 4 2" xfId="2097" xr:uid="{00000000-0005-0000-0000-000090070000}"/>
    <cellStyle name="Vírgula 5 2 2 5" xfId="1095" xr:uid="{00000000-0005-0000-0000-000091070000}"/>
    <cellStyle name="Vírgula 5 2 2 5 2" xfId="2155" xr:uid="{00000000-0005-0000-0000-000092070000}"/>
    <cellStyle name="Vírgula 5 2 2 6" xfId="1483" xr:uid="{00000000-0005-0000-0000-000093070000}"/>
    <cellStyle name="Vírgula 5 2 3" xfId="238" xr:uid="{00000000-0005-0000-0000-000094070000}"/>
    <cellStyle name="Vírgula 5 2 3 2" xfId="657" xr:uid="{00000000-0005-0000-0000-000095070000}"/>
    <cellStyle name="Vírgula 5 2 3 2 2" xfId="1718" xr:uid="{00000000-0005-0000-0000-000096070000}"/>
    <cellStyle name="Vírgula 5 2 3 3" xfId="1299" xr:uid="{00000000-0005-0000-0000-000097070000}"/>
    <cellStyle name="Vírgula 5 2 4" xfId="572" xr:uid="{00000000-0005-0000-0000-000098070000}"/>
    <cellStyle name="Vírgula 5 2 4 2" xfId="1633" xr:uid="{00000000-0005-0000-0000-000099070000}"/>
    <cellStyle name="Vírgula 5 2 5" xfId="922" xr:uid="{00000000-0005-0000-0000-00009A070000}"/>
    <cellStyle name="Vírgula 5 2 5 2" xfId="1982" xr:uid="{00000000-0005-0000-0000-00009B070000}"/>
    <cellStyle name="Vírgula 5 2 6" xfId="952" xr:uid="{00000000-0005-0000-0000-00009C070000}"/>
    <cellStyle name="Vírgula 5 2 6 2" xfId="2012" xr:uid="{00000000-0005-0000-0000-00009D070000}"/>
    <cellStyle name="Vírgula 5 2 7" xfId="1010" xr:uid="{00000000-0005-0000-0000-00009E070000}"/>
    <cellStyle name="Vírgula 5 2 7 2" xfId="2070" xr:uid="{00000000-0005-0000-0000-00009F070000}"/>
    <cellStyle name="Vírgula 5 2 8" xfId="1068" xr:uid="{00000000-0005-0000-0000-0000A0070000}"/>
    <cellStyle name="Vírgula 5 2 8 2" xfId="2128" xr:uid="{00000000-0005-0000-0000-0000A1070000}"/>
    <cellStyle name="Vírgula 5 2 9" xfId="1214" xr:uid="{00000000-0005-0000-0000-0000A2070000}"/>
    <cellStyle name="Vírgula 5 3" xfId="108" xr:uid="{00000000-0005-0000-0000-0000A3070000}"/>
    <cellStyle name="Vírgula 5 3 2" xfId="377" xr:uid="{00000000-0005-0000-0000-0000A4070000}"/>
    <cellStyle name="Vírgula 5 3 2 2" xfId="796" xr:uid="{00000000-0005-0000-0000-0000A5070000}"/>
    <cellStyle name="Vírgula 5 3 2 2 2" xfId="1857" xr:uid="{00000000-0005-0000-0000-0000A6070000}"/>
    <cellStyle name="Vírgula 5 3 2 3" xfId="1438" xr:uid="{00000000-0005-0000-0000-0000A7070000}"/>
    <cellStyle name="Vírgula 5 3 3" xfId="284" xr:uid="{00000000-0005-0000-0000-0000A8070000}"/>
    <cellStyle name="Vírgula 5 3 3 2" xfId="703" xr:uid="{00000000-0005-0000-0000-0000A9070000}"/>
    <cellStyle name="Vírgula 5 3 3 2 2" xfId="1764" xr:uid="{00000000-0005-0000-0000-0000AA070000}"/>
    <cellStyle name="Vírgula 5 3 3 3" xfId="1345" xr:uid="{00000000-0005-0000-0000-0000AB070000}"/>
    <cellStyle name="Vírgula 5 3 4" xfId="527" xr:uid="{00000000-0005-0000-0000-0000AC070000}"/>
    <cellStyle name="Vírgula 5 3 4 2" xfId="1588" xr:uid="{00000000-0005-0000-0000-0000AD070000}"/>
    <cellStyle name="Vírgula 5 3 5" xfId="972" xr:uid="{00000000-0005-0000-0000-0000AE070000}"/>
    <cellStyle name="Vírgula 5 3 5 2" xfId="2032" xr:uid="{00000000-0005-0000-0000-0000AF070000}"/>
    <cellStyle name="Vírgula 5 3 6" xfId="1030" xr:uid="{00000000-0005-0000-0000-0000B0070000}"/>
    <cellStyle name="Vírgula 5 3 6 2" xfId="2090" xr:uid="{00000000-0005-0000-0000-0000B1070000}"/>
    <cellStyle name="Vírgula 5 3 7" xfId="1088" xr:uid="{00000000-0005-0000-0000-0000B2070000}"/>
    <cellStyle name="Vírgula 5 3 7 2" xfId="2148" xr:uid="{00000000-0005-0000-0000-0000B3070000}"/>
    <cellStyle name="Vírgula 5 3 8" xfId="1169" xr:uid="{00000000-0005-0000-0000-0000B4070000}"/>
    <cellStyle name="Vírgula 5 4" xfId="335" xr:uid="{00000000-0005-0000-0000-0000B5070000}"/>
    <cellStyle name="Vírgula 5 4 2" xfId="754" xr:uid="{00000000-0005-0000-0000-0000B6070000}"/>
    <cellStyle name="Vírgula 5 4 2 2" xfId="1815" xr:uid="{00000000-0005-0000-0000-0000B7070000}"/>
    <cellStyle name="Vírgula 5 4 3" xfId="1396" xr:uid="{00000000-0005-0000-0000-0000B8070000}"/>
    <cellStyle name="Vírgula 5 5" xfId="197" xr:uid="{00000000-0005-0000-0000-0000B9070000}"/>
    <cellStyle name="Vírgula 5 5 2" xfId="616" xr:uid="{00000000-0005-0000-0000-0000BA070000}"/>
    <cellStyle name="Vírgula 5 5 2 2" xfId="1677" xr:uid="{00000000-0005-0000-0000-0000BB070000}"/>
    <cellStyle name="Vírgula 5 5 3" xfId="1258" xr:uid="{00000000-0005-0000-0000-0000BC070000}"/>
    <cellStyle name="Vírgula 5 6" xfId="481" xr:uid="{00000000-0005-0000-0000-0000BD070000}"/>
    <cellStyle name="Vírgula 5 6 2" xfId="1542" xr:uid="{00000000-0005-0000-0000-0000BE070000}"/>
    <cellStyle name="Vírgula 5 7" xfId="897" xr:uid="{00000000-0005-0000-0000-0000BF070000}"/>
    <cellStyle name="Vírgula 5 7 2" xfId="1958" xr:uid="{00000000-0005-0000-0000-0000C0070000}"/>
    <cellStyle name="Vírgula 5 8" xfId="904" xr:uid="{00000000-0005-0000-0000-0000C1070000}"/>
    <cellStyle name="Vírgula 5 8 2" xfId="1965" xr:uid="{00000000-0005-0000-0000-0000C2070000}"/>
    <cellStyle name="Vírgula 5 9" xfId="914" xr:uid="{00000000-0005-0000-0000-0000C3070000}"/>
    <cellStyle name="Vírgula 5 9 2" xfId="1974" xr:uid="{00000000-0005-0000-0000-0000C4070000}"/>
    <cellStyle name="Vírgula 6" xfId="17" xr:uid="{00000000-0005-0000-0000-0000C5070000}"/>
    <cellStyle name="Vírgula 6 2" xfId="151" xr:uid="{00000000-0005-0000-0000-0000C6070000}"/>
    <cellStyle name="Vírgula 6 2 10" xfId="1212" xr:uid="{00000000-0005-0000-0000-0000C7070000}"/>
    <cellStyle name="Vírgula 6 2 2" xfId="319" xr:uid="{00000000-0005-0000-0000-0000C8070000}"/>
    <cellStyle name="Vírgula 6 2 2 2" xfId="459" xr:uid="{00000000-0005-0000-0000-0000C9070000}"/>
    <cellStyle name="Vírgula 6 2 2 2 2" xfId="878" xr:uid="{00000000-0005-0000-0000-0000CA070000}"/>
    <cellStyle name="Vírgula 6 2 2 2 2 2" xfId="1939" xr:uid="{00000000-0005-0000-0000-0000CB070000}"/>
    <cellStyle name="Vírgula 6 2 2 2 3" xfId="1520" xr:uid="{00000000-0005-0000-0000-0000CC070000}"/>
    <cellStyle name="Vírgula 6 2 2 3" xfId="738" xr:uid="{00000000-0005-0000-0000-0000CD070000}"/>
    <cellStyle name="Vírgula 6 2 2 3 2" xfId="1799" xr:uid="{00000000-0005-0000-0000-0000CE070000}"/>
    <cellStyle name="Vírgula 6 2 2 4" xfId="980" xr:uid="{00000000-0005-0000-0000-0000CF070000}"/>
    <cellStyle name="Vírgula 6 2 2 4 2" xfId="2040" xr:uid="{00000000-0005-0000-0000-0000D0070000}"/>
    <cellStyle name="Vírgula 6 2 2 5" xfId="1038" xr:uid="{00000000-0005-0000-0000-0000D1070000}"/>
    <cellStyle name="Vírgula 6 2 2 5 2" xfId="2098" xr:uid="{00000000-0005-0000-0000-0000D2070000}"/>
    <cellStyle name="Vírgula 6 2 2 6" xfId="1096" xr:uid="{00000000-0005-0000-0000-0000D3070000}"/>
    <cellStyle name="Vírgula 6 2 2 6 2" xfId="2156" xr:uid="{00000000-0005-0000-0000-0000D4070000}"/>
    <cellStyle name="Vírgula 6 2 2 7" xfId="1380" xr:uid="{00000000-0005-0000-0000-0000D5070000}"/>
    <cellStyle name="Vírgula 6 2 3" xfId="420" xr:uid="{00000000-0005-0000-0000-0000D6070000}"/>
    <cellStyle name="Vírgula 6 2 3 2" xfId="839" xr:uid="{00000000-0005-0000-0000-0000D7070000}"/>
    <cellStyle name="Vírgula 6 2 3 2 2" xfId="1900" xr:uid="{00000000-0005-0000-0000-0000D8070000}"/>
    <cellStyle name="Vírgula 6 2 3 3" xfId="1481" xr:uid="{00000000-0005-0000-0000-0000D9070000}"/>
    <cellStyle name="Vírgula 6 2 4" xfId="236" xr:uid="{00000000-0005-0000-0000-0000DA070000}"/>
    <cellStyle name="Vírgula 6 2 4 2" xfId="655" xr:uid="{00000000-0005-0000-0000-0000DB070000}"/>
    <cellStyle name="Vírgula 6 2 4 2 2" xfId="1716" xr:uid="{00000000-0005-0000-0000-0000DC070000}"/>
    <cellStyle name="Vírgula 6 2 4 3" xfId="1297" xr:uid="{00000000-0005-0000-0000-0000DD070000}"/>
    <cellStyle name="Vírgula 6 2 5" xfId="570" xr:uid="{00000000-0005-0000-0000-0000DE070000}"/>
    <cellStyle name="Vírgula 6 2 5 2" xfId="1631" xr:uid="{00000000-0005-0000-0000-0000DF070000}"/>
    <cellStyle name="Vírgula 6 2 6" xfId="923" xr:uid="{00000000-0005-0000-0000-0000E0070000}"/>
    <cellStyle name="Vírgula 6 2 6 2" xfId="1983" xr:uid="{00000000-0005-0000-0000-0000E1070000}"/>
    <cellStyle name="Vírgula 6 2 7" xfId="953" xr:uid="{00000000-0005-0000-0000-0000E2070000}"/>
    <cellStyle name="Vírgula 6 2 7 2" xfId="2013" xr:uid="{00000000-0005-0000-0000-0000E3070000}"/>
    <cellStyle name="Vírgula 6 2 8" xfId="1011" xr:uid="{00000000-0005-0000-0000-0000E4070000}"/>
    <cellStyle name="Vírgula 6 2 8 2" xfId="2071" xr:uid="{00000000-0005-0000-0000-0000E5070000}"/>
    <cellStyle name="Vírgula 6 2 9" xfId="1069" xr:uid="{00000000-0005-0000-0000-0000E6070000}"/>
    <cellStyle name="Vírgula 6 2 9 2" xfId="2129" xr:uid="{00000000-0005-0000-0000-0000E7070000}"/>
    <cellStyle name="Vírgula 6 3" xfId="106" xr:uid="{00000000-0005-0000-0000-0000E8070000}"/>
    <cellStyle name="Vírgula 6 3 2" xfId="375" xr:uid="{00000000-0005-0000-0000-0000E9070000}"/>
    <cellStyle name="Vírgula 6 3 2 2" xfId="794" xr:uid="{00000000-0005-0000-0000-0000EA070000}"/>
    <cellStyle name="Vírgula 6 3 2 2 2" xfId="1855" xr:uid="{00000000-0005-0000-0000-0000EB070000}"/>
    <cellStyle name="Vírgula 6 3 2 3" xfId="1436" xr:uid="{00000000-0005-0000-0000-0000EC070000}"/>
    <cellStyle name="Vírgula 6 3 3" xfId="282" xr:uid="{00000000-0005-0000-0000-0000ED070000}"/>
    <cellStyle name="Vírgula 6 3 3 2" xfId="701" xr:uid="{00000000-0005-0000-0000-0000EE070000}"/>
    <cellStyle name="Vírgula 6 3 3 2 2" xfId="1762" xr:uid="{00000000-0005-0000-0000-0000EF070000}"/>
    <cellStyle name="Vírgula 6 3 3 3" xfId="1343" xr:uid="{00000000-0005-0000-0000-0000F0070000}"/>
    <cellStyle name="Vírgula 6 3 4" xfId="525" xr:uid="{00000000-0005-0000-0000-0000F1070000}"/>
    <cellStyle name="Vírgula 6 3 4 2" xfId="1586" xr:uid="{00000000-0005-0000-0000-0000F2070000}"/>
    <cellStyle name="Vírgula 6 3 5" xfId="973" xr:uid="{00000000-0005-0000-0000-0000F3070000}"/>
    <cellStyle name="Vírgula 6 3 5 2" xfId="2033" xr:uid="{00000000-0005-0000-0000-0000F4070000}"/>
    <cellStyle name="Vírgula 6 3 6" xfId="1031" xr:uid="{00000000-0005-0000-0000-0000F5070000}"/>
    <cellStyle name="Vírgula 6 3 6 2" xfId="2091" xr:uid="{00000000-0005-0000-0000-0000F6070000}"/>
    <cellStyle name="Vírgula 6 3 7" xfId="1089" xr:uid="{00000000-0005-0000-0000-0000F7070000}"/>
    <cellStyle name="Vírgula 6 3 7 2" xfId="2149" xr:uid="{00000000-0005-0000-0000-0000F8070000}"/>
    <cellStyle name="Vírgula 6 3 8" xfId="1167" xr:uid="{00000000-0005-0000-0000-0000F9070000}"/>
    <cellStyle name="Vírgula 6 4" xfId="479" xr:uid="{00000000-0005-0000-0000-0000FA070000}"/>
    <cellStyle name="Vírgula 6 4 2" xfId="1540" xr:uid="{00000000-0005-0000-0000-0000FB070000}"/>
    <cellStyle name="Vírgula 6 5" xfId="915" xr:uid="{00000000-0005-0000-0000-0000FC070000}"/>
    <cellStyle name="Vírgula 6 5 2" xfId="1975" xr:uid="{00000000-0005-0000-0000-0000FD070000}"/>
    <cellStyle name="Vírgula 6 6" xfId="945" xr:uid="{00000000-0005-0000-0000-0000FE070000}"/>
    <cellStyle name="Vírgula 6 6 2" xfId="2005" xr:uid="{00000000-0005-0000-0000-0000FF070000}"/>
    <cellStyle name="Vírgula 6 7" xfId="1003" xr:uid="{00000000-0005-0000-0000-000000080000}"/>
    <cellStyle name="Vírgula 6 7 2" xfId="2063" xr:uid="{00000000-0005-0000-0000-000001080000}"/>
    <cellStyle name="Vírgula 6 8" xfId="1061" xr:uid="{00000000-0005-0000-0000-000002080000}"/>
    <cellStyle name="Vírgula 6 8 2" xfId="2121" xr:uid="{00000000-0005-0000-0000-000003080000}"/>
    <cellStyle name="Vírgula 6 9" xfId="1121" xr:uid="{00000000-0005-0000-0000-000004080000}"/>
    <cellStyle name="Vírgula 7" xfId="92" xr:uid="{00000000-0005-0000-0000-000005080000}"/>
    <cellStyle name="Vírgula 7 2" xfId="183" xr:uid="{00000000-0005-0000-0000-000006080000}"/>
    <cellStyle name="Vírgula 7 2 2" xfId="323" xr:uid="{00000000-0005-0000-0000-000007080000}"/>
    <cellStyle name="Vírgula 7 2 2 2" xfId="463" xr:uid="{00000000-0005-0000-0000-000008080000}"/>
    <cellStyle name="Vírgula 7 2 2 2 2" xfId="882" xr:uid="{00000000-0005-0000-0000-000009080000}"/>
    <cellStyle name="Vírgula 7 2 2 2 2 2" xfId="1943" xr:uid="{00000000-0005-0000-0000-00000A080000}"/>
    <cellStyle name="Vírgula 7 2 2 2 3" xfId="1524" xr:uid="{00000000-0005-0000-0000-00000B080000}"/>
    <cellStyle name="Vírgula 7 2 2 3" xfId="742" xr:uid="{00000000-0005-0000-0000-00000C080000}"/>
    <cellStyle name="Vírgula 7 2 2 3 2" xfId="1803" xr:uid="{00000000-0005-0000-0000-00000D080000}"/>
    <cellStyle name="Vírgula 7 2 2 4" xfId="1384" xr:uid="{00000000-0005-0000-0000-00000E080000}"/>
    <cellStyle name="Vírgula 7 2 3" xfId="452" xr:uid="{00000000-0005-0000-0000-00000F080000}"/>
    <cellStyle name="Vírgula 7 2 3 2" xfId="871" xr:uid="{00000000-0005-0000-0000-000010080000}"/>
    <cellStyle name="Vírgula 7 2 3 2 2" xfId="1932" xr:uid="{00000000-0005-0000-0000-000011080000}"/>
    <cellStyle name="Vírgula 7 2 3 3" xfId="1513" xr:uid="{00000000-0005-0000-0000-000012080000}"/>
    <cellStyle name="Vírgula 7 2 4" xfId="268" xr:uid="{00000000-0005-0000-0000-000013080000}"/>
    <cellStyle name="Vírgula 7 2 4 2" xfId="687" xr:uid="{00000000-0005-0000-0000-000014080000}"/>
    <cellStyle name="Vírgula 7 2 4 2 2" xfId="1748" xr:uid="{00000000-0005-0000-0000-000015080000}"/>
    <cellStyle name="Vírgula 7 2 4 3" xfId="1329" xr:uid="{00000000-0005-0000-0000-000016080000}"/>
    <cellStyle name="Vírgula 7 2 5" xfId="602" xr:uid="{00000000-0005-0000-0000-000017080000}"/>
    <cellStyle name="Vírgula 7 2 5 2" xfId="1663" xr:uid="{00000000-0005-0000-0000-000018080000}"/>
    <cellStyle name="Vírgula 7 2 6" xfId="981" xr:uid="{00000000-0005-0000-0000-000019080000}"/>
    <cellStyle name="Vírgula 7 2 6 2" xfId="2041" xr:uid="{00000000-0005-0000-0000-00001A080000}"/>
    <cellStyle name="Vírgula 7 2 7" xfId="1039" xr:uid="{00000000-0005-0000-0000-00001B080000}"/>
    <cellStyle name="Vírgula 7 2 7 2" xfId="2099" xr:uid="{00000000-0005-0000-0000-00001C080000}"/>
    <cellStyle name="Vírgula 7 2 8" xfId="1097" xr:uid="{00000000-0005-0000-0000-00001D080000}"/>
    <cellStyle name="Vírgula 7 2 8 2" xfId="2157" xr:uid="{00000000-0005-0000-0000-00001E080000}"/>
    <cellStyle name="Vírgula 7 2 9" xfId="1244" xr:uid="{00000000-0005-0000-0000-00001F080000}"/>
    <cellStyle name="Vírgula 7 3" xfId="138" xr:uid="{00000000-0005-0000-0000-000020080000}"/>
    <cellStyle name="Vírgula 7 3 2" xfId="407" xr:uid="{00000000-0005-0000-0000-000021080000}"/>
    <cellStyle name="Vírgula 7 3 2 2" xfId="826" xr:uid="{00000000-0005-0000-0000-000022080000}"/>
    <cellStyle name="Vírgula 7 3 2 2 2" xfId="1887" xr:uid="{00000000-0005-0000-0000-000023080000}"/>
    <cellStyle name="Vírgula 7 3 2 3" xfId="1468" xr:uid="{00000000-0005-0000-0000-000024080000}"/>
    <cellStyle name="Vírgula 7 3 3" xfId="314" xr:uid="{00000000-0005-0000-0000-000025080000}"/>
    <cellStyle name="Vírgula 7 3 3 2" xfId="733" xr:uid="{00000000-0005-0000-0000-000026080000}"/>
    <cellStyle name="Vírgula 7 3 3 2 2" xfId="1794" xr:uid="{00000000-0005-0000-0000-000027080000}"/>
    <cellStyle name="Vírgula 7 3 3 3" xfId="1375" xr:uid="{00000000-0005-0000-0000-000028080000}"/>
    <cellStyle name="Vírgula 7 3 4" xfId="557" xr:uid="{00000000-0005-0000-0000-000029080000}"/>
    <cellStyle name="Vírgula 7 3 4 2" xfId="1618" xr:uid="{00000000-0005-0000-0000-00002A080000}"/>
    <cellStyle name="Vírgula 7 3 5" xfId="1199" xr:uid="{00000000-0005-0000-0000-00002B080000}"/>
    <cellStyle name="Vírgula 7 4" xfId="511" xr:uid="{00000000-0005-0000-0000-00002C080000}"/>
    <cellStyle name="Vírgula 7 4 2" xfId="1572" xr:uid="{00000000-0005-0000-0000-00002D080000}"/>
    <cellStyle name="Vírgula 7 5" xfId="924" xr:uid="{00000000-0005-0000-0000-00002E080000}"/>
    <cellStyle name="Vírgula 7 5 2" xfId="1984" xr:uid="{00000000-0005-0000-0000-00002F080000}"/>
    <cellStyle name="Vírgula 7 6" xfId="954" xr:uid="{00000000-0005-0000-0000-000030080000}"/>
    <cellStyle name="Vírgula 7 6 2" xfId="2014" xr:uid="{00000000-0005-0000-0000-000031080000}"/>
    <cellStyle name="Vírgula 7 7" xfId="1012" xr:uid="{00000000-0005-0000-0000-000032080000}"/>
    <cellStyle name="Vírgula 7 7 2" xfId="2072" xr:uid="{00000000-0005-0000-0000-000033080000}"/>
    <cellStyle name="Vírgula 7 8" xfId="1070" xr:uid="{00000000-0005-0000-0000-000034080000}"/>
    <cellStyle name="Vírgula 7 8 2" xfId="2130" xr:uid="{00000000-0005-0000-0000-000035080000}"/>
    <cellStyle name="Vírgula 7 9" xfId="1153" xr:uid="{00000000-0005-0000-0000-000036080000}"/>
    <cellStyle name="Vírgula 8" xfId="180" xr:uid="{00000000-0005-0000-0000-000037080000}"/>
    <cellStyle name="Vírgula 8 10" xfId="1056" xr:uid="{00000000-0005-0000-0000-000038080000}"/>
    <cellStyle name="Vírgula 8 10 2" xfId="2116" xr:uid="{00000000-0005-0000-0000-000039080000}"/>
    <cellStyle name="Vírgula 8 11" xfId="1241" xr:uid="{00000000-0005-0000-0000-00003A080000}"/>
    <cellStyle name="Vírgula 8 2" xfId="449" xr:uid="{00000000-0005-0000-0000-00003B080000}"/>
    <cellStyle name="Vírgula 8 2 2" xfId="868" xr:uid="{00000000-0005-0000-0000-00003C080000}"/>
    <cellStyle name="Vírgula 8 2 2 2" xfId="975" xr:uid="{00000000-0005-0000-0000-00003D080000}"/>
    <cellStyle name="Vírgula 8 2 2 2 2" xfId="2035" xr:uid="{00000000-0005-0000-0000-00003E080000}"/>
    <cellStyle name="Vírgula 8 2 2 3" xfId="1033" xr:uid="{00000000-0005-0000-0000-00003F080000}"/>
    <cellStyle name="Vírgula 8 2 2 3 2" xfId="2093" xr:uid="{00000000-0005-0000-0000-000040080000}"/>
    <cellStyle name="Vírgula 8 2 2 4" xfId="1091" xr:uid="{00000000-0005-0000-0000-000041080000}"/>
    <cellStyle name="Vírgula 8 2 2 4 2" xfId="2151" xr:uid="{00000000-0005-0000-0000-000042080000}"/>
    <cellStyle name="Vírgula 8 2 2 5" xfId="1929" xr:uid="{00000000-0005-0000-0000-000043080000}"/>
    <cellStyle name="Vírgula 8 2 3" xfId="918" xr:uid="{00000000-0005-0000-0000-000044080000}"/>
    <cellStyle name="Vírgula 8 2 3 2" xfId="1978" xr:uid="{00000000-0005-0000-0000-000045080000}"/>
    <cellStyle name="Vírgula 8 2 4" xfId="948" xr:uid="{00000000-0005-0000-0000-000046080000}"/>
    <cellStyle name="Vírgula 8 2 4 2" xfId="2008" xr:uid="{00000000-0005-0000-0000-000047080000}"/>
    <cellStyle name="Vírgula 8 2 5" xfId="1006" xr:uid="{00000000-0005-0000-0000-000048080000}"/>
    <cellStyle name="Vírgula 8 2 5 2" xfId="2066" xr:uid="{00000000-0005-0000-0000-000049080000}"/>
    <cellStyle name="Vírgula 8 2 6" xfId="1064" xr:uid="{00000000-0005-0000-0000-00004A080000}"/>
    <cellStyle name="Vírgula 8 2 6 2" xfId="2124" xr:uid="{00000000-0005-0000-0000-00004B080000}"/>
    <cellStyle name="Vírgula 8 2 7" xfId="1510" xr:uid="{00000000-0005-0000-0000-00004C080000}"/>
    <cellStyle name="Vírgula 8 3" xfId="265" xr:uid="{00000000-0005-0000-0000-00004D080000}"/>
    <cellStyle name="Vírgula 8 3 2" xfId="684" xr:uid="{00000000-0005-0000-0000-00004E080000}"/>
    <cellStyle name="Vírgula 8 3 2 2" xfId="1745" xr:uid="{00000000-0005-0000-0000-00004F080000}"/>
    <cellStyle name="Vírgula 8 3 3" xfId="968" xr:uid="{00000000-0005-0000-0000-000050080000}"/>
    <cellStyle name="Vírgula 8 3 3 2" xfId="2028" xr:uid="{00000000-0005-0000-0000-000051080000}"/>
    <cellStyle name="Vírgula 8 3 4" xfId="1026" xr:uid="{00000000-0005-0000-0000-000052080000}"/>
    <cellStyle name="Vírgula 8 3 4 2" xfId="2086" xr:uid="{00000000-0005-0000-0000-000053080000}"/>
    <cellStyle name="Vírgula 8 3 5" xfId="1084" xr:uid="{00000000-0005-0000-0000-000054080000}"/>
    <cellStyle name="Vírgula 8 3 5 2" xfId="2144" xr:uid="{00000000-0005-0000-0000-000055080000}"/>
    <cellStyle name="Vírgula 8 3 6" xfId="1326" xr:uid="{00000000-0005-0000-0000-000056080000}"/>
    <cellStyle name="Vírgula 8 4" xfId="599" xr:uid="{00000000-0005-0000-0000-000057080000}"/>
    <cellStyle name="Vírgula 8 4 2" xfId="1660" xr:uid="{00000000-0005-0000-0000-000058080000}"/>
    <cellStyle name="Vírgula 8 5" xfId="893" xr:uid="{00000000-0005-0000-0000-000059080000}"/>
    <cellStyle name="Vírgula 8 5 2" xfId="1954" xr:uid="{00000000-0005-0000-0000-00005A080000}"/>
    <cellStyle name="Vírgula 8 6" xfId="900" xr:uid="{00000000-0005-0000-0000-00005B080000}"/>
    <cellStyle name="Vírgula 8 6 2" xfId="1961" xr:uid="{00000000-0005-0000-0000-00005C080000}"/>
    <cellStyle name="Vírgula 8 7" xfId="910" xr:uid="{00000000-0005-0000-0000-00005D080000}"/>
    <cellStyle name="Vírgula 8 7 2" xfId="1970" xr:uid="{00000000-0005-0000-0000-00005E080000}"/>
    <cellStyle name="Vírgula 8 8" xfId="940" xr:uid="{00000000-0005-0000-0000-00005F080000}"/>
    <cellStyle name="Vírgula 8 8 2" xfId="2000" xr:uid="{00000000-0005-0000-0000-000060080000}"/>
    <cellStyle name="Vírgula 8 9" xfId="998" xr:uid="{00000000-0005-0000-0000-000061080000}"/>
    <cellStyle name="Vírgula 8 9 2" xfId="2058" xr:uid="{00000000-0005-0000-0000-000062080000}"/>
    <cellStyle name="Vírgula 9" xfId="135" xr:uid="{00000000-0005-0000-0000-000063080000}"/>
    <cellStyle name="Vírgula 9 2" xfId="404" xr:uid="{00000000-0005-0000-0000-000064080000}"/>
    <cellStyle name="Vírgula 9 2 2" xfId="823" xr:uid="{00000000-0005-0000-0000-000065080000}"/>
    <cellStyle name="Vírgula 9 2 2 2" xfId="1884" xr:uid="{00000000-0005-0000-0000-000066080000}"/>
    <cellStyle name="Vírgula 9 2 3" xfId="982" xr:uid="{00000000-0005-0000-0000-000067080000}"/>
    <cellStyle name="Vírgula 9 2 3 2" xfId="2042" xr:uid="{00000000-0005-0000-0000-000068080000}"/>
    <cellStyle name="Vírgula 9 2 4" xfId="1040" xr:uid="{00000000-0005-0000-0000-000069080000}"/>
    <cellStyle name="Vírgula 9 2 4 2" xfId="2100" xr:uid="{00000000-0005-0000-0000-00006A080000}"/>
    <cellStyle name="Vírgula 9 2 5" xfId="1098" xr:uid="{00000000-0005-0000-0000-00006B080000}"/>
    <cellStyle name="Vírgula 9 2 5 2" xfId="2158" xr:uid="{00000000-0005-0000-0000-00006C080000}"/>
    <cellStyle name="Vírgula 9 2 6" xfId="1465" xr:uid="{00000000-0005-0000-0000-00006D080000}"/>
    <cellStyle name="Vírgula 9 3" xfId="311" xr:uid="{00000000-0005-0000-0000-00006E080000}"/>
    <cellStyle name="Vírgula 9 3 2" xfId="730" xr:uid="{00000000-0005-0000-0000-00006F080000}"/>
    <cellStyle name="Vírgula 9 3 2 2" xfId="1791" xr:uid="{00000000-0005-0000-0000-000070080000}"/>
    <cellStyle name="Vírgula 9 3 3" xfId="1372" xr:uid="{00000000-0005-0000-0000-000071080000}"/>
    <cellStyle name="Vírgula 9 4" xfId="554" xr:uid="{00000000-0005-0000-0000-000072080000}"/>
    <cellStyle name="Vírgula 9 4 2" xfId="1615" xr:uid="{00000000-0005-0000-0000-000073080000}"/>
    <cellStyle name="Vírgula 9 5" xfId="925" xr:uid="{00000000-0005-0000-0000-000074080000}"/>
    <cellStyle name="Vírgula 9 5 2" xfId="1985" xr:uid="{00000000-0005-0000-0000-000075080000}"/>
    <cellStyle name="Vírgula 9 6" xfId="955" xr:uid="{00000000-0005-0000-0000-000076080000}"/>
    <cellStyle name="Vírgula 9 6 2" xfId="2015" xr:uid="{00000000-0005-0000-0000-000077080000}"/>
    <cellStyle name="Vírgula 9 7" xfId="1013" xr:uid="{00000000-0005-0000-0000-000078080000}"/>
    <cellStyle name="Vírgula 9 7 2" xfId="2073" xr:uid="{00000000-0005-0000-0000-000079080000}"/>
    <cellStyle name="Vírgula 9 8" xfId="1071" xr:uid="{00000000-0005-0000-0000-00007A080000}"/>
    <cellStyle name="Vírgula 9 8 2" xfId="2131" xr:uid="{00000000-0005-0000-0000-00007B080000}"/>
    <cellStyle name="Vírgula 9 9" xfId="1196" xr:uid="{00000000-0005-0000-0000-00007C080000}"/>
  </cellStyles>
  <dxfs count="14">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s>
  <tableStyles count="0" defaultTableStyle="TableStyleMedium2" defaultPivotStyle="PivotStyleLight16"/>
  <colors>
    <mruColors>
      <color rgb="FFFAB766"/>
      <color rgb="FFE6E9EB"/>
      <color rgb="FF70AD47"/>
      <color rgb="FF548235"/>
      <color rgb="FFFFCC99"/>
      <color rgb="FFFEF1E2"/>
      <color rgb="FFDCDCDC"/>
      <color rgb="FFF5F5F5"/>
      <color rgb="FF66FFFF"/>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customXml" Target="../customXml/item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DVA!A1"/><Relationship Id="rId3" Type="http://schemas.openxmlformats.org/officeDocument/2006/relationships/hyperlink" Target="#DRE!A1"/><Relationship Id="rId7" Type="http://schemas.openxmlformats.org/officeDocument/2006/relationships/hyperlink" Target="#LI!A1"/><Relationship Id="rId2" Type="http://schemas.openxmlformats.org/officeDocument/2006/relationships/hyperlink" Target="#'An&#225;lise R&#225;pida'!A1"/><Relationship Id="rId1" Type="http://schemas.openxmlformats.org/officeDocument/2006/relationships/image" Target="../media/image1.jpeg"/><Relationship Id="rId6" Type="http://schemas.openxmlformats.org/officeDocument/2006/relationships/hyperlink" Target="#Auto!A1"/><Relationship Id="rId5" Type="http://schemas.openxmlformats.org/officeDocument/2006/relationships/hyperlink" Target="#BP!A1"/><Relationship Id="rId10" Type="http://schemas.openxmlformats.org/officeDocument/2006/relationships/hyperlink" Target="#'Dados Mercado'!A1"/><Relationship Id="rId4" Type="http://schemas.openxmlformats.org/officeDocument/2006/relationships/hyperlink" Target="#DFC!A1"/><Relationship Id="rId9" Type="http://schemas.openxmlformats.org/officeDocument/2006/relationships/hyperlink" Target="#Consolidado!A1"/></Relationships>
</file>

<file path=xl/drawings/_rels/drawing1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Menu!A1"/></Relationships>
</file>

<file path=xl/drawings/_rels/drawing11.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Menu!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Menu!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6.jpeg"/><Relationship Id="rId1" Type="http://schemas.openxmlformats.org/officeDocument/2006/relationships/hyperlink" Target="#Menu!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2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2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3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B6"/></Relationships>
</file>

<file path=xl/drawings/_rels/drawing4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15</xdr:col>
      <xdr:colOff>566850</xdr:colOff>
      <xdr:row>28</xdr:row>
      <xdr:rowOff>20386</xdr:rowOff>
    </xdr:to>
    <xdr:pic>
      <xdr:nvPicPr>
        <xdr:cNvPr id="16" name="Imagem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79" t="13150" r="474"/>
        <a:stretch/>
      </xdr:blipFill>
      <xdr:spPr>
        <a:xfrm>
          <a:off x="0" y="38100"/>
          <a:ext cx="13349400" cy="5703636"/>
        </a:xfrm>
        <a:prstGeom prst="rect">
          <a:avLst/>
        </a:prstGeom>
      </xdr:spPr>
    </xdr:pic>
    <xdr:clientData/>
  </xdr:twoCellAnchor>
  <xdr:twoCellAnchor>
    <xdr:from>
      <xdr:col>0</xdr:col>
      <xdr:colOff>123824</xdr:colOff>
      <xdr:row>3</xdr:row>
      <xdr:rowOff>20800</xdr:rowOff>
    </xdr:from>
    <xdr:to>
      <xdr:col>3</xdr:col>
      <xdr:colOff>304800</xdr:colOff>
      <xdr:row>4</xdr:row>
      <xdr:rowOff>166637</xdr:rowOff>
    </xdr:to>
    <xdr:sp macro="" textlink="">
      <xdr:nvSpPr>
        <xdr:cNvPr id="6" name="CaixaDeTexto 5">
          <a:hlinkClick xmlns:r="http://schemas.openxmlformats.org/officeDocument/2006/relationships" r:id="rId2"/>
          <a:extLst>
            <a:ext uri="{FF2B5EF4-FFF2-40B4-BE49-F238E27FC236}">
              <a16:creationId xmlns:a16="http://schemas.microsoft.com/office/drawing/2014/main" id="{00000000-0008-0000-0000-000006000000}"/>
            </a:ext>
          </a:extLst>
        </xdr:cNvPr>
        <xdr:cNvSpPr txBox="1"/>
      </xdr:nvSpPr>
      <xdr:spPr>
        <a:xfrm>
          <a:off x="123824" y="620875"/>
          <a:ext cx="4876801" cy="345862"/>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4315F34-A531-47DB-AB3A-D67641ED37C5}" type="TxLink">
            <a:rPr lang="en-US" sz="1500" b="1" i="0" u="sng" strike="noStrike">
              <a:solidFill>
                <a:srgbClr val="ED7D31"/>
              </a:solidFill>
              <a:latin typeface="Times New Roman"/>
              <a:cs typeface="Times New Roman"/>
            </a:rPr>
            <a:pPr algn="l"/>
            <a:t>Análise Rápida</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4</xdr:row>
      <xdr:rowOff>162566</xdr:rowOff>
    </xdr:from>
    <xdr:to>
      <xdr:col>1</xdr:col>
      <xdr:colOff>3181350</xdr:colOff>
      <xdr:row>6</xdr:row>
      <xdr:rowOff>31917</xdr:rowOff>
    </xdr:to>
    <xdr:sp macro="" textlink="">
      <xdr:nvSpPr>
        <xdr:cNvPr id="7" name="CaixaDeTexto 6">
          <a:hlinkClick xmlns:r="http://schemas.openxmlformats.org/officeDocument/2006/relationships" r:id="rId3"/>
          <a:extLst>
            <a:ext uri="{FF2B5EF4-FFF2-40B4-BE49-F238E27FC236}">
              <a16:creationId xmlns:a16="http://schemas.microsoft.com/office/drawing/2014/main" id="{00000000-0008-0000-0000-000007000000}"/>
            </a:ext>
          </a:extLst>
        </xdr:cNvPr>
        <xdr:cNvSpPr txBox="1"/>
      </xdr:nvSpPr>
      <xdr:spPr>
        <a:xfrm>
          <a:off x="95249" y="962666"/>
          <a:ext cx="3686176" cy="34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A147CEFF-4DF9-4F69-8F6A-A91D617BF502}" type="TxLink">
            <a:rPr lang="en-US" sz="1500" b="1" i="0" u="sng" strike="noStrike">
              <a:ln>
                <a:noFill/>
              </a:ln>
              <a:solidFill>
                <a:srgbClr val="ED7D31"/>
              </a:solidFill>
              <a:latin typeface="Times New Roman"/>
              <a:cs typeface="Times New Roman"/>
            </a:rPr>
            <a:pPr algn="l"/>
            <a:t>Demonstração de resultado - Consolidado</a:t>
          </a:fld>
          <a:endParaRPr lang="pt-BR" sz="1500" b="1" u="sng">
            <a:ln>
              <a:noFill/>
            </a:ln>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8</xdr:row>
      <xdr:rowOff>61475</xdr:rowOff>
    </xdr:from>
    <xdr:to>
      <xdr:col>3</xdr:col>
      <xdr:colOff>466724</xdr:colOff>
      <xdr:row>10</xdr:row>
      <xdr:rowOff>5606</xdr:rowOff>
    </xdr:to>
    <xdr:sp macro="" textlink="">
      <xdr:nvSpPr>
        <xdr:cNvPr id="8" name="CaixaDeTexto 7">
          <a:hlinkClick xmlns:r="http://schemas.openxmlformats.org/officeDocument/2006/relationships" r:id="rId4"/>
          <a:extLst>
            <a:ext uri="{FF2B5EF4-FFF2-40B4-BE49-F238E27FC236}">
              <a16:creationId xmlns:a16="http://schemas.microsoft.com/office/drawing/2014/main" id="{00000000-0008-0000-0000-000008000000}"/>
            </a:ext>
          </a:extLst>
        </xdr:cNvPr>
        <xdr:cNvSpPr txBox="1"/>
      </xdr:nvSpPr>
      <xdr:spPr>
        <a:xfrm>
          <a:off x="95249" y="1737875"/>
          <a:ext cx="5067300"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4A138AC2-0E2F-4E57-ADDC-518773CDDE7B}" type="TxLink">
            <a:rPr lang="en-US" sz="1500" b="1" i="0" u="sng" strike="noStrike">
              <a:solidFill>
                <a:srgbClr val="ED7D31"/>
              </a:solidFill>
              <a:latin typeface="Times New Roman"/>
              <a:cs typeface="Times New Roman"/>
            </a:rPr>
            <a:pPr algn="l"/>
            <a:t>Demonstrativo de fluxo de caixa</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6</xdr:row>
      <xdr:rowOff>75471</xdr:rowOff>
    </xdr:from>
    <xdr:to>
      <xdr:col>1</xdr:col>
      <xdr:colOff>2484904</xdr:colOff>
      <xdr:row>8</xdr:row>
      <xdr:rowOff>17921</xdr:rowOff>
    </xdr:to>
    <xdr:sp macro="" textlink="">
      <xdr:nvSpPr>
        <xdr:cNvPr id="9" name="CaixaDeTexto 8">
          <a:hlinkClick xmlns:r="http://schemas.openxmlformats.org/officeDocument/2006/relationships" r:id="rId5"/>
          <a:extLst>
            <a:ext uri="{FF2B5EF4-FFF2-40B4-BE49-F238E27FC236}">
              <a16:creationId xmlns:a16="http://schemas.microsoft.com/office/drawing/2014/main" id="{00000000-0008-0000-0000-000009000000}"/>
            </a:ext>
          </a:extLst>
        </xdr:cNvPr>
        <xdr:cNvSpPr txBox="1"/>
      </xdr:nvSpPr>
      <xdr:spPr>
        <a:xfrm>
          <a:off x="95249" y="1351821"/>
          <a:ext cx="2989730" cy="3425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B00A852-A48A-48BB-BBAC-9EB49A9F735F}" type="TxLink">
            <a:rPr lang="en-US" sz="1500" b="1" i="0" u="sng" strike="noStrike">
              <a:solidFill>
                <a:srgbClr val="ED7D31"/>
              </a:solidFill>
              <a:latin typeface="Times New Roman"/>
              <a:cs typeface="Times New Roman"/>
            </a:rPr>
            <a:pPr algn="l"/>
            <a:t>Balanço patrimonial </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10</xdr:row>
      <xdr:rowOff>49160</xdr:rowOff>
    </xdr:from>
    <xdr:to>
      <xdr:col>4</xdr:col>
      <xdr:colOff>104775</xdr:colOff>
      <xdr:row>11</xdr:row>
      <xdr:rowOff>193315</xdr:rowOff>
    </xdr:to>
    <xdr:sp macro="" textlink="">
      <xdr:nvSpPr>
        <xdr:cNvPr id="11" name="CaixaDeTexto 10">
          <a:hlinkClick xmlns:r="http://schemas.openxmlformats.org/officeDocument/2006/relationships" r:id="rId6"/>
          <a:extLst>
            <a:ext uri="{FF2B5EF4-FFF2-40B4-BE49-F238E27FC236}">
              <a16:creationId xmlns:a16="http://schemas.microsoft.com/office/drawing/2014/main" id="{00000000-0008-0000-0000-00000B000000}"/>
            </a:ext>
          </a:extLst>
        </xdr:cNvPr>
        <xdr:cNvSpPr txBox="1"/>
      </xdr:nvSpPr>
      <xdr:spPr>
        <a:xfrm>
          <a:off x="95249" y="2125610"/>
          <a:ext cx="5772151" cy="34418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739E8D33-7B03-4340-9BBD-92783CAB9959}" type="TxLink">
            <a:rPr lang="en-US" sz="1500" b="1" i="0" u="sng" strike="noStrike">
              <a:solidFill>
                <a:srgbClr val="ED7D31"/>
              </a:solidFill>
              <a:latin typeface="Times New Roman"/>
              <a:cs typeface="Times New Roman"/>
            </a:rPr>
            <a:pPr algn="l"/>
            <a:t>Demonstração de resultado por segmentos - Automotivo</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12</xdr:row>
      <xdr:rowOff>36844</xdr:rowOff>
    </xdr:from>
    <xdr:to>
      <xdr:col>3</xdr:col>
      <xdr:colOff>685799</xdr:colOff>
      <xdr:row>13</xdr:row>
      <xdr:rowOff>179320</xdr:rowOff>
    </xdr:to>
    <xdr:sp macro="" textlink="">
      <xdr:nvSpPr>
        <xdr:cNvPr id="12" name="CaixaDeTexto 11">
          <a:hlinkClick xmlns:r="http://schemas.openxmlformats.org/officeDocument/2006/relationships" r:id="rId7"/>
          <a:extLst>
            <a:ext uri="{FF2B5EF4-FFF2-40B4-BE49-F238E27FC236}">
              <a16:creationId xmlns:a16="http://schemas.microsoft.com/office/drawing/2014/main" id="{00000000-0008-0000-0000-00000C000000}"/>
            </a:ext>
          </a:extLst>
        </xdr:cNvPr>
        <xdr:cNvSpPr txBox="1"/>
      </xdr:nvSpPr>
      <xdr:spPr>
        <a:xfrm>
          <a:off x="95249" y="2513344"/>
          <a:ext cx="5286375" cy="34250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18213239-67FE-4B82-8854-4606314FAA3D}" type="TxLink">
            <a:rPr lang="en-US" sz="1500" b="1" i="0" u="sng" strike="noStrike">
              <a:solidFill>
                <a:srgbClr val="ED7D31"/>
              </a:solidFill>
              <a:latin typeface="Times New Roman"/>
              <a:cs typeface="Times New Roman"/>
            </a:rPr>
            <a:pPr algn="l"/>
            <a:t>Demonstração de resultado por segmentos - Logística integrada</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17</xdr:row>
      <xdr:rowOff>198244</xdr:rowOff>
    </xdr:from>
    <xdr:to>
      <xdr:col>1</xdr:col>
      <xdr:colOff>1409700</xdr:colOff>
      <xdr:row>19</xdr:row>
      <xdr:rowOff>18550</xdr:rowOff>
    </xdr:to>
    <xdr:sp macro="" textlink="">
      <xdr:nvSpPr>
        <xdr:cNvPr id="13" name="CaixaDeTexto 12">
          <a:hlinkClick xmlns:r="http://schemas.openxmlformats.org/officeDocument/2006/relationships" r:id="rId8"/>
          <a:extLst>
            <a:ext uri="{FF2B5EF4-FFF2-40B4-BE49-F238E27FC236}">
              <a16:creationId xmlns:a16="http://schemas.microsoft.com/office/drawing/2014/main" id="{00000000-0008-0000-0000-00000D000000}"/>
            </a:ext>
          </a:extLst>
        </xdr:cNvPr>
        <xdr:cNvSpPr txBox="1"/>
      </xdr:nvSpPr>
      <xdr:spPr>
        <a:xfrm>
          <a:off x="95249" y="3674869"/>
          <a:ext cx="1914526"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2198D74-E5D7-4096-9A93-0EF32B1D85D8}" type="TxLink">
            <a:rPr lang="en-US" sz="1500" b="1" i="0" u="sng" strike="noStrike">
              <a:solidFill>
                <a:srgbClr val="ED7D31"/>
              </a:solidFill>
              <a:latin typeface="Times New Roman"/>
              <a:cs typeface="Times New Roman"/>
            </a:rPr>
            <a:pPr algn="l"/>
            <a:t>Indicadores</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104774</xdr:colOff>
      <xdr:row>14</xdr:row>
      <xdr:rowOff>22849</xdr:rowOff>
    </xdr:from>
    <xdr:to>
      <xdr:col>2</xdr:col>
      <xdr:colOff>647700</xdr:colOff>
      <xdr:row>15</xdr:row>
      <xdr:rowOff>167005</xdr:rowOff>
    </xdr:to>
    <xdr:sp macro="" textlink="">
      <xdr:nvSpPr>
        <xdr:cNvPr id="14" name="CaixaDeTexto 13">
          <a:hlinkClick xmlns:r="http://schemas.openxmlformats.org/officeDocument/2006/relationships" r:id="rId9"/>
          <a:extLst>
            <a:ext uri="{FF2B5EF4-FFF2-40B4-BE49-F238E27FC236}">
              <a16:creationId xmlns:a16="http://schemas.microsoft.com/office/drawing/2014/main" id="{00000000-0008-0000-0000-00000E000000}"/>
            </a:ext>
          </a:extLst>
        </xdr:cNvPr>
        <xdr:cNvSpPr txBox="1"/>
      </xdr:nvSpPr>
      <xdr:spPr>
        <a:xfrm>
          <a:off x="104774" y="2899399"/>
          <a:ext cx="4562476"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274D910-1E30-462A-AAA2-799FB0A4DE6F}" type="TxLink">
            <a:rPr lang="en-US" sz="1500" b="1" i="0" u="sng" strike="noStrike">
              <a:solidFill>
                <a:srgbClr val="ED7D31"/>
              </a:solidFill>
              <a:latin typeface="Times New Roman"/>
              <a:cs typeface="Times New Roman"/>
            </a:rPr>
            <a:pPr algn="l"/>
            <a:t>Demonstração de resultado - Consolidado</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114299</xdr:colOff>
      <xdr:row>16</xdr:row>
      <xdr:rowOff>10534</xdr:rowOff>
    </xdr:from>
    <xdr:to>
      <xdr:col>1</xdr:col>
      <xdr:colOff>2695575</xdr:colOff>
      <xdr:row>17</xdr:row>
      <xdr:rowOff>154690</xdr:rowOff>
    </xdr:to>
    <xdr:sp macro="" textlink="">
      <xdr:nvSpPr>
        <xdr:cNvPr id="15" name="CaixaDeTexto 14">
          <a:hlinkClick xmlns:r="http://schemas.openxmlformats.org/officeDocument/2006/relationships" r:id="rId10"/>
          <a:extLst>
            <a:ext uri="{FF2B5EF4-FFF2-40B4-BE49-F238E27FC236}">
              <a16:creationId xmlns:a16="http://schemas.microsoft.com/office/drawing/2014/main" id="{00000000-0008-0000-0000-00000F000000}"/>
            </a:ext>
          </a:extLst>
        </xdr:cNvPr>
        <xdr:cNvSpPr txBox="1"/>
      </xdr:nvSpPr>
      <xdr:spPr>
        <a:xfrm>
          <a:off x="114299" y="3287134"/>
          <a:ext cx="3181351"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02C7502-CD2B-4950-9103-D7E5423ECA49}" type="TxLink">
            <a:rPr lang="en-US" sz="1500" b="1" i="0" u="sng" strike="noStrike">
              <a:solidFill>
                <a:srgbClr val="ED7D31"/>
              </a:solidFill>
              <a:latin typeface="Times New Roman"/>
              <a:cs typeface="Times New Roman"/>
            </a:rPr>
            <a:pPr algn="l"/>
            <a:t>Dados do Mercado</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1</xdr:col>
      <xdr:colOff>2902323</xdr:colOff>
      <xdr:row>0</xdr:row>
      <xdr:rowOff>11468</xdr:rowOff>
    </xdr:from>
    <xdr:to>
      <xdr:col>8</xdr:col>
      <xdr:colOff>100853</xdr:colOff>
      <xdr:row>3</xdr:row>
      <xdr:rowOff>112057</xdr:rowOff>
    </xdr:to>
    <xdr:sp macro="" textlink="">
      <xdr:nvSpPr>
        <xdr:cNvPr id="10" name="CaixaDeTexto 9">
          <a:extLst>
            <a:ext uri="{FF2B5EF4-FFF2-40B4-BE49-F238E27FC236}">
              <a16:creationId xmlns:a16="http://schemas.microsoft.com/office/drawing/2014/main" id="{00000000-0008-0000-0000-00000A000000}"/>
            </a:ext>
          </a:extLst>
        </xdr:cNvPr>
        <xdr:cNvSpPr txBox="1"/>
      </xdr:nvSpPr>
      <xdr:spPr>
        <a:xfrm>
          <a:off x="3507441" y="1725968"/>
          <a:ext cx="4773706" cy="705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D6471E2A-C770-4C57-9069-BCA8789652AC}" type="TxLink">
            <a:rPr lang="en-US" sz="3600" b="1" i="0" u="none" strike="noStrike">
              <a:ln>
                <a:noFill/>
              </a:ln>
              <a:solidFill>
                <a:srgbClr val="F7931D"/>
              </a:solidFill>
              <a:latin typeface="Times New Roman"/>
              <a:cs typeface="Times New Roman"/>
            </a:rPr>
            <a:pPr algn="ctr"/>
            <a:t>Série Histórica</a:t>
          </a:fld>
          <a:endParaRPr lang="pt-BR" sz="3600" b="1">
            <a:ln>
              <a:noFill/>
            </a:ln>
            <a:solidFill>
              <a:srgbClr val="F7931D"/>
            </a:solidFill>
            <a:latin typeface="Lato Black" panose="020F0A02020204030203" pitchFamily="34"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2" name="CaixaDeTexto 99">
          <a:extLst>
            <a:ext uri="{FF2B5EF4-FFF2-40B4-BE49-F238E27FC236}">
              <a16:creationId xmlns:a16="http://schemas.microsoft.com/office/drawing/2014/main" id="{00000000-0008-0000-0900-000002000000}"/>
            </a:ext>
          </a:extLst>
        </xdr:cNvPr>
        <xdr:cNvSpPr txBox="1"/>
      </xdr:nvSpPr>
      <xdr:spPr>
        <a:xfrm>
          <a:off x="0" y="0"/>
          <a:ext cx="37503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8590EBA-0070-4299-8893-450A80BAA8CE}" type="TxLink">
            <a:rPr lang="en-US" sz="1600" b="1" i="0" u="none" strike="noStrike">
              <a:ln>
                <a:noFill/>
              </a:ln>
              <a:solidFill>
                <a:srgbClr val="F7931D"/>
              </a:solidFill>
              <a:latin typeface="Times New Roman"/>
              <a:cs typeface="Times New Roman"/>
            </a:rPr>
            <a:pPr algn="l"/>
            <a:t>Demonstração de valor agregado</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900-000004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53424939-D7A5-4694-959F-F2D456ACDDB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48</xdr:col>
      <xdr:colOff>549275</xdr:colOff>
      <xdr:row>0</xdr:row>
      <xdr:rowOff>107950</xdr:rowOff>
    </xdr:from>
    <xdr:ext cx="910080" cy="419100"/>
    <xdr:pic>
      <xdr:nvPicPr>
        <xdr:cNvPr id="7" name="Imagem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42575" y="107950"/>
          <a:ext cx="910080" cy="4191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0</xdr:row>
      <xdr:rowOff>0</xdr:rowOff>
    </xdr:from>
    <xdr:ext cx="697370"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047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xdr:from>
      <xdr:col>0</xdr:col>
      <xdr:colOff>0</xdr:colOff>
      <xdr:row>0</xdr:row>
      <xdr:rowOff>28575</xdr:rowOff>
    </xdr:from>
    <xdr:to>
      <xdr:col>2</xdr:col>
      <xdr:colOff>235575</xdr:colOff>
      <xdr:row>3</xdr:row>
      <xdr:rowOff>57825</xdr:rowOff>
    </xdr:to>
    <xdr:sp macro="" textlink="">
      <xdr:nvSpPr>
        <xdr:cNvPr id="8" name="CaixaDeTexto 99">
          <a:extLst>
            <a:ext uri="{FF2B5EF4-FFF2-40B4-BE49-F238E27FC236}">
              <a16:creationId xmlns:a16="http://schemas.microsoft.com/office/drawing/2014/main" id="{00000000-0008-0000-0A00-000008000000}"/>
            </a:ext>
          </a:extLst>
        </xdr:cNvPr>
        <xdr:cNvSpPr txBox="1"/>
      </xdr:nvSpPr>
      <xdr:spPr>
        <a:xfrm>
          <a:off x="952500" y="28575"/>
          <a:ext cx="3321675" cy="448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97B4A92-F411-4D38-9464-6F8EF38A5CDE}" type="TxLink">
            <a:rPr lang="en-US" sz="1600" b="1" i="0" u="none" strike="noStrike">
              <a:ln>
                <a:noFill/>
              </a:ln>
              <a:solidFill>
                <a:schemeClr val="accent2"/>
              </a:solidFill>
              <a:latin typeface="Times New Roman" panose="02020603050405020304" pitchFamily="18" charset="0"/>
              <a:cs typeface="Times New Roman" panose="02020603050405020304" pitchFamily="18" charset="0"/>
            </a:rPr>
            <a:pPr algn="l"/>
            <a:t>Demonstração de Mutação do Patrimônio Líquido</a:t>
          </a:fld>
          <a:endParaRPr lang="pt-BR" sz="3200" b="1" baseline="0">
            <a:ln>
              <a:noFill/>
            </a:ln>
            <a:solidFill>
              <a:schemeClr val="accent2"/>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9" name="CaixaDeTexto 8">
          <a:hlinkClick xmlns:r="http://schemas.openxmlformats.org/officeDocument/2006/relationships" r:id="rId1"/>
          <a:extLst>
            <a:ext uri="{FF2B5EF4-FFF2-40B4-BE49-F238E27FC236}">
              <a16:creationId xmlns:a16="http://schemas.microsoft.com/office/drawing/2014/main" id="{00000000-0008-0000-0A00-000009000000}"/>
            </a:ext>
          </a:extLst>
        </xdr:cNvPr>
        <xdr:cNvSpPr txBox="1"/>
      </xdr:nvSpPr>
      <xdr:spPr>
        <a:xfrm>
          <a:off x="13239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16</xdr:col>
      <xdr:colOff>602192</xdr:colOff>
      <xdr:row>0</xdr:row>
      <xdr:rowOff>68792</xdr:rowOff>
    </xdr:from>
    <xdr:to>
      <xdr:col>18</xdr:col>
      <xdr:colOff>30606</xdr:colOff>
      <xdr:row>3</xdr:row>
      <xdr:rowOff>75810</xdr:rowOff>
    </xdr:to>
    <xdr:pic>
      <xdr:nvPicPr>
        <xdr:cNvPr id="10" name="Imagem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74792" y="68792"/>
          <a:ext cx="904788" cy="42611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9525</xdr:rowOff>
    </xdr:from>
    <xdr:to>
      <xdr:col>2</xdr:col>
      <xdr:colOff>9525</xdr:colOff>
      <xdr:row>3</xdr:row>
      <xdr:rowOff>0</xdr:rowOff>
    </xdr:to>
    <xdr:sp macro="" textlink="">
      <xdr:nvSpPr>
        <xdr:cNvPr id="13" name="CaixaDeTexto 99">
          <a:extLst>
            <a:ext uri="{FF2B5EF4-FFF2-40B4-BE49-F238E27FC236}">
              <a16:creationId xmlns:a16="http://schemas.microsoft.com/office/drawing/2014/main" id="{00000000-0008-0000-0B00-00000D000000}"/>
            </a:ext>
          </a:extLst>
        </xdr:cNvPr>
        <xdr:cNvSpPr txBox="1"/>
      </xdr:nvSpPr>
      <xdr:spPr>
        <a:xfrm>
          <a:off x="1219200" y="9525"/>
          <a:ext cx="28194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EFFC86B-2936-49C4-ADED-64628A65BD7A}" type="TxLink">
            <a:rPr lang="en-US" sz="1600" b="1" i="0" u="none" strike="noStrike">
              <a:ln>
                <a:noFill/>
              </a:ln>
              <a:solidFill>
                <a:srgbClr val="F7931D"/>
              </a:solidFill>
              <a:latin typeface="Times New Roman"/>
              <a:cs typeface="Times New Roman"/>
            </a:rPr>
            <a:pPr algn="l"/>
            <a:t>Dados Operacionais Divisão Automotiva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7" name="CaixaDeTexto 6">
          <a:hlinkClick xmlns:r="http://schemas.openxmlformats.org/officeDocument/2006/relationships" r:id="rId1"/>
          <a:extLst>
            <a:ext uri="{FF2B5EF4-FFF2-40B4-BE49-F238E27FC236}">
              <a16:creationId xmlns:a16="http://schemas.microsoft.com/office/drawing/2014/main" id="{00000000-0008-0000-0B00-000007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6774312-0B79-4E64-ABF7-A0703CC89743}"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57</xdr:col>
      <xdr:colOff>365676</xdr:colOff>
      <xdr:row>0</xdr:row>
      <xdr:rowOff>44450</xdr:rowOff>
    </xdr:from>
    <xdr:ext cx="910080" cy="426118"/>
    <xdr:pic>
      <xdr:nvPicPr>
        <xdr:cNvPr id="5" name="Imagem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047076" y="44450"/>
          <a:ext cx="910080" cy="4261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9525</xdr:rowOff>
    </xdr:from>
    <xdr:to>
      <xdr:col>4</xdr:col>
      <xdr:colOff>330825</xdr:colOff>
      <xdr:row>3</xdr:row>
      <xdr:rowOff>0</xdr:rowOff>
    </xdr:to>
    <xdr:sp macro="" textlink="">
      <xdr:nvSpPr>
        <xdr:cNvPr id="2" name="CaixaDeTexto 99">
          <a:extLst>
            <a:ext uri="{FF2B5EF4-FFF2-40B4-BE49-F238E27FC236}">
              <a16:creationId xmlns:a16="http://schemas.microsoft.com/office/drawing/2014/main" id="{00000000-0008-0000-0C00-000002000000}"/>
            </a:ext>
          </a:extLst>
        </xdr:cNvPr>
        <xdr:cNvSpPr txBox="1"/>
      </xdr:nvSpPr>
      <xdr:spPr>
        <a:xfrm>
          <a:off x="0" y="9525"/>
          <a:ext cx="282637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501D8D9-26C8-4AB8-85E0-BC56112F7DEB}" type="TxLink">
            <a:rPr lang="en-US" sz="1600" b="1" i="0" u="none" strike="noStrike">
              <a:ln>
                <a:noFill/>
              </a:ln>
              <a:solidFill>
                <a:srgbClr val="F7931D"/>
              </a:solidFill>
              <a:latin typeface="Times New Roman"/>
              <a:cs typeface="Times New Roman"/>
            </a:rPr>
            <a:pPr algn="l"/>
            <a:t>Dividendos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C00-000003000000}"/>
            </a:ext>
          </a:extLst>
        </xdr:cNvPr>
        <xdr:cNvSpPr txBox="1"/>
      </xdr:nvSpPr>
      <xdr:spPr>
        <a:xfrm>
          <a:off x="1016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F440AE7-B1EE-4D93-B1E5-FCAA2A01A41B}"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9</xdr:col>
      <xdr:colOff>514350</xdr:colOff>
      <xdr:row>0</xdr:row>
      <xdr:rowOff>38100</xdr:rowOff>
    </xdr:from>
    <xdr:ext cx="910080" cy="426118"/>
    <xdr:pic>
      <xdr:nvPicPr>
        <xdr:cNvPr id="4" name="Imagem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96150" y="38100"/>
          <a:ext cx="910080" cy="426118"/>
        </a:xfrm>
        <a:prstGeom prst="rect">
          <a:avLst/>
        </a:prstGeom>
      </xdr:spPr>
    </xdr:pic>
    <xdr:clientData/>
  </xdr:oneCellAnchor>
  <xdr:oneCellAnchor>
    <xdr:from>
      <xdr:col>9</xdr:col>
      <xdr:colOff>514350</xdr:colOff>
      <xdr:row>0</xdr:row>
      <xdr:rowOff>38100</xdr:rowOff>
    </xdr:from>
    <xdr:ext cx="910080" cy="426118"/>
    <xdr:pic>
      <xdr:nvPicPr>
        <xdr:cNvPr id="5" name="Imagem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96150" y="38100"/>
          <a:ext cx="910080" cy="4261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D00-000004000000}"/>
            </a:ext>
          </a:extLst>
        </xdr:cNvPr>
        <xdr:cNvSpPr txBox="1"/>
      </xdr:nvSpPr>
      <xdr:spPr>
        <a:xfrm>
          <a:off x="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F9C9C69-955B-48A4-96CC-9FC9F776983D}"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xdr:from>
      <xdr:col>0</xdr:col>
      <xdr:colOff>0</xdr:colOff>
      <xdr:row>0</xdr:row>
      <xdr:rowOff>76200</xdr:rowOff>
    </xdr:from>
    <xdr:to>
      <xdr:col>21</xdr:col>
      <xdr:colOff>120651</xdr:colOff>
      <xdr:row>3</xdr:row>
      <xdr:rowOff>69900</xdr:rowOff>
    </xdr:to>
    <xdr:sp macro="" textlink="">
      <xdr:nvSpPr>
        <xdr:cNvPr id="2" name="CaixaDeTexto 99">
          <a:extLst>
            <a:ext uri="{FF2B5EF4-FFF2-40B4-BE49-F238E27FC236}">
              <a16:creationId xmlns:a16="http://schemas.microsoft.com/office/drawing/2014/main" id="{00000000-0008-0000-0D00-000002000000}"/>
            </a:ext>
          </a:extLst>
        </xdr:cNvPr>
        <xdr:cNvSpPr txBox="1"/>
      </xdr:nvSpPr>
      <xdr:spPr>
        <a:xfrm>
          <a:off x="1" y="76200"/>
          <a:ext cx="14674850" cy="539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117A359-470D-41BD-96EB-0BE4E3222B75}" type="TxLink">
            <a:rPr lang="en-US" sz="1600" b="1" i="0" u="none" strike="noStrike">
              <a:ln>
                <a:noFill/>
              </a:ln>
              <a:solidFill>
                <a:srgbClr val="F7931D"/>
              </a:solidFill>
              <a:latin typeface="Times New Roman"/>
              <a:cs typeface="Times New Roman"/>
            </a:rPr>
            <a:pPr algn="l"/>
            <a:t>Estimativas (em R$ milhão)</a:t>
          </a:fld>
          <a:endParaRPr lang="pt-BR" sz="1600" b="1" i="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119</xdr:col>
      <xdr:colOff>253196</xdr:colOff>
      <xdr:row>0</xdr:row>
      <xdr:rowOff>44450</xdr:rowOff>
    </xdr:from>
    <xdr:ext cx="910080" cy="426118"/>
    <xdr:pic>
      <xdr:nvPicPr>
        <xdr:cNvPr id="3" name="Imagem 2">
          <a:extLst>
            <a:ext uri="{FF2B5EF4-FFF2-40B4-BE49-F238E27FC236}">
              <a16:creationId xmlns:a16="http://schemas.microsoft.com/office/drawing/2014/main" id="{2A246FD5-73E7-41F3-BDE0-69EDA3D1A5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05746" y="44450"/>
          <a:ext cx="910080" cy="42611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2</xdr:row>
      <xdr:rowOff>38100</xdr:rowOff>
    </xdr:from>
    <xdr:ext cx="610290" cy="285750"/>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610290" cy="28575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9525</xdr:rowOff>
    </xdr:from>
    <xdr:to>
      <xdr:col>1</xdr:col>
      <xdr:colOff>3133725</xdr:colOff>
      <xdr:row>3</xdr:row>
      <xdr:rowOff>0</xdr:rowOff>
    </xdr:to>
    <xdr:sp macro="" textlink="">
      <xdr:nvSpPr>
        <xdr:cNvPr id="6" name="CaixaDeTexto 99">
          <a:extLst>
            <a:ext uri="{FF2B5EF4-FFF2-40B4-BE49-F238E27FC236}">
              <a16:creationId xmlns:a16="http://schemas.microsoft.com/office/drawing/2014/main" id="{00000000-0008-0000-0F00-000006000000}"/>
            </a:ext>
          </a:extLst>
        </xdr:cNvPr>
        <xdr:cNvSpPr txBox="1"/>
      </xdr:nvSpPr>
      <xdr:spPr>
        <a:xfrm>
          <a:off x="6534150" y="9525"/>
          <a:ext cx="32480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202B607-E589-461A-87A6-E36570460FFC}" type="TxLink">
            <a:rPr lang="en-US" sz="1600" b="1" i="0" u="none" strike="noStrike">
              <a:ln>
                <a:noFill/>
              </a:ln>
              <a:solidFill>
                <a:srgbClr val="F7931D"/>
              </a:solidFill>
              <a:latin typeface="Times New Roman"/>
              <a:cs typeface="Times New Roman"/>
            </a:rPr>
            <a:pPr algn="l"/>
            <a:t>Anexos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F00-000004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E82B801-7ACD-406B-BFB6-CE821D451689}"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29</xdr:col>
      <xdr:colOff>285750</xdr:colOff>
      <xdr:row>0</xdr:row>
      <xdr:rowOff>142875</xdr:rowOff>
    </xdr:from>
    <xdr:ext cx="910080" cy="419100"/>
    <xdr:pic>
      <xdr:nvPicPr>
        <xdr:cNvPr id="2" name="Imagem 1">
          <a:extLst>
            <a:ext uri="{FF2B5EF4-FFF2-40B4-BE49-F238E27FC236}">
              <a16:creationId xmlns:a16="http://schemas.microsoft.com/office/drawing/2014/main" id="{84609358-F160-41BF-8614-CA0878F136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622000" y="142875"/>
          <a:ext cx="910080" cy="4191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4" name="CaixaDeTexto 99">
          <a:extLst>
            <a:ext uri="{FF2B5EF4-FFF2-40B4-BE49-F238E27FC236}">
              <a16:creationId xmlns:a16="http://schemas.microsoft.com/office/drawing/2014/main" id="{00000000-0008-0000-10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4044DBD-3DD1-43B0-B99F-0C57D59547AC}" type="TxLink">
            <a:rPr lang="en-US" sz="1600" b="1" i="0" u="none" strike="noStrike">
              <a:ln>
                <a:noFill/>
              </a:ln>
              <a:solidFill>
                <a:srgbClr val="F7931D"/>
              </a:solidFill>
              <a:latin typeface="Times New Roman"/>
              <a:cs typeface="Times New Roman"/>
            </a:rPr>
            <a:pPr algn="l"/>
            <a:t>Análise de Sensibilidade</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0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DFD0165-492E-40CA-B330-0C5CD6783258}"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49</xdr:col>
      <xdr:colOff>664845</xdr:colOff>
      <xdr:row>0</xdr:row>
      <xdr:rowOff>32385</xdr:rowOff>
    </xdr:from>
    <xdr:ext cx="910080" cy="426118"/>
    <xdr:pic>
      <xdr:nvPicPr>
        <xdr:cNvPr id="6" name="Imagem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371395" y="32385"/>
          <a:ext cx="910080" cy="42611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2057400</xdr:colOff>
      <xdr:row>3</xdr:row>
      <xdr:rowOff>146533</xdr:rowOff>
    </xdr:to>
    <xdr:sp macro="" textlink="">
      <xdr:nvSpPr>
        <xdr:cNvPr id="3" name="CaixaDeTexto 99">
          <a:extLst>
            <a:ext uri="{FF2B5EF4-FFF2-40B4-BE49-F238E27FC236}">
              <a16:creationId xmlns:a16="http://schemas.microsoft.com/office/drawing/2014/main" id="{00000000-0008-0000-1100-000003000000}"/>
            </a:ext>
          </a:extLst>
        </xdr:cNvPr>
        <xdr:cNvSpPr txBox="1"/>
      </xdr:nvSpPr>
      <xdr:spPr>
        <a:xfrm>
          <a:off x="0" y="0"/>
          <a:ext cx="2152650" cy="565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89AEF0A-53EF-4978-9960-047064377264}" type="TxLink">
            <a:rPr lang="en-US" sz="1600" b="1" i="0" u="none" strike="noStrike">
              <a:ln>
                <a:noFill/>
              </a:ln>
              <a:solidFill>
                <a:srgbClr val="F7931D"/>
              </a:solidFill>
              <a:latin typeface="Times New Roman"/>
              <a:cs typeface="Times New Roman"/>
            </a:rPr>
            <a:pPr algn="l"/>
            <a:t>Risco de liquidez</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100-000005000000}"/>
            </a:ext>
          </a:extLst>
        </xdr:cNvPr>
        <xdr:cNvSpPr txBox="1"/>
      </xdr:nvSpPr>
      <xdr:spPr>
        <a:xfrm>
          <a:off x="1016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9777F7D-9C32-4142-84A5-BC4B3AF81800}"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5</xdr:col>
      <xdr:colOff>514350</xdr:colOff>
      <xdr:row>0</xdr:row>
      <xdr:rowOff>66675</xdr:rowOff>
    </xdr:from>
    <xdr:to>
      <xdr:col>6</xdr:col>
      <xdr:colOff>710055</xdr:colOff>
      <xdr:row>3</xdr:row>
      <xdr:rowOff>73693</xdr:rowOff>
    </xdr:to>
    <xdr:pic>
      <xdr:nvPicPr>
        <xdr:cNvPr id="6" name="Imagem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05400" y="66675"/>
          <a:ext cx="910080" cy="426118"/>
        </a:xfrm>
        <a:prstGeom prst="rect">
          <a:avLst/>
        </a:prstGeom>
      </xdr:spPr>
    </xdr:pic>
    <xdr:clientData/>
  </xdr:twoCellAnchor>
  <xdr:oneCellAnchor>
    <xdr:from>
      <xdr:col>12</xdr:col>
      <xdr:colOff>485775</xdr:colOff>
      <xdr:row>0</xdr:row>
      <xdr:rowOff>66675</xdr:rowOff>
    </xdr:from>
    <xdr:ext cx="910080" cy="426118"/>
    <xdr:pic>
      <xdr:nvPicPr>
        <xdr:cNvPr id="8" name="Imagem 7">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91675" y="66675"/>
          <a:ext cx="910080" cy="42611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38100</xdr:colOff>
      <xdr:row>3</xdr:row>
      <xdr:rowOff>146100</xdr:rowOff>
    </xdr:to>
    <xdr:sp macro="" textlink="">
      <xdr:nvSpPr>
        <xdr:cNvPr id="4" name="CaixaDeTexto 99">
          <a:extLst>
            <a:ext uri="{FF2B5EF4-FFF2-40B4-BE49-F238E27FC236}">
              <a16:creationId xmlns:a16="http://schemas.microsoft.com/office/drawing/2014/main" id="{00000000-0008-0000-1200-000004000000}"/>
            </a:ext>
          </a:extLst>
        </xdr:cNvPr>
        <xdr:cNvSpPr txBox="1"/>
      </xdr:nvSpPr>
      <xdr:spPr>
        <a:xfrm>
          <a:off x="9524" y="0"/>
          <a:ext cx="3781426"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4571083-CDA9-4733-9ABC-9DF0BA42F3A3}" type="TxLink">
            <a:rPr lang="en-US" sz="1600" b="1" i="0" u="none" strike="noStrike">
              <a:ln>
                <a:noFill/>
              </a:ln>
              <a:solidFill>
                <a:srgbClr val="F7931D"/>
              </a:solidFill>
              <a:latin typeface="Times New Roman"/>
              <a:cs typeface="Times New Roman"/>
            </a:rPr>
            <a:pPr algn="l"/>
            <a:t>Gestão de Capital</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9525</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200-000005000000}"/>
            </a:ext>
          </a:extLst>
        </xdr:cNvPr>
        <xdr:cNvSpPr txBox="1"/>
      </xdr:nvSpPr>
      <xdr:spPr>
        <a:xfrm>
          <a:off x="13239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642AB5D-B55A-40DF-A848-5CFB07A3A39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50</xdr:col>
      <xdr:colOff>508000</xdr:colOff>
      <xdr:row>0</xdr:row>
      <xdr:rowOff>88900</xdr:rowOff>
    </xdr:from>
    <xdr:ext cx="910080" cy="426118"/>
    <xdr:pic>
      <xdr:nvPicPr>
        <xdr:cNvPr id="7" name="Imagem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579300" y="88900"/>
          <a:ext cx="910080" cy="42611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342900</xdr:colOff>
      <xdr:row>5</xdr:row>
      <xdr:rowOff>19050</xdr:rowOff>
    </xdr:to>
    <xdr:sp macro="" textlink="">
      <xdr:nvSpPr>
        <xdr:cNvPr id="2" name="CaixaDeTexto 99">
          <a:extLst>
            <a:ext uri="{FF2B5EF4-FFF2-40B4-BE49-F238E27FC236}">
              <a16:creationId xmlns:a16="http://schemas.microsoft.com/office/drawing/2014/main" id="{00000000-0008-0000-0100-000002000000}"/>
            </a:ext>
          </a:extLst>
        </xdr:cNvPr>
        <xdr:cNvSpPr txBox="1"/>
      </xdr:nvSpPr>
      <xdr:spPr>
        <a:xfrm>
          <a:off x="0" y="0"/>
          <a:ext cx="2143125"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C994242-F7F9-491E-ABFB-40E4163B03C1}" type="TxLink">
            <a:rPr lang="en-US" sz="1600" b="1" i="0" u="none" strike="noStrike">
              <a:ln>
                <a:noFill/>
              </a:ln>
              <a:solidFill>
                <a:srgbClr val="F7931D"/>
              </a:solidFill>
              <a:latin typeface="Times New Roman"/>
              <a:cs typeface="Times New Roman"/>
            </a:rPr>
            <a:pPr algn="l"/>
            <a:t>Análise Rápida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twoCellAnchor>
    <xdr:from>
      <xdr:col>2</xdr:col>
      <xdr:colOff>28576</xdr:colOff>
      <xdr:row>0</xdr:row>
      <xdr:rowOff>28575</xdr:rowOff>
    </xdr:from>
    <xdr:to>
      <xdr:col>11</xdr:col>
      <xdr:colOff>676275</xdr:colOff>
      <xdr:row>3</xdr:row>
      <xdr:rowOff>123826</xdr:rowOff>
    </xdr:to>
    <xdr:sp macro="" textlink="">
      <xdr:nvSpPr>
        <xdr:cNvPr id="4" name="CaixaDeTexto 99">
          <a:extLst>
            <a:ext uri="{FF2B5EF4-FFF2-40B4-BE49-F238E27FC236}">
              <a16:creationId xmlns:a16="http://schemas.microsoft.com/office/drawing/2014/main" id="{00000000-0008-0000-0100-000004000000}"/>
            </a:ext>
          </a:extLst>
        </xdr:cNvPr>
        <xdr:cNvSpPr txBox="1"/>
      </xdr:nvSpPr>
      <xdr:spPr>
        <a:xfrm>
          <a:off x="1828801" y="28575"/>
          <a:ext cx="3686174" cy="523876"/>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20EE20D-3B19-4347-B377-0F13FB59F856}" type="TxLink">
            <a:rPr lang="en-US" sz="900" b="1" i="0" u="sng" strike="noStrike">
              <a:ln>
                <a:noFill/>
              </a:ln>
              <a:solidFill>
                <a:srgbClr val="000000"/>
              </a:solidFill>
              <a:latin typeface="Arial"/>
              <a:cs typeface="Arial"/>
            </a:rPr>
            <a:pPr algn="l"/>
            <a:t>Esta aba considera os números de DRE ajustados por eventos não recorrentes </a:t>
          </a:fld>
          <a:endParaRPr lang="pt-BR" sz="1400" b="1" u="sng">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46</xdr:col>
      <xdr:colOff>370644</xdr:colOff>
      <xdr:row>0</xdr:row>
      <xdr:rowOff>82550</xdr:rowOff>
    </xdr:from>
    <xdr:ext cx="910080" cy="426118"/>
    <xdr:pic>
      <xdr:nvPicPr>
        <xdr:cNvPr id="6" name="Imagem 5">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49544" y="82550"/>
          <a:ext cx="910080" cy="426118"/>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xdr:from>
      <xdr:col>0</xdr:col>
      <xdr:colOff>9524</xdr:colOff>
      <xdr:row>0</xdr:row>
      <xdr:rowOff>9525</xdr:rowOff>
    </xdr:from>
    <xdr:to>
      <xdr:col>4</xdr:col>
      <xdr:colOff>283199</xdr:colOff>
      <xdr:row>3</xdr:row>
      <xdr:rowOff>155625</xdr:rowOff>
    </xdr:to>
    <xdr:sp macro="" textlink="">
      <xdr:nvSpPr>
        <xdr:cNvPr id="4" name="CaixaDeTexto 99">
          <a:extLst>
            <a:ext uri="{FF2B5EF4-FFF2-40B4-BE49-F238E27FC236}">
              <a16:creationId xmlns:a16="http://schemas.microsoft.com/office/drawing/2014/main" id="{00000000-0008-0000-1300-000004000000}"/>
            </a:ext>
          </a:extLst>
        </xdr:cNvPr>
        <xdr:cNvSpPr txBox="1"/>
      </xdr:nvSpPr>
      <xdr:spPr>
        <a:xfrm>
          <a:off x="9524" y="9525"/>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2F0CA2C-CCF6-4FDC-A76F-16753924A469}" type="TxLink">
            <a:rPr lang="en-US" sz="1600" b="1" i="0" u="none" strike="noStrike">
              <a:ln>
                <a:noFill/>
              </a:ln>
              <a:solidFill>
                <a:srgbClr val="F7931D"/>
              </a:solidFill>
              <a:latin typeface="Times New Roman"/>
              <a:cs typeface="Times New Roman"/>
            </a:rPr>
            <a:pPr algn="l"/>
            <a:t>Caixa e equivalente de caixa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3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7568485-BD78-4E0D-8461-621B3B6E4ED5}"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50</xdr:col>
      <xdr:colOff>533400</xdr:colOff>
      <xdr:row>0</xdr:row>
      <xdr:rowOff>76835</xdr:rowOff>
    </xdr:from>
    <xdr:ext cx="910080" cy="426118"/>
    <xdr:pic>
      <xdr:nvPicPr>
        <xdr:cNvPr id="7" name="Imagem 6">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318950" y="76835"/>
          <a:ext cx="910080" cy="42611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102225</xdr:colOff>
      <xdr:row>3</xdr:row>
      <xdr:rowOff>146100</xdr:rowOff>
    </xdr:to>
    <xdr:sp macro="" textlink="">
      <xdr:nvSpPr>
        <xdr:cNvPr id="4" name="CaixaDeTexto 99">
          <a:extLst>
            <a:ext uri="{FF2B5EF4-FFF2-40B4-BE49-F238E27FC236}">
              <a16:creationId xmlns:a16="http://schemas.microsoft.com/office/drawing/2014/main" id="{00000000-0008-0000-14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FA97AA6-989B-4F56-A916-723620D591CE}" type="TxLink">
            <a:rPr lang="en-US" sz="1600" b="1" i="0" u="none" strike="noStrike">
              <a:ln>
                <a:noFill/>
              </a:ln>
              <a:solidFill>
                <a:srgbClr val="F7931D"/>
              </a:solidFill>
              <a:latin typeface="Times New Roman"/>
              <a:cs typeface="Times New Roman"/>
            </a:rPr>
            <a:pPr algn="l"/>
            <a:t>Contas a receber</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4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AD01398-F431-4202-A699-E6CB4D65EDAD}"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50</xdr:col>
      <xdr:colOff>690245</xdr:colOff>
      <xdr:row>0</xdr:row>
      <xdr:rowOff>53975</xdr:rowOff>
    </xdr:from>
    <xdr:ext cx="910080" cy="426118"/>
    <xdr:pic>
      <xdr:nvPicPr>
        <xdr:cNvPr id="7" name="Imagem 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834945" y="53975"/>
          <a:ext cx="910080" cy="42611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359400</xdr:colOff>
      <xdr:row>3</xdr:row>
      <xdr:rowOff>146100</xdr:rowOff>
    </xdr:to>
    <xdr:sp macro="" textlink="">
      <xdr:nvSpPr>
        <xdr:cNvPr id="4" name="CaixaDeTexto 99">
          <a:extLst>
            <a:ext uri="{FF2B5EF4-FFF2-40B4-BE49-F238E27FC236}">
              <a16:creationId xmlns:a16="http://schemas.microsoft.com/office/drawing/2014/main" id="{00000000-0008-0000-15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D6BBA46-77B0-4A0E-A78E-906773D98A02}" type="TxLink">
            <a:rPr lang="en-US" sz="1600" b="1" i="0" u="none" strike="noStrike">
              <a:ln>
                <a:noFill/>
              </a:ln>
              <a:solidFill>
                <a:srgbClr val="F7931D"/>
              </a:solidFill>
              <a:latin typeface="Times New Roman"/>
              <a:cs typeface="Times New Roman"/>
            </a:rPr>
            <a:pPr algn="l"/>
            <a:t>Contas a receber - Aging</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5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B36E4B0-6B6C-4F9B-A2D5-09D716A4BCE3}"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49</xdr:col>
      <xdr:colOff>247015</xdr:colOff>
      <xdr:row>0</xdr:row>
      <xdr:rowOff>161925</xdr:rowOff>
    </xdr:from>
    <xdr:ext cx="910080" cy="426118"/>
    <xdr:pic>
      <xdr:nvPicPr>
        <xdr:cNvPr id="7" name="Imagem 6">
          <a:extLst>
            <a:ext uri="{FF2B5EF4-FFF2-40B4-BE49-F238E27FC236}">
              <a16:creationId xmlns:a16="http://schemas.microsoft.com/office/drawing/2014/main" id="{00000000-0008-0000-15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89365" y="161925"/>
          <a:ext cx="910080" cy="42611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378450</xdr:colOff>
      <xdr:row>3</xdr:row>
      <xdr:rowOff>146100</xdr:rowOff>
    </xdr:to>
    <xdr:sp macro="" textlink="">
      <xdr:nvSpPr>
        <xdr:cNvPr id="4" name="CaixaDeTexto 99">
          <a:extLst>
            <a:ext uri="{FF2B5EF4-FFF2-40B4-BE49-F238E27FC236}">
              <a16:creationId xmlns:a16="http://schemas.microsoft.com/office/drawing/2014/main" id="{00000000-0008-0000-16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2F2F8976-8993-4FE7-BA0B-058142905BA1}" type="TxLink">
            <a:rPr lang="en-US" sz="1600" b="1" i="0" u="none" strike="noStrike">
              <a:ln>
                <a:noFill/>
              </a:ln>
              <a:solidFill>
                <a:srgbClr val="F7931D"/>
              </a:solidFill>
              <a:latin typeface="Times New Roman"/>
              <a:cs typeface="Times New Roman"/>
            </a:rPr>
            <a:pPr algn="l"/>
            <a:t>Contas a receber mov PDD</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6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BAAF9B7-D51F-47E9-A209-DB0011FEC093}"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50</xdr:col>
      <xdr:colOff>296545</xdr:colOff>
      <xdr:row>0</xdr:row>
      <xdr:rowOff>76200</xdr:rowOff>
    </xdr:from>
    <xdr:ext cx="910080" cy="426118"/>
    <xdr:pic>
      <xdr:nvPicPr>
        <xdr:cNvPr id="6" name="Imagem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767520" y="76200"/>
          <a:ext cx="910080" cy="42611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714374</xdr:colOff>
      <xdr:row>3</xdr:row>
      <xdr:rowOff>146100</xdr:rowOff>
    </xdr:to>
    <xdr:sp macro="" textlink="">
      <xdr:nvSpPr>
        <xdr:cNvPr id="4" name="CaixaDeTexto 99">
          <a:extLst>
            <a:ext uri="{FF2B5EF4-FFF2-40B4-BE49-F238E27FC236}">
              <a16:creationId xmlns:a16="http://schemas.microsoft.com/office/drawing/2014/main" id="{00000000-0008-0000-1700-000004000000}"/>
            </a:ext>
          </a:extLst>
        </xdr:cNvPr>
        <xdr:cNvSpPr txBox="1"/>
      </xdr:nvSpPr>
      <xdr:spPr>
        <a:xfrm>
          <a:off x="0" y="0"/>
          <a:ext cx="3038474"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DFD62C9-15CF-42B1-92BE-2741C797966C}" type="TxLink">
            <a:rPr lang="en-US" sz="1600" b="1" i="0" u="none" strike="noStrike">
              <a:ln>
                <a:noFill/>
              </a:ln>
              <a:solidFill>
                <a:srgbClr val="F7931D"/>
              </a:solidFill>
              <a:latin typeface="Times New Roman"/>
              <a:cs typeface="Times New Roman"/>
            </a:rPr>
            <a:pPr algn="l"/>
            <a:t>Demais contas a receber</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7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ECBDC9C-105E-45EF-889E-97DECC4EFC9B}"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50</xdr:col>
      <xdr:colOff>228600</xdr:colOff>
      <xdr:row>0</xdr:row>
      <xdr:rowOff>82550</xdr:rowOff>
    </xdr:from>
    <xdr:ext cx="910080" cy="426118"/>
    <xdr:pic>
      <xdr:nvPicPr>
        <xdr:cNvPr id="6" name="Imagem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625280" y="82550"/>
          <a:ext cx="910080" cy="42611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19050</xdr:rowOff>
    </xdr:from>
    <xdr:to>
      <xdr:col>2</xdr:col>
      <xdr:colOff>47625</xdr:colOff>
      <xdr:row>4</xdr:row>
      <xdr:rowOff>3225</xdr:rowOff>
    </xdr:to>
    <xdr:sp macro="" textlink="">
      <xdr:nvSpPr>
        <xdr:cNvPr id="4" name="CaixaDeTexto 99">
          <a:extLst>
            <a:ext uri="{FF2B5EF4-FFF2-40B4-BE49-F238E27FC236}">
              <a16:creationId xmlns:a16="http://schemas.microsoft.com/office/drawing/2014/main" id="{00000000-0008-0000-1800-000004000000}"/>
            </a:ext>
          </a:extLst>
        </xdr:cNvPr>
        <xdr:cNvSpPr txBox="1"/>
      </xdr:nvSpPr>
      <xdr:spPr>
        <a:xfrm>
          <a:off x="1219200" y="19050"/>
          <a:ext cx="26670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3750E241-3609-44B7-9BB9-C48D00DE27E7}" type="TxLink">
            <a:rPr lang="en-US" sz="1600" b="1" i="0" u="none" strike="noStrike">
              <a:ln>
                <a:noFill/>
              </a:ln>
              <a:solidFill>
                <a:srgbClr val="F7931D"/>
              </a:solidFill>
              <a:latin typeface="Times New Roman"/>
              <a:cs typeface="Times New Roman"/>
            </a:rPr>
            <a:pPr algn="l"/>
            <a:t>Impostos a recuperar</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8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883ED3E-AF89-4861-854C-390E01641A97}"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50</xdr:col>
      <xdr:colOff>278765</xdr:colOff>
      <xdr:row>0</xdr:row>
      <xdr:rowOff>92710</xdr:rowOff>
    </xdr:from>
    <xdr:ext cx="910080" cy="426118"/>
    <xdr:pic>
      <xdr:nvPicPr>
        <xdr:cNvPr id="6" name="Imagem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444940" y="92710"/>
          <a:ext cx="910080" cy="42611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twoCellAnchor>
    <xdr:from>
      <xdr:col>0</xdr:col>
      <xdr:colOff>9525</xdr:colOff>
      <xdr:row>0</xdr:row>
      <xdr:rowOff>0</xdr:rowOff>
    </xdr:from>
    <xdr:to>
      <xdr:col>2</xdr:col>
      <xdr:colOff>102225</xdr:colOff>
      <xdr:row>3</xdr:row>
      <xdr:rowOff>146100</xdr:rowOff>
    </xdr:to>
    <xdr:sp macro="" textlink="">
      <xdr:nvSpPr>
        <xdr:cNvPr id="4" name="CaixaDeTexto 99">
          <a:extLst>
            <a:ext uri="{FF2B5EF4-FFF2-40B4-BE49-F238E27FC236}">
              <a16:creationId xmlns:a16="http://schemas.microsoft.com/office/drawing/2014/main" id="{00000000-0008-0000-1900-000004000000}"/>
            </a:ext>
          </a:extLst>
        </xdr:cNvPr>
        <xdr:cNvSpPr txBox="1"/>
      </xdr:nvSpPr>
      <xdr:spPr>
        <a:xfrm>
          <a:off x="9525"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068A9B8-434C-4DB5-A638-3ADA40FD6A3F}" type="TxLink">
            <a:rPr lang="en-US" sz="1600" b="1" i="0" u="none" strike="noStrike">
              <a:ln>
                <a:noFill/>
              </a:ln>
              <a:solidFill>
                <a:srgbClr val="F7931D"/>
              </a:solidFill>
              <a:latin typeface="Times New Roman"/>
              <a:cs typeface="Times New Roman"/>
            </a:rPr>
            <a:pPr algn="l"/>
            <a:t>Investimentos A</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9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CEFF0C5-9BEE-4223-B245-B0073ECFF699}"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150</xdr:col>
      <xdr:colOff>317500</xdr:colOff>
      <xdr:row>0</xdr:row>
      <xdr:rowOff>88900</xdr:rowOff>
    </xdr:from>
    <xdr:ext cx="910080" cy="426118"/>
    <xdr:pic>
      <xdr:nvPicPr>
        <xdr:cNvPr id="7" name="Imagem 6">
          <a:extLst>
            <a:ext uri="{FF2B5EF4-FFF2-40B4-BE49-F238E27FC236}">
              <a16:creationId xmlns:a16="http://schemas.microsoft.com/office/drawing/2014/main" id="{00000000-0008-0000-19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045000" y="88900"/>
          <a:ext cx="910080" cy="42611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502275</xdr:colOff>
      <xdr:row>3</xdr:row>
      <xdr:rowOff>29250</xdr:rowOff>
    </xdr:to>
    <xdr:sp macro="" textlink="">
      <xdr:nvSpPr>
        <xdr:cNvPr id="4" name="CaixaDeTexto 99">
          <a:extLst>
            <a:ext uri="{FF2B5EF4-FFF2-40B4-BE49-F238E27FC236}">
              <a16:creationId xmlns:a16="http://schemas.microsoft.com/office/drawing/2014/main" id="{00000000-0008-0000-1A00-000004000000}"/>
            </a:ext>
          </a:extLst>
        </xdr:cNvPr>
        <xdr:cNvSpPr txBox="1"/>
      </xdr:nvSpPr>
      <xdr:spPr>
        <a:xfrm>
          <a:off x="0" y="0"/>
          <a:ext cx="4093200" cy="543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478ED3D-6852-4D89-A764-94377044B12C}" type="TxLink">
            <a:rPr lang="en-US" sz="1600" b="1" i="0" u="none" strike="noStrike">
              <a:ln>
                <a:noFill/>
              </a:ln>
              <a:solidFill>
                <a:srgbClr val="F7931D"/>
              </a:solidFill>
              <a:latin typeface="Times New Roman"/>
              <a:cs typeface="Times New Roman"/>
            </a:rPr>
            <a:pPr algn="l"/>
            <a:t>Investimentos C</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6" name="CaixaDeTexto 5">
          <a:hlinkClick xmlns:r="http://schemas.openxmlformats.org/officeDocument/2006/relationships" r:id="rId1"/>
          <a:extLst>
            <a:ext uri="{FF2B5EF4-FFF2-40B4-BE49-F238E27FC236}">
              <a16:creationId xmlns:a16="http://schemas.microsoft.com/office/drawing/2014/main" id="{00000000-0008-0000-1A00-000006000000}"/>
            </a:ext>
          </a:extLst>
        </xdr:cNvPr>
        <xdr:cNvSpPr txBox="1"/>
      </xdr:nvSpPr>
      <xdr:spPr>
        <a:xfrm>
          <a:off x="13239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23</xdr:col>
      <xdr:colOff>298824</xdr:colOff>
      <xdr:row>0</xdr:row>
      <xdr:rowOff>65928</xdr:rowOff>
    </xdr:from>
    <xdr:to>
      <xdr:col>24</xdr:col>
      <xdr:colOff>606589</xdr:colOff>
      <xdr:row>3</xdr:row>
      <xdr:rowOff>76681</xdr:rowOff>
    </xdr:to>
    <xdr:pic>
      <xdr:nvPicPr>
        <xdr:cNvPr id="7" name="Imagem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647706" y="65928"/>
          <a:ext cx="950236" cy="42163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187950</xdr:colOff>
      <xdr:row>3</xdr:row>
      <xdr:rowOff>146100</xdr:rowOff>
    </xdr:to>
    <xdr:sp macro="" textlink="">
      <xdr:nvSpPr>
        <xdr:cNvPr id="4" name="CaixaDeTexto 99">
          <a:extLst>
            <a:ext uri="{FF2B5EF4-FFF2-40B4-BE49-F238E27FC236}">
              <a16:creationId xmlns:a16="http://schemas.microsoft.com/office/drawing/2014/main" id="{00000000-0008-0000-1B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31686F23-DE83-4A3C-83F1-9FD03EEA4962}" type="TxLink">
            <a:rPr lang="en-US" sz="1600" b="1" i="0" u="none" strike="noStrike">
              <a:ln>
                <a:noFill/>
              </a:ln>
              <a:solidFill>
                <a:srgbClr val="F7931D"/>
              </a:solidFill>
              <a:latin typeface="Times New Roman"/>
              <a:cs typeface="Times New Roman"/>
            </a:rPr>
            <a:pPr algn="l"/>
            <a:t>Investimentos 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B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AF6DB107-8BDA-4E18-9419-47F92E7DB062}"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7</xdr:col>
      <xdr:colOff>462446</xdr:colOff>
      <xdr:row>0</xdr:row>
      <xdr:rowOff>65571</xdr:rowOff>
    </xdr:from>
    <xdr:to>
      <xdr:col>8</xdr:col>
      <xdr:colOff>705638</xdr:colOff>
      <xdr:row>3</xdr:row>
      <xdr:rowOff>71209</xdr:rowOff>
    </xdr:to>
    <xdr:pic>
      <xdr:nvPicPr>
        <xdr:cNvPr id="7" name="Imagem 6">
          <a:extLst>
            <a:ext uri="{FF2B5EF4-FFF2-40B4-BE49-F238E27FC236}">
              <a16:creationId xmlns:a16="http://schemas.microsoft.com/office/drawing/2014/main" id="{00000000-0008-0000-1B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25435" y="65571"/>
          <a:ext cx="995529" cy="41976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2060511</xdr:colOff>
      <xdr:row>3</xdr:row>
      <xdr:rowOff>146100</xdr:rowOff>
    </xdr:to>
    <xdr:sp macro="" textlink="">
      <xdr:nvSpPr>
        <xdr:cNvPr id="6" name="CaixaDeTexto 99">
          <a:extLst>
            <a:ext uri="{FF2B5EF4-FFF2-40B4-BE49-F238E27FC236}">
              <a16:creationId xmlns:a16="http://schemas.microsoft.com/office/drawing/2014/main" id="{00000000-0008-0000-1C00-000006000000}"/>
            </a:ext>
          </a:extLst>
        </xdr:cNvPr>
        <xdr:cNvSpPr txBox="1"/>
      </xdr:nvSpPr>
      <xdr:spPr>
        <a:xfrm>
          <a:off x="1224644" y="0"/>
          <a:ext cx="2157704" cy="573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6A11E7F-F810-45E9-BD15-6C4AA66416FE}" type="TxLink">
            <a:rPr lang="en-US" sz="1600" b="1" i="0" u="none" strike="noStrike">
              <a:ln>
                <a:noFill/>
              </a:ln>
              <a:solidFill>
                <a:srgbClr val="F7931D"/>
              </a:solidFill>
              <a:latin typeface="Times New Roman"/>
              <a:cs typeface="Times New Roman"/>
            </a:rPr>
            <a:pPr algn="l"/>
            <a:t>Investimentos F</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1C00-000004000000}"/>
            </a:ext>
          </a:extLst>
        </xdr:cNvPr>
        <xdr:cNvSpPr txBox="1"/>
      </xdr:nvSpPr>
      <xdr:spPr>
        <a:xfrm>
          <a:off x="1321837"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5FC8F8C-A845-444F-9B92-5027C945C3E8}"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50</xdr:col>
      <xdr:colOff>505843</xdr:colOff>
      <xdr:row>0</xdr:row>
      <xdr:rowOff>58669</xdr:rowOff>
    </xdr:from>
    <xdr:ext cx="910080" cy="426118"/>
    <xdr:pic>
      <xdr:nvPicPr>
        <xdr:cNvPr id="5" name="Imagem 4">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85626" y="58669"/>
          <a:ext cx="910080" cy="4261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2" name="CaixaDeTexto 99">
          <a:extLst>
            <a:ext uri="{FF2B5EF4-FFF2-40B4-BE49-F238E27FC236}">
              <a16:creationId xmlns:a16="http://schemas.microsoft.com/office/drawing/2014/main" id="{00000000-0008-0000-0200-000002000000}"/>
            </a:ext>
          </a:extLst>
        </xdr:cNvPr>
        <xdr:cNvSpPr txBox="1"/>
      </xdr:nvSpPr>
      <xdr:spPr>
        <a:xfrm>
          <a:off x="0" y="0"/>
          <a:ext cx="2435850"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4044DBD-3DD1-43B0-B99F-0C57D59547AC}" type="TxLink">
            <a:rPr lang="en-US" sz="1600" b="1" i="0" u="none" strike="noStrike">
              <a:ln>
                <a:noFill/>
              </a:ln>
              <a:solidFill>
                <a:srgbClr val="F7931D"/>
              </a:solidFill>
              <a:latin typeface="Times New Roman"/>
              <a:cs typeface="Times New Roman"/>
            </a:rPr>
            <a:pPr algn="l"/>
            <a:t>Análise de Sensibilidade</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200-000003000000}"/>
            </a:ext>
          </a:extLst>
        </xdr:cNvPr>
        <xdr:cNvSpPr txBox="1"/>
      </xdr:nvSpPr>
      <xdr:spPr>
        <a:xfrm>
          <a:off x="18288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DFD0165-492E-40CA-B330-0C5CD6783258}"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69</xdr:col>
      <xdr:colOff>250825</xdr:colOff>
      <xdr:row>0</xdr:row>
      <xdr:rowOff>92075</xdr:rowOff>
    </xdr:from>
    <xdr:ext cx="910080" cy="426118"/>
    <xdr:pic>
      <xdr:nvPicPr>
        <xdr:cNvPr id="4" name="Imagem 3">
          <a:extLst>
            <a:ext uri="{FF2B5EF4-FFF2-40B4-BE49-F238E27FC236}">
              <a16:creationId xmlns:a16="http://schemas.microsoft.com/office/drawing/2014/main" id="{516A635F-F7A7-4339-909C-7EE705967F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70375" y="92075"/>
          <a:ext cx="910080" cy="426118"/>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34847</xdr:rowOff>
    </xdr:from>
    <xdr:to>
      <xdr:col>6</xdr:col>
      <xdr:colOff>238125</xdr:colOff>
      <xdr:row>4</xdr:row>
      <xdr:rowOff>18325</xdr:rowOff>
    </xdr:to>
    <xdr:sp macro="" textlink="">
      <xdr:nvSpPr>
        <xdr:cNvPr id="4" name="CaixaDeTexto 99">
          <a:extLst>
            <a:ext uri="{FF2B5EF4-FFF2-40B4-BE49-F238E27FC236}">
              <a16:creationId xmlns:a16="http://schemas.microsoft.com/office/drawing/2014/main" id="{00000000-0008-0000-1D00-000004000000}"/>
            </a:ext>
          </a:extLst>
        </xdr:cNvPr>
        <xdr:cNvSpPr txBox="1"/>
      </xdr:nvSpPr>
      <xdr:spPr>
        <a:xfrm>
          <a:off x="0" y="34847"/>
          <a:ext cx="4419832" cy="564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C1186BD-4321-413C-84F9-664D6056741E}" type="TxLink">
            <a:rPr lang="en-US" sz="1600" b="1" i="0" u="none" strike="noStrike">
              <a:ln>
                <a:noFill/>
              </a:ln>
              <a:solidFill>
                <a:srgbClr val="F7931D"/>
              </a:solidFill>
              <a:latin typeface="Times New Roman"/>
              <a:cs typeface="Times New Roman"/>
            </a:rPr>
            <a:pPr algn="l"/>
            <a:t>Adições ao imobilizado/intangível - CAPEX</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D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0349E4A-8C5C-4E85-9AF3-0FA6E342C8F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11</xdr:col>
      <xdr:colOff>514350</xdr:colOff>
      <xdr:row>0</xdr:row>
      <xdr:rowOff>57150</xdr:rowOff>
    </xdr:from>
    <xdr:to>
      <xdr:col>12</xdr:col>
      <xdr:colOff>710055</xdr:colOff>
      <xdr:row>3</xdr:row>
      <xdr:rowOff>64168</xdr:rowOff>
    </xdr:to>
    <xdr:pic>
      <xdr:nvPicPr>
        <xdr:cNvPr id="7" name="Imagem 6">
          <a:extLst>
            <a:ext uri="{FF2B5EF4-FFF2-40B4-BE49-F238E27FC236}">
              <a16:creationId xmlns:a16="http://schemas.microsoft.com/office/drawing/2014/main" id="{00000000-0008-0000-1D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91550" y="57150"/>
          <a:ext cx="910080" cy="426118"/>
        </a:xfrm>
        <a:prstGeom prst="rect">
          <a:avLst/>
        </a:prstGeom>
      </xdr:spPr>
    </xdr:pic>
    <xdr:clientData/>
  </xdr:twoCellAnchor>
  <xdr:twoCellAnchor editAs="oneCell">
    <xdr:from>
      <xdr:col>24</xdr:col>
      <xdr:colOff>495300</xdr:colOff>
      <xdr:row>0</xdr:row>
      <xdr:rowOff>57150</xdr:rowOff>
    </xdr:from>
    <xdr:to>
      <xdr:col>25</xdr:col>
      <xdr:colOff>691005</xdr:colOff>
      <xdr:row>3</xdr:row>
      <xdr:rowOff>64168</xdr:rowOff>
    </xdr:to>
    <xdr:pic>
      <xdr:nvPicPr>
        <xdr:cNvPr id="6" name="Imagem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92800" y="57150"/>
          <a:ext cx="910080" cy="426118"/>
        </a:xfrm>
        <a:prstGeom prst="rect">
          <a:avLst/>
        </a:prstGeom>
      </xdr:spPr>
    </xdr:pic>
    <xdr:clientData/>
  </xdr:twoCellAnchor>
  <xdr:twoCellAnchor>
    <xdr:from>
      <xdr:col>13</xdr:col>
      <xdr:colOff>114300</xdr:colOff>
      <xdr:row>0</xdr:row>
      <xdr:rowOff>0</xdr:rowOff>
    </xdr:from>
    <xdr:to>
      <xdr:col>17</xdr:col>
      <xdr:colOff>779550</xdr:colOff>
      <xdr:row>3</xdr:row>
      <xdr:rowOff>146100</xdr:rowOff>
    </xdr:to>
    <xdr:sp macro="" textlink="">
      <xdr:nvSpPr>
        <xdr:cNvPr id="8" name="CaixaDeTexto 99">
          <a:extLst>
            <a:ext uri="{FF2B5EF4-FFF2-40B4-BE49-F238E27FC236}">
              <a16:creationId xmlns:a16="http://schemas.microsoft.com/office/drawing/2014/main" id="{00000000-0008-0000-1D00-000008000000}"/>
            </a:ext>
          </a:extLst>
        </xdr:cNvPr>
        <xdr:cNvSpPr txBox="1"/>
      </xdr:nvSpPr>
      <xdr:spPr>
        <a:xfrm>
          <a:off x="8905875" y="0"/>
          <a:ext cx="381802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B8305D9-2B6C-4566-AFBC-86ADD7FD4B61}" type="TxLink">
            <a:rPr lang="en-US" sz="1600" b="1" i="0" u="none" strike="noStrike">
              <a:ln>
                <a:noFill/>
              </a:ln>
              <a:solidFill>
                <a:srgbClr val="F7931D"/>
              </a:solidFill>
              <a:latin typeface="Times New Roman"/>
              <a:cs typeface="Times New Roman"/>
            </a:rPr>
            <a:pPr algn="l"/>
            <a:t>Saldo imobilizado/intangível líquido</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152400</xdr:colOff>
      <xdr:row>3</xdr:row>
      <xdr:rowOff>146100</xdr:rowOff>
    </xdr:to>
    <xdr:sp macro="" textlink="">
      <xdr:nvSpPr>
        <xdr:cNvPr id="4" name="CaixaDeTexto 99">
          <a:extLst>
            <a:ext uri="{FF2B5EF4-FFF2-40B4-BE49-F238E27FC236}">
              <a16:creationId xmlns:a16="http://schemas.microsoft.com/office/drawing/2014/main" id="{00000000-0008-0000-1E00-000004000000}"/>
            </a:ext>
          </a:extLst>
        </xdr:cNvPr>
        <xdr:cNvSpPr txBox="1"/>
      </xdr:nvSpPr>
      <xdr:spPr>
        <a:xfrm>
          <a:off x="0" y="0"/>
          <a:ext cx="40005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3088511-25B1-49DD-AAEC-73E0A89E861C}" type="TxLink">
            <a:rPr lang="en-US" sz="1600" b="1" i="0" u="none" strike="noStrike">
              <a:ln>
                <a:noFill/>
              </a:ln>
              <a:solidFill>
                <a:srgbClr val="F7931D"/>
              </a:solidFill>
              <a:latin typeface="Times New Roman"/>
              <a:cs typeface="Times New Roman"/>
            </a:rPr>
            <a:pPr algn="l"/>
            <a:t>Empréstimos e financiamentos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E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9A93DC-58A2-446D-A907-624DA6061584}"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50</xdr:col>
      <xdr:colOff>499745</xdr:colOff>
      <xdr:row>0</xdr:row>
      <xdr:rowOff>85090</xdr:rowOff>
    </xdr:from>
    <xdr:ext cx="910080" cy="426118"/>
    <xdr:pic>
      <xdr:nvPicPr>
        <xdr:cNvPr id="6" name="Imagem 5">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53895" y="85090"/>
          <a:ext cx="910080" cy="426118"/>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31750</xdr:rowOff>
    </xdr:from>
    <xdr:to>
      <xdr:col>6</xdr:col>
      <xdr:colOff>0</xdr:colOff>
      <xdr:row>4</xdr:row>
      <xdr:rowOff>15925</xdr:rowOff>
    </xdr:to>
    <xdr:sp macro="" textlink="">
      <xdr:nvSpPr>
        <xdr:cNvPr id="2" name="CaixaDeTexto 99">
          <a:extLst>
            <a:ext uri="{FF2B5EF4-FFF2-40B4-BE49-F238E27FC236}">
              <a16:creationId xmlns:a16="http://schemas.microsoft.com/office/drawing/2014/main" id="{00000000-0008-0000-1F00-000004000000}"/>
            </a:ext>
          </a:extLst>
        </xdr:cNvPr>
        <xdr:cNvSpPr txBox="1"/>
      </xdr:nvSpPr>
      <xdr:spPr>
        <a:xfrm>
          <a:off x="0" y="31750"/>
          <a:ext cx="2673350" cy="555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3AD6AA7-A165-4D6D-8E53-0D622BB920D7}" type="TxLink">
            <a:rPr lang="en-US" sz="1600" b="1" i="0" u="none" strike="noStrike">
              <a:ln>
                <a:noFill/>
              </a:ln>
              <a:solidFill>
                <a:srgbClr val="F7931D"/>
              </a:solidFill>
              <a:latin typeface="Times New Roman"/>
              <a:cs typeface="Times New Roman"/>
            </a:rPr>
            <a:pPr algn="l"/>
            <a:t>Intangível</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5</xdr:col>
      <xdr:colOff>0</xdr:colOff>
      <xdr:row>0</xdr:row>
      <xdr:rowOff>0</xdr:rowOff>
    </xdr:from>
    <xdr:ext cx="697370"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1F00-000005000000}"/>
            </a:ext>
          </a:extLst>
        </xdr:cNvPr>
        <xdr:cNvSpPr txBox="1"/>
      </xdr:nvSpPr>
      <xdr:spPr>
        <a:xfrm>
          <a:off x="1016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8AFDF0A-E9C2-4D00-9468-4F5ADBE2011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144</xdr:col>
      <xdr:colOff>649381</xdr:colOff>
      <xdr:row>0</xdr:row>
      <xdr:rowOff>89648</xdr:rowOff>
    </xdr:from>
    <xdr:ext cx="910080" cy="426118"/>
    <xdr:pic>
      <xdr:nvPicPr>
        <xdr:cNvPr id="4" name="Imagem 3">
          <a:extLst>
            <a:ext uri="{FF2B5EF4-FFF2-40B4-BE49-F238E27FC236}">
              <a16:creationId xmlns:a16="http://schemas.microsoft.com/office/drawing/2014/main" id="{00000000-0008-0000-1F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68131" y="89648"/>
          <a:ext cx="910080" cy="426118"/>
        </a:xfrm>
        <a:prstGeom prst="rect">
          <a:avLst/>
        </a:prstGeom>
      </xdr:spPr>
    </xdr:pic>
    <xdr:clientData/>
  </xdr:oneCellAnchor>
  <xdr:oneCellAnchor>
    <xdr:from>
      <xdr:col>140</xdr:col>
      <xdr:colOff>649381</xdr:colOff>
      <xdr:row>0</xdr:row>
      <xdr:rowOff>89648</xdr:rowOff>
    </xdr:from>
    <xdr:ext cx="910080" cy="426118"/>
    <xdr:pic>
      <xdr:nvPicPr>
        <xdr:cNvPr id="5" name="Imagem 4">
          <a:extLst>
            <a:ext uri="{FF2B5EF4-FFF2-40B4-BE49-F238E27FC236}">
              <a16:creationId xmlns:a16="http://schemas.microsoft.com/office/drawing/2014/main" id="{00000000-0008-0000-1F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280381" y="89648"/>
          <a:ext cx="910080" cy="426118"/>
        </a:xfrm>
        <a:prstGeom prst="rect">
          <a:avLst/>
        </a:prstGeom>
      </xdr:spPr>
    </xdr:pic>
    <xdr:clientData/>
  </xdr:oneCellAnchor>
  <xdr:oneCellAnchor>
    <xdr:from>
      <xdr:col>136</xdr:col>
      <xdr:colOff>649381</xdr:colOff>
      <xdr:row>0</xdr:row>
      <xdr:rowOff>89648</xdr:rowOff>
    </xdr:from>
    <xdr:ext cx="910080" cy="426118"/>
    <xdr:pic>
      <xdr:nvPicPr>
        <xdr:cNvPr id="6" name="Imagem 5">
          <a:extLst>
            <a:ext uri="{FF2B5EF4-FFF2-40B4-BE49-F238E27FC236}">
              <a16:creationId xmlns:a16="http://schemas.microsoft.com/office/drawing/2014/main" id="{00000000-0008-0000-1F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806931" y="89648"/>
          <a:ext cx="910080" cy="426118"/>
        </a:xfrm>
        <a:prstGeom prst="rect">
          <a:avLst/>
        </a:prstGeom>
      </xdr:spPr>
    </xdr:pic>
    <xdr:clientData/>
  </xdr:oneCellAnchor>
  <xdr:oneCellAnchor>
    <xdr:from>
      <xdr:col>212</xdr:col>
      <xdr:colOff>489270</xdr:colOff>
      <xdr:row>0</xdr:row>
      <xdr:rowOff>63341</xdr:rowOff>
    </xdr:from>
    <xdr:ext cx="910080" cy="426118"/>
    <xdr:pic>
      <xdr:nvPicPr>
        <xdr:cNvPr id="8" name="Imagem 7">
          <a:extLst>
            <a:ext uri="{FF2B5EF4-FFF2-40B4-BE49-F238E27FC236}">
              <a16:creationId xmlns:a16="http://schemas.microsoft.com/office/drawing/2014/main" id="{00000000-0008-0000-1F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038620" y="63341"/>
          <a:ext cx="910080" cy="426118"/>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130800</xdr:colOff>
      <xdr:row>3</xdr:row>
      <xdr:rowOff>146100</xdr:rowOff>
    </xdr:to>
    <xdr:sp macro="" textlink="">
      <xdr:nvSpPr>
        <xdr:cNvPr id="4" name="CaixaDeTexto 99">
          <a:extLst>
            <a:ext uri="{FF2B5EF4-FFF2-40B4-BE49-F238E27FC236}">
              <a16:creationId xmlns:a16="http://schemas.microsoft.com/office/drawing/2014/main" id="{00000000-0008-0000-20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FFD5FC8-50B2-4FEA-BED7-5EC76F47DC76}" type="TxLink">
            <a:rPr lang="en-US" sz="1600" b="1" i="0" u="none" strike="noStrike">
              <a:ln>
                <a:noFill/>
              </a:ln>
              <a:solidFill>
                <a:srgbClr val="F7931D"/>
              </a:solidFill>
              <a:latin typeface="Times New Roman"/>
              <a:cs typeface="Times New Roman"/>
            </a:rPr>
            <a:pPr algn="l"/>
            <a:t>Salários e encargos sociais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000-000005000000}"/>
            </a:ext>
          </a:extLst>
        </xdr:cNvPr>
        <xdr:cNvSpPr txBox="1"/>
      </xdr:nvSpPr>
      <xdr:spPr>
        <a:xfrm>
          <a:off x="1143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A1902E0-8CDB-4077-B337-E8D0836A9E40}"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50</xdr:col>
      <xdr:colOff>471805</xdr:colOff>
      <xdr:row>0</xdr:row>
      <xdr:rowOff>31750</xdr:rowOff>
    </xdr:from>
    <xdr:ext cx="910080" cy="426118"/>
    <xdr:pic>
      <xdr:nvPicPr>
        <xdr:cNvPr id="7" name="Imagem 6">
          <a:extLst>
            <a:ext uri="{FF2B5EF4-FFF2-40B4-BE49-F238E27FC236}">
              <a16:creationId xmlns:a16="http://schemas.microsoft.com/office/drawing/2014/main" id="{00000000-0008-0000-2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434905" y="31750"/>
          <a:ext cx="910080" cy="426118"/>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647700</xdr:colOff>
      <xdr:row>3</xdr:row>
      <xdr:rowOff>146100</xdr:rowOff>
    </xdr:to>
    <xdr:sp macro="" textlink="">
      <xdr:nvSpPr>
        <xdr:cNvPr id="4" name="CaixaDeTexto 99">
          <a:extLst>
            <a:ext uri="{FF2B5EF4-FFF2-40B4-BE49-F238E27FC236}">
              <a16:creationId xmlns:a16="http://schemas.microsoft.com/office/drawing/2014/main" id="{00000000-0008-0000-2100-000004000000}"/>
            </a:ext>
          </a:extLst>
        </xdr:cNvPr>
        <xdr:cNvSpPr txBox="1"/>
      </xdr:nvSpPr>
      <xdr:spPr>
        <a:xfrm>
          <a:off x="0" y="0"/>
          <a:ext cx="235267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26ADE8D7-FD0D-4AD3-8A26-570B9BA21D37}" type="TxLink">
            <a:rPr lang="en-US" sz="1600" b="1" i="0" u="none" strike="noStrike" baseline="0">
              <a:ln>
                <a:noFill/>
              </a:ln>
              <a:solidFill>
                <a:srgbClr val="F7931D"/>
              </a:solidFill>
              <a:latin typeface="Times New Roman"/>
              <a:cs typeface="Times New Roman"/>
            </a:rPr>
            <a:pPr algn="l"/>
            <a:t>Riscos judiciais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1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EFD959E-ED36-4846-81B2-15CDD1263D8B}"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53</xdr:col>
      <xdr:colOff>494595</xdr:colOff>
      <xdr:row>0</xdr:row>
      <xdr:rowOff>31401</xdr:rowOff>
    </xdr:from>
    <xdr:ext cx="910080" cy="426118"/>
    <xdr:pic>
      <xdr:nvPicPr>
        <xdr:cNvPr id="7" name="Imagem 6">
          <a:extLst>
            <a:ext uri="{FF2B5EF4-FFF2-40B4-BE49-F238E27FC236}">
              <a16:creationId xmlns:a16="http://schemas.microsoft.com/office/drawing/2014/main" id="{00000000-0008-0000-2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683039" y="31401"/>
          <a:ext cx="910080" cy="426118"/>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3</xdr:row>
      <xdr:rowOff>146100</xdr:rowOff>
    </xdr:to>
    <xdr:sp macro="" textlink="">
      <xdr:nvSpPr>
        <xdr:cNvPr id="2" name="CaixaDeTexto 99">
          <a:extLst>
            <a:ext uri="{FF2B5EF4-FFF2-40B4-BE49-F238E27FC236}">
              <a16:creationId xmlns:a16="http://schemas.microsoft.com/office/drawing/2014/main" id="{00000000-0008-0000-2200-000002000000}"/>
            </a:ext>
          </a:extLst>
        </xdr:cNvPr>
        <xdr:cNvSpPr txBox="1"/>
      </xdr:nvSpPr>
      <xdr:spPr>
        <a:xfrm>
          <a:off x="0" y="0"/>
          <a:ext cx="37528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90348EE-B5A2-48E2-8BA9-D73C3D517D55}" type="TxLink">
            <a:rPr lang="en-US" sz="1600" b="1" i="0" u="none" strike="noStrike" baseline="0">
              <a:ln>
                <a:noFill/>
              </a:ln>
              <a:solidFill>
                <a:srgbClr val="F7931D"/>
              </a:solidFill>
              <a:latin typeface="Times New Roman"/>
              <a:cs typeface="Times New Roman"/>
            </a:rPr>
            <a:pPr algn="l"/>
            <a:t>Despesas de IR e CSLL</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2200-000003000000}"/>
            </a:ext>
          </a:extLst>
        </xdr:cNvPr>
        <xdr:cNvSpPr txBox="1"/>
      </xdr:nvSpPr>
      <xdr:spPr>
        <a:xfrm>
          <a:off x="762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3C66DE-21C2-43E5-8BDA-39BB141FD0CF}"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45</xdr:col>
      <xdr:colOff>650875</xdr:colOff>
      <xdr:row>0</xdr:row>
      <xdr:rowOff>50165</xdr:rowOff>
    </xdr:from>
    <xdr:ext cx="910080" cy="426118"/>
    <xdr:pic>
      <xdr:nvPicPr>
        <xdr:cNvPr id="5" name="Imagem 4">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408225" y="50165"/>
          <a:ext cx="910080" cy="426118"/>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twoCellAnchor>
    <xdr:from>
      <xdr:col>0</xdr:col>
      <xdr:colOff>9524</xdr:colOff>
      <xdr:row>0</xdr:row>
      <xdr:rowOff>9525</xdr:rowOff>
    </xdr:from>
    <xdr:to>
      <xdr:col>2</xdr:col>
      <xdr:colOff>645149</xdr:colOff>
      <xdr:row>4</xdr:row>
      <xdr:rowOff>9525</xdr:rowOff>
    </xdr:to>
    <xdr:sp macro="" textlink="">
      <xdr:nvSpPr>
        <xdr:cNvPr id="4" name="CaixaDeTexto 99">
          <a:extLst>
            <a:ext uri="{FF2B5EF4-FFF2-40B4-BE49-F238E27FC236}">
              <a16:creationId xmlns:a16="http://schemas.microsoft.com/office/drawing/2014/main" id="{00000000-0008-0000-2300-000004000000}"/>
            </a:ext>
          </a:extLst>
        </xdr:cNvPr>
        <xdr:cNvSpPr txBox="1"/>
      </xdr:nvSpPr>
      <xdr:spPr>
        <a:xfrm>
          <a:off x="9524" y="9525"/>
          <a:ext cx="4093200"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72DBF8A7-38AF-4032-966C-93BA7BDC1156}" type="TxLink">
            <a:rPr lang="en-US" sz="1600" b="1" i="0" u="none" strike="noStrike" baseline="0">
              <a:ln>
                <a:noFill/>
              </a:ln>
              <a:solidFill>
                <a:srgbClr val="F7931D"/>
              </a:solidFill>
              <a:latin typeface="Times New Roman"/>
              <a:cs typeface="Times New Roman"/>
            </a:rPr>
            <a:pPr algn="l"/>
            <a:t>IR e CS diferidos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0</xdr:col>
      <xdr:colOff>85725</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300-000005000000}"/>
            </a:ext>
          </a:extLst>
        </xdr:cNvPr>
        <xdr:cNvSpPr txBox="1"/>
      </xdr:nvSpPr>
      <xdr:spPr>
        <a:xfrm>
          <a:off x="8572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B60965B-4091-4C73-BA7F-27CD6456CA58}"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50</xdr:col>
      <xdr:colOff>583565</xdr:colOff>
      <xdr:row>0</xdr:row>
      <xdr:rowOff>34925</xdr:rowOff>
    </xdr:from>
    <xdr:ext cx="910080" cy="426118"/>
    <xdr:pic>
      <xdr:nvPicPr>
        <xdr:cNvPr id="7" name="Imagem 6">
          <a:extLst>
            <a:ext uri="{FF2B5EF4-FFF2-40B4-BE49-F238E27FC236}">
              <a16:creationId xmlns:a16="http://schemas.microsoft.com/office/drawing/2014/main" id="{00000000-0008-0000-23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375715" y="34925"/>
          <a:ext cx="910080" cy="42611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twoCellAnchor>
    <xdr:from>
      <xdr:col>0</xdr:col>
      <xdr:colOff>9525</xdr:colOff>
      <xdr:row>0</xdr:row>
      <xdr:rowOff>0</xdr:rowOff>
    </xdr:from>
    <xdr:to>
      <xdr:col>3</xdr:col>
      <xdr:colOff>435600</xdr:colOff>
      <xdr:row>3</xdr:row>
      <xdr:rowOff>146100</xdr:rowOff>
    </xdr:to>
    <xdr:sp macro="" textlink="">
      <xdr:nvSpPr>
        <xdr:cNvPr id="4" name="CaixaDeTexto 99">
          <a:extLst>
            <a:ext uri="{FF2B5EF4-FFF2-40B4-BE49-F238E27FC236}">
              <a16:creationId xmlns:a16="http://schemas.microsoft.com/office/drawing/2014/main" id="{00000000-0008-0000-2400-000004000000}"/>
            </a:ext>
          </a:extLst>
        </xdr:cNvPr>
        <xdr:cNvSpPr txBox="1"/>
      </xdr:nvSpPr>
      <xdr:spPr>
        <a:xfrm>
          <a:off x="9525"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AE40123-A56D-47A1-9A16-A2388E17F123}" type="TxLink">
            <a:rPr lang="en-US" sz="1600" b="1" i="0" u="none" strike="noStrike" baseline="0">
              <a:ln>
                <a:noFill/>
              </a:ln>
              <a:solidFill>
                <a:srgbClr val="F7931D"/>
              </a:solidFill>
              <a:latin typeface="Times New Roman"/>
              <a:cs typeface="Times New Roman"/>
            </a:rPr>
            <a:pPr algn="l"/>
            <a:t>Demais contas a pagar</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400-000005000000}"/>
            </a:ext>
          </a:extLst>
        </xdr:cNvPr>
        <xdr:cNvSpPr txBox="1"/>
      </xdr:nvSpPr>
      <xdr:spPr>
        <a:xfrm>
          <a:off x="8572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B8A654F-0BDC-4066-AC4B-6A45CE458974}"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49</xdr:col>
      <xdr:colOff>379095</xdr:colOff>
      <xdr:row>0</xdr:row>
      <xdr:rowOff>26670</xdr:rowOff>
    </xdr:from>
    <xdr:ext cx="910080" cy="426118"/>
    <xdr:pic>
      <xdr:nvPicPr>
        <xdr:cNvPr id="7" name="Imagem 6">
          <a:extLst>
            <a:ext uri="{FF2B5EF4-FFF2-40B4-BE49-F238E27FC236}">
              <a16:creationId xmlns:a16="http://schemas.microsoft.com/office/drawing/2014/main" id="{00000000-0008-0000-24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618795" y="26670"/>
          <a:ext cx="910080" cy="426118"/>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twoCellAnchor>
    <xdr:from>
      <xdr:col>0</xdr:col>
      <xdr:colOff>9524</xdr:colOff>
      <xdr:row>0</xdr:row>
      <xdr:rowOff>0</xdr:rowOff>
    </xdr:from>
    <xdr:to>
      <xdr:col>3</xdr:col>
      <xdr:colOff>245099</xdr:colOff>
      <xdr:row>3</xdr:row>
      <xdr:rowOff>146100</xdr:rowOff>
    </xdr:to>
    <xdr:sp macro="" textlink="">
      <xdr:nvSpPr>
        <xdr:cNvPr id="4" name="CaixaDeTexto 99">
          <a:extLst>
            <a:ext uri="{FF2B5EF4-FFF2-40B4-BE49-F238E27FC236}">
              <a16:creationId xmlns:a16="http://schemas.microsoft.com/office/drawing/2014/main" id="{00000000-0008-0000-2500-000004000000}"/>
            </a:ext>
          </a:extLst>
        </xdr:cNvPr>
        <xdr:cNvSpPr txBox="1"/>
      </xdr:nvSpPr>
      <xdr:spPr>
        <a:xfrm>
          <a:off x="9524"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EBCB818-6F0F-4DF4-BF4F-09138DA0FBB8}" type="TxLink">
            <a:rPr lang="en-US" sz="1600" b="1" i="0" u="none" strike="noStrike" baseline="0">
              <a:ln>
                <a:noFill/>
              </a:ln>
              <a:solidFill>
                <a:srgbClr val="F7931D"/>
              </a:solidFill>
              <a:latin typeface="Times New Roman"/>
              <a:cs typeface="Times New Roman"/>
            </a:rPr>
            <a:pPr algn="l"/>
            <a:t>Outras receitas e despesas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5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754A9A4-C65B-4023-862E-F2ECEDD90F3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49</xdr:col>
      <xdr:colOff>345440</xdr:colOff>
      <xdr:row>0</xdr:row>
      <xdr:rowOff>63500</xdr:rowOff>
    </xdr:from>
    <xdr:ext cx="910080" cy="426118"/>
    <xdr:pic>
      <xdr:nvPicPr>
        <xdr:cNvPr id="7" name="Imagem 6">
          <a:extLst>
            <a:ext uri="{FF2B5EF4-FFF2-40B4-BE49-F238E27FC236}">
              <a16:creationId xmlns:a16="http://schemas.microsoft.com/office/drawing/2014/main" id="{00000000-0008-0000-25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886890" y="63500"/>
          <a:ext cx="910080" cy="426118"/>
        </a:xfrm>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twoCellAnchor>
    <xdr:from>
      <xdr:col>0</xdr:col>
      <xdr:colOff>9524</xdr:colOff>
      <xdr:row>0</xdr:row>
      <xdr:rowOff>0</xdr:rowOff>
    </xdr:from>
    <xdr:to>
      <xdr:col>2</xdr:col>
      <xdr:colOff>730874</xdr:colOff>
      <xdr:row>3</xdr:row>
      <xdr:rowOff>146100</xdr:rowOff>
    </xdr:to>
    <xdr:sp macro="" textlink="">
      <xdr:nvSpPr>
        <xdr:cNvPr id="4" name="CaixaDeTexto 99">
          <a:extLst>
            <a:ext uri="{FF2B5EF4-FFF2-40B4-BE49-F238E27FC236}">
              <a16:creationId xmlns:a16="http://schemas.microsoft.com/office/drawing/2014/main" id="{00000000-0008-0000-2600-000004000000}"/>
            </a:ext>
          </a:extLst>
        </xdr:cNvPr>
        <xdr:cNvSpPr txBox="1"/>
      </xdr:nvSpPr>
      <xdr:spPr>
        <a:xfrm>
          <a:off x="9524"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E5D189A-1A10-4DDB-AD77-F75149CDA48A}" type="TxLink">
            <a:rPr lang="en-US" sz="1600" b="1" i="0" u="none" strike="noStrike" baseline="0">
              <a:ln>
                <a:noFill/>
              </a:ln>
              <a:solidFill>
                <a:srgbClr val="F7931D"/>
              </a:solidFill>
              <a:latin typeface="Times New Roman"/>
              <a:cs typeface="Times New Roman"/>
            </a:rPr>
            <a:pPr algn="l"/>
            <a:t>Receita</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6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A1915FC-3828-4F6E-B455-C47479E91A29}"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50</xdr:col>
      <xdr:colOff>14605</xdr:colOff>
      <xdr:row>1</xdr:row>
      <xdr:rowOff>6350</xdr:rowOff>
    </xdr:from>
    <xdr:ext cx="910080" cy="426118"/>
    <xdr:pic>
      <xdr:nvPicPr>
        <xdr:cNvPr id="6" name="Imagem 5">
          <a:extLst>
            <a:ext uri="{FF2B5EF4-FFF2-40B4-BE49-F238E27FC236}">
              <a16:creationId xmlns:a16="http://schemas.microsoft.com/office/drawing/2014/main" id="{00000000-0008-0000-2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470205" y="101600"/>
          <a:ext cx="910080" cy="42611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1</xdr:col>
      <xdr:colOff>2876551</xdr:colOff>
      <xdr:row>4</xdr:row>
      <xdr:rowOff>12750</xdr:rowOff>
    </xdr:to>
    <xdr:sp macro="" textlink="">
      <xdr:nvSpPr>
        <xdr:cNvPr id="6" name="CaixaDeTexto 99">
          <a:extLst>
            <a:ext uri="{FF2B5EF4-FFF2-40B4-BE49-F238E27FC236}">
              <a16:creationId xmlns:a16="http://schemas.microsoft.com/office/drawing/2014/main" id="{00000000-0008-0000-0300-000006000000}"/>
            </a:ext>
          </a:extLst>
        </xdr:cNvPr>
        <xdr:cNvSpPr txBox="1"/>
      </xdr:nvSpPr>
      <xdr:spPr>
        <a:xfrm>
          <a:off x="0" y="28575"/>
          <a:ext cx="2971801" cy="612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C989845-9E3C-416F-BDCA-11880DE72F29}" type="TxLink">
            <a:rPr lang="en-US" sz="1600" b="1" i="0" u="none" strike="noStrike">
              <a:ln>
                <a:noFill/>
              </a:ln>
              <a:solidFill>
                <a:srgbClr val="F7931D"/>
              </a:solidFill>
              <a:latin typeface="Times New Roman"/>
              <a:cs typeface="Times New Roman"/>
            </a:rPr>
            <a:pPr algn="l"/>
            <a:t>Balanço patrimonial</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300-000004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649F476-3603-4B34-B915-64BE69C820C2}"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65</xdr:col>
      <xdr:colOff>362502</xdr:colOff>
      <xdr:row>0</xdr:row>
      <xdr:rowOff>88900</xdr:rowOff>
    </xdr:from>
    <xdr:ext cx="910080" cy="426118"/>
    <xdr:pic>
      <xdr:nvPicPr>
        <xdr:cNvPr id="5" name="Imagem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063452" y="88900"/>
          <a:ext cx="910080" cy="426118"/>
        </a:xfrm>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470647</xdr:colOff>
      <xdr:row>3</xdr:row>
      <xdr:rowOff>146100</xdr:rowOff>
    </xdr:to>
    <xdr:sp macro="" textlink="">
      <xdr:nvSpPr>
        <xdr:cNvPr id="2" name="CaixaDeTexto 99">
          <a:extLst>
            <a:ext uri="{FF2B5EF4-FFF2-40B4-BE49-F238E27FC236}">
              <a16:creationId xmlns:a16="http://schemas.microsoft.com/office/drawing/2014/main" id="{00000000-0008-0000-2700-000002000000}"/>
            </a:ext>
          </a:extLst>
        </xdr:cNvPr>
        <xdr:cNvSpPr txBox="1"/>
      </xdr:nvSpPr>
      <xdr:spPr>
        <a:xfrm>
          <a:off x="0" y="0"/>
          <a:ext cx="8180294" cy="560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8F089D6-170D-41F4-819C-EB82309649EF}" type="TxLink">
            <a:rPr lang="en-US" sz="1600" b="1" i="0" u="none" strike="noStrike" baseline="0">
              <a:ln>
                <a:noFill/>
              </a:ln>
              <a:solidFill>
                <a:srgbClr val="F7931D"/>
              </a:solidFill>
              <a:latin typeface="Times New Roman"/>
              <a:cs typeface="Times New Roman"/>
            </a:rPr>
            <a:pPr algn="l"/>
            <a:t>Custos e despesas por natureza</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2700-000003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00A8C5F-5F2D-4A4F-8D58-E8B4EE52D8A6}"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49</xdr:col>
      <xdr:colOff>681540</xdr:colOff>
      <xdr:row>0</xdr:row>
      <xdr:rowOff>63911</xdr:rowOff>
    </xdr:from>
    <xdr:ext cx="910080" cy="426118"/>
    <xdr:pic>
      <xdr:nvPicPr>
        <xdr:cNvPr id="5" name="Imagem 4">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036040" y="63911"/>
          <a:ext cx="910080" cy="426118"/>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twoCellAnchor>
    <xdr:from>
      <xdr:col>0</xdr:col>
      <xdr:colOff>9525</xdr:colOff>
      <xdr:row>0</xdr:row>
      <xdr:rowOff>0</xdr:rowOff>
    </xdr:from>
    <xdr:to>
      <xdr:col>10</xdr:col>
      <xdr:colOff>66675</xdr:colOff>
      <xdr:row>3</xdr:row>
      <xdr:rowOff>79425</xdr:rowOff>
    </xdr:to>
    <xdr:sp macro="" textlink="">
      <xdr:nvSpPr>
        <xdr:cNvPr id="3" name="CaixaDeTexto 99">
          <a:extLst>
            <a:ext uri="{FF2B5EF4-FFF2-40B4-BE49-F238E27FC236}">
              <a16:creationId xmlns:a16="http://schemas.microsoft.com/office/drawing/2014/main" id="{00000000-0008-0000-2800-000003000000}"/>
            </a:ext>
          </a:extLst>
        </xdr:cNvPr>
        <xdr:cNvSpPr txBox="1"/>
      </xdr:nvSpPr>
      <xdr:spPr>
        <a:xfrm>
          <a:off x="9525" y="0"/>
          <a:ext cx="78486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DBB9E78-548A-42E4-87AA-A855C682452A}" type="TxLink">
            <a:rPr lang="en-US" sz="1600" b="1" i="0" u="none" strike="noStrike" baseline="0">
              <a:ln>
                <a:noFill/>
              </a:ln>
              <a:solidFill>
                <a:srgbClr val="F7931D"/>
              </a:solidFill>
              <a:latin typeface="Times New Roman"/>
              <a:cs typeface="Times New Roman"/>
            </a:rPr>
            <a:pPr algn="l"/>
            <a:t>Custos e despesas </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2800-000004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E64A63B-59A2-46B6-AC70-1CEF55C861CE}"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49</xdr:col>
      <xdr:colOff>553085</xdr:colOff>
      <xdr:row>1</xdr:row>
      <xdr:rowOff>27940</xdr:rowOff>
    </xdr:from>
    <xdr:ext cx="910080" cy="426118"/>
    <xdr:pic>
      <xdr:nvPicPr>
        <xdr:cNvPr id="6" name="Imagem 5">
          <a:extLst>
            <a:ext uri="{FF2B5EF4-FFF2-40B4-BE49-F238E27FC236}">
              <a16:creationId xmlns:a16="http://schemas.microsoft.com/office/drawing/2014/main" id="{00000000-0008-0000-2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253035" y="123190"/>
          <a:ext cx="910080" cy="426118"/>
        </a:xfrm>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twoCellAnchor>
    <xdr:from>
      <xdr:col>0</xdr:col>
      <xdr:colOff>9525</xdr:colOff>
      <xdr:row>0</xdr:row>
      <xdr:rowOff>0</xdr:rowOff>
    </xdr:from>
    <xdr:to>
      <xdr:col>3</xdr:col>
      <xdr:colOff>95250</xdr:colOff>
      <xdr:row>3</xdr:row>
      <xdr:rowOff>146100</xdr:rowOff>
    </xdr:to>
    <xdr:sp macro="" textlink="">
      <xdr:nvSpPr>
        <xdr:cNvPr id="4" name="CaixaDeTexto 99">
          <a:extLst>
            <a:ext uri="{FF2B5EF4-FFF2-40B4-BE49-F238E27FC236}">
              <a16:creationId xmlns:a16="http://schemas.microsoft.com/office/drawing/2014/main" id="{00000000-0008-0000-2900-000004000000}"/>
            </a:ext>
          </a:extLst>
        </xdr:cNvPr>
        <xdr:cNvSpPr txBox="1"/>
      </xdr:nvSpPr>
      <xdr:spPr>
        <a:xfrm>
          <a:off x="9525" y="0"/>
          <a:ext cx="40767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972A3C1-4A5F-409A-9240-88F1E015F7B0}" type="TxLink">
            <a:rPr lang="en-US" sz="1600" b="1" i="0" u="none" strike="noStrike" baseline="0">
              <a:ln>
                <a:noFill/>
              </a:ln>
              <a:solidFill>
                <a:srgbClr val="F7931D"/>
              </a:solidFill>
              <a:latin typeface="Times New Roman"/>
              <a:cs typeface="Times New Roman"/>
            </a:rPr>
            <a:pPr algn="l"/>
            <a:t>Resultado financeiro</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9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48C34C1-9882-4BBB-9EC5-4C3FB6AA34CC}"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49</xdr:col>
      <xdr:colOff>584835</xdr:colOff>
      <xdr:row>0</xdr:row>
      <xdr:rowOff>72390</xdr:rowOff>
    </xdr:from>
    <xdr:ext cx="910080" cy="426118"/>
    <xdr:pic>
      <xdr:nvPicPr>
        <xdr:cNvPr id="6" name="Imagem 5">
          <a:extLst>
            <a:ext uri="{FF2B5EF4-FFF2-40B4-BE49-F238E27FC236}">
              <a16:creationId xmlns:a16="http://schemas.microsoft.com/office/drawing/2014/main" id="{00000000-0008-0000-29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542085" y="72390"/>
          <a:ext cx="910080" cy="426118"/>
        </a:xfrm>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3</xdr:row>
      <xdr:rowOff>146100</xdr:rowOff>
    </xdr:to>
    <xdr:sp macro="" textlink="">
      <xdr:nvSpPr>
        <xdr:cNvPr id="2" name="CaixaDeTexto 99">
          <a:extLst>
            <a:ext uri="{FF2B5EF4-FFF2-40B4-BE49-F238E27FC236}">
              <a16:creationId xmlns:a16="http://schemas.microsoft.com/office/drawing/2014/main" id="{00000000-0008-0000-2A00-000002000000}"/>
            </a:ext>
          </a:extLst>
        </xdr:cNvPr>
        <xdr:cNvSpPr txBox="1"/>
      </xdr:nvSpPr>
      <xdr:spPr>
        <a:xfrm>
          <a:off x="0" y="0"/>
          <a:ext cx="57340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54C5EDE-E154-44C6-A9AB-A681863FD65F}" type="TxLink">
            <a:rPr lang="en-US" sz="1600" b="1" i="0" u="none" strike="noStrike" baseline="0">
              <a:ln>
                <a:noFill/>
              </a:ln>
              <a:solidFill>
                <a:srgbClr val="F7931D"/>
              </a:solidFill>
              <a:latin typeface="Times New Roman"/>
              <a:cs typeface="Times New Roman"/>
            </a:rPr>
            <a:pPr algn="l"/>
            <a:t>Remuneração do pessoal-chave da Administração</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2A00-000004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4F950E6-A771-41E9-B8EE-CD21C6C820E0}"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49</xdr:col>
      <xdr:colOff>521970</xdr:colOff>
      <xdr:row>1</xdr:row>
      <xdr:rowOff>23495</xdr:rowOff>
    </xdr:from>
    <xdr:ext cx="910080" cy="426118"/>
    <xdr:pic>
      <xdr:nvPicPr>
        <xdr:cNvPr id="6" name="Imagem 5">
          <a:extLst>
            <a:ext uri="{FF2B5EF4-FFF2-40B4-BE49-F238E27FC236}">
              <a16:creationId xmlns:a16="http://schemas.microsoft.com/office/drawing/2014/main" id="{00000000-0008-0000-2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053520" y="118745"/>
          <a:ext cx="910080" cy="426118"/>
        </a:xfrm>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464175</xdr:colOff>
      <xdr:row>3</xdr:row>
      <xdr:rowOff>146100</xdr:rowOff>
    </xdr:to>
    <xdr:sp macro="" textlink="">
      <xdr:nvSpPr>
        <xdr:cNvPr id="4" name="CaixaDeTexto 99">
          <a:extLst>
            <a:ext uri="{FF2B5EF4-FFF2-40B4-BE49-F238E27FC236}">
              <a16:creationId xmlns:a16="http://schemas.microsoft.com/office/drawing/2014/main" id="{00000000-0008-0000-2B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F09F654-4AB3-41AC-9F4C-98C623B51B6F}" type="TxLink">
            <a:rPr lang="en-US" sz="1600" b="1" i="0" u="none" strike="noStrike" baseline="0">
              <a:ln>
                <a:noFill/>
              </a:ln>
              <a:solidFill>
                <a:srgbClr val="F7931D"/>
              </a:solidFill>
              <a:latin typeface="Times New Roman"/>
              <a:cs typeface="Times New Roman"/>
            </a:rPr>
            <a:pPr algn="l"/>
            <a:t>Arrendamento operacional</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B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863C91-892A-4D56-AAB1-0E484CD8C0C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20</xdr:col>
      <xdr:colOff>447675</xdr:colOff>
      <xdr:row>0</xdr:row>
      <xdr:rowOff>47625</xdr:rowOff>
    </xdr:from>
    <xdr:ext cx="910080" cy="426118"/>
    <xdr:pic>
      <xdr:nvPicPr>
        <xdr:cNvPr id="6" name="Imagem 5">
          <a:extLst>
            <a:ext uri="{FF2B5EF4-FFF2-40B4-BE49-F238E27FC236}">
              <a16:creationId xmlns:a16="http://schemas.microsoft.com/office/drawing/2014/main" id="{00000000-0008-0000-2B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30650" y="47625"/>
          <a:ext cx="910080" cy="426118"/>
        </a:xfrm>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twoCellAnchor>
    <xdr:from>
      <xdr:col>0</xdr:col>
      <xdr:colOff>0</xdr:colOff>
      <xdr:row>0</xdr:row>
      <xdr:rowOff>133350</xdr:rowOff>
    </xdr:from>
    <xdr:to>
      <xdr:col>1</xdr:col>
      <xdr:colOff>3340725</xdr:colOff>
      <xdr:row>4</xdr:row>
      <xdr:rowOff>50850</xdr:rowOff>
    </xdr:to>
    <xdr:sp macro="" textlink="">
      <xdr:nvSpPr>
        <xdr:cNvPr id="5" name="CaixaDeTexto 99">
          <a:extLst>
            <a:ext uri="{FF2B5EF4-FFF2-40B4-BE49-F238E27FC236}">
              <a16:creationId xmlns:a16="http://schemas.microsoft.com/office/drawing/2014/main" id="{00000000-0008-0000-2C00-000005000000}"/>
            </a:ext>
          </a:extLst>
        </xdr:cNvPr>
        <xdr:cNvSpPr txBox="1"/>
      </xdr:nvSpPr>
      <xdr:spPr>
        <a:xfrm>
          <a:off x="0" y="133350"/>
          <a:ext cx="4707843" cy="612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EEB5760-7602-447C-BDBD-89A81AA9218A}" type="TxLink">
            <a:rPr lang="en-US" sz="1600" b="1" i="0" u="none" strike="noStrike">
              <a:ln>
                <a:noFill/>
              </a:ln>
              <a:solidFill>
                <a:srgbClr val="F7931D"/>
              </a:solidFill>
              <a:latin typeface="Times New Roman"/>
              <a:cs typeface="Times New Roman"/>
            </a:rPr>
            <a:pPr algn="l"/>
            <a:t>Partes Relacionadas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0</xdr:col>
      <xdr:colOff>63874</xdr:colOff>
      <xdr:row>0</xdr:row>
      <xdr:rowOff>0</xdr:rowOff>
    </xdr:from>
    <xdr:ext cx="697370" cy="217560"/>
    <xdr:sp macro="" textlink="">
      <xdr:nvSpPr>
        <xdr:cNvPr id="9" name="CaixaDeTexto 8">
          <a:hlinkClick xmlns:r="http://schemas.openxmlformats.org/officeDocument/2006/relationships" r:id="rId1"/>
          <a:extLst>
            <a:ext uri="{FF2B5EF4-FFF2-40B4-BE49-F238E27FC236}">
              <a16:creationId xmlns:a16="http://schemas.microsoft.com/office/drawing/2014/main" id="{00000000-0008-0000-2C00-000009000000}"/>
            </a:ext>
          </a:extLst>
        </xdr:cNvPr>
        <xdr:cNvSpPr txBox="1"/>
      </xdr:nvSpPr>
      <xdr:spPr>
        <a:xfrm>
          <a:off x="1274109"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863C91-892A-4D56-AAB1-0E484CD8C0C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46</xdr:col>
      <xdr:colOff>286724</xdr:colOff>
      <xdr:row>0</xdr:row>
      <xdr:rowOff>123232</xdr:rowOff>
    </xdr:from>
    <xdr:ext cx="910080" cy="426118"/>
    <xdr:pic>
      <xdr:nvPicPr>
        <xdr:cNvPr id="8" name="Imagem 7">
          <a:extLst>
            <a:ext uri="{FF2B5EF4-FFF2-40B4-BE49-F238E27FC236}">
              <a16:creationId xmlns:a16="http://schemas.microsoft.com/office/drawing/2014/main" id="{00000000-0008-0000-2C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35202" y="123232"/>
          <a:ext cx="910080" cy="426118"/>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1</xdr:col>
      <xdr:colOff>0</xdr:colOff>
      <xdr:row>0</xdr:row>
      <xdr:rowOff>0</xdr:rowOff>
    </xdr:from>
    <xdr:ext cx="697370" cy="217560"/>
    <xdr:sp macro="" textlink="">
      <xdr:nvSpPr>
        <xdr:cNvPr id="2" name="CaixaDeTexto 1">
          <a:hlinkClick xmlns:r="http://schemas.openxmlformats.org/officeDocument/2006/relationships" r:id="rId1"/>
          <a:extLst>
            <a:ext uri="{FF2B5EF4-FFF2-40B4-BE49-F238E27FC236}">
              <a16:creationId xmlns:a16="http://schemas.microsoft.com/office/drawing/2014/main" id="{00000000-0008-0000-2D00-000002000000}"/>
            </a:ext>
          </a:extLst>
        </xdr:cNvPr>
        <xdr:cNvSpPr txBox="1"/>
      </xdr:nvSpPr>
      <xdr:spPr>
        <a:xfrm>
          <a:off x="13239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1</xdr:col>
      <xdr:colOff>0</xdr:colOff>
      <xdr:row>0</xdr:row>
      <xdr:rowOff>0</xdr:rowOff>
    </xdr:from>
    <xdr:ext cx="697370"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2D00-000003000000}"/>
            </a:ext>
          </a:extLst>
        </xdr:cNvPr>
        <xdr:cNvSpPr txBox="1"/>
      </xdr:nvSpPr>
      <xdr:spPr>
        <a:xfrm>
          <a:off x="13239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xdr:col>
      <xdr:colOff>609600</xdr:colOff>
      <xdr:row>0</xdr:row>
      <xdr:rowOff>76200</xdr:rowOff>
    </xdr:from>
    <xdr:ext cx="910080" cy="426118"/>
    <xdr:pic>
      <xdr:nvPicPr>
        <xdr:cNvPr id="7" name="Imagem 6">
          <a:extLst>
            <a:ext uri="{FF2B5EF4-FFF2-40B4-BE49-F238E27FC236}">
              <a16:creationId xmlns:a16="http://schemas.microsoft.com/office/drawing/2014/main" id="{00000000-0008-0000-2D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76200"/>
          <a:ext cx="910080" cy="426118"/>
        </a:xfrm>
        <a:prstGeom prst="rect">
          <a:avLst/>
        </a:prstGeom>
      </xdr:spPr>
    </xdr:pic>
    <xdr:clientData/>
  </xdr:oneCellAnchor>
  <xdr:twoCellAnchor>
    <xdr:from>
      <xdr:col>0</xdr:col>
      <xdr:colOff>0</xdr:colOff>
      <xdr:row>0</xdr:row>
      <xdr:rowOff>67235</xdr:rowOff>
    </xdr:from>
    <xdr:to>
      <xdr:col>2</xdr:col>
      <xdr:colOff>310654</xdr:colOff>
      <xdr:row>4</xdr:row>
      <xdr:rowOff>127610</xdr:rowOff>
    </xdr:to>
    <xdr:sp macro="" textlink="">
      <xdr:nvSpPr>
        <xdr:cNvPr id="8" name="CaixaDeTexto 99">
          <a:extLst>
            <a:ext uri="{FF2B5EF4-FFF2-40B4-BE49-F238E27FC236}">
              <a16:creationId xmlns:a16="http://schemas.microsoft.com/office/drawing/2014/main" id="{00000000-0008-0000-2D00-000008000000}"/>
            </a:ext>
          </a:extLst>
        </xdr:cNvPr>
        <xdr:cNvSpPr txBox="1"/>
      </xdr:nvSpPr>
      <xdr:spPr>
        <a:xfrm>
          <a:off x="840441" y="67235"/>
          <a:ext cx="3493125"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9E0310AA-86EA-43CB-AB4D-471F58642E4C}" type="TxLink">
            <a:rPr lang="en-US" sz="1600" b="1" i="0" u="none" strike="noStrike">
              <a:ln>
                <a:noFill/>
              </a:ln>
              <a:solidFill>
                <a:srgbClr val="F7931D"/>
              </a:solidFill>
              <a:latin typeface="Times New Roman"/>
              <a:cs typeface="Times New Roman"/>
            </a:rPr>
            <a:pPr algn="l"/>
            <a:t>Direito de Uso</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12</xdr:col>
      <xdr:colOff>609600</xdr:colOff>
      <xdr:row>1</xdr:row>
      <xdr:rowOff>9525</xdr:rowOff>
    </xdr:from>
    <xdr:ext cx="910080" cy="426118"/>
    <xdr:pic>
      <xdr:nvPicPr>
        <xdr:cNvPr id="9" name="Imagem 8">
          <a:extLst>
            <a:ext uri="{FF2B5EF4-FFF2-40B4-BE49-F238E27FC236}">
              <a16:creationId xmlns:a16="http://schemas.microsoft.com/office/drawing/2014/main" id="{00000000-0008-0000-2D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82300" y="104775"/>
          <a:ext cx="910080" cy="426118"/>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1</xdr:col>
      <xdr:colOff>0</xdr:colOff>
      <xdr:row>0</xdr:row>
      <xdr:rowOff>0</xdr:rowOff>
    </xdr:from>
    <xdr:ext cx="697370" cy="217560"/>
    <xdr:sp macro="" textlink="">
      <xdr:nvSpPr>
        <xdr:cNvPr id="2" name="CaixaDeTexto 1">
          <a:hlinkClick xmlns:r="http://schemas.openxmlformats.org/officeDocument/2006/relationships" r:id="rId1"/>
          <a:extLst>
            <a:ext uri="{FF2B5EF4-FFF2-40B4-BE49-F238E27FC236}">
              <a16:creationId xmlns:a16="http://schemas.microsoft.com/office/drawing/2014/main" id="{00000000-0008-0000-2E00-000002000000}"/>
            </a:ext>
          </a:extLst>
        </xdr:cNvPr>
        <xdr:cNvSpPr txBox="1"/>
      </xdr:nvSpPr>
      <xdr:spPr>
        <a:xfrm>
          <a:off x="130492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B8A654F-0BDC-4066-AC4B-6A45CE458974}"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xdr:from>
      <xdr:col>0</xdr:col>
      <xdr:colOff>0</xdr:colOff>
      <xdr:row>0</xdr:row>
      <xdr:rowOff>38100</xdr:rowOff>
    </xdr:from>
    <xdr:to>
      <xdr:col>2</xdr:col>
      <xdr:colOff>502275</xdr:colOff>
      <xdr:row>4</xdr:row>
      <xdr:rowOff>88950</xdr:rowOff>
    </xdr:to>
    <xdr:sp macro="" textlink="">
      <xdr:nvSpPr>
        <xdr:cNvPr id="5" name="CaixaDeTexto 99">
          <a:extLst>
            <a:ext uri="{FF2B5EF4-FFF2-40B4-BE49-F238E27FC236}">
              <a16:creationId xmlns:a16="http://schemas.microsoft.com/office/drawing/2014/main" id="{00000000-0008-0000-2E00-000005000000}"/>
            </a:ext>
          </a:extLst>
        </xdr:cNvPr>
        <xdr:cNvSpPr txBox="1"/>
      </xdr:nvSpPr>
      <xdr:spPr>
        <a:xfrm>
          <a:off x="0" y="38100"/>
          <a:ext cx="3112125"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467D1D16-55CF-46D3-A155-0B6F087F443F}" type="TxLink">
            <a:rPr lang="en-US" sz="1600" b="1" i="0" u="none" strike="noStrike">
              <a:ln>
                <a:noFill/>
              </a:ln>
              <a:solidFill>
                <a:srgbClr val="F7931D"/>
              </a:solidFill>
              <a:latin typeface="Times New Roman"/>
              <a:cs typeface="Times New Roman"/>
            </a:rPr>
            <a:pPr algn="l"/>
            <a:t>Arrendamento Mercantil</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30</xdr:col>
      <xdr:colOff>554990</xdr:colOff>
      <xdr:row>0</xdr:row>
      <xdr:rowOff>63500</xdr:rowOff>
    </xdr:from>
    <xdr:ext cx="910080" cy="426118"/>
    <xdr:pic>
      <xdr:nvPicPr>
        <xdr:cNvPr id="7" name="Imagem 6">
          <a:extLst>
            <a:ext uri="{FF2B5EF4-FFF2-40B4-BE49-F238E27FC236}">
              <a16:creationId xmlns:a16="http://schemas.microsoft.com/office/drawing/2014/main" id="{00000000-0008-0000-2E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437340" y="63500"/>
          <a:ext cx="910080" cy="426118"/>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twoCellAnchor>
    <xdr:from>
      <xdr:col>0</xdr:col>
      <xdr:colOff>0</xdr:colOff>
      <xdr:row>0</xdr:row>
      <xdr:rowOff>9525</xdr:rowOff>
    </xdr:from>
    <xdr:to>
      <xdr:col>2</xdr:col>
      <xdr:colOff>635625</xdr:colOff>
      <xdr:row>3</xdr:row>
      <xdr:rowOff>155625</xdr:rowOff>
    </xdr:to>
    <xdr:sp macro="" textlink="">
      <xdr:nvSpPr>
        <xdr:cNvPr id="4" name="CaixaDeTexto 99">
          <a:extLst>
            <a:ext uri="{FF2B5EF4-FFF2-40B4-BE49-F238E27FC236}">
              <a16:creationId xmlns:a16="http://schemas.microsoft.com/office/drawing/2014/main" id="{00000000-0008-0000-2F00-000004000000}"/>
            </a:ext>
          </a:extLst>
        </xdr:cNvPr>
        <xdr:cNvSpPr txBox="1"/>
      </xdr:nvSpPr>
      <xdr:spPr>
        <a:xfrm>
          <a:off x="1219200" y="9525"/>
          <a:ext cx="375982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9E16A73-E3D8-49A9-8B1A-C8151DC3BCD9}" type="TxLink">
            <a:rPr lang="en-US" sz="1600" b="1" i="0" u="none" strike="noStrike" baseline="0">
              <a:ln>
                <a:noFill/>
              </a:ln>
              <a:solidFill>
                <a:srgbClr val="F7931D"/>
              </a:solidFill>
              <a:latin typeface="Times New Roman"/>
              <a:cs typeface="Times New Roman"/>
            </a:rPr>
            <a:pPr algn="l"/>
            <a:t>Operações Descontinuadas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F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73AD48F-B8EF-4B47-B590-035116D05490}"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27</xdr:col>
      <xdr:colOff>514350</xdr:colOff>
      <xdr:row>0</xdr:row>
      <xdr:rowOff>0</xdr:rowOff>
    </xdr:from>
    <xdr:to>
      <xdr:col>28</xdr:col>
      <xdr:colOff>710055</xdr:colOff>
      <xdr:row>3</xdr:row>
      <xdr:rowOff>7018</xdr:rowOff>
    </xdr:to>
    <xdr:pic>
      <xdr:nvPicPr>
        <xdr:cNvPr id="7" name="Imagem 6">
          <a:extLst>
            <a:ext uri="{FF2B5EF4-FFF2-40B4-BE49-F238E27FC236}">
              <a16:creationId xmlns:a16="http://schemas.microsoft.com/office/drawing/2014/main" id="{00000000-0008-0000-2F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879550" y="0"/>
          <a:ext cx="910080" cy="426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2416800</xdr:colOff>
      <xdr:row>3</xdr:row>
      <xdr:rowOff>146100</xdr:rowOff>
    </xdr:to>
    <xdr:sp macro="" textlink="">
      <xdr:nvSpPr>
        <xdr:cNvPr id="10" name="CaixaDeTexto 99">
          <a:extLst>
            <a:ext uri="{FF2B5EF4-FFF2-40B4-BE49-F238E27FC236}">
              <a16:creationId xmlns:a16="http://schemas.microsoft.com/office/drawing/2014/main" id="{00000000-0008-0000-0400-00000A000000}"/>
            </a:ext>
          </a:extLst>
        </xdr:cNvPr>
        <xdr:cNvSpPr txBox="1"/>
      </xdr:nvSpPr>
      <xdr:spPr>
        <a:xfrm>
          <a:off x="0" y="0"/>
          <a:ext cx="25120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F4E84FB-CF79-48EB-AD79-86B40215F8B4}" type="TxLink">
            <a:rPr lang="en-US" sz="1600" b="1" i="0" u="none" strike="noStrike">
              <a:ln>
                <a:noFill/>
              </a:ln>
              <a:solidFill>
                <a:srgbClr val="F7931D"/>
              </a:solidFill>
              <a:latin typeface="Times New Roman"/>
              <a:cs typeface="Times New Roman"/>
            </a:rPr>
            <a:pPr algn="l"/>
            <a:t>Demonstração de resultado </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B5828A2-67E2-4A55-B50D-B2A71CBC3C62}"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62</xdr:col>
      <xdr:colOff>298450</xdr:colOff>
      <xdr:row>0</xdr:row>
      <xdr:rowOff>63500</xdr:rowOff>
    </xdr:from>
    <xdr:ext cx="910080" cy="426118"/>
    <xdr:pic>
      <xdr:nvPicPr>
        <xdr:cNvPr id="5" name="Imagem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510700" y="63500"/>
          <a:ext cx="910080" cy="42611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361950</xdr:colOff>
      <xdr:row>3</xdr:row>
      <xdr:rowOff>146100</xdr:rowOff>
    </xdr:to>
    <xdr:sp macro="" textlink="">
      <xdr:nvSpPr>
        <xdr:cNvPr id="7" name="CaixaDeTexto 99">
          <a:extLst>
            <a:ext uri="{FF2B5EF4-FFF2-40B4-BE49-F238E27FC236}">
              <a16:creationId xmlns:a16="http://schemas.microsoft.com/office/drawing/2014/main" id="{00000000-0008-0000-0500-000007000000}"/>
            </a:ext>
          </a:extLst>
        </xdr:cNvPr>
        <xdr:cNvSpPr txBox="1"/>
      </xdr:nvSpPr>
      <xdr:spPr>
        <a:xfrm>
          <a:off x="0" y="0"/>
          <a:ext cx="41719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F16EFD6-DE62-4C35-8BE7-97C7B792A4F8}" type="TxLink">
            <a:rPr lang="en-US" sz="1600" b="1" i="0" u="none" strike="noStrike">
              <a:ln>
                <a:noFill/>
              </a:ln>
              <a:solidFill>
                <a:srgbClr val="F7931D"/>
              </a:solidFill>
              <a:latin typeface="Times New Roman"/>
              <a:cs typeface="Times New Roman"/>
            </a:rPr>
            <a:pPr algn="l"/>
            <a:t>DRE - Logística Automotiva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500-000004000000}"/>
            </a:ext>
          </a:extLst>
        </xdr:cNvPr>
        <xdr:cNvSpPr txBox="1"/>
      </xdr:nvSpPr>
      <xdr:spPr>
        <a:xfrm>
          <a:off x="19240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7D2848A-A880-43BD-BC1F-781BBF3A06E8}"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57</xdr:col>
      <xdr:colOff>466725</xdr:colOff>
      <xdr:row>0</xdr:row>
      <xdr:rowOff>114300</xdr:rowOff>
    </xdr:from>
    <xdr:ext cx="910080" cy="426118"/>
    <xdr:pic>
      <xdr:nvPicPr>
        <xdr:cNvPr id="5" name="Imagem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86225" y="114300"/>
          <a:ext cx="910080" cy="42611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504825</xdr:colOff>
      <xdr:row>3</xdr:row>
      <xdr:rowOff>146100</xdr:rowOff>
    </xdr:to>
    <xdr:sp macro="" textlink="">
      <xdr:nvSpPr>
        <xdr:cNvPr id="7" name="CaixaDeTexto 99">
          <a:extLst>
            <a:ext uri="{FF2B5EF4-FFF2-40B4-BE49-F238E27FC236}">
              <a16:creationId xmlns:a16="http://schemas.microsoft.com/office/drawing/2014/main" id="{00000000-0008-0000-0600-000007000000}"/>
            </a:ext>
          </a:extLst>
        </xdr:cNvPr>
        <xdr:cNvSpPr txBox="1"/>
      </xdr:nvSpPr>
      <xdr:spPr>
        <a:xfrm>
          <a:off x="0" y="0"/>
          <a:ext cx="441007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7F4690B8-987C-4E37-92CD-57360F6C3543}" type="TxLink">
            <a:rPr lang="en-US" sz="1600" b="1" i="0" u="none" strike="noStrike">
              <a:ln>
                <a:noFill/>
              </a:ln>
              <a:solidFill>
                <a:srgbClr val="F7931D"/>
              </a:solidFill>
              <a:latin typeface="Times New Roman"/>
              <a:cs typeface="Times New Roman"/>
            </a:rPr>
            <a:pPr algn="l"/>
            <a:t>DRE - Logística Integrada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600-000004000000}"/>
            </a:ext>
          </a:extLst>
        </xdr:cNvPr>
        <xdr:cNvSpPr txBox="1"/>
      </xdr:nvSpPr>
      <xdr:spPr>
        <a:xfrm>
          <a:off x="19240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E351D3E-3174-4FB0-AC31-02317C809BFD}"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57</xdr:col>
      <xdr:colOff>350768</xdr:colOff>
      <xdr:row>0</xdr:row>
      <xdr:rowOff>63500</xdr:rowOff>
    </xdr:from>
    <xdr:ext cx="910080" cy="426118"/>
    <xdr:pic>
      <xdr:nvPicPr>
        <xdr:cNvPr id="5" name="Imagem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362118" y="63500"/>
          <a:ext cx="910080" cy="42611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381000</xdr:colOff>
      <xdr:row>3</xdr:row>
      <xdr:rowOff>146100</xdr:rowOff>
    </xdr:to>
    <xdr:sp macro="" textlink="">
      <xdr:nvSpPr>
        <xdr:cNvPr id="7" name="CaixaDeTexto 99">
          <a:extLst>
            <a:ext uri="{FF2B5EF4-FFF2-40B4-BE49-F238E27FC236}">
              <a16:creationId xmlns:a16="http://schemas.microsoft.com/office/drawing/2014/main" id="{00000000-0008-0000-0700-000007000000}"/>
            </a:ext>
          </a:extLst>
        </xdr:cNvPr>
        <xdr:cNvSpPr txBox="1"/>
      </xdr:nvSpPr>
      <xdr:spPr>
        <a:xfrm>
          <a:off x="0" y="0"/>
          <a:ext cx="4305300" cy="65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ctr"/>
          <a:fld id="{A243F168-AF92-439C-B50A-CF56D540099E}" type="TxLink">
            <a:rPr lang="en-US" sz="1600" b="1" i="0" u="none" strike="noStrike">
              <a:ln>
                <a:noFill/>
              </a:ln>
              <a:solidFill>
                <a:srgbClr val="F7931D"/>
              </a:solidFill>
              <a:latin typeface="Times New Roman"/>
              <a:cs typeface="Times New Roman"/>
            </a:rPr>
            <a:pPr algn="ctr"/>
            <a:t>Demonstração de Resultado - consolidado</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700-000004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953606-9B3C-413C-97C7-F8E0F09F6CD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57</xdr:col>
      <xdr:colOff>568325</xdr:colOff>
      <xdr:row>0</xdr:row>
      <xdr:rowOff>142875</xdr:rowOff>
    </xdr:from>
    <xdr:ext cx="910080" cy="426118"/>
    <xdr:pic>
      <xdr:nvPicPr>
        <xdr:cNvPr id="5" name="Imagem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278425" y="142875"/>
          <a:ext cx="910080" cy="42611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5" name="CaixaDeTexto 99">
          <a:extLst>
            <a:ext uri="{FF2B5EF4-FFF2-40B4-BE49-F238E27FC236}">
              <a16:creationId xmlns:a16="http://schemas.microsoft.com/office/drawing/2014/main" id="{00000000-0008-0000-0800-000005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6B432BD-4460-47A0-AD4C-0B031A26935C}" type="TxLink">
            <a:rPr lang="en-US" sz="1600" b="1" i="0" u="none" strike="noStrike">
              <a:ln>
                <a:noFill/>
              </a:ln>
              <a:solidFill>
                <a:srgbClr val="F7931D"/>
              </a:solidFill>
              <a:latin typeface="Times New Roman"/>
              <a:cs typeface="Times New Roman"/>
            </a:rPr>
            <a:pPr algn="l"/>
            <a:t>Demonstração de fluxo de caixa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97370"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800-000004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BD2331-26DE-4306-9318-B647099D108E}"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45</xdr:col>
      <xdr:colOff>445052</xdr:colOff>
      <xdr:row>0</xdr:row>
      <xdr:rowOff>117475</xdr:rowOff>
    </xdr:from>
    <xdr:ext cx="910080" cy="426118"/>
    <xdr:pic>
      <xdr:nvPicPr>
        <xdr:cNvPr id="7" name="Imagem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113002" y="117475"/>
          <a:ext cx="910080" cy="42611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IC-TGL-FS-01\Tegma\Financeirq\Investidqres\RI\S&#201;RIE%20HIST&#211;RICA\Macrq%20S&#233;rie%20Hist&#243;rica\RENAM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AME"/>
    </sheetNames>
    <sheetDataSet>
      <sheetData sheetId="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13.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4.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15.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16.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17.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18.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1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2.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3.xml"/><Relationship Id="rId1" Type="http://schemas.openxmlformats.org/officeDocument/2006/relationships/printerSettings" Target="../printerSettings/printerSettings33.bin"/><Relationship Id="rId4" Type="http://schemas.openxmlformats.org/officeDocument/2006/relationships/comments" Target="../comments21.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4.xml"/><Relationship Id="rId1" Type="http://schemas.openxmlformats.org/officeDocument/2006/relationships/printerSettings" Target="../printerSettings/printerSettings34.bin"/><Relationship Id="rId4" Type="http://schemas.openxmlformats.org/officeDocument/2006/relationships/comments" Target="../comments22.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3.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7.xml"/><Relationship Id="rId1" Type="http://schemas.openxmlformats.org/officeDocument/2006/relationships/printerSettings" Target="../printerSettings/printerSettings37.bin"/><Relationship Id="rId4" Type="http://schemas.openxmlformats.org/officeDocument/2006/relationships/comments" Target="../comments24.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8.xml"/><Relationship Id="rId1" Type="http://schemas.openxmlformats.org/officeDocument/2006/relationships/printerSettings" Target="../printerSettings/printerSettings38.bin"/><Relationship Id="rId4" Type="http://schemas.openxmlformats.org/officeDocument/2006/relationships/comments" Target="../comments25.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9.xml"/><Relationship Id="rId1" Type="http://schemas.openxmlformats.org/officeDocument/2006/relationships/printerSettings" Target="../printerSettings/printerSettings39.bin"/><Relationship Id="rId4" Type="http://schemas.openxmlformats.org/officeDocument/2006/relationships/comments" Target="../comments2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0.xml"/><Relationship Id="rId1" Type="http://schemas.openxmlformats.org/officeDocument/2006/relationships/printerSettings" Target="../printerSettings/printerSettings40.bin"/><Relationship Id="rId4" Type="http://schemas.openxmlformats.org/officeDocument/2006/relationships/comments" Target="../comments27.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1.xml"/><Relationship Id="rId1" Type="http://schemas.openxmlformats.org/officeDocument/2006/relationships/printerSettings" Target="../printerSettings/printerSettings41.bin"/><Relationship Id="rId4" Type="http://schemas.openxmlformats.org/officeDocument/2006/relationships/comments" Target="../comments28.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2.xml"/><Relationship Id="rId1" Type="http://schemas.openxmlformats.org/officeDocument/2006/relationships/printerSettings" Target="../printerSettings/printerSettings42.bin"/><Relationship Id="rId4" Type="http://schemas.openxmlformats.org/officeDocument/2006/relationships/comments" Target="../comments29.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3.xml"/><Relationship Id="rId1" Type="http://schemas.openxmlformats.org/officeDocument/2006/relationships/printerSettings" Target="../printerSettings/printerSettings43.bin"/><Relationship Id="rId4" Type="http://schemas.openxmlformats.org/officeDocument/2006/relationships/comments" Target="../comments30.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5.xml"/><Relationship Id="rId1" Type="http://schemas.openxmlformats.org/officeDocument/2006/relationships/printerSettings" Target="../printerSettings/printerSettings45.bin"/><Relationship Id="rId4" Type="http://schemas.openxmlformats.org/officeDocument/2006/relationships/comments" Target="../comments31.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tabColor theme="8"/>
    <pageSetUpPr autoPageBreaks="0" fitToPage="1"/>
  </sheetPr>
  <dimension ref="A1:BZ138"/>
  <sheetViews>
    <sheetView showGridLines="0" showRowColHeaders="0" tabSelected="1" zoomScaleNormal="100" workbookViewId="0"/>
  </sheetViews>
  <sheetFormatPr defaultColWidth="9.140625" defaultRowHeight="15.75" x14ac:dyDescent="0.25"/>
  <cols>
    <col min="1" max="1" width="9" style="3" customWidth="1"/>
    <col min="2" max="2" width="51.140625" style="3" customWidth="1"/>
    <col min="3" max="3" width="10.140625" style="3" customWidth="1"/>
    <col min="4" max="4" width="16" style="3" customWidth="1"/>
    <col min="5" max="12" width="9.140625" style="3"/>
    <col min="13" max="13" width="5.85546875" style="3" customWidth="1"/>
    <col min="14" max="50" width="9.140625" style="3"/>
    <col min="51" max="51" width="36.140625" style="3" bestFit="1" customWidth="1"/>
    <col min="52" max="78" width="9.140625" style="3"/>
    <col min="79" max="79" width="12.140625" style="3" bestFit="1" customWidth="1"/>
    <col min="80" max="80" width="40.85546875" style="3" bestFit="1" customWidth="1"/>
    <col min="81" max="81" width="63.5703125" style="3" bestFit="1" customWidth="1"/>
    <col min="82" max="82" width="24.140625" style="3" bestFit="1" customWidth="1"/>
    <col min="83" max="83" width="38.85546875" style="3" bestFit="1" customWidth="1"/>
    <col min="84" max="84" width="16.140625" style="3" bestFit="1" customWidth="1"/>
    <col min="85" max="85" width="32.140625" style="3" bestFit="1" customWidth="1"/>
    <col min="86" max="86" width="24" style="3" bestFit="1" customWidth="1"/>
    <col min="87" max="16384" width="9.140625" style="3"/>
  </cols>
  <sheetData>
    <row r="1" spans="1:78" x14ac:dyDescent="0.25">
      <c r="A1" s="5"/>
      <c r="B1" s="5"/>
      <c r="D1" s="4"/>
      <c r="E1" s="4"/>
      <c r="F1" s="4"/>
      <c r="G1" s="4"/>
      <c r="H1" s="4"/>
      <c r="I1" s="4"/>
      <c r="J1" s="4"/>
      <c r="K1" s="4"/>
      <c r="L1" s="4"/>
      <c r="M1" s="4"/>
      <c r="N1" s="4"/>
      <c r="O1" s="4"/>
      <c r="P1" s="4"/>
      <c r="Q1" s="469"/>
      <c r="T1" s="475"/>
      <c r="U1" s="563"/>
      <c r="AY1" s="629" t="s">
        <v>734</v>
      </c>
      <c r="BZ1" s="4"/>
    </row>
    <row r="2" spans="1:78" x14ac:dyDescent="0.25">
      <c r="B2" s="4"/>
      <c r="C2" s="4"/>
      <c r="D2" s="4"/>
      <c r="E2" s="4"/>
      <c r="F2" s="4"/>
      <c r="G2" s="4"/>
      <c r="H2" s="4"/>
      <c r="I2" s="4"/>
      <c r="J2" s="4"/>
      <c r="K2" s="4"/>
      <c r="L2" s="4"/>
      <c r="M2" s="4"/>
      <c r="N2" s="4"/>
      <c r="O2" s="468"/>
      <c r="P2" s="4"/>
      <c r="Q2" s="4"/>
      <c r="R2" s="475"/>
      <c r="S2" s="559"/>
      <c r="U2" s="564"/>
      <c r="AY2" s="630" t="e">
        <f>[1]RENAME!R2</f>
        <v>#REF!</v>
      </c>
    </row>
    <row r="3" spans="1:78" x14ac:dyDescent="0.25">
      <c r="B3" s="4"/>
      <c r="C3" s="4"/>
      <c r="D3" s="4"/>
      <c r="E3" s="4"/>
      <c r="F3" s="4"/>
      <c r="G3" s="4"/>
      <c r="H3" s="4"/>
      <c r="I3" s="4"/>
      <c r="J3" s="4"/>
      <c r="K3" s="4"/>
      <c r="L3" s="4"/>
      <c r="M3" s="4"/>
      <c r="N3" s="4"/>
      <c r="O3" s="468"/>
      <c r="P3" s="4"/>
      <c r="Q3" s="4"/>
      <c r="R3" s="475"/>
      <c r="S3" s="559"/>
      <c r="U3" s="564"/>
      <c r="AY3" s="630" t="s">
        <v>1380</v>
      </c>
    </row>
    <row r="4" spans="1:78" x14ac:dyDescent="0.25">
      <c r="A4" s="558"/>
      <c r="B4" s="5"/>
      <c r="D4" s="4"/>
      <c r="E4" s="4"/>
      <c r="F4" s="4"/>
      <c r="G4" s="4"/>
      <c r="H4" s="4"/>
      <c r="I4" s="4"/>
      <c r="J4" s="4"/>
      <c r="K4" s="4"/>
      <c r="L4" s="4"/>
      <c r="M4" s="4"/>
      <c r="N4" s="4"/>
      <c r="O4" s="4"/>
      <c r="P4" s="4"/>
      <c r="Q4" s="468"/>
      <c r="R4" s="4"/>
      <c r="S4" s="4"/>
      <c r="T4" s="475"/>
      <c r="U4" s="563"/>
      <c r="AY4" s="630" t="s">
        <v>1381</v>
      </c>
    </row>
    <row r="5" spans="1:78" ht="18.75" x14ac:dyDescent="0.25">
      <c r="B5" s="597"/>
      <c r="D5" s="4"/>
      <c r="E5" s="474"/>
      <c r="F5" s="4"/>
      <c r="G5" s="4"/>
      <c r="H5" s="4"/>
      <c r="I5" s="4"/>
      <c r="J5" s="4"/>
      <c r="K5" s="4"/>
      <c r="L5" s="4"/>
      <c r="M5" s="4"/>
      <c r="N5" s="4"/>
      <c r="O5" s="4"/>
      <c r="P5" s="4"/>
      <c r="Q5" s="468"/>
      <c r="R5" s="4"/>
      <c r="S5" s="4"/>
      <c r="T5" s="475"/>
      <c r="U5" s="563"/>
      <c r="AY5" s="630" t="s">
        <v>1382</v>
      </c>
    </row>
    <row r="6" spans="1:78" ht="18.75" x14ac:dyDescent="0.25">
      <c r="B6" s="598"/>
      <c r="D6" s="4"/>
      <c r="E6" s="4"/>
      <c r="F6" s="4"/>
      <c r="G6" s="4"/>
      <c r="H6" s="4"/>
      <c r="I6" s="4"/>
      <c r="J6" s="4"/>
      <c r="K6" s="4"/>
      <c r="L6" s="4"/>
      <c r="M6" s="4"/>
      <c r="N6" s="4"/>
      <c r="O6" s="4"/>
      <c r="P6" s="4"/>
      <c r="Q6" s="468"/>
      <c r="R6" s="4"/>
      <c r="S6" s="4"/>
      <c r="T6" s="475"/>
      <c r="U6" s="563"/>
      <c r="AY6" s="630" t="s">
        <v>1383</v>
      </c>
    </row>
    <row r="7" spans="1:78" x14ac:dyDescent="0.25">
      <c r="B7" s="599"/>
      <c r="D7" s="4"/>
      <c r="E7" s="4"/>
      <c r="F7" s="4"/>
      <c r="G7" s="4"/>
      <c r="H7" s="4"/>
      <c r="I7" s="4"/>
      <c r="J7" s="4"/>
      <c r="K7" s="4"/>
      <c r="L7" s="4"/>
      <c r="M7" s="4"/>
      <c r="N7" s="4"/>
      <c r="O7" s="4"/>
      <c r="P7" s="4"/>
      <c r="Q7" s="468"/>
      <c r="R7" s="4"/>
      <c r="S7" s="4"/>
      <c r="T7" s="475"/>
      <c r="U7" s="563"/>
      <c r="AY7" s="630" t="s">
        <v>1384</v>
      </c>
    </row>
    <row r="8" spans="1:78" x14ac:dyDescent="0.25">
      <c r="A8" s="5"/>
      <c r="B8" s="5"/>
      <c r="D8" s="4"/>
      <c r="E8" s="4"/>
      <c r="F8" s="4"/>
      <c r="G8" s="4"/>
      <c r="H8" s="4"/>
      <c r="I8" s="4"/>
      <c r="J8" s="4"/>
      <c r="K8" s="4"/>
      <c r="L8" s="4"/>
      <c r="M8" s="4"/>
      <c r="N8" s="4"/>
      <c r="O8" s="4"/>
      <c r="P8" s="4"/>
      <c r="Q8" s="4"/>
      <c r="R8" s="4"/>
      <c r="S8" s="4"/>
      <c r="T8" s="475"/>
      <c r="U8" s="563"/>
      <c r="AY8" s="630" t="s">
        <v>1385</v>
      </c>
    </row>
    <row r="9" spans="1:78" x14ac:dyDescent="0.25">
      <c r="A9" s="5"/>
      <c r="B9" s="5"/>
      <c r="D9" s="4"/>
      <c r="E9" s="4"/>
      <c r="F9" s="4"/>
      <c r="G9" s="4"/>
      <c r="H9" s="4"/>
      <c r="I9" s="4"/>
      <c r="J9" s="4"/>
      <c r="K9" s="4"/>
      <c r="L9" s="4"/>
      <c r="M9" s="4"/>
      <c r="N9" s="4"/>
      <c r="O9" s="4"/>
      <c r="P9" s="4"/>
      <c r="Q9" s="4"/>
      <c r="R9" s="4"/>
      <c r="S9" s="4"/>
      <c r="T9" s="475"/>
      <c r="U9" s="563"/>
      <c r="AY9" s="630" t="s">
        <v>1386</v>
      </c>
    </row>
    <row r="10" spans="1:78" x14ac:dyDescent="0.25">
      <c r="A10" s="5"/>
      <c r="B10" s="5"/>
      <c r="D10" s="4"/>
      <c r="E10" s="4"/>
      <c r="F10" s="4"/>
      <c r="G10" s="4"/>
      <c r="H10" s="4"/>
      <c r="I10" s="4"/>
      <c r="J10" s="4"/>
      <c r="K10" s="4"/>
      <c r="L10" s="4"/>
      <c r="M10" s="4"/>
      <c r="N10" s="4"/>
      <c r="O10" s="4"/>
      <c r="P10" s="4"/>
      <c r="Q10" s="469"/>
      <c r="R10" s="4"/>
      <c r="S10" s="4"/>
      <c r="T10" s="475"/>
      <c r="U10" s="563"/>
      <c r="AY10" s="630" t="s">
        <v>1387</v>
      </c>
    </row>
    <row r="11" spans="1:78" x14ac:dyDescent="0.25">
      <c r="A11" s="5"/>
      <c r="B11" s="19"/>
      <c r="D11" s="4"/>
      <c r="E11" s="4"/>
      <c r="F11" s="4"/>
      <c r="G11" s="4"/>
      <c r="H11" s="4"/>
      <c r="I11" s="4"/>
      <c r="J11" s="4"/>
      <c r="K11" s="4"/>
      <c r="L11" s="4"/>
      <c r="M11" s="4"/>
      <c r="N11" s="4"/>
      <c r="O11" s="4"/>
      <c r="P11" s="4"/>
      <c r="Q11" s="4"/>
      <c r="R11" s="4"/>
      <c r="S11" s="4"/>
      <c r="T11" s="475"/>
      <c r="U11" s="563"/>
      <c r="AY11" s="630" t="s">
        <v>1388</v>
      </c>
    </row>
    <row r="12" spans="1:78" x14ac:dyDescent="0.25">
      <c r="A12" s="5"/>
      <c r="B12" s="19"/>
      <c r="D12" s="4"/>
      <c r="E12" s="4"/>
      <c r="F12" s="4"/>
      <c r="G12" s="4"/>
      <c r="H12" s="4"/>
      <c r="I12" s="4"/>
      <c r="J12" s="4"/>
      <c r="K12" s="4"/>
      <c r="L12" s="4"/>
      <c r="M12" s="4"/>
      <c r="N12" s="4"/>
      <c r="O12" s="4"/>
      <c r="P12" s="4"/>
      <c r="Q12" s="4"/>
      <c r="R12" s="4"/>
      <c r="S12" s="4"/>
      <c r="T12" s="475"/>
      <c r="U12" s="563"/>
      <c r="AY12" s="630" t="s">
        <v>1389</v>
      </c>
    </row>
    <row r="13" spans="1:78" x14ac:dyDescent="0.25">
      <c r="A13" s="5"/>
      <c r="B13" s="19"/>
      <c r="D13" s="4"/>
      <c r="E13" s="4"/>
      <c r="F13" s="4"/>
      <c r="G13" s="4"/>
      <c r="H13" s="4"/>
      <c r="I13" s="4"/>
      <c r="J13" s="4"/>
      <c r="K13" s="4"/>
      <c r="L13" s="4"/>
      <c r="M13" s="4"/>
      <c r="N13" s="4"/>
      <c r="O13" s="4"/>
      <c r="P13" s="4"/>
      <c r="Q13" s="4"/>
      <c r="R13" s="4"/>
      <c r="S13" s="4"/>
      <c r="T13" s="475"/>
      <c r="U13" s="563"/>
      <c r="AY13" s="630" t="s">
        <v>1390</v>
      </c>
    </row>
    <row r="14" spans="1:78" x14ac:dyDescent="0.25">
      <c r="A14" s="5"/>
      <c r="B14" s="19"/>
      <c r="D14" s="4"/>
      <c r="E14" s="4"/>
      <c r="F14" s="4"/>
      <c r="G14" s="4"/>
      <c r="H14" s="4"/>
      <c r="I14" s="4"/>
      <c r="J14" s="4"/>
      <c r="K14" s="4"/>
      <c r="L14" s="4"/>
      <c r="M14" s="4"/>
      <c r="N14" s="4"/>
      <c r="O14" s="4"/>
      <c r="P14" s="4"/>
      <c r="Q14" s="4"/>
      <c r="R14" s="4"/>
      <c r="S14" s="4"/>
      <c r="T14" s="475"/>
      <c r="U14" s="563"/>
      <c r="AY14" s="630" t="s">
        <v>1391</v>
      </c>
    </row>
    <row r="15" spans="1:78" x14ac:dyDescent="0.25">
      <c r="A15" s="5"/>
      <c r="B15" s="19"/>
      <c r="D15" s="4"/>
      <c r="E15" s="4"/>
      <c r="F15" s="4"/>
      <c r="G15" s="4"/>
      <c r="H15" s="4"/>
      <c r="I15" s="4"/>
      <c r="J15" s="4"/>
      <c r="K15" s="4"/>
      <c r="L15" s="4"/>
      <c r="M15" s="4"/>
      <c r="N15" s="4"/>
      <c r="O15" s="4"/>
      <c r="P15" s="4"/>
      <c r="Q15" s="4"/>
      <c r="R15" s="4"/>
      <c r="S15" s="4"/>
      <c r="T15" s="475"/>
      <c r="U15" s="563"/>
      <c r="AY15" s="630" t="s">
        <v>1392</v>
      </c>
    </row>
    <row r="16" spans="1:78" x14ac:dyDescent="0.25">
      <c r="A16" s="5"/>
      <c r="B16" s="19"/>
      <c r="D16" s="4"/>
      <c r="E16" s="4"/>
      <c r="F16" s="4"/>
      <c r="G16" s="4"/>
      <c r="H16" s="4"/>
      <c r="I16" s="4"/>
      <c r="J16" s="4"/>
      <c r="K16" s="4"/>
      <c r="L16" s="4"/>
      <c r="M16" s="4"/>
      <c r="N16" s="4"/>
      <c r="O16" s="4"/>
      <c r="P16" s="4"/>
      <c r="Q16" s="4"/>
      <c r="R16" s="4"/>
      <c r="S16" s="4"/>
      <c r="T16" s="475"/>
      <c r="U16" s="563"/>
      <c r="AY16" s="630" t="s">
        <v>1393</v>
      </c>
    </row>
    <row r="17" spans="1:51" x14ac:dyDescent="0.25">
      <c r="A17" s="5"/>
      <c r="B17" s="6"/>
      <c r="D17" s="4"/>
      <c r="E17" s="4"/>
      <c r="F17" s="4"/>
      <c r="G17" s="4"/>
      <c r="H17" s="4"/>
      <c r="I17" s="4"/>
      <c r="J17" s="4"/>
      <c r="K17" s="4"/>
      <c r="L17" s="4"/>
      <c r="M17" s="4"/>
      <c r="N17" s="4"/>
      <c r="O17" s="4"/>
      <c r="P17" s="4"/>
      <c r="Q17" s="4"/>
      <c r="R17" s="4"/>
      <c r="S17" s="4"/>
      <c r="T17" s="475"/>
      <c r="U17" s="563"/>
      <c r="AY17" s="630" t="s">
        <v>1394</v>
      </c>
    </row>
    <row r="18" spans="1:51" x14ac:dyDescent="0.25">
      <c r="A18" s="5"/>
      <c r="B18" s="6"/>
      <c r="D18" s="4"/>
      <c r="E18" s="4"/>
      <c r="F18" s="4"/>
      <c r="G18" s="4"/>
      <c r="H18" s="4"/>
      <c r="I18" s="4"/>
      <c r="J18" s="4"/>
      <c r="K18" s="4"/>
      <c r="L18" s="4"/>
      <c r="M18" s="4"/>
      <c r="N18" s="4"/>
      <c r="O18" s="4"/>
      <c r="P18" s="4"/>
      <c r="Q18" s="4"/>
      <c r="R18" s="4"/>
      <c r="S18" s="4"/>
      <c r="T18" s="475"/>
      <c r="U18" s="563"/>
      <c r="AY18" s="630" t="s">
        <v>1395</v>
      </c>
    </row>
    <row r="19" spans="1:51" ht="25.5" customHeight="1" x14ac:dyDescent="0.25">
      <c r="A19" s="8"/>
      <c r="D19" s="4"/>
      <c r="E19" s="4"/>
      <c r="F19" s="4"/>
      <c r="G19" s="4"/>
      <c r="H19" s="4"/>
      <c r="I19" s="4"/>
      <c r="J19" s="4"/>
      <c r="K19" s="4"/>
      <c r="L19" s="4"/>
      <c r="M19" s="4"/>
      <c r="N19" s="4"/>
      <c r="O19" s="4"/>
      <c r="P19" s="4"/>
      <c r="Q19" s="4"/>
      <c r="R19" s="4"/>
      <c r="S19" s="4"/>
      <c r="T19" s="475"/>
      <c r="U19" s="563"/>
      <c r="AY19" s="630" t="s">
        <v>1396</v>
      </c>
    </row>
    <row r="20" spans="1:51" x14ac:dyDescent="0.25">
      <c r="A20" s="15"/>
      <c r="B20" s="7"/>
      <c r="J20" s="4"/>
      <c r="K20" s="4"/>
      <c r="L20" s="4"/>
      <c r="M20" s="4"/>
      <c r="N20" s="4"/>
      <c r="O20" s="4"/>
      <c r="P20" s="4"/>
      <c r="Q20" s="4"/>
      <c r="R20" s="4"/>
      <c r="S20" s="4"/>
      <c r="T20" s="475"/>
      <c r="U20" s="563"/>
      <c r="AY20" s="630" t="s">
        <v>1397</v>
      </c>
    </row>
    <row r="21" spans="1:51" x14ac:dyDescent="0.25">
      <c r="B21" s="7"/>
      <c r="G21" s="472"/>
      <c r="H21" s="472"/>
      <c r="I21" s="472"/>
      <c r="J21" s="473"/>
      <c r="K21" s="4"/>
      <c r="L21" s="4"/>
      <c r="M21" s="4"/>
      <c r="N21" s="4"/>
      <c r="O21" s="4"/>
      <c r="P21" s="4"/>
      <c r="Q21" s="4"/>
      <c r="R21" s="4"/>
      <c r="S21" s="4"/>
      <c r="T21" s="475"/>
      <c r="U21" s="563"/>
      <c r="AY21" s="630" t="s">
        <v>1398</v>
      </c>
    </row>
    <row r="22" spans="1:51" x14ac:dyDescent="0.25">
      <c r="A22" s="7"/>
      <c r="B22" s="7"/>
      <c r="G22" s="472"/>
      <c r="H22" s="472"/>
      <c r="I22" s="472"/>
      <c r="J22" s="473"/>
      <c r="K22" s="4"/>
      <c r="L22" s="4"/>
      <c r="M22" s="4"/>
      <c r="N22" s="4"/>
      <c r="O22" s="4"/>
      <c r="P22" s="4"/>
      <c r="Q22" s="4"/>
      <c r="R22" s="4"/>
      <c r="S22" s="4"/>
      <c r="T22" s="475"/>
      <c r="U22" s="563"/>
      <c r="AY22" s="630" t="s">
        <v>1399</v>
      </c>
    </row>
    <row r="23" spans="1:51" ht="17.25" customHeight="1" x14ac:dyDescent="0.25">
      <c r="G23" s="472"/>
      <c r="H23" s="472"/>
      <c r="I23" s="472"/>
      <c r="J23" s="473"/>
      <c r="K23" s="4"/>
      <c r="L23" s="4"/>
      <c r="M23" s="4"/>
      <c r="N23" s="4"/>
      <c r="O23" s="4"/>
      <c r="P23" s="4"/>
      <c r="Q23" s="4"/>
      <c r="R23" s="4"/>
      <c r="S23" s="4"/>
      <c r="T23" s="475"/>
      <c r="U23" s="563"/>
      <c r="AY23" s="630" t="s">
        <v>1400</v>
      </c>
    </row>
    <row r="24" spans="1:51" x14ac:dyDescent="0.25">
      <c r="G24" s="472"/>
      <c r="H24" s="472"/>
      <c r="I24" s="472"/>
      <c r="J24" s="473"/>
      <c r="K24" s="4"/>
      <c r="L24" s="4"/>
      <c r="M24" s="4"/>
      <c r="N24" s="4"/>
      <c r="O24" s="4"/>
      <c r="P24" s="4"/>
      <c r="Q24" s="4"/>
      <c r="R24" s="4"/>
      <c r="S24" s="4"/>
      <c r="T24" s="475"/>
      <c r="U24" s="563"/>
      <c r="AY24" s="630" t="s">
        <v>1401</v>
      </c>
    </row>
    <row r="25" spans="1:51" x14ac:dyDescent="0.25">
      <c r="G25" s="472"/>
      <c r="H25" s="472"/>
      <c r="I25" s="472"/>
      <c r="J25" s="472"/>
      <c r="T25" s="475"/>
      <c r="U25" s="563"/>
      <c r="AY25" s="630" t="s">
        <v>1402</v>
      </c>
    </row>
    <row r="26" spans="1:51" x14ac:dyDescent="0.25">
      <c r="G26" s="472"/>
      <c r="H26" s="472"/>
      <c r="I26" s="472"/>
      <c r="J26" s="472"/>
      <c r="T26" s="475"/>
      <c r="U26" s="563"/>
      <c r="AY26" s="630" t="s">
        <v>1403</v>
      </c>
    </row>
    <row r="27" spans="1:51" x14ac:dyDescent="0.25">
      <c r="G27" s="472"/>
      <c r="H27" s="472"/>
      <c r="I27" s="472"/>
      <c r="J27" s="472"/>
      <c r="T27" s="475"/>
      <c r="U27" s="563"/>
      <c r="AY27" s="630" t="s">
        <v>1404</v>
      </c>
    </row>
    <row r="28" spans="1:51" x14ac:dyDescent="0.25">
      <c r="G28" s="472"/>
      <c r="H28" s="472"/>
      <c r="I28" s="472"/>
      <c r="J28" s="472"/>
      <c r="T28" s="475"/>
      <c r="U28" s="563"/>
      <c r="AY28" s="630" t="s">
        <v>1405</v>
      </c>
    </row>
    <row r="29" spans="1:51" x14ac:dyDescent="0.25">
      <c r="G29" s="472"/>
      <c r="H29" s="472"/>
      <c r="I29" s="472"/>
      <c r="J29" s="472"/>
      <c r="T29" s="475"/>
      <c r="U29" s="563"/>
      <c r="AY29" s="630" t="s">
        <v>1406</v>
      </c>
    </row>
    <row r="30" spans="1:51" x14ac:dyDescent="0.25">
      <c r="G30" s="472"/>
      <c r="H30" s="472"/>
      <c r="I30" s="472"/>
      <c r="J30" s="472"/>
      <c r="T30" s="475"/>
      <c r="U30" s="563"/>
      <c r="AY30" s="630" t="s">
        <v>1407</v>
      </c>
    </row>
    <row r="31" spans="1:51" x14ac:dyDescent="0.25">
      <c r="G31" s="471"/>
      <c r="H31" s="471"/>
      <c r="I31" s="471"/>
      <c r="J31" s="471"/>
      <c r="K31" s="470"/>
      <c r="T31" s="475"/>
      <c r="U31" s="563"/>
      <c r="AY31" s="630" t="s">
        <v>1408</v>
      </c>
    </row>
    <row r="32" spans="1:51" x14ac:dyDescent="0.25">
      <c r="G32" s="471"/>
      <c r="H32" s="471"/>
      <c r="I32" s="471"/>
      <c r="J32" s="471"/>
      <c r="K32" s="470"/>
      <c r="T32" s="475"/>
      <c r="U32" s="563"/>
      <c r="AY32" s="630" t="s">
        <v>1409</v>
      </c>
    </row>
    <row r="33" spans="1:51" x14ac:dyDescent="0.25">
      <c r="A33" s="469"/>
      <c r="G33" s="471"/>
      <c r="H33" s="471"/>
      <c r="I33" s="471"/>
      <c r="J33" s="471"/>
      <c r="K33" s="470"/>
      <c r="T33" s="475"/>
      <c r="U33" s="563"/>
      <c r="AY33" s="630" t="s">
        <v>1410</v>
      </c>
    </row>
    <row r="34" spans="1:51" x14ac:dyDescent="0.25">
      <c r="G34" s="471"/>
      <c r="H34" s="471"/>
      <c r="I34" s="471"/>
      <c r="J34" s="471"/>
      <c r="K34" s="470"/>
      <c r="T34" s="475"/>
      <c r="U34" s="563"/>
      <c r="AY34" s="630" t="s">
        <v>1411</v>
      </c>
    </row>
    <row r="35" spans="1:51" x14ac:dyDescent="0.25">
      <c r="G35" s="471"/>
      <c r="H35" s="471"/>
      <c r="I35" s="471"/>
      <c r="J35" s="471"/>
      <c r="K35" s="470"/>
      <c r="T35" s="475"/>
      <c r="U35" s="563"/>
      <c r="AY35" s="630" t="s">
        <v>1412</v>
      </c>
    </row>
    <row r="36" spans="1:51" x14ac:dyDescent="0.25">
      <c r="G36" s="471"/>
      <c r="H36" s="471"/>
      <c r="I36" s="471"/>
      <c r="J36" s="471"/>
      <c r="K36" s="470"/>
      <c r="T36" s="475"/>
      <c r="U36" s="563"/>
      <c r="AY36" s="630" t="s">
        <v>1413</v>
      </c>
    </row>
    <row r="37" spans="1:51" x14ac:dyDescent="0.25">
      <c r="G37" s="471"/>
      <c r="H37" s="471"/>
      <c r="I37" s="471"/>
      <c r="J37" s="471"/>
      <c r="K37" s="470"/>
      <c r="T37" s="475"/>
      <c r="U37" s="563"/>
      <c r="AY37" s="630" t="s">
        <v>1414</v>
      </c>
    </row>
    <row r="38" spans="1:51" x14ac:dyDescent="0.25">
      <c r="G38" s="471"/>
      <c r="H38" s="471"/>
      <c r="I38" s="471"/>
      <c r="J38" s="471"/>
      <c r="K38" s="470"/>
      <c r="T38" s="475"/>
      <c r="U38" s="563"/>
      <c r="AY38" s="630" t="s">
        <v>1415</v>
      </c>
    </row>
    <row r="39" spans="1:51" x14ac:dyDescent="0.25">
      <c r="G39" s="471"/>
      <c r="H39" s="471"/>
      <c r="I39" s="471"/>
      <c r="J39" s="471"/>
      <c r="K39" s="470"/>
      <c r="T39" s="475"/>
      <c r="U39" s="563"/>
      <c r="AY39" s="630" t="s">
        <v>1416</v>
      </c>
    </row>
    <row r="40" spans="1:51" x14ac:dyDescent="0.25">
      <c r="G40" s="471"/>
      <c r="H40" s="471"/>
      <c r="I40" s="471"/>
      <c r="J40" s="471"/>
      <c r="K40" s="470"/>
      <c r="T40" s="475"/>
      <c r="U40" s="563"/>
      <c r="AY40" s="630" t="s">
        <v>1417</v>
      </c>
    </row>
    <row r="41" spans="1:51" x14ac:dyDescent="0.25">
      <c r="G41" s="471"/>
      <c r="H41" s="471"/>
      <c r="I41" s="471"/>
      <c r="J41" s="471"/>
      <c r="K41" s="470"/>
      <c r="T41" s="475"/>
      <c r="U41" s="563"/>
      <c r="AY41" s="630" t="s">
        <v>1418</v>
      </c>
    </row>
    <row r="42" spans="1:51" x14ac:dyDescent="0.25">
      <c r="G42" s="471"/>
      <c r="H42" s="471"/>
      <c r="I42" s="471"/>
      <c r="J42" s="471"/>
      <c r="K42" s="470"/>
      <c r="T42" s="475"/>
      <c r="U42" s="563"/>
      <c r="AY42" s="630" t="s">
        <v>1419</v>
      </c>
    </row>
    <row r="43" spans="1:51" x14ac:dyDescent="0.25">
      <c r="G43" s="471"/>
      <c r="H43" s="471"/>
      <c r="I43" s="471"/>
      <c r="J43" s="471"/>
      <c r="K43" s="470"/>
      <c r="AY43" s="630" t="s">
        <v>1420</v>
      </c>
    </row>
    <row r="44" spans="1:51" ht="16.5" thickBot="1" x14ac:dyDescent="0.3">
      <c r="G44" s="471"/>
      <c r="H44" s="471"/>
      <c r="I44" s="471"/>
      <c r="J44" s="471"/>
      <c r="K44" s="470"/>
      <c r="AY44" s="631" t="s">
        <v>1421</v>
      </c>
    </row>
    <row r="45" spans="1:51" x14ac:dyDescent="0.25">
      <c r="G45" s="471"/>
      <c r="H45" s="471"/>
      <c r="I45" s="471"/>
      <c r="J45" s="471"/>
      <c r="K45" s="470"/>
    </row>
    <row r="46" spans="1:51" x14ac:dyDescent="0.25">
      <c r="G46" s="471"/>
      <c r="H46" s="471"/>
      <c r="I46" s="471"/>
      <c r="J46" s="471"/>
      <c r="K46" s="470"/>
    </row>
    <row r="47" spans="1:51" x14ac:dyDescent="0.25">
      <c r="G47" s="471"/>
      <c r="H47" s="471"/>
      <c r="I47" s="471"/>
      <c r="J47" s="471"/>
      <c r="K47" s="470"/>
    </row>
    <row r="48" spans="1:51" x14ac:dyDescent="0.25">
      <c r="G48" s="471"/>
      <c r="H48" s="471"/>
      <c r="I48" s="471"/>
      <c r="J48" s="471"/>
      <c r="K48" s="470"/>
    </row>
    <row r="49" spans="7:11" x14ac:dyDescent="0.25">
      <c r="G49" s="471"/>
      <c r="H49" s="471"/>
      <c r="I49" s="471"/>
      <c r="J49" s="471"/>
      <c r="K49" s="470"/>
    </row>
    <row r="50" spans="7:11" x14ac:dyDescent="0.25">
      <c r="G50" s="471"/>
      <c r="H50" s="471"/>
      <c r="I50" s="471"/>
      <c r="J50" s="471"/>
      <c r="K50" s="470"/>
    </row>
    <row r="51" spans="7:11" x14ac:dyDescent="0.25">
      <c r="G51" s="471"/>
      <c r="H51" s="471"/>
      <c r="I51" s="471"/>
      <c r="J51" s="471"/>
      <c r="K51" s="470"/>
    </row>
    <row r="52" spans="7:11" x14ac:dyDescent="0.25">
      <c r="G52" s="471"/>
      <c r="H52" s="471"/>
      <c r="I52" s="471"/>
      <c r="J52" s="471"/>
      <c r="K52" s="470"/>
    </row>
    <row r="53" spans="7:11" x14ac:dyDescent="0.25">
      <c r="G53" s="471"/>
      <c r="H53" s="471"/>
      <c r="I53" s="471"/>
      <c r="J53" s="471"/>
      <c r="K53" s="470"/>
    </row>
    <row r="54" spans="7:11" x14ac:dyDescent="0.25">
      <c r="G54" s="471"/>
      <c r="H54" s="471"/>
      <c r="I54" s="471"/>
      <c r="J54" s="471"/>
      <c r="K54" s="470"/>
    </row>
    <row r="55" spans="7:11" x14ac:dyDescent="0.25">
      <c r="G55" s="471"/>
      <c r="H55" s="471"/>
      <c r="I55" s="471"/>
      <c r="J55" s="471"/>
      <c r="K55" s="470"/>
    </row>
    <row r="56" spans="7:11" x14ac:dyDescent="0.25">
      <c r="G56" s="471"/>
      <c r="H56" s="471"/>
      <c r="I56" s="471"/>
      <c r="J56" s="471"/>
      <c r="K56" s="470"/>
    </row>
    <row r="57" spans="7:11" x14ac:dyDescent="0.25">
      <c r="G57" s="471"/>
      <c r="H57" s="471"/>
      <c r="I57" s="471"/>
      <c r="J57" s="471"/>
      <c r="K57" s="470"/>
    </row>
    <row r="58" spans="7:11" x14ac:dyDescent="0.25">
      <c r="G58" s="471"/>
      <c r="H58" s="471"/>
      <c r="I58" s="471"/>
      <c r="J58" s="471"/>
      <c r="K58" s="470"/>
    </row>
    <row r="59" spans="7:11" x14ac:dyDescent="0.25">
      <c r="G59" s="471"/>
      <c r="H59" s="471"/>
      <c r="I59" s="471"/>
      <c r="J59" s="471"/>
      <c r="K59" s="470"/>
    </row>
    <row r="60" spans="7:11" x14ac:dyDescent="0.25">
      <c r="G60" s="471"/>
      <c r="H60" s="471"/>
      <c r="I60" s="471"/>
      <c r="J60" s="471"/>
      <c r="K60" s="470"/>
    </row>
    <row r="61" spans="7:11" x14ac:dyDescent="0.25">
      <c r="G61" s="471"/>
      <c r="H61" s="471"/>
      <c r="I61" s="471"/>
      <c r="J61" s="471"/>
      <c r="K61" s="470"/>
    </row>
    <row r="62" spans="7:11" x14ac:dyDescent="0.25">
      <c r="G62" s="471"/>
      <c r="H62" s="471"/>
      <c r="I62" s="471"/>
      <c r="J62" s="471"/>
      <c r="K62" s="470"/>
    </row>
    <row r="63" spans="7:11" x14ac:dyDescent="0.25">
      <c r="G63" s="471"/>
      <c r="H63" s="471"/>
      <c r="I63" s="471"/>
      <c r="J63" s="471"/>
      <c r="K63" s="470"/>
    </row>
    <row r="64" spans="7:11" x14ac:dyDescent="0.25">
      <c r="G64" s="471"/>
      <c r="H64" s="471"/>
      <c r="I64" s="471"/>
      <c r="J64" s="471"/>
      <c r="K64" s="470"/>
    </row>
    <row r="65" spans="7:11" x14ac:dyDescent="0.25">
      <c r="G65" s="471"/>
      <c r="H65" s="471"/>
      <c r="I65" s="471"/>
      <c r="J65" s="471"/>
      <c r="K65" s="470"/>
    </row>
    <row r="66" spans="7:11" x14ac:dyDescent="0.25">
      <c r="G66" s="471"/>
      <c r="H66" s="471"/>
      <c r="I66" s="471"/>
      <c r="J66" s="471"/>
      <c r="K66" s="470"/>
    </row>
    <row r="67" spans="7:11" x14ac:dyDescent="0.25">
      <c r="G67" s="471"/>
      <c r="H67" s="471"/>
      <c r="I67" s="471"/>
      <c r="J67" s="471"/>
      <c r="K67" s="470"/>
    </row>
    <row r="68" spans="7:11" x14ac:dyDescent="0.25">
      <c r="G68" s="471"/>
      <c r="H68" s="471"/>
      <c r="I68" s="471"/>
      <c r="J68" s="471"/>
      <c r="K68" s="470"/>
    </row>
    <row r="69" spans="7:11" x14ac:dyDescent="0.25">
      <c r="G69" s="471"/>
      <c r="H69" s="471"/>
      <c r="I69" s="471"/>
      <c r="J69" s="471"/>
      <c r="K69" s="470"/>
    </row>
    <row r="70" spans="7:11" x14ac:dyDescent="0.25">
      <c r="G70" s="471"/>
      <c r="H70" s="471"/>
      <c r="I70" s="471"/>
      <c r="J70" s="471"/>
      <c r="K70" s="470"/>
    </row>
    <row r="71" spans="7:11" x14ac:dyDescent="0.25">
      <c r="G71" s="471"/>
      <c r="H71" s="471"/>
      <c r="I71" s="471"/>
      <c r="J71" s="471"/>
      <c r="K71" s="470"/>
    </row>
    <row r="72" spans="7:11" x14ac:dyDescent="0.25">
      <c r="G72" s="471"/>
      <c r="H72" s="471"/>
      <c r="I72" s="471"/>
      <c r="J72" s="471"/>
      <c r="K72" s="470"/>
    </row>
    <row r="73" spans="7:11" x14ac:dyDescent="0.25">
      <c r="G73" s="471"/>
      <c r="H73" s="471"/>
      <c r="I73" s="471"/>
      <c r="J73" s="471"/>
      <c r="K73" s="470"/>
    </row>
    <row r="74" spans="7:11" x14ac:dyDescent="0.25">
      <c r="G74" s="471"/>
      <c r="H74" s="471"/>
      <c r="I74" s="471"/>
      <c r="J74" s="471"/>
      <c r="K74" s="470"/>
    </row>
    <row r="75" spans="7:11" x14ac:dyDescent="0.25">
      <c r="G75" s="471"/>
      <c r="H75" s="471"/>
      <c r="I75" s="471"/>
      <c r="J75" s="471"/>
      <c r="K75" s="470"/>
    </row>
    <row r="76" spans="7:11" x14ac:dyDescent="0.25">
      <c r="G76" s="471"/>
      <c r="H76" s="471"/>
      <c r="I76" s="471"/>
      <c r="J76" s="471"/>
      <c r="K76" s="470"/>
    </row>
    <row r="77" spans="7:11" x14ac:dyDescent="0.25">
      <c r="G77" s="472"/>
      <c r="H77" s="472"/>
      <c r="I77" s="472"/>
      <c r="J77" s="472"/>
    </row>
    <row r="115" spans="20:20" x14ac:dyDescent="0.25">
      <c r="T115" s="2" t="str">
        <f>SUBSTITUTE(Indicadores!T56,"T","Q")</f>
        <v>2Q16</v>
      </c>
    </row>
    <row r="137" spans="1:51" x14ac:dyDescent="0.25">
      <c r="AY137" s="2"/>
    </row>
    <row r="138" spans="1:51" s="2" customFormat="1" x14ac:dyDescent="0.25">
      <c r="A138" s="2" t="str">
        <f>SUBSTITUTE(Indicadores!A56,"T","Q")</f>
        <v/>
      </c>
      <c r="B138" s="2" t="str">
        <f>SUBSTITUTE(Indicadores!B56,"T","Q")</f>
        <v>Indicadores QGMA3</v>
      </c>
      <c r="C138" s="2" t="str">
        <f>SUBSTITUTE(Indicadores!C56,"T","Q")</f>
        <v>1Q12</v>
      </c>
      <c r="D138" s="2" t="str">
        <f>SUBSTITUTE(Indicadores!D56,"T","Q")</f>
        <v>2Q12</v>
      </c>
      <c r="E138" s="2" t="str">
        <f>SUBSTITUTE(Indicadores!E56,"T","Q")</f>
        <v>3Q12</v>
      </c>
      <c r="F138" s="2" t="str">
        <f>SUBSTITUTE(Indicadores!F56,"T","Q")</f>
        <v>4Q12</v>
      </c>
      <c r="G138" s="2" t="str">
        <f>SUBSTITUTE(Indicadores!G56,"T","Q")</f>
        <v>1Q13</v>
      </c>
      <c r="H138" s="2" t="str">
        <f>SUBSTITUTE(Indicadores!H56,"T","Q")</f>
        <v>2Q13</v>
      </c>
      <c r="I138" s="2" t="str">
        <f>SUBSTITUTE(Indicadores!I56,"T","Q")</f>
        <v>3Q13</v>
      </c>
      <c r="J138" s="2" t="str">
        <f>SUBSTITUTE(Indicadores!J56,"T","Q")</f>
        <v>4Q13</v>
      </c>
      <c r="K138" s="2" t="str">
        <f>SUBSTITUTE(Indicadores!K56,"T","Q")</f>
        <v>1Q14</v>
      </c>
      <c r="L138" s="2" t="str">
        <f>SUBSTITUTE(Indicadores!L56,"T","Q")</f>
        <v>2Q14</v>
      </c>
      <c r="M138" s="2" t="str">
        <f>SUBSTITUTE(Indicadores!M56,"T","Q")</f>
        <v>3Q14</v>
      </c>
      <c r="N138" s="2" t="str">
        <f>SUBSTITUTE(Indicadores!N56,"T","Q")</f>
        <v>4Q14</v>
      </c>
      <c r="O138" s="2" t="str">
        <f>SUBSTITUTE(Indicadores!O56,"T","Q")</f>
        <v>1Q15</v>
      </c>
      <c r="P138" s="2" t="str">
        <f>SUBSTITUTE(Indicadores!P56,"T","Q")</f>
        <v>2Q15</v>
      </c>
      <c r="Q138" s="2" t="str">
        <f>SUBSTITUTE(Indicadores!Q56,"T","Q")</f>
        <v>3Q15</v>
      </c>
      <c r="R138" s="2" t="str">
        <f>SUBSTITUTE(Indicadores!R56,"T","Q")</f>
        <v>4Q15</v>
      </c>
      <c r="T138" s="3"/>
      <c r="V138" s="2" t="str">
        <f>SUBSTITUTE(Indicadores!V56,"T","Q")</f>
        <v>4Q16</v>
      </c>
      <c r="W138" s="2" t="str">
        <f>SUBSTITUTE(Indicadores!W56,"T","Q")</f>
        <v>1Q17</v>
      </c>
      <c r="X138" s="2" t="str">
        <f>SUBSTITUTE(Indicadores!X56,"T","Q")</f>
        <v>2Q17</v>
      </c>
      <c r="Y138" s="2" t="str">
        <f>SUBSTITUTE(Indicadores!Y56,"T","Q")</f>
        <v>3Q17</v>
      </c>
      <c r="AY138" s="3"/>
    </row>
  </sheetData>
  <dataValidations xWindow="444" yWindow="327" count="2">
    <dataValidation type="list" allowBlank="1" showInputMessage="1" showErrorMessage="1" sqref="Q10" xr:uid="{00000000-0002-0000-0000-000000000000}">
      <formula1>$Q$1:$Q$7</formula1>
    </dataValidation>
    <dataValidation type="list" allowBlank="1" showInputMessage="1" showErrorMessage="1" promptTitle="Selecione a Aba desejada" prompt="em seguida clique no link abaixo" sqref="B6" xr:uid="{00000000-0002-0000-0000-000001000000}">
      <formula1>$U$1:$U$42</formula1>
    </dataValidation>
  </dataValidations>
  <pageMargins left="0.51181102362204722" right="0.51181102362204722" top="0.78740157480314965" bottom="0.78740157480314965" header="0.31496062992125984" footer="0.31496062992125984"/>
  <pageSetup paperSize="9" orientation="landscape"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13">
    <tabColor rgb="FFFAB766"/>
    <pageSetUpPr autoPageBreaks="0"/>
  </sheetPr>
  <dimension ref="A1:AX50"/>
  <sheetViews>
    <sheetView showGridLines="0" workbookViewId="0">
      <pane xSplit="2" ySplit="5" topLeftCell="C6" activePane="bottomRight" state="frozen"/>
      <selection activeCell="K34" sqref="K34"/>
      <selection pane="topRight" activeCell="K34" sqref="K34"/>
      <selection pane="bottomLeft" activeCell="K34" sqref="K34"/>
      <selection pane="bottomRight" activeCell="E2" sqref="E2"/>
    </sheetView>
  </sheetViews>
  <sheetFormatPr defaultColWidth="9.140625" defaultRowHeight="12.75" outlineLevelRow="1" x14ac:dyDescent="0.2"/>
  <cols>
    <col min="1" max="1" width="1.42578125" style="2" customWidth="1"/>
    <col min="2" max="2" width="53.140625" style="193" bestFit="1" customWidth="1"/>
    <col min="3" max="5" width="9.85546875" style="198" customWidth="1"/>
    <col min="6" max="25" width="9.85546875" style="194" customWidth="1"/>
    <col min="26" max="26" width="8.85546875"/>
    <col min="27" max="48" width="9.85546875" style="194" customWidth="1"/>
    <col min="49" max="50" width="11.5703125" style="194" customWidth="1"/>
    <col min="51" max="16384" width="9.140625" style="194"/>
  </cols>
  <sheetData>
    <row r="1" spans="1:50" s="544" customFormat="1" x14ac:dyDescent="0.2">
      <c r="A1" s="267"/>
      <c r="C1" s="545"/>
      <c r="D1" s="545"/>
      <c r="E1" s="545"/>
      <c r="F1" s="546"/>
      <c r="G1" s="546"/>
      <c r="H1" s="546"/>
      <c r="I1" s="546"/>
      <c r="J1" s="546"/>
      <c r="K1" s="546"/>
      <c r="L1" s="546"/>
      <c r="M1" s="546"/>
      <c r="N1" s="546"/>
      <c r="O1" s="546"/>
      <c r="P1" s="546"/>
      <c r="Q1" s="546"/>
      <c r="R1" s="546"/>
      <c r="S1" s="546"/>
      <c r="T1" s="546"/>
      <c r="U1" s="546"/>
      <c r="V1" s="546"/>
      <c r="W1" s="806"/>
      <c r="X1" s="546"/>
      <c r="Y1" s="806"/>
      <c r="Z1" s="546"/>
      <c r="AA1" s="806"/>
      <c r="AB1" s="806"/>
      <c r="AC1" s="806"/>
      <c r="AD1" s="806"/>
      <c r="AE1" s="806"/>
      <c r="AF1" s="806"/>
      <c r="AG1" s="806"/>
      <c r="AH1" s="806"/>
      <c r="AI1" s="806"/>
      <c r="AJ1" s="806"/>
      <c r="AK1" s="806"/>
      <c r="AL1" s="806"/>
      <c r="AM1" s="806"/>
      <c r="AN1" s="806"/>
      <c r="AO1" s="806"/>
      <c r="AP1" s="806"/>
      <c r="AQ1" s="806"/>
      <c r="AR1" s="806"/>
      <c r="AS1" s="806"/>
      <c r="AT1" s="806"/>
      <c r="AU1" s="806"/>
      <c r="AV1" s="806"/>
      <c r="AW1" s="806"/>
      <c r="AX1" s="806"/>
    </row>
    <row r="2" spans="1:50" s="544" customFormat="1" x14ac:dyDescent="0.2">
      <c r="A2" s="267"/>
      <c r="C2" s="545"/>
      <c r="D2" s="545"/>
      <c r="E2" s="545"/>
      <c r="F2" s="545"/>
      <c r="G2" s="545"/>
      <c r="H2" s="545"/>
      <c r="I2" s="545"/>
      <c r="J2" s="545"/>
      <c r="K2" s="545"/>
      <c r="L2" s="545"/>
      <c r="M2" s="545"/>
      <c r="N2" s="545"/>
      <c r="O2" s="545"/>
      <c r="P2" s="545"/>
      <c r="Q2" s="545"/>
      <c r="R2" s="545"/>
      <c r="S2" s="545"/>
      <c r="T2" s="545"/>
      <c r="U2" s="545"/>
      <c r="V2" s="545"/>
      <c r="W2" s="807"/>
      <c r="X2" s="545"/>
      <c r="Y2" s="807"/>
      <c r="Z2" s="545"/>
      <c r="AA2" s="807"/>
      <c r="AB2" s="807"/>
      <c r="AC2" s="807"/>
      <c r="AD2" s="807"/>
      <c r="AE2" s="807"/>
      <c r="AF2" s="807"/>
      <c r="AG2" s="807"/>
      <c r="AH2" s="807"/>
      <c r="AI2" s="807"/>
      <c r="AJ2" s="807"/>
      <c r="AK2" s="807"/>
      <c r="AL2" s="807"/>
      <c r="AM2" s="807"/>
      <c r="AN2" s="807"/>
      <c r="AO2" s="807"/>
      <c r="AP2" s="807"/>
      <c r="AQ2" s="807"/>
      <c r="AR2" s="807"/>
      <c r="AS2" s="807"/>
      <c r="AT2" s="807"/>
      <c r="AU2" s="807"/>
      <c r="AV2" s="807"/>
      <c r="AW2" s="807"/>
      <c r="AX2" s="807"/>
    </row>
    <row r="3" spans="1:50" customFormat="1" x14ac:dyDescent="0.2">
      <c r="A3" s="2"/>
      <c r="B3" s="40"/>
      <c r="C3" s="131"/>
      <c r="D3" s="131"/>
      <c r="E3" s="131"/>
      <c r="W3" s="28"/>
      <c r="X3" s="28"/>
      <c r="Y3" s="28"/>
      <c r="AA3" s="28"/>
      <c r="AB3" s="550"/>
      <c r="AC3" s="550"/>
      <c r="AD3" s="550"/>
      <c r="AE3" s="550"/>
      <c r="AF3" s="550"/>
      <c r="AG3" s="550"/>
      <c r="AH3" s="550"/>
      <c r="AI3" s="550"/>
      <c r="AJ3" s="550"/>
      <c r="AK3" s="550"/>
      <c r="AL3" s="550"/>
      <c r="AM3" s="550"/>
      <c r="AN3" s="550"/>
      <c r="AO3" s="1164"/>
      <c r="AP3" s="1164"/>
      <c r="AQ3" s="1164"/>
      <c r="AR3" s="1164"/>
      <c r="AS3" s="1164"/>
      <c r="AT3" s="1164"/>
      <c r="AU3" s="1164"/>
      <c r="AV3" s="1164"/>
      <c r="AW3" s="1164"/>
      <c r="AX3" s="1164"/>
    </row>
    <row r="4" spans="1:50" customFormat="1" x14ac:dyDescent="0.2">
      <c r="A4" s="2"/>
      <c r="B4" s="9" t="s">
        <v>337</v>
      </c>
      <c r="C4" s="131"/>
      <c r="D4" s="131"/>
      <c r="E4" s="131"/>
      <c r="W4" s="28"/>
      <c r="X4" s="28"/>
      <c r="Y4" s="28"/>
      <c r="AA4" s="28"/>
      <c r="AB4" s="28"/>
      <c r="AC4" s="28"/>
      <c r="AD4" s="28"/>
      <c r="AE4" s="28"/>
      <c r="AF4" s="28"/>
      <c r="AG4" s="28"/>
      <c r="AH4" s="28"/>
      <c r="AI4" s="28"/>
      <c r="AJ4" s="28"/>
      <c r="AK4" s="28"/>
      <c r="AL4" s="28"/>
      <c r="AM4" s="28"/>
      <c r="AN4" s="28"/>
      <c r="AO4" s="28"/>
      <c r="AP4" s="28"/>
      <c r="AQ4" s="28"/>
      <c r="AR4" s="28"/>
      <c r="AS4" s="28"/>
      <c r="AT4" s="28"/>
      <c r="AU4" s="28"/>
      <c r="AV4" s="28"/>
      <c r="AW4" s="28"/>
      <c r="AX4" s="28"/>
    </row>
    <row r="5" spans="1:50" x14ac:dyDescent="0.2">
      <c r="B5" s="113" t="s">
        <v>96</v>
      </c>
      <c r="C5" s="197">
        <v>2013</v>
      </c>
      <c r="D5" s="197">
        <v>2014</v>
      </c>
      <c r="E5" s="197" t="s">
        <v>77</v>
      </c>
      <c r="F5" s="197" t="s">
        <v>87</v>
      </c>
      <c r="G5" s="197" t="s">
        <v>88</v>
      </c>
      <c r="H5" s="197" t="s">
        <v>378</v>
      </c>
      <c r="I5" s="197" t="s">
        <v>406</v>
      </c>
      <c r="J5" s="197" t="s">
        <v>467</v>
      </c>
      <c r="K5" s="197" t="s">
        <v>501</v>
      </c>
      <c r="L5" s="197" t="s">
        <v>511</v>
      </c>
      <c r="M5" s="197" t="s">
        <v>538</v>
      </c>
      <c r="N5" s="197" t="s">
        <v>567</v>
      </c>
      <c r="O5" s="197" t="s">
        <v>575</v>
      </c>
      <c r="P5" s="197" t="s">
        <v>595</v>
      </c>
      <c r="Q5" s="197" t="s">
        <v>596</v>
      </c>
      <c r="R5" s="197" t="s">
        <v>623</v>
      </c>
      <c r="S5" s="197" t="s">
        <v>624</v>
      </c>
      <c r="T5" s="197" t="s">
        <v>625</v>
      </c>
      <c r="U5" s="197" t="s">
        <v>626</v>
      </c>
      <c r="V5" s="197" t="s">
        <v>798</v>
      </c>
      <c r="W5" s="197" t="s">
        <v>799</v>
      </c>
      <c r="X5" s="197" t="s">
        <v>800</v>
      </c>
      <c r="Y5" s="197" t="s">
        <v>801</v>
      </c>
      <c r="Z5" s="197" t="s">
        <v>913</v>
      </c>
      <c r="AA5" s="197" t="s">
        <v>914</v>
      </c>
      <c r="AB5" s="197" t="s">
        <v>923</v>
      </c>
      <c r="AC5" s="197" t="s">
        <v>924</v>
      </c>
      <c r="AD5" s="197" t="s">
        <v>1049</v>
      </c>
      <c r="AE5" s="197" t="s">
        <v>1023</v>
      </c>
      <c r="AF5" s="197" t="s">
        <v>1024</v>
      </c>
      <c r="AG5" s="197" t="s">
        <v>1050</v>
      </c>
      <c r="AH5" s="197" t="s">
        <v>1114</v>
      </c>
      <c r="AI5" s="197" t="s">
        <v>1119</v>
      </c>
      <c r="AJ5" s="197" t="s">
        <v>1121</v>
      </c>
      <c r="AK5" s="197" t="s">
        <v>1123</v>
      </c>
      <c r="AL5" s="197" t="s">
        <v>1176</v>
      </c>
      <c r="AM5" s="197" t="s">
        <v>1177</v>
      </c>
      <c r="AN5" s="197" t="s">
        <v>1179</v>
      </c>
      <c r="AO5" s="197" t="s">
        <v>1181</v>
      </c>
      <c r="AP5" s="197" t="s">
        <v>1243</v>
      </c>
      <c r="AQ5" s="197" t="s">
        <v>1250</v>
      </c>
      <c r="AR5" s="197" t="s">
        <v>1251</v>
      </c>
      <c r="AS5" s="197" t="s">
        <v>1252</v>
      </c>
      <c r="AT5" s="197" t="s">
        <v>1311</v>
      </c>
      <c r="AU5" s="197" t="s">
        <v>1313</v>
      </c>
      <c r="AV5" s="197" t="s">
        <v>1315</v>
      </c>
      <c r="AW5" s="197" t="s">
        <v>1317</v>
      </c>
      <c r="AX5" s="197" t="s">
        <v>1344</v>
      </c>
    </row>
    <row r="6" spans="1:50" x14ac:dyDescent="0.2">
      <c r="B6" s="135" t="s">
        <v>414</v>
      </c>
      <c r="C6" s="136">
        <v>2095548</v>
      </c>
      <c r="D6" s="136">
        <v>1872843</v>
      </c>
      <c r="E6" s="241">
        <v>466875</v>
      </c>
      <c r="F6" s="136">
        <v>338043</v>
      </c>
      <c r="G6" s="136">
        <v>327680</v>
      </c>
      <c r="H6" s="136">
        <v>327567</v>
      </c>
      <c r="I6" s="136">
        <v>338144</v>
      </c>
      <c r="J6" s="136">
        <v>237670</v>
      </c>
      <c r="K6" s="136">
        <v>266918</v>
      </c>
      <c r="L6" s="136">
        <v>277504</v>
      </c>
      <c r="M6" s="136">
        <v>297086</v>
      </c>
      <c r="N6" s="136">
        <v>249776</v>
      </c>
      <c r="O6" s="136">
        <v>297588</v>
      </c>
      <c r="P6" s="136">
        <v>333803</v>
      </c>
      <c r="Q6" s="136">
        <v>373138</v>
      </c>
      <c r="R6" s="136">
        <v>305470</v>
      </c>
      <c r="S6" s="136">
        <v>341672</v>
      </c>
      <c r="T6" s="136">
        <v>392686</v>
      </c>
      <c r="U6" s="136">
        <v>416553</v>
      </c>
      <c r="V6" s="136">
        <v>348722</v>
      </c>
      <c r="W6" s="136">
        <v>386001</v>
      </c>
      <c r="X6" s="136">
        <v>395540</v>
      </c>
      <c r="Y6" s="136">
        <v>440361</v>
      </c>
      <c r="Z6" s="136">
        <v>328198</v>
      </c>
      <c r="AA6" s="136">
        <v>153320</v>
      </c>
      <c r="AB6" s="136">
        <v>339209</v>
      </c>
      <c r="AC6" s="136">
        <v>366667</v>
      </c>
      <c r="AD6" s="136">
        <v>275047</v>
      </c>
      <c r="AE6" s="136">
        <v>276259</v>
      </c>
      <c r="AF6" s="136">
        <v>272524</v>
      </c>
      <c r="AG6" s="136">
        <v>358247</v>
      </c>
      <c r="AH6" s="136">
        <v>282638</v>
      </c>
      <c r="AI6" s="136">
        <v>357438</v>
      </c>
      <c r="AJ6" s="136">
        <v>488039</v>
      </c>
      <c r="AK6" s="136">
        <v>481054</v>
      </c>
      <c r="AL6" s="136">
        <v>394455</v>
      </c>
      <c r="AM6" s="136">
        <v>431899</v>
      </c>
      <c r="AN6" s="136">
        <v>503889</v>
      </c>
      <c r="AO6" s="136">
        <v>536155</v>
      </c>
      <c r="AP6" s="136">
        <v>460692</v>
      </c>
      <c r="AQ6" s="136">
        <v>558144</v>
      </c>
      <c r="AR6" s="136">
        <v>712963</v>
      </c>
      <c r="AS6" s="136">
        <v>736905</v>
      </c>
      <c r="AT6" s="136">
        <v>517580</v>
      </c>
      <c r="AU6" s="136">
        <v>637116</v>
      </c>
      <c r="AV6" s="136">
        <v>749373</v>
      </c>
      <c r="AW6" s="136">
        <v>729616</v>
      </c>
      <c r="AX6" s="136">
        <v>621181</v>
      </c>
    </row>
    <row r="7" spans="1:50" x14ac:dyDescent="0.2">
      <c r="B7" s="135" t="s">
        <v>488</v>
      </c>
      <c r="C7" s="136">
        <v>39945</v>
      </c>
      <c r="D7" s="136">
        <v>155743</v>
      </c>
      <c r="E7" s="241">
        <v>18901</v>
      </c>
      <c r="F7" s="136">
        <v>3294</v>
      </c>
      <c r="G7" s="136">
        <v>5475</v>
      </c>
      <c r="H7" s="136">
        <v>3618</v>
      </c>
      <c r="I7" s="136">
        <v>2298</v>
      </c>
      <c r="J7" s="136">
        <v>1736</v>
      </c>
      <c r="K7" s="136">
        <v>2927</v>
      </c>
      <c r="L7" s="136">
        <v>387</v>
      </c>
      <c r="M7" s="136">
        <v>716</v>
      </c>
      <c r="N7" s="136">
        <v>604</v>
      </c>
      <c r="O7" s="136">
        <v>1169</v>
      </c>
      <c r="P7" s="136">
        <v>1510</v>
      </c>
      <c r="Q7" s="136">
        <v>1692</v>
      </c>
      <c r="R7" s="136">
        <v>7580</v>
      </c>
      <c r="S7" s="136">
        <v>670</v>
      </c>
      <c r="T7" s="136">
        <v>-1520</v>
      </c>
      <c r="U7" s="136">
        <v>2168</v>
      </c>
      <c r="V7" s="136">
        <v>1412</v>
      </c>
      <c r="W7" s="136">
        <v>695</v>
      </c>
      <c r="X7" s="136">
        <v>57349</v>
      </c>
      <c r="Y7" s="136">
        <v>1340</v>
      </c>
      <c r="Z7" s="136">
        <v>556</v>
      </c>
      <c r="AA7" s="136">
        <v>95</v>
      </c>
      <c r="AB7" s="136">
        <v>202</v>
      </c>
      <c r="AC7" s="136">
        <v>49</v>
      </c>
      <c r="AD7" s="136">
        <v>6857</v>
      </c>
      <c r="AE7" s="136">
        <v>4511</v>
      </c>
      <c r="AF7" s="136">
        <v>515</v>
      </c>
      <c r="AG7" s="136">
        <v>-447</v>
      </c>
      <c r="AH7" s="136">
        <v>213</v>
      </c>
      <c r="AI7" s="136">
        <v>240</v>
      </c>
      <c r="AJ7" s="136">
        <v>1507</v>
      </c>
      <c r="AK7" s="136">
        <v>9407</v>
      </c>
      <c r="AL7" s="136">
        <v>1708</v>
      </c>
      <c r="AM7" s="136">
        <v>-57</v>
      </c>
      <c r="AN7" s="136">
        <v>654</v>
      </c>
      <c r="AO7" s="136">
        <v>-698</v>
      </c>
      <c r="AP7" s="136">
        <v>506</v>
      </c>
      <c r="AQ7" s="136">
        <v>747</v>
      </c>
      <c r="AR7" s="136">
        <v>-37</v>
      </c>
      <c r="AS7" s="136">
        <v>2605</v>
      </c>
      <c r="AT7" s="136">
        <v>1623</v>
      </c>
      <c r="AU7" s="136">
        <v>-667</v>
      </c>
      <c r="AV7" s="136">
        <v>594</v>
      </c>
      <c r="AW7" s="136">
        <v>211</v>
      </c>
      <c r="AX7" s="136">
        <v>4336</v>
      </c>
    </row>
    <row r="8" spans="1:50" ht="25.5" x14ac:dyDescent="0.2">
      <c r="B8" s="135" t="s">
        <v>899</v>
      </c>
      <c r="C8" s="136">
        <v>1896</v>
      </c>
      <c r="D8" s="136">
        <v>-13047</v>
      </c>
      <c r="E8" s="241">
        <v>-38</v>
      </c>
      <c r="F8" s="136">
        <v>460</v>
      </c>
      <c r="G8" s="136">
        <v>274</v>
      </c>
      <c r="H8" s="136">
        <v>-1122</v>
      </c>
      <c r="I8" s="136">
        <v>-812</v>
      </c>
      <c r="J8" s="136">
        <v>-628</v>
      </c>
      <c r="K8" s="136">
        <v>92</v>
      </c>
      <c r="L8" s="136">
        <v>424</v>
      </c>
      <c r="M8" s="136">
        <v>-755</v>
      </c>
      <c r="N8" s="136">
        <v>-169</v>
      </c>
      <c r="O8" s="136">
        <v>20</v>
      </c>
      <c r="P8" s="136">
        <v>81</v>
      </c>
      <c r="Q8" s="136">
        <v>-25</v>
      </c>
      <c r="R8" s="136">
        <v>-63</v>
      </c>
      <c r="S8" s="136">
        <v>1001</v>
      </c>
      <c r="T8" s="136">
        <v>-283</v>
      </c>
      <c r="U8" s="136">
        <v>-1751</v>
      </c>
      <c r="V8" s="136">
        <v>-76</v>
      </c>
      <c r="W8" s="136">
        <v>1492</v>
      </c>
      <c r="X8" s="136">
        <v>-132</v>
      </c>
      <c r="Y8" s="136">
        <v>825</v>
      </c>
      <c r="Z8" s="136">
        <v>80</v>
      </c>
      <c r="AA8" s="136">
        <v>-69</v>
      </c>
      <c r="AB8" s="136">
        <v>-111</v>
      </c>
      <c r="AC8" s="136">
        <v>34</v>
      </c>
      <c r="AD8" s="136">
        <v>-147</v>
      </c>
      <c r="AE8" s="136">
        <v>-38</v>
      </c>
      <c r="AF8" s="136">
        <v>-295</v>
      </c>
      <c r="AG8" s="136">
        <v>-659</v>
      </c>
      <c r="AH8" s="136">
        <v>-116</v>
      </c>
      <c r="AI8" s="136">
        <v>-27</v>
      </c>
      <c r="AJ8" s="136">
        <v>55</v>
      </c>
      <c r="AK8" s="136">
        <v>-319</v>
      </c>
      <c r="AL8" s="136">
        <v>-385</v>
      </c>
      <c r="AM8" s="136">
        <v>-464</v>
      </c>
      <c r="AN8" s="136">
        <v>-249</v>
      </c>
      <c r="AO8" s="136">
        <v>-36</v>
      </c>
      <c r="AP8" s="136">
        <v>-19</v>
      </c>
      <c r="AQ8" s="136">
        <v>-195</v>
      </c>
      <c r="AR8" s="136">
        <v>-825</v>
      </c>
      <c r="AS8" s="136">
        <v>-2122</v>
      </c>
      <c r="AT8" s="136">
        <v>-725</v>
      </c>
      <c r="AU8" s="136">
        <v>648</v>
      </c>
      <c r="AV8" s="136">
        <v>674</v>
      </c>
      <c r="AW8" s="136">
        <v>267</v>
      </c>
      <c r="AX8" s="136">
        <v>-962</v>
      </c>
    </row>
    <row r="9" spans="1:50" x14ac:dyDescent="0.2">
      <c r="B9" s="195" t="s">
        <v>363</v>
      </c>
      <c r="C9" s="196">
        <f>+SUM(C6:C8)</f>
        <v>2137389</v>
      </c>
      <c r="D9" s="196">
        <f t="shared" ref="D9:I9" si="0">+SUM(D6:D8)</f>
        <v>2015539</v>
      </c>
      <c r="E9" s="242">
        <f t="shared" si="0"/>
        <v>485738</v>
      </c>
      <c r="F9" s="196">
        <f t="shared" si="0"/>
        <v>341797</v>
      </c>
      <c r="G9" s="196">
        <f t="shared" si="0"/>
        <v>333429</v>
      </c>
      <c r="H9" s="196">
        <f t="shared" si="0"/>
        <v>330063</v>
      </c>
      <c r="I9" s="196">
        <f t="shared" si="0"/>
        <v>339630</v>
      </c>
      <c r="J9" s="196">
        <f t="shared" ref="J9:Z9" si="1">+SUM(J6:J8)</f>
        <v>238778</v>
      </c>
      <c r="K9" s="196">
        <f t="shared" si="1"/>
        <v>269937</v>
      </c>
      <c r="L9" s="196">
        <f t="shared" si="1"/>
        <v>278315</v>
      </c>
      <c r="M9" s="196">
        <f t="shared" si="1"/>
        <v>297047</v>
      </c>
      <c r="N9" s="196">
        <f t="shared" si="1"/>
        <v>250211</v>
      </c>
      <c r="O9" s="196">
        <f t="shared" si="1"/>
        <v>298777</v>
      </c>
      <c r="P9" s="196">
        <f t="shared" si="1"/>
        <v>335394</v>
      </c>
      <c r="Q9" s="196">
        <f t="shared" si="1"/>
        <v>374805</v>
      </c>
      <c r="R9" s="196">
        <f t="shared" si="1"/>
        <v>312987</v>
      </c>
      <c r="S9" s="196">
        <f t="shared" si="1"/>
        <v>343343</v>
      </c>
      <c r="T9" s="196">
        <f t="shared" si="1"/>
        <v>390883</v>
      </c>
      <c r="U9" s="196">
        <f t="shared" si="1"/>
        <v>416970</v>
      </c>
      <c r="V9" s="196">
        <f t="shared" si="1"/>
        <v>350058</v>
      </c>
      <c r="W9" s="196">
        <f t="shared" si="1"/>
        <v>388188</v>
      </c>
      <c r="X9" s="196">
        <f t="shared" si="1"/>
        <v>452757</v>
      </c>
      <c r="Y9" s="196">
        <f t="shared" si="1"/>
        <v>442526</v>
      </c>
      <c r="Z9" s="196">
        <f t="shared" si="1"/>
        <v>328834</v>
      </c>
      <c r="AA9" s="196">
        <f t="shared" ref="AA9:AF9" si="2">+SUM(AA6:AA8)</f>
        <v>153346</v>
      </c>
      <c r="AB9" s="196">
        <f t="shared" si="2"/>
        <v>339300</v>
      </c>
      <c r="AC9" s="196">
        <f t="shared" si="2"/>
        <v>366750</v>
      </c>
      <c r="AD9" s="196">
        <f t="shared" si="2"/>
        <v>281757</v>
      </c>
      <c r="AE9" s="196">
        <f t="shared" si="2"/>
        <v>280732</v>
      </c>
      <c r="AF9" s="196">
        <f t="shared" si="2"/>
        <v>272744</v>
      </c>
      <c r="AG9" s="196">
        <f t="shared" ref="AG9:AL9" si="3">+SUM(AG6:AG8)</f>
        <v>357141</v>
      </c>
      <c r="AH9" s="196">
        <f t="shared" si="3"/>
        <v>282735</v>
      </c>
      <c r="AI9" s="196">
        <f t="shared" si="3"/>
        <v>357651</v>
      </c>
      <c r="AJ9" s="196">
        <f t="shared" si="3"/>
        <v>489601</v>
      </c>
      <c r="AK9" s="196">
        <f>+SUM(AK6:AK8)</f>
        <v>490142</v>
      </c>
      <c r="AL9" s="196">
        <f t="shared" si="3"/>
        <v>395778</v>
      </c>
      <c r="AM9" s="196">
        <f t="shared" ref="AM9:AS9" si="4">+SUM(AM6:AM8)</f>
        <v>431378</v>
      </c>
      <c r="AN9" s="196">
        <f t="shared" si="4"/>
        <v>504294</v>
      </c>
      <c r="AO9" s="196">
        <f t="shared" si="4"/>
        <v>535421</v>
      </c>
      <c r="AP9" s="196">
        <f t="shared" si="4"/>
        <v>461179</v>
      </c>
      <c r="AQ9" s="196">
        <f t="shared" si="4"/>
        <v>558696</v>
      </c>
      <c r="AR9" s="196">
        <f t="shared" si="4"/>
        <v>712101</v>
      </c>
      <c r="AS9" s="196">
        <f t="shared" si="4"/>
        <v>737388</v>
      </c>
      <c r="AT9" s="196">
        <v>518478</v>
      </c>
      <c r="AU9" s="196">
        <f>+SUM(AU6:AU8)</f>
        <v>637097</v>
      </c>
      <c r="AV9" s="196">
        <f>+SUM(AV6:AV8)</f>
        <v>750641</v>
      </c>
      <c r="AW9" s="196">
        <f>+SUM(AW6:AW8)</f>
        <v>730094</v>
      </c>
      <c r="AX9" s="196">
        <f>+SUM(AX6:AX8)</f>
        <v>624555</v>
      </c>
    </row>
    <row r="10" spans="1:50" x14ac:dyDescent="0.2">
      <c r="B10" s="135" t="s">
        <v>242</v>
      </c>
      <c r="C10" s="136">
        <v>-1141985</v>
      </c>
      <c r="D10" s="136">
        <v>-1022505</v>
      </c>
      <c r="E10" s="241">
        <v>-268182</v>
      </c>
      <c r="F10" s="136">
        <v>-188747</v>
      </c>
      <c r="G10" s="136">
        <v>-179253</v>
      </c>
      <c r="H10" s="136">
        <v>-176263</v>
      </c>
      <c r="I10" s="136">
        <v>-181951</v>
      </c>
      <c r="J10" s="136">
        <v>-123971</v>
      </c>
      <c r="K10" s="136">
        <v>-143509</v>
      </c>
      <c r="L10" s="136">
        <v>-148289</v>
      </c>
      <c r="M10" s="136">
        <v>-158010</v>
      </c>
      <c r="N10" s="136">
        <v>-130648</v>
      </c>
      <c r="O10" s="136">
        <v>-160727</v>
      </c>
      <c r="P10" s="136">
        <v>-181957</v>
      </c>
      <c r="Q10" s="136">
        <v>-200710</v>
      </c>
      <c r="R10" s="136">
        <v>-165476</v>
      </c>
      <c r="S10" s="136">
        <v>-188255</v>
      </c>
      <c r="T10" s="136">
        <v>-218673</v>
      </c>
      <c r="U10" s="136">
        <v>-230675</v>
      </c>
      <c r="V10" s="136">
        <v>-186759</v>
      </c>
      <c r="W10" s="136">
        <v>-211130</v>
      </c>
      <c r="X10" s="136">
        <v>-213636</v>
      </c>
      <c r="Y10" s="136">
        <v>-240468</v>
      </c>
      <c r="Z10" s="136">
        <v>-174726</v>
      </c>
      <c r="AA10" s="136">
        <v>-71320</v>
      </c>
      <c r="AB10" s="136">
        <v>-186852</v>
      </c>
      <c r="AC10" s="136">
        <v>-207649</v>
      </c>
      <c r="AD10" s="136">
        <v>-153175</v>
      </c>
      <c r="AE10" s="136">
        <v>-153626</v>
      </c>
      <c r="AF10" s="136">
        <v>-149148</v>
      </c>
      <c r="AG10" s="136">
        <v>-201800</v>
      </c>
      <c r="AH10" s="136">
        <v>-155776</v>
      </c>
      <c r="AI10" s="136">
        <v>-198813</v>
      </c>
      <c r="AJ10" s="136">
        <v>-277941</v>
      </c>
      <c r="AK10" s="136">
        <v>-275595</v>
      </c>
      <c r="AL10" s="136">
        <v>-222953</v>
      </c>
      <c r="AM10" s="136">
        <v>-245741</v>
      </c>
      <c r="AN10" s="136">
        <v>-286981</v>
      </c>
      <c r="AO10" s="136">
        <v>-309845</v>
      </c>
      <c r="AP10" s="136">
        <v>-262321</v>
      </c>
      <c r="AQ10" s="136">
        <v>-318742</v>
      </c>
      <c r="AR10" s="136">
        <v>-398358</v>
      </c>
      <c r="AS10" s="136">
        <v>-415515</v>
      </c>
      <c r="AT10" s="136">
        <v>-289245</v>
      </c>
      <c r="AU10" s="136">
        <v>-357840</v>
      </c>
      <c r="AV10" s="136">
        <v>-429070</v>
      </c>
      <c r="AW10" s="136">
        <v>-428389</v>
      </c>
      <c r="AX10" s="136">
        <v>-365548</v>
      </c>
    </row>
    <row r="11" spans="1:50" x14ac:dyDescent="0.2">
      <c r="B11" s="135" t="s">
        <v>453</v>
      </c>
      <c r="C11" s="136">
        <v>-248270</v>
      </c>
      <c r="D11" s="136">
        <v>-421458</v>
      </c>
      <c r="E11" s="241">
        <v>-46950</v>
      </c>
      <c r="F11" s="136">
        <v>-35779</v>
      </c>
      <c r="G11" s="136">
        <v>-44250</v>
      </c>
      <c r="H11" s="136">
        <v>-38957</v>
      </c>
      <c r="I11" s="136">
        <v>-67687</v>
      </c>
      <c r="J11" s="136">
        <v>-26723</v>
      </c>
      <c r="K11" s="136">
        <v>-35209</v>
      </c>
      <c r="L11" s="136">
        <v>-32166</v>
      </c>
      <c r="M11" s="136">
        <v>-34889</v>
      </c>
      <c r="N11" s="136">
        <v>-29787</v>
      </c>
      <c r="O11" s="136">
        <v>-52294</v>
      </c>
      <c r="P11" s="136">
        <v>-39416</v>
      </c>
      <c r="Q11" s="136">
        <v>-54410</v>
      </c>
      <c r="R11" s="136">
        <v>-44902</v>
      </c>
      <c r="S11" s="136">
        <v>-34944</v>
      </c>
      <c r="T11" s="136">
        <v>-31327</v>
      </c>
      <c r="U11" s="136">
        <v>-50870</v>
      </c>
      <c r="V11" s="136">
        <v>-34591</v>
      </c>
      <c r="W11" s="136">
        <v>-37378</v>
      </c>
      <c r="X11" s="136">
        <v>-43318</v>
      </c>
      <c r="Y11" s="136">
        <v>-46766</v>
      </c>
      <c r="Z11" s="136">
        <v>-37305</v>
      </c>
      <c r="AA11" s="136">
        <v>-24620</v>
      </c>
      <c r="AB11" s="136">
        <v>-30112</v>
      </c>
      <c r="AC11" s="136">
        <v>-34886</v>
      </c>
      <c r="AD11" s="136">
        <v>-25162</v>
      </c>
      <c r="AE11" s="136">
        <v>-27748</v>
      </c>
      <c r="AF11" s="136">
        <v>-26944</v>
      </c>
      <c r="AG11" s="136">
        <v>-32912</v>
      </c>
      <c r="AH11" s="136">
        <v>-28380</v>
      </c>
      <c r="AI11" s="136">
        <v>-33964</v>
      </c>
      <c r="AJ11" s="136">
        <v>-41484</v>
      </c>
      <c r="AK11" s="136">
        <v>-43742</v>
      </c>
      <c r="AL11" s="136">
        <v>-38330</v>
      </c>
      <c r="AM11" s="136">
        <v>-35918</v>
      </c>
      <c r="AN11" s="136">
        <v>-37073</v>
      </c>
      <c r="AO11" s="136">
        <v>-42863</v>
      </c>
      <c r="AP11" s="136">
        <v>-42788</v>
      </c>
      <c r="AQ11" s="136">
        <v>-42450</v>
      </c>
      <c r="AR11" s="136">
        <v>-47224</v>
      </c>
      <c r="AS11" s="136">
        <v>-48370</v>
      </c>
      <c r="AT11" s="136">
        <v>-43719</v>
      </c>
      <c r="AU11" s="136">
        <v>-46470</v>
      </c>
      <c r="AV11" s="136">
        <v>-50726</v>
      </c>
      <c r="AW11" s="136">
        <v>-56910</v>
      </c>
      <c r="AX11" s="136">
        <v>-45030</v>
      </c>
    </row>
    <row r="12" spans="1:50" s="744" customFormat="1" hidden="1" outlineLevel="1" x14ac:dyDescent="0.2">
      <c r="A12" s="220"/>
      <c r="B12" s="230" t="s">
        <v>580</v>
      </c>
      <c r="C12" s="231">
        <v>0</v>
      </c>
      <c r="D12" s="231">
        <v>0</v>
      </c>
      <c r="E12" s="745">
        <v>0</v>
      </c>
      <c r="F12" s="231">
        <v>0</v>
      </c>
      <c r="G12" s="231">
        <v>0</v>
      </c>
      <c r="H12" s="231">
        <v>0</v>
      </c>
      <c r="I12" s="231">
        <v>0</v>
      </c>
      <c r="J12" s="231">
        <v>0</v>
      </c>
      <c r="K12" s="231">
        <v>0</v>
      </c>
      <c r="L12" s="231">
        <v>0</v>
      </c>
      <c r="M12" s="231">
        <v>0</v>
      </c>
      <c r="N12" s="231">
        <v>0</v>
      </c>
      <c r="O12" s="231">
        <v>-1364.59871</v>
      </c>
      <c r="P12" s="231">
        <v>0</v>
      </c>
      <c r="Q12" s="231">
        <v>-0.40129000000001724</v>
      </c>
      <c r="R12" s="231">
        <v>0</v>
      </c>
      <c r="S12" s="231">
        <v>0</v>
      </c>
      <c r="T12" s="231">
        <v>0</v>
      </c>
      <c r="U12" s="231">
        <v>0</v>
      </c>
      <c r="V12" s="231">
        <v>0</v>
      </c>
      <c r="W12" s="231"/>
      <c r="X12" s="231">
        <v>0</v>
      </c>
      <c r="Y12" s="231">
        <v>0</v>
      </c>
      <c r="Z12" s="231">
        <v>0</v>
      </c>
      <c r="AA12" s="231">
        <v>0</v>
      </c>
      <c r="AB12" s="231">
        <v>0</v>
      </c>
      <c r="AC12" s="136">
        <v>0</v>
      </c>
      <c r="AD12" s="136">
        <v>0</v>
      </c>
      <c r="AE12" s="136">
        <v>0</v>
      </c>
      <c r="AF12" s="136">
        <v>0</v>
      </c>
      <c r="AG12" s="136"/>
      <c r="AH12" s="136">
        <v>0</v>
      </c>
      <c r="AI12" s="136">
        <v>0</v>
      </c>
      <c r="AJ12" s="136">
        <v>0</v>
      </c>
      <c r="AK12" s="136">
        <v>0</v>
      </c>
      <c r="AL12" s="136">
        <v>0</v>
      </c>
      <c r="AM12" s="136">
        <v>0</v>
      </c>
      <c r="AN12" s="136">
        <v>0</v>
      </c>
      <c r="AO12" s="136">
        <v>0</v>
      </c>
      <c r="AP12" s="136">
        <v>0</v>
      </c>
      <c r="AQ12" s="136"/>
      <c r="AR12" s="136"/>
      <c r="AS12" s="136">
        <v>0</v>
      </c>
      <c r="AT12" s="136">
        <v>0</v>
      </c>
      <c r="AU12" s="136">
        <v>0</v>
      </c>
      <c r="AV12" s="136">
        <v>0</v>
      </c>
      <c r="AW12" s="136">
        <v>0</v>
      </c>
      <c r="AX12" s="136">
        <v>0</v>
      </c>
    </row>
    <row r="13" spans="1:50" collapsed="1" x14ac:dyDescent="0.2">
      <c r="B13" s="195" t="s">
        <v>415</v>
      </c>
      <c r="C13" s="196">
        <f>+SUM(C10:C11)</f>
        <v>-1390255</v>
      </c>
      <c r="D13" s="196">
        <f t="shared" ref="D13:I13" si="5">+SUM(D10:D11)</f>
        <v>-1443963</v>
      </c>
      <c r="E13" s="242">
        <f t="shared" si="5"/>
        <v>-315132</v>
      </c>
      <c r="F13" s="196">
        <f t="shared" si="5"/>
        <v>-224526</v>
      </c>
      <c r="G13" s="196">
        <f t="shared" si="5"/>
        <v>-223503</v>
      </c>
      <c r="H13" s="196">
        <f t="shared" si="5"/>
        <v>-215220</v>
      </c>
      <c r="I13" s="196">
        <f t="shared" si="5"/>
        <v>-249638</v>
      </c>
      <c r="J13" s="196">
        <f>+SUM(J10:J11)</f>
        <v>-150694</v>
      </c>
      <c r="K13" s="196">
        <f>+SUM(K10:K11)</f>
        <v>-178718</v>
      </c>
      <c r="L13" s="196">
        <f>+SUM(L10:L11)</f>
        <v>-180455</v>
      </c>
      <c r="M13" s="196">
        <f>+SUM(M10:M11)</f>
        <v>-192899</v>
      </c>
      <c r="N13" s="196">
        <f>+SUM(N10:N11)</f>
        <v>-160435</v>
      </c>
      <c r="O13" s="196">
        <f t="shared" ref="O13:Z13" si="6">+SUM(O10:O12)</f>
        <v>-214385.59870999999</v>
      </c>
      <c r="P13" s="196">
        <f t="shared" si="6"/>
        <v>-221373</v>
      </c>
      <c r="Q13" s="196">
        <f t="shared" si="6"/>
        <v>-255120.40129000001</v>
      </c>
      <c r="R13" s="196">
        <f t="shared" si="6"/>
        <v>-210378</v>
      </c>
      <c r="S13" s="196">
        <f t="shared" si="6"/>
        <v>-223199</v>
      </c>
      <c r="T13" s="196">
        <f t="shared" si="6"/>
        <v>-250000</v>
      </c>
      <c r="U13" s="196">
        <f t="shared" si="6"/>
        <v>-281545</v>
      </c>
      <c r="V13" s="196">
        <f t="shared" si="6"/>
        <v>-221350</v>
      </c>
      <c r="W13" s="196">
        <f t="shared" si="6"/>
        <v>-248508</v>
      </c>
      <c r="X13" s="196">
        <f t="shared" si="6"/>
        <v>-256954</v>
      </c>
      <c r="Y13" s="196">
        <f t="shared" si="6"/>
        <v>-287234</v>
      </c>
      <c r="Z13" s="196">
        <f t="shared" si="6"/>
        <v>-212031</v>
      </c>
      <c r="AA13" s="196">
        <f t="shared" ref="AA13:AF13" si="7">+SUM(AA10:AA12)</f>
        <v>-95940</v>
      </c>
      <c r="AB13" s="196">
        <f t="shared" si="7"/>
        <v>-216964</v>
      </c>
      <c r="AC13" s="196">
        <f t="shared" si="7"/>
        <v>-242535</v>
      </c>
      <c r="AD13" s="196">
        <f t="shared" si="7"/>
        <v>-178337</v>
      </c>
      <c r="AE13" s="196">
        <f t="shared" si="7"/>
        <v>-181374</v>
      </c>
      <c r="AF13" s="196">
        <f t="shared" si="7"/>
        <v>-176092</v>
      </c>
      <c r="AG13" s="196">
        <f t="shared" ref="AG13:AL13" si="8">+SUM(AG10:AG12)</f>
        <v>-234712</v>
      </c>
      <c r="AH13" s="196">
        <f t="shared" si="8"/>
        <v>-184156</v>
      </c>
      <c r="AI13" s="196">
        <f t="shared" si="8"/>
        <v>-232777</v>
      </c>
      <c r="AJ13" s="196">
        <f t="shared" si="8"/>
        <v>-319425</v>
      </c>
      <c r="AK13" s="196">
        <f>+SUM(AK10:AK12)</f>
        <v>-319337</v>
      </c>
      <c r="AL13" s="196">
        <f t="shared" si="8"/>
        <v>-261283</v>
      </c>
      <c r="AM13" s="196">
        <f t="shared" ref="AM13:AS13" si="9">+SUM(AM10:AM12)</f>
        <v>-281659</v>
      </c>
      <c r="AN13" s="196">
        <f t="shared" si="9"/>
        <v>-324054</v>
      </c>
      <c r="AO13" s="196">
        <f t="shared" si="9"/>
        <v>-352708</v>
      </c>
      <c r="AP13" s="196">
        <f t="shared" si="9"/>
        <v>-305109</v>
      </c>
      <c r="AQ13" s="196">
        <f t="shared" si="9"/>
        <v>-361192</v>
      </c>
      <c r="AR13" s="196">
        <f t="shared" si="9"/>
        <v>-445582</v>
      </c>
      <c r="AS13" s="196">
        <f t="shared" si="9"/>
        <v>-463885</v>
      </c>
      <c r="AT13" s="196">
        <v>-332964</v>
      </c>
      <c r="AU13" s="196">
        <f>+SUM(AU10:AU12)</f>
        <v>-404310</v>
      </c>
      <c r="AV13" s="196">
        <f>+SUM(AV10:AV12)</f>
        <v>-479796</v>
      </c>
      <c r="AW13" s="196">
        <f>+SUM(AW10:AW12)</f>
        <v>-485299</v>
      </c>
      <c r="AX13" s="196">
        <f>+SUM(AX10:AX12)</f>
        <v>-410578</v>
      </c>
    </row>
    <row r="14" spans="1:50" x14ac:dyDescent="0.2">
      <c r="B14" s="135" t="s">
        <v>416</v>
      </c>
      <c r="C14" s="136">
        <f t="shared" ref="C14:H14" si="10">+C13+C9</f>
        <v>747134</v>
      </c>
      <c r="D14" s="136">
        <f t="shared" si="10"/>
        <v>571576</v>
      </c>
      <c r="E14" s="241">
        <f t="shared" si="10"/>
        <v>170606</v>
      </c>
      <c r="F14" s="136">
        <f t="shared" si="10"/>
        <v>117271</v>
      </c>
      <c r="G14" s="136">
        <f t="shared" si="10"/>
        <v>109926</v>
      </c>
      <c r="H14" s="136">
        <f t="shared" si="10"/>
        <v>114843</v>
      </c>
      <c r="I14" s="136">
        <f t="shared" ref="I14:P14" si="11">+I13+I9</f>
        <v>89992</v>
      </c>
      <c r="J14" s="136">
        <f t="shared" si="11"/>
        <v>88084</v>
      </c>
      <c r="K14" s="136">
        <f t="shared" si="11"/>
        <v>91219</v>
      </c>
      <c r="L14" s="136">
        <f t="shared" si="11"/>
        <v>97860</v>
      </c>
      <c r="M14" s="136">
        <f t="shared" si="11"/>
        <v>104148</v>
      </c>
      <c r="N14" s="136">
        <f t="shared" si="11"/>
        <v>89776</v>
      </c>
      <c r="O14" s="136">
        <f t="shared" si="11"/>
        <v>84391.401290000009</v>
      </c>
      <c r="P14" s="136">
        <f t="shared" si="11"/>
        <v>114021</v>
      </c>
      <c r="Q14" s="136">
        <v>119684.59870999999</v>
      </c>
      <c r="R14" s="136">
        <v>102609</v>
      </c>
      <c r="S14" s="136">
        <v>120144</v>
      </c>
      <c r="T14" s="136">
        <v>140883</v>
      </c>
      <c r="U14" s="136">
        <v>135425</v>
      </c>
      <c r="V14" s="136">
        <v>128708</v>
      </c>
      <c r="W14" s="136">
        <v>139680</v>
      </c>
      <c r="X14" s="136">
        <v>195803</v>
      </c>
      <c r="Y14" s="136">
        <v>155292</v>
      </c>
      <c r="Z14" s="136">
        <v>116803</v>
      </c>
      <c r="AA14" s="136">
        <v>57406</v>
      </c>
      <c r="AB14" s="136">
        <v>122336</v>
      </c>
      <c r="AC14" s="136">
        <v>124215</v>
      </c>
      <c r="AD14" s="136">
        <v>103420</v>
      </c>
      <c r="AE14" s="136">
        <v>99358</v>
      </c>
      <c r="AF14" s="136">
        <v>96652</v>
      </c>
      <c r="AG14" s="136">
        <v>122429</v>
      </c>
      <c r="AH14" s="136">
        <v>98579</v>
      </c>
      <c r="AI14" s="136">
        <v>124874</v>
      </c>
      <c r="AJ14" s="136">
        <v>170176</v>
      </c>
      <c r="AK14" s="136">
        <v>170805</v>
      </c>
      <c r="AL14" s="136">
        <v>134495</v>
      </c>
      <c r="AM14" s="136">
        <v>149719</v>
      </c>
      <c r="AN14" s="136">
        <v>180240</v>
      </c>
      <c r="AO14" s="136">
        <v>182713</v>
      </c>
      <c r="AP14" s="136">
        <v>156070</v>
      </c>
      <c r="AQ14" s="136">
        <v>197504</v>
      </c>
      <c r="AR14" s="136">
        <v>266519</v>
      </c>
      <c r="AS14" s="136">
        <v>273503</v>
      </c>
      <c r="AT14" s="136">
        <v>185514</v>
      </c>
      <c r="AU14" s="136">
        <v>232787</v>
      </c>
      <c r="AV14" s="136">
        <v>270845</v>
      </c>
      <c r="AW14" s="136">
        <v>244795</v>
      </c>
      <c r="AX14" s="136">
        <v>213977</v>
      </c>
    </row>
    <row r="15" spans="1:50" x14ac:dyDescent="0.2">
      <c r="B15" s="135" t="s">
        <v>417</v>
      </c>
      <c r="C15" s="136">
        <v>-29054</v>
      </c>
      <c r="D15" s="136">
        <v>-27130</v>
      </c>
      <c r="E15" s="241">
        <v>-3224</v>
      </c>
      <c r="F15" s="136">
        <v>-6412</v>
      </c>
      <c r="G15" s="136">
        <v>-7112</v>
      </c>
      <c r="H15" s="136">
        <v>-6673</v>
      </c>
      <c r="I15" s="136">
        <v>-7719</v>
      </c>
      <c r="J15" s="136">
        <v>-7205</v>
      </c>
      <c r="K15" s="136">
        <v>-9299</v>
      </c>
      <c r="L15" s="136">
        <v>-6737</v>
      </c>
      <c r="M15" s="136">
        <v>-6859</v>
      </c>
      <c r="N15" s="136">
        <v>-6572</v>
      </c>
      <c r="O15" s="136">
        <v>-6832</v>
      </c>
      <c r="P15" s="136">
        <v>-7305</v>
      </c>
      <c r="Q15" s="136">
        <v>-7435</v>
      </c>
      <c r="R15" s="136">
        <v>-6910</v>
      </c>
      <c r="S15" s="136">
        <v>-8910</v>
      </c>
      <c r="T15" s="136">
        <v>-6854</v>
      </c>
      <c r="U15" s="136">
        <v>-6616</v>
      </c>
      <c r="V15" s="136">
        <v>-6470</v>
      </c>
      <c r="W15" s="136">
        <v>-6502</v>
      </c>
      <c r="X15" s="136">
        <v>-6554</v>
      </c>
      <c r="Y15" s="136">
        <v>-6284</v>
      </c>
      <c r="Z15" s="136">
        <v>-6272</v>
      </c>
      <c r="AA15" s="136">
        <v>-5955</v>
      </c>
      <c r="AB15" s="136">
        <v>-5671</v>
      </c>
      <c r="AC15" s="136">
        <v>-5527</v>
      </c>
      <c r="AD15" s="136">
        <v>-5447</v>
      </c>
      <c r="AE15" s="136">
        <v>-5539</v>
      </c>
      <c r="AF15" s="136">
        <v>-5488</v>
      </c>
      <c r="AG15" s="136">
        <v>-5541</v>
      </c>
      <c r="AH15" s="136">
        <v>-5518</v>
      </c>
      <c r="AI15" s="136">
        <v>-5451</v>
      </c>
      <c r="AJ15" s="136">
        <v>-5513</v>
      </c>
      <c r="AK15" s="136">
        <v>-5643</v>
      </c>
      <c r="AL15" s="136">
        <v>-6003</v>
      </c>
      <c r="AM15" s="136">
        <v>-6051</v>
      </c>
      <c r="AN15" s="136">
        <v>-6147</v>
      </c>
      <c r="AO15" s="136">
        <v>-6141</v>
      </c>
      <c r="AP15" s="136">
        <v>-6324</v>
      </c>
      <c r="AQ15" s="136">
        <v>-6355</v>
      </c>
      <c r="AR15" s="136">
        <v>-6566</v>
      </c>
      <c r="AS15" s="136">
        <v>-6901</v>
      </c>
      <c r="AT15" s="136">
        <v>-7591</v>
      </c>
      <c r="AU15" s="136">
        <v>-7605</v>
      </c>
      <c r="AV15" s="136">
        <v>-7838</v>
      </c>
      <c r="AW15" s="136">
        <v>-8225</v>
      </c>
      <c r="AX15" s="136">
        <v>-8868</v>
      </c>
    </row>
    <row r="16" spans="1:50" x14ac:dyDescent="0.2">
      <c r="B16" s="135" t="s">
        <v>815</v>
      </c>
      <c r="C16" s="136">
        <v>0</v>
      </c>
      <c r="D16" s="136">
        <v>0</v>
      </c>
      <c r="E16" s="241">
        <v>0</v>
      </c>
      <c r="F16" s="136">
        <v>0</v>
      </c>
      <c r="G16" s="136">
        <v>0</v>
      </c>
      <c r="H16" s="136">
        <v>0</v>
      </c>
      <c r="I16" s="136">
        <v>0</v>
      </c>
      <c r="J16" s="136">
        <v>0</v>
      </c>
      <c r="K16" s="136">
        <v>0</v>
      </c>
      <c r="L16" s="136">
        <v>0</v>
      </c>
      <c r="M16" s="136">
        <v>0</v>
      </c>
      <c r="N16" s="136">
        <v>0</v>
      </c>
      <c r="O16" s="136">
        <v>0</v>
      </c>
      <c r="P16" s="136">
        <v>0</v>
      </c>
      <c r="Q16" s="136">
        <v>0</v>
      </c>
      <c r="R16" s="136">
        <v>0</v>
      </c>
      <c r="S16" s="136">
        <v>0</v>
      </c>
      <c r="T16" s="136">
        <v>0</v>
      </c>
      <c r="U16" s="136">
        <v>0</v>
      </c>
      <c r="V16" s="136">
        <v>-8930</v>
      </c>
      <c r="W16" s="136">
        <v>-7143</v>
      </c>
      <c r="X16" s="136">
        <v>-8275</v>
      </c>
      <c r="Y16" s="136">
        <v>-8441</v>
      </c>
      <c r="Z16" s="136">
        <v>-7881</v>
      </c>
      <c r="AA16" s="136">
        <v>-7886</v>
      </c>
      <c r="AB16" s="136">
        <v>-7525</v>
      </c>
      <c r="AC16" s="136">
        <v>-7333</v>
      </c>
      <c r="AD16" s="136">
        <v>-7513</v>
      </c>
      <c r="AE16" s="136">
        <v>-7300</v>
      </c>
      <c r="AF16" s="136">
        <v>-7107</v>
      </c>
      <c r="AG16" s="136">
        <v>-6930</v>
      </c>
      <c r="AH16" s="136">
        <v>-7970</v>
      </c>
      <c r="AI16" s="136">
        <v>-8240</v>
      </c>
      <c r="AJ16" s="136">
        <v>-7033</v>
      </c>
      <c r="AK16" s="136">
        <v>-7727</v>
      </c>
      <c r="AL16" s="136">
        <v>-7410</v>
      </c>
      <c r="AM16" s="136">
        <v>-7342</v>
      </c>
      <c r="AN16" s="136">
        <v>-7638</v>
      </c>
      <c r="AO16" s="136">
        <v>-8032</v>
      </c>
      <c r="AP16" s="136">
        <v>-7514</v>
      </c>
      <c r="AQ16" s="136">
        <v>-7573</v>
      </c>
      <c r="AR16" s="136">
        <v>-7278</v>
      </c>
      <c r="AS16" s="136">
        <v>-7124</v>
      </c>
      <c r="AT16" s="136">
        <v>-7457</v>
      </c>
      <c r="AU16" s="136">
        <v>-7463</v>
      </c>
      <c r="AV16" s="136">
        <v>-7747</v>
      </c>
      <c r="AW16" s="136">
        <v>-7795</v>
      </c>
      <c r="AX16" s="136">
        <v>-7846</v>
      </c>
    </row>
    <row r="17" spans="1:50" x14ac:dyDescent="0.2">
      <c r="B17" s="195" t="s">
        <v>418</v>
      </c>
      <c r="C17" s="196">
        <f>+SUM(C14:C15)</f>
        <v>718080</v>
      </c>
      <c r="D17" s="196">
        <f t="shared" ref="D17:I17" si="12">+SUM(D14:D15)</f>
        <v>544446</v>
      </c>
      <c r="E17" s="242">
        <f t="shared" si="12"/>
        <v>167382</v>
      </c>
      <c r="F17" s="196">
        <f t="shared" si="12"/>
        <v>110859</v>
      </c>
      <c r="G17" s="196">
        <f t="shared" si="12"/>
        <v>102814</v>
      </c>
      <c r="H17" s="196">
        <f t="shared" si="12"/>
        <v>108170</v>
      </c>
      <c r="I17" s="196">
        <f t="shared" si="12"/>
        <v>82273</v>
      </c>
      <c r="J17" s="196">
        <f>+SUM(J14:J15)</f>
        <v>80879</v>
      </c>
      <c r="K17" s="196">
        <f>+SUM(K14:K15)</f>
        <v>81920</v>
      </c>
      <c r="L17" s="196">
        <f>+SUM(L14:L15)</f>
        <v>91123</v>
      </c>
      <c r="M17" s="196">
        <f>+SUM(M14:M15)</f>
        <v>97289</v>
      </c>
      <c r="N17" s="196">
        <f>+SUM(N14:N15)</f>
        <v>83204</v>
      </c>
      <c r="O17" s="196">
        <f t="shared" ref="O17:U17" si="13">+SUM(O14:O15)</f>
        <v>77559.401290000009</v>
      </c>
      <c r="P17" s="196">
        <f t="shared" si="13"/>
        <v>106716</v>
      </c>
      <c r="Q17" s="196">
        <f t="shared" si="13"/>
        <v>112249.59870999999</v>
      </c>
      <c r="R17" s="196">
        <f t="shared" si="13"/>
        <v>95699</v>
      </c>
      <c r="S17" s="196">
        <f t="shared" si="13"/>
        <v>111234</v>
      </c>
      <c r="T17" s="196">
        <f t="shared" si="13"/>
        <v>134029</v>
      </c>
      <c r="U17" s="196">
        <f t="shared" si="13"/>
        <v>128809</v>
      </c>
      <c r="V17" s="196">
        <f t="shared" ref="V17:AA17" si="14">+SUM(V14:V16)</f>
        <v>113308</v>
      </c>
      <c r="W17" s="196">
        <f t="shared" si="14"/>
        <v>126035</v>
      </c>
      <c r="X17" s="196">
        <f t="shared" si="14"/>
        <v>180974</v>
      </c>
      <c r="Y17" s="196">
        <f t="shared" si="14"/>
        <v>140567</v>
      </c>
      <c r="Z17" s="196">
        <f t="shared" si="14"/>
        <v>102650</v>
      </c>
      <c r="AA17" s="196">
        <f t="shared" si="14"/>
        <v>43565</v>
      </c>
      <c r="AB17" s="196">
        <f t="shared" ref="AB17:AI17" si="15">+SUM(AB14:AB16)</f>
        <v>109140</v>
      </c>
      <c r="AC17" s="196">
        <f t="shared" si="15"/>
        <v>111355</v>
      </c>
      <c r="AD17" s="196">
        <f t="shared" si="15"/>
        <v>90460</v>
      </c>
      <c r="AE17" s="196">
        <f t="shared" si="15"/>
        <v>86519</v>
      </c>
      <c r="AF17" s="196">
        <f t="shared" si="15"/>
        <v>84057</v>
      </c>
      <c r="AG17" s="196">
        <f t="shared" si="15"/>
        <v>109958</v>
      </c>
      <c r="AH17" s="196">
        <f t="shared" si="15"/>
        <v>85091</v>
      </c>
      <c r="AI17" s="196">
        <f t="shared" si="15"/>
        <v>111183</v>
      </c>
      <c r="AJ17" s="196">
        <f t="shared" ref="AJ17:AO17" si="16">+SUM(AJ14:AJ16)</f>
        <v>157630</v>
      </c>
      <c r="AK17" s="196">
        <f t="shared" si="16"/>
        <v>157435</v>
      </c>
      <c r="AL17" s="196">
        <f t="shared" si="16"/>
        <v>121082</v>
      </c>
      <c r="AM17" s="196">
        <f t="shared" si="16"/>
        <v>136326</v>
      </c>
      <c r="AN17" s="196">
        <f t="shared" si="16"/>
        <v>166455</v>
      </c>
      <c r="AO17" s="196">
        <f t="shared" si="16"/>
        <v>168540</v>
      </c>
      <c r="AP17" s="196">
        <f>+SUM(AP14:AP16)</f>
        <v>142232</v>
      </c>
      <c r="AQ17" s="196">
        <f>+SUM(AQ14:AQ16)</f>
        <v>183576</v>
      </c>
      <c r="AR17" s="196">
        <f>+SUM(AR14:AR16)</f>
        <v>252675</v>
      </c>
      <c r="AS17" s="196">
        <f>+SUM(AS14:AS16)</f>
        <v>259478</v>
      </c>
      <c r="AT17" s="196">
        <v>170466</v>
      </c>
      <c r="AU17" s="196">
        <f>+SUM(AU14:AU16)</f>
        <v>217719</v>
      </c>
      <c r="AV17" s="196">
        <f>+SUM(AV14:AV16)</f>
        <v>255260</v>
      </c>
      <c r="AW17" s="196">
        <f>+SUM(AW14:AW16)</f>
        <v>228775</v>
      </c>
      <c r="AX17" s="196">
        <f>+SUM(AX14:AX16)</f>
        <v>197263</v>
      </c>
    </row>
    <row r="18" spans="1:50" x14ac:dyDescent="0.2">
      <c r="B18" s="135" t="s">
        <v>452</v>
      </c>
      <c r="C18" s="136">
        <v>99</v>
      </c>
      <c r="D18" s="136">
        <v>2377</v>
      </c>
      <c r="E18" s="241">
        <v>2101</v>
      </c>
      <c r="F18" s="136">
        <v>373</v>
      </c>
      <c r="G18" s="136">
        <v>256</v>
      </c>
      <c r="H18" s="136">
        <v>785</v>
      </c>
      <c r="I18" s="136">
        <v>453</v>
      </c>
      <c r="J18" s="136">
        <v>-797</v>
      </c>
      <c r="K18" s="136">
        <v>-909</v>
      </c>
      <c r="L18" s="136">
        <v>-19</v>
      </c>
      <c r="M18" s="136">
        <v>-465</v>
      </c>
      <c r="N18" s="136">
        <v>-322</v>
      </c>
      <c r="O18" s="136">
        <v>-382</v>
      </c>
      <c r="P18" s="136">
        <v>-656</v>
      </c>
      <c r="Q18" s="136">
        <v>597</v>
      </c>
      <c r="R18" s="136">
        <v>-425</v>
      </c>
      <c r="S18" s="136">
        <v>-226</v>
      </c>
      <c r="T18" s="136">
        <v>342</v>
      </c>
      <c r="U18" s="136">
        <v>680</v>
      </c>
      <c r="V18" s="136">
        <v>-529</v>
      </c>
      <c r="W18" s="136">
        <v>322</v>
      </c>
      <c r="X18" s="136">
        <v>844</v>
      </c>
      <c r="Y18" s="136">
        <v>2349</v>
      </c>
      <c r="Z18" s="136">
        <v>1394</v>
      </c>
      <c r="AA18" s="136">
        <v>2412</v>
      </c>
      <c r="AB18" s="136">
        <v>2632</v>
      </c>
      <c r="AC18" s="136">
        <v>-162</v>
      </c>
      <c r="AD18" s="136">
        <v>810</v>
      </c>
      <c r="AE18" s="136">
        <v>2402</v>
      </c>
      <c r="AF18" s="136">
        <v>1799</v>
      </c>
      <c r="AG18" s="136">
        <v>4232</v>
      </c>
      <c r="AH18" s="136">
        <v>3013</v>
      </c>
      <c r="AI18" s="136">
        <v>3006</v>
      </c>
      <c r="AJ18" s="136">
        <v>2436</v>
      </c>
      <c r="AK18" s="136">
        <v>2118</v>
      </c>
      <c r="AL18" s="136">
        <v>3838</v>
      </c>
      <c r="AM18" s="136">
        <v>2884</v>
      </c>
      <c r="AN18" s="136">
        <v>5094</v>
      </c>
      <c r="AO18" s="136">
        <v>4440</v>
      </c>
      <c r="AP18" s="136">
        <v>6604</v>
      </c>
      <c r="AQ18" s="136">
        <v>9362</v>
      </c>
      <c r="AR18" s="136">
        <v>7433</v>
      </c>
      <c r="AS18" s="136">
        <v>5865</v>
      </c>
      <c r="AT18" s="136">
        <v>6307</v>
      </c>
      <c r="AU18" s="136">
        <v>8942</v>
      </c>
      <c r="AV18" s="136">
        <v>7375</v>
      </c>
      <c r="AW18" s="136">
        <v>4187</v>
      </c>
      <c r="AX18" s="136">
        <v>1431</v>
      </c>
    </row>
    <row r="19" spans="1:50" x14ac:dyDescent="0.2">
      <c r="B19" s="135" t="s">
        <v>419</v>
      </c>
      <c r="C19" s="136">
        <v>112506</v>
      </c>
      <c r="D19" s="136">
        <v>72929</v>
      </c>
      <c r="E19" s="241">
        <v>10445</v>
      </c>
      <c r="F19" s="136">
        <v>10027</v>
      </c>
      <c r="G19" s="136">
        <v>11296</v>
      </c>
      <c r="H19" s="136">
        <v>6419</v>
      </c>
      <c r="I19" s="136">
        <v>8050</v>
      </c>
      <c r="J19" s="136">
        <v>7501</v>
      </c>
      <c r="K19" s="136">
        <v>7702</v>
      </c>
      <c r="L19" s="136">
        <v>7922</v>
      </c>
      <c r="M19" s="136">
        <v>9355</v>
      </c>
      <c r="N19" s="136">
        <v>5307</v>
      </c>
      <c r="O19" s="136">
        <v>11658</v>
      </c>
      <c r="P19" s="136">
        <v>5578</v>
      </c>
      <c r="Q19" s="136">
        <v>18053</v>
      </c>
      <c r="R19" s="136">
        <v>2675</v>
      </c>
      <c r="S19" s="136">
        <v>3003</v>
      </c>
      <c r="T19" s="136">
        <v>10159</v>
      </c>
      <c r="U19" s="136">
        <v>8879</v>
      </c>
      <c r="V19" s="136">
        <v>3796</v>
      </c>
      <c r="W19" s="136">
        <v>-3049</v>
      </c>
      <c r="X19" s="136">
        <v>40347</v>
      </c>
      <c r="Y19" s="136">
        <v>1026</v>
      </c>
      <c r="Z19" s="136">
        <v>17050</v>
      </c>
      <c r="AA19" s="136">
        <v>6654</v>
      </c>
      <c r="AB19" s="136">
        <v>-1489</v>
      </c>
      <c r="AC19" s="136">
        <v>1867</v>
      </c>
      <c r="AD19" s="136">
        <v>1523</v>
      </c>
      <c r="AE19" s="136">
        <v>5703</v>
      </c>
      <c r="AF19" s="136">
        <v>3451</v>
      </c>
      <c r="AG19" s="136">
        <v>7583</v>
      </c>
      <c r="AH19" s="136">
        <v>6273</v>
      </c>
      <c r="AI19" s="136">
        <v>7098</v>
      </c>
      <c r="AJ19" s="136">
        <v>3710</v>
      </c>
      <c r="AK19" s="136">
        <v>11622</v>
      </c>
      <c r="AL19" s="136">
        <v>8149</v>
      </c>
      <c r="AM19" s="136">
        <v>10513</v>
      </c>
      <c r="AN19" s="136">
        <v>8543</v>
      </c>
      <c r="AO19" s="136">
        <v>9381</v>
      </c>
      <c r="AP19" s="136">
        <v>8661</v>
      </c>
      <c r="AQ19" s="136">
        <v>10518</v>
      </c>
      <c r="AR19" s="136">
        <v>7861</v>
      </c>
      <c r="AS19" s="136">
        <v>8247</v>
      </c>
      <c r="AT19" s="136">
        <v>10927</v>
      </c>
      <c r="AU19" s="136">
        <v>12109</v>
      </c>
      <c r="AV19" s="136">
        <v>12987</v>
      </c>
      <c r="AW19" s="136">
        <v>10471</v>
      </c>
      <c r="AX19" s="136">
        <v>7949</v>
      </c>
    </row>
    <row r="20" spans="1:50" x14ac:dyDescent="0.2">
      <c r="B20" s="239" t="s">
        <v>420</v>
      </c>
      <c r="C20" s="240">
        <f>+SUM(C17:C19)</f>
        <v>830685</v>
      </c>
      <c r="D20" s="240">
        <f t="shared" ref="D20:I20" si="17">+SUM(D17:D19)</f>
        <v>619752</v>
      </c>
      <c r="E20" s="243">
        <f t="shared" si="17"/>
        <v>179928</v>
      </c>
      <c r="F20" s="240">
        <f t="shared" si="17"/>
        <v>121259</v>
      </c>
      <c r="G20" s="240">
        <f t="shared" si="17"/>
        <v>114366</v>
      </c>
      <c r="H20" s="240">
        <f t="shared" si="17"/>
        <v>115374</v>
      </c>
      <c r="I20" s="240">
        <f t="shared" si="17"/>
        <v>90776</v>
      </c>
      <c r="J20" s="240">
        <f>+SUM(J17:J19)</f>
        <v>87583</v>
      </c>
      <c r="K20" s="240">
        <f>+SUM(K17:K19)</f>
        <v>88713</v>
      </c>
      <c r="L20" s="240">
        <f>+SUM(L17:L19)</f>
        <v>99026</v>
      </c>
      <c r="M20" s="240">
        <f>+SUM(M17:M19)</f>
        <v>106179</v>
      </c>
      <c r="N20" s="240">
        <f>+SUM(N17:N19)</f>
        <v>88189</v>
      </c>
      <c r="O20" s="240">
        <f t="shared" ref="O20:Z20" si="18">+SUM(O17:O19)</f>
        <v>88835.401290000009</v>
      </c>
      <c r="P20" s="240">
        <f t="shared" si="18"/>
        <v>111638</v>
      </c>
      <c r="Q20" s="240">
        <f t="shared" si="18"/>
        <v>130899.59870999999</v>
      </c>
      <c r="R20" s="240">
        <f t="shared" si="18"/>
        <v>97949</v>
      </c>
      <c r="S20" s="240">
        <f t="shared" si="18"/>
        <v>114011</v>
      </c>
      <c r="T20" s="240">
        <f t="shared" si="18"/>
        <v>144530</v>
      </c>
      <c r="U20" s="240">
        <f t="shared" si="18"/>
        <v>138368</v>
      </c>
      <c r="V20" s="240">
        <f t="shared" si="18"/>
        <v>116575</v>
      </c>
      <c r="W20" s="240">
        <f t="shared" si="18"/>
        <v>123308</v>
      </c>
      <c r="X20" s="240">
        <f t="shared" si="18"/>
        <v>222165</v>
      </c>
      <c r="Y20" s="240">
        <f t="shared" si="18"/>
        <v>143942</v>
      </c>
      <c r="Z20" s="240">
        <f t="shared" si="18"/>
        <v>121094</v>
      </c>
      <c r="AA20" s="240">
        <f t="shared" ref="AA20:AF20" si="19">+SUM(AA17:AA19)</f>
        <v>52631</v>
      </c>
      <c r="AB20" s="240">
        <f t="shared" si="19"/>
        <v>110283</v>
      </c>
      <c r="AC20" s="240">
        <f t="shared" si="19"/>
        <v>113060</v>
      </c>
      <c r="AD20" s="240">
        <f t="shared" si="19"/>
        <v>92793</v>
      </c>
      <c r="AE20" s="240">
        <f t="shared" si="19"/>
        <v>94624</v>
      </c>
      <c r="AF20" s="240">
        <f t="shared" si="19"/>
        <v>89307</v>
      </c>
      <c r="AG20" s="240">
        <f t="shared" ref="AG20:AL20" si="20">+SUM(AG17:AG19)</f>
        <v>121773</v>
      </c>
      <c r="AH20" s="240">
        <f t="shared" si="20"/>
        <v>94377</v>
      </c>
      <c r="AI20" s="240">
        <f t="shared" si="20"/>
        <v>121287</v>
      </c>
      <c r="AJ20" s="240">
        <f t="shared" si="20"/>
        <v>163776</v>
      </c>
      <c r="AK20" s="240">
        <f>+SUM(AK17:AK19)</f>
        <v>171175</v>
      </c>
      <c r="AL20" s="240">
        <f t="shared" si="20"/>
        <v>133069</v>
      </c>
      <c r="AM20" s="240">
        <f t="shared" ref="AM20:AU20" si="21">+SUM(AM17:AM19)</f>
        <v>149723</v>
      </c>
      <c r="AN20" s="240">
        <f t="shared" si="21"/>
        <v>180092</v>
      </c>
      <c r="AO20" s="240">
        <f t="shared" si="21"/>
        <v>182361</v>
      </c>
      <c r="AP20" s="240">
        <f t="shared" si="21"/>
        <v>157497</v>
      </c>
      <c r="AQ20" s="240">
        <f t="shared" si="21"/>
        <v>203456</v>
      </c>
      <c r="AR20" s="240">
        <f t="shared" si="21"/>
        <v>267969</v>
      </c>
      <c r="AS20" s="240">
        <f t="shared" si="21"/>
        <v>273590</v>
      </c>
      <c r="AT20" s="240">
        <f t="shared" si="21"/>
        <v>187700</v>
      </c>
      <c r="AU20" s="240">
        <f t="shared" si="21"/>
        <v>238770</v>
      </c>
      <c r="AV20" s="240">
        <f>+SUM(AV17:AV19)</f>
        <v>275622</v>
      </c>
      <c r="AW20" s="240">
        <f>+SUM(AW17:AW19)</f>
        <v>243433</v>
      </c>
      <c r="AX20" s="240">
        <f>+SUM(AX17:AX19)</f>
        <v>206643</v>
      </c>
    </row>
    <row r="21" spans="1:50" x14ac:dyDescent="0.2">
      <c r="B21" s="199"/>
      <c r="C21" s="200"/>
      <c r="D21" s="200"/>
      <c r="E21" s="200"/>
      <c r="F21" s="642"/>
      <c r="G21" s="642"/>
      <c r="H21" s="642"/>
      <c r="I21" s="642"/>
      <c r="J21" s="642"/>
      <c r="K21" s="642" t="s">
        <v>501</v>
      </c>
      <c r="L21" s="642" t="s">
        <v>511</v>
      </c>
      <c r="M21" s="642" t="s">
        <v>538</v>
      </c>
      <c r="N21" s="642" t="s">
        <v>567</v>
      </c>
      <c r="O21" s="642" t="s">
        <v>575</v>
      </c>
      <c r="P21" s="642" t="s">
        <v>595</v>
      </c>
      <c r="Q21" s="642" t="s">
        <v>596</v>
      </c>
      <c r="R21" s="642" t="s">
        <v>623</v>
      </c>
      <c r="S21" s="642" t="s">
        <v>624</v>
      </c>
      <c r="T21" s="642" t="s">
        <v>624</v>
      </c>
      <c r="U21" s="642" t="s">
        <v>624</v>
      </c>
      <c r="V21" s="642" t="s">
        <v>624</v>
      </c>
      <c r="W21" s="642"/>
      <c r="X21" s="642" t="s">
        <v>624</v>
      </c>
      <c r="Y21" s="642" t="s">
        <v>624</v>
      </c>
      <c r="Z21" s="642" t="s">
        <v>624</v>
      </c>
      <c r="AA21" s="642" t="s">
        <v>624</v>
      </c>
      <c r="AB21" s="642" t="s">
        <v>624</v>
      </c>
      <c r="AC21" s="642" t="s">
        <v>624</v>
      </c>
      <c r="AD21" s="642" t="s">
        <v>624</v>
      </c>
      <c r="AE21" s="642" t="s">
        <v>624</v>
      </c>
      <c r="AF21" s="642" t="s">
        <v>624</v>
      </c>
      <c r="AG21" s="642"/>
      <c r="AH21" s="642" t="s">
        <v>624</v>
      </c>
      <c r="AI21" s="642" t="s">
        <v>624</v>
      </c>
      <c r="AJ21" s="642" t="s">
        <v>624</v>
      </c>
      <c r="AK21" s="642" t="s">
        <v>624</v>
      </c>
      <c r="AL21" s="642" t="s">
        <v>624</v>
      </c>
      <c r="AM21" s="642" t="s">
        <v>624</v>
      </c>
      <c r="AN21" s="642" t="s">
        <v>624</v>
      </c>
      <c r="AO21" s="642" t="s">
        <v>624</v>
      </c>
      <c r="AP21" s="642" t="s">
        <v>624</v>
      </c>
      <c r="AQ21" s="642"/>
      <c r="AR21" s="642"/>
      <c r="AS21" s="642" t="s">
        <v>624</v>
      </c>
      <c r="AT21" s="642"/>
      <c r="AU21" s="642" t="s">
        <v>624</v>
      </c>
      <c r="AV21" s="642" t="s">
        <v>624</v>
      </c>
      <c r="AW21" s="642" t="s">
        <v>624</v>
      </c>
      <c r="AX21" s="642" t="s">
        <v>624</v>
      </c>
    </row>
    <row r="22" spans="1:50" x14ac:dyDescent="0.2">
      <c r="B22" s="195" t="s">
        <v>421</v>
      </c>
      <c r="C22" s="196">
        <f>+SUM(C23:C25)</f>
        <v>277984</v>
      </c>
      <c r="D22" s="196">
        <f t="shared" ref="D22:I22" si="22">+SUM(D23:D25)</f>
        <v>202931</v>
      </c>
      <c r="E22" s="242">
        <f t="shared" si="22"/>
        <v>45861</v>
      </c>
      <c r="F22" s="196">
        <f t="shared" si="22"/>
        <v>40280</v>
      </c>
      <c r="G22" s="196">
        <f t="shared" si="22"/>
        <v>41052</v>
      </c>
      <c r="H22" s="196">
        <f t="shared" si="22"/>
        <v>40499</v>
      </c>
      <c r="I22" s="196">
        <f t="shared" si="22"/>
        <v>37293</v>
      </c>
      <c r="J22" s="196">
        <f>+SUM(J26:J28)</f>
        <v>34176.659289999996</v>
      </c>
      <c r="K22" s="196">
        <f t="shared" ref="K22:Z22" si="23">+SUM(K26:K28)</f>
        <v>34469.416570000023</v>
      </c>
      <c r="L22" s="196">
        <f t="shared" si="23"/>
        <v>33159.293279999983</v>
      </c>
      <c r="M22" s="196">
        <f t="shared" si="23"/>
        <v>32240.528329999986</v>
      </c>
      <c r="N22" s="196">
        <f t="shared" si="23"/>
        <v>31394.059510000003</v>
      </c>
      <c r="O22" s="196">
        <f t="shared" si="23"/>
        <v>33093.008000000016</v>
      </c>
      <c r="P22" s="196">
        <f t="shared" si="23"/>
        <v>34993.300729999974</v>
      </c>
      <c r="Q22" s="196">
        <f t="shared" si="23"/>
        <v>39190.631760000011</v>
      </c>
      <c r="R22" s="196">
        <f t="shared" si="23"/>
        <v>32911</v>
      </c>
      <c r="S22" s="196">
        <f t="shared" si="23"/>
        <v>32723</v>
      </c>
      <c r="T22" s="196">
        <f t="shared" si="23"/>
        <v>35674</v>
      </c>
      <c r="U22" s="196">
        <f t="shared" si="23"/>
        <v>38777</v>
      </c>
      <c r="V22" s="196">
        <f t="shared" si="23"/>
        <v>33628</v>
      </c>
      <c r="W22" s="196">
        <f t="shared" si="23"/>
        <v>40258</v>
      </c>
      <c r="X22" s="196">
        <f t="shared" si="23"/>
        <v>39610</v>
      </c>
      <c r="Y22" s="196">
        <f t="shared" si="23"/>
        <v>41845</v>
      </c>
      <c r="Z22" s="196">
        <f t="shared" si="23"/>
        <v>38468</v>
      </c>
      <c r="AA22" s="196">
        <f t="shared" ref="AA22:AF22" si="24">+SUM(AA26:AA28)</f>
        <v>32679</v>
      </c>
      <c r="AB22" s="196">
        <f t="shared" si="24"/>
        <v>30327</v>
      </c>
      <c r="AC22" s="196">
        <f t="shared" si="24"/>
        <v>31352</v>
      </c>
      <c r="AD22" s="196">
        <f t="shared" si="24"/>
        <v>30279</v>
      </c>
      <c r="AE22" s="196">
        <f t="shared" si="24"/>
        <v>31688</v>
      </c>
      <c r="AF22" s="196">
        <f t="shared" si="24"/>
        <v>29190</v>
      </c>
      <c r="AG22" s="196">
        <f t="shared" ref="AG22:AL22" si="25">+SUM(AG26:AG28)</f>
        <v>35099</v>
      </c>
      <c r="AH22" s="196">
        <f t="shared" si="25"/>
        <v>31748</v>
      </c>
      <c r="AI22" s="196">
        <f t="shared" si="25"/>
        <v>36457</v>
      </c>
      <c r="AJ22" s="196">
        <f t="shared" si="25"/>
        <v>37347</v>
      </c>
      <c r="AK22" s="196">
        <f>+SUM(AK26:AK28)</f>
        <v>41090</v>
      </c>
      <c r="AL22" s="196">
        <f t="shared" si="25"/>
        <v>37715</v>
      </c>
      <c r="AM22" s="196">
        <f t="shared" ref="AM22:AS22" si="26">+SUM(AM26:AM28)</f>
        <v>42280</v>
      </c>
      <c r="AN22" s="196">
        <f t="shared" si="26"/>
        <v>44517</v>
      </c>
      <c r="AO22" s="196">
        <f t="shared" si="26"/>
        <v>46982</v>
      </c>
      <c r="AP22" s="196">
        <f t="shared" si="26"/>
        <v>43054</v>
      </c>
      <c r="AQ22" s="196">
        <f t="shared" si="26"/>
        <v>46358</v>
      </c>
      <c r="AR22" s="196">
        <f t="shared" si="26"/>
        <v>52344</v>
      </c>
      <c r="AS22" s="196">
        <f t="shared" si="26"/>
        <v>55874</v>
      </c>
      <c r="AT22" s="196">
        <f>+SUM(AT26:AT28)</f>
        <v>52146</v>
      </c>
      <c r="AU22" s="196">
        <f>+SUM(AU26:AU28)</f>
        <v>58876</v>
      </c>
      <c r="AV22" s="196">
        <f>+SUM(AV26:AV28)</f>
        <v>61305</v>
      </c>
      <c r="AW22" s="196">
        <f>+SUM(AW26:AW28)</f>
        <v>67129</v>
      </c>
      <c r="AX22" s="196">
        <f>+SUM(AX26:AX28)</f>
        <v>58306</v>
      </c>
    </row>
    <row r="23" spans="1:50" s="618" customFormat="1" hidden="1" outlineLevel="1" x14ac:dyDescent="0.2">
      <c r="A23" s="619"/>
      <c r="B23" s="620" t="s">
        <v>422</v>
      </c>
      <c r="C23" s="621">
        <v>262966</v>
      </c>
      <c r="D23" s="621">
        <v>188024</v>
      </c>
      <c r="E23" s="622">
        <v>43087</v>
      </c>
      <c r="F23" s="136">
        <v>36172</v>
      </c>
      <c r="G23" s="136">
        <v>34571</v>
      </c>
      <c r="H23" s="136">
        <v>37197</v>
      </c>
      <c r="I23" s="136">
        <v>38605</v>
      </c>
      <c r="J23" s="136">
        <v>0</v>
      </c>
      <c r="K23" s="136">
        <v>0</v>
      </c>
      <c r="L23" s="136">
        <v>0</v>
      </c>
      <c r="M23" s="136">
        <v>0</v>
      </c>
      <c r="N23" s="136" t="s">
        <v>160</v>
      </c>
      <c r="O23" s="136" t="s">
        <v>160</v>
      </c>
      <c r="P23" s="136" t="s">
        <v>160</v>
      </c>
      <c r="Q23" s="136" t="s">
        <v>160</v>
      </c>
      <c r="R23" s="136" t="s">
        <v>160</v>
      </c>
      <c r="S23" s="136" t="s">
        <v>160</v>
      </c>
      <c r="T23" s="136" t="s">
        <v>160</v>
      </c>
      <c r="U23" s="136" t="s">
        <v>160</v>
      </c>
      <c r="V23" s="136" t="s">
        <v>160</v>
      </c>
      <c r="W23" s="136"/>
      <c r="X23" s="136" t="s">
        <v>160</v>
      </c>
      <c r="Y23" s="136" t="s">
        <v>160</v>
      </c>
      <c r="Z23" s="136" t="s">
        <v>160</v>
      </c>
      <c r="AA23" s="136" t="s">
        <v>160</v>
      </c>
      <c r="AB23" s="136" t="s">
        <v>160</v>
      </c>
      <c r="AC23" s="136" t="s">
        <v>160</v>
      </c>
      <c r="AD23" s="136" t="s">
        <v>160</v>
      </c>
      <c r="AE23" s="136" t="s">
        <v>160</v>
      </c>
      <c r="AF23" s="136" t="s">
        <v>160</v>
      </c>
      <c r="AG23" s="136"/>
      <c r="AH23" s="136" t="s">
        <v>160</v>
      </c>
      <c r="AI23" s="136" t="s">
        <v>160</v>
      </c>
      <c r="AJ23" s="136" t="s">
        <v>160</v>
      </c>
      <c r="AK23" s="136" t="s">
        <v>160</v>
      </c>
      <c r="AL23" s="136" t="s">
        <v>160</v>
      </c>
      <c r="AM23" s="136" t="s">
        <v>160</v>
      </c>
      <c r="AN23" s="136" t="s">
        <v>160</v>
      </c>
      <c r="AO23" s="136" t="s">
        <v>160</v>
      </c>
      <c r="AP23" s="136" t="s">
        <v>160</v>
      </c>
      <c r="AQ23" s="136"/>
      <c r="AR23" s="136"/>
      <c r="AS23" s="136" t="s">
        <v>160</v>
      </c>
      <c r="AT23" s="136"/>
      <c r="AU23" s="136" t="s">
        <v>160</v>
      </c>
      <c r="AV23" s="136" t="s">
        <v>160</v>
      </c>
      <c r="AW23" s="136" t="s">
        <v>160</v>
      </c>
      <c r="AX23" s="136" t="s">
        <v>160</v>
      </c>
    </row>
    <row r="24" spans="1:50" s="618" customFormat="1" hidden="1" outlineLevel="1" x14ac:dyDescent="0.2">
      <c r="A24" s="619"/>
      <c r="B24" s="620" t="s">
        <v>394</v>
      </c>
      <c r="C24" s="621">
        <v>8256</v>
      </c>
      <c r="D24" s="621">
        <v>8010</v>
      </c>
      <c r="E24" s="622">
        <v>1387</v>
      </c>
      <c r="F24" s="136">
        <v>2221</v>
      </c>
      <c r="G24" s="136">
        <v>2277</v>
      </c>
      <c r="H24" s="136">
        <v>1591</v>
      </c>
      <c r="I24" s="136">
        <v>680</v>
      </c>
      <c r="J24" s="136">
        <v>0</v>
      </c>
      <c r="K24" s="136">
        <v>0</v>
      </c>
      <c r="L24" s="136">
        <v>0</v>
      </c>
      <c r="M24" s="136">
        <v>0</v>
      </c>
      <c r="N24" s="136" t="s">
        <v>160</v>
      </c>
      <c r="O24" s="136" t="s">
        <v>160</v>
      </c>
      <c r="P24" s="136" t="s">
        <v>160</v>
      </c>
      <c r="Q24" s="136" t="s">
        <v>160</v>
      </c>
      <c r="R24" s="136" t="s">
        <v>160</v>
      </c>
      <c r="S24" s="136" t="s">
        <v>160</v>
      </c>
      <c r="T24" s="136" t="s">
        <v>160</v>
      </c>
      <c r="U24" s="136" t="s">
        <v>160</v>
      </c>
      <c r="V24" s="136" t="s">
        <v>160</v>
      </c>
      <c r="W24" s="136"/>
      <c r="X24" s="136" t="s">
        <v>160</v>
      </c>
      <c r="Y24" s="136" t="s">
        <v>160</v>
      </c>
      <c r="Z24" s="136" t="s">
        <v>160</v>
      </c>
      <c r="AA24" s="136" t="s">
        <v>160</v>
      </c>
      <c r="AB24" s="136" t="s">
        <v>160</v>
      </c>
      <c r="AC24" s="136" t="s">
        <v>160</v>
      </c>
      <c r="AD24" s="136" t="s">
        <v>160</v>
      </c>
      <c r="AE24" s="136" t="s">
        <v>160</v>
      </c>
      <c r="AF24" s="136" t="s">
        <v>160</v>
      </c>
      <c r="AG24" s="136"/>
      <c r="AH24" s="136" t="s">
        <v>160</v>
      </c>
      <c r="AI24" s="136" t="s">
        <v>160</v>
      </c>
      <c r="AJ24" s="136" t="s">
        <v>160</v>
      </c>
      <c r="AK24" s="136" t="s">
        <v>160</v>
      </c>
      <c r="AL24" s="136" t="s">
        <v>160</v>
      </c>
      <c r="AM24" s="136" t="s">
        <v>160</v>
      </c>
      <c r="AN24" s="136" t="s">
        <v>160</v>
      </c>
      <c r="AO24" s="136" t="s">
        <v>160</v>
      </c>
      <c r="AP24" s="136" t="s">
        <v>160</v>
      </c>
      <c r="AQ24" s="136"/>
      <c r="AR24" s="136"/>
      <c r="AS24" s="136" t="s">
        <v>160</v>
      </c>
      <c r="AT24" s="136"/>
      <c r="AU24" s="136" t="s">
        <v>160</v>
      </c>
      <c r="AV24" s="136" t="s">
        <v>160</v>
      </c>
      <c r="AW24" s="136" t="s">
        <v>160</v>
      </c>
      <c r="AX24" s="136" t="s">
        <v>160</v>
      </c>
    </row>
    <row r="25" spans="1:50" s="618" customFormat="1" hidden="1" outlineLevel="1" x14ac:dyDescent="0.2">
      <c r="A25" s="619"/>
      <c r="B25" s="620" t="s">
        <v>423</v>
      </c>
      <c r="C25" s="621">
        <v>6762</v>
      </c>
      <c r="D25" s="621">
        <v>6897</v>
      </c>
      <c r="E25" s="622">
        <v>1387</v>
      </c>
      <c r="F25" s="136">
        <v>1887</v>
      </c>
      <c r="G25" s="136">
        <v>4204</v>
      </c>
      <c r="H25" s="136">
        <v>1711</v>
      </c>
      <c r="I25" s="136">
        <v>-1992</v>
      </c>
      <c r="J25" s="136">
        <v>0</v>
      </c>
      <c r="K25" s="136">
        <v>0</v>
      </c>
      <c r="L25" s="136">
        <v>0</v>
      </c>
      <c r="M25" s="136">
        <v>0</v>
      </c>
      <c r="N25" s="136" t="s">
        <v>160</v>
      </c>
      <c r="O25" s="136" t="s">
        <v>160</v>
      </c>
      <c r="P25" s="136" t="s">
        <v>160</v>
      </c>
      <c r="Q25" s="136" t="s">
        <v>160</v>
      </c>
      <c r="R25" s="136" t="s">
        <v>160</v>
      </c>
      <c r="S25" s="136" t="s">
        <v>160</v>
      </c>
      <c r="T25" s="136" t="s">
        <v>160</v>
      </c>
      <c r="U25" s="136" t="s">
        <v>160</v>
      </c>
      <c r="V25" s="136" t="s">
        <v>160</v>
      </c>
      <c r="W25" s="136"/>
      <c r="X25" s="136" t="s">
        <v>160</v>
      </c>
      <c r="Y25" s="136" t="s">
        <v>160</v>
      </c>
      <c r="Z25" s="136" t="s">
        <v>160</v>
      </c>
      <c r="AA25" s="136" t="s">
        <v>160</v>
      </c>
      <c r="AB25" s="136" t="s">
        <v>160</v>
      </c>
      <c r="AC25" s="136" t="s">
        <v>160</v>
      </c>
      <c r="AD25" s="136" t="s">
        <v>160</v>
      </c>
      <c r="AE25" s="136" t="s">
        <v>160</v>
      </c>
      <c r="AF25" s="136" t="s">
        <v>160</v>
      </c>
      <c r="AG25" s="136"/>
      <c r="AH25" s="136" t="s">
        <v>160</v>
      </c>
      <c r="AI25" s="136" t="s">
        <v>160</v>
      </c>
      <c r="AJ25" s="136" t="s">
        <v>160</v>
      </c>
      <c r="AK25" s="136" t="s">
        <v>160</v>
      </c>
      <c r="AL25" s="136" t="s">
        <v>160</v>
      </c>
      <c r="AM25" s="136" t="s">
        <v>160</v>
      </c>
      <c r="AN25" s="136" t="s">
        <v>160</v>
      </c>
      <c r="AO25" s="136" t="s">
        <v>160</v>
      </c>
      <c r="AP25" s="136" t="s">
        <v>160</v>
      </c>
      <c r="AQ25" s="136"/>
      <c r="AR25" s="136"/>
      <c r="AS25" s="136" t="s">
        <v>160</v>
      </c>
      <c r="AT25" s="136"/>
      <c r="AU25" s="136" t="s">
        <v>160</v>
      </c>
      <c r="AV25" s="136" t="s">
        <v>160</v>
      </c>
      <c r="AW25" s="136" t="s">
        <v>160</v>
      </c>
      <c r="AX25" s="136" t="s">
        <v>160</v>
      </c>
    </row>
    <row r="26" spans="1:50" collapsed="1" x14ac:dyDescent="0.2">
      <c r="B26" s="135" t="s">
        <v>708</v>
      </c>
      <c r="C26" s="136">
        <v>0</v>
      </c>
      <c r="D26" s="136">
        <v>0</v>
      </c>
      <c r="E26" s="241">
        <v>0</v>
      </c>
      <c r="F26" s="136" t="s">
        <v>160</v>
      </c>
      <c r="G26" s="136" t="s">
        <v>160</v>
      </c>
      <c r="H26" s="136" t="s">
        <v>160</v>
      </c>
      <c r="I26" s="136" t="s">
        <v>160</v>
      </c>
      <c r="J26" s="136">
        <v>27779.164189999996</v>
      </c>
      <c r="K26" s="136">
        <v>28681.323850000023</v>
      </c>
      <c r="L26" s="136">
        <v>27431.973769999982</v>
      </c>
      <c r="M26" s="136">
        <v>26250.903959999992</v>
      </c>
      <c r="N26" s="136">
        <v>26103.674340000001</v>
      </c>
      <c r="O26" s="136">
        <v>27956.350890000012</v>
      </c>
      <c r="P26" s="136">
        <v>29267.803309999978</v>
      </c>
      <c r="Q26" s="136">
        <v>21726.171460000009</v>
      </c>
      <c r="R26" s="136">
        <v>25404</v>
      </c>
      <c r="S26" s="136">
        <v>26784</v>
      </c>
      <c r="T26" s="136">
        <v>27356</v>
      </c>
      <c r="U26" s="136">
        <v>29476</v>
      </c>
      <c r="V26" s="136">
        <v>25142</v>
      </c>
      <c r="W26" s="136">
        <v>30980</v>
      </c>
      <c r="X26" s="136">
        <v>30154</v>
      </c>
      <c r="Y26" s="136">
        <v>32177</v>
      </c>
      <c r="Z26" s="136">
        <v>29575</v>
      </c>
      <c r="AA26" s="136">
        <v>23523</v>
      </c>
      <c r="AB26" s="136">
        <v>23153</v>
      </c>
      <c r="AC26" s="136">
        <v>23937</v>
      </c>
      <c r="AD26" s="136">
        <v>22684</v>
      </c>
      <c r="AE26" s="136">
        <v>24527</v>
      </c>
      <c r="AF26" s="136">
        <v>22399</v>
      </c>
      <c r="AG26" s="136">
        <v>27275</v>
      </c>
      <c r="AH26" s="136">
        <v>24385</v>
      </c>
      <c r="AI26" s="136">
        <v>28566</v>
      </c>
      <c r="AJ26" s="136">
        <v>29051</v>
      </c>
      <c r="AK26" s="136">
        <v>32302</v>
      </c>
      <c r="AL26" s="136">
        <v>29122</v>
      </c>
      <c r="AM26" s="136">
        <v>33107</v>
      </c>
      <c r="AN26" s="136">
        <v>34275</v>
      </c>
      <c r="AO26" s="136">
        <v>36564</v>
      </c>
      <c r="AP26" s="136">
        <v>32841</v>
      </c>
      <c r="AQ26" s="136">
        <v>35467</v>
      </c>
      <c r="AR26" s="136">
        <v>40081</v>
      </c>
      <c r="AS26" s="136">
        <v>41264</v>
      </c>
      <c r="AT26" s="136">
        <v>39520</v>
      </c>
      <c r="AU26" s="136">
        <v>44952</v>
      </c>
      <c r="AV26" s="136">
        <v>47075</v>
      </c>
      <c r="AW26" s="136">
        <v>50518</v>
      </c>
      <c r="AX26" s="136">
        <v>42919</v>
      </c>
    </row>
    <row r="27" spans="1:50" x14ac:dyDescent="0.2">
      <c r="B27" s="135" t="s">
        <v>537</v>
      </c>
      <c r="C27" s="136">
        <v>0</v>
      </c>
      <c r="D27" s="136">
        <v>0</v>
      </c>
      <c r="E27" s="241">
        <v>0</v>
      </c>
      <c r="F27" s="136" t="s">
        <v>160</v>
      </c>
      <c r="G27" s="136" t="s">
        <v>160</v>
      </c>
      <c r="H27" s="136" t="s">
        <v>160</v>
      </c>
      <c r="I27" s="136" t="s">
        <v>160</v>
      </c>
      <c r="J27" s="136">
        <v>3707.2037100000002</v>
      </c>
      <c r="K27" s="136">
        <v>3749.6770000000006</v>
      </c>
      <c r="L27" s="136">
        <v>3784.1789899999999</v>
      </c>
      <c r="M27" s="136">
        <v>3662.2296899999983</v>
      </c>
      <c r="N27" s="136">
        <v>3644.5253099999995</v>
      </c>
      <c r="O27" s="136">
        <v>3899.6382600000015</v>
      </c>
      <c r="P27" s="136">
        <v>4071.1457599999972</v>
      </c>
      <c r="Q27" s="136">
        <v>13618.690670000002</v>
      </c>
      <c r="R27" s="136">
        <v>5902</v>
      </c>
      <c r="S27" s="136">
        <v>6133</v>
      </c>
      <c r="T27" s="136">
        <v>6652</v>
      </c>
      <c r="U27" s="136">
        <v>7194</v>
      </c>
      <c r="V27" s="136">
        <v>6634</v>
      </c>
      <c r="W27" s="136">
        <v>7182</v>
      </c>
      <c r="X27" s="136">
        <v>7594</v>
      </c>
      <c r="Y27" s="136">
        <v>7681</v>
      </c>
      <c r="Z27" s="136">
        <v>6940</v>
      </c>
      <c r="AA27" s="136">
        <v>5782</v>
      </c>
      <c r="AB27" s="136">
        <v>5557</v>
      </c>
      <c r="AC27" s="136">
        <v>5946</v>
      </c>
      <c r="AD27" s="136">
        <v>6002</v>
      </c>
      <c r="AE27" s="136">
        <v>5458</v>
      </c>
      <c r="AF27" s="136">
        <v>5574</v>
      </c>
      <c r="AG27" s="136">
        <v>5957</v>
      </c>
      <c r="AH27" s="136">
        <v>5824</v>
      </c>
      <c r="AI27" s="136">
        <v>6256</v>
      </c>
      <c r="AJ27" s="136">
        <v>6618</v>
      </c>
      <c r="AK27" s="136">
        <v>6865</v>
      </c>
      <c r="AL27" s="136">
        <v>6923</v>
      </c>
      <c r="AM27" s="136">
        <v>7294</v>
      </c>
      <c r="AN27" s="136">
        <v>7916</v>
      </c>
      <c r="AO27" s="136">
        <v>8546</v>
      </c>
      <c r="AP27" s="136">
        <v>8204</v>
      </c>
      <c r="AQ27" s="136">
        <v>8800</v>
      </c>
      <c r="AR27" s="136">
        <v>9964</v>
      </c>
      <c r="AS27" s="136">
        <v>12256</v>
      </c>
      <c r="AT27" s="136">
        <v>10149</v>
      </c>
      <c r="AU27" s="136">
        <v>11295</v>
      </c>
      <c r="AV27" s="136">
        <v>11572</v>
      </c>
      <c r="AW27" s="136">
        <v>13393</v>
      </c>
      <c r="AX27" s="136">
        <v>12841</v>
      </c>
    </row>
    <row r="28" spans="1:50" x14ac:dyDescent="0.2">
      <c r="A28" s="194"/>
      <c r="B28" s="135" t="s">
        <v>281</v>
      </c>
      <c r="C28" s="136">
        <v>0</v>
      </c>
      <c r="D28" s="136">
        <v>0</v>
      </c>
      <c r="E28" s="241">
        <v>0</v>
      </c>
      <c r="F28" s="136" t="s">
        <v>160</v>
      </c>
      <c r="G28" s="136" t="s">
        <v>160</v>
      </c>
      <c r="H28" s="136" t="s">
        <v>160</v>
      </c>
      <c r="I28" s="136" t="s">
        <v>160</v>
      </c>
      <c r="J28" s="136">
        <v>2690.2913900000003</v>
      </c>
      <c r="K28" s="136">
        <v>2038.4157200000002</v>
      </c>
      <c r="L28" s="136">
        <v>1943.1405199999995</v>
      </c>
      <c r="M28" s="136">
        <v>2327.3946799999981</v>
      </c>
      <c r="N28" s="136">
        <v>1645.8598599999998</v>
      </c>
      <c r="O28" s="136">
        <v>1237.0188499999997</v>
      </c>
      <c r="P28" s="136">
        <v>1654.3516599999996</v>
      </c>
      <c r="Q28" s="136">
        <v>3845.7696300000016</v>
      </c>
      <c r="R28" s="136">
        <v>1605</v>
      </c>
      <c r="S28" s="136">
        <v>-194</v>
      </c>
      <c r="T28" s="136">
        <v>1666</v>
      </c>
      <c r="U28" s="136">
        <v>2107</v>
      </c>
      <c r="V28" s="136">
        <v>1852</v>
      </c>
      <c r="W28" s="136">
        <v>2096</v>
      </c>
      <c r="X28" s="136">
        <v>1862</v>
      </c>
      <c r="Y28" s="136">
        <v>1987</v>
      </c>
      <c r="Z28" s="136">
        <v>1953</v>
      </c>
      <c r="AA28" s="136">
        <v>3374</v>
      </c>
      <c r="AB28" s="136">
        <v>1617</v>
      </c>
      <c r="AC28" s="136">
        <v>1469</v>
      </c>
      <c r="AD28" s="136">
        <v>1593</v>
      </c>
      <c r="AE28" s="136">
        <v>1703</v>
      </c>
      <c r="AF28" s="136">
        <v>1217</v>
      </c>
      <c r="AG28" s="136">
        <v>1867</v>
      </c>
      <c r="AH28" s="136">
        <v>1539</v>
      </c>
      <c r="AI28" s="136">
        <v>1635</v>
      </c>
      <c r="AJ28" s="136">
        <v>1678</v>
      </c>
      <c r="AK28" s="136">
        <v>1923</v>
      </c>
      <c r="AL28" s="136">
        <v>1670</v>
      </c>
      <c r="AM28" s="136">
        <v>1879</v>
      </c>
      <c r="AN28" s="136">
        <v>2326</v>
      </c>
      <c r="AO28" s="136">
        <v>1872</v>
      </c>
      <c r="AP28" s="136">
        <v>2009</v>
      </c>
      <c r="AQ28" s="136">
        <v>2091</v>
      </c>
      <c r="AR28" s="136">
        <v>2299</v>
      </c>
      <c r="AS28" s="136">
        <v>2354</v>
      </c>
      <c r="AT28" s="136">
        <v>2477</v>
      </c>
      <c r="AU28" s="136">
        <v>2629</v>
      </c>
      <c r="AV28" s="136">
        <v>2658</v>
      </c>
      <c r="AW28" s="136">
        <v>3218</v>
      </c>
      <c r="AX28" s="136">
        <v>2546</v>
      </c>
    </row>
    <row r="29" spans="1:50" x14ac:dyDescent="0.2">
      <c r="B29" s="195" t="s">
        <v>424</v>
      </c>
      <c r="C29" s="196">
        <f>+SUM(C30:C32)</f>
        <v>276536</v>
      </c>
      <c r="D29" s="196">
        <f t="shared" ref="D29:I29" si="27">+SUM(D30:D32)</f>
        <v>242469</v>
      </c>
      <c r="E29" s="242">
        <f t="shared" si="27"/>
        <v>78518</v>
      </c>
      <c r="F29" s="196">
        <f t="shared" si="27"/>
        <v>37840</v>
      </c>
      <c r="G29" s="196">
        <f t="shared" si="27"/>
        <v>36747</v>
      </c>
      <c r="H29" s="196">
        <f t="shared" si="27"/>
        <v>39413</v>
      </c>
      <c r="I29" s="196">
        <f t="shared" si="27"/>
        <v>24615</v>
      </c>
      <c r="J29" s="196">
        <f t="shared" ref="J29:O29" si="28">+SUM(J30:J32)</f>
        <v>25798</v>
      </c>
      <c r="K29" s="196">
        <f t="shared" si="28"/>
        <v>30051</v>
      </c>
      <c r="L29" s="196">
        <f t="shared" si="28"/>
        <v>32623</v>
      </c>
      <c r="M29" s="196">
        <f t="shared" si="28"/>
        <v>37990</v>
      </c>
      <c r="N29" s="196">
        <f t="shared" si="28"/>
        <v>31454</v>
      </c>
      <c r="O29" s="196">
        <f t="shared" si="28"/>
        <v>13536</v>
      </c>
      <c r="P29" s="196">
        <f t="shared" ref="P29:Z29" si="29">+SUM(P30:P32)</f>
        <v>42768</v>
      </c>
      <c r="Q29" s="196">
        <f t="shared" si="29"/>
        <v>16455</v>
      </c>
      <c r="R29" s="196">
        <f t="shared" si="29"/>
        <v>37006</v>
      </c>
      <c r="S29" s="196">
        <f t="shared" si="29"/>
        <v>40165</v>
      </c>
      <c r="T29" s="196">
        <f t="shared" si="29"/>
        <v>53565</v>
      </c>
      <c r="U29" s="196">
        <f t="shared" si="29"/>
        <v>43480</v>
      </c>
      <c r="V29" s="196">
        <f t="shared" si="29"/>
        <v>48774</v>
      </c>
      <c r="W29" s="196">
        <f t="shared" si="29"/>
        <v>48249</v>
      </c>
      <c r="X29" s="196">
        <f t="shared" si="29"/>
        <v>79604</v>
      </c>
      <c r="Y29" s="196">
        <f t="shared" si="29"/>
        <v>51970</v>
      </c>
      <c r="Z29" s="196">
        <f t="shared" si="29"/>
        <v>42161</v>
      </c>
      <c r="AA29" s="196">
        <f t="shared" ref="AA29:AF29" si="30">+SUM(AA30:AA32)</f>
        <v>14309</v>
      </c>
      <c r="AB29" s="196">
        <f t="shared" si="30"/>
        <v>47361</v>
      </c>
      <c r="AC29" s="196">
        <f t="shared" si="30"/>
        <v>46997</v>
      </c>
      <c r="AD29" s="196">
        <f t="shared" si="30"/>
        <v>37763</v>
      </c>
      <c r="AE29" s="196">
        <f t="shared" si="30"/>
        <v>34163</v>
      </c>
      <c r="AF29" s="196">
        <f t="shared" si="30"/>
        <v>20752</v>
      </c>
      <c r="AG29" s="196">
        <f t="shared" ref="AG29:AL29" si="31">+SUM(AG30:AG32)</f>
        <v>48009</v>
      </c>
      <c r="AH29" s="196">
        <f t="shared" si="31"/>
        <v>36105</v>
      </c>
      <c r="AI29" s="196">
        <f t="shared" si="31"/>
        <v>45556</v>
      </c>
      <c r="AJ29" s="196">
        <f t="shared" si="31"/>
        <v>67469</v>
      </c>
      <c r="AK29" s="196">
        <f>+SUM(AK30:AK32)</f>
        <v>67457</v>
      </c>
      <c r="AL29" s="196">
        <f t="shared" si="31"/>
        <v>52343</v>
      </c>
      <c r="AM29" s="196">
        <f t="shared" ref="AM29:AU29" si="32">+SUM(AM30:AM32)</f>
        <v>58312</v>
      </c>
      <c r="AN29" s="196">
        <f t="shared" si="32"/>
        <v>72159</v>
      </c>
      <c r="AO29" s="196">
        <f t="shared" si="32"/>
        <v>73898</v>
      </c>
      <c r="AP29" s="196">
        <f t="shared" si="32"/>
        <v>68078</v>
      </c>
      <c r="AQ29" s="196">
        <f t="shared" si="32"/>
        <v>81953</v>
      </c>
      <c r="AR29" s="196">
        <f t="shared" si="32"/>
        <v>113644</v>
      </c>
      <c r="AS29" s="196">
        <f t="shared" si="32"/>
        <v>116684</v>
      </c>
      <c r="AT29" s="196">
        <f t="shared" si="32"/>
        <v>76719</v>
      </c>
      <c r="AU29" s="196">
        <f t="shared" si="32"/>
        <v>95919</v>
      </c>
      <c r="AV29" s="196">
        <f>+SUM(AV30:AV32)</f>
        <v>117641</v>
      </c>
      <c r="AW29" s="196">
        <f>+SUM(AW30:AW32)</f>
        <v>108621</v>
      </c>
      <c r="AX29" s="196">
        <f>+SUM(AX30:AX32)</f>
        <v>94408</v>
      </c>
    </row>
    <row r="30" spans="1:50" x14ac:dyDescent="0.2">
      <c r="B30" s="135" t="s">
        <v>425</v>
      </c>
      <c r="C30" s="136">
        <v>151047</v>
      </c>
      <c r="D30" s="136">
        <v>118191</v>
      </c>
      <c r="E30" s="241">
        <v>49525</v>
      </c>
      <c r="F30" s="136">
        <v>16109</v>
      </c>
      <c r="G30" s="136">
        <v>15028</v>
      </c>
      <c r="H30" s="136">
        <v>17348</v>
      </c>
      <c r="I30" s="136">
        <v>4534</v>
      </c>
      <c r="J30" s="136">
        <v>12808</v>
      </c>
      <c r="K30" s="136">
        <v>16038</v>
      </c>
      <c r="L30" s="136">
        <v>18428</v>
      </c>
      <c r="M30" s="136">
        <v>24713</v>
      </c>
      <c r="N30" s="136">
        <v>17923</v>
      </c>
      <c r="O30" s="136">
        <v>8435</v>
      </c>
      <c r="P30" s="136">
        <v>25711</v>
      </c>
      <c r="Q30" s="136">
        <v>-2563</v>
      </c>
      <c r="R30" s="136">
        <v>21578</v>
      </c>
      <c r="S30" s="136">
        <v>23387</v>
      </c>
      <c r="T30" s="136">
        <v>28550</v>
      </c>
      <c r="U30" s="136">
        <v>22292</v>
      </c>
      <c r="V30" s="136">
        <v>26985</v>
      </c>
      <c r="W30" s="136">
        <v>28011</v>
      </c>
      <c r="X30" s="136">
        <v>59570</v>
      </c>
      <c r="Y30" s="136">
        <v>27879</v>
      </c>
      <c r="Z30" s="136">
        <v>22468</v>
      </c>
      <c r="AA30" s="136">
        <v>4527</v>
      </c>
      <c r="AB30" s="136">
        <v>26986</v>
      </c>
      <c r="AC30" s="136">
        <v>25211</v>
      </c>
      <c r="AD30" s="136">
        <v>20054</v>
      </c>
      <c r="AE30" s="136">
        <v>16643</v>
      </c>
      <c r="AF30" s="136">
        <v>2684</v>
      </c>
      <c r="AG30" s="136">
        <v>24499</v>
      </c>
      <c r="AH30" s="136">
        <v>17774</v>
      </c>
      <c r="AI30" s="136">
        <v>22841</v>
      </c>
      <c r="AJ30" s="136">
        <v>35979</v>
      </c>
      <c r="AK30" s="136">
        <v>36157</v>
      </c>
      <c r="AL30" s="136">
        <v>26730</v>
      </c>
      <c r="AM30" s="136">
        <v>29373</v>
      </c>
      <c r="AN30" s="136">
        <v>38244</v>
      </c>
      <c r="AO30" s="136">
        <v>37474</v>
      </c>
      <c r="AP30" s="136">
        <v>35520</v>
      </c>
      <c r="AQ30" s="136">
        <v>44173</v>
      </c>
      <c r="AR30" s="136">
        <v>65355</v>
      </c>
      <c r="AS30" s="136">
        <v>66449</v>
      </c>
      <c r="AT30" s="136">
        <v>41714</v>
      </c>
      <c r="AU30" s="136">
        <v>52381</v>
      </c>
      <c r="AV30" s="136">
        <v>64663</v>
      </c>
      <c r="AW30" s="136">
        <v>52900</v>
      </c>
      <c r="AX30" s="136">
        <v>47221</v>
      </c>
    </row>
    <row r="31" spans="1:50" x14ac:dyDescent="0.2">
      <c r="B31" s="135" t="s">
        <v>426</v>
      </c>
      <c r="C31" s="136">
        <v>117202</v>
      </c>
      <c r="D31" s="136">
        <v>116549</v>
      </c>
      <c r="E31" s="241">
        <v>26995</v>
      </c>
      <c r="F31" s="136">
        <v>20055</v>
      </c>
      <c r="G31" s="136">
        <v>20139</v>
      </c>
      <c r="H31" s="136">
        <v>20334</v>
      </c>
      <c r="I31" s="136">
        <v>18426</v>
      </c>
      <c r="J31" s="136">
        <v>11419</v>
      </c>
      <c r="K31" s="136">
        <v>12510</v>
      </c>
      <c r="L31" s="136">
        <v>12855</v>
      </c>
      <c r="M31" s="136">
        <v>11732</v>
      </c>
      <c r="N31" s="136">
        <v>12007</v>
      </c>
      <c r="O31" s="136">
        <v>3625</v>
      </c>
      <c r="P31" s="136">
        <v>15493</v>
      </c>
      <c r="Q31" s="136">
        <v>17301</v>
      </c>
      <c r="R31" s="136">
        <v>14084</v>
      </c>
      <c r="S31" s="136">
        <v>15366</v>
      </c>
      <c r="T31" s="136">
        <v>23610</v>
      </c>
      <c r="U31" s="136">
        <v>19719</v>
      </c>
      <c r="V31" s="136">
        <v>20522</v>
      </c>
      <c r="W31" s="136">
        <v>18854</v>
      </c>
      <c r="X31" s="136">
        <v>18609</v>
      </c>
      <c r="Y31" s="136">
        <v>22469</v>
      </c>
      <c r="Z31" s="136">
        <v>18031</v>
      </c>
      <c r="AA31" s="136">
        <v>8428</v>
      </c>
      <c r="AB31" s="136">
        <v>19010</v>
      </c>
      <c r="AC31" s="136">
        <v>20560</v>
      </c>
      <c r="AD31" s="136">
        <v>16645</v>
      </c>
      <c r="AE31" s="136">
        <v>16401</v>
      </c>
      <c r="AF31" s="136">
        <v>16811</v>
      </c>
      <c r="AG31" s="136">
        <v>22366</v>
      </c>
      <c r="AH31" s="136">
        <v>16745</v>
      </c>
      <c r="AI31" s="136">
        <v>21501</v>
      </c>
      <c r="AJ31" s="136">
        <v>29883</v>
      </c>
      <c r="AK31" s="136">
        <v>29853</v>
      </c>
      <c r="AL31" s="136">
        <v>23967</v>
      </c>
      <c r="AM31" s="136">
        <v>27547</v>
      </c>
      <c r="AN31" s="136">
        <v>32167</v>
      </c>
      <c r="AO31" s="136">
        <v>34646</v>
      </c>
      <c r="AP31" s="136">
        <v>30930</v>
      </c>
      <c r="AQ31" s="136">
        <v>35819</v>
      </c>
      <c r="AR31" s="136">
        <v>45760</v>
      </c>
      <c r="AS31" s="136">
        <v>47898</v>
      </c>
      <c r="AT31" s="136">
        <v>32852</v>
      </c>
      <c r="AU31" s="136">
        <v>41314</v>
      </c>
      <c r="AV31" s="136">
        <v>50999</v>
      </c>
      <c r="AW31" s="136">
        <v>53752</v>
      </c>
      <c r="AX31" s="136">
        <v>45218</v>
      </c>
    </row>
    <row r="32" spans="1:50" x14ac:dyDescent="0.2">
      <c r="B32" s="135" t="s">
        <v>427</v>
      </c>
      <c r="C32" s="136">
        <v>8287</v>
      </c>
      <c r="D32" s="136">
        <v>7729</v>
      </c>
      <c r="E32" s="241">
        <v>1998</v>
      </c>
      <c r="F32" s="136">
        <v>1676</v>
      </c>
      <c r="G32" s="136">
        <v>1580</v>
      </c>
      <c r="H32" s="136">
        <v>1731</v>
      </c>
      <c r="I32" s="136">
        <v>1655</v>
      </c>
      <c r="J32" s="136">
        <v>1571</v>
      </c>
      <c r="K32" s="136">
        <v>1503</v>
      </c>
      <c r="L32" s="136">
        <v>1340</v>
      </c>
      <c r="M32" s="136">
        <v>1545</v>
      </c>
      <c r="N32" s="136">
        <v>1524</v>
      </c>
      <c r="O32" s="136">
        <v>1476</v>
      </c>
      <c r="P32" s="136">
        <v>1564</v>
      </c>
      <c r="Q32" s="136">
        <v>1717</v>
      </c>
      <c r="R32" s="136">
        <v>1344</v>
      </c>
      <c r="S32" s="136">
        <v>1412</v>
      </c>
      <c r="T32" s="136">
        <v>1405</v>
      </c>
      <c r="U32" s="136">
        <v>1469</v>
      </c>
      <c r="V32" s="136">
        <v>1267</v>
      </c>
      <c r="W32" s="136">
        <v>1384</v>
      </c>
      <c r="X32" s="136">
        <v>1425</v>
      </c>
      <c r="Y32" s="136">
        <v>1622</v>
      </c>
      <c r="Z32" s="136">
        <v>1662</v>
      </c>
      <c r="AA32" s="136">
        <v>1354</v>
      </c>
      <c r="AB32" s="136">
        <v>1365</v>
      </c>
      <c r="AC32" s="136">
        <v>1226</v>
      </c>
      <c r="AD32" s="136">
        <v>1064</v>
      </c>
      <c r="AE32" s="136">
        <v>1119</v>
      </c>
      <c r="AF32" s="136">
        <v>1257</v>
      </c>
      <c r="AG32" s="136">
        <v>1144</v>
      </c>
      <c r="AH32" s="136">
        <v>1586</v>
      </c>
      <c r="AI32" s="136">
        <v>1214</v>
      </c>
      <c r="AJ32" s="136">
        <v>1607</v>
      </c>
      <c r="AK32" s="136">
        <v>1447</v>
      </c>
      <c r="AL32" s="136">
        <v>1646</v>
      </c>
      <c r="AM32" s="136">
        <v>1392</v>
      </c>
      <c r="AN32" s="136">
        <v>1748</v>
      </c>
      <c r="AO32" s="136">
        <v>1778</v>
      </c>
      <c r="AP32" s="136">
        <v>1628</v>
      </c>
      <c r="AQ32" s="136">
        <v>1961</v>
      </c>
      <c r="AR32" s="136">
        <v>2529</v>
      </c>
      <c r="AS32" s="136">
        <v>2337</v>
      </c>
      <c r="AT32" s="136">
        <v>2153</v>
      </c>
      <c r="AU32" s="136">
        <v>2224</v>
      </c>
      <c r="AV32" s="136">
        <v>1979</v>
      </c>
      <c r="AW32" s="136">
        <v>1969</v>
      </c>
      <c r="AX32" s="136">
        <v>1969</v>
      </c>
    </row>
    <row r="33" spans="2:50" x14ac:dyDescent="0.2">
      <c r="B33" s="195" t="s">
        <v>428</v>
      </c>
      <c r="C33" s="196">
        <f>+SUM(C34:C37)</f>
        <v>276165</v>
      </c>
      <c r="D33" s="196">
        <f t="shared" ref="D33:I33" si="33">+SUM(D34:D37)</f>
        <v>174352</v>
      </c>
      <c r="E33" s="242">
        <f t="shared" si="33"/>
        <v>55549</v>
      </c>
      <c r="F33" s="196">
        <f t="shared" si="33"/>
        <v>43139</v>
      </c>
      <c r="G33" s="196">
        <f t="shared" si="33"/>
        <v>36567</v>
      </c>
      <c r="H33" s="196">
        <f t="shared" si="33"/>
        <v>35462</v>
      </c>
      <c r="I33" s="196">
        <f t="shared" si="33"/>
        <v>28868</v>
      </c>
      <c r="J33" s="196">
        <f t="shared" ref="J33:O33" si="34">+SUM(J34:J37)</f>
        <v>27609</v>
      </c>
      <c r="K33" s="196">
        <f t="shared" si="34"/>
        <v>24192</v>
      </c>
      <c r="L33" s="196">
        <f t="shared" si="34"/>
        <v>33243</v>
      </c>
      <c r="M33" s="196">
        <f t="shared" si="34"/>
        <v>35949</v>
      </c>
      <c r="N33" s="196">
        <f t="shared" si="34"/>
        <v>25341</v>
      </c>
      <c r="O33" s="196">
        <f t="shared" si="34"/>
        <v>42206</v>
      </c>
      <c r="P33" s="196">
        <f t="shared" ref="P33:Z33" si="35">+SUM(P34:P37)</f>
        <v>33877</v>
      </c>
      <c r="Q33" s="196">
        <f t="shared" si="35"/>
        <v>75254</v>
      </c>
      <c r="R33" s="196">
        <f t="shared" si="35"/>
        <v>28032</v>
      </c>
      <c r="S33" s="196">
        <f t="shared" si="35"/>
        <v>41123</v>
      </c>
      <c r="T33" s="196">
        <f t="shared" si="35"/>
        <v>55291</v>
      </c>
      <c r="U33" s="196">
        <f t="shared" si="35"/>
        <v>56111</v>
      </c>
      <c r="V33" s="196">
        <f t="shared" si="35"/>
        <v>34173</v>
      </c>
      <c r="W33" s="196">
        <f t="shared" si="35"/>
        <v>34801</v>
      </c>
      <c r="X33" s="196">
        <f t="shared" si="35"/>
        <v>102951</v>
      </c>
      <c r="Y33" s="196">
        <f t="shared" si="35"/>
        <v>50127</v>
      </c>
      <c r="Z33" s="196">
        <f t="shared" si="35"/>
        <v>40465</v>
      </c>
      <c r="AA33" s="196">
        <f>+SUM(AA34:AA37)</f>
        <v>5643</v>
      </c>
      <c r="AB33" s="196">
        <f>+SUM(AB34:AB37)</f>
        <v>32595</v>
      </c>
      <c r="AC33" s="196">
        <f>+SUM(AC34:AC37)</f>
        <v>34828</v>
      </c>
      <c r="AD33" s="196">
        <f t="shared" ref="AD33:AI33" si="36">+SUM(AD34:AD38)</f>
        <v>24751</v>
      </c>
      <c r="AE33" s="196">
        <f t="shared" si="36"/>
        <v>28773</v>
      </c>
      <c r="AF33" s="196">
        <f t="shared" si="36"/>
        <v>39365</v>
      </c>
      <c r="AG33" s="196">
        <f t="shared" si="36"/>
        <v>38665</v>
      </c>
      <c r="AH33" s="196">
        <f t="shared" si="36"/>
        <v>26524</v>
      </c>
      <c r="AI33" s="196">
        <f t="shared" si="36"/>
        <v>39274</v>
      </c>
      <c r="AJ33" s="196">
        <f t="shared" ref="AJ33:AO33" si="37">+SUM(AJ34:AJ38)</f>
        <v>58960</v>
      </c>
      <c r="AK33" s="196">
        <f t="shared" si="37"/>
        <v>62628</v>
      </c>
      <c r="AL33" s="196">
        <f t="shared" si="37"/>
        <v>43011</v>
      </c>
      <c r="AM33" s="196">
        <f t="shared" si="37"/>
        <v>49131</v>
      </c>
      <c r="AN33" s="196">
        <f t="shared" si="37"/>
        <v>63416</v>
      </c>
      <c r="AO33" s="196">
        <f t="shared" si="37"/>
        <v>61481</v>
      </c>
      <c r="AP33" s="196">
        <f t="shared" ref="AP33:AU33" si="38">+SUM(AP34:AP38)</f>
        <v>46365</v>
      </c>
      <c r="AQ33" s="196">
        <f t="shared" si="38"/>
        <v>75145</v>
      </c>
      <c r="AR33" s="196">
        <f t="shared" si="38"/>
        <v>101981</v>
      </c>
      <c r="AS33" s="196">
        <f t="shared" si="38"/>
        <v>101032</v>
      </c>
      <c r="AT33" s="196">
        <f t="shared" si="38"/>
        <v>58835</v>
      </c>
      <c r="AU33" s="196">
        <f t="shared" si="38"/>
        <v>83975</v>
      </c>
      <c r="AV33" s="196">
        <f>+SUM(AV34:AV38)</f>
        <v>96676</v>
      </c>
      <c r="AW33" s="196">
        <f>+SUM(AW34:AW38)</f>
        <v>67683</v>
      </c>
      <c r="AX33" s="196">
        <f>+SUM(AX34:AX38)</f>
        <v>53929</v>
      </c>
    </row>
    <row r="34" spans="2:50" x14ac:dyDescent="0.2">
      <c r="B34" s="135" t="s">
        <v>429</v>
      </c>
      <c r="C34" s="136">
        <v>151385</v>
      </c>
      <c r="D34" s="136">
        <v>119133</v>
      </c>
      <c r="E34" s="241">
        <v>24653</v>
      </c>
      <c r="F34" s="136">
        <v>17705</v>
      </c>
      <c r="G34" s="136">
        <v>16495</v>
      </c>
      <c r="H34" s="136">
        <v>14912</v>
      </c>
      <c r="I34" s="136">
        <v>19635</v>
      </c>
      <c r="J34" s="136">
        <v>16295</v>
      </c>
      <c r="K34" s="136">
        <v>13908</v>
      </c>
      <c r="L34" s="136">
        <v>18995</v>
      </c>
      <c r="M34" s="136">
        <v>13159</v>
      </c>
      <c r="N34" s="136">
        <v>9594</v>
      </c>
      <c r="O34" s="136">
        <v>8091</v>
      </c>
      <c r="P34" s="136">
        <v>8692</v>
      </c>
      <c r="Q34" s="136">
        <v>5435</v>
      </c>
      <c r="R34" s="136">
        <v>4564</v>
      </c>
      <c r="S34" s="136">
        <v>3829</v>
      </c>
      <c r="T34" s="136">
        <v>15150</v>
      </c>
      <c r="U34" s="136">
        <v>10293</v>
      </c>
      <c r="V34" s="136">
        <v>5694</v>
      </c>
      <c r="W34" s="136">
        <v>-361</v>
      </c>
      <c r="X34" s="136">
        <v>9818</v>
      </c>
      <c r="Y34" s="136">
        <v>4272</v>
      </c>
      <c r="Z34" s="136">
        <v>19057</v>
      </c>
      <c r="AA34" s="136">
        <v>8867</v>
      </c>
      <c r="AB34" s="136">
        <v>1296</v>
      </c>
      <c r="AC34" s="136">
        <v>4019</v>
      </c>
      <c r="AD34" s="136">
        <v>4417</v>
      </c>
      <c r="AE34" s="136">
        <v>3983</v>
      </c>
      <c r="AF34" s="136">
        <v>4347</v>
      </c>
      <c r="AG34" s="136">
        <v>8536</v>
      </c>
      <c r="AH34" s="136">
        <v>6814</v>
      </c>
      <c r="AI34" s="136">
        <v>6934</v>
      </c>
      <c r="AJ34" s="136">
        <v>3763</v>
      </c>
      <c r="AK34" s="136">
        <v>4479</v>
      </c>
      <c r="AL34" s="136">
        <v>6870</v>
      </c>
      <c r="AM34" s="136">
        <v>7580</v>
      </c>
      <c r="AN34" s="136">
        <v>6026</v>
      </c>
      <c r="AO34" s="136">
        <v>7171</v>
      </c>
      <c r="AP34" s="136">
        <v>6622</v>
      </c>
      <c r="AQ34" s="136">
        <v>6460</v>
      </c>
      <c r="AR34" s="136">
        <v>6644</v>
      </c>
      <c r="AS34" s="136">
        <v>6786</v>
      </c>
      <c r="AT34" s="136">
        <v>8576</v>
      </c>
      <c r="AU34" s="136">
        <v>8848</v>
      </c>
      <c r="AV34" s="136">
        <v>9680</v>
      </c>
      <c r="AW34" s="136">
        <v>7901</v>
      </c>
      <c r="AX34" s="136">
        <v>9071</v>
      </c>
    </row>
    <row r="35" spans="2:50" x14ac:dyDescent="0.2">
      <c r="B35" s="135" t="s">
        <v>430</v>
      </c>
      <c r="C35" s="136">
        <v>85304</v>
      </c>
      <c r="D35" s="136">
        <v>78164</v>
      </c>
      <c r="E35" s="241">
        <v>17499</v>
      </c>
      <c r="F35" s="136">
        <v>17934</v>
      </c>
      <c r="G35" s="136">
        <v>18889</v>
      </c>
      <c r="H35" s="136">
        <v>15449</v>
      </c>
      <c r="I35" s="136">
        <v>13087</v>
      </c>
      <c r="J35" s="136">
        <v>13217</v>
      </c>
      <c r="K35" s="136">
        <v>10972</v>
      </c>
      <c r="L35" s="136">
        <v>10407</v>
      </c>
      <c r="M35" s="136">
        <v>10214</v>
      </c>
      <c r="N35" s="136">
        <v>10295</v>
      </c>
      <c r="O35" s="136">
        <v>10058</v>
      </c>
      <c r="P35" s="136">
        <v>9899</v>
      </c>
      <c r="Q35" s="136">
        <v>10851</v>
      </c>
      <c r="R35" s="136">
        <v>9472</v>
      </c>
      <c r="S35" s="136">
        <v>9109</v>
      </c>
      <c r="T35" s="136">
        <v>9034</v>
      </c>
      <c r="U35" s="136">
        <v>10857</v>
      </c>
      <c r="V35" s="136">
        <v>1858</v>
      </c>
      <c r="W35" s="136">
        <v>2648</v>
      </c>
      <c r="X35" s="136">
        <v>1741</v>
      </c>
      <c r="Y35" s="136">
        <v>2410</v>
      </c>
      <c r="Z35" s="136">
        <v>2122</v>
      </c>
      <c r="AA35" s="136">
        <v>1139</v>
      </c>
      <c r="AB35" s="136">
        <v>1360</v>
      </c>
      <c r="AC35" s="136">
        <v>2045</v>
      </c>
      <c r="AD35" s="136">
        <v>176</v>
      </c>
      <c r="AE35" s="136">
        <v>634</v>
      </c>
      <c r="AF35" s="136">
        <v>825</v>
      </c>
      <c r="AG35" s="136">
        <v>851</v>
      </c>
      <c r="AH35" s="136">
        <v>927</v>
      </c>
      <c r="AI35" s="136">
        <v>1760</v>
      </c>
      <c r="AJ35" s="136">
        <v>1728</v>
      </c>
      <c r="AK35" s="136">
        <v>1317</v>
      </c>
      <c r="AL35" s="136">
        <v>1418</v>
      </c>
      <c r="AM35" s="136">
        <v>1695</v>
      </c>
      <c r="AN35" s="136">
        <v>1078</v>
      </c>
      <c r="AO35" s="136">
        <v>3289</v>
      </c>
      <c r="AP35" s="136">
        <v>2228</v>
      </c>
      <c r="AQ35" s="136">
        <v>5170</v>
      </c>
      <c r="AR35" s="136">
        <v>10892</v>
      </c>
      <c r="AS35" s="136">
        <v>9109</v>
      </c>
      <c r="AT35" s="136">
        <v>6525</v>
      </c>
      <c r="AU35" s="136">
        <v>8008</v>
      </c>
      <c r="AV35" s="136">
        <v>7105</v>
      </c>
      <c r="AW35" s="136">
        <v>7563</v>
      </c>
      <c r="AX35" s="136">
        <v>6073</v>
      </c>
    </row>
    <row r="36" spans="2:50" x14ac:dyDescent="0.2">
      <c r="B36" s="135" t="s">
        <v>796</v>
      </c>
      <c r="C36" s="136">
        <v>60000</v>
      </c>
      <c r="D36" s="136">
        <v>0</v>
      </c>
      <c r="E36" s="241">
        <v>0</v>
      </c>
      <c r="F36" s="136">
        <v>0</v>
      </c>
      <c r="G36" s="136">
        <v>0</v>
      </c>
      <c r="H36" s="136">
        <v>5000</v>
      </c>
      <c r="I36" s="136">
        <v>0</v>
      </c>
      <c r="J36" s="136">
        <v>0</v>
      </c>
      <c r="K36" s="136">
        <v>0</v>
      </c>
      <c r="L36" s="136">
        <v>0</v>
      </c>
      <c r="M36" s="136">
        <v>8000</v>
      </c>
      <c r="N36" s="136">
        <v>0</v>
      </c>
      <c r="O36" s="136">
        <v>14750</v>
      </c>
      <c r="P36" s="136">
        <v>0</v>
      </c>
      <c r="Q36" s="136">
        <v>46499</v>
      </c>
      <c r="R36" s="136">
        <v>0</v>
      </c>
      <c r="S36" s="136">
        <v>0</v>
      </c>
      <c r="T36" s="136">
        <v>21090</v>
      </c>
      <c r="U36" s="136">
        <v>43860</v>
      </c>
      <c r="V36" s="136">
        <v>0</v>
      </c>
      <c r="W36" s="136">
        <v>0</v>
      </c>
      <c r="X36" s="136">
        <v>29568</v>
      </c>
      <c r="Y36" s="136">
        <v>45696</v>
      </c>
      <c r="Z36" s="136">
        <v>0</v>
      </c>
      <c r="AA36" s="136">
        <v>0</v>
      </c>
      <c r="AB36" s="136">
        <v>0</v>
      </c>
      <c r="AC36" s="136">
        <v>34972</v>
      </c>
      <c r="AD36" s="136">
        <v>0</v>
      </c>
      <c r="AE36" s="136">
        <v>0</v>
      </c>
      <c r="AF36" s="136">
        <v>22157</v>
      </c>
      <c r="AG36" s="136">
        <v>39275</v>
      </c>
      <c r="AH36" s="136">
        <v>0</v>
      </c>
      <c r="AI36" s="136">
        <v>0</v>
      </c>
      <c r="AJ36" s="136">
        <v>24589</v>
      </c>
      <c r="AK36" s="136">
        <v>27035</v>
      </c>
      <c r="AL36" s="136">
        <v>0</v>
      </c>
      <c r="AM36" s="136">
        <v>0</v>
      </c>
      <c r="AN36" s="136">
        <v>37585</v>
      </c>
      <c r="AO36" s="136">
        <v>35606</v>
      </c>
      <c r="AP36" s="136">
        <v>0</v>
      </c>
      <c r="AQ36" s="136">
        <v>0</v>
      </c>
      <c r="AR36" s="136">
        <v>80444</v>
      </c>
      <c r="AS36" s="136">
        <v>50772</v>
      </c>
      <c r="AT36" s="136">
        <v>0</v>
      </c>
      <c r="AU36" s="136">
        <v>0</v>
      </c>
      <c r="AV36" s="136">
        <v>89016</v>
      </c>
      <c r="AW36" s="136">
        <v>63960</v>
      </c>
      <c r="AX36" s="136">
        <v>0</v>
      </c>
    </row>
    <row r="37" spans="2:50" x14ac:dyDescent="0.2">
      <c r="B37" s="135" t="s">
        <v>1066</v>
      </c>
      <c r="C37" s="136">
        <v>-20524</v>
      </c>
      <c r="D37" s="136">
        <v>-22945</v>
      </c>
      <c r="E37" s="241">
        <v>13397</v>
      </c>
      <c r="F37" s="136">
        <v>7500</v>
      </c>
      <c r="G37" s="136">
        <v>1183</v>
      </c>
      <c r="H37" s="136">
        <f>5101-H36</f>
        <v>101</v>
      </c>
      <c r="I37" s="136">
        <v>-3854</v>
      </c>
      <c r="J37" s="136">
        <v>-1903</v>
      </c>
      <c r="K37" s="136">
        <v>-688</v>
      </c>
      <c r="L37" s="136">
        <v>3841</v>
      </c>
      <c r="M37" s="136">
        <v>4576</v>
      </c>
      <c r="N37" s="136">
        <v>5452</v>
      </c>
      <c r="O37" s="136">
        <f>24057-O36</f>
        <v>9307</v>
      </c>
      <c r="P37" s="136">
        <v>15286</v>
      </c>
      <c r="Q37" s="136">
        <v>12469</v>
      </c>
      <c r="R37" s="136">
        <v>13996</v>
      </c>
      <c r="S37" s="136">
        <v>28185</v>
      </c>
      <c r="T37" s="136">
        <v>10017</v>
      </c>
      <c r="U37" s="136">
        <v>-8899</v>
      </c>
      <c r="V37" s="136">
        <v>26621</v>
      </c>
      <c r="W37" s="136">
        <v>32514</v>
      </c>
      <c r="X37" s="136">
        <v>61824</v>
      </c>
      <c r="Y37" s="136">
        <v>-2251</v>
      </c>
      <c r="Z37" s="136">
        <v>19286</v>
      </c>
      <c r="AA37" s="136">
        <v>-4363</v>
      </c>
      <c r="AB37" s="136">
        <v>29939</v>
      </c>
      <c r="AC37" s="136">
        <v>-6208</v>
      </c>
      <c r="AD37" s="136">
        <v>20248</v>
      </c>
      <c r="AE37" s="136">
        <v>24184</v>
      </c>
      <c r="AF37" s="136">
        <v>12080</v>
      </c>
      <c r="AG37" s="136">
        <v>-9851</v>
      </c>
      <c r="AH37" s="136">
        <v>18708</v>
      </c>
      <c r="AI37" s="136">
        <v>30471</v>
      </c>
      <c r="AJ37" s="136">
        <v>28806</v>
      </c>
      <c r="AK37" s="136">
        <v>29687</v>
      </c>
      <c r="AL37" s="136">
        <v>34499</v>
      </c>
      <c r="AM37" s="136">
        <v>39660</v>
      </c>
      <c r="AN37" s="136">
        <v>18591</v>
      </c>
      <c r="AO37" s="136">
        <v>15471</v>
      </c>
      <c r="AP37" s="136">
        <v>37283</v>
      </c>
      <c r="AQ37" s="136">
        <v>63252</v>
      </c>
      <c r="AR37" s="136">
        <v>3777</v>
      </c>
      <c r="AS37" s="136">
        <v>34289</v>
      </c>
      <c r="AT37" s="136">
        <v>43734</v>
      </c>
      <c r="AU37" s="136">
        <v>67119</v>
      </c>
      <c r="AV37" s="136">
        <v>-9125</v>
      </c>
      <c r="AW37" s="136">
        <v>-11741</v>
      </c>
      <c r="AX37" s="136">
        <v>38785</v>
      </c>
    </row>
    <row r="38" spans="2:50" x14ac:dyDescent="0.2">
      <c r="B38" s="135" t="s">
        <v>1067</v>
      </c>
      <c r="C38" s="136" t="s">
        <v>160</v>
      </c>
      <c r="D38" s="136" t="s">
        <v>160</v>
      </c>
      <c r="E38" s="241" t="s">
        <v>160</v>
      </c>
      <c r="F38" s="136" t="s">
        <v>160</v>
      </c>
      <c r="G38" s="136" t="s">
        <v>160</v>
      </c>
      <c r="H38" s="136" t="s">
        <v>160</v>
      </c>
      <c r="I38" s="136" t="s">
        <v>160</v>
      </c>
      <c r="J38" s="136" t="s">
        <v>160</v>
      </c>
      <c r="K38" s="136" t="s">
        <v>160</v>
      </c>
      <c r="L38" s="136" t="s">
        <v>160</v>
      </c>
      <c r="M38" s="136" t="s">
        <v>160</v>
      </c>
      <c r="N38" s="136" t="s">
        <v>160</v>
      </c>
      <c r="O38" s="136" t="s">
        <v>160</v>
      </c>
      <c r="P38" s="136" t="s">
        <v>160</v>
      </c>
      <c r="Q38" s="136" t="s">
        <v>160</v>
      </c>
      <c r="R38" s="136" t="s">
        <v>160</v>
      </c>
      <c r="S38" s="136" t="s">
        <v>160</v>
      </c>
      <c r="T38" s="136" t="s">
        <v>160</v>
      </c>
      <c r="U38" s="136" t="s">
        <v>160</v>
      </c>
      <c r="V38" s="136" t="s">
        <v>160</v>
      </c>
      <c r="W38" s="136" t="s">
        <v>160</v>
      </c>
      <c r="X38" s="136" t="s">
        <v>160</v>
      </c>
      <c r="Y38" s="136" t="s">
        <v>160</v>
      </c>
      <c r="Z38" s="136">
        <v>0</v>
      </c>
      <c r="AA38" s="136">
        <v>0</v>
      </c>
      <c r="AB38" s="136">
        <v>0</v>
      </c>
      <c r="AC38" s="136">
        <v>-117</v>
      </c>
      <c r="AD38" s="136">
        <v>-90</v>
      </c>
      <c r="AE38" s="136">
        <v>-28</v>
      </c>
      <c r="AF38" s="136">
        <v>-44</v>
      </c>
      <c r="AG38" s="136">
        <v>-146</v>
      </c>
      <c r="AH38" s="136">
        <v>75</v>
      </c>
      <c r="AI38" s="136">
        <v>109</v>
      </c>
      <c r="AJ38" s="136">
        <v>74</v>
      </c>
      <c r="AK38" s="136">
        <v>110</v>
      </c>
      <c r="AL38" s="136">
        <v>224</v>
      </c>
      <c r="AM38" s="136">
        <v>196</v>
      </c>
      <c r="AN38" s="136">
        <v>136</v>
      </c>
      <c r="AO38" s="136">
        <v>-56</v>
      </c>
      <c r="AP38" s="136">
        <v>232</v>
      </c>
      <c r="AQ38" s="136">
        <v>263</v>
      </c>
      <c r="AR38" s="136">
        <v>224</v>
      </c>
      <c r="AS38" s="136">
        <v>76</v>
      </c>
      <c r="AT38" s="136">
        <v>0</v>
      </c>
      <c r="AU38" s="136">
        <v>0</v>
      </c>
      <c r="AV38" s="136">
        <v>0</v>
      </c>
      <c r="AW38" s="136">
        <v>0</v>
      </c>
      <c r="AX38" s="136">
        <v>0</v>
      </c>
    </row>
    <row r="39" spans="2:50" x14ac:dyDescent="0.2">
      <c r="B39" s="239" t="s">
        <v>432</v>
      </c>
      <c r="C39" s="240">
        <f t="shared" ref="C39:Z39" si="39">+SUM(C33,C29,C22)</f>
        <v>830685</v>
      </c>
      <c r="D39" s="240">
        <f t="shared" si="39"/>
        <v>619752</v>
      </c>
      <c r="E39" s="243">
        <f t="shared" si="39"/>
        <v>179928</v>
      </c>
      <c r="F39" s="240">
        <f t="shared" si="39"/>
        <v>121259</v>
      </c>
      <c r="G39" s="240">
        <f t="shared" si="39"/>
        <v>114366</v>
      </c>
      <c r="H39" s="240">
        <f t="shared" si="39"/>
        <v>115374</v>
      </c>
      <c r="I39" s="240">
        <f t="shared" si="39"/>
        <v>90776</v>
      </c>
      <c r="J39" s="240">
        <f t="shared" si="39"/>
        <v>87583.659289999996</v>
      </c>
      <c r="K39" s="240">
        <f t="shared" si="39"/>
        <v>88712.41657000003</v>
      </c>
      <c r="L39" s="240">
        <f t="shared" si="39"/>
        <v>99025.293279999983</v>
      </c>
      <c r="M39" s="240">
        <f t="shared" si="39"/>
        <v>106179.52832999999</v>
      </c>
      <c r="N39" s="240">
        <f t="shared" si="39"/>
        <v>88189.059510000006</v>
      </c>
      <c r="O39" s="240">
        <f t="shared" si="39"/>
        <v>88835.008000000016</v>
      </c>
      <c r="P39" s="240">
        <f t="shared" si="39"/>
        <v>111638.30072999997</v>
      </c>
      <c r="Q39" s="240">
        <f t="shared" si="39"/>
        <v>130899.63176000002</v>
      </c>
      <c r="R39" s="240">
        <f t="shared" si="39"/>
        <v>97949</v>
      </c>
      <c r="S39" s="240">
        <f t="shared" si="39"/>
        <v>114011</v>
      </c>
      <c r="T39" s="240">
        <f t="shared" si="39"/>
        <v>144530</v>
      </c>
      <c r="U39" s="240">
        <f t="shared" si="39"/>
        <v>138368</v>
      </c>
      <c r="V39" s="240">
        <f t="shared" si="39"/>
        <v>116575</v>
      </c>
      <c r="W39" s="240">
        <f t="shared" si="39"/>
        <v>123308</v>
      </c>
      <c r="X39" s="240">
        <f t="shared" si="39"/>
        <v>222165</v>
      </c>
      <c r="Y39" s="240">
        <f t="shared" si="39"/>
        <v>143942</v>
      </c>
      <c r="Z39" s="240">
        <f t="shared" si="39"/>
        <v>121094</v>
      </c>
      <c r="AA39" s="240">
        <f t="shared" ref="AA39:AF39" si="40">+SUM(AA33,AA29,AA22)</f>
        <v>52631</v>
      </c>
      <c r="AB39" s="240">
        <f t="shared" si="40"/>
        <v>110283</v>
      </c>
      <c r="AC39" s="240">
        <f t="shared" si="40"/>
        <v>113177</v>
      </c>
      <c r="AD39" s="240">
        <f t="shared" si="40"/>
        <v>92793</v>
      </c>
      <c r="AE39" s="240">
        <f t="shared" si="40"/>
        <v>94624</v>
      </c>
      <c r="AF39" s="240">
        <f t="shared" si="40"/>
        <v>89307</v>
      </c>
      <c r="AG39" s="240">
        <f t="shared" ref="AG39:AL39" si="41">+SUM(AG33,AG29,AG22)</f>
        <v>121773</v>
      </c>
      <c r="AH39" s="240">
        <f t="shared" si="41"/>
        <v>94377</v>
      </c>
      <c r="AI39" s="240">
        <f t="shared" si="41"/>
        <v>121287</v>
      </c>
      <c r="AJ39" s="240">
        <f t="shared" si="41"/>
        <v>163776</v>
      </c>
      <c r="AK39" s="240">
        <f>+SUM(AK33,AK29,AK22)</f>
        <v>171175</v>
      </c>
      <c r="AL39" s="240">
        <f t="shared" si="41"/>
        <v>133069</v>
      </c>
      <c r="AM39" s="240">
        <f t="shared" ref="AM39:AT39" si="42">+SUM(AM33,AM29,AM22)</f>
        <v>149723</v>
      </c>
      <c r="AN39" s="240">
        <f t="shared" si="42"/>
        <v>180092</v>
      </c>
      <c r="AO39" s="240">
        <f t="shared" si="42"/>
        <v>182361</v>
      </c>
      <c r="AP39" s="240">
        <f t="shared" si="42"/>
        <v>157497</v>
      </c>
      <c r="AQ39" s="240">
        <f t="shared" si="42"/>
        <v>203456</v>
      </c>
      <c r="AR39" s="240">
        <f t="shared" si="42"/>
        <v>267969</v>
      </c>
      <c r="AS39" s="240">
        <f t="shared" si="42"/>
        <v>273590</v>
      </c>
      <c r="AT39" s="240">
        <f t="shared" si="42"/>
        <v>187700</v>
      </c>
      <c r="AU39" s="240">
        <f>+SUM(AU33,AU29,AU22)</f>
        <v>238770</v>
      </c>
      <c r="AV39" s="240">
        <f>+SUM(AV33,AV29,AV22)</f>
        <v>275622</v>
      </c>
      <c r="AW39" s="240">
        <f>+SUM(AW33,AW29,AW22)</f>
        <v>243433</v>
      </c>
      <c r="AX39" s="240">
        <f>+SUM(AX33,AX29,AX22)</f>
        <v>206643</v>
      </c>
    </row>
    <row r="40" spans="2:50" x14ac:dyDescent="0.2">
      <c r="C40" s="42"/>
      <c r="D40" s="42"/>
      <c r="E40" s="42"/>
    </row>
    <row r="41" spans="2:50" x14ac:dyDescent="0.2">
      <c r="C41" s="42"/>
      <c r="D41" s="42"/>
      <c r="E41" s="42"/>
      <c r="AP41" s="1217"/>
      <c r="AQ41" s="1217"/>
      <c r="AR41" s="1217"/>
      <c r="AS41" s="1217"/>
      <c r="AT41" s="1217"/>
      <c r="AU41" s="1217"/>
      <c r="AV41" s="1217"/>
      <c r="AW41" s="1217"/>
      <c r="AX41" s="1217"/>
    </row>
    <row r="42" spans="2:50" x14ac:dyDescent="0.2">
      <c r="C42" s="42"/>
      <c r="D42" s="42"/>
      <c r="E42" s="42"/>
      <c r="AP42" s="1217"/>
      <c r="AQ42" s="1217"/>
      <c r="AR42" s="1217"/>
      <c r="AS42" s="1217"/>
      <c r="AT42" s="1217"/>
      <c r="AU42" s="1217"/>
      <c r="AV42" s="1217"/>
      <c r="AW42" s="1217"/>
      <c r="AX42" s="1217"/>
    </row>
    <row r="43" spans="2:50" x14ac:dyDescent="0.2">
      <c r="C43" s="42"/>
      <c r="D43" s="42"/>
      <c r="E43" s="42"/>
      <c r="AP43" s="1217"/>
      <c r="AQ43" s="1217"/>
      <c r="AR43" s="1217"/>
      <c r="AS43" s="1217"/>
      <c r="AT43" s="1217"/>
      <c r="AU43" s="1217"/>
      <c r="AV43" s="1217"/>
      <c r="AW43" s="1217"/>
      <c r="AX43" s="1217"/>
    </row>
    <row r="44" spans="2:50" x14ac:dyDescent="0.2">
      <c r="AP44" s="1217"/>
      <c r="AQ44" s="1217"/>
      <c r="AR44" s="1217"/>
      <c r="AS44" s="1217"/>
      <c r="AT44" s="1217"/>
      <c r="AU44" s="1217"/>
      <c r="AV44" s="1217"/>
      <c r="AW44" s="1217"/>
      <c r="AX44" s="1217"/>
    </row>
    <row r="45" spans="2:50" x14ac:dyDescent="0.2">
      <c r="AP45" s="1217"/>
      <c r="AQ45" s="1217"/>
      <c r="AR45" s="1217"/>
      <c r="AS45" s="1217"/>
      <c r="AT45" s="1217"/>
      <c r="AU45" s="1217"/>
      <c r="AV45" s="1217"/>
      <c r="AW45" s="1217"/>
      <c r="AX45" s="1217"/>
    </row>
    <row r="46" spans="2:50" x14ac:dyDescent="0.2">
      <c r="AP46" s="1217"/>
      <c r="AQ46" s="1217"/>
      <c r="AR46" s="1217"/>
      <c r="AS46" s="1217"/>
      <c r="AT46" s="1217"/>
      <c r="AU46" s="1217"/>
      <c r="AV46" s="1217"/>
      <c r="AW46" s="1217"/>
      <c r="AX46" s="1217"/>
    </row>
    <row r="47" spans="2:50" x14ac:dyDescent="0.2">
      <c r="AP47" s="1217"/>
      <c r="AQ47" s="1217"/>
      <c r="AR47" s="1217"/>
      <c r="AS47" s="1217"/>
      <c r="AT47" s="1217"/>
      <c r="AU47" s="1217"/>
      <c r="AV47" s="1217"/>
      <c r="AW47" s="1217"/>
      <c r="AX47" s="1217"/>
    </row>
    <row r="48" spans="2:50" x14ac:dyDescent="0.2">
      <c r="AQ48" s="1217"/>
      <c r="AR48" s="1217"/>
      <c r="AS48" s="1217"/>
      <c r="AT48" s="1217"/>
      <c r="AU48" s="1217"/>
      <c r="AV48" s="1217"/>
      <c r="AW48" s="1217"/>
      <c r="AX48" s="1217"/>
    </row>
    <row r="49" spans="43:50" x14ac:dyDescent="0.2">
      <c r="AQ49" s="1217"/>
      <c r="AR49" s="1217"/>
      <c r="AS49" s="1217"/>
      <c r="AT49" s="1217"/>
      <c r="AU49" s="1217"/>
      <c r="AV49" s="1217"/>
      <c r="AW49" s="1217"/>
      <c r="AX49" s="1217"/>
    </row>
    <row r="50" spans="43:50" x14ac:dyDescent="0.2">
      <c r="AQ50" s="1217"/>
      <c r="AR50" s="1217"/>
      <c r="AS50" s="1217"/>
      <c r="AT50" s="1217"/>
      <c r="AU50" s="1217"/>
      <c r="AV50" s="1217"/>
      <c r="AW50" s="1217"/>
      <c r="AX50" s="1217"/>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U29 AU33" formula="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5">
    <tabColor rgb="FFFAB766"/>
    <pageSetUpPr autoPageBreaks="0"/>
  </sheetPr>
  <dimension ref="A1:R391"/>
  <sheetViews>
    <sheetView showGridLines="0" zoomScaleNormal="100" workbookViewId="0">
      <pane xSplit="2" ySplit="5" topLeftCell="C381" activePane="bottomRight" state="frozen"/>
      <selection activeCell="K34" sqref="K34"/>
      <selection pane="topRight" activeCell="K34" sqref="K34"/>
      <selection pane="bottomLeft" activeCell="K34" sqref="K34"/>
      <selection pane="bottomRight" activeCell="E2" sqref="E2"/>
    </sheetView>
  </sheetViews>
  <sheetFormatPr defaultColWidth="9.140625" defaultRowHeight="12.75" outlineLevelRow="1" outlineLevelCol="1" x14ac:dyDescent="0.2"/>
  <cols>
    <col min="1" max="1" width="1.5703125" customWidth="1"/>
    <col min="2" max="2" width="40.85546875" bestFit="1" customWidth="1"/>
    <col min="3" max="6" width="10.85546875" customWidth="1"/>
    <col min="7" max="8" width="11.85546875" customWidth="1"/>
    <col min="9" max="13" width="10.85546875" customWidth="1"/>
    <col min="14" max="14" width="11.5703125" customWidth="1"/>
    <col min="15" max="15" width="10.85546875" customWidth="1"/>
    <col min="16" max="16" width="10.85546875" customWidth="1" outlineLevel="1"/>
    <col min="17" max="17" width="11.42578125" customWidth="1" outlineLevel="1"/>
    <col min="18" max="18" width="10.85546875" customWidth="1"/>
    <col min="19" max="16384" width="9.140625" style="529"/>
  </cols>
  <sheetData>
    <row r="1" spans="1:18" s="605" customFormat="1" ht="7.5" customHeight="1" x14ac:dyDescent="0.2">
      <c r="A1" s="544"/>
      <c r="B1" s="544"/>
      <c r="C1" s="550"/>
      <c r="D1" s="550"/>
      <c r="E1" s="550"/>
      <c r="F1" s="550"/>
      <c r="G1" s="550"/>
      <c r="H1" s="550"/>
      <c r="I1" s="550"/>
      <c r="J1" s="550"/>
      <c r="K1" s="550"/>
      <c r="L1" s="550"/>
      <c r="M1" s="550"/>
      <c r="N1" s="550"/>
      <c r="O1" s="550"/>
      <c r="P1" s="550"/>
      <c r="Q1" s="550"/>
      <c r="R1" s="550"/>
    </row>
    <row r="2" spans="1:18" s="605" customFormat="1" ht="12.75" customHeight="1" x14ac:dyDescent="0.2">
      <c r="A2" s="544"/>
      <c r="B2" s="544"/>
      <c r="C2" s="550"/>
      <c r="D2" s="550"/>
      <c r="E2" s="550"/>
      <c r="F2" s="550"/>
      <c r="G2" s="550"/>
      <c r="H2" s="550"/>
      <c r="I2" s="550"/>
      <c r="J2" s="550"/>
      <c r="K2" s="550"/>
      <c r="L2" s="550"/>
      <c r="M2" s="550"/>
      <c r="N2" s="550"/>
      <c r="O2" s="550"/>
      <c r="P2" s="550"/>
      <c r="Q2" s="550"/>
      <c r="R2" s="550"/>
    </row>
    <row r="3" spans="1:18" ht="12.75" customHeight="1" x14ac:dyDescent="0.2">
      <c r="C3" s="28"/>
      <c r="D3" s="28"/>
      <c r="E3" s="28"/>
      <c r="F3" s="28"/>
      <c r="G3" s="28"/>
      <c r="H3" s="28"/>
      <c r="I3" s="28"/>
      <c r="J3" s="28"/>
      <c r="K3" s="28"/>
      <c r="L3" s="28"/>
      <c r="M3" s="28"/>
      <c r="N3" s="28"/>
      <c r="O3" s="28"/>
      <c r="P3" s="28"/>
      <c r="Q3" s="28"/>
      <c r="R3" s="28"/>
    </row>
    <row r="4" spans="1:18" ht="13.5" thickBot="1" x14ac:dyDescent="0.25">
      <c r="C4" s="1233"/>
      <c r="D4" s="1233"/>
      <c r="E4" s="1233"/>
      <c r="F4" s="1233"/>
      <c r="G4" s="1233"/>
      <c r="H4" s="1234" t="s">
        <v>1428</v>
      </c>
      <c r="I4" s="1234"/>
      <c r="J4" s="1234"/>
      <c r="K4" s="1234"/>
      <c r="L4" s="28"/>
      <c r="M4" s="28"/>
      <c r="N4" s="28"/>
      <c r="O4" s="28"/>
      <c r="P4" s="28"/>
      <c r="Q4" s="28"/>
      <c r="R4" s="28"/>
    </row>
    <row r="5" spans="1:18" ht="45.75" customHeight="1" x14ac:dyDescent="0.2">
      <c r="B5" s="141" t="s">
        <v>97</v>
      </c>
      <c r="C5" s="139" t="s">
        <v>31</v>
      </c>
      <c r="D5" s="139" t="s">
        <v>84</v>
      </c>
      <c r="E5" s="139" t="s">
        <v>1319</v>
      </c>
      <c r="F5" s="139" t="s">
        <v>691</v>
      </c>
      <c r="G5" s="139" t="s">
        <v>893</v>
      </c>
      <c r="H5" s="139" t="s">
        <v>894</v>
      </c>
      <c r="I5" s="139" t="s">
        <v>692</v>
      </c>
      <c r="J5" s="139" t="s">
        <v>1366</v>
      </c>
      <c r="K5" s="139" t="s">
        <v>693</v>
      </c>
      <c r="L5" s="139" t="s">
        <v>722</v>
      </c>
      <c r="M5" s="139" t="s">
        <v>32</v>
      </c>
      <c r="N5" s="139" t="s">
        <v>774</v>
      </c>
      <c r="O5" s="139" t="s">
        <v>694</v>
      </c>
      <c r="P5" s="139" t="s">
        <v>695</v>
      </c>
      <c r="Q5" s="139" t="s">
        <v>86</v>
      </c>
      <c r="R5" s="139" t="s">
        <v>181</v>
      </c>
    </row>
    <row r="6" spans="1:18" x14ac:dyDescent="0.2">
      <c r="B6" s="126" t="s">
        <v>222</v>
      </c>
      <c r="C6" s="120">
        <v>144469</v>
      </c>
      <c r="D6" s="120">
        <v>174055</v>
      </c>
      <c r="E6" s="120"/>
      <c r="F6" s="120">
        <v>760</v>
      </c>
      <c r="G6" s="120">
        <v>0</v>
      </c>
      <c r="H6" s="120">
        <v>0</v>
      </c>
      <c r="I6" s="120">
        <v>23550</v>
      </c>
      <c r="J6" s="120" t="s">
        <v>160</v>
      </c>
      <c r="K6" s="120">
        <v>128543</v>
      </c>
      <c r="L6" s="120"/>
      <c r="M6" s="120">
        <v>-342</v>
      </c>
      <c r="N6" s="120">
        <v>-46971</v>
      </c>
      <c r="O6" s="120">
        <v>0</v>
      </c>
      <c r="P6" s="120">
        <f>SUM(C6:O6)</f>
        <v>424064</v>
      </c>
      <c r="Q6" s="120">
        <v>-8889</v>
      </c>
      <c r="R6" s="120">
        <f>SUM(P6:Q6)</f>
        <v>415175</v>
      </c>
    </row>
    <row r="7" spans="1:18" x14ac:dyDescent="0.2">
      <c r="B7" s="153"/>
      <c r="C7" s="154"/>
      <c r="D7" s="154"/>
      <c r="E7" s="154"/>
      <c r="F7" s="154"/>
      <c r="G7" s="154"/>
      <c r="H7" s="154"/>
      <c r="I7" s="154"/>
      <c r="J7" s="154"/>
      <c r="K7" s="154"/>
      <c r="L7" s="154"/>
      <c r="M7" s="154"/>
      <c r="N7" s="154"/>
      <c r="O7" s="154"/>
      <c r="P7" s="154"/>
      <c r="Q7" s="154"/>
      <c r="R7" s="154"/>
    </row>
    <row r="8" spans="1:18" hidden="1" outlineLevel="1" x14ac:dyDescent="0.2">
      <c r="B8" s="129" t="s">
        <v>696</v>
      </c>
      <c r="C8" s="118">
        <v>0</v>
      </c>
      <c r="D8" s="118">
        <v>0</v>
      </c>
      <c r="E8" s="118"/>
      <c r="F8" s="118">
        <v>0</v>
      </c>
      <c r="G8" s="118"/>
      <c r="H8" s="118"/>
      <c r="I8" s="118">
        <v>0</v>
      </c>
      <c r="J8" s="118"/>
      <c r="K8" s="118">
        <v>0</v>
      </c>
      <c r="L8" s="118">
        <v>0</v>
      </c>
      <c r="M8" s="118">
        <v>0</v>
      </c>
      <c r="N8" s="118">
        <v>0</v>
      </c>
      <c r="O8" s="118">
        <v>49456</v>
      </c>
      <c r="P8" s="118">
        <f>SUM(C8:O8)</f>
        <v>49456</v>
      </c>
      <c r="Q8" s="118">
        <v>-9980</v>
      </c>
      <c r="R8" s="118">
        <f>SUM(P8:Q8)</f>
        <v>39476</v>
      </c>
    </row>
    <row r="9" spans="1:18" hidden="1" outlineLevel="1" x14ac:dyDescent="0.2">
      <c r="B9" s="129" t="s">
        <v>697</v>
      </c>
      <c r="C9" s="118">
        <v>0</v>
      </c>
      <c r="D9" s="118">
        <v>0</v>
      </c>
      <c r="E9" s="118"/>
      <c r="F9" s="118">
        <v>0</v>
      </c>
      <c r="G9" s="118"/>
      <c r="H9" s="118"/>
      <c r="I9" s="118">
        <v>0</v>
      </c>
      <c r="J9" s="118"/>
      <c r="K9" s="118">
        <v>-60000</v>
      </c>
      <c r="L9" s="118">
        <v>0</v>
      </c>
      <c r="M9" s="118">
        <v>0</v>
      </c>
      <c r="N9" s="118">
        <v>0</v>
      </c>
      <c r="O9" s="118">
        <v>0</v>
      </c>
      <c r="P9" s="118">
        <f t="shared" ref="P9:P16" si="0">SUM(C9:O9)</f>
        <v>-60000</v>
      </c>
      <c r="Q9" s="118">
        <v>0</v>
      </c>
      <c r="R9" s="118">
        <f t="shared" ref="R9:R16" si="1">SUM(P9:Q9)</f>
        <v>-60000</v>
      </c>
    </row>
    <row r="10" spans="1:18" hidden="1" outlineLevel="1" x14ac:dyDescent="0.2">
      <c r="B10" s="129" t="s">
        <v>41</v>
      </c>
      <c r="C10" s="118">
        <v>0</v>
      </c>
      <c r="D10" s="118">
        <v>0</v>
      </c>
      <c r="E10" s="118"/>
      <c r="F10" s="118">
        <v>0</v>
      </c>
      <c r="G10" s="118"/>
      <c r="H10" s="118"/>
      <c r="I10" s="118">
        <v>0</v>
      </c>
      <c r="J10" s="118"/>
      <c r="K10" s="118">
        <v>-41114.614000000001</v>
      </c>
      <c r="L10" s="118">
        <v>0</v>
      </c>
      <c r="M10" s="118">
        <v>0</v>
      </c>
      <c r="N10" s="118">
        <v>47458</v>
      </c>
      <c r="O10" s="118">
        <v>0</v>
      </c>
      <c r="P10" s="118">
        <f t="shared" si="0"/>
        <v>6343.3859999999986</v>
      </c>
      <c r="Q10" s="118">
        <v>0</v>
      </c>
      <c r="R10" s="118">
        <f t="shared" si="1"/>
        <v>6343.3859999999986</v>
      </c>
    </row>
    <row r="11" spans="1:18" hidden="1" outlineLevel="1" x14ac:dyDescent="0.2">
      <c r="B11" s="129" t="s">
        <v>698</v>
      </c>
      <c r="C11" s="118">
        <v>0</v>
      </c>
      <c r="D11" s="118">
        <v>0</v>
      </c>
      <c r="E11" s="118"/>
      <c r="F11" s="118">
        <v>0</v>
      </c>
      <c r="G11" s="118"/>
      <c r="H11" s="118"/>
      <c r="I11" s="118">
        <v>0</v>
      </c>
      <c r="J11" s="118"/>
      <c r="K11" s="118">
        <v>-18864</v>
      </c>
      <c r="L11" s="118">
        <v>0</v>
      </c>
      <c r="M11" s="118">
        <v>0</v>
      </c>
      <c r="N11" s="118">
        <v>-63</v>
      </c>
      <c r="O11" s="118">
        <v>0</v>
      </c>
      <c r="P11" s="118">
        <f t="shared" si="0"/>
        <v>-18927</v>
      </c>
      <c r="Q11" s="118">
        <v>18927</v>
      </c>
      <c r="R11" s="118">
        <f t="shared" si="1"/>
        <v>0</v>
      </c>
    </row>
    <row r="12" spans="1:18" hidden="1" outlineLevel="1" x14ac:dyDescent="0.2">
      <c r="B12" s="129" t="s">
        <v>699</v>
      </c>
      <c r="C12" s="118"/>
      <c r="D12" s="118"/>
      <c r="E12" s="118"/>
      <c r="F12" s="118"/>
      <c r="G12" s="118"/>
      <c r="H12" s="118"/>
      <c r="I12" s="118"/>
      <c r="J12" s="118"/>
      <c r="K12" s="118"/>
      <c r="L12" s="118">
        <v>0</v>
      </c>
      <c r="M12" s="118"/>
      <c r="N12" s="118"/>
      <c r="O12" s="118"/>
      <c r="P12" s="118">
        <f t="shared" si="0"/>
        <v>0</v>
      </c>
      <c r="Q12" s="118"/>
      <c r="R12" s="118">
        <f t="shared" si="1"/>
        <v>0</v>
      </c>
    </row>
    <row r="13" spans="1:18" hidden="1" outlineLevel="1" x14ac:dyDescent="0.2">
      <c r="B13" s="129" t="s">
        <v>700</v>
      </c>
      <c r="C13" s="118">
        <v>0</v>
      </c>
      <c r="D13" s="118">
        <v>0</v>
      </c>
      <c r="E13" s="118"/>
      <c r="F13" s="118">
        <v>0</v>
      </c>
      <c r="G13" s="118"/>
      <c r="H13" s="118"/>
      <c r="I13" s="118">
        <v>0</v>
      </c>
      <c r="J13" s="118"/>
      <c r="K13" s="118">
        <v>46982</v>
      </c>
      <c r="L13" s="118">
        <v>0</v>
      </c>
      <c r="M13" s="118">
        <v>0</v>
      </c>
      <c r="N13" s="118">
        <v>0</v>
      </c>
      <c r="O13" s="118">
        <v>-46982</v>
      </c>
      <c r="P13" s="118">
        <f t="shared" si="0"/>
        <v>0</v>
      </c>
      <c r="Q13" s="118">
        <v>0</v>
      </c>
      <c r="R13" s="118">
        <f t="shared" si="1"/>
        <v>0</v>
      </c>
    </row>
    <row r="14" spans="1:18" hidden="1" outlineLevel="1" x14ac:dyDescent="0.2">
      <c r="B14" s="129" t="s">
        <v>701</v>
      </c>
      <c r="C14" s="118">
        <v>0</v>
      </c>
      <c r="D14" s="118">
        <v>0</v>
      </c>
      <c r="E14" s="118"/>
      <c r="F14" s="118">
        <v>0</v>
      </c>
      <c r="G14" s="118"/>
      <c r="H14" s="118"/>
      <c r="I14" s="118">
        <v>2474</v>
      </c>
      <c r="J14" s="118"/>
      <c r="K14" s="118">
        <v>0</v>
      </c>
      <c r="L14" s="118">
        <v>0</v>
      </c>
      <c r="M14" s="118">
        <v>0</v>
      </c>
      <c r="N14" s="118">
        <v>0</v>
      </c>
      <c r="O14" s="118">
        <v>-2474</v>
      </c>
      <c r="P14" s="118">
        <f t="shared" si="0"/>
        <v>0</v>
      </c>
      <c r="Q14" s="118">
        <v>0</v>
      </c>
      <c r="R14" s="118">
        <f t="shared" si="1"/>
        <v>0</v>
      </c>
    </row>
    <row r="15" spans="1:18" hidden="1" outlineLevel="1" x14ac:dyDescent="0.2">
      <c r="B15" s="129" t="s">
        <v>702</v>
      </c>
      <c r="C15" s="118">
        <v>0</v>
      </c>
      <c r="D15" s="118">
        <v>0</v>
      </c>
      <c r="E15" s="118"/>
      <c r="F15" s="118">
        <v>0</v>
      </c>
      <c r="G15" s="118"/>
      <c r="H15" s="118"/>
      <c r="I15" s="118">
        <v>0</v>
      </c>
      <c r="J15" s="118"/>
      <c r="K15" s="118">
        <v>0</v>
      </c>
      <c r="L15" s="118">
        <v>0</v>
      </c>
      <c r="M15" s="118">
        <v>0</v>
      </c>
      <c r="N15" s="118">
        <v>-361</v>
      </c>
      <c r="O15" s="118">
        <v>0</v>
      </c>
      <c r="P15" s="118">
        <f t="shared" si="0"/>
        <v>-361</v>
      </c>
      <c r="Q15" s="118">
        <v>0</v>
      </c>
      <c r="R15" s="118">
        <f t="shared" si="1"/>
        <v>-361</v>
      </c>
    </row>
    <row r="16" spans="1:18" hidden="1" outlineLevel="1" x14ac:dyDescent="0.2">
      <c r="B16" s="129" t="s">
        <v>703</v>
      </c>
      <c r="C16" s="118">
        <v>0</v>
      </c>
      <c r="D16" s="118">
        <v>0</v>
      </c>
      <c r="E16" s="118"/>
      <c r="F16" s="118">
        <v>965</v>
      </c>
      <c r="G16" s="118"/>
      <c r="H16" s="118"/>
      <c r="I16" s="118">
        <v>0</v>
      </c>
      <c r="J16" s="118"/>
      <c r="K16" s="118">
        <v>0</v>
      </c>
      <c r="L16" s="118">
        <v>0</v>
      </c>
      <c r="M16" s="118">
        <v>0</v>
      </c>
      <c r="N16" s="118">
        <v>0</v>
      </c>
      <c r="O16" s="118">
        <v>0</v>
      </c>
      <c r="P16" s="118">
        <f t="shared" si="0"/>
        <v>965</v>
      </c>
      <c r="Q16" s="118">
        <v>0</v>
      </c>
      <c r="R16" s="118">
        <f t="shared" si="1"/>
        <v>965</v>
      </c>
    </row>
    <row r="17" spans="2:18" collapsed="1" x14ac:dyDescent="0.2">
      <c r="B17" s="126" t="s">
        <v>171</v>
      </c>
      <c r="C17" s="120">
        <f>SUM(C6:C16)</f>
        <v>144469</v>
      </c>
      <c r="D17" s="120">
        <f t="shared" ref="D17:Q17" si="2">SUM(D6:D16)</f>
        <v>174055</v>
      </c>
      <c r="E17" s="120"/>
      <c r="F17" s="120">
        <f t="shared" si="2"/>
        <v>1725</v>
      </c>
      <c r="G17" s="120">
        <f>SUM(G6:G16)</f>
        <v>0</v>
      </c>
      <c r="H17" s="120">
        <v>0</v>
      </c>
      <c r="I17" s="120">
        <f t="shared" si="2"/>
        <v>26024</v>
      </c>
      <c r="J17" s="120" t="s">
        <v>160</v>
      </c>
      <c r="K17" s="120">
        <f t="shared" si="2"/>
        <v>55546.385999999999</v>
      </c>
      <c r="L17" s="120">
        <f t="shared" si="2"/>
        <v>0</v>
      </c>
      <c r="M17" s="120">
        <f t="shared" si="2"/>
        <v>-342</v>
      </c>
      <c r="N17" s="120">
        <f t="shared" si="2"/>
        <v>63</v>
      </c>
      <c r="O17" s="120">
        <f t="shared" si="2"/>
        <v>0</v>
      </c>
      <c r="P17" s="120">
        <f t="shared" si="2"/>
        <v>401540.386</v>
      </c>
      <c r="Q17" s="120">
        <f t="shared" si="2"/>
        <v>58</v>
      </c>
      <c r="R17" s="120">
        <f>SUM(R6:R16)</f>
        <v>401598.386</v>
      </c>
    </row>
    <row r="18" spans="2:18" x14ac:dyDescent="0.2">
      <c r="B18" s="153"/>
      <c r="C18" s="154"/>
      <c r="D18" s="154"/>
      <c r="E18" s="154"/>
      <c r="F18" s="154"/>
      <c r="G18" s="154"/>
      <c r="H18" s="154"/>
      <c r="I18" s="154"/>
      <c r="J18" s="154"/>
      <c r="K18" s="154"/>
      <c r="L18" s="154"/>
      <c r="M18" s="154"/>
      <c r="N18" s="154"/>
      <c r="O18" s="154"/>
      <c r="P18" s="154"/>
      <c r="Q18" s="154"/>
      <c r="R18" s="154"/>
    </row>
    <row r="19" spans="2:18" hidden="1" outlineLevel="1" x14ac:dyDescent="0.2">
      <c r="B19" s="129" t="s">
        <v>704</v>
      </c>
      <c r="C19" s="118">
        <v>0</v>
      </c>
      <c r="D19" s="118">
        <v>0</v>
      </c>
      <c r="E19" s="118"/>
      <c r="F19" s="118">
        <v>0</v>
      </c>
      <c r="G19" s="118">
        <v>0</v>
      </c>
      <c r="H19" s="118"/>
      <c r="I19" s="118">
        <v>0</v>
      </c>
      <c r="J19" s="118"/>
      <c r="K19" s="118"/>
      <c r="L19" s="118">
        <v>0</v>
      </c>
      <c r="M19" s="118">
        <v>0</v>
      </c>
      <c r="N19" s="118">
        <v>0</v>
      </c>
      <c r="O19" s="118">
        <v>-22962</v>
      </c>
      <c r="P19" s="118">
        <f t="shared" ref="P19:P24" si="3">SUM(C19:O19)</f>
        <v>-22962</v>
      </c>
      <c r="Q19" s="118">
        <v>17</v>
      </c>
      <c r="R19" s="118">
        <f t="shared" ref="R19:R24" si="4">SUM(P19:Q19)</f>
        <v>-22945</v>
      </c>
    </row>
    <row r="20" spans="2:18" hidden="1" outlineLevel="1" x14ac:dyDescent="0.2">
      <c r="B20" s="129" t="s">
        <v>431</v>
      </c>
      <c r="C20" s="118">
        <v>0</v>
      </c>
      <c r="D20" s="118">
        <v>0</v>
      </c>
      <c r="E20" s="118"/>
      <c r="F20" s="118">
        <v>0</v>
      </c>
      <c r="G20" s="118">
        <v>0</v>
      </c>
      <c r="H20" s="118"/>
      <c r="I20" s="118">
        <v>0</v>
      </c>
      <c r="J20" s="118"/>
      <c r="K20" s="118">
        <v>-16982</v>
      </c>
      <c r="L20" s="118">
        <v>0</v>
      </c>
      <c r="M20" s="118">
        <v>0</v>
      </c>
      <c r="N20" s="118">
        <v>0</v>
      </c>
      <c r="O20" s="118">
        <v>0</v>
      </c>
      <c r="P20" s="118">
        <f t="shared" si="3"/>
        <v>-16982</v>
      </c>
      <c r="Q20" s="118">
        <v>0</v>
      </c>
      <c r="R20" s="118">
        <f t="shared" si="4"/>
        <v>-16982</v>
      </c>
    </row>
    <row r="21" spans="2:18" hidden="1" outlineLevel="1" x14ac:dyDescent="0.2">
      <c r="B21" s="129" t="s">
        <v>705</v>
      </c>
      <c r="C21" s="118">
        <v>0</v>
      </c>
      <c r="D21" s="118">
        <v>0</v>
      </c>
      <c r="E21" s="118"/>
      <c r="F21" s="118">
        <v>0</v>
      </c>
      <c r="G21" s="118">
        <v>0</v>
      </c>
      <c r="H21" s="118"/>
      <c r="I21" s="118">
        <v>0</v>
      </c>
      <c r="J21" s="118"/>
      <c r="K21" s="118">
        <v>-22962</v>
      </c>
      <c r="L21" s="118">
        <v>0</v>
      </c>
      <c r="M21" s="118">
        <v>0</v>
      </c>
      <c r="N21" s="118">
        <v>0</v>
      </c>
      <c r="O21" s="118">
        <v>22962</v>
      </c>
      <c r="P21" s="118">
        <f t="shared" si="3"/>
        <v>0</v>
      </c>
      <c r="Q21" s="118">
        <v>0</v>
      </c>
      <c r="R21" s="118">
        <f t="shared" si="4"/>
        <v>0</v>
      </c>
    </row>
    <row r="22" spans="2:18" hidden="1" outlineLevel="1" x14ac:dyDescent="0.2">
      <c r="B22" s="129" t="s">
        <v>702</v>
      </c>
      <c r="C22" s="118">
        <v>0</v>
      </c>
      <c r="D22" s="118">
        <v>0</v>
      </c>
      <c r="E22" s="118"/>
      <c r="F22" s="118">
        <v>0</v>
      </c>
      <c r="G22" s="118">
        <v>0</v>
      </c>
      <c r="H22" s="118"/>
      <c r="I22" s="118">
        <v>0</v>
      </c>
      <c r="J22" s="118"/>
      <c r="K22" s="118">
        <v>0</v>
      </c>
      <c r="L22" s="118">
        <v>0</v>
      </c>
      <c r="M22" s="118">
        <v>0</v>
      </c>
      <c r="N22" s="118">
        <v>69</v>
      </c>
      <c r="O22" s="118">
        <v>0</v>
      </c>
      <c r="P22" s="118">
        <f t="shared" si="3"/>
        <v>69</v>
      </c>
      <c r="Q22" s="118">
        <v>0</v>
      </c>
      <c r="R22" s="118">
        <f t="shared" si="4"/>
        <v>69</v>
      </c>
    </row>
    <row r="23" spans="2:18" hidden="1" outlineLevel="1" x14ac:dyDescent="0.2">
      <c r="B23" s="129" t="s">
        <v>703</v>
      </c>
      <c r="C23" s="118">
        <v>0</v>
      </c>
      <c r="D23" s="118">
        <v>0</v>
      </c>
      <c r="E23" s="118"/>
      <c r="F23" s="118">
        <v>432</v>
      </c>
      <c r="G23" s="118">
        <v>432</v>
      </c>
      <c r="H23" s="118"/>
      <c r="I23" s="118">
        <v>0</v>
      </c>
      <c r="J23" s="118"/>
      <c r="K23" s="118">
        <v>0</v>
      </c>
      <c r="L23" s="118">
        <v>0</v>
      </c>
      <c r="M23" s="118">
        <v>0</v>
      </c>
      <c r="N23" s="118">
        <v>0</v>
      </c>
      <c r="O23" s="118">
        <v>0</v>
      </c>
      <c r="P23" s="118">
        <f t="shared" si="3"/>
        <v>864</v>
      </c>
      <c r="Q23" s="118">
        <v>0</v>
      </c>
      <c r="R23" s="118">
        <f t="shared" si="4"/>
        <v>864</v>
      </c>
    </row>
    <row r="24" spans="2:18" collapsed="1" x14ac:dyDescent="0.2">
      <c r="B24" s="126" t="s">
        <v>167</v>
      </c>
      <c r="C24" s="120">
        <f>SUM(C17:C23)</f>
        <v>144469</v>
      </c>
      <c r="D24" s="120">
        <f>SUM(D17:D23)</f>
        <v>174055</v>
      </c>
      <c r="E24" s="120"/>
      <c r="F24" s="120">
        <f>SUM(F17:F23)</f>
        <v>2157</v>
      </c>
      <c r="G24" s="120">
        <f>SUM(G17:G23)</f>
        <v>432</v>
      </c>
      <c r="H24" s="120">
        <v>0</v>
      </c>
      <c r="I24" s="120">
        <f t="shared" ref="I24:O24" si="5">SUM(I17:I23)</f>
        <v>26024</v>
      </c>
      <c r="J24" s="120" t="s">
        <v>160</v>
      </c>
      <c r="K24" s="120">
        <f t="shared" si="5"/>
        <v>15602.385999999999</v>
      </c>
      <c r="L24" s="120">
        <f t="shared" si="5"/>
        <v>0</v>
      </c>
      <c r="M24" s="120">
        <f t="shared" si="5"/>
        <v>-342</v>
      </c>
      <c r="N24" s="120">
        <f t="shared" si="5"/>
        <v>132</v>
      </c>
      <c r="O24" s="120">
        <f t="shared" si="5"/>
        <v>0</v>
      </c>
      <c r="P24" s="120">
        <f t="shared" si="3"/>
        <v>362529.386</v>
      </c>
      <c r="Q24" s="120">
        <f>SUM(Q17:Q23)</f>
        <v>75</v>
      </c>
      <c r="R24" s="120">
        <f t="shared" si="4"/>
        <v>362604.386</v>
      </c>
    </row>
    <row r="25" spans="2:18" x14ac:dyDescent="0.2">
      <c r="B25" s="153"/>
      <c r="C25" s="154"/>
      <c r="D25" s="154"/>
      <c r="E25" s="154"/>
      <c r="F25" s="154"/>
      <c r="G25" s="154"/>
      <c r="H25" s="154"/>
      <c r="I25" s="154"/>
      <c r="J25" s="154"/>
      <c r="K25" s="154"/>
      <c r="L25" s="154"/>
      <c r="M25" s="154"/>
      <c r="N25" s="154"/>
      <c r="O25" s="154"/>
      <c r="P25" s="154"/>
      <c r="Q25" s="154"/>
      <c r="R25" s="154"/>
    </row>
    <row r="26" spans="2:18" hidden="1" outlineLevel="1" x14ac:dyDescent="0.2">
      <c r="B26" s="129" t="s">
        <v>696</v>
      </c>
      <c r="C26" s="118">
        <v>0</v>
      </c>
      <c r="D26" s="118">
        <v>0</v>
      </c>
      <c r="E26" s="118"/>
      <c r="F26" s="118">
        <v>0</v>
      </c>
      <c r="G26" s="118">
        <v>0</v>
      </c>
      <c r="H26" s="118"/>
      <c r="I26" s="118">
        <v>0</v>
      </c>
      <c r="J26" s="118"/>
      <c r="K26" s="118">
        <v>0</v>
      </c>
      <c r="L26" s="118"/>
      <c r="M26" s="118">
        <v>0</v>
      </c>
      <c r="N26" s="118">
        <v>0</v>
      </c>
      <c r="O26" s="118">
        <v>9930</v>
      </c>
      <c r="P26" s="118">
        <f>SUM(C26:O26)</f>
        <v>9930</v>
      </c>
      <c r="Q26" s="118">
        <v>0</v>
      </c>
      <c r="R26" s="118">
        <f t="shared" ref="R26:R33" si="6">SUM(P26:Q26)</f>
        <v>9930</v>
      </c>
    </row>
    <row r="27" spans="2:18" hidden="1" outlineLevel="1" x14ac:dyDescent="0.2">
      <c r="B27" s="129" t="s">
        <v>431</v>
      </c>
      <c r="C27" s="118">
        <v>0</v>
      </c>
      <c r="D27" s="118">
        <v>0</v>
      </c>
      <c r="E27" s="118"/>
      <c r="F27" s="118">
        <v>0</v>
      </c>
      <c r="G27" s="118">
        <v>0</v>
      </c>
      <c r="H27" s="118"/>
      <c r="I27" s="118">
        <v>0</v>
      </c>
      <c r="J27" s="118"/>
      <c r="K27" s="118">
        <v>-5000</v>
      </c>
      <c r="L27" s="118"/>
      <c r="M27" s="118">
        <v>0</v>
      </c>
      <c r="N27" s="118">
        <v>0</v>
      </c>
      <c r="O27" s="118">
        <v>0</v>
      </c>
      <c r="P27" s="118">
        <f t="shared" ref="P27:P33" si="7">SUM(C27:O27)</f>
        <v>-5000</v>
      </c>
      <c r="Q27" s="118">
        <v>0</v>
      </c>
      <c r="R27" s="118">
        <f t="shared" si="6"/>
        <v>-5000</v>
      </c>
    </row>
    <row r="28" spans="2:18" hidden="1" outlineLevel="1" x14ac:dyDescent="0.2">
      <c r="B28" s="129" t="s">
        <v>698</v>
      </c>
      <c r="C28" s="118">
        <v>0</v>
      </c>
      <c r="D28" s="118">
        <v>0</v>
      </c>
      <c r="E28" s="118"/>
      <c r="F28" s="118">
        <v>0</v>
      </c>
      <c r="G28" s="118">
        <v>0</v>
      </c>
      <c r="H28" s="118"/>
      <c r="I28" s="118">
        <v>0</v>
      </c>
      <c r="J28" s="118"/>
      <c r="K28" s="118">
        <v>0</v>
      </c>
      <c r="L28" s="118"/>
      <c r="M28" s="118">
        <v>0</v>
      </c>
      <c r="N28" s="118">
        <v>0</v>
      </c>
      <c r="O28" s="118">
        <v>0</v>
      </c>
      <c r="P28" s="118">
        <f t="shared" si="7"/>
        <v>0</v>
      </c>
      <c r="Q28" s="118">
        <v>-75</v>
      </c>
      <c r="R28" s="118">
        <f t="shared" si="6"/>
        <v>-75</v>
      </c>
    </row>
    <row r="29" spans="2:18" hidden="1" outlineLevel="1" x14ac:dyDescent="0.2">
      <c r="B29" s="129" t="s">
        <v>702</v>
      </c>
      <c r="C29" s="118">
        <v>0</v>
      </c>
      <c r="D29" s="118">
        <v>0</v>
      </c>
      <c r="E29" s="118"/>
      <c r="F29" s="118">
        <v>0</v>
      </c>
      <c r="G29" s="118">
        <v>0</v>
      </c>
      <c r="H29" s="118"/>
      <c r="I29" s="118">
        <v>0</v>
      </c>
      <c r="J29" s="118"/>
      <c r="K29" s="118">
        <v>0</v>
      </c>
      <c r="L29" s="118"/>
      <c r="M29" s="118">
        <v>0</v>
      </c>
      <c r="N29" s="118">
        <v>449</v>
      </c>
      <c r="O29" s="118">
        <v>0</v>
      </c>
      <c r="P29" s="118">
        <f t="shared" si="7"/>
        <v>449</v>
      </c>
      <c r="Q29" s="118">
        <v>0</v>
      </c>
      <c r="R29" s="118">
        <f t="shared" si="6"/>
        <v>449</v>
      </c>
    </row>
    <row r="30" spans="2:18" hidden="1" outlineLevel="1" x14ac:dyDescent="0.2">
      <c r="B30" s="129" t="s">
        <v>703</v>
      </c>
      <c r="C30" s="118">
        <v>0</v>
      </c>
      <c r="D30" s="118">
        <v>0</v>
      </c>
      <c r="E30" s="118"/>
      <c r="F30" s="118">
        <v>-2113</v>
      </c>
      <c r="G30" s="118">
        <v>-2113</v>
      </c>
      <c r="H30" s="118"/>
      <c r="I30" s="118">
        <v>0</v>
      </c>
      <c r="J30" s="118"/>
      <c r="K30" s="118">
        <v>0</v>
      </c>
      <c r="L30" s="118"/>
      <c r="M30" s="118">
        <v>0</v>
      </c>
      <c r="N30" s="118">
        <v>0</v>
      </c>
      <c r="O30" s="118">
        <v>0</v>
      </c>
      <c r="P30" s="118">
        <f t="shared" si="7"/>
        <v>-4226</v>
      </c>
      <c r="Q30" s="118">
        <v>0</v>
      </c>
      <c r="R30" s="118">
        <f t="shared" si="6"/>
        <v>-4226</v>
      </c>
    </row>
    <row r="31" spans="2:18" hidden="1" outlineLevel="1" x14ac:dyDescent="0.2">
      <c r="B31" s="129" t="s">
        <v>699</v>
      </c>
      <c r="C31" s="118"/>
      <c r="D31" s="118"/>
      <c r="E31" s="118"/>
      <c r="F31" s="118"/>
      <c r="G31" s="118"/>
      <c r="H31" s="118"/>
      <c r="I31" s="118"/>
      <c r="J31" s="118"/>
      <c r="K31" s="118"/>
      <c r="L31" s="118"/>
      <c r="M31" s="118"/>
      <c r="N31" s="118"/>
      <c r="O31" s="118"/>
      <c r="P31" s="118">
        <f t="shared" si="7"/>
        <v>0</v>
      </c>
      <c r="Q31" s="118"/>
      <c r="R31" s="118">
        <f t="shared" si="6"/>
        <v>0</v>
      </c>
    </row>
    <row r="32" spans="2:18" hidden="1" outlineLevel="1" x14ac:dyDescent="0.2">
      <c r="B32" s="129" t="s">
        <v>700</v>
      </c>
      <c r="C32" s="118">
        <v>0</v>
      </c>
      <c r="D32" s="118">
        <v>0</v>
      </c>
      <c r="E32" s="118"/>
      <c r="F32" s="118">
        <v>0</v>
      </c>
      <c r="G32" s="118">
        <v>0</v>
      </c>
      <c r="H32" s="118"/>
      <c r="I32" s="118">
        <v>0</v>
      </c>
      <c r="J32" s="118"/>
      <c r="K32" s="118">
        <v>9432</v>
      </c>
      <c r="L32" s="118"/>
      <c r="M32" s="118">
        <v>0</v>
      </c>
      <c r="N32" s="118">
        <v>0</v>
      </c>
      <c r="O32" s="118">
        <v>-9432</v>
      </c>
      <c r="P32" s="118">
        <f t="shared" si="7"/>
        <v>0</v>
      </c>
      <c r="Q32" s="118">
        <v>0</v>
      </c>
      <c r="R32" s="118">
        <f t="shared" si="6"/>
        <v>0</v>
      </c>
    </row>
    <row r="33" spans="2:18" hidden="1" outlineLevel="1" x14ac:dyDescent="0.2">
      <c r="B33" s="129" t="s">
        <v>701</v>
      </c>
      <c r="C33" s="118">
        <v>0</v>
      </c>
      <c r="D33" s="118">
        <v>0</v>
      </c>
      <c r="E33" s="118"/>
      <c r="F33" s="118">
        <v>0</v>
      </c>
      <c r="G33" s="118">
        <v>0</v>
      </c>
      <c r="H33" s="118"/>
      <c r="I33" s="118">
        <v>498</v>
      </c>
      <c r="J33" s="118"/>
      <c r="K33" s="118">
        <v>0</v>
      </c>
      <c r="L33" s="118"/>
      <c r="M33" s="118">
        <v>0</v>
      </c>
      <c r="N33" s="118">
        <v>0</v>
      </c>
      <c r="O33" s="118">
        <v>-498</v>
      </c>
      <c r="P33" s="118">
        <f t="shared" si="7"/>
        <v>0</v>
      </c>
      <c r="Q33" s="118">
        <v>0</v>
      </c>
      <c r="R33" s="118">
        <f t="shared" si="6"/>
        <v>0</v>
      </c>
    </row>
    <row r="34" spans="2:18" collapsed="1" x14ac:dyDescent="0.2">
      <c r="B34" s="126" t="s">
        <v>412</v>
      </c>
      <c r="C34" s="120">
        <f>SUM(C24:C33)</f>
        <v>144469</v>
      </c>
      <c r="D34" s="120">
        <f t="shared" ref="D34:O34" si="8">SUM(D24:D33)</f>
        <v>174055</v>
      </c>
      <c r="E34" s="120"/>
      <c r="F34" s="120">
        <f t="shared" si="8"/>
        <v>44</v>
      </c>
      <c r="G34" s="120">
        <f>SUM(G24:G33)</f>
        <v>-1681</v>
      </c>
      <c r="H34" s="120">
        <v>0</v>
      </c>
      <c r="I34" s="120">
        <f t="shared" si="8"/>
        <v>26522</v>
      </c>
      <c r="J34" s="120" t="s">
        <v>160</v>
      </c>
      <c r="K34" s="120">
        <f t="shared" si="8"/>
        <v>20034.385999999999</v>
      </c>
      <c r="L34" s="120">
        <f t="shared" si="8"/>
        <v>0</v>
      </c>
      <c r="M34" s="120">
        <f t="shared" si="8"/>
        <v>-342</v>
      </c>
      <c r="N34" s="120">
        <f t="shared" si="8"/>
        <v>581</v>
      </c>
      <c r="O34" s="120">
        <f t="shared" si="8"/>
        <v>0</v>
      </c>
      <c r="P34" s="120">
        <f>SUM(C34:O34)</f>
        <v>363682.386</v>
      </c>
      <c r="Q34" s="120">
        <v>0</v>
      </c>
      <c r="R34" s="120">
        <f>SUM(P34:Q34)</f>
        <v>363682.386</v>
      </c>
    </row>
    <row r="36" spans="2:18" hidden="1" outlineLevel="1" x14ac:dyDescent="0.2">
      <c r="B36" s="129" t="s">
        <v>706</v>
      </c>
      <c r="C36" s="118">
        <v>0</v>
      </c>
      <c r="D36" s="118">
        <v>0</v>
      </c>
      <c r="E36" s="118"/>
      <c r="F36" s="118">
        <v>0</v>
      </c>
      <c r="G36" s="118">
        <v>0</v>
      </c>
      <c r="H36" s="118"/>
      <c r="I36" s="118">
        <v>0</v>
      </c>
      <c r="J36" s="118"/>
      <c r="K36" s="118">
        <v>0</v>
      </c>
      <c r="L36" s="118">
        <v>0</v>
      </c>
      <c r="M36" s="118">
        <v>0</v>
      </c>
      <c r="N36" s="118">
        <v>0</v>
      </c>
      <c r="O36" s="118">
        <v>-1903</v>
      </c>
      <c r="P36" s="118">
        <f>SUM(C36:O36)</f>
        <v>-1903</v>
      </c>
      <c r="Q36" s="118">
        <v>0</v>
      </c>
      <c r="R36" s="118">
        <f>SUM(P36:Q36)</f>
        <v>-1903</v>
      </c>
    </row>
    <row r="37" spans="2:18" hidden="1" outlineLevel="1" x14ac:dyDescent="0.2">
      <c r="B37" s="129" t="s">
        <v>702</v>
      </c>
      <c r="C37" s="118">
        <v>0</v>
      </c>
      <c r="D37" s="118">
        <v>0</v>
      </c>
      <c r="E37" s="118"/>
      <c r="F37" s="118">
        <v>0</v>
      </c>
      <c r="G37" s="118">
        <v>0</v>
      </c>
      <c r="H37" s="118"/>
      <c r="I37" s="118">
        <v>0</v>
      </c>
      <c r="J37" s="118"/>
      <c r="K37" s="118">
        <v>0</v>
      </c>
      <c r="L37" s="118">
        <v>0</v>
      </c>
      <c r="M37" s="118">
        <v>0</v>
      </c>
      <c r="N37" s="118">
        <v>-678</v>
      </c>
      <c r="O37" s="118">
        <v>0</v>
      </c>
      <c r="P37" s="118">
        <f>SUM(C37:O37)</f>
        <v>-678</v>
      </c>
      <c r="Q37" s="118">
        <v>0</v>
      </c>
      <c r="R37" s="118">
        <f>SUM(P37:Q37)</f>
        <v>-678</v>
      </c>
    </row>
    <row r="38" spans="2:18" collapsed="1" x14ac:dyDescent="0.2">
      <c r="B38" s="126" t="s">
        <v>475</v>
      </c>
      <c r="C38" s="120">
        <f>SUM(C34:C37)</f>
        <v>144469</v>
      </c>
      <c r="D38" s="120">
        <f>SUM(D34:D37)</f>
        <v>174055</v>
      </c>
      <c r="E38" s="120"/>
      <c r="F38" s="120">
        <f>SUM(F34:F37)</f>
        <v>44</v>
      </c>
      <c r="G38" s="120">
        <f>SUM(G34:G37)</f>
        <v>-1681</v>
      </c>
      <c r="H38" s="120">
        <v>0</v>
      </c>
      <c r="I38" s="120">
        <f t="shared" ref="I38:O38" si="9">SUM(I34:I37)</f>
        <v>26522</v>
      </c>
      <c r="J38" s="120" t="s">
        <v>160</v>
      </c>
      <c r="K38" s="120">
        <f t="shared" si="9"/>
        <v>20034.385999999999</v>
      </c>
      <c r="L38" s="120">
        <f t="shared" si="9"/>
        <v>0</v>
      </c>
      <c r="M38" s="120">
        <f t="shared" si="9"/>
        <v>-342</v>
      </c>
      <c r="N38" s="120">
        <f t="shared" si="9"/>
        <v>-97</v>
      </c>
      <c r="O38" s="120">
        <f t="shared" si="9"/>
        <v>-1903</v>
      </c>
      <c r="P38" s="120">
        <f>SUM(C38:O38)</f>
        <v>361101.386</v>
      </c>
      <c r="Q38" s="120">
        <v>0</v>
      </c>
      <c r="R38" s="120">
        <f>SUM(P38:Q38)</f>
        <v>361101.386</v>
      </c>
    </row>
    <row r="40" spans="2:18" hidden="1" outlineLevel="1" x14ac:dyDescent="0.2">
      <c r="B40" s="129" t="s">
        <v>706</v>
      </c>
      <c r="C40" s="118">
        <v>0</v>
      </c>
      <c r="D40" s="118">
        <v>0</v>
      </c>
      <c r="E40" s="118"/>
      <c r="F40" s="118">
        <v>0</v>
      </c>
      <c r="G40" s="118">
        <v>0</v>
      </c>
      <c r="H40" s="118"/>
      <c r="I40" s="118">
        <v>0</v>
      </c>
      <c r="J40" s="118"/>
      <c r="K40" s="118">
        <v>0</v>
      </c>
      <c r="L40" s="118">
        <v>0</v>
      </c>
      <c r="M40" s="118">
        <v>0</v>
      </c>
      <c r="N40" s="118">
        <v>0</v>
      </c>
      <c r="O40" s="118">
        <f>-2591-O36</f>
        <v>-688</v>
      </c>
      <c r="P40" s="118">
        <f>SUM(C40:O40)</f>
        <v>-688</v>
      </c>
      <c r="Q40" s="118">
        <v>0</v>
      </c>
      <c r="R40" s="118">
        <f>SUM(P40:Q40)</f>
        <v>-688</v>
      </c>
    </row>
    <row r="41" spans="2:18" hidden="1" outlineLevel="1" x14ac:dyDescent="0.2">
      <c r="B41" s="129" t="s">
        <v>702</v>
      </c>
      <c r="C41" s="118">
        <v>0</v>
      </c>
      <c r="D41" s="118">
        <v>0</v>
      </c>
      <c r="E41" s="118"/>
      <c r="F41" s="118">
        <v>0</v>
      </c>
      <c r="G41" s="118">
        <v>0</v>
      </c>
      <c r="H41" s="118"/>
      <c r="I41" s="118">
        <v>0</v>
      </c>
      <c r="J41" s="118"/>
      <c r="K41" s="118">
        <v>0</v>
      </c>
      <c r="L41" s="118">
        <v>0</v>
      </c>
      <c r="M41" s="118">
        <v>0</v>
      </c>
      <c r="N41" s="118">
        <f>-674+678</f>
        <v>4</v>
      </c>
      <c r="O41" s="118">
        <v>0</v>
      </c>
      <c r="P41" s="118">
        <f>SUM(C41:O41)</f>
        <v>4</v>
      </c>
      <c r="Q41" s="118">
        <v>0</v>
      </c>
      <c r="R41" s="118">
        <f>SUM(P41:Q41)</f>
        <v>4</v>
      </c>
    </row>
    <row r="42" spans="2:18" hidden="1" outlineLevel="1" x14ac:dyDescent="0.2">
      <c r="B42" s="129" t="s">
        <v>703</v>
      </c>
      <c r="C42" s="118">
        <v>0</v>
      </c>
      <c r="D42" s="118">
        <v>0</v>
      </c>
      <c r="E42" s="118"/>
      <c r="F42" s="118">
        <v>-44</v>
      </c>
      <c r="G42" s="118">
        <v>-44</v>
      </c>
      <c r="H42" s="118"/>
      <c r="I42" s="118">
        <v>0</v>
      </c>
      <c r="J42" s="118"/>
      <c r="K42" s="118">
        <v>0</v>
      </c>
      <c r="L42" s="118">
        <v>0</v>
      </c>
      <c r="M42" s="118">
        <v>0</v>
      </c>
      <c r="N42" s="118">
        <v>0</v>
      </c>
      <c r="O42" s="118">
        <v>0</v>
      </c>
      <c r="P42" s="118">
        <f>SUM(C42:O42)</f>
        <v>-88</v>
      </c>
      <c r="Q42" s="118">
        <v>0</v>
      </c>
      <c r="R42" s="118">
        <f>SUM(P42:Q42)</f>
        <v>-88</v>
      </c>
    </row>
    <row r="43" spans="2:18" collapsed="1" x14ac:dyDescent="0.2">
      <c r="B43" s="126" t="s">
        <v>502</v>
      </c>
      <c r="C43" s="120">
        <f>SUM(C38:C42)</f>
        <v>144469</v>
      </c>
      <c r="D43" s="120">
        <f>SUM(D38:D42)</f>
        <v>174055</v>
      </c>
      <c r="E43" s="120"/>
      <c r="F43" s="120">
        <f>SUM(F38:F42)</f>
        <v>0</v>
      </c>
      <c r="G43" s="120">
        <f>SUM(G38:G42)</f>
        <v>-1725</v>
      </c>
      <c r="H43" s="120">
        <v>0</v>
      </c>
      <c r="I43" s="120">
        <f t="shared" ref="I43:O43" si="10">SUM(I38:I42)</f>
        <v>26522</v>
      </c>
      <c r="J43" s="120" t="s">
        <v>160</v>
      </c>
      <c r="K43" s="120">
        <f t="shared" si="10"/>
        <v>20034.385999999999</v>
      </c>
      <c r="L43" s="120">
        <f t="shared" si="10"/>
        <v>0</v>
      </c>
      <c r="M43" s="120">
        <f t="shared" si="10"/>
        <v>-342</v>
      </c>
      <c r="N43" s="120">
        <f t="shared" si="10"/>
        <v>-93</v>
      </c>
      <c r="O43" s="120">
        <f t="shared" si="10"/>
        <v>-2591</v>
      </c>
      <c r="P43" s="120">
        <f>SUM(C43:O43)</f>
        <v>360329.386</v>
      </c>
      <c r="Q43" s="120">
        <f>SUM(Q38:Q42)</f>
        <v>0</v>
      </c>
      <c r="R43" s="120">
        <f>SUM(P43:Q43)</f>
        <v>360329.386</v>
      </c>
    </row>
    <row r="45" spans="2:18" hidden="1" outlineLevel="1" x14ac:dyDescent="0.2">
      <c r="B45" s="129" t="s">
        <v>707</v>
      </c>
      <c r="C45" s="118">
        <v>0</v>
      </c>
      <c r="D45" s="118">
        <v>0</v>
      </c>
      <c r="E45" s="118"/>
      <c r="F45" s="118">
        <v>0</v>
      </c>
      <c r="G45" s="118">
        <v>0</v>
      </c>
      <c r="H45" s="118"/>
      <c r="I45" s="118">
        <v>0</v>
      </c>
      <c r="J45" s="118"/>
      <c r="K45" s="118">
        <v>0</v>
      </c>
      <c r="L45" s="118">
        <v>0</v>
      </c>
      <c r="M45" s="118">
        <v>0</v>
      </c>
      <c r="N45" s="118">
        <v>0</v>
      </c>
      <c r="O45" s="118">
        <v>3841</v>
      </c>
      <c r="P45" s="118">
        <f>SUM(C45:O45)</f>
        <v>3841</v>
      </c>
      <c r="Q45" s="118">
        <v>0</v>
      </c>
      <c r="R45" s="118">
        <f>SUM(P45:Q45)</f>
        <v>3841</v>
      </c>
    </row>
    <row r="46" spans="2:18" hidden="1" outlineLevel="1" x14ac:dyDescent="0.2">
      <c r="B46" s="129" t="s">
        <v>702</v>
      </c>
      <c r="C46" s="118">
        <v>0</v>
      </c>
      <c r="D46" s="118">
        <v>0</v>
      </c>
      <c r="E46" s="118"/>
      <c r="F46" s="118">
        <v>0</v>
      </c>
      <c r="G46" s="118">
        <v>0</v>
      </c>
      <c r="H46" s="118"/>
      <c r="I46" s="118">
        <v>0</v>
      </c>
      <c r="J46" s="118"/>
      <c r="K46" s="118">
        <v>0</v>
      </c>
      <c r="L46" s="118">
        <v>0</v>
      </c>
      <c r="M46" s="118">
        <v>0</v>
      </c>
      <c r="N46" s="118">
        <f>-N41-N37</f>
        <v>674</v>
      </c>
      <c r="O46" s="118">
        <v>0</v>
      </c>
      <c r="P46" s="118">
        <f>SUM(C46:O46)</f>
        <v>674</v>
      </c>
      <c r="Q46" s="118">
        <v>0</v>
      </c>
      <c r="R46" s="118">
        <f>SUM(P46:Q46)</f>
        <v>674</v>
      </c>
    </row>
    <row r="47" spans="2:18" hidden="1" outlineLevel="1" x14ac:dyDescent="0.2">
      <c r="B47" s="129" t="s">
        <v>703</v>
      </c>
      <c r="C47" s="118">
        <v>0</v>
      </c>
      <c r="D47" s="118">
        <v>0</v>
      </c>
      <c r="E47" s="118"/>
      <c r="F47" s="118">
        <v>0</v>
      </c>
      <c r="G47" s="118">
        <v>0</v>
      </c>
      <c r="H47" s="118"/>
      <c r="I47" s="118">
        <v>0</v>
      </c>
      <c r="J47" s="118"/>
      <c r="K47" s="118">
        <v>0</v>
      </c>
      <c r="L47" s="118">
        <v>0</v>
      </c>
      <c r="M47" s="118">
        <v>0</v>
      </c>
      <c r="N47" s="118">
        <v>-674</v>
      </c>
      <c r="O47" s="118">
        <v>0</v>
      </c>
      <c r="P47" s="118">
        <f>SUM(C47:O47)</f>
        <v>-674</v>
      </c>
      <c r="Q47" s="118">
        <v>0</v>
      </c>
      <c r="R47" s="118">
        <f>SUM(P47:Q47)</f>
        <v>-674</v>
      </c>
    </row>
    <row r="48" spans="2:18" collapsed="1" x14ac:dyDescent="0.2">
      <c r="B48" s="126" t="s">
        <v>518</v>
      </c>
      <c r="C48" s="120">
        <f t="shared" ref="C48:Q48" si="11">SUM(C43:C47)</f>
        <v>144469</v>
      </c>
      <c r="D48" s="120">
        <f t="shared" si="11"/>
        <v>174055</v>
      </c>
      <c r="E48" s="120"/>
      <c r="F48" s="120">
        <f t="shared" si="11"/>
        <v>0</v>
      </c>
      <c r="G48" s="120">
        <f>SUM(G43:G47)</f>
        <v>-1725</v>
      </c>
      <c r="H48" s="120">
        <v>0</v>
      </c>
      <c r="I48" s="120">
        <f t="shared" si="11"/>
        <v>26522</v>
      </c>
      <c r="J48" s="120" t="s">
        <v>160</v>
      </c>
      <c r="K48" s="120">
        <f>SUM(K43:K47)</f>
        <v>20034.385999999999</v>
      </c>
      <c r="L48" s="120">
        <f t="shared" si="11"/>
        <v>0</v>
      </c>
      <c r="M48" s="120">
        <f>SUM(M43:M47)</f>
        <v>-342</v>
      </c>
      <c r="N48" s="120">
        <f>SUM(N43:N47)</f>
        <v>-93</v>
      </c>
      <c r="O48" s="120">
        <f t="shared" si="11"/>
        <v>1250</v>
      </c>
      <c r="P48" s="120">
        <f>SUM(C48:O48)</f>
        <v>364170.386</v>
      </c>
      <c r="Q48" s="120">
        <f t="shared" si="11"/>
        <v>0</v>
      </c>
      <c r="R48" s="120">
        <f>SUM(P48:Q48)</f>
        <v>364170.386</v>
      </c>
    </row>
    <row r="49" spans="1:18" x14ac:dyDescent="0.2">
      <c r="F49" s="154"/>
      <c r="G49" s="154"/>
      <c r="H49" s="154"/>
    </row>
    <row r="50" spans="1:18" hidden="1" outlineLevel="1" x14ac:dyDescent="0.2">
      <c r="B50" s="129" t="s">
        <v>707</v>
      </c>
      <c r="C50" s="118">
        <v>0</v>
      </c>
      <c r="D50" s="118">
        <v>0</v>
      </c>
      <c r="E50" s="118"/>
      <c r="F50" s="118">
        <v>0</v>
      </c>
      <c r="G50" s="118">
        <v>0</v>
      </c>
      <c r="H50" s="118"/>
      <c r="I50" s="118">
        <v>0</v>
      </c>
      <c r="J50" s="118"/>
      <c r="K50" s="118">
        <v>0</v>
      </c>
      <c r="L50" s="118">
        <v>0</v>
      </c>
      <c r="M50" s="118">
        <v>0</v>
      </c>
      <c r="N50" s="118">
        <v>0</v>
      </c>
      <c r="O50" s="118">
        <v>12606</v>
      </c>
      <c r="P50" s="118">
        <f t="shared" ref="P50:P56" si="12">SUM(C50:O50)</f>
        <v>12606</v>
      </c>
      <c r="Q50" s="118">
        <v>0</v>
      </c>
      <c r="R50" s="118">
        <f t="shared" ref="R50:R56" si="13">SUM(P50:Q50)</f>
        <v>12606</v>
      </c>
    </row>
    <row r="51" spans="1:18" hidden="1" outlineLevel="1" x14ac:dyDescent="0.2">
      <c r="B51" s="129"/>
      <c r="C51" s="118">
        <v>0</v>
      </c>
      <c r="D51" s="118">
        <v>0</v>
      </c>
      <c r="E51" s="118"/>
      <c r="F51" s="118">
        <v>0</v>
      </c>
      <c r="G51" s="118">
        <v>0</v>
      </c>
      <c r="H51" s="118"/>
      <c r="I51" s="118">
        <v>0</v>
      </c>
      <c r="J51" s="118"/>
      <c r="K51" s="118">
        <v>0</v>
      </c>
      <c r="L51" s="118">
        <v>0</v>
      </c>
      <c r="M51" s="118">
        <v>0</v>
      </c>
      <c r="N51" s="118">
        <v>-110.00000000000003</v>
      </c>
      <c r="O51" s="118">
        <v>0</v>
      </c>
      <c r="P51" s="118">
        <f t="shared" si="12"/>
        <v>-110.00000000000003</v>
      </c>
      <c r="Q51" s="118">
        <v>0</v>
      </c>
      <c r="R51" s="118">
        <f t="shared" si="13"/>
        <v>-110.00000000000003</v>
      </c>
    </row>
    <row r="52" spans="1:18" hidden="1" outlineLevel="1" x14ac:dyDescent="0.2">
      <c r="B52" s="129" t="s">
        <v>703</v>
      </c>
      <c r="C52" s="118">
        <v>0</v>
      </c>
      <c r="D52" s="118">
        <v>0</v>
      </c>
      <c r="E52" s="118"/>
      <c r="F52" s="118">
        <v>0</v>
      </c>
      <c r="G52" s="118">
        <v>0</v>
      </c>
      <c r="H52" s="118"/>
      <c r="I52" s="118">
        <v>0</v>
      </c>
      <c r="J52" s="118"/>
      <c r="K52" s="118">
        <v>0</v>
      </c>
      <c r="L52" s="118">
        <v>0</v>
      </c>
      <c r="M52" s="118">
        <v>0</v>
      </c>
      <c r="N52" s="118">
        <v>0</v>
      </c>
      <c r="O52" s="118">
        <v>0</v>
      </c>
      <c r="P52" s="118">
        <f t="shared" si="12"/>
        <v>0</v>
      </c>
      <c r="Q52" s="118">
        <v>0</v>
      </c>
      <c r="R52" s="118">
        <f t="shared" si="13"/>
        <v>0</v>
      </c>
    </row>
    <row r="53" spans="1:18" hidden="1" outlineLevel="1" x14ac:dyDescent="0.2">
      <c r="B53" s="129" t="s">
        <v>699</v>
      </c>
      <c r="C53" s="118">
        <v>0</v>
      </c>
      <c r="D53" s="118">
        <v>0</v>
      </c>
      <c r="E53" s="118"/>
      <c r="F53" s="118">
        <v>0</v>
      </c>
      <c r="G53" s="118">
        <v>0</v>
      </c>
      <c r="H53" s="118"/>
      <c r="I53" s="118">
        <v>0</v>
      </c>
      <c r="J53" s="118"/>
      <c r="K53" s="118">
        <v>0</v>
      </c>
      <c r="L53" s="118">
        <v>0</v>
      </c>
      <c r="M53" s="118">
        <v>0</v>
      </c>
      <c r="N53" s="118">
        <v>0</v>
      </c>
      <c r="O53" s="118">
        <v>0</v>
      </c>
      <c r="P53" s="118">
        <f t="shared" si="12"/>
        <v>0</v>
      </c>
      <c r="Q53" s="118">
        <v>0</v>
      </c>
      <c r="R53" s="118">
        <f t="shared" si="13"/>
        <v>0</v>
      </c>
    </row>
    <row r="54" spans="1:18" hidden="1" outlineLevel="1" x14ac:dyDescent="0.2">
      <c r="B54" s="129" t="s">
        <v>700</v>
      </c>
      <c r="C54" s="118">
        <v>0</v>
      </c>
      <c r="D54" s="118">
        <v>0</v>
      </c>
      <c r="E54" s="118"/>
      <c r="F54" s="118">
        <v>0</v>
      </c>
      <c r="G54" s="118">
        <v>0</v>
      </c>
      <c r="H54" s="118"/>
      <c r="I54" s="118">
        <v>0</v>
      </c>
      <c r="J54" s="118"/>
      <c r="K54" s="118">
        <v>13135</v>
      </c>
      <c r="L54" s="118">
        <v>0</v>
      </c>
      <c r="M54" s="118">
        <v>0</v>
      </c>
      <c r="N54" s="118">
        <v>0</v>
      </c>
      <c r="O54" s="118">
        <v>-13165</v>
      </c>
      <c r="P54" s="118">
        <f>SUM(C54:O54)</f>
        <v>-30</v>
      </c>
      <c r="Q54" s="118">
        <v>0</v>
      </c>
      <c r="R54" s="118">
        <f t="shared" si="13"/>
        <v>-30</v>
      </c>
    </row>
    <row r="55" spans="1:18" hidden="1" outlineLevel="1" x14ac:dyDescent="0.2">
      <c r="B55" s="129" t="s">
        <v>701</v>
      </c>
      <c r="C55" s="118">
        <v>0</v>
      </c>
      <c r="D55" s="118">
        <v>0</v>
      </c>
      <c r="E55" s="118"/>
      <c r="F55" s="118">
        <v>0</v>
      </c>
      <c r="G55" s="118">
        <v>0</v>
      </c>
      <c r="H55" s="118"/>
      <c r="I55" s="118">
        <v>691</v>
      </c>
      <c r="J55" s="118"/>
      <c r="K55" s="118">
        <v>0</v>
      </c>
      <c r="L55" s="118">
        <v>0</v>
      </c>
      <c r="M55" s="118">
        <v>0</v>
      </c>
      <c r="N55" s="118">
        <v>0</v>
      </c>
      <c r="O55" s="118">
        <v>-691</v>
      </c>
      <c r="P55" s="118">
        <f t="shared" si="12"/>
        <v>0</v>
      </c>
      <c r="Q55" s="118">
        <v>0</v>
      </c>
      <c r="R55" s="118">
        <f t="shared" si="13"/>
        <v>0</v>
      </c>
    </row>
    <row r="56" spans="1:18" hidden="1" outlineLevel="1" x14ac:dyDescent="0.2">
      <c r="B56" s="129" t="s">
        <v>431</v>
      </c>
      <c r="C56" s="118">
        <v>0</v>
      </c>
      <c r="D56" s="118">
        <v>0</v>
      </c>
      <c r="E56" s="118"/>
      <c r="F56" s="118">
        <v>0</v>
      </c>
      <c r="G56" s="118">
        <v>0</v>
      </c>
      <c r="H56" s="118"/>
      <c r="I56" s="118">
        <v>0</v>
      </c>
      <c r="J56" s="118"/>
      <c r="K56" s="118">
        <v>-8000</v>
      </c>
      <c r="L56" s="118">
        <v>4716</v>
      </c>
      <c r="M56" s="118">
        <v>0</v>
      </c>
      <c r="N56" s="118">
        <v>0</v>
      </c>
      <c r="O56" s="118">
        <v>0</v>
      </c>
      <c r="P56" s="118">
        <f t="shared" si="12"/>
        <v>-3284</v>
      </c>
      <c r="Q56" s="118">
        <v>0</v>
      </c>
      <c r="R56" s="118">
        <f t="shared" si="13"/>
        <v>-3284</v>
      </c>
    </row>
    <row r="57" spans="1:18" collapsed="1" x14ac:dyDescent="0.2">
      <c r="B57" s="126" t="s">
        <v>554</v>
      </c>
      <c r="C57" s="120">
        <f t="shared" ref="C57:Q57" si="14">SUM(C48:C56)</f>
        <v>144469</v>
      </c>
      <c r="D57" s="120">
        <f t="shared" si="14"/>
        <v>174055</v>
      </c>
      <c r="E57" s="120"/>
      <c r="F57" s="120">
        <f t="shared" si="14"/>
        <v>0</v>
      </c>
      <c r="G57" s="120">
        <f>SUM(G48:G56)</f>
        <v>-1725</v>
      </c>
      <c r="H57" s="120">
        <v>0</v>
      </c>
      <c r="I57" s="120">
        <f t="shared" si="14"/>
        <v>27213</v>
      </c>
      <c r="J57" s="120" t="s">
        <v>160</v>
      </c>
      <c r="K57" s="120">
        <f>SUM(K48:K56)</f>
        <v>25169.385999999999</v>
      </c>
      <c r="L57" s="120">
        <f t="shared" si="14"/>
        <v>4716</v>
      </c>
      <c r="M57" s="120">
        <f>SUM(M48:M56)</f>
        <v>-342</v>
      </c>
      <c r="N57" s="120">
        <f>SUM(N48:N56)</f>
        <v>-203.00000000000003</v>
      </c>
      <c r="O57" s="120">
        <f t="shared" si="14"/>
        <v>0</v>
      </c>
      <c r="P57" s="120">
        <f>SUM(C57:O57)</f>
        <v>373352.386</v>
      </c>
      <c r="Q57" s="120">
        <f t="shared" si="14"/>
        <v>0</v>
      </c>
      <c r="R57" s="120">
        <f>SUM(P57:Q57)</f>
        <v>373352.386</v>
      </c>
    </row>
    <row r="59" spans="1:18" hidden="1" outlineLevel="1" x14ac:dyDescent="0.2">
      <c r="B59" s="129" t="s">
        <v>707</v>
      </c>
      <c r="C59" s="118">
        <v>0</v>
      </c>
      <c r="D59" s="118">
        <v>0</v>
      </c>
      <c r="E59" s="118"/>
      <c r="F59" s="118">
        <v>0</v>
      </c>
      <c r="G59" s="118">
        <v>0</v>
      </c>
      <c r="H59" s="118">
        <v>0</v>
      </c>
      <c r="I59" s="118">
        <v>0</v>
      </c>
      <c r="J59" s="118"/>
      <c r="K59" s="118">
        <v>0</v>
      </c>
      <c r="L59" s="118">
        <v>0</v>
      </c>
      <c r="M59" s="118">
        <v>0</v>
      </c>
      <c r="N59" s="118">
        <v>0</v>
      </c>
      <c r="O59" s="118">
        <v>5452</v>
      </c>
      <c r="P59" s="118">
        <f>SUM(C59:O59)</f>
        <v>5452</v>
      </c>
      <c r="Q59" s="118">
        <v>0</v>
      </c>
      <c r="R59" s="118">
        <f>SUM(P59:Q59)</f>
        <v>5452</v>
      </c>
    </row>
    <row r="60" spans="1:18" hidden="1" outlineLevel="1" x14ac:dyDescent="0.2">
      <c r="B60" s="129" t="s">
        <v>702</v>
      </c>
      <c r="C60" s="118">
        <v>0</v>
      </c>
      <c r="D60" s="118">
        <v>0</v>
      </c>
      <c r="E60" s="118"/>
      <c r="F60" s="118">
        <v>0</v>
      </c>
      <c r="G60" s="118">
        <v>0</v>
      </c>
      <c r="H60" s="118">
        <v>0</v>
      </c>
      <c r="I60" s="118">
        <v>0</v>
      </c>
      <c r="J60" s="118"/>
      <c r="K60" s="118">
        <v>0</v>
      </c>
      <c r="L60" s="118">
        <v>0</v>
      </c>
      <c r="M60" s="118">
        <v>0</v>
      </c>
      <c r="N60" s="118">
        <v>-10</v>
      </c>
      <c r="O60" s="118">
        <v>0</v>
      </c>
      <c r="P60" s="118">
        <f>SUM(C60:O60)</f>
        <v>-10</v>
      </c>
      <c r="Q60" s="118">
        <v>0</v>
      </c>
      <c r="R60" s="118">
        <f>SUM(P60:Q60)</f>
        <v>-10</v>
      </c>
    </row>
    <row r="61" spans="1:18" collapsed="1" x14ac:dyDescent="0.2">
      <c r="B61" s="126" t="s">
        <v>568</v>
      </c>
      <c r="C61" s="120">
        <f>SUM(C57:C60)</f>
        <v>144469</v>
      </c>
      <c r="D61" s="120">
        <f>SUM(D57:D60)</f>
        <v>174055</v>
      </c>
      <c r="E61" s="120"/>
      <c r="F61" s="120">
        <v>0</v>
      </c>
      <c r="G61" s="120">
        <v>0</v>
      </c>
      <c r="H61" s="120">
        <v>0</v>
      </c>
      <c r="I61" s="120">
        <f>SUM(I57:I60)</f>
        <v>27213</v>
      </c>
      <c r="J61" s="120" t="s">
        <v>160</v>
      </c>
      <c r="K61" s="120">
        <f>SUM(K57:K60)</f>
        <v>25169.385999999999</v>
      </c>
      <c r="L61" s="120">
        <f>SUM(L57:L60)</f>
        <v>4716</v>
      </c>
      <c r="M61" s="120">
        <f>SUM(M57:M60)</f>
        <v>-342</v>
      </c>
      <c r="N61" s="120">
        <v>-213</v>
      </c>
      <c r="O61" s="120">
        <f>SUM(O57:O60)</f>
        <v>5452</v>
      </c>
      <c r="P61" s="120">
        <f>SUM(C61:O61)</f>
        <v>380519.386</v>
      </c>
      <c r="Q61" s="120">
        <f>SUM(Q57:Q60)</f>
        <v>0</v>
      </c>
      <c r="R61" s="120">
        <f>SUM(P61:Q61)</f>
        <v>380519.386</v>
      </c>
    </row>
    <row r="62" spans="1:18" s="600" customFormat="1" x14ac:dyDescent="0.2">
      <c r="A62"/>
      <c r="B62" s="601"/>
      <c r="C62" s="602"/>
      <c r="D62" s="602"/>
      <c r="E62" s="602"/>
      <c r="F62" s="602"/>
      <c r="G62" s="602"/>
      <c r="H62" s="602"/>
      <c r="I62" s="602"/>
      <c r="J62" s="602"/>
      <c r="K62" s="602"/>
      <c r="L62" s="602"/>
      <c r="M62" s="602"/>
      <c r="N62" s="602"/>
      <c r="O62" s="602"/>
      <c r="P62" s="602"/>
      <c r="Q62" s="602"/>
      <c r="R62" s="602"/>
    </row>
    <row r="63" spans="1:18" hidden="1" outlineLevel="1" x14ac:dyDescent="0.2">
      <c r="B63" s="129" t="s">
        <v>707</v>
      </c>
      <c r="C63" s="118">
        <v>0</v>
      </c>
      <c r="D63" s="118">
        <v>0</v>
      </c>
      <c r="E63" s="118"/>
      <c r="F63" s="118">
        <v>0</v>
      </c>
      <c r="G63" s="118">
        <v>0</v>
      </c>
      <c r="H63" s="118">
        <v>0</v>
      </c>
      <c r="I63" s="118">
        <v>0</v>
      </c>
      <c r="J63" s="118"/>
      <c r="K63" s="118">
        <v>0</v>
      </c>
      <c r="L63" s="118">
        <v>0</v>
      </c>
      <c r="M63" s="118">
        <v>0</v>
      </c>
      <c r="N63" s="118">
        <v>0</v>
      </c>
      <c r="O63" s="118">
        <v>24057</v>
      </c>
      <c r="P63" s="118">
        <f>SUM(C63:O63)</f>
        <v>24057</v>
      </c>
      <c r="Q63" s="118">
        <v>0</v>
      </c>
      <c r="R63" s="118">
        <f>SUM(P63:Q63)</f>
        <v>24057</v>
      </c>
    </row>
    <row r="64" spans="1:18" hidden="1" outlineLevel="1" x14ac:dyDescent="0.2">
      <c r="B64" s="129" t="s">
        <v>702</v>
      </c>
      <c r="C64" s="118">
        <v>0</v>
      </c>
      <c r="D64" s="118">
        <v>0</v>
      </c>
      <c r="E64" s="118"/>
      <c r="F64" s="118">
        <v>0</v>
      </c>
      <c r="G64" s="118">
        <v>0</v>
      </c>
      <c r="H64" s="118">
        <v>0</v>
      </c>
      <c r="I64" s="118">
        <v>0</v>
      </c>
      <c r="J64" s="118"/>
      <c r="K64" s="118">
        <v>0</v>
      </c>
      <c r="L64" s="118">
        <v>0</v>
      </c>
      <c r="M64" s="118">
        <v>0</v>
      </c>
      <c r="N64" s="118">
        <v>213</v>
      </c>
      <c r="O64" s="118">
        <v>0</v>
      </c>
      <c r="P64" s="118">
        <f>SUM(C64:O64)</f>
        <v>213</v>
      </c>
      <c r="Q64" s="118">
        <v>0</v>
      </c>
      <c r="R64" s="118">
        <f>SUM(P64:Q64)</f>
        <v>213</v>
      </c>
    </row>
    <row r="65" spans="1:18" hidden="1" outlineLevel="1" x14ac:dyDescent="0.2">
      <c r="B65" s="129" t="s">
        <v>431</v>
      </c>
      <c r="C65" s="118">
        <v>0</v>
      </c>
      <c r="D65" s="118">
        <v>0</v>
      </c>
      <c r="E65" s="118"/>
      <c r="F65" s="118">
        <v>0</v>
      </c>
      <c r="G65" s="118">
        <v>0</v>
      </c>
      <c r="H65" s="118">
        <v>0</v>
      </c>
      <c r="I65" s="118">
        <v>0</v>
      </c>
      <c r="J65" s="118"/>
      <c r="K65" s="118">
        <v>0</v>
      </c>
      <c r="L65" s="118">
        <v>-4716</v>
      </c>
      <c r="M65" s="118">
        <v>0</v>
      </c>
      <c r="N65" s="118">
        <v>0</v>
      </c>
      <c r="O65" s="118">
        <v>0</v>
      </c>
      <c r="P65" s="118">
        <f>SUM(C65:O65)</f>
        <v>-4716</v>
      </c>
      <c r="Q65" s="118" t="s">
        <v>160</v>
      </c>
      <c r="R65" s="118">
        <f>SUM(P65:Q65)</f>
        <v>-4716</v>
      </c>
    </row>
    <row r="66" spans="1:18" collapsed="1" x14ac:dyDescent="0.2">
      <c r="A66" s="153"/>
      <c r="B66" s="126" t="s">
        <v>577</v>
      </c>
      <c r="C66" s="120">
        <f>SUM(C61:C65)</f>
        <v>144469</v>
      </c>
      <c r="D66" s="120">
        <f>SUM(D61:D65)</f>
        <v>174055</v>
      </c>
      <c r="E66" s="120"/>
      <c r="F66" s="120">
        <v>0</v>
      </c>
      <c r="G66" s="120">
        <v>0</v>
      </c>
      <c r="H66" s="120">
        <v>0</v>
      </c>
      <c r="I66" s="120">
        <f t="shared" ref="I66:O66" si="15">SUM(I61:I65)</f>
        <v>27213</v>
      </c>
      <c r="J66" s="120" t="s">
        <v>160</v>
      </c>
      <c r="K66" s="120">
        <f t="shared" si="15"/>
        <v>25169.385999999999</v>
      </c>
      <c r="L66" s="120">
        <f t="shared" si="15"/>
        <v>0</v>
      </c>
      <c r="M66" s="120">
        <f t="shared" si="15"/>
        <v>-342</v>
      </c>
      <c r="N66" s="120">
        <f t="shared" si="15"/>
        <v>0</v>
      </c>
      <c r="O66" s="120">
        <f t="shared" si="15"/>
        <v>29509</v>
      </c>
      <c r="P66" s="120">
        <f>SUM(C66:O66)</f>
        <v>400073.386</v>
      </c>
      <c r="Q66" s="120">
        <f>SUM(Q61:Q65)</f>
        <v>0</v>
      </c>
      <c r="R66" s="120">
        <f>SUM(P66:Q66)</f>
        <v>400073.386</v>
      </c>
    </row>
    <row r="67" spans="1:18" s="600" customFormat="1" x14ac:dyDescent="0.2">
      <c r="A67" s="149"/>
      <c r="B67" s="601"/>
      <c r="C67" s="601"/>
      <c r="D67" s="601"/>
      <c r="E67" s="601"/>
      <c r="F67" s="601"/>
      <c r="G67" s="601"/>
      <c r="H67" s="601"/>
      <c r="I67" s="601"/>
      <c r="J67" s="601"/>
      <c r="K67" s="601"/>
      <c r="L67" s="601"/>
      <c r="M67" s="601"/>
      <c r="N67" s="601"/>
      <c r="O67" s="601"/>
      <c r="P67" s="601"/>
      <c r="Q67" s="601"/>
      <c r="R67" s="601"/>
    </row>
    <row r="68" spans="1:18" hidden="1" outlineLevel="1" x14ac:dyDescent="0.2">
      <c r="B68" s="129" t="s">
        <v>707</v>
      </c>
      <c r="C68" s="118">
        <v>0</v>
      </c>
      <c r="D68" s="118">
        <v>0</v>
      </c>
      <c r="E68" s="118"/>
      <c r="F68" s="118">
        <v>0</v>
      </c>
      <c r="G68" s="118">
        <v>0</v>
      </c>
      <c r="H68" s="118">
        <v>0</v>
      </c>
      <c r="I68" s="118">
        <v>0</v>
      </c>
      <c r="J68" s="118"/>
      <c r="K68" s="118">
        <v>0</v>
      </c>
      <c r="L68" s="118">
        <v>0</v>
      </c>
      <c r="M68" s="118">
        <v>0</v>
      </c>
      <c r="N68" s="118">
        <v>0</v>
      </c>
      <c r="O68" s="118">
        <v>15286</v>
      </c>
      <c r="P68" s="118">
        <f>SUM(C68:O68)</f>
        <v>15286</v>
      </c>
      <c r="Q68" s="118">
        <v>0</v>
      </c>
      <c r="R68" s="118">
        <f t="shared" ref="R68:R74" si="16">SUM(P68:Q68)</f>
        <v>15286</v>
      </c>
    </row>
    <row r="69" spans="1:18" hidden="1" outlineLevel="1" x14ac:dyDescent="0.2">
      <c r="A69" s="153"/>
      <c r="B69" s="129" t="s">
        <v>702</v>
      </c>
      <c r="C69" s="118">
        <v>0</v>
      </c>
      <c r="D69" s="118">
        <v>0</v>
      </c>
      <c r="E69" s="118"/>
      <c r="F69" s="118">
        <v>0</v>
      </c>
      <c r="G69" s="118">
        <v>0</v>
      </c>
      <c r="H69" s="118">
        <v>0</v>
      </c>
      <c r="I69" s="118">
        <v>0</v>
      </c>
      <c r="J69" s="118"/>
      <c r="K69" s="118">
        <v>0</v>
      </c>
      <c r="L69" s="118">
        <v>0</v>
      </c>
      <c r="M69" s="118">
        <v>0</v>
      </c>
      <c r="N69" s="118">
        <v>0</v>
      </c>
      <c r="O69" s="118">
        <v>0</v>
      </c>
      <c r="P69" s="118">
        <v>0</v>
      </c>
      <c r="Q69" s="118">
        <v>0</v>
      </c>
      <c r="R69" s="118">
        <f t="shared" si="16"/>
        <v>0</v>
      </c>
    </row>
    <row r="70" spans="1:18" hidden="1" outlineLevel="1" x14ac:dyDescent="0.2">
      <c r="A70" s="153"/>
      <c r="B70" s="129" t="s">
        <v>703</v>
      </c>
      <c r="C70" s="118">
        <v>0</v>
      </c>
      <c r="D70" s="118">
        <v>0</v>
      </c>
      <c r="E70" s="118"/>
      <c r="F70" s="118">
        <v>0</v>
      </c>
      <c r="G70" s="118">
        <v>0</v>
      </c>
      <c r="H70" s="118">
        <v>0</v>
      </c>
      <c r="I70" s="118">
        <v>0</v>
      </c>
      <c r="J70" s="118"/>
      <c r="K70" s="118">
        <v>0</v>
      </c>
      <c r="L70" s="118">
        <v>0</v>
      </c>
      <c r="M70" s="118">
        <v>0</v>
      </c>
      <c r="N70" s="118">
        <v>0</v>
      </c>
      <c r="O70" s="118">
        <v>0</v>
      </c>
      <c r="P70" s="118">
        <v>0</v>
      </c>
      <c r="Q70" s="118">
        <v>0</v>
      </c>
      <c r="R70" s="118">
        <f t="shared" si="16"/>
        <v>0</v>
      </c>
    </row>
    <row r="71" spans="1:18" hidden="1" outlineLevel="1" x14ac:dyDescent="0.2">
      <c r="A71" s="153"/>
      <c r="B71" s="129" t="s">
        <v>699</v>
      </c>
      <c r="C71" s="118" t="s">
        <v>160</v>
      </c>
      <c r="D71" s="118" t="s">
        <v>160</v>
      </c>
      <c r="E71" s="118"/>
      <c r="F71" s="118" t="s">
        <v>160</v>
      </c>
      <c r="G71" s="118" t="s">
        <v>160</v>
      </c>
      <c r="H71" s="118">
        <v>0</v>
      </c>
      <c r="I71" s="118" t="s">
        <v>160</v>
      </c>
      <c r="J71" s="118"/>
      <c r="K71" s="118" t="s">
        <v>160</v>
      </c>
      <c r="L71" s="118" t="s">
        <v>160</v>
      </c>
      <c r="M71" s="118" t="s">
        <v>160</v>
      </c>
      <c r="N71" s="118" t="s">
        <v>160</v>
      </c>
      <c r="O71" s="118" t="s">
        <v>160</v>
      </c>
      <c r="P71" s="118" t="s">
        <v>160</v>
      </c>
      <c r="Q71" s="118" t="s">
        <v>160</v>
      </c>
      <c r="R71" s="118" t="s">
        <v>160</v>
      </c>
    </row>
    <row r="72" spans="1:18" hidden="1" outlineLevel="1" x14ac:dyDescent="0.2">
      <c r="A72" s="153"/>
      <c r="B72" s="129" t="s">
        <v>700</v>
      </c>
      <c r="C72" s="118">
        <v>0</v>
      </c>
      <c r="D72" s="118">
        <v>0</v>
      </c>
      <c r="E72" s="118"/>
      <c r="F72" s="118">
        <v>0</v>
      </c>
      <c r="G72" s="118">
        <v>0</v>
      </c>
      <c r="H72" s="118">
        <v>0</v>
      </c>
      <c r="I72" s="118">
        <v>0</v>
      </c>
      <c r="J72" s="118"/>
      <c r="K72" s="118">
        <v>0</v>
      </c>
      <c r="L72" s="118">
        <v>0</v>
      </c>
      <c r="M72" s="118">
        <v>0</v>
      </c>
      <c r="N72" s="118">
        <v>0</v>
      </c>
      <c r="O72" s="118">
        <v>0</v>
      </c>
      <c r="P72" s="118">
        <v>0</v>
      </c>
      <c r="Q72" s="118">
        <v>0</v>
      </c>
      <c r="R72" s="118">
        <f t="shared" si="16"/>
        <v>0</v>
      </c>
    </row>
    <row r="73" spans="1:18" hidden="1" outlineLevel="1" x14ac:dyDescent="0.2">
      <c r="A73" s="153"/>
      <c r="B73" s="129" t="s">
        <v>701</v>
      </c>
      <c r="C73" s="118">
        <v>0</v>
      </c>
      <c r="D73" s="118">
        <v>0</v>
      </c>
      <c r="E73" s="118"/>
      <c r="F73" s="118">
        <v>0</v>
      </c>
      <c r="G73" s="118">
        <v>0</v>
      </c>
      <c r="H73" s="118">
        <v>0</v>
      </c>
      <c r="I73" s="118">
        <v>0</v>
      </c>
      <c r="J73" s="118"/>
      <c r="K73" s="118">
        <v>0</v>
      </c>
      <c r="L73" s="118">
        <v>0</v>
      </c>
      <c r="M73" s="118">
        <v>0</v>
      </c>
      <c r="N73" s="118">
        <v>0</v>
      </c>
      <c r="O73" s="118">
        <v>0</v>
      </c>
      <c r="P73" s="118">
        <v>0</v>
      </c>
      <c r="Q73" s="118">
        <v>0</v>
      </c>
      <c r="R73" s="118">
        <f t="shared" si="16"/>
        <v>0</v>
      </c>
    </row>
    <row r="74" spans="1:18" hidden="1" outlineLevel="1" x14ac:dyDescent="0.2">
      <c r="A74" s="153"/>
      <c r="B74" s="129" t="s">
        <v>431</v>
      </c>
      <c r="C74" s="118">
        <v>0</v>
      </c>
      <c r="D74" s="118">
        <v>0</v>
      </c>
      <c r="E74" s="118"/>
      <c r="F74" s="118">
        <v>0</v>
      </c>
      <c r="G74" s="118">
        <v>0</v>
      </c>
      <c r="H74" s="118">
        <v>0</v>
      </c>
      <c r="I74" s="118">
        <v>0</v>
      </c>
      <c r="J74" s="118"/>
      <c r="K74" s="118">
        <v>0</v>
      </c>
      <c r="L74" s="118">
        <v>0</v>
      </c>
      <c r="M74" s="118">
        <v>0</v>
      </c>
      <c r="N74" s="118">
        <v>0</v>
      </c>
      <c r="O74" s="118">
        <v>-14750</v>
      </c>
      <c r="P74" s="118">
        <f>SUM(C74:O74)</f>
        <v>-14750</v>
      </c>
      <c r="Q74" s="118">
        <v>0</v>
      </c>
      <c r="R74" s="118">
        <f t="shared" si="16"/>
        <v>-14750</v>
      </c>
    </row>
    <row r="75" spans="1:18" collapsed="1" x14ac:dyDescent="0.2">
      <c r="A75" s="153"/>
      <c r="B75" s="126" t="s">
        <v>598</v>
      </c>
      <c r="C75" s="120">
        <f>SUM(C66:C74)</f>
        <v>144469</v>
      </c>
      <c r="D75" s="120">
        <f>SUM(D66:D74)</f>
        <v>174055</v>
      </c>
      <c r="E75" s="120"/>
      <c r="F75" s="120">
        <v>0</v>
      </c>
      <c r="G75" s="120">
        <v>0</v>
      </c>
      <c r="H75" s="120">
        <v>0</v>
      </c>
      <c r="I75" s="120">
        <f t="shared" ref="I75:O75" si="17">SUM(I66:I74)</f>
        <v>27213</v>
      </c>
      <c r="J75" s="120" t="s">
        <v>160</v>
      </c>
      <c r="K75" s="120">
        <f t="shared" si="17"/>
        <v>25169.385999999999</v>
      </c>
      <c r="L75" s="120">
        <f t="shared" si="17"/>
        <v>0</v>
      </c>
      <c r="M75" s="120">
        <f t="shared" si="17"/>
        <v>-342</v>
      </c>
      <c r="N75" s="120">
        <f t="shared" si="17"/>
        <v>0</v>
      </c>
      <c r="O75" s="120">
        <f t="shared" si="17"/>
        <v>30045</v>
      </c>
      <c r="P75" s="120">
        <f>SUM(C75:O75)</f>
        <v>400609.386</v>
      </c>
      <c r="Q75" s="120">
        <f>SUM(Q66:Q74)</f>
        <v>0</v>
      </c>
      <c r="R75" s="120">
        <f>SUM(P75:Q75)</f>
        <v>400609.386</v>
      </c>
    </row>
    <row r="77" spans="1:18" hidden="1" outlineLevel="1" x14ac:dyDescent="0.2">
      <c r="B77" s="129" t="s">
        <v>707</v>
      </c>
      <c r="C77" s="118">
        <v>0</v>
      </c>
      <c r="D77" s="118">
        <v>0</v>
      </c>
      <c r="E77" s="118"/>
      <c r="F77" s="118">
        <v>0</v>
      </c>
      <c r="G77" s="118">
        <v>0</v>
      </c>
      <c r="H77" s="118">
        <v>0</v>
      </c>
      <c r="I77" s="118">
        <v>0</v>
      </c>
      <c r="J77" s="118"/>
      <c r="K77" s="118">
        <v>0</v>
      </c>
      <c r="L77" s="118">
        <v>0</v>
      </c>
      <c r="M77" s="118">
        <v>0</v>
      </c>
      <c r="N77" s="118">
        <v>0</v>
      </c>
      <c r="O77" s="118">
        <v>58968</v>
      </c>
      <c r="P77" s="118">
        <f>O77</f>
        <v>58968</v>
      </c>
      <c r="Q77" s="118">
        <v>0</v>
      </c>
      <c r="R77" s="118">
        <f t="shared" ref="R77:R83" si="18">SUM(P77:Q77)</f>
        <v>58968</v>
      </c>
    </row>
    <row r="78" spans="1:18" hidden="1" outlineLevel="1" x14ac:dyDescent="0.2">
      <c r="B78" s="129" t="s">
        <v>702</v>
      </c>
      <c r="C78" s="118">
        <v>0</v>
      </c>
      <c r="D78" s="118">
        <v>0</v>
      </c>
      <c r="E78" s="118"/>
      <c r="F78" s="118">
        <v>0</v>
      </c>
      <c r="G78" s="118">
        <v>0</v>
      </c>
      <c r="H78" s="118">
        <v>0</v>
      </c>
      <c r="I78" s="118">
        <v>0</v>
      </c>
      <c r="J78" s="118"/>
      <c r="K78" s="118">
        <v>0</v>
      </c>
      <c r="L78" s="118">
        <v>0</v>
      </c>
      <c r="M78" s="118">
        <v>0</v>
      </c>
      <c r="N78" s="118">
        <v>0</v>
      </c>
      <c r="O78" s="118">
        <v>0</v>
      </c>
      <c r="P78" s="118">
        <f>SUM(C78:O78)</f>
        <v>0</v>
      </c>
      <c r="Q78" s="118">
        <v>0</v>
      </c>
      <c r="R78" s="118">
        <f t="shared" si="18"/>
        <v>0</v>
      </c>
    </row>
    <row r="79" spans="1:18" hidden="1" outlineLevel="1" x14ac:dyDescent="0.2">
      <c r="B79" s="129" t="s">
        <v>703</v>
      </c>
      <c r="C79" s="118">
        <v>0</v>
      </c>
      <c r="D79" s="118">
        <v>0</v>
      </c>
      <c r="E79" s="118"/>
      <c r="F79" s="118">
        <v>0</v>
      </c>
      <c r="G79" s="118">
        <v>0</v>
      </c>
      <c r="H79" s="118">
        <v>0</v>
      </c>
      <c r="I79" s="118">
        <v>0</v>
      </c>
      <c r="J79" s="118"/>
      <c r="K79" s="118">
        <v>0</v>
      </c>
      <c r="L79" s="118">
        <v>0</v>
      </c>
      <c r="M79" s="118">
        <v>0</v>
      </c>
      <c r="N79" s="118">
        <v>0</v>
      </c>
      <c r="O79" s="118">
        <v>0</v>
      </c>
      <c r="P79" s="118">
        <v>0</v>
      </c>
      <c r="Q79" s="118">
        <v>0</v>
      </c>
      <c r="R79" s="118">
        <f t="shared" si="18"/>
        <v>0</v>
      </c>
    </row>
    <row r="80" spans="1:18" hidden="1" outlineLevel="1" x14ac:dyDescent="0.2">
      <c r="B80" s="129" t="s">
        <v>895</v>
      </c>
      <c r="C80" s="118">
        <v>0</v>
      </c>
      <c r="D80" s="118">
        <v>0</v>
      </c>
      <c r="E80" s="118"/>
      <c r="F80" s="118">
        <v>0</v>
      </c>
      <c r="G80" s="118">
        <v>0</v>
      </c>
      <c r="H80" s="118">
        <v>11960</v>
      </c>
      <c r="I80" s="118">
        <v>0</v>
      </c>
      <c r="J80" s="118"/>
      <c r="K80" s="118">
        <v>-11960</v>
      </c>
      <c r="L80" s="118">
        <v>0</v>
      </c>
      <c r="M80" s="118">
        <v>0</v>
      </c>
      <c r="N80" s="118">
        <v>0</v>
      </c>
      <c r="O80" s="118">
        <v>0</v>
      </c>
      <c r="P80" s="118">
        <v>0</v>
      </c>
      <c r="Q80" s="118">
        <v>0</v>
      </c>
      <c r="R80" s="118">
        <f>SUM(P80:Q80)</f>
        <v>0</v>
      </c>
    </row>
    <row r="81" spans="2:18" hidden="1" outlineLevel="1" x14ac:dyDescent="0.2">
      <c r="B81" s="192" t="s">
        <v>699</v>
      </c>
      <c r="C81" s="118"/>
      <c r="D81" s="118"/>
      <c r="E81" s="118"/>
      <c r="F81" s="118"/>
      <c r="G81" s="118"/>
      <c r="H81" s="118"/>
      <c r="I81" s="118"/>
      <c r="J81" s="118"/>
      <c r="K81" s="118"/>
      <c r="L81" s="118"/>
      <c r="M81" s="118"/>
      <c r="N81" s="118"/>
      <c r="O81" s="118"/>
      <c r="P81" s="118"/>
      <c r="Q81" s="118">
        <v>0</v>
      </c>
      <c r="R81" s="118"/>
    </row>
    <row r="82" spans="2:18" hidden="1" outlineLevel="1" x14ac:dyDescent="0.2">
      <c r="B82" s="129" t="s">
        <v>700</v>
      </c>
      <c r="C82" s="118">
        <v>0</v>
      </c>
      <c r="D82" s="118">
        <v>0</v>
      </c>
      <c r="E82" s="118"/>
      <c r="F82" s="118">
        <v>0</v>
      </c>
      <c r="G82" s="118">
        <v>0</v>
      </c>
      <c r="H82" s="118">
        <v>0</v>
      </c>
      <c r="I82" s="118">
        <v>0</v>
      </c>
      <c r="J82" s="118"/>
      <c r="K82" s="118">
        <v>102082</v>
      </c>
      <c r="L82" s="118">
        <v>0</v>
      </c>
      <c r="M82" s="118">
        <v>0</v>
      </c>
      <c r="N82" s="118">
        <v>0</v>
      </c>
      <c r="O82" s="118">
        <v>-102082</v>
      </c>
      <c r="P82" s="118">
        <f>SUM(C82:O82)</f>
        <v>0</v>
      </c>
      <c r="Q82" s="118">
        <v>0</v>
      </c>
      <c r="R82" s="118">
        <f t="shared" si="18"/>
        <v>0</v>
      </c>
    </row>
    <row r="83" spans="2:18" hidden="1" outlineLevel="1" x14ac:dyDescent="0.2">
      <c r="B83" s="129" t="s">
        <v>701</v>
      </c>
      <c r="C83" s="118">
        <v>0</v>
      </c>
      <c r="D83" s="118">
        <v>0</v>
      </c>
      <c r="E83" s="118"/>
      <c r="F83" s="118">
        <v>0</v>
      </c>
      <c r="G83" s="118">
        <v>0</v>
      </c>
      <c r="H83" s="118">
        <v>0</v>
      </c>
      <c r="I83" s="118">
        <v>1681</v>
      </c>
      <c r="J83" s="118"/>
      <c r="K83" s="118">
        <v>0</v>
      </c>
      <c r="L83" s="118">
        <v>0</v>
      </c>
      <c r="M83" s="118">
        <v>0</v>
      </c>
      <c r="N83" s="118">
        <v>0</v>
      </c>
      <c r="O83" s="118">
        <v>-1681</v>
      </c>
      <c r="P83" s="118">
        <f>SUM(C83:O83)</f>
        <v>0</v>
      </c>
      <c r="Q83" s="118">
        <v>0</v>
      </c>
      <c r="R83" s="118">
        <f t="shared" si="18"/>
        <v>0</v>
      </c>
    </row>
    <row r="84" spans="2:18" ht="14.25" hidden="1" customHeight="1" outlineLevel="1" x14ac:dyDescent="0.2">
      <c r="B84" s="129" t="s">
        <v>736</v>
      </c>
      <c r="C84" s="118">
        <v>0</v>
      </c>
      <c r="D84" s="118">
        <v>0</v>
      </c>
      <c r="E84" s="118"/>
      <c r="F84" s="118">
        <v>0</v>
      </c>
      <c r="G84" s="118">
        <v>0</v>
      </c>
      <c r="H84" s="118">
        <v>0</v>
      </c>
      <c r="I84" s="118">
        <v>0</v>
      </c>
      <c r="J84" s="118"/>
      <c r="K84" s="118">
        <v>-61249</v>
      </c>
      <c r="L84" s="118">
        <v>35728</v>
      </c>
      <c r="M84" s="118">
        <v>0</v>
      </c>
      <c r="N84" s="118">
        <v>0</v>
      </c>
      <c r="O84" s="118">
        <v>14750</v>
      </c>
      <c r="P84" s="118">
        <f>SUM(C84:O84)</f>
        <v>-10771</v>
      </c>
      <c r="Q84" s="118">
        <v>0</v>
      </c>
      <c r="R84" s="118">
        <f>SUM(P84:Q84)</f>
        <v>-10771</v>
      </c>
    </row>
    <row r="85" spans="2:18" collapsed="1" x14ac:dyDescent="0.2">
      <c r="B85" s="126" t="s">
        <v>677</v>
      </c>
      <c r="C85" s="120">
        <f>SUM(C75:C84)</f>
        <v>144469</v>
      </c>
      <c r="D85" s="120">
        <f>SUM(D75:D84)</f>
        <v>174055</v>
      </c>
      <c r="E85" s="120"/>
      <c r="F85" s="120">
        <f>SUM(F75:F84)</f>
        <v>0</v>
      </c>
      <c r="G85" s="120">
        <f>SUM(G75:G84)</f>
        <v>0</v>
      </c>
      <c r="H85" s="120">
        <f>SUM(H76:H84)</f>
        <v>11960</v>
      </c>
      <c r="I85" s="120">
        <f t="shared" ref="I85:O85" si="19">SUM(I75:I84)</f>
        <v>28894</v>
      </c>
      <c r="J85" s="120" t="s">
        <v>160</v>
      </c>
      <c r="K85" s="120">
        <f t="shared" si="19"/>
        <v>54042.385999999999</v>
      </c>
      <c r="L85" s="120">
        <f t="shared" si="19"/>
        <v>35728</v>
      </c>
      <c r="M85" s="120">
        <f t="shared" si="19"/>
        <v>-342</v>
      </c>
      <c r="N85" s="120">
        <f t="shared" si="19"/>
        <v>0</v>
      </c>
      <c r="O85" s="120">
        <f t="shared" si="19"/>
        <v>0</v>
      </c>
      <c r="P85" s="120">
        <f>SUM(C85:O85)</f>
        <v>448806.386</v>
      </c>
      <c r="Q85" s="120">
        <f>SUM(Q75:Q84)</f>
        <v>0</v>
      </c>
      <c r="R85" s="120">
        <f>SUM(P85:Q85)</f>
        <v>448806.386</v>
      </c>
    </row>
    <row r="87" spans="2:18" hidden="1" outlineLevel="1" x14ac:dyDescent="0.2">
      <c r="B87" s="129" t="s">
        <v>707</v>
      </c>
      <c r="C87" s="118">
        <v>0</v>
      </c>
      <c r="D87" s="118">
        <v>0</v>
      </c>
      <c r="E87" s="118"/>
      <c r="F87" s="118">
        <v>0</v>
      </c>
      <c r="G87" s="118">
        <v>0</v>
      </c>
      <c r="H87" s="118" t="s">
        <v>160</v>
      </c>
      <c r="I87" s="118" t="s">
        <v>160</v>
      </c>
      <c r="J87" s="118"/>
      <c r="K87" s="118" t="s">
        <v>160</v>
      </c>
      <c r="L87" s="118" t="s">
        <v>160</v>
      </c>
      <c r="M87" s="118" t="s">
        <v>160</v>
      </c>
      <c r="N87" s="118" t="s">
        <v>160</v>
      </c>
      <c r="O87" s="118">
        <v>13996</v>
      </c>
      <c r="P87" s="118">
        <f>O87</f>
        <v>13996</v>
      </c>
      <c r="Q87" s="118">
        <v>0</v>
      </c>
      <c r="R87" s="118">
        <f>SUM(P87:Q87)</f>
        <v>13996</v>
      </c>
    </row>
    <row r="88" spans="2:18" hidden="1" outlineLevel="1" x14ac:dyDescent="0.2">
      <c r="B88" s="129" t="s">
        <v>702</v>
      </c>
      <c r="C88" s="118">
        <v>0</v>
      </c>
      <c r="D88" s="118">
        <v>0</v>
      </c>
      <c r="E88" s="118"/>
      <c r="F88" s="118">
        <v>0</v>
      </c>
      <c r="G88" s="118">
        <v>0</v>
      </c>
      <c r="H88" s="118" t="s">
        <v>160</v>
      </c>
      <c r="I88" s="118" t="s">
        <v>160</v>
      </c>
      <c r="J88" s="118"/>
      <c r="K88" s="118" t="s">
        <v>160</v>
      </c>
      <c r="L88" s="118" t="s">
        <v>160</v>
      </c>
      <c r="M88" s="118" t="s">
        <v>160</v>
      </c>
      <c r="N88" s="118" t="s">
        <v>160</v>
      </c>
      <c r="O88" s="118" t="s">
        <v>160</v>
      </c>
      <c r="P88" s="118" t="s">
        <v>160</v>
      </c>
      <c r="Q88" s="118">
        <v>0</v>
      </c>
      <c r="R88" s="118">
        <f>SUM(P88:Q88)</f>
        <v>0</v>
      </c>
    </row>
    <row r="89" spans="2:18" hidden="1" outlineLevel="1" x14ac:dyDescent="0.2">
      <c r="B89" s="129" t="s">
        <v>703</v>
      </c>
      <c r="C89" s="118">
        <v>0</v>
      </c>
      <c r="D89" s="118">
        <v>0</v>
      </c>
      <c r="E89" s="118"/>
      <c r="F89" s="118">
        <v>0</v>
      </c>
      <c r="G89" s="118">
        <v>0</v>
      </c>
      <c r="H89" s="118" t="s">
        <v>160</v>
      </c>
      <c r="I89" s="118" t="s">
        <v>160</v>
      </c>
      <c r="J89" s="118"/>
      <c r="K89" s="118" t="s">
        <v>160</v>
      </c>
      <c r="L89" s="118" t="s">
        <v>160</v>
      </c>
      <c r="M89" s="118" t="s">
        <v>160</v>
      </c>
      <c r="N89" s="118" t="s">
        <v>160</v>
      </c>
      <c r="O89" s="118" t="s">
        <v>160</v>
      </c>
      <c r="P89" s="118" t="s">
        <v>160</v>
      </c>
      <c r="Q89" s="118">
        <v>0</v>
      </c>
      <c r="R89" s="118">
        <f>SUM(P89:Q89)</f>
        <v>0</v>
      </c>
    </row>
    <row r="90" spans="2:18" hidden="1" outlineLevel="1" x14ac:dyDescent="0.2">
      <c r="B90" s="129" t="s">
        <v>895</v>
      </c>
      <c r="C90" s="118">
        <v>0</v>
      </c>
      <c r="D90" s="118">
        <v>0</v>
      </c>
      <c r="E90" s="118"/>
      <c r="F90" s="118"/>
      <c r="G90" s="118"/>
      <c r="H90" s="118">
        <v>2811</v>
      </c>
      <c r="I90" s="118">
        <v>0</v>
      </c>
      <c r="J90" s="118"/>
      <c r="K90" s="118">
        <v>0</v>
      </c>
      <c r="L90" s="118">
        <v>0</v>
      </c>
      <c r="M90" s="118">
        <v>0</v>
      </c>
      <c r="N90" s="118">
        <v>0</v>
      </c>
      <c r="O90" s="118">
        <v>-2811</v>
      </c>
      <c r="P90" s="118">
        <v>0</v>
      </c>
      <c r="Q90" s="118">
        <v>0</v>
      </c>
      <c r="R90" s="118">
        <v>0</v>
      </c>
    </row>
    <row r="91" spans="2:18" hidden="1" outlineLevel="1" x14ac:dyDescent="0.2">
      <c r="B91" s="192" t="s">
        <v>699</v>
      </c>
      <c r="C91" s="118"/>
      <c r="D91" s="118"/>
      <c r="E91" s="118"/>
      <c r="F91" s="118"/>
      <c r="G91" s="118"/>
      <c r="H91" s="118"/>
      <c r="I91" s="118"/>
      <c r="J91" s="118"/>
      <c r="K91" s="118"/>
      <c r="L91" s="118"/>
      <c r="M91" s="118"/>
      <c r="N91" s="118"/>
      <c r="O91" s="118"/>
      <c r="P91" s="118"/>
      <c r="Q91" s="118"/>
      <c r="R91" s="118"/>
    </row>
    <row r="92" spans="2:18" hidden="1" outlineLevel="1" x14ac:dyDescent="0.2">
      <c r="B92" s="129" t="s">
        <v>700</v>
      </c>
      <c r="C92" s="118">
        <v>0</v>
      </c>
      <c r="D92" s="118">
        <v>0</v>
      </c>
      <c r="E92" s="118"/>
      <c r="F92" s="118">
        <v>0</v>
      </c>
      <c r="G92" s="118">
        <v>0</v>
      </c>
      <c r="H92" s="118" t="s">
        <v>160</v>
      </c>
      <c r="I92" s="118">
        <v>0</v>
      </c>
      <c r="J92" s="118"/>
      <c r="K92" s="118" t="s">
        <v>160</v>
      </c>
      <c r="L92" s="118" t="s">
        <v>160</v>
      </c>
      <c r="M92" s="118" t="s">
        <v>160</v>
      </c>
      <c r="N92" s="118" t="s">
        <v>160</v>
      </c>
      <c r="O92" s="118" t="s">
        <v>160</v>
      </c>
      <c r="P92" s="118" t="s">
        <v>160</v>
      </c>
      <c r="Q92" s="118">
        <v>0</v>
      </c>
      <c r="R92" s="118">
        <f>SUM(P92:Q92)</f>
        <v>0</v>
      </c>
    </row>
    <row r="93" spans="2:18" hidden="1" outlineLevel="1" x14ac:dyDescent="0.2">
      <c r="B93" s="129" t="s">
        <v>701</v>
      </c>
      <c r="C93" s="118">
        <v>0</v>
      </c>
      <c r="D93" s="118">
        <v>0</v>
      </c>
      <c r="E93" s="118"/>
      <c r="F93" s="118">
        <v>0</v>
      </c>
      <c r="G93" s="118">
        <v>0</v>
      </c>
      <c r="H93" s="118" t="s">
        <v>160</v>
      </c>
      <c r="I93" s="118">
        <v>0</v>
      </c>
      <c r="J93" s="118"/>
      <c r="K93" s="118" t="s">
        <v>160</v>
      </c>
      <c r="L93" s="118" t="s">
        <v>160</v>
      </c>
      <c r="M93" s="118" t="s">
        <v>160</v>
      </c>
      <c r="N93" s="118" t="s">
        <v>160</v>
      </c>
      <c r="O93" s="118" t="s">
        <v>160</v>
      </c>
      <c r="P93" s="118" t="s">
        <v>160</v>
      </c>
      <c r="Q93" s="118">
        <v>0</v>
      </c>
      <c r="R93" s="118">
        <f>SUM(P93:Q93)</f>
        <v>0</v>
      </c>
    </row>
    <row r="94" spans="2:18" ht="14.25" hidden="1" customHeight="1" outlineLevel="1" x14ac:dyDescent="0.2">
      <c r="B94" s="129" t="s">
        <v>736</v>
      </c>
      <c r="C94" s="118">
        <v>0</v>
      </c>
      <c r="D94" s="118">
        <v>0</v>
      </c>
      <c r="E94" s="118"/>
      <c r="F94" s="118">
        <v>0</v>
      </c>
      <c r="G94" s="118">
        <v>0</v>
      </c>
      <c r="H94" s="118">
        <v>0</v>
      </c>
      <c r="I94" s="118">
        <v>0</v>
      </c>
      <c r="J94" s="118"/>
      <c r="K94" s="118" t="s">
        <v>160</v>
      </c>
      <c r="L94" s="118" t="s">
        <v>160</v>
      </c>
      <c r="M94" s="118" t="s">
        <v>160</v>
      </c>
      <c r="N94" s="118" t="s">
        <v>160</v>
      </c>
      <c r="O94" s="118" t="s">
        <v>160</v>
      </c>
      <c r="P94" s="118" t="s">
        <v>160</v>
      </c>
      <c r="Q94" s="118">
        <v>0</v>
      </c>
      <c r="R94" s="118">
        <f>SUM(P94:Q94)</f>
        <v>0</v>
      </c>
    </row>
    <row r="95" spans="2:18" collapsed="1" x14ac:dyDescent="0.2">
      <c r="B95" s="126" t="s">
        <v>740</v>
      </c>
      <c r="C95" s="120">
        <f>SUM(C85:C94)</f>
        <v>144469</v>
      </c>
      <c r="D95" s="120">
        <f>SUM(D85:D94)</f>
        <v>174055</v>
      </c>
      <c r="E95" s="120"/>
      <c r="F95" s="120">
        <f>SUM(F85:F94)</f>
        <v>0</v>
      </c>
      <c r="G95" s="120">
        <f>SUM(G85:G94)</f>
        <v>0</v>
      </c>
      <c r="H95" s="120">
        <f>SUM(H85:H94)</f>
        <v>14771</v>
      </c>
      <c r="I95" s="120">
        <f t="shared" ref="I95:O95" si="20">SUM(I85:I94)</f>
        <v>28894</v>
      </c>
      <c r="J95" s="120" t="s">
        <v>160</v>
      </c>
      <c r="K95" s="120">
        <f t="shared" si="20"/>
        <v>54042.385999999999</v>
      </c>
      <c r="L95" s="120">
        <f t="shared" si="20"/>
        <v>35728</v>
      </c>
      <c r="M95" s="120">
        <f t="shared" si="20"/>
        <v>-342</v>
      </c>
      <c r="N95" s="120">
        <f t="shared" si="20"/>
        <v>0</v>
      </c>
      <c r="O95" s="120">
        <f t="shared" si="20"/>
        <v>11185</v>
      </c>
      <c r="P95" s="120">
        <f>SUM(C95:O95)</f>
        <v>462802.386</v>
      </c>
      <c r="Q95" s="120"/>
      <c r="R95" s="120">
        <f>SUM(P95:Q95)</f>
        <v>462802.386</v>
      </c>
    </row>
    <row r="96" spans="2:18" ht="13.5" customHeight="1" x14ac:dyDescent="0.2"/>
    <row r="97" spans="2:18" hidden="1" outlineLevel="1" x14ac:dyDescent="0.2">
      <c r="B97" s="129" t="s">
        <v>707</v>
      </c>
      <c r="C97" s="118" t="s">
        <v>160</v>
      </c>
      <c r="D97" s="118" t="s">
        <v>160</v>
      </c>
      <c r="E97" s="118"/>
      <c r="F97" s="118" t="s">
        <v>160</v>
      </c>
      <c r="G97" s="118" t="s">
        <v>160</v>
      </c>
      <c r="H97" s="118" t="s">
        <v>160</v>
      </c>
      <c r="I97" s="118" t="s">
        <v>160</v>
      </c>
      <c r="J97" s="118"/>
      <c r="K97" s="118" t="s">
        <v>160</v>
      </c>
      <c r="L97" s="118" t="s">
        <v>160</v>
      </c>
      <c r="M97" s="118" t="s">
        <v>160</v>
      </c>
      <c r="N97" s="118" t="s">
        <v>160</v>
      </c>
      <c r="O97" s="118">
        <v>28185</v>
      </c>
      <c r="P97" s="118">
        <f>O97</f>
        <v>28185</v>
      </c>
      <c r="Q97" s="118">
        <v>0</v>
      </c>
      <c r="R97" s="118">
        <f>SUM(P97:Q97)</f>
        <v>28185</v>
      </c>
    </row>
    <row r="98" spans="2:18" hidden="1" outlineLevel="1" x14ac:dyDescent="0.2">
      <c r="B98" s="129" t="s">
        <v>702</v>
      </c>
      <c r="C98" s="118" t="s">
        <v>160</v>
      </c>
      <c r="D98" s="118" t="s">
        <v>160</v>
      </c>
      <c r="E98" s="118"/>
      <c r="F98" s="118" t="s">
        <v>160</v>
      </c>
      <c r="G98" s="118" t="s">
        <v>160</v>
      </c>
      <c r="H98" s="118" t="s">
        <v>160</v>
      </c>
      <c r="I98" s="118" t="s">
        <v>160</v>
      </c>
      <c r="J98" s="118"/>
      <c r="K98" s="118" t="s">
        <v>160</v>
      </c>
      <c r="L98" s="118" t="s">
        <v>160</v>
      </c>
      <c r="M98" s="118" t="s">
        <v>160</v>
      </c>
      <c r="N98" s="118" t="s">
        <v>160</v>
      </c>
      <c r="O98" s="118" t="s">
        <v>160</v>
      </c>
      <c r="P98" s="118" t="s">
        <v>160</v>
      </c>
      <c r="Q98" s="118">
        <v>0</v>
      </c>
      <c r="R98" s="118">
        <f>SUM(P98:Q98)</f>
        <v>0</v>
      </c>
    </row>
    <row r="99" spans="2:18" hidden="1" outlineLevel="1" x14ac:dyDescent="0.2">
      <c r="B99" s="129" t="s">
        <v>703</v>
      </c>
      <c r="C99" s="118" t="s">
        <v>160</v>
      </c>
      <c r="D99" s="118" t="s">
        <v>160</v>
      </c>
      <c r="E99" s="118"/>
      <c r="F99" s="118" t="s">
        <v>160</v>
      </c>
      <c r="G99" s="118" t="s">
        <v>160</v>
      </c>
      <c r="H99" s="118" t="s">
        <v>160</v>
      </c>
      <c r="I99" s="118" t="s">
        <v>160</v>
      </c>
      <c r="J99" s="118"/>
      <c r="K99" s="118" t="s">
        <v>160</v>
      </c>
      <c r="L99" s="118" t="s">
        <v>160</v>
      </c>
      <c r="M99" s="118" t="s">
        <v>160</v>
      </c>
      <c r="N99" s="118" t="s">
        <v>160</v>
      </c>
      <c r="O99" s="118" t="s">
        <v>160</v>
      </c>
      <c r="P99" s="118" t="s">
        <v>160</v>
      </c>
      <c r="Q99" s="118">
        <v>0</v>
      </c>
      <c r="R99" s="118">
        <f>SUM(P99:Q99)</f>
        <v>0</v>
      </c>
    </row>
    <row r="100" spans="2:18" hidden="1" outlineLevel="1" x14ac:dyDescent="0.2">
      <c r="B100" s="129" t="s">
        <v>895</v>
      </c>
      <c r="C100" s="118">
        <v>0</v>
      </c>
      <c r="D100" s="118">
        <v>0</v>
      </c>
      <c r="E100" s="118"/>
      <c r="F100" s="118"/>
      <c r="G100" s="118"/>
      <c r="H100" s="118">
        <v>3289</v>
      </c>
      <c r="I100" s="118">
        <v>0</v>
      </c>
      <c r="J100" s="118"/>
      <c r="K100" s="118">
        <v>0</v>
      </c>
      <c r="L100" s="118">
        <v>0</v>
      </c>
      <c r="M100" s="118">
        <v>0</v>
      </c>
      <c r="N100" s="118">
        <v>0</v>
      </c>
      <c r="O100" s="118">
        <v>-3289</v>
      </c>
      <c r="P100" s="118">
        <v>0</v>
      </c>
      <c r="Q100" s="118">
        <v>0</v>
      </c>
      <c r="R100" s="118">
        <v>0</v>
      </c>
    </row>
    <row r="101" spans="2:18" hidden="1" outlineLevel="1" x14ac:dyDescent="0.2">
      <c r="B101" s="129" t="s">
        <v>699</v>
      </c>
      <c r="C101" s="118"/>
      <c r="D101" s="118"/>
      <c r="E101" s="118"/>
      <c r="F101" s="118"/>
      <c r="G101" s="118"/>
      <c r="H101" s="118"/>
      <c r="I101" s="118"/>
      <c r="J101" s="118"/>
      <c r="K101" s="118"/>
      <c r="L101" s="118"/>
      <c r="M101" s="118"/>
      <c r="N101" s="118"/>
      <c r="O101" s="118"/>
      <c r="P101" s="118"/>
      <c r="Q101" s="118"/>
      <c r="R101" s="118"/>
    </row>
    <row r="102" spans="2:18" hidden="1" outlineLevel="1" x14ac:dyDescent="0.2">
      <c r="B102" s="129" t="s">
        <v>700</v>
      </c>
      <c r="C102" s="118" t="s">
        <v>160</v>
      </c>
      <c r="D102" s="118" t="s">
        <v>160</v>
      </c>
      <c r="E102" s="118"/>
      <c r="F102" s="118" t="s">
        <v>160</v>
      </c>
      <c r="G102" s="118" t="s">
        <v>160</v>
      </c>
      <c r="H102" s="118" t="s">
        <v>160</v>
      </c>
      <c r="I102" s="118" t="s">
        <v>160</v>
      </c>
      <c r="J102" s="118"/>
      <c r="K102" s="118" t="s">
        <v>160</v>
      </c>
      <c r="L102" s="118" t="s">
        <v>160</v>
      </c>
      <c r="M102" s="118" t="s">
        <v>160</v>
      </c>
      <c r="N102" s="118" t="s">
        <v>160</v>
      </c>
      <c r="O102" s="118" t="s">
        <v>160</v>
      </c>
      <c r="P102" s="118" t="s">
        <v>160</v>
      </c>
      <c r="Q102" s="118">
        <v>0</v>
      </c>
      <c r="R102" s="118">
        <f>SUM(P102:Q102)</f>
        <v>0</v>
      </c>
    </row>
    <row r="103" spans="2:18" hidden="1" outlineLevel="1" x14ac:dyDescent="0.2">
      <c r="B103" s="129" t="s">
        <v>701</v>
      </c>
      <c r="C103" s="118" t="s">
        <v>160</v>
      </c>
      <c r="D103" s="118" t="s">
        <v>160</v>
      </c>
      <c r="E103" s="118"/>
      <c r="F103" s="118" t="s">
        <v>160</v>
      </c>
      <c r="G103" s="118" t="s">
        <v>160</v>
      </c>
      <c r="H103" s="118" t="s">
        <v>160</v>
      </c>
      <c r="I103" s="118" t="s">
        <v>160</v>
      </c>
      <c r="J103" s="118"/>
      <c r="K103" s="118" t="s">
        <v>160</v>
      </c>
      <c r="L103" s="118" t="s">
        <v>160</v>
      </c>
      <c r="M103" s="118" t="s">
        <v>160</v>
      </c>
      <c r="N103" s="118" t="s">
        <v>160</v>
      </c>
      <c r="O103" s="118" t="s">
        <v>160</v>
      </c>
      <c r="P103" s="118" t="s">
        <v>160</v>
      </c>
      <c r="Q103" s="118">
        <v>0</v>
      </c>
      <c r="R103" s="118">
        <f>SUM(P103:Q103)</f>
        <v>0</v>
      </c>
    </row>
    <row r="104" spans="2:18" ht="14.25" hidden="1" customHeight="1" outlineLevel="1" x14ac:dyDescent="0.2">
      <c r="B104" s="129" t="s">
        <v>736</v>
      </c>
      <c r="C104" s="118">
        <v>0</v>
      </c>
      <c r="D104" s="118">
        <v>0</v>
      </c>
      <c r="E104" s="118"/>
      <c r="F104" s="118">
        <v>0</v>
      </c>
      <c r="G104" s="118">
        <v>0</v>
      </c>
      <c r="H104" s="118">
        <v>0</v>
      </c>
      <c r="I104" s="118">
        <v>0</v>
      </c>
      <c r="J104" s="118"/>
      <c r="K104" s="118">
        <v>0</v>
      </c>
      <c r="L104" s="118">
        <v>-35728</v>
      </c>
      <c r="M104" s="118">
        <v>0</v>
      </c>
      <c r="N104" s="118">
        <v>0</v>
      </c>
      <c r="O104" s="118">
        <v>0</v>
      </c>
      <c r="P104" s="118">
        <f>+L104</f>
        <v>-35728</v>
      </c>
      <c r="Q104" s="118">
        <v>0</v>
      </c>
      <c r="R104" s="118">
        <f>SUM(P104:Q104)</f>
        <v>-35728</v>
      </c>
    </row>
    <row r="105" spans="2:18" collapsed="1" x14ac:dyDescent="0.2">
      <c r="B105" s="126" t="s">
        <v>753</v>
      </c>
      <c r="C105" s="120">
        <f t="shared" ref="C105:N105" si="21">SUM(C95:C104)</f>
        <v>144469</v>
      </c>
      <c r="D105" s="120">
        <f t="shared" si="21"/>
        <v>174055</v>
      </c>
      <c r="E105" s="120"/>
      <c r="F105" s="120">
        <f t="shared" si="21"/>
        <v>0</v>
      </c>
      <c r="G105" s="120">
        <f t="shared" si="21"/>
        <v>0</v>
      </c>
      <c r="H105" s="120">
        <f t="shared" si="21"/>
        <v>18060</v>
      </c>
      <c r="I105" s="120">
        <f t="shared" si="21"/>
        <v>28894</v>
      </c>
      <c r="J105" s="120" t="s">
        <v>160</v>
      </c>
      <c r="K105" s="120">
        <f t="shared" si="21"/>
        <v>54042.385999999999</v>
      </c>
      <c r="L105" s="120">
        <f t="shared" si="21"/>
        <v>0</v>
      </c>
      <c r="M105" s="120">
        <f t="shared" si="21"/>
        <v>-342</v>
      </c>
      <c r="N105" s="120">
        <f t="shared" si="21"/>
        <v>0</v>
      </c>
      <c r="O105" s="120">
        <f>SUM(O95:O104)</f>
        <v>36081</v>
      </c>
      <c r="P105" s="120">
        <f>SUM(C105:O105)</f>
        <v>455259.386</v>
      </c>
      <c r="Q105" s="120"/>
      <c r="R105" s="120">
        <f>SUM(P105:Q105)</f>
        <v>455259.386</v>
      </c>
    </row>
    <row r="106" spans="2:18" ht="13.5" customHeight="1" x14ac:dyDescent="0.2"/>
    <row r="107" spans="2:18" ht="12.75" hidden="1" customHeight="1" outlineLevel="1" x14ac:dyDescent="0.2">
      <c r="B107" s="129" t="s">
        <v>707</v>
      </c>
      <c r="C107" s="118" t="s">
        <v>160</v>
      </c>
      <c r="D107" s="118" t="s">
        <v>160</v>
      </c>
      <c r="E107" s="118"/>
      <c r="F107" s="118" t="s">
        <v>160</v>
      </c>
      <c r="G107" s="118" t="s">
        <v>160</v>
      </c>
      <c r="H107" s="118" t="s">
        <v>160</v>
      </c>
      <c r="I107" s="118" t="s">
        <v>160</v>
      </c>
      <c r="J107" s="118"/>
      <c r="K107" s="118" t="s">
        <v>160</v>
      </c>
      <c r="L107" s="118" t="s">
        <v>160</v>
      </c>
      <c r="M107" s="118" t="s">
        <v>160</v>
      </c>
      <c r="N107" s="118" t="s">
        <v>160</v>
      </c>
      <c r="O107" s="118">
        <v>31107</v>
      </c>
      <c r="P107" s="118">
        <f>+O107</f>
        <v>31107</v>
      </c>
      <c r="Q107" s="118">
        <v>0</v>
      </c>
      <c r="R107" s="118">
        <v>31107</v>
      </c>
    </row>
    <row r="108" spans="2:18" ht="12.75" hidden="1" customHeight="1" outlineLevel="1" x14ac:dyDescent="0.2">
      <c r="B108" s="129" t="s">
        <v>702</v>
      </c>
      <c r="C108" s="118" t="s">
        <v>160</v>
      </c>
      <c r="D108" s="118" t="s">
        <v>160</v>
      </c>
      <c r="E108" s="118"/>
      <c r="F108" s="118" t="s">
        <v>160</v>
      </c>
      <c r="G108" s="118" t="s">
        <v>160</v>
      </c>
      <c r="H108" s="118" t="s">
        <v>160</v>
      </c>
      <c r="I108" s="118" t="s">
        <v>160</v>
      </c>
      <c r="J108" s="118"/>
      <c r="K108" s="118" t="s">
        <v>160</v>
      </c>
      <c r="L108" s="118" t="s">
        <v>160</v>
      </c>
      <c r="M108" s="118" t="s">
        <v>160</v>
      </c>
      <c r="N108" s="118" t="s">
        <v>160</v>
      </c>
      <c r="O108" s="118" t="s">
        <v>160</v>
      </c>
      <c r="P108" s="118">
        <v>0</v>
      </c>
      <c r="Q108" s="118">
        <v>0</v>
      </c>
      <c r="R108" s="118">
        <v>0</v>
      </c>
    </row>
    <row r="109" spans="2:18" ht="12.75" hidden="1" customHeight="1" outlineLevel="1" x14ac:dyDescent="0.2">
      <c r="B109" s="129" t="s">
        <v>703</v>
      </c>
      <c r="C109" s="118" t="s">
        <v>160</v>
      </c>
      <c r="D109" s="118" t="s">
        <v>160</v>
      </c>
      <c r="E109" s="118"/>
      <c r="F109" s="118" t="s">
        <v>160</v>
      </c>
      <c r="G109" s="118" t="s">
        <v>160</v>
      </c>
      <c r="H109" s="118" t="s">
        <v>160</v>
      </c>
      <c r="I109" s="118" t="s">
        <v>160</v>
      </c>
      <c r="J109" s="118"/>
      <c r="K109" s="118" t="s">
        <v>160</v>
      </c>
      <c r="L109" s="118" t="s">
        <v>160</v>
      </c>
      <c r="M109" s="118" t="s">
        <v>160</v>
      </c>
      <c r="N109" s="118" t="s">
        <v>160</v>
      </c>
      <c r="O109" s="118" t="s">
        <v>160</v>
      </c>
      <c r="P109" s="118">
        <v>0</v>
      </c>
      <c r="Q109" s="118">
        <v>0</v>
      </c>
      <c r="R109" s="118">
        <v>0</v>
      </c>
    </row>
    <row r="110" spans="2:18" ht="25.5" hidden="1" outlineLevel="1" x14ac:dyDescent="0.2">
      <c r="B110" s="129" t="s">
        <v>780</v>
      </c>
      <c r="C110" s="118">
        <v>0</v>
      </c>
      <c r="D110" s="118">
        <v>0</v>
      </c>
      <c r="E110" s="118"/>
      <c r="F110" s="118">
        <v>0</v>
      </c>
      <c r="G110" s="118">
        <v>0</v>
      </c>
      <c r="H110" s="118">
        <v>0</v>
      </c>
      <c r="I110" s="118">
        <v>0</v>
      </c>
      <c r="J110" s="118"/>
      <c r="K110" s="118">
        <v>0</v>
      </c>
      <c r="L110" s="118">
        <v>0</v>
      </c>
      <c r="M110" s="118">
        <v>0</v>
      </c>
      <c r="N110" s="118">
        <v>139</v>
      </c>
      <c r="O110" s="118">
        <v>0</v>
      </c>
      <c r="P110" s="118">
        <f>+N110</f>
        <v>139</v>
      </c>
      <c r="Q110" s="118">
        <v>0</v>
      </c>
      <c r="R110" s="118">
        <v>139</v>
      </c>
    </row>
    <row r="111" spans="2:18" hidden="1" outlineLevel="1" x14ac:dyDescent="0.2">
      <c r="B111" s="129" t="s">
        <v>895</v>
      </c>
      <c r="C111" s="118">
        <v>0</v>
      </c>
      <c r="D111" s="118">
        <v>0</v>
      </c>
      <c r="E111" s="118"/>
      <c r="F111" s="118"/>
      <c r="G111" s="118"/>
      <c r="H111" s="118">
        <v>3761</v>
      </c>
      <c r="I111" s="118">
        <v>0</v>
      </c>
      <c r="J111" s="118"/>
      <c r="K111" s="118">
        <v>0</v>
      </c>
      <c r="L111" s="118">
        <v>0</v>
      </c>
      <c r="M111" s="118">
        <v>0</v>
      </c>
      <c r="N111" s="118">
        <v>0</v>
      </c>
      <c r="O111" s="118">
        <v>-3761</v>
      </c>
      <c r="P111" s="118">
        <f>+SUM(C111:O111)</f>
        <v>0</v>
      </c>
      <c r="Q111" s="118">
        <v>0</v>
      </c>
      <c r="R111" s="118">
        <v>0</v>
      </c>
    </row>
    <row r="112" spans="2:18" ht="12.75" hidden="1" customHeight="1" outlineLevel="1" x14ac:dyDescent="0.2">
      <c r="B112" s="129" t="s">
        <v>699</v>
      </c>
      <c r="C112" s="118"/>
      <c r="D112" s="118"/>
      <c r="E112" s="118"/>
      <c r="F112" s="118"/>
      <c r="G112" s="118"/>
      <c r="H112" s="118"/>
      <c r="I112" s="118"/>
      <c r="J112" s="118"/>
      <c r="K112" s="118"/>
      <c r="L112" s="118"/>
      <c r="M112" s="118"/>
      <c r="N112" s="118"/>
      <c r="O112" s="118"/>
      <c r="P112" s="118"/>
      <c r="Q112" s="118"/>
      <c r="R112" s="118"/>
    </row>
    <row r="113" spans="2:18" ht="12.75" hidden="1" customHeight="1" outlineLevel="1" x14ac:dyDescent="0.2">
      <c r="B113" s="129" t="s">
        <v>700</v>
      </c>
      <c r="C113" s="118" t="s">
        <v>160</v>
      </c>
      <c r="D113" s="118" t="s">
        <v>160</v>
      </c>
      <c r="E113" s="118"/>
      <c r="F113" s="118" t="s">
        <v>160</v>
      </c>
      <c r="G113" s="118" t="s">
        <v>160</v>
      </c>
      <c r="H113" s="118" t="s">
        <v>160</v>
      </c>
      <c r="I113" s="118" t="s">
        <v>160</v>
      </c>
      <c r="J113" s="118"/>
      <c r="K113" s="118" t="s">
        <v>160</v>
      </c>
      <c r="L113" s="118" t="s">
        <v>160</v>
      </c>
      <c r="M113" s="118" t="s">
        <v>160</v>
      </c>
      <c r="N113" s="118" t="s">
        <v>160</v>
      </c>
      <c r="O113" s="118" t="s">
        <v>160</v>
      </c>
      <c r="P113" s="118">
        <v>0</v>
      </c>
      <c r="Q113" s="118">
        <v>0</v>
      </c>
      <c r="R113" s="118">
        <v>0</v>
      </c>
    </row>
    <row r="114" spans="2:18" ht="12.75" hidden="1" customHeight="1" outlineLevel="1" x14ac:dyDescent="0.2">
      <c r="B114" s="129" t="s">
        <v>701</v>
      </c>
      <c r="C114" s="118" t="s">
        <v>160</v>
      </c>
      <c r="D114" s="118" t="s">
        <v>160</v>
      </c>
      <c r="E114" s="118"/>
      <c r="F114" s="118" t="s">
        <v>160</v>
      </c>
      <c r="G114" s="118" t="s">
        <v>160</v>
      </c>
      <c r="H114" s="118" t="s">
        <v>160</v>
      </c>
      <c r="I114" s="118" t="s">
        <v>160</v>
      </c>
      <c r="J114" s="118"/>
      <c r="K114" s="118" t="s">
        <v>160</v>
      </c>
      <c r="L114" s="118" t="s">
        <v>160</v>
      </c>
      <c r="M114" s="118" t="s">
        <v>160</v>
      </c>
      <c r="N114" s="118" t="s">
        <v>160</v>
      </c>
      <c r="O114" s="118" t="s">
        <v>160</v>
      </c>
      <c r="P114" s="118">
        <v>0</v>
      </c>
      <c r="Q114" s="118">
        <v>0</v>
      </c>
      <c r="R114" s="118">
        <v>0</v>
      </c>
    </row>
    <row r="115" spans="2:18" ht="14.25" hidden="1" customHeight="1" outlineLevel="1" x14ac:dyDescent="0.2">
      <c r="B115" s="129" t="s">
        <v>736</v>
      </c>
      <c r="C115" s="118">
        <v>0</v>
      </c>
      <c r="D115" s="118">
        <v>0</v>
      </c>
      <c r="E115" s="118"/>
      <c r="F115" s="118">
        <v>0</v>
      </c>
      <c r="G115" s="118">
        <v>0</v>
      </c>
      <c r="H115" s="118">
        <v>0</v>
      </c>
      <c r="I115" s="118">
        <v>0</v>
      </c>
      <c r="J115" s="118"/>
      <c r="K115" s="118">
        <v>0</v>
      </c>
      <c r="L115" s="118">
        <v>0</v>
      </c>
      <c r="M115" s="118">
        <v>0</v>
      </c>
      <c r="N115" s="118">
        <v>0</v>
      </c>
      <c r="O115" s="118">
        <v>-21090</v>
      </c>
      <c r="P115" s="118">
        <f>+O115</f>
        <v>-21090</v>
      </c>
      <c r="Q115" s="118">
        <v>0</v>
      </c>
      <c r="R115" s="118">
        <f>+P115</f>
        <v>-21090</v>
      </c>
    </row>
    <row r="116" spans="2:18" collapsed="1" x14ac:dyDescent="0.2">
      <c r="B116" s="126" t="s">
        <v>772</v>
      </c>
      <c r="C116" s="120">
        <f>+SUM(C105:C115)</f>
        <v>144469</v>
      </c>
      <c r="D116" s="120">
        <f t="shared" ref="D116:R116" si="22">+SUM(D105:D115)</f>
        <v>174055</v>
      </c>
      <c r="E116" s="120"/>
      <c r="F116" s="120">
        <f t="shared" si="22"/>
        <v>0</v>
      </c>
      <c r="G116" s="120">
        <f t="shared" si="22"/>
        <v>0</v>
      </c>
      <c r="H116" s="120">
        <f t="shared" si="22"/>
        <v>21821</v>
      </c>
      <c r="I116" s="120">
        <f t="shared" si="22"/>
        <v>28894</v>
      </c>
      <c r="J116" s="120" t="s">
        <v>160</v>
      </c>
      <c r="K116" s="120">
        <f t="shared" si="22"/>
        <v>54042.385999999999</v>
      </c>
      <c r="L116" s="120">
        <f t="shared" si="22"/>
        <v>0</v>
      </c>
      <c r="M116" s="120">
        <f t="shared" si="22"/>
        <v>-342</v>
      </c>
      <c r="N116" s="120">
        <f t="shared" si="22"/>
        <v>139</v>
      </c>
      <c r="O116" s="120">
        <f t="shared" si="22"/>
        <v>42337</v>
      </c>
      <c r="P116" s="120">
        <f t="shared" si="22"/>
        <v>465415.386</v>
      </c>
      <c r="Q116" s="120">
        <f t="shared" si="22"/>
        <v>0</v>
      </c>
      <c r="R116" s="120">
        <f t="shared" si="22"/>
        <v>465415.386</v>
      </c>
    </row>
    <row r="117" spans="2:18" ht="13.5" customHeight="1" x14ac:dyDescent="0.2"/>
    <row r="118" spans="2:18" hidden="1" outlineLevel="1" x14ac:dyDescent="0.2">
      <c r="B118" s="129" t="s">
        <v>707</v>
      </c>
      <c r="C118" s="118" t="s">
        <v>160</v>
      </c>
      <c r="D118" s="118" t="s">
        <v>160</v>
      </c>
      <c r="E118" s="118"/>
      <c r="F118" s="118" t="s">
        <v>160</v>
      </c>
      <c r="G118" s="118" t="s">
        <v>160</v>
      </c>
      <c r="H118" s="118">
        <v>0</v>
      </c>
      <c r="I118" s="118" t="s">
        <v>160</v>
      </c>
      <c r="J118" s="118"/>
      <c r="K118" s="118" t="s">
        <v>160</v>
      </c>
      <c r="L118" s="118" t="s">
        <v>160</v>
      </c>
      <c r="M118" s="118" t="s">
        <v>160</v>
      </c>
      <c r="N118" s="118" t="s">
        <v>160</v>
      </c>
      <c r="O118" s="118">
        <v>34961</v>
      </c>
      <c r="P118" s="118">
        <f t="shared" ref="P118:P127" si="23">+SUM(C118:O118)</f>
        <v>34961</v>
      </c>
      <c r="Q118" s="118">
        <v>0</v>
      </c>
      <c r="R118" s="118">
        <f t="shared" ref="R118:R126" si="24">+SUM(P118:Q118)</f>
        <v>34961</v>
      </c>
    </row>
    <row r="119" spans="2:18" hidden="1" outlineLevel="1" x14ac:dyDescent="0.2">
      <c r="B119" s="129" t="s">
        <v>702</v>
      </c>
      <c r="C119" s="118" t="s">
        <v>160</v>
      </c>
      <c r="D119" s="118" t="s">
        <v>160</v>
      </c>
      <c r="E119" s="118"/>
      <c r="F119" s="118" t="s">
        <v>160</v>
      </c>
      <c r="G119" s="118" t="s">
        <v>160</v>
      </c>
      <c r="H119" s="118">
        <v>0</v>
      </c>
      <c r="I119" s="118" t="s">
        <v>160</v>
      </c>
      <c r="J119" s="118"/>
      <c r="K119" s="118" t="s">
        <v>160</v>
      </c>
      <c r="L119" s="118" t="s">
        <v>160</v>
      </c>
      <c r="M119" s="118" t="s">
        <v>160</v>
      </c>
      <c r="N119" s="118" t="s">
        <v>160</v>
      </c>
      <c r="O119" s="118" t="s">
        <v>160</v>
      </c>
      <c r="P119" s="118">
        <f t="shared" si="23"/>
        <v>0</v>
      </c>
      <c r="Q119" s="118">
        <v>0</v>
      </c>
      <c r="R119" s="118">
        <f t="shared" si="24"/>
        <v>0</v>
      </c>
    </row>
    <row r="120" spans="2:18" hidden="1" outlineLevel="1" x14ac:dyDescent="0.2">
      <c r="B120" s="129" t="s">
        <v>703</v>
      </c>
      <c r="C120" s="118" t="s">
        <v>160</v>
      </c>
      <c r="D120" s="118" t="s">
        <v>160</v>
      </c>
      <c r="E120" s="118"/>
      <c r="F120" s="118" t="s">
        <v>160</v>
      </c>
      <c r="G120" s="118" t="s">
        <v>160</v>
      </c>
      <c r="H120" s="118">
        <v>0</v>
      </c>
      <c r="I120" s="118" t="s">
        <v>160</v>
      </c>
      <c r="J120" s="118"/>
      <c r="K120" s="118" t="s">
        <v>160</v>
      </c>
      <c r="L120" s="118" t="s">
        <v>160</v>
      </c>
      <c r="M120" s="118" t="s">
        <v>160</v>
      </c>
      <c r="N120" s="118" t="s">
        <v>160</v>
      </c>
      <c r="O120" s="118" t="s">
        <v>160</v>
      </c>
      <c r="P120" s="118">
        <f t="shared" si="23"/>
        <v>0</v>
      </c>
      <c r="Q120" s="118">
        <v>0</v>
      </c>
      <c r="R120" s="118">
        <f t="shared" si="24"/>
        <v>0</v>
      </c>
    </row>
    <row r="121" spans="2:18" ht="25.5" hidden="1" outlineLevel="1" x14ac:dyDescent="0.2">
      <c r="B121" s="129" t="s">
        <v>780</v>
      </c>
      <c r="C121" s="118" t="s">
        <v>160</v>
      </c>
      <c r="D121" s="118" t="s">
        <v>160</v>
      </c>
      <c r="E121" s="118"/>
      <c r="F121" s="118" t="s">
        <v>160</v>
      </c>
      <c r="G121" s="118" t="s">
        <v>160</v>
      </c>
      <c r="H121" s="118">
        <v>0</v>
      </c>
      <c r="I121" s="118" t="s">
        <v>160</v>
      </c>
      <c r="J121" s="118"/>
      <c r="K121" s="118" t="s">
        <v>160</v>
      </c>
      <c r="L121" s="118" t="s">
        <v>160</v>
      </c>
      <c r="M121" s="118" t="s">
        <v>160</v>
      </c>
      <c r="N121" s="118">
        <v>-450</v>
      </c>
      <c r="O121" s="118" t="s">
        <v>160</v>
      </c>
      <c r="P121" s="118">
        <f t="shared" si="23"/>
        <v>-450</v>
      </c>
      <c r="Q121" s="118">
        <v>0</v>
      </c>
      <c r="R121" s="118">
        <f t="shared" si="24"/>
        <v>-450</v>
      </c>
    </row>
    <row r="122" spans="2:18" hidden="1" outlineLevel="1" x14ac:dyDescent="0.2">
      <c r="B122" s="129" t="s">
        <v>912</v>
      </c>
      <c r="C122" s="118" t="s">
        <v>160</v>
      </c>
      <c r="D122" s="118" t="s">
        <v>160</v>
      </c>
      <c r="E122" s="118"/>
      <c r="F122" s="118"/>
      <c r="G122" s="118"/>
      <c r="H122" s="118">
        <v>0</v>
      </c>
      <c r="I122" s="118" t="s">
        <v>160</v>
      </c>
      <c r="J122" s="118"/>
      <c r="K122" s="118" t="s">
        <v>160</v>
      </c>
      <c r="L122" s="118" t="s">
        <v>160</v>
      </c>
      <c r="M122" s="118" t="s">
        <v>160</v>
      </c>
      <c r="N122" s="118" t="s">
        <v>160</v>
      </c>
      <c r="O122" s="118" t="s">
        <v>160</v>
      </c>
      <c r="P122" s="118">
        <f t="shared" si="23"/>
        <v>0</v>
      </c>
      <c r="Q122" s="118">
        <v>0</v>
      </c>
      <c r="R122" s="118">
        <f t="shared" si="24"/>
        <v>0</v>
      </c>
    </row>
    <row r="123" spans="2:18" hidden="1" outlineLevel="1" x14ac:dyDescent="0.2">
      <c r="B123" s="129" t="s">
        <v>895</v>
      </c>
      <c r="C123" s="118" t="s">
        <v>160</v>
      </c>
      <c r="D123" s="118" t="s">
        <v>160</v>
      </c>
      <c r="E123" s="118"/>
      <c r="F123" s="118"/>
      <c r="G123" s="118"/>
      <c r="H123" s="118">
        <v>4145</v>
      </c>
      <c r="I123" s="118" t="s">
        <v>160</v>
      </c>
      <c r="J123" s="118"/>
      <c r="K123" s="118" t="s">
        <v>160</v>
      </c>
      <c r="L123" s="118" t="s">
        <v>160</v>
      </c>
      <c r="M123" s="118" t="s">
        <v>160</v>
      </c>
      <c r="N123" s="118" t="s">
        <v>160</v>
      </c>
      <c r="O123" s="118">
        <v>-4145</v>
      </c>
      <c r="P123" s="118">
        <f>+SUM(C123:O123)</f>
        <v>0</v>
      </c>
      <c r="Q123" s="118">
        <v>0</v>
      </c>
      <c r="R123" s="118">
        <f t="shared" si="24"/>
        <v>0</v>
      </c>
    </row>
    <row r="124" spans="2:18" hidden="1" outlineLevel="1" x14ac:dyDescent="0.2">
      <c r="B124" s="129" t="s">
        <v>699</v>
      </c>
      <c r="C124" s="118"/>
      <c r="D124" s="118"/>
      <c r="E124" s="118"/>
      <c r="F124" s="118"/>
      <c r="G124" s="118"/>
      <c r="H124" s="118"/>
      <c r="I124" s="118"/>
      <c r="J124" s="118"/>
      <c r="K124" s="118"/>
      <c r="L124" s="118"/>
      <c r="M124" s="118"/>
      <c r="N124" s="118"/>
      <c r="O124" s="118"/>
      <c r="P124" s="118"/>
      <c r="Q124" s="118"/>
      <c r="R124" s="118"/>
    </row>
    <row r="125" spans="2:18" hidden="1" outlineLevel="1" x14ac:dyDescent="0.2">
      <c r="B125" s="129" t="s">
        <v>700</v>
      </c>
      <c r="C125" s="118" t="s">
        <v>160</v>
      </c>
      <c r="D125" s="118" t="s">
        <v>160</v>
      </c>
      <c r="E125" s="118"/>
      <c r="F125" s="118" t="s">
        <v>160</v>
      </c>
      <c r="G125" s="118" t="s">
        <v>160</v>
      </c>
      <c r="H125" s="118">
        <v>0</v>
      </c>
      <c r="I125" s="118" t="s">
        <v>160</v>
      </c>
      <c r="J125" s="118"/>
      <c r="K125" s="118">
        <v>94243</v>
      </c>
      <c r="L125" s="118" t="s">
        <v>160</v>
      </c>
      <c r="M125" s="118" t="s">
        <v>160</v>
      </c>
      <c r="N125" s="118" t="s">
        <v>160</v>
      </c>
      <c r="O125" s="118">
        <v>-94243</v>
      </c>
      <c r="P125" s="118">
        <f t="shared" si="23"/>
        <v>0</v>
      </c>
      <c r="Q125" s="118">
        <v>0</v>
      </c>
      <c r="R125" s="118">
        <f t="shared" si="24"/>
        <v>0</v>
      </c>
    </row>
    <row r="126" spans="2:18" hidden="1" outlineLevel="1" x14ac:dyDescent="0.2">
      <c r="B126" s="129" t="s">
        <v>701</v>
      </c>
      <c r="C126" s="118" t="s">
        <v>160</v>
      </c>
      <c r="D126" s="118" t="s">
        <v>160</v>
      </c>
      <c r="E126" s="118"/>
      <c r="F126" s="118" t="s">
        <v>160</v>
      </c>
      <c r="G126" s="118" t="s">
        <v>160</v>
      </c>
      <c r="H126" s="118">
        <v>0</v>
      </c>
      <c r="I126" s="118" t="s">
        <v>160</v>
      </c>
      <c r="J126" s="118"/>
      <c r="K126" s="118" t="s">
        <v>160</v>
      </c>
      <c r="L126" s="118" t="s">
        <v>160</v>
      </c>
      <c r="M126" s="118" t="s">
        <v>160</v>
      </c>
      <c r="N126" s="118" t="s">
        <v>160</v>
      </c>
      <c r="O126" s="118" t="s">
        <v>160</v>
      </c>
      <c r="P126" s="118">
        <f t="shared" si="23"/>
        <v>0</v>
      </c>
      <c r="Q126" s="118">
        <v>0</v>
      </c>
      <c r="R126" s="118">
        <f t="shared" si="24"/>
        <v>0</v>
      </c>
    </row>
    <row r="127" spans="2:18" ht="14.25" hidden="1" customHeight="1" outlineLevel="1" x14ac:dyDescent="0.2">
      <c r="B127" s="129" t="s">
        <v>736</v>
      </c>
      <c r="C127" s="118" t="s">
        <v>160</v>
      </c>
      <c r="D127" s="118" t="s">
        <v>160</v>
      </c>
      <c r="E127" s="118"/>
      <c r="F127" s="118" t="s">
        <v>160</v>
      </c>
      <c r="G127" s="118" t="s">
        <v>160</v>
      </c>
      <c r="H127" s="118">
        <v>0</v>
      </c>
      <c r="I127" s="118" t="s">
        <v>160</v>
      </c>
      <c r="J127" s="118"/>
      <c r="K127" s="118">
        <v>-64950</v>
      </c>
      <c r="L127" s="118">
        <v>28306</v>
      </c>
      <c r="M127" s="118" t="s">
        <v>160</v>
      </c>
      <c r="N127" s="118" t="s">
        <v>160</v>
      </c>
      <c r="O127" s="118">
        <v>21090</v>
      </c>
      <c r="P127" s="118">
        <f t="shared" si="23"/>
        <v>-15554</v>
      </c>
      <c r="Q127" s="118">
        <v>0</v>
      </c>
      <c r="R127" s="118">
        <f>+SUM(P127:Q127)</f>
        <v>-15554</v>
      </c>
    </row>
    <row r="128" spans="2:18" collapsed="1" x14ac:dyDescent="0.2">
      <c r="B128" s="126" t="s">
        <v>789</v>
      </c>
      <c r="C128" s="120">
        <f t="shared" ref="C128:R128" si="25">SUM(C116:C127)</f>
        <v>144469</v>
      </c>
      <c r="D128" s="120">
        <f t="shared" si="25"/>
        <v>174055</v>
      </c>
      <c r="E128" s="120"/>
      <c r="F128" s="120">
        <f t="shared" si="25"/>
        <v>0</v>
      </c>
      <c r="G128" s="120">
        <f t="shared" si="25"/>
        <v>0</v>
      </c>
      <c r="H128" s="120">
        <f t="shared" si="25"/>
        <v>25966</v>
      </c>
      <c r="I128" s="120">
        <f t="shared" si="25"/>
        <v>28894</v>
      </c>
      <c r="J128" s="120" t="s">
        <v>160</v>
      </c>
      <c r="K128" s="120">
        <f t="shared" si="25"/>
        <v>83335.385999999999</v>
      </c>
      <c r="L128" s="120">
        <f t="shared" si="25"/>
        <v>28306</v>
      </c>
      <c r="M128" s="120">
        <f t="shared" si="25"/>
        <v>-342</v>
      </c>
      <c r="N128" s="120">
        <f t="shared" si="25"/>
        <v>-311</v>
      </c>
      <c r="O128" s="120">
        <f t="shared" si="25"/>
        <v>0</v>
      </c>
      <c r="P128" s="120">
        <f t="shared" si="25"/>
        <v>484372.386</v>
      </c>
      <c r="Q128" s="120">
        <f t="shared" si="25"/>
        <v>0</v>
      </c>
      <c r="R128" s="120">
        <f t="shared" si="25"/>
        <v>484372.386</v>
      </c>
    </row>
    <row r="129" spans="1:18" ht="13.5" customHeight="1" x14ac:dyDescent="0.2"/>
    <row r="130" spans="1:18" hidden="1" outlineLevel="1" x14ac:dyDescent="0.2">
      <c r="B130" s="129" t="s">
        <v>707</v>
      </c>
      <c r="C130" s="118">
        <v>0</v>
      </c>
      <c r="D130" s="118">
        <v>0</v>
      </c>
      <c r="E130" s="118"/>
      <c r="F130" s="118">
        <v>0</v>
      </c>
      <c r="G130" s="118">
        <v>0</v>
      </c>
      <c r="H130" s="118">
        <v>0</v>
      </c>
      <c r="I130" s="118">
        <v>0</v>
      </c>
      <c r="J130" s="118"/>
      <c r="K130" s="118">
        <v>0</v>
      </c>
      <c r="L130" s="118">
        <v>0</v>
      </c>
      <c r="M130" s="118">
        <v>0</v>
      </c>
      <c r="N130" s="118">
        <v>0</v>
      </c>
      <c r="O130" s="118">
        <v>26621</v>
      </c>
      <c r="P130" s="118">
        <f>+SUM(C130:O130)</f>
        <v>26621</v>
      </c>
      <c r="Q130" s="118">
        <v>0</v>
      </c>
      <c r="R130" s="118">
        <f>+SUM(P130:Q130)</f>
        <v>26621</v>
      </c>
    </row>
    <row r="131" spans="1:18" hidden="1" outlineLevel="1" x14ac:dyDescent="0.2">
      <c r="B131" s="129" t="s">
        <v>702</v>
      </c>
      <c r="C131" s="118">
        <v>0</v>
      </c>
      <c r="D131" s="118">
        <v>0</v>
      </c>
      <c r="E131" s="118"/>
      <c r="F131" s="118">
        <v>0</v>
      </c>
      <c r="G131" s="118">
        <v>0</v>
      </c>
      <c r="H131" s="118">
        <v>0</v>
      </c>
      <c r="I131" s="118">
        <v>0</v>
      </c>
      <c r="J131" s="118"/>
      <c r="K131" s="118">
        <v>0</v>
      </c>
      <c r="L131" s="118">
        <v>0</v>
      </c>
      <c r="M131" s="118">
        <v>0</v>
      </c>
      <c r="N131" s="118">
        <v>0</v>
      </c>
      <c r="O131" s="118">
        <v>0</v>
      </c>
      <c r="P131" s="118">
        <v>0</v>
      </c>
      <c r="Q131" s="118">
        <v>0</v>
      </c>
      <c r="R131" s="118">
        <f t="shared" ref="R131:R139" si="26">+SUM(P131:Q131)</f>
        <v>0</v>
      </c>
    </row>
    <row r="132" spans="1:18" hidden="1" outlineLevel="1" x14ac:dyDescent="0.2">
      <c r="B132" s="129" t="s">
        <v>703</v>
      </c>
      <c r="C132" s="118">
        <v>0</v>
      </c>
      <c r="D132" s="118">
        <v>0</v>
      </c>
      <c r="E132" s="118"/>
      <c r="F132" s="118">
        <v>0</v>
      </c>
      <c r="G132" s="118">
        <v>0</v>
      </c>
      <c r="H132" s="118">
        <v>0</v>
      </c>
      <c r="I132" s="118">
        <v>0</v>
      </c>
      <c r="J132" s="118"/>
      <c r="K132" s="118">
        <v>0</v>
      </c>
      <c r="L132" s="118">
        <v>0</v>
      </c>
      <c r="M132" s="118">
        <v>0</v>
      </c>
      <c r="N132" s="118">
        <v>0</v>
      </c>
      <c r="O132" s="118">
        <v>0</v>
      </c>
      <c r="P132" s="118">
        <v>0</v>
      </c>
      <c r="Q132" s="118">
        <v>0</v>
      </c>
      <c r="R132" s="118">
        <f t="shared" si="26"/>
        <v>0</v>
      </c>
    </row>
    <row r="133" spans="1:18" ht="25.5" hidden="1" outlineLevel="1" x14ac:dyDescent="0.2">
      <c r="B133" s="129" t="s">
        <v>780</v>
      </c>
      <c r="C133" s="118" t="s">
        <v>160</v>
      </c>
      <c r="D133" s="118" t="s">
        <v>160</v>
      </c>
      <c r="E133" s="118"/>
      <c r="F133" s="118">
        <v>0</v>
      </c>
      <c r="G133" s="118">
        <v>0</v>
      </c>
      <c r="H133" s="118">
        <v>0</v>
      </c>
      <c r="I133" s="118" t="s">
        <v>160</v>
      </c>
      <c r="J133" s="118"/>
      <c r="K133" s="118" t="s">
        <v>160</v>
      </c>
      <c r="L133" s="118" t="s">
        <v>160</v>
      </c>
      <c r="M133" s="118" t="s">
        <v>160</v>
      </c>
      <c r="N133" s="118">
        <v>19</v>
      </c>
      <c r="O133" s="118">
        <v>0</v>
      </c>
      <c r="P133" s="118">
        <f>+SUM(C133:O133)</f>
        <v>19</v>
      </c>
      <c r="Q133" s="118">
        <v>0</v>
      </c>
      <c r="R133" s="118">
        <f t="shared" si="26"/>
        <v>19</v>
      </c>
    </row>
    <row r="134" spans="1:18" hidden="1" outlineLevel="1" x14ac:dyDescent="0.2">
      <c r="B134" s="129" t="s">
        <v>912</v>
      </c>
      <c r="C134" s="118" t="s">
        <v>160</v>
      </c>
      <c r="D134" s="118" t="s">
        <v>160</v>
      </c>
      <c r="E134" s="118"/>
      <c r="F134" s="118"/>
      <c r="G134" s="118"/>
      <c r="H134" s="118" t="s">
        <v>160</v>
      </c>
      <c r="I134" s="118" t="s">
        <v>160</v>
      </c>
      <c r="J134" s="118"/>
      <c r="K134" s="118" t="s">
        <v>160</v>
      </c>
      <c r="L134" s="118" t="s">
        <v>160</v>
      </c>
      <c r="M134" s="118" t="s">
        <v>160</v>
      </c>
      <c r="N134" s="118">
        <v>-7</v>
      </c>
      <c r="O134" s="118" t="s">
        <v>160</v>
      </c>
      <c r="P134" s="118">
        <f>+SUM(C134:O134)</f>
        <v>-7</v>
      </c>
      <c r="Q134" s="118" t="s">
        <v>160</v>
      </c>
      <c r="R134" s="118">
        <f t="shared" si="26"/>
        <v>-7</v>
      </c>
    </row>
    <row r="135" spans="1:18" hidden="1" outlineLevel="1" x14ac:dyDescent="0.2">
      <c r="B135" s="129" t="s">
        <v>895</v>
      </c>
      <c r="C135" s="118" t="s">
        <v>160</v>
      </c>
      <c r="D135" s="118" t="s">
        <v>160</v>
      </c>
      <c r="E135" s="118"/>
      <c r="F135" s="118"/>
      <c r="G135" s="118"/>
      <c r="H135" s="118">
        <v>4559</v>
      </c>
      <c r="I135" s="118" t="s">
        <v>160</v>
      </c>
      <c r="J135" s="118"/>
      <c r="K135" s="118" t="s">
        <v>160</v>
      </c>
      <c r="L135" s="118" t="s">
        <v>160</v>
      </c>
      <c r="M135" s="118" t="s">
        <v>160</v>
      </c>
      <c r="N135" s="118" t="s">
        <v>160</v>
      </c>
      <c r="O135" s="118">
        <v>-4559</v>
      </c>
      <c r="P135" s="118">
        <f>+SUM(C135:O135)</f>
        <v>0</v>
      </c>
      <c r="Q135" s="118" t="s">
        <v>160</v>
      </c>
      <c r="R135" s="118">
        <f t="shared" si="26"/>
        <v>0</v>
      </c>
    </row>
    <row r="136" spans="1:18" hidden="1" outlineLevel="1" x14ac:dyDescent="0.2">
      <c r="B136" s="129" t="s">
        <v>699</v>
      </c>
      <c r="C136" s="118"/>
      <c r="D136" s="118"/>
      <c r="E136" s="118"/>
      <c r="F136" s="118"/>
      <c r="G136" s="118"/>
      <c r="H136" s="118"/>
      <c r="I136" s="118"/>
      <c r="J136" s="118"/>
      <c r="K136" s="118"/>
      <c r="L136" s="118"/>
      <c r="M136" s="118"/>
      <c r="N136" s="118"/>
      <c r="O136" s="118"/>
      <c r="P136" s="118"/>
      <c r="Q136" s="118"/>
      <c r="R136" s="118"/>
    </row>
    <row r="137" spans="1:18" hidden="1" outlineLevel="1" x14ac:dyDescent="0.2">
      <c r="B137" s="129" t="s">
        <v>700</v>
      </c>
      <c r="C137" s="118" t="s">
        <v>160</v>
      </c>
      <c r="D137" s="118" t="s">
        <v>160</v>
      </c>
      <c r="E137" s="118"/>
      <c r="F137" s="118">
        <v>0</v>
      </c>
      <c r="G137" s="118">
        <v>0</v>
      </c>
      <c r="H137" s="118">
        <v>0</v>
      </c>
      <c r="I137" s="118">
        <v>0</v>
      </c>
      <c r="J137" s="118"/>
      <c r="K137" s="118">
        <v>0</v>
      </c>
      <c r="L137" s="118">
        <v>0</v>
      </c>
      <c r="M137" s="118">
        <v>0</v>
      </c>
      <c r="N137" s="118">
        <v>0</v>
      </c>
      <c r="O137" s="118">
        <v>0</v>
      </c>
      <c r="P137" s="118">
        <v>0</v>
      </c>
      <c r="Q137" s="118">
        <v>0</v>
      </c>
      <c r="R137" s="118">
        <f t="shared" si="26"/>
        <v>0</v>
      </c>
    </row>
    <row r="138" spans="1:18" hidden="1" outlineLevel="1" x14ac:dyDescent="0.2">
      <c r="B138" s="129" t="s">
        <v>701</v>
      </c>
      <c r="C138" s="118">
        <v>0</v>
      </c>
      <c r="D138" s="118">
        <v>0</v>
      </c>
      <c r="E138" s="118"/>
      <c r="F138" s="118">
        <v>0</v>
      </c>
      <c r="G138" s="118">
        <v>0</v>
      </c>
      <c r="H138" s="118">
        <v>0</v>
      </c>
      <c r="I138" s="118">
        <v>0</v>
      </c>
      <c r="J138" s="118"/>
      <c r="K138" s="118">
        <v>0</v>
      </c>
      <c r="L138" s="118">
        <v>0</v>
      </c>
      <c r="M138" s="118">
        <v>0</v>
      </c>
      <c r="N138" s="118">
        <v>0</v>
      </c>
      <c r="O138" s="118">
        <v>0</v>
      </c>
      <c r="P138" s="118">
        <v>0</v>
      </c>
      <c r="Q138" s="118">
        <v>0</v>
      </c>
      <c r="R138" s="118">
        <f t="shared" si="26"/>
        <v>0</v>
      </c>
    </row>
    <row r="139" spans="1:18" ht="14.25" hidden="1" customHeight="1" outlineLevel="1" x14ac:dyDescent="0.2">
      <c r="B139" s="129" t="s">
        <v>736</v>
      </c>
      <c r="C139" s="118">
        <v>0</v>
      </c>
      <c r="D139" s="118">
        <v>0</v>
      </c>
      <c r="E139" s="118"/>
      <c r="F139" s="118">
        <v>0</v>
      </c>
      <c r="G139" s="118">
        <v>0</v>
      </c>
      <c r="H139" s="118">
        <v>0</v>
      </c>
      <c r="I139" s="118">
        <v>0</v>
      </c>
      <c r="J139" s="118"/>
      <c r="K139" s="118">
        <v>0</v>
      </c>
      <c r="L139" s="118">
        <v>0</v>
      </c>
      <c r="M139" s="118">
        <v>0</v>
      </c>
      <c r="N139" s="118">
        <v>0</v>
      </c>
      <c r="O139" s="118">
        <v>0</v>
      </c>
      <c r="P139" s="118">
        <v>0</v>
      </c>
      <c r="Q139" s="118">
        <v>0</v>
      </c>
      <c r="R139" s="118">
        <f t="shared" si="26"/>
        <v>0</v>
      </c>
    </row>
    <row r="140" spans="1:18" collapsed="1" x14ac:dyDescent="0.2">
      <c r="B140" s="126" t="s">
        <v>810</v>
      </c>
      <c r="C140" s="120">
        <f t="shared" ref="C140:R140" si="27">SUM(C128:C139)</f>
        <v>144469</v>
      </c>
      <c r="D140" s="120">
        <f t="shared" si="27"/>
        <v>174055</v>
      </c>
      <c r="E140" s="120"/>
      <c r="F140" s="120">
        <f t="shared" si="27"/>
        <v>0</v>
      </c>
      <c r="G140" s="120">
        <f t="shared" si="27"/>
        <v>0</v>
      </c>
      <c r="H140" s="120">
        <f t="shared" si="27"/>
        <v>30525</v>
      </c>
      <c r="I140" s="120">
        <f t="shared" si="27"/>
        <v>28894</v>
      </c>
      <c r="J140" s="120" t="s">
        <v>160</v>
      </c>
      <c r="K140" s="120">
        <f t="shared" si="27"/>
        <v>83335.385999999999</v>
      </c>
      <c r="L140" s="120">
        <f t="shared" si="27"/>
        <v>28306</v>
      </c>
      <c r="M140" s="120">
        <f t="shared" si="27"/>
        <v>-342</v>
      </c>
      <c r="N140" s="120">
        <f t="shared" si="27"/>
        <v>-299</v>
      </c>
      <c r="O140" s="120">
        <f t="shared" si="27"/>
        <v>22062</v>
      </c>
      <c r="P140" s="120">
        <f t="shared" si="27"/>
        <v>511005.386</v>
      </c>
      <c r="Q140" s="120">
        <f t="shared" si="27"/>
        <v>0</v>
      </c>
      <c r="R140" s="120">
        <f t="shared" si="27"/>
        <v>511005.386</v>
      </c>
    </row>
    <row r="141" spans="1:18" s="600" customFormat="1" x14ac:dyDescent="0.2">
      <c r="A141"/>
      <c r="B141" s="149"/>
      <c r="C141" s="150"/>
      <c r="D141" s="150"/>
      <c r="E141" s="150"/>
      <c r="F141" s="150"/>
      <c r="G141" s="150"/>
      <c r="H141" s="150"/>
      <c r="I141" s="150"/>
      <c r="J141" s="150"/>
      <c r="K141" s="150"/>
      <c r="L141" s="150"/>
      <c r="M141" s="150"/>
      <c r="N141" s="150"/>
      <c r="O141" s="150"/>
      <c r="P141" s="150"/>
      <c r="Q141" s="150"/>
      <c r="R141" s="150"/>
    </row>
    <row r="142" spans="1:18" hidden="1" outlineLevel="1" x14ac:dyDescent="0.2">
      <c r="B142" s="129" t="s">
        <v>707</v>
      </c>
      <c r="C142" s="118" t="s">
        <v>160</v>
      </c>
      <c r="D142" s="118" t="s">
        <v>160</v>
      </c>
      <c r="E142" s="118"/>
      <c r="F142" s="118" t="s">
        <v>160</v>
      </c>
      <c r="G142" s="118" t="s">
        <v>160</v>
      </c>
      <c r="H142" s="118" t="s">
        <v>160</v>
      </c>
      <c r="I142" s="118" t="s">
        <v>160</v>
      </c>
      <c r="J142" s="118"/>
      <c r="K142" s="118" t="s">
        <v>160</v>
      </c>
      <c r="L142" s="118" t="s">
        <v>160</v>
      </c>
      <c r="M142" s="118" t="s">
        <v>160</v>
      </c>
      <c r="N142" s="118">
        <v>0</v>
      </c>
      <c r="O142" s="118">
        <v>32514</v>
      </c>
      <c r="P142" s="118">
        <f t="shared" ref="P142:P151" si="28">+SUM(C142:O142)</f>
        <v>32514</v>
      </c>
      <c r="Q142" s="118">
        <v>0</v>
      </c>
      <c r="R142" s="118">
        <f t="shared" ref="R142:R151" si="29">+SUM(P142:Q142)</f>
        <v>32514</v>
      </c>
    </row>
    <row r="143" spans="1:18" hidden="1" outlineLevel="1" x14ac:dyDescent="0.2">
      <c r="B143" s="129" t="s">
        <v>702</v>
      </c>
      <c r="C143" s="118" t="s">
        <v>160</v>
      </c>
      <c r="D143" s="118" t="s">
        <v>160</v>
      </c>
      <c r="E143" s="118"/>
      <c r="F143" s="118" t="s">
        <v>160</v>
      </c>
      <c r="G143" s="118" t="s">
        <v>160</v>
      </c>
      <c r="H143" s="118" t="s">
        <v>160</v>
      </c>
      <c r="I143" s="118" t="s">
        <v>160</v>
      </c>
      <c r="J143" s="118"/>
      <c r="K143" s="118" t="s">
        <v>160</v>
      </c>
      <c r="L143" s="118" t="s">
        <v>160</v>
      </c>
      <c r="M143" s="118" t="s">
        <v>160</v>
      </c>
      <c r="N143" s="118" t="s">
        <v>160</v>
      </c>
      <c r="O143" s="118" t="s">
        <v>160</v>
      </c>
      <c r="P143" s="118">
        <f t="shared" si="28"/>
        <v>0</v>
      </c>
      <c r="Q143" s="118">
        <v>0</v>
      </c>
      <c r="R143" s="118">
        <f t="shared" si="29"/>
        <v>0</v>
      </c>
    </row>
    <row r="144" spans="1:18" hidden="1" outlineLevel="1" x14ac:dyDescent="0.2">
      <c r="B144" s="129" t="s">
        <v>703</v>
      </c>
      <c r="C144" s="118" t="s">
        <v>160</v>
      </c>
      <c r="D144" s="118" t="s">
        <v>160</v>
      </c>
      <c r="E144" s="118"/>
      <c r="F144" s="118" t="s">
        <v>160</v>
      </c>
      <c r="G144" s="118" t="s">
        <v>160</v>
      </c>
      <c r="H144" s="118" t="s">
        <v>160</v>
      </c>
      <c r="I144" s="118" t="s">
        <v>160</v>
      </c>
      <c r="J144" s="118"/>
      <c r="K144" s="118" t="s">
        <v>160</v>
      </c>
      <c r="L144" s="118" t="s">
        <v>160</v>
      </c>
      <c r="M144" s="118" t="s">
        <v>160</v>
      </c>
      <c r="N144" s="118" t="s">
        <v>160</v>
      </c>
      <c r="O144" s="118" t="s">
        <v>160</v>
      </c>
      <c r="P144" s="118">
        <f t="shared" si="28"/>
        <v>0</v>
      </c>
      <c r="Q144" s="118">
        <v>0</v>
      </c>
      <c r="R144" s="118">
        <f t="shared" si="29"/>
        <v>0</v>
      </c>
    </row>
    <row r="145" spans="1:18" ht="25.5" hidden="1" outlineLevel="1" x14ac:dyDescent="0.2">
      <c r="B145" s="129" t="s">
        <v>780</v>
      </c>
      <c r="C145" s="118" t="s">
        <v>160</v>
      </c>
      <c r="D145" s="118" t="s">
        <v>160</v>
      </c>
      <c r="E145" s="118"/>
      <c r="F145" s="118" t="s">
        <v>160</v>
      </c>
      <c r="G145" s="118" t="s">
        <v>160</v>
      </c>
      <c r="H145" s="118" t="s">
        <v>160</v>
      </c>
      <c r="I145" s="118" t="s">
        <v>160</v>
      </c>
      <c r="J145" s="118"/>
      <c r="K145" s="118" t="s">
        <v>160</v>
      </c>
      <c r="L145" s="118" t="s">
        <v>160</v>
      </c>
      <c r="M145" s="118" t="s">
        <v>160</v>
      </c>
      <c r="N145" s="118">
        <v>969</v>
      </c>
      <c r="O145" s="118" t="s">
        <v>160</v>
      </c>
      <c r="P145" s="118">
        <f t="shared" si="28"/>
        <v>969</v>
      </c>
      <c r="Q145" s="118">
        <v>0</v>
      </c>
      <c r="R145" s="118">
        <f t="shared" si="29"/>
        <v>969</v>
      </c>
    </row>
    <row r="146" spans="1:18" hidden="1" outlineLevel="1" x14ac:dyDescent="0.2">
      <c r="B146" s="129" t="s">
        <v>912</v>
      </c>
      <c r="C146" s="118" t="s">
        <v>160</v>
      </c>
      <c r="D146" s="118" t="s">
        <v>160</v>
      </c>
      <c r="E146" s="118"/>
      <c r="F146" s="118"/>
      <c r="G146" s="118"/>
      <c r="H146" s="118" t="s">
        <v>160</v>
      </c>
      <c r="I146" s="118" t="s">
        <v>160</v>
      </c>
      <c r="J146" s="118"/>
      <c r="K146" s="118" t="s">
        <v>160</v>
      </c>
      <c r="L146" s="118" t="s">
        <v>160</v>
      </c>
      <c r="M146" s="118" t="s">
        <v>160</v>
      </c>
      <c r="N146" s="118">
        <v>-330</v>
      </c>
      <c r="O146" s="118" t="s">
        <v>160</v>
      </c>
      <c r="P146" s="118">
        <f t="shared" si="28"/>
        <v>-330</v>
      </c>
      <c r="Q146" s="118">
        <v>0</v>
      </c>
      <c r="R146" s="118">
        <f t="shared" si="29"/>
        <v>-330</v>
      </c>
    </row>
    <row r="147" spans="1:18" hidden="1" outlineLevel="1" x14ac:dyDescent="0.2">
      <c r="B147" s="129" t="s">
        <v>895</v>
      </c>
      <c r="C147" s="118" t="s">
        <v>160</v>
      </c>
      <c r="D147" s="118" t="s">
        <v>160</v>
      </c>
      <c r="E147" s="118"/>
      <c r="F147" s="118"/>
      <c r="G147" s="118"/>
      <c r="H147" s="118">
        <v>4048</v>
      </c>
      <c r="I147" s="118" t="s">
        <v>160</v>
      </c>
      <c r="J147" s="118"/>
      <c r="K147" s="118" t="s">
        <v>160</v>
      </c>
      <c r="L147" s="118" t="s">
        <v>160</v>
      </c>
      <c r="M147" s="118" t="s">
        <v>160</v>
      </c>
      <c r="N147" s="118" t="s">
        <v>160</v>
      </c>
      <c r="O147" s="118">
        <v>-4048</v>
      </c>
      <c r="P147" s="118">
        <f t="shared" si="28"/>
        <v>0</v>
      </c>
      <c r="Q147" s="118">
        <v>0</v>
      </c>
      <c r="R147" s="118">
        <f t="shared" si="29"/>
        <v>0</v>
      </c>
    </row>
    <row r="148" spans="1:18" hidden="1" outlineLevel="1" x14ac:dyDescent="0.2">
      <c r="B148" s="129" t="s">
        <v>699</v>
      </c>
      <c r="C148" s="118"/>
      <c r="D148" s="118"/>
      <c r="E148" s="118"/>
      <c r="F148" s="118"/>
      <c r="G148" s="118"/>
      <c r="H148" s="118"/>
      <c r="I148" s="118"/>
      <c r="J148" s="118"/>
      <c r="K148" s="118"/>
      <c r="L148" s="118"/>
      <c r="M148" s="118"/>
      <c r="N148" s="118"/>
      <c r="O148" s="118"/>
      <c r="P148" s="118"/>
      <c r="Q148" s="118"/>
      <c r="R148" s="118"/>
    </row>
    <row r="149" spans="1:18" hidden="1" outlineLevel="1" x14ac:dyDescent="0.2">
      <c r="B149" s="129" t="s">
        <v>700</v>
      </c>
      <c r="C149" s="118" t="s">
        <v>160</v>
      </c>
      <c r="D149" s="118" t="s">
        <v>160</v>
      </c>
      <c r="E149" s="118"/>
      <c r="F149" s="118" t="s">
        <v>160</v>
      </c>
      <c r="G149" s="118" t="s">
        <v>160</v>
      </c>
      <c r="H149" s="118" t="s">
        <v>160</v>
      </c>
      <c r="I149" s="118" t="s">
        <v>160</v>
      </c>
      <c r="J149" s="118"/>
      <c r="K149" s="118" t="s">
        <v>160</v>
      </c>
      <c r="L149" s="118" t="s">
        <v>160</v>
      </c>
      <c r="M149" s="118" t="s">
        <v>160</v>
      </c>
      <c r="N149" s="118" t="s">
        <v>160</v>
      </c>
      <c r="O149" s="118" t="s">
        <v>160</v>
      </c>
      <c r="P149" s="118">
        <f t="shared" si="28"/>
        <v>0</v>
      </c>
      <c r="Q149" s="118">
        <v>0</v>
      </c>
      <c r="R149" s="118">
        <f t="shared" si="29"/>
        <v>0</v>
      </c>
    </row>
    <row r="150" spans="1:18" hidden="1" outlineLevel="1" x14ac:dyDescent="0.2">
      <c r="B150" s="129" t="s">
        <v>701</v>
      </c>
      <c r="C150" s="118" t="s">
        <v>160</v>
      </c>
      <c r="D150" s="118" t="s">
        <v>160</v>
      </c>
      <c r="E150" s="118"/>
      <c r="F150" s="118" t="s">
        <v>160</v>
      </c>
      <c r="G150" s="118" t="s">
        <v>160</v>
      </c>
      <c r="H150" s="118" t="s">
        <v>160</v>
      </c>
      <c r="I150" s="118" t="s">
        <v>160</v>
      </c>
      <c r="J150" s="118"/>
      <c r="K150" s="118" t="s">
        <v>160</v>
      </c>
      <c r="L150" s="118" t="s">
        <v>160</v>
      </c>
      <c r="M150" s="118" t="s">
        <v>160</v>
      </c>
      <c r="N150" s="118" t="s">
        <v>160</v>
      </c>
      <c r="O150" s="118" t="s">
        <v>160</v>
      </c>
      <c r="P150" s="118">
        <f t="shared" si="28"/>
        <v>0</v>
      </c>
      <c r="Q150" s="118">
        <v>0</v>
      </c>
      <c r="R150" s="118">
        <f t="shared" si="29"/>
        <v>0</v>
      </c>
    </row>
    <row r="151" spans="1:18" ht="14.25" hidden="1" customHeight="1" outlineLevel="1" x14ac:dyDescent="0.2">
      <c r="B151" s="129" t="s">
        <v>736</v>
      </c>
      <c r="C151" s="118" t="s">
        <v>160</v>
      </c>
      <c r="D151" s="118" t="s">
        <v>160</v>
      </c>
      <c r="E151" s="118"/>
      <c r="F151" s="118" t="s">
        <v>160</v>
      </c>
      <c r="G151" s="118" t="s">
        <v>160</v>
      </c>
      <c r="H151" s="118" t="s">
        <v>160</v>
      </c>
      <c r="I151" s="118">
        <v>0</v>
      </c>
      <c r="J151" s="118"/>
      <c r="K151" s="118" t="s">
        <v>160</v>
      </c>
      <c r="L151" s="118">
        <v>-28306</v>
      </c>
      <c r="M151" s="118" t="s">
        <v>160</v>
      </c>
      <c r="N151" s="118" t="s">
        <v>160</v>
      </c>
      <c r="O151" s="118" t="s">
        <v>160</v>
      </c>
      <c r="P151" s="118">
        <f t="shared" si="28"/>
        <v>-28306</v>
      </c>
      <c r="Q151" s="118">
        <v>0</v>
      </c>
      <c r="R151" s="118">
        <f t="shared" si="29"/>
        <v>-28306</v>
      </c>
    </row>
    <row r="152" spans="1:18" collapsed="1" x14ac:dyDescent="0.2">
      <c r="B152" s="126" t="s">
        <v>849</v>
      </c>
      <c r="C152" s="120">
        <f t="shared" ref="C152:I152" si="30">SUM(C140:C151)</f>
        <v>144469</v>
      </c>
      <c r="D152" s="120">
        <f t="shared" si="30"/>
        <v>174055</v>
      </c>
      <c r="E152" s="120"/>
      <c r="F152" s="120">
        <f t="shared" si="30"/>
        <v>0</v>
      </c>
      <c r="G152" s="120">
        <f t="shared" si="30"/>
        <v>0</v>
      </c>
      <c r="H152" s="120">
        <f t="shared" si="30"/>
        <v>34573</v>
      </c>
      <c r="I152" s="120">
        <f t="shared" si="30"/>
        <v>28894</v>
      </c>
      <c r="J152" s="120" t="s">
        <v>160</v>
      </c>
      <c r="K152" s="120">
        <f t="shared" ref="K152:Q152" si="31">SUM(K140:K151)</f>
        <v>83335.385999999999</v>
      </c>
      <c r="L152" s="120">
        <f t="shared" si="31"/>
        <v>0</v>
      </c>
      <c r="M152" s="120">
        <f t="shared" si="31"/>
        <v>-342</v>
      </c>
      <c r="N152" s="120">
        <f t="shared" si="31"/>
        <v>340</v>
      </c>
      <c r="O152" s="120">
        <f t="shared" si="31"/>
        <v>50528</v>
      </c>
      <c r="P152" s="120">
        <f>SUM(P140:P151)</f>
        <v>515852.38599999994</v>
      </c>
      <c r="Q152" s="120">
        <f t="shared" si="31"/>
        <v>0</v>
      </c>
      <c r="R152" s="120">
        <f>SUM(R140:R151)</f>
        <v>515852.38599999994</v>
      </c>
    </row>
    <row r="153" spans="1:18" s="600" customFormat="1" x14ac:dyDescent="0.2">
      <c r="A153"/>
      <c r="B153" s="149"/>
      <c r="C153" s="150"/>
      <c r="D153" s="150"/>
      <c r="E153" s="150"/>
      <c r="F153" s="150"/>
      <c r="G153" s="150"/>
      <c r="H153" s="150"/>
      <c r="I153" s="150"/>
      <c r="J153" s="150"/>
      <c r="K153" s="150"/>
      <c r="L153" s="150"/>
      <c r="M153" s="150"/>
      <c r="N153" s="150"/>
      <c r="O153" s="150"/>
      <c r="P153" s="150"/>
      <c r="Q153" s="150"/>
      <c r="R153" s="150"/>
    </row>
    <row r="154" spans="1:18" hidden="1" outlineLevel="1" x14ac:dyDescent="0.2">
      <c r="B154" s="129" t="s">
        <v>707</v>
      </c>
      <c r="C154" s="118" t="s">
        <v>160</v>
      </c>
      <c r="D154" s="118" t="s">
        <v>160</v>
      </c>
      <c r="E154" s="118"/>
      <c r="F154" s="118" t="s">
        <v>160</v>
      </c>
      <c r="G154" s="118" t="s">
        <v>160</v>
      </c>
      <c r="H154" s="118" t="s">
        <v>160</v>
      </c>
      <c r="I154" s="118" t="s">
        <v>160</v>
      </c>
      <c r="J154" s="118"/>
      <c r="K154" s="118" t="s">
        <v>160</v>
      </c>
      <c r="L154" s="118" t="s">
        <v>160</v>
      </c>
      <c r="M154" s="118" t="s">
        <v>160</v>
      </c>
      <c r="N154" s="118">
        <v>0</v>
      </c>
      <c r="O154" s="118">
        <v>91392</v>
      </c>
      <c r="P154" s="118">
        <v>91392</v>
      </c>
      <c r="Q154" s="118">
        <v>0</v>
      </c>
      <c r="R154" s="118">
        <f t="shared" ref="R154:R163" si="32">+SUM(P154:Q154)</f>
        <v>91392</v>
      </c>
    </row>
    <row r="155" spans="1:18" hidden="1" outlineLevel="1" x14ac:dyDescent="0.2">
      <c r="B155" s="129" t="s">
        <v>702</v>
      </c>
      <c r="C155" s="118" t="s">
        <v>160</v>
      </c>
      <c r="D155" s="118" t="s">
        <v>160</v>
      </c>
      <c r="E155" s="118"/>
      <c r="F155" s="118" t="s">
        <v>160</v>
      </c>
      <c r="G155" s="118" t="s">
        <v>160</v>
      </c>
      <c r="H155" s="118" t="s">
        <v>160</v>
      </c>
      <c r="I155" s="118" t="s">
        <v>160</v>
      </c>
      <c r="J155" s="118"/>
      <c r="K155" s="118" t="s">
        <v>160</v>
      </c>
      <c r="L155" s="118" t="s">
        <v>160</v>
      </c>
      <c r="M155" s="118" t="s">
        <v>160</v>
      </c>
      <c r="N155" s="118" t="s">
        <v>160</v>
      </c>
      <c r="O155" s="118" t="s">
        <v>160</v>
      </c>
      <c r="P155" s="118">
        <v>0</v>
      </c>
      <c r="Q155" s="118">
        <v>0</v>
      </c>
      <c r="R155" s="118">
        <f t="shared" si="32"/>
        <v>0</v>
      </c>
    </row>
    <row r="156" spans="1:18" hidden="1" outlineLevel="1" x14ac:dyDescent="0.2">
      <c r="B156" s="129" t="s">
        <v>703</v>
      </c>
      <c r="C156" s="118" t="s">
        <v>160</v>
      </c>
      <c r="D156" s="118" t="s">
        <v>160</v>
      </c>
      <c r="E156" s="118"/>
      <c r="F156" s="118" t="s">
        <v>160</v>
      </c>
      <c r="G156" s="118" t="s">
        <v>160</v>
      </c>
      <c r="H156" s="118" t="s">
        <v>160</v>
      </c>
      <c r="I156" s="118" t="s">
        <v>160</v>
      </c>
      <c r="J156" s="118"/>
      <c r="K156" s="118" t="s">
        <v>160</v>
      </c>
      <c r="L156" s="118" t="s">
        <v>160</v>
      </c>
      <c r="M156" s="118" t="s">
        <v>160</v>
      </c>
      <c r="N156" s="118" t="s">
        <v>160</v>
      </c>
      <c r="O156" s="118" t="s">
        <v>160</v>
      </c>
      <c r="P156" s="118">
        <v>0</v>
      </c>
      <c r="Q156" s="118">
        <v>0</v>
      </c>
      <c r="R156" s="118">
        <f t="shared" si="32"/>
        <v>0</v>
      </c>
    </row>
    <row r="157" spans="1:18" ht="25.5" hidden="1" outlineLevel="1" x14ac:dyDescent="0.2">
      <c r="B157" s="129" t="s">
        <v>780</v>
      </c>
      <c r="C157" s="118" t="s">
        <v>160</v>
      </c>
      <c r="D157" s="118" t="s">
        <v>160</v>
      </c>
      <c r="E157" s="118"/>
      <c r="F157" s="118" t="s">
        <v>160</v>
      </c>
      <c r="G157" s="118" t="s">
        <v>160</v>
      </c>
      <c r="H157" s="118" t="s">
        <v>160</v>
      </c>
      <c r="I157" s="118" t="s">
        <v>160</v>
      </c>
      <c r="J157" s="118"/>
      <c r="K157" s="118" t="s">
        <v>160</v>
      </c>
      <c r="L157" s="118" t="s">
        <v>160</v>
      </c>
      <c r="M157" s="118" t="s">
        <v>160</v>
      </c>
      <c r="N157" s="118">
        <v>1077</v>
      </c>
      <c r="O157" s="118" t="s">
        <v>160</v>
      </c>
      <c r="P157" s="118">
        <f>+SUM(C157:O157)</f>
        <v>1077</v>
      </c>
      <c r="Q157" s="118">
        <v>0</v>
      </c>
      <c r="R157" s="118">
        <f t="shared" si="32"/>
        <v>1077</v>
      </c>
    </row>
    <row r="158" spans="1:18" hidden="1" outlineLevel="1" x14ac:dyDescent="0.2">
      <c r="B158" s="129" t="s">
        <v>912</v>
      </c>
      <c r="C158" s="118" t="s">
        <v>160</v>
      </c>
      <c r="D158" s="118" t="s">
        <v>160</v>
      </c>
      <c r="E158" s="118"/>
      <c r="F158" s="118"/>
      <c r="G158" s="118"/>
      <c r="H158" s="118" t="s">
        <v>160</v>
      </c>
      <c r="I158" s="118" t="s">
        <v>160</v>
      </c>
      <c r="J158" s="118"/>
      <c r="K158" s="118" t="s">
        <v>160</v>
      </c>
      <c r="L158" s="118" t="s">
        <v>160</v>
      </c>
      <c r="M158" s="118" t="s">
        <v>160</v>
      </c>
      <c r="N158" s="118">
        <v>-367</v>
      </c>
      <c r="O158" s="118">
        <v>0</v>
      </c>
      <c r="P158" s="118">
        <f>+SUM(C158:O158)</f>
        <v>-367</v>
      </c>
      <c r="Q158" s="118">
        <v>0</v>
      </c>
      <c r="R158" s="118">
        <f t="shared" si="32"/>
        <v>-367</v>
      </c>
    </row>
    <row r="159" spans="1:18" hidden="1" outlineLevel="1" x14ac:dyDescent="0.2">
      <c r="B159" s="129" t="s">
        <v>895</v>
      </c>
      <c r="C159" s="118" t="s">
        <v>160</v>
      </c>
      <c r="D159" s="118" t="s">
        <v>160</v>
      </c>
      <c r="E159" s="118"/>
      <c r="F159" s="118"/>
      <c r="G159" s="118"/>
      <c r="H159" s="118">
        <v>4145</v>
      </c>
      <c r="I159" s="118" t="s">
        <v>160</v>
      </c>
      <c r="J159" s="118"/>
      <c r="K159" s="118" t="s">
        <v>160</v>
      </c>
      <c r="L159" s="118" t="s">
        <v>160</v>
      </c>
      <c r="M159" s="118" t="s">
        <v>160</v>
      </c>
      <c r="N159" s="118" t="s">
        <v>160</v>
      </c>
      <c r="O159" s="118">
        <v>-4145</v>
      </c>
      <c r="P159" s="118">
        <v>0</v>
      </c>
      <c r="Q159" s="118">
        <v>0</v>
      </c>
      <c r="R159" s="118">
        <f t="shared" si="32"/>
        <v>0</v>
      </c>
    </row>
    <row r="160" spans="1:18" hidden="1" outlineLevel="1" x14ac:dyDescent="0.2">
      <c r="B160" s="129" t="s">
        <v>699</v>
      </c>
      <c r="C160" s="118"/>
      <c r="D160" s="118"/>
      <c r="E160" s="118"/>
      <c r="F160" s="118"/>
      <c r="G160" s="118"/>
      <c r="H160" s="118"/>
      <c r="I160" s="118"/>
      <c r="J160" s="118"/>
      <c r="K160" s="118"/>
      <c r="L160" s="118"/>
      <c r="M160" s="118"/>
      <c r="N160" s="118"/>
      <c r="O160" s="118"/>
      <c r="P160" s="118"/>
      <c r="Q160" s="118"/>
      <c r="R160" s="118"/>
    </row>
    <row r="161" spans="2:18" hidden="1" outlineLevel="1" x14ac:dyDescent="0.2">
      <c r="B161" s="129" t="s">
        <v>700</v>
      </c>
      <c r="C161" s="118" t="s">
        <v>160</v>
      </c>
      <c r="D161" s="118" t="s">
        <v>160</v>
      </c>
      <c r="E161" s="118"/>
      <c r="F161" s="118" t="s">
        <v>160</v>
      </c>
      <c r="G161" s="118" t="s">
        <v>160</v>
      </c>
      <c r="H161" s="118" t="s">
        <v>160</v>
      </c>
      <c r="I161" s="118" t="s">
        <v>160</v>
      </c>
      <c r="J161" s="118"/>
      <c r="K161" s="118" t="s">
        <v>160</v>
      </c>
      <c r="L161" s="118" t="s">
        <v>160</v>
      </c>
      <c r="M161" s="118" t="s">
        <v>160</v>
      </c>
      <c r="N161" s="118" t="s">
        <v>160</v>
      </c>
      <c r="O161" s="118" t="s">
        <v>160</v>
      </c>
      <c r="P161" s="118">
        <v>0</v>
      </c>
      <c r="Q161" s="118">
        <v>0</v>
      </c>
      <c r="R161" s="118">
        <f t="shared" si="32"/>
        <v>0</v>
      </c>
    </row>
    <row r="162" spans="2:18" hidden="1" outlineLevel="1" x14ac:dyDescent="0.2">
      <c r="B162" s="129" t="s">
        <v>701</v>
      </c>
      <c r="C162" s="118" t="s">
        <v>160</v>
      </c>
      <c r="D162" s="118" t="s">
        <v>160</v>
      </c>
      <c r="E162" s="118"/>
      <c r="F162" s="118" t="s">
        <v>160</v>
      </c>
      <c r="G162" s="118" t="s">
        <v>160</v>
      </c>
      <c r="H162" s="118" t="s">
        <v>160</v>
      </c>
      <c r="I162" s="118" t="s">
        <v>160</v>
      </c>
      <c r="J162" s="118"/>
      <c r="K162" s="118" t="s">
        <v>160</v>
      </c>
      <c r="L162" s="118" t="s">
        <v>160</v>
      </c>
      <c r="M162" s="118" t="s">
        <v>160</v>
      </c>
      <c r="N162" s="118" t="s">
        <v>160</v>
      </c>
      <c r="O162" s="118" t="s">
        <v>160</v>
      </c>
      <c r="P162" s="118">
        <v>0</v>
      </c>
      <c r="Q162" s="118">
        <v>0</v>
      </c>
      <c r="R162" s="118">
        <f t="shared" si="32"/>
        <v>0</v>
      </c>
    </row>
    <row r="163" spans="2:18" ht="14.25" hidden="1" customHeight="1" outlineLevel="1" x14ac:dyDescent="0.2">
      <c r="B163" s="129" t="s">
        <v>736</v>
      </c>
      <c r="C163" s="118" t="s">
        <v>160</v>
      </c>
      <c r="D163" s="118" t="s">
        <v>160</v>
      </c>
      <c r="E163" s="118"/>
      <c r="F163" s="118" t="s">
        <v>160</v>
      </c>
      <c r="G163" s="118" t="s">
        <v>160</v>
      </c>
      <c r="H163" s="118" t="s">
        <v>160</v>
      </c>
      <c r="I163" s="118">
        <v>0</v>
      </c>
      <c r="J163" s="118"/>
      <c r="K163" s="118" t="s">
        <v>160</v>
      </c>
      <c r="L163" s="118">
        <v>-29568</v>
      </c>
      <c r="M163" s="118" t="s">
        <v>160</v>
      </c>
      <c r="N163" s="118" t="s">
        <v>160</v>
      </c>
      <c r="O163" s="118" t="s">
        <v>160</v>
      </c>
      <c r="P163" s="118">
        <v>-29568</v>
      </c>
      <c r="Q163" s="118">
        <v>0</v>
      </c>
      <c r="R163" s="118">
        <f t="shared" si="32"/>
        <v>-29568</v>
      </c>
    </row>
    <row r="164" spans="2:18" collapsed="1" x14ac:dyDescent="0.2">
      <c r="B164" s="126" t="s">
        <v>863</v>
      </c>
      <c r="C164" s="120">
        <f t="shared" ref="C164:I164" si="33">SUM(C152:C163)</f>
        <v>144469</v>
      </c>
      <c r="D164" s="120">
        <f t="shared" si="33"/>
        <v>174055</v>
      </c>
      <c r="E164" s="120"/>
      <c r="F164" s="120">
        <f t="shared" si="33"/>
        <v>0</v>
      </c>
      <c r="G164" s="120">
        <f t="shared" si="33"/>
        <v>0</v>
      </c>
      <c r="H164" s="120">
        <f t="shared" si="33"/>
        <v>38718</v>
      </c>
      <c r="I164" s="120">
        <f t="shared" si="33"/>
        <v>28894</v>
      </c>
      <c r="J164" s="120" t="s">
        <v>160</v>
      </c>
      <c r="K164" s="120">
        <f t="shared" ref="K164:Q164" si="34">SUM(K152:K163)</f>
        <v>83335.385999999999</v>
      </c>
      <c r="L164" s="120">
        <f>SUM(L152:L163)</f>
        <v>-29568</v>
      </c>
      <c r="M164" s="120">
        <f t="shared" si="34"/>
        <v>-342</v>
      </c>
      <c r="N164" s="120">
        <f t="shared" si="34"/>
        <v>1050</v>
      </c>
      <c r="O164" s="120">
        <f t="shared" si="34"/>
        <v>137775</v>
      </c>
      <c r="P164" s="120">
        <f>SUM(P152:P163)</f>
        <v>578386.38599999994</v>
      </c>
      <c r="Q164" s="120">
        <f t="shared" si="34"/>
        <v>0</v>
      </c>
      <c r="R164" s="120">
        <f>SUM(R152:R163)</f>
        <v>578386.38599999994</v>
      </c>
    </row>
    <row r="165" spans="2:18" x14ac:dyDescent="0.2">
      <c r="L165" s="685"/>
    </row>
    <row r="166" spans="2:18" hidden="1" outlineLevel="1" x14ac:dyDescent="0.2">
      <c r="B166" s="129" t="s">
        <v>707</v>
      </c>
      <c r="C166" s="118" t="s">
        <v>160</v>
      </c>
      <c r="D166" s="118" t="s">
        <v>160</v>
      </c>
      <c r="E166" s="118"/>
      <c r="F166" s="118" t="s">
        <v>160</v>
      </c>
      <c r="G166" s="118" t="s">
        <v>160</v>
      </c>
      <c r="H166" s="118" t="s">
        <v>160</v>
      </c>
      <c r="I166" s="118" t="s">
        <v>160</v>
      </c>
      <c r="J166" s="118"/>
      <c r="K166" s="118" t="s">
        <v>160</v>
      </c>
      <c r="L166" s="118" t="s">
        <v>160</v>
      </c>
      <c r="M166" s="118" t="s">
        <v>160</v>
      </c>
      <c r="N166" s="118">
        <v>0</v>
      </c>
      <c r="O166" s="118">
        <v>43445</v>
      </c>
      <c r="P166" s="118">
        <f t="shared" ref="P166:P171" si="35">+SUM(C166:O166)</f>
        <v>43445</v>
      </c>
      <c r="Q166" s="118">
        <v>0</v>
      </c>
      <c r="R166" s="118">
        <f t="shared" ref="R166:R172" si="36">+SUM(P166:Q166)</f>
        <v>43445</v>
      </c>
    </row>
    <row r="167" spans="2:18" ht="25.5" hidden="1" outlineLevel="1" x14ac:dyDescent="0.2">
      <c r="B167" s="129" t="s">
        <v>780</v>
      </c>
      <c r="C167" s="118" t="s">
        <v>160</v>
      </c>
      <c r="D167" s="118" t="s">
        <v>160</v>
      </c>
      <c r="E167" s="118"/>
      <c r="F167" s="118" t="s">
        <v>160</v>
      </c>
      <c r="G167" s="118" t="s">
        <v>160</v>
      </c>
      <c r="H167" s="118" t="s">
        <v>160</v>
      </c>
      <c r="I167" s="118" t="s">
        <v>160</v>
      </c>
      <c r="J167" s="118"/>
      <c r="K167" s="118" t="s">
        <v>160</v>
      </c>
      <c r="L167" s="118" t="s">
        <v>160</v>
      </c>
      <c r="M167" s="118" t="s">
        <v>160</v>
      </c>
      <c r="N167" s="118">
        <v>-1602</v>
      </c>
      <c r="O167" s="118" t="s">
        <v>160</v>
      </c>
      <c r="P167" s="118">
        <f t="shared" si="35"/>
        <v>-1602</v>
      </c>
      <c r="Q167" s="118">
        <v>0</v>
      </c>
      <c r="R167" s="118">
        <f t="shared" si="36"/>
        <v>-1602</v>
      </c>
    </row>
    <row r="168" spans="2:18" hidden="1" outlineLevel="1" x14ac:dyDescent="0.2">
      <c r="B168" s="129" t="s">
        <v>912</v>
      </c>
      <c r="C168" s="118">
        <v>0</v>
      </c>
      <c r="D168" s="118">
        <v>0</v>
      </c>
      <c r="E168" s="118"/>
      <c r="F168" s="118"/>
      <c r="G168" s="118"/>
      <c r="H168" s="118">
        <v>0</v>
      </c>
      <c r="I168" s="118">
        <v>0</v>
      </c>
      <c r="J168" s="118"/>
      <c r="K168" s="118">
        <v>0</v>
      </c>
      <c r="L168" s="118">
        <v>0</v>
      </c>
      <c r="M168" s="118">
        <v>0</v>
      </c>
      <c r="N168" s="118">
        <v>546</v>
      </c>
      <c r="O168" s="118">
        <v>0</v>
      </c>
      <c r="P168" s="118">
        <f t="shared" si="35"/>
        <v>546</v>
      </c>
      <c r="Q168" s="118">
        <v>0</v>
      </c>
      <c r="R168" s="118">
        <f t="shared" si="36"/>
        <v>546</v>
      </c>
    </row>
    <row r="169" spans="2:18" hidden="1" outlineLevel="1" x14ac:dyDescent="0.2">
      <c r="B169" s="129" t="s">
        <v>895</v>
      </c>
      <c r="C169" s="118" t="s">
        <v>160</v>
      </c>
      <c r="D169" s="118" t="s">
        <v>160</v>
      </c>
      <c r="E169" s="118"/>
      <c r="F169" s="118"/>
      <c r="G169" s="118"/>
      <c r="H169" s="118">
        <v>4987</v>
      </c>
      <c r="I169" s="118" t="s">
        <v>160</v>
      </c>
      <c r="J169" s="118"/>
      <c r="K169" s="118" t="s">
        <v>160</v>
      </c>
      <c r="L169" s="118" t="s">
        <v>160</v>
      </c>
      <c r="M169" s="118" t="s">
        <v>160</v>
      </c>
      <c r="N169" s="118">
        <v>0</v>
      </c>
      <c r="O169" s="118">
        <v>-4987</v>
      </c>
      <c r="P169" s="118">
        <v>0</v>
      </c>
      <c r="Q169" s="118">
        <v>0</v>
      </c>
      <c r="R169" s="118">
        <f t="shared" si="36"/>
        <v>0</v>
      </c>
    </row>
    <row r="170" spans="2:18" hidden="1" outlineLevel="1" x14ac:dyDescent="0.2">
      <c r="B170" s="129" t="s">
        <v>699</v>
      </c>
      <c r="C170" s="118"/>
      <c r="D170" s="118"/>
      <c r="E170" s="118"/>
      <c r="F170" s="118"/>
      <c r="G170" s="118"/>
      <c r="H170" s="118"/>
      <c r="I170" s="118"/>
      <c r="J170" s="118"/>
      <c r="K170" s="118"/>
      <c r="L170" s="118"/>
      <c r="M170" s="118"/>
      <c r="N170" s="118"/>
      <c r="O170" s="118"/>
      <c r="P170" s="118"/>
      <c r="Q170" s="118"/>
      <c r="R170" s="118"/>
    </row>
    <row r="171" spans="2:18" hidden="1" outlineLevel="1" x14ac:dyDescent="0.2">
      <c r="B171" s="129" t="s">
        <v>700</v>
      </c>
      <c r="C171" s="118" t="s">
        <v>160</v>
      </c>
      <c r="D171" s="118" t="s">
        <v>160</v>
      </c>
      <c r="E171" s="118"/>
      <c r="F171" s="118" t="s">
        <v>160</v>
      </c>
      <c r="G171" s="118" t="s">
        <v>160</v>
      </c>
      <c r="H171" s="118" t="s">
        <v>160</v>
      </c>
      <c r="I171" s="118" t="s">
        <v>160</v>
      </c>
      <c r="J171" s="118"/>
      <c r="K171" s="118">
        <v>176232</v>
      </c>
      <c r="L171" s="118">
        <v>0</v>
      </c>
      <c r="M171" s="118" t="s">
        <v>160</v>
      </c>
      <c r="N171" s="118" t="s">
        <v>160</v>
      </c>
      <c r="O171" s="118">
        <v>-176233</v>
      </c>
      <c r="P171" s="118">
        <f t="shared" si="35"/>
        <v>-1</v>
      </c>
      <c r="Q171" s="118">
        <v>0</v>
      </c>
      <c r="R171" s="118">
        <f t="shared" si="36"/>
        <v>-1</v>
      </c>
    </row>
    <row r="172" spans="2:18" hidden="1" outlineLevel="1" x14ac:dyDescent="0.2">
      <c r="B172" s="129" t="s">
        <v>736</v>
      </c>
      <c r="C172" s="118" t="s">
        <v>160</v>
      </c>
      <c r="D172" s="118" t="s">
        <v>160</v>
      </c>
      <c r="E172" s="118"/>
      <c r="F172" s="118" t="s">
        <v>160</v>
      </c>
      <c r="G172" s="118" t="s">
        <v>160</v>
      </c>
      <c r="H172" s="118" t="s">
        <v>160</v>
      </c>
      <c r="I172" s="118">
        <v>0</v>
      </c>
      <c r="J172" s="118"/>
      <c r="K172" s="118">
        <v>-75264</v>
      </c>
      <c r="L172" s="118">
        <v>29568</v>
      </c>
      <c r="M172" s="118" t="s">
        <v>160</v>
      </c>
      <c r="N172" s="118" t="s">
        <v>160</v>
      </c>
      <c r="O172" s="118" t="s">
        <v>160</v>
      </c>
      <c r="P172" s="118">
        <f>+SUM(C172:N172)</f>
        <v>-45696</v>
      </c>
      <c r="Q172" s="118">
        <v>0</v>
      </c>
      <c r="R172" s="118">
        <f t="shared" si="36"/>
        <v>-45696</v>
      </c>
    </row>
    <row r="173" spans="2:18" collapsed="1" x14ac:dyDescent="0.2">
      <c r="B173" s="126" t="s">
        <v>889</v>
      </c>
      <c r="C173" s="120">
        <f t="shared" ref="C173:R173" si="37">SUM(C164:C172)</f>
        <v>144469</v>
      </c>
      <c r="D173" s="120">
        <f t="shared" si="37"/>
        <v>174055</v>
      </c>
      <c r="E173" s="120"/>
      <c r="F173" s="120">
        <f t="shared" si="37"/>
        <v>0</v>
      </c>
      <c r="G173" s="120">
        <f t="shared" si="37"/>
        <v>0</v>
      </c>
      <c r="H173" s="120">
        <f t="shared" si="37"/>
        <v>43705</v>
      </c>
      <c r="I173" s="120">
        <f t="shared" si="37"/>
        <v>28894</v>
      </c>
      <c r="J173" s="120" t="s">
        <v>160</v>
      </c>
      <c r="K173" s="120">
        <f t="shared" si="37"/>
        <v>184303.386</v>
      </c>
      <c r="L173" s="120">
        <f t="shared" si="37"/>
        <v>0</v>
      </c>
      <c r="M173" s="120">
        <f t="shared" si="37"/>
        <v>-342</v>
      </c>
      <c r="N173" s="120">
        <f t="shared" si="37"/>
        <v>-6</v>
      </c>
      <c r="O173" s="120">
        <f t="shared" si="37"/>
        <v>0</v>
      </c>
      <c r="P173" s="120">
        <f t="shared" si="37"/>
        <v>575078.38599999994</v>
      </c>
      <c r="Q173" s="120">
        <f t="shared" si="37"/>
        <v>0</v>
      </c>
      <c r="R173" s="120">
        <f t="shared" si="37"/>
        <v>575078.38599999994</v>
      </c>
    </row>
    <row r="175" spans="2:18" hidden="1" outlineLevel="1" x14ac:dyDescent="0.2">
      <c r="B175" s="129" t="s">
        <v>707</v>
      </c>
      <c r="C175" s="118" t="s">
        <v>160</v>
      </c>
      <c r="D175" s="118" t="s">
        <v>160</v>
      </c>
      <c r="E175" s="118"/>
      <c r="F175" s="118" t="s">
        <v>160</v>
      </c>
      <c r="G175" s="118" t="s">
        <v>160</v>
      </c>
      <c r="H175" s="118" t="s">
        <v>160</v>
      </c>
      <c r="I175" s="118" t="s">
        <v>160</v>
      </c>
      <c r="J175" s="118"/>
      <c r="K175" s="118" t="s">
        <v>160</v>
      </c>
      <c r="L175" s="118" t="s">
        <v>160</v>
      </c>
      <c r="M175" s="118" t="s">
        <v>160</v>
      </c>
      <c r="N175" s="118">
        <v>0</v>
      </c>
      <c r="O175" s="118">
        <v>19286</v>
      </c>
      <c r="P175" s="118">
        <f t="shared" ref="P175:P181" si="38">+SUM(C175:O175)</f>
        <v>19286</v>
      </c>
      <c r="Q175" s="118">
        <v>0</v>
      </c>
      <c r="R175" s="118">
        <f t="shared" ref="R175:R181" si="39">+SUM(P175:Q175)</f>
        <v>19286</v>
      </c>
    </row>
    <row r="176" spans="2:18" ht="25.5" hidden="1" outlineLevel="1" x14ac:dyDescent="0.2">
      <c r="B176" s="129" t="s">
        <v>780</v>
      </c>
      <c r="C176" s="118" t="s">
        <v>160</v>
      </c>
      <c r="D176" s="118" t="s">
        <v>160</v>
      </c>
      <c r="E176" s="118"/>
      <c r="F176" s="118" t="s">
        <v>160</v>
      </c>
      <c r="G176" s="118" t="s">
        <v>160</v>
      </c>
      <c r="H176" s="118" t="s">
        <v>160</v>
      </c>
      <c r="I176" s="118" t="s">
        <v>160</v>
      </c>
      <c r="J176" s="118"/>
      <c r="K176" s="118" t="s">
        <v>160</v>
      </c>
      <c r="L176" s="118" t="s">
        <v>160</v>
      </c>
      <c r="M176" s="118" t="s">
        <v>160</v>
      </c>
      <c r="N176" s="118">
        <v>1161</v>
      </c>
      <c r="O176" s="118" t="s">
        <v>160</v>
      </c>
      <c r="P176" s="118">
        <f t="shared" si="38"/>
        <v>1161</v>
      </c>
      <c r="Q176" s="118">
        <v>0</v>
      </c>
      <c r="R176" s="118">
        <f t="shared" si="39"/>
        <v>1161</v>
      </c>
    </row>
    <row r="177" spans="2:18" hidden="1" outlineLevel="1" x14ac:dyDescent="0.2">
      <c r="B177" s="129" t="s">
        <v>912</v>
      </c>
      <c r="C177" s="118">
        <v>0</v>
      </c>
      <c r="D177" s="118">
        <v>0</v>
      </c>
      <c r="E177" s="118"/>
      <c r="F177" s="118"/>
      <c r="G177" s="118"/>
      <c r="H177" s="118">
        <v>0</v>
      </c>
      <c r="I177" s="118">
        <v>0</v>
      </c>
      <c r="J177" s="118"/>
      <c r="K177" s="118">
        <v>0</v>
      </c>
      <c r="L177" s="118">
        <v>0</v>
      </c>
      <c r="M177" s="118">
        <v>0</v>
      </c>
      <c r="N177" s="118">
        <v>-395</v>
      </c>
      <c r="O177" s="118">
        <v>0</v>
      </c>
      <c r="P177" s="118">
        <f t="shared" si="38"/>
        <v>-395</v>
      </c>
      <c r="Q177" s="118">
        <v>0</v>
      </c>
      <c r="R177" s="118">
        <f t="shared" si="39"/>
        <v>-395</v>
      </c>
    </row>
    <row r="178" spans="2:18" hidden="1" outlineLevel="1" x14ac:dyDescent="0.2">
      <c r="B178" s="129" t="s">
        <v>895</v>
      </c>
      <c r="C178" s="118" t="s">
        <v>160</v>
      </c>
      <c r="D178" s="118" t="s">
        <v>160</v>
      </c>
      <c r="E178" s="118"/>
      <c r="F178" s="118"/>
      <c r="G178" s="118"/>
      <c r="H178" s="118">
        <v>4043</v>
      </c>
      <c r="I178" s="118" t="s">
        <v>160</v>
      </c>
      <c r="J178" s="118"/>
      <c r="K178" s="118" t="s">
        <v>160</v>
      </c>
      <c r="L178" s="118" t="s">
        <v>160</v>
      </c>
      <c r="M178" s="118" t="s">
        <v>160</v>
      </c>
      <c r="N178" s="118">
        <v>0</v>
      </c>
      <c r="O178" s="118">
        <v>-4043</v>
      </c>
      <c r="P178" s="118">
        <f t="shared" si="38"/>
        <v>0</v>
      </c>
      <c r="Q178" s="118">
        <v>0</v>
      </c>
      <c r="R178" s="118">
        <f t="shared" si="39"/>
        <v>0</v>
      </c>
    </row>
    <row r="179" spans="2:18" hidden="1" outlineLevel="1" x14ac:dyDescent="0.2">
      <c r="B179" s="129" t="s">
        <v>699</v>
      </c>
      <c r="C179" s="118"/>
      <c r="D179" s="118"/>
      <c r="E179" s="118"/>
      <c r="F179" s="118"/>
      <c r="G179" s="118"/>
      <c r="H179" s="118"/>
      <c r="I179" s="118"/>
      <c r="J179" s="118"/>
      <c r="K179" s="118"/>
      <c r="L179" s="118"/>
      <c r="M179" s="118"/>
      <c r="N179" s="118"/>
      <c r="O179" s="118"/>
      <c r="P179" s="118"/>
      <c r="Q179" s="118"/>
      <c r="R179" s="118"/>
    </row>
    <row r="180" spans="2:18" hidden="1" outlineLevel="1" x14ac:dyDescent="0.2">
      <c r="B180" s="129" t="s">
        <v>700</v>
      </c>
      <c r="C180" s="118" t="s">
        <v>160</v>
      </c>
      <c r="D180" s="118" t="s">
        <v>160</v>
      </c>
      <c r="E180" s="118"/>
      <c r="F180" s="118" t="s">
        <v>160</v>
      </c>
      <c r="G180" s="118" t="s">
        <v>160</v>
      </c>
      <c r="H180" s="118" t="s">
        <v>160</v>
      </c>
      <c r="I180" s="118" t="s">
        <v>160</v>
      </c>
      <c r="J180" s="118"/>
      <c r="K180" s="118">
        <v>0</v>
      </c>
      <c r="L180" s="118">
        <v>0</v>
      </c>
      <c r="M180" s="118" t="s">
        <v>160</v>
      </c>
      <c r="N180" s="118" t="s">
        <v>160</v>
      </c>
      <c r="O180" s="118">
        <v>0</v>
      </c>
      <c r="P180" s="118">
        <f t="shared" si="38"/>
        <v>0</v>
      </c>
      <c r="Q180" s="118">
        <v>0</v>
      </c>
      <c r="R180" s="118">
        <f t="shared" si="39"/>
        <v>0</v>
      </c>
    </row>
    <row r="181" spans="2:18" hidden="1" outlineLevel="1" x14ac:dyDescent="0.2">
      <c r="B181" s="129" t="s">
        <v>736</v>
      </c>
      <c r="C181" s="118" t="s">
        <v>160</v>
      </c>
      <c r="D181" s="118" t="s">
        <v>160</v>
      </c>
      <c r="E181" s="118"/>
      <c r="F181" s="118" t="s">
        <v>160</v>
      </c>
      <c r="G181" s="118" t="s">
        <v>160</v>
      </c>
      <c r="H181" s="118" t="s">
        <v>160</v>
      </c>
      <c r="I181" s="118">
        <v>0</v>
      </c>
      <c r="J181" s="118"/>
      <c r="K181" s="118">
        <v>0</v>
      </c>
      <c r="L181" s="118">
        <v>0</v>
      </c>
      <c r="M181" s="118" t="s">
        <v>160</v>
      </c>
      <c r="N181" s="118" t="s">
        <v>160</v>
      </c>
      <c r="O181" s="118" t="s">
        <v>160</v>
      </c>
      <c r="P181" s="118">
        <f t="shared" si="38"/>
        <v>0</v>
      </c>
      <c r="Q181" s="118">
        <v>0</v>
      </c>
      <c r="R181" s="118">
        <f t="shared" si="39"/>
        <v>0</v>
      </c>
    </row>
    <row r="182" spans="2:18" collapsed="1" x14ac:dyDescent="0.2">
      <c r="B182" s="126" t="s">
        <v>916</v>
      </c>
      <c r="C182" s="120">
        <f t="shared" ref="C182:R182" si="40">SUM(C173:C181)</f>
        <v>144469</v>
      </c>
      <c r="D182" s="120">
        <f t="shared" si="40"/>
        <v>174055</v>
      </c>
      <c r="E182" s="120"/>
      <c r="F182" s="120">
        <f t="shared" si="40"/>
        <v>0</v>
      </c>
      <c r="G182" s="120">
        <f t="shared" si="40"/>
        <v>0</v>
      </c>
      <c r="H182" s="120">
        <f t="shared" si="40"/>
        <v>47748</v>
      </c>
      <c r="I182" s="120">
        <f t="shared" si="40"/>
        <v>28894</v>
      </c>
      <c r="J182" s="120" t="s">
        <v>160</v>
      </c>
      <c r="K182" s="120">
        <f t="shared" si="40"/>
        <v>184303.386</v>
      </c>
      <c r="L182" s="120">
        <f t="shared" si="40"/>
        <v>0</v>
      </c>
      <c r="M182" s="120">
        <f t="shared" si="40"/>
        <v>-342</v>
      </c>
      <c r="N182" s="120">
        <f t="shared" si="40"/>
        <v>760</v>
      </c>
      <c r="O182" s="120">
        <f t="shared" si="40"/>
        <v>15243</v>
      </c>
      <c r="P182" s="120">
        <f t="shared" si="40"/>
        <v>595130.38599999994</v>
      </c>
      <c r="Q182" s="120">
        <f t="shared" si="40"/>
        <v>0</v>
      </c>
      <c r="R182" s="120">
        <f t="shared" si="40"/>
        <v>595130.38599999994</v>
      </c>
    </row>
    <row r="184" spans="2:18" hidden="1" outlineLevel="1" x14ac:dyDescent="0.2">
      <c r="B184" s="129" t="s">
        <v>707</v>
      </c>
      <c r="C184" s="118" t="s">
        <v>160</v>
      </c>
      <c r="D184" s="118" t="s">
        <v>160</v>
      </c>
      <c r="E184" s="118"/>
      <c r="F184" s="118" t="s">
        <v>160</v>
      </c>
      <c r="G184" s="118" t="s">
        <v>160</v>
      </c>
      <c r="H184" s="118" t="s">
        <v>160</v>
      </c>
      <c r="I184" s="118" t="s">
        <v>160</v>
      </c>
      <c r="J184" s="118"/>
      <c r="K184" s="118" t="s">
        <v>160</v>
      </c>
      <c r="L184" s="118" t="s">
        <v>160</v>
      </c>
      <c r="M184" s="118" t="s">
        <v>160</v>
      </c>
      <c r="N184" s="118">
        <v>0</v>
      </c>
      <c r="O184" s="118">
        <v>-4363</v>
      </c>
      <c r="P184" s="118">
        <f>+SUM(C184:O184)</f>
        <v>-4363</v>
      </c>
      <c r="Q184" s="118">
        <v>0</v>
      </c>
      <c r="R184" s="118">
        <f>+SUM(P184:Q184)</f>
        <v>-4363</v>
      </c>
    </row>
    <row r="185" spans="2:18" hidden="1" outlineLevel="1" x14ac:dyDescent="0.2">
      <c r="B185" s="129" t="s">
        <v>1012</v>
      </c>
      <c r="C185" s="118">
        <v>174055</v>
      </c>
      <c r="D185" s="118">
        <v>-174055</v>
      </c>
      <c r="E185" s="118"/>
      <c r="F185" s="118" t="s">
        <v>160</v>
      </c>
      <c r="G185" s="118" t="s">
        <v>160</v>
      </c>
      <c r="H185" s="118" t="s">
        <v>160</v>
      </c>
      <c r="I185" s="118" t="s">
        <v>160</v>
      </c>
      <c r="J185" s="118"/>
      <c r="K185" s="118" t="s">
        <v>160</v>
      </c>
      <c r="L185" s="118" t="s">
        <v>160</v>
      </c>
      <c r="M185" s="118" t="s">
        <v>160</v>
      </c>
      <c r="N185" s="118">
        <v>0</v>
      </c>
      <c r="O185" s="118">
        <v>0</v>
      </c>
      <c r="P185" s="118">
        <f>+SUM(C185:O185)</f>
        <v>0</v>
      </c>
      <c r="Q185" s="118">
        <v>0</v>
      </c>
      <c r="R185" s="118">
        <f>+SUM(P185:Q185)</f>
        <v>0</v>
      </c>
    </row>
    <row r="186" spans="2:18" ht="25.5" hidden="1" outlineLevel="1" x14ac:dyDescent="0.2">
      <c r="B186" s="129" t="s">
        <v>780</v>
      </c>
      <c r="C186" s="118" t="s">
        <v>160</v>
      </c>
      <c r="D186" s="118" t="s">
        <v>160</v>
      </c>
      <c r="E186" s="118"/>
      <c r="F186" s="118" t="s">
        <v>160</v>
      </c>
      <c r="G186" s="118" t="s">
        <v>160</v>
      </c>
      <c r="H186" s="118" t="s">
        <v>160</v>
      </c>
      <c r="I186" s="118" t="s">
        <v>160</v>
      </c>
      <c r="J186" s="118"/>
      <c r="K186" s="118" t="s">
        <v>160</v>
      </c>
      <c r="L186" s="118" t="s">
        <v>160</v>
      </c>
      <c r="M186" s="118" t="s">
        <v>160</v>
      </c>
      <c r="N186" s="118">
        <v>-1030</v>
      </c>
      <c r="O186" s="118" t="s">
        <v>160</v>
      </c>
      <c r="P186" s="118">
        <f>+SUM(C186:O186)</f>
        <v>-1030</v>
      </c>
      <c r="Q186" s="118">
        <v>0</v>
      </c>
      <c r="R186" s="118">
        <f>+SUM(P186:Q186)</f>
        <v>-1030</v>
      </c>
    </row>
    <row r="187" spans="2:18" hidden="1" outlineLevel="1" x14ac:dyDescent="0.2">
      <c r="B187" s="129" t="s">
        <v>912</v>
      </c>
      <c r="C187" s="118">
        <v>0</v>
      </c>
      <c r="D187" s="118">
        <v>0</v>
      </c>
      <c r="E187" s="118"/>
      <c r="F187" s="118"/>
      <c r="G187" s="118"/>
      <c r="H187" s="118">
        <v>0</v>
      </c>
      <c r="I187" s="118">
        <v>0</v>
      </c>
      <c r="J187" s="118"/>
      <c r="K187" s="118">
        <v>0</v>
      </c>
      <c r="L187" s="118">
        <v>0</v>
      </c>
      <c r="M187" s="118">
        <v>0</v>
      </c>
      <c r="N187" s="118">
        <v>350</v>
      </c>
      <c r="O187" s="118">
        <v>0</v>
      </c>
      <c r="P187" s="118">
        <f>+SUM(C187:O187)</f>
        <v>350</v>
      </c>
      <c r="Q187" s="118">
        <v>0</v>
      </c>
      <c r="R187" s="118">
        <f>+SUM(P187:Q187)</f>
        <v>350</v>
      </c>
    </row>
    <row r="188" spans="2:18" hidden="1" outlineLevel="1" x14ac:dyDescent="0.2">
      <c r="B188" s="129" t="s">
        <v>895</v>
      </c>
      <c r="C188" s="118" t="s">
        <v>160</v>
      </c>
      <c r="D188" s="118" t="s">
        <v>160</v>
      </c>
      <c r="E188" s="118"/>
      <c r="F188" s="118"/>
      <c r="G188" s="118"/>
      <c r="H188" s="118">
        <v>1607</v>
      </c>
      <c r="I188" s="118" t="s">
        <v>160</v>
      </c>
      <c r="J188" s="118"/>
      <c r="K188" s="118" t="s">
        <v>160</v>
      </c>
      <c r="L188" s="118" t="s">
        <v>160</v>
      </c>
      <c r="M188" s="118" t="s">
        <v>160</v>
      </c>
      <c r="N188" s="118">
        <v>0</v>
      </c>
      <c r="O188" s="118">
        <v>-1607</v>
      </c>
      <c r="P188" s="118">
        <f>+SUM(C188:O188)</f>
        <v>0</v>
      </c>
      <c r="Q188" s="118">
        <v>0</v>
      </c>
      <c r="R188" s="118">
        <f>+SUM(P188:Q188)</f>
        <v>0</v>
      </c>
    </row>
    <row r="189" spans="2:18" hidden="1" outlineLevel="1" x14ac:dyDescent="0.2">
      <c r="B189" s="129" t="s">
        <v>699</v>
      </c>
      <c r="C189" s="118"/>
      <c r="D189" s="118"/>
      <c r="E189" s="118"/>
      <c r="F189" s="118"/>
      <c r="G189" s="118"/>
      <c r="H189" s="118"/>
      <c r="I189" s="118"/>
      <c r="J189" s="118"/>
      <c r="K189" s="118"/>
      <c r="L189" s="118"/>
      <c r="M189" s="118"/>
      <c r="N189" s="118"/>
      <c r="O189" s="118"/>
      <c r="P189" s="118"/>
      <c r="Q189" s="118"/>
      <c r="R189" s="118"/>
    </row>
    <row r="190" spans="2:18" hidden="1" outlineLevel="1" x14ac:dyDescent="0.2">
      <c r="B190" s="129" t="s">
        <v>700</v>
      </c>
      <c r="C190" s="118" t="s">
        <v>160</v>
      </c>
      <c r="D190" s="118" t="s">
        <v>160</v>
      </c>
      <c r="E190" s="118"/>
      <c r="F190" s="118" t="s">
        <v>160</v>
      </c>
      <c r="G190" s="118" t="s">
        <v>160</v>
      </c>
      <c r="H190" s="118" t="s">
        <v>160</v>
      </c>
      <c r="I190" s="118" t="s">
        <v>160</v>
      </c>
      <c r="J190" s="118"/>
      <c r="K190" s="118">
        <v>0</v>
      </c>
      <c r="L190" s="118">
        <v>0</v>
      </c>
      <c r="M190" s="118" t="s">
        <v>160</v>
      </c>
      <c r="N190" s="118" t="s">
        <v>160</v>
      </c>
      <c r="O190" s="118">
        <v>0</v>
      </c>
      <c r="P190" s="118">
        <f>+SUM(C190:O190)</f>
        <v>0</v>
      </c>
      <c r="Q190" s="118">
        <v>0</v>
      </c>
      <c r="R190" s="118">
        <f>+SUM(P190:Q190)</f>
        <v>0</v>
      </c>
    </row>
    <row r="191" spans="2:18" hidden="1" outlineLevel="1" x14ac:dyDescent="0.2">
      <c r="B191" s="129" t="s">
        <v>736</v>
      </c>
      <c r="C191" s="118" t="s">
        <v>160</v>
      </c>
      <c r="D191" s="118" t="s">
        <v>160</v>
      </c>
      <c r="E191" s="118"/>
      <c r="F191" s="118" t="s">
        <v>160</v>
      </c>
      <c r="G191" s="118" t="s">
        <v>160</v>
      </c>
      <c r="H191" s="118" t="s">
        <v>160</v>
      </c>
      <c r="I191" s="118">
        <v>0</v>
      </c>
      <c r="J191" s="118"/>
      <c r="K191" s="118">
        <v>0</v>
      </c>
      <c r="L191" s="118">
        <v>0</v>
      </c>
      <c r="M191" s="118" t="s">
        <v>160</v>
      </c>
      <c r="N191" s="118" t="s">
        <v>160</v>
      </c>
      <c r="O191" s="118" t="s">
        <v>160</v>
      </c>
      <c r="P191" s="118">
        <f>+SUM(C191:O191)</f>
        <v>0</v>
      </c>
      <c r="Q191" s="118">
        <v>0</v>
      </c>
      <c r="R191" s="118">
        <f>+SUM(P191:Q191)</f>
        <v>0</v>
      </c>
    </row>
    <row r="192" spans="2:18" collapsed="1" x14ac:dyDescent="0.2">
      <c r="B192" s="126" t="s">
        <v>949</v>
      </c>
      <c r="C192" s="120">
        <f t="shared" ref="C192:R192" si="41">SUM(C182:C191)</f>
        <v>318524</v>
      </c>
      <c r="D192" s="120">
        <f t="shared" si="41"/>
        <v>0</v>
      </c>
      <c r="E192" s="120"/>
      <c r="F192" s="120">
        <f t="shared" si="41"/>
        <v>0</v>
      </c>
      <c r="G192" s="120">
        <f t="shared" si="41"/>
        <v>0</v>
      </c>
      <c r="H192" s="120">
        <f t="shared" si="41"/>
        <v>49355</v>
      </c>
      <c r="I192" s="120">
        <f t="shared" si="41"/>
        <v>28894</v>
      </c>
      <c r="J192" s="120" t="s">
        <v>160</v>
      </c>
      <c r="K192" s="120">
        <f t="shared" si="41"/>
        <v>184303.386</v>
      </c>
      <c r="L192" s="120">
        <f t="shared" si="41"/>
        <v>0</v>
      </c>
      <c r="M192" s="120">
        <f t="shared" si="41"/>
        <v>-342</v>
      </c>
      <c r="N192" s="120">
        <f t="shared" si="41"/>
        <v>80</v>
      </c>
      <c r="O192" s="120">
        <f t="shared" si="41"/>
        <v>9273</v>
      </c>
      <c r="P192" s="120">
        <f t="shared" si="41"/>
        <v>590087.38599999994</v>
      </c>
      <c r="Q192" s="120">
        <f t="shared" si="41"/>
        <v>0</v>
      </c>
      <c r="R192" s="120">
        <f t="shared" si="41"/>
        <v>590087.38599999994</v>
      </c>
    </row>
    <row r="194" spans="2:18" hidden="1" outlineLevel="1" x14ac:dyDescent="0.2">
      <c r="B194" s="129" t="s">
        <v>707</v>
      </c>
      <c r="C194" s="118" t="s">
        <v>160</v>
      </c>
      <c r="D194" s="118" t="s">
        <v>160</v>
      </c>
      <c r="E194" s="118"/>
      <c r="F194" s="118" t="s">
        <v>160</v>
      </c>
      <c r="G194" s="118" t="s">
        <v>160</v>
      </c>
      <c r="H194" s="118" t="s">
        <v>160</v>
      </c>
      <c r="I194" s="118" t="s">
        <v>160</v>
      </c>
      <c r="J194" s="118"/>
      <c r="K194" s="118" t="s">
        <v>160</v>
      </c>
      <c r="L194" s="118" t="s">
        <v>160</v>
      </c>
      <c r="M194" s="118" t="s">
        <v>160</v>
      </c>
      <c r="N194" s="118">
        <v>0</v>
      </c>
      <c r="O194" s="118">
        <v>29939</v>
      </c>
      <c r="P194" s="118">
        <f>+SUM(C194:O194)</f>
        <v>29939</v>
      </c>
      <c r="Q194" s="118">
        <v>0</v>
      </c>
      <c r="R194" s="118">
        <f>+SUM(P194:Q194)</f>
        <v>29939</v>
      </c>
    </row>
    <row r="195" spans="2:18" hidden="1" outlineLevel="1" x14ac:dyDescent="0.2">
      <c r="B195" s="129" t="s">
        <v>1012</v>
      </c>
      <c r="C195" s="118">
        <v>0</v>
      </c>
      <c r="D195" s="118">
        <v>0</v>
      </c>
      <c r="E195" s="118"/>
      <c r="F195" s="118" t="s">
        <v>160</v>
      </c>
      <c r="G195" s="118" t="s">
        <v>160</v>
      </c>
      <c r="H195" s="118" t="s">
        <v>160</v>
      </c>
      <c r="I195" s="118" t="s">
        <v>160</v>
      </c>
      <c r="J195" s="118"/>
      <c r="K195" s="118" t="s">
        <v>160</v>
      </c>
      <c r="L195" s="118" t="s">
        <v>160</v>
      </c>
      <c r="M195" s="118" t="s">
        <v>160</v>
      </c>
      <c r="N195" s="118">
        <v>0</v>
      </c>
      <c r="O195" s="118">
        <v>0</v>
      </c>
      <c r="P195" s="118">
        <f>+SUM(C195:O195)</f>
        <v>0</v>
      </c>
      <c r="Q195" s="118">
        <v>0</v>
      </c>
      <c r="R195" s="118">
        <f>+SUM(P195:Q195)</f>
        <v>0</v>
      </c>
    </row>
    <row r="196" spans="2:18" ht="25.5" hidden="1" outlineLevel="1" x14ac:dyDescent="0.2">
      <c r="B196" s="129" t="s">
        <v>780</v>
      </c>
      <c r="C196" s="118" t="s">
        <v>160</v>
      </c>
      <c r="D196" s="118" t="s">
        <v>160</v>
      </c>
      <c r="E196" s="118"/>
      <c r="F196" s="118" t="s">
        <v>160</v>
      </c>
      <c r="G196" s="118" t="s">
        <v>160</v>
      </c>
      <c r="H196" s="118" t="s">
        <v>160</v>
      </c>
      <c r="I196" s="118" t="s">
        <v>160</v>
      </c>
      <c r="J196" s="118"/>
      <c r="K196" s="118" t="s">
        <v>160</v>
      </c>
      <c r="L196" s="118" t="s">
        <v>160</v>
      </c>
      <c r="M196" s="118" t="s">
        <v>160</v>
      </c>
      <c r="N196" s="118">
        <v>-122</v>
      </c>
      <c r="O196" s="118" t="s">
        <v>160</v>
      </c>
      <c r="P196" s="118">
        <f>+SUM(C196:O196)</f>
        <v>-122</v>
      </c>
      <c r="Q196" s="118">
        <v>0</v>
      </c>
      <c r="R196" s="118">
        <f>+SUM(P196:Q196)</f>
        <v>-122</v>
      </c>
    </row>
    <row r="197" spans="2:18" hidden="1" outlineLevel="1" x14ac:dyDescent="0.2">
      <c r="B197" s="129" t="s">
        <v>912</v>
      </c>
      <c r="C197" s="118">
        <v>0</v>
      </c>
      <c r="D197" s="118">
        <v>0</v>
      </c>
      <c r="E197" s="118"/>
      <c r="F197" s="118"/>
      <c r="G197" s="118"/>
      <c r="H197" s="118">
        <v>0</v>
      </c>
      <c r="I197" s="118">
        <v>0</v>
      </c>
      <c r="J197" s="118"/>
      <c r="K197" s="118">
        <v>0</v>
      </c>
      <c r="L197" s="118">
        <v>0</v>
      </c>
      <c r="M197" s="118">
        <v>0</v>
      </c>
      <c r="N197" s="118">
        <v>36</v>
      </c>
      <c r="O197" s="118">
        <v>0</v>
      </c>
      <c r="P197" s="118">
        <f>+SUM(C197:O197)</f>
        <v>36</v>
      </c>
      <c r="Q197" s="118">
        <v>0</v>
      </c>
      <c r="R197" s="118">
        <f>+SUM(P197:Q197)</f>
        <v>36</v>
      </c>
    </row>
    <row r="198" spans="2:18" hidden="1" outlineLevel="1" x14ac:dyDescent="0.2">
      <c r="B198" s="129" t="s">
        <v>895</v>
      </c>
      <c r="C198" s="118" t="s">
        <v>160</v>
      </c>
      <c r="D198" s="118" t="s">
        <v>160</v>
      </c>
      <c r="E198" s="118"/>
      <c r="F198" s="118"/>
      <c r="G198" s="118"/>
      <c r="H198" s="118">
        <v>4268</v>
      </c>
      <c r="I198" s="118" t="s">
        <v>160</v>
      </c>
      <c r="J198" s="118"/>
      <c r="K198" s="118" t="s">
        <v>160</v>
      </c>
      <c r="L198" s="118" t="s">
        <v>160</v>
      </c>
      <c r="M198" s="118" t="s">
        <v>160</v>
      </c>
      <c r="N198" s="118">
        <v>0</v>
      </c>
      <c r="O198" s="118">
        <v>-4268</v>
      </c>
      <c r="P198" s="118">
        <f>+SUM(C198:O198)</f>
        <v>0</v>
      </c>
      <c r="Q198" s="118">
        <v>0</v>
      </c>
      <c r="R198" s="118">
        <f>+SUM(P198:Q198)</f>
        <v>0</v>
      </c>
    </row>
    <row r="199" spans="2:18" hidden="1" outlineLevel="1" x14ac:dyDescent="0.2">
      <c r="B199" s="129" t="s">
        <v>699</v>
      </c>
      <c r="C199" s="118"/>
      <c r="D199" s="118"/>
      <c r="E199" s="118"/>
      <c r="F199" s="118"/>
      <c r="G199" s="118"/>
      <c r="H199" s="118"/>
      <c r="I199" s="118"/>
      <c r="J199" s="118"/>
      <c r="K199" s="118"/>
      <c r="L199" s="118"/>
      <c r="M199" s="118"/>
      <c r="N199" s="118"/>
      <c r="O199" s="118"/>
      <c r="P199" s="118"/>
      <c r="Q199" s="118"/>
      <c r="R199" s="118"/>
    </row>
    <row r="200" spans="2:18" hidden="1" outlineLevel="1" x14ac:dyDescent="0.2">
      <c r="B200" s="129" t="s">
        <v>700</v>
      </c>
      <c r="C200" s="118" t="s">
        <v>160</v>
      </c>
      <c r="D200" s="118" t="s">
        <v>160</v>
      </c>
      <c r="E200" s="118"/>
      <c r="F200" s="118" t="s">
        <v>160</v>
      </c>
      <c r="G200" s="118" t="s">
        <v>160</v>
      </c>
      <c r="H200" s="118" t="s">
        <v>160</v>
      </c>
      <c r="I200" s="118" t="s">
        <v>160</v>
      </c>
      <c r="J200" s="118"/>
      <c r="K200" s="118">
        <v>0</v>
      </c>
      <c r="L200" s="118">
        <v>0</v>
      </c>
      <c r="M200" s="118" t="s">
        <v>160</v>
      </c>
      <c r="N200" s="118" t="s">
        <v>160</v>
      </c>
      <c r="O200" s="118">
        <v>0</v>
      </c>
      <c r="P200" s="118">
        <f>+SUM(C200:O200)</f>
        <v>0</v>
      </c>
      <c r="Q200" s="118">
        <v>0</v>
      </c>
      <c r="R200" s="118">
        <f>+SUM(P200:Q200)</f>
        <v>0</v>
      </c>
    </row>
    <row r="201" spans="2:18" hidden="1" outlineLevel="1" x14ac:dyDescent="0.2">
      <c r="B201" s="129" t="s">
        <v>736</v>
      </c>
      <c r="C201" s="118" t="s">
        <v>160</v>
      </c>
      <c r="D201" s="118" t="s">
        <v>160</v>
      </c>
      <c r="E201" s="118"/>
      <c r="F201" s="118" t="s">
        <v>160</v>
      </c>
      <c r="G201" s="118" t="s">
        <v>160</v>
      </c>
      <c r="H201" s="118" t="s">
        <v>160</v>
      </c>
      <c r="I201" s="118">
        <v>0</v>
      </c>
      <c r="J201" s="118"/>
      <c r="K201" s="118">
        <v>0</v>
      </c>
      <c r="L201" s="118">
        <v>0</v>
      </c>
      <c r="M201" s="118" t="s">
        <v>160</v>
      </c>
      <c r="N201" s="118" t="s">
        <v>160</v>
      </c>
      <c r="O201" s="118" t="s">
        <v>160</v>
      </c>
      <c r="P201" s="118">
        <f>+SUM(C201:O201)</f>
        <v>0</v>
      </c>
      <c r="Q201" s="118">
        <v>0</v>
      </c>
      <c r="R201" s="118">
        <f>+SUM(P201:Q201)</f>
        <v>0</v>
      </c>
    </row>
    <row r="202" spans="2:18" collapsed="1" x14ac:dyDescent="0.2">
      <c r="B202" s="126" t="s">
        <v>1020</v>
      </c>
      <c r="C202" s="120">
        <f t="shared" ref="C202:R202" si="42">SUM(C192:C201)</f>
        <v>318524</v>
      </c>
      <c r="D202" s="120">
        <f t="shared" si="42"/>
        <v>0</v>
      </c>
      <c r="E202" s="120"/>
      <c r="F202" s="120">
        <f t="shared" si="42"/>
        <v>0</v>
      </c>
      <c r="G202" s="120">
        <f t="shared" si="42"/>
        <v>0</v>
      </c>
      <c r="H202" s="120">
        <f t="shared" si="42"/>
        <v>53623</v>
      </c>
      <c r="I202" s="120">
        <f t="shared" si="42"/>
        <v>28894</v>
      </c>
      <c r="J202" s="120" t="s">
        <v>160</v>
      </c>
      <c r="K202" s="120">
        <f t="shared" si="42"/>
        <v>184303.386</v>
      </c>
      <c r="L202" s="120">
        <f t="shared" si="42"/>
        <v>0</v>
      </c>
      <c r="M202" s="120">
        <f t="shared" si="42"/>
        <v>-342</v>
      </c>
      <c r="N202" s="120">
        <f t="shared" si="42"/>
        <v>-6</v>
      </c>
      <c r="O202" s="120">
        <f t="shared" si="42"/>
        <v>34944</v>
      </c>
      <c r="P202" s="120">
        <f t="shared" si="42"/>
        <v>619940.38599999994</v>
      </c>
      <c r="Q202" s="120">
        <f t="shared" si="42"/>
        <v>0</v>
      </c>
      <c r="R202" s="120">
        <f t="shared" si="42"/>
        <v>619940.38599999994</v>
      </c>
    </row>
    <row r="204" spans="2:18" hidden="1" outlineLevel="1" x14ac:dyDescent="0.2">
      <c r="B204" s="129" t="s">
        <v>707</v>
      </c>
      <c r="C204" s="118" t="s">
        <v>160</v>
      </c>
      <c r="D204" s="118" t="s">
        <v>160</v>
      </c>
      <c r="E204" s="118"/>
      <c r="F204" s="118" t="s">
        <v>160</v>
      </c>
      <c r="G204" s="118" t="s">
        <v>160</v>
      </c>
      <c r="H204" s="118" t="s">
        <v>160</v>
      </c>
      <c r="I204" s="118" t="s">
        <v>160</v>
      </c>
      <c r="J204" s="118"/>
      <c r="K204" s="118" t="s">
        <v>160</v>
      </c>
      <c r="L204" s="118" t="s">
        <v>160</v>
      </c>
      <c r="M204" s="118" t="s">
        <v>160</v>
      </c>
      <c r="N204" s="118">
        <v>0</v>
      </c>
      <c r="O204" s="118">
        <v>28764</v>
      </c>
      <c r="P204" s="118">
        <f t="shared" ref="P204:P213" si="43">+SUM(C204:O204)</f>
        <v>28764</v>
      </c>
      <c r="Q204" s="118">
        <v>0</v>
      </c>
      <c r="R204" s="118">
        <f t="shared" ref="R204:R213" si="44">+SUM(P204:Q204)</f>
        <v>28764</v>
      </c>
    </row>
    <row r="205" spans="2:18" hidden="1" outlineLevel="1" x14ac:dyDescent="0.2">
      <c r="B205" s="129" t="s">
        <v>1012</v>
      </c>
      <c r="C205" s="118">
        <v>0</v>
      </c>
      <c r="D205" s="118">
        <v>0</v>
      </c>
      <c r="E205" s="118"/>
      <c r="F205" s="118" t="s">
        <v>160</v>
      </c>
      <c r="G205" s="118" t="s">
        <v>160</v>
      </c>
      <c r="H205" s="118" t="s">
        <v>160</v>
      </c>
      <c r="I205" s="118" t="s">
        <v>160</v>
      </c>
      <c r="J205" s="118"/>
      <c r="K205" s="118" t="s">
        <v>160</v>
      </c>
      <c r="L205" s="118" t="s">
        <v>160</v>
      </c>
      <c r="M205" s="118" t="s">
        <v>160</v>
      </c>
      <c r="N205" s="118">
        <v>0</v>
      </c>
      <c r="O205" s="118">
        <v>0</v>
      </c>
      <c r="P205" s="118">
        <f t="shared" si="43"/>
        <v>0</v>
      </c>
      <c r="Q205" s="118">
        <v>0</v>
      </c>
      <c r="R205" s="118">
        <f t="shared" si="44"/>
        <v>0</v>
      </c>
    </row>
    <row r="206" spans="2:18" ht="25.5" hidden="1" outlineLevel="1" x14ac:dyDescent="0.2">
      <c r="B206" s="129" t="s">
        <v>780</v>
      </c>
      <c r="C206" s="118" t="s">
        <v>160</v>
      </c>
      <c r="D206" s="118" t="s">
        <v>160</v>
      </c>
      <c r="E206" s="118"/>
      <c r="F206" s="118" t="s">
        <v>160</v>
      </c>
      <c r="G206" s="118" t="s">
        <v>160</v>
      </c>
      <c r="H206" s="118" t="s">
        <v>160</v>
      </c>
      <c r="I206" s="118" t="s">
        <v>160</v>
      </c>
      <c r="J206" s="118"/>
      <c r="K206" s="118" t="s">
        <v>160</v>
      </c>
      <c r="L206" s="118" t="s">
        <v>160</v>
      </c>
      <c r="M206" s="118" t="s">
        <v>160</v>
      </c>
      <c r="N206" s="118">
        <v>9</v>
      </c>
      <c r="O206" s="118" t="s">
        <v>160</v>
      </c>
      <c r="P206" s="118">
        <f t="shared" si="43"/>
        <v>9</v>
      </c>
      <c r="Q206" s="118">
        <v>0</v>
      </c>
      <c r="R206" s="118">
        <f t="shared" si="44"/>
        <v>9</v>
      </c>
    </row>
    <row r="207" spans="2:18" hidden="1" outlineLevel="1" x14ac:dyDescent="0.2">
      <c r="B207" s="129" t="s">
        <v>912</v>
      </c>
      <c r="C207" s="118">
        <v>0</v>
      </c>
      <c r="D207" s="118">
        <v>0</v>
      </c>
      <c r="E207" s="118"/>
      <c r="F207" s="118"/>
      <c r="G207" s="118"/>
      <c r="H207" s="118">
        <v>0</v>
      </c>
      <c r="I207" s="118">
        <v>0</v>
      </c>
      <c r="J207" s="118"/>
      <c r="K207" s="118">
        <v>0</v>
      </c>
      <c r="L207" s="118">
        <v>0</v>
      </c>
      <c r="M207" s="118">
        <v>0</v>
      </c>
      <c r="N207" s="118">
        <v>-3</v>
      </c>
      <c r="O207" s="118">
        <v>0</v>
      </c>
      <c r="P207" s="118">
        <f t="shared" si="43"/>
        <v>-3</v>
      </c>
      <c r="Q207" s="118">
        <v>0</v>
      </c>
      <c r="R207" s="118">
        <f t="shared" si="44"/>
        <v>-3</v>
      </c>
    </row>
    <row r="208" spans="2:18" hidden="1" outlineLevel="1" x14ac:dyDescent="0.2">
      <c r="B208" s="129" t="s">
        <v>1063</v>
      </c>
      <c r="C208" s="118">
        <v>0</v>
      </c>
      <c r="D208" s="118">
        <v>0</v>
      </c>
      <c r="E208" s="118"/>
      <c r="F208" s="118"/>
      <c r="G208" s="118"/>
      <c r="H208" s="118">
        <v>0</v>
      </c>
      <c r="I208" s="118">
        <v>0</v>
      </c>
      <c r="J208" s="118"/>
      <c r="K208" s="118">
        <v>0</v>
      </c>
      <c r="L208" s="118">
        <v>0</v>
      </c>
      <c r="M208" s="118">
        <v>0</v>
      </c>
      <c r="N208" s="118">
        <v>-2450</v>
      </c>
      <c r="O208" s="118">
        <v>0</v>
      </c>
      <c r="P208" s="118">
        <f>+SUM(C208:O208)</f>
        <v>-2450</v>
      </c>
      <c r="Q208" s="118">
        <v>0</v>
      </c>
      <c r="R208" s="118">
        <f>+SUM(P208:Q208)</f>
        <v>-2450</v>
      </c>
    </row>
    <row r="209" spans="2:18" hidden="1" outlineLevel="1" x14ac:dyDescent="0.2">
      <c r="B209" s="129" t="s">
        <v>1064</v>
      </c>
      <c r="C209" s="118">
        <v>0</v>
      </c>
      <c r="D209" s="118">
        <v>0</v>
      </c>
      <c r="E209" s="118"/>
      <c r="F209" s="118"/>
      <c r="G209" s="118"/>
      <c r="H209" s="118">
        <v>0</v>
      </c>
      <c r="I209" s="118">
        <v>0</v>
      </c>
      <c r="J209" s="118"/>
      <c r="K209" s="118">
        <v>0</v>
      </c>
      <c r="L209" s="118">
        <v>0</v>
      </c>
      <c r="M209" s="118">
        <v>0</v>
      </c>
      <c r="N209" s="118">
        <v>833.00000000000011</v>
      </c>
      <c r="O209" s="118">
        <v>0</v>
      </c>
      <c r="P209" s="118">
        <f>+SUM(C209:O209)</f>
        <v>833.00000000000011</v>
      </c>
      <c r="Q209" s="118">
        <v>0</v>
      </c>
      <c r="R209" s="118">
        <f>+SUM(P209:Q209)</f>
        <v>833.00000000000011</v>
      </c>
    </row>
    <row r="210" spans="2:18" hidden="1" outlineLevel="1" x14ac:dyDescent="0.2">
      <c r="B210" s="129" t="s">
        <v>895</v>
      </c>
      <c r="C210" s="118">
        <v>0</v>
      </c>
      <c r="D210" s="118">
        <v>0</v>
      </c>
      <c r="E210" s="118"/>
      <c r="F210" s="118"/>
      <c r="G210" s="118"/>
      <c r="H210" s="118">
        <v>4615</v>
      </c>
      <c r="I210" s="118">
        <v>0</v>
      </c>
      <c r="J210" s="118"/>
      <c r="K210" s="118">
        <v>0</v>
      </c>
      <c r="L210" s="118">
        <v>0</v>
      </c>
      <c r="M210" s="118">
        <v>0</v>
      </c>
      <c r="N210" s="118">
        <v>0</v>
      </c>
      <c r="O210" s="118">
        <v>-4615</v>
      </c>
      <c r="P210" s="118">
        <f>+SUM(C210:O210)</f>
        <v>0</v>
      </c>
      <c r="Q210" s="118">
        <v>0</v>
      </c>
      <c r="R210" s="118">
        <f>+SUM(P210:Q210)</f>
        <v>0</v>
      </c>
    </row>
    <row r="211" spans="2:18" hidden="1" outlineLevel="1" x14ac:dyDescent="0.2">
      <c r="B211" s="129" t="s">
        <v>1048</v>
      </c>
      <c r="C211" s="118" t="s">
        <v>160</v>
      </c>
      <c r="D211" s="118" t="s">
        <v>160</v>
      </c>
      <c r="E211" s="118"/>
      <c r="F211" s="118" t="s">
        <v>160</v>
      </c>
      <c r="G211" s="118" t="s">
        <v>160</v>
      </c>
      <c r="H211" s="118" t="s">
        <v>160</v>
      </c>
      <c r="I211" s="118" t="s">
        <v>160</v>
      </c>
      <c r="J211" s="118"/>
      <c r="K211" s="118" t="s">
        <v>160</v>
      </c>
      <c r="L211" s="118" t="s">
        <v>160</v>
      </c>
      <c r="M211" s="118" t="s">
        <v>160</v>
      </c>
      <c r="N211" s="118">
        <v>0</v>
      </c>
      <c r="O211" s="118">
        <v>0</v>
      </c>
      <c r="P211" s="118">
        <f t="shared" si="43"/>
        <v>0</v>
      </c>
      <c r="Q211" s="118">
        <v>976</v>
      </c>
      <c r="R211" s="118">
        <f t="shared" si="44"/>
        <v>976</v>
      </c>
    </row>
    <row r="212" spans="2:18" hidden="1" outlineLevel="1" x14ac:dyDescent="0.2">
      <c r="B212" s="129" t="s">
        <v>700</v>
      </c>
      <c r="C212" s="118" t="s">
        <v>160</v>
      </c>
      <c r="D212" s="118" t="s">
        <v>160</v>
      </c>
      <c r="E212" s="118"/>
      <c r="F212" s="118" t="s">
        <v>160</v>
      </c>
      <c r="G212" s="118" t="s">
        <v>160</v>
      </c>
      <c r="H212" s="118" t="s">
        <v>160</v>
      </c>
      <c r="I212" s="118">
        <v>3681.3</v>
      </c>
      <c r="J212" s="118"/>
      <c r="K212" s="118">
        <v>55412.7</v>
      </c>
      <c r="L212" s="118">
        <v>0</v>
      </c>
      <c r="M212" s="118" t="s">
        <v>160</v>
      </c>
      <c r="N212" s="118" t="s">
        <v>160</v>
      </c>
      <c r="O212" s="118">
        <v>-59093</v>
      </c>
      <c r="P212" s="118">
        <f t="shared" si="43"/>
        <v>1</v>
      </c>
      <c r="Q212" s="118">
        <v>0</v>
      </c>
      <c r="R212" s="118">
        <f t="shared" si="44"/>
        <v>1</v>
      </c>
    </row>
    <row r="213" spans="2:18" hidden="1" outlineLevel="1" x14ac:dyDescent="0.2">
      <c r="B213" s="129" t="s">
        <v>736</v>
      </c>
      <c r="C213" s="118" t="s">
        <v>160</v>
      </c>
      <c r="D213" s="118" t="s">
        <v>160</v>
      </c>
      <c r="E213" s="118"/>
      <c r="F213" s="118" t="s">
        <v>160</v>
      </c>
      <c r="G213" s="118" t="s">
        <v>160</v>
      </c>
      <c r="H213" s="118" t="s">
        <v>160</v>
      </c>
      <c r="I213" s="118">
        <v>0</v>
      </c>
      <c r="J213" s="118"/>
      <c r="K213" s="118">
        <v>-34972</v>
      </c>
      <c r="L213" s="118">
        <v>12541</v>
      </c>
      <c r="M213" s="118" t="s">
        <v>160</v>
      </c>
      <c r="N213" s="118" t="s">
        <v>160</v>
      </c>
      <c r="O213" s="118" t="s">
        <v>160</v>
      </c>
      <c r="P213" s="118">
        <f t="shared" si="43"/>
        <v>-22431</v>
      </c>
      <c r="Q213" s="118">
        <v>0</v>
      </c>
      <c r="R213" s="118">
        <f t="shared" si="44"/>
        <v>-22431</v>
      </c>
    </row>
    <row r="214" spans="2:18" collapsed="1" x14ac:dyDescent="0.2">
      <c r="B214" s="126" t="s">
        <v>1045</v>
      </c>
      <c r="C214" s="120">
        <f t="shared" ref="C214:R214" si="45">SUM(C202:C213)</f>
        <v>318524</v>
      </c>
      <c r="D214" s="120">
        <f t="shared" si="45"/>
        <v>0</v>
      </c>
      <c r="E214" s="120"/>
      <c r="F214" s="120">
        <f t="shared" si="45"/>
        <v>0</v>
      </c>
      <c r="G214" s="120">
        <f t="shared" si="45"/>
        <v>0</v>
      </c>
      <c r="H214" s="120">
        <f t="shared" si="45"/>
        <v>58238</v>
      </c>
      <c r="I214" s="120">
        <f t="shared" si="45"/>
        <v>32575.3</v>
      </c>
      <c r="J214" s="120" t="s">
        <v>160</v>
      </c>
      <c r="K214" s="120">
        <f t="shared" si="45"/>
        <v>204744.08600000001</v>
      </c>
      <c r="L214" s="120">
        <f t="shared" si="45"/>
        <v>12541</v>
      </c>
      <c r="M214" s="120">
        <f t="shared" si="45"/>
        <v>-342</v>
      </c>
      <c r="N214" s="120">
        <f t="shared" si="45"/>
        <v>-1617</v>
      </c>
      <c r="O214" s="120">
        <f t="shared" si="45"/>
        <v>0</v>
      </c>
      <c r="P214" s="120">
        <f t="shared" si="45"/>
        <v>624663.38599999994</v>
      </c>
      <c r="Q214" s="120">
        <f t="shared" si="45"/>
        <v>976</v>
      </c>
      <c r="R214" s="120">
        <f t="shared" si="45"/>
        <v>625639.38599999994</v>
      </c>
    </row>
    <row r="216" spans="2:18" hidden="1" outlineLevel="1" x14ac:dyDescent="0.2">
      <c r="B216" s="129" t="s">
        <v>707</v>
      </c>
      <c r="C216" s="118" t="s">
        <v>160</v>
      </c>
      <c r="D216" s="118" t="s">
        <v>160</v>
      </c>
      <c r="E216" s="118"/>
      <c r="F216" s="118" t="s">
        <v>160</v>
      </c>
      <c r="G216" s="118" t="s">
        <v>160</v>
      </c>
      <c r="H216" s="118" t="s">
        <v>160</v>
      </c>
      <c r="I216" s="118" t="s">
        <v>160</v>
      </c>
      <c r="J216" s="118"/>
      <c r="K216" s="118" t="s">
        <v>160</v>
      </c>
      <c r="L216" s="118" t="s">
        <v>160</v>
      </c>
      <c r="M216" s="118" t="s">
        <v>160</v>
      </c>
      <c r="N216" s="118">
        <v>0</v>
      </c>
      <c r="O216" s="118">
        <v>20248</v>
      </c>
      <c r="P216" s="118">
        <f>+SUM(C216:O216)</f>
        <v>20248</v>
      </c>
      <c r="Q216" s="118">
        <v>0</v>
      </c>
      <c r="R216" s="118">
        <f>+SUM(P216:Q216)</f>
        <v>20248</v>
      </c>
    </row>
    <row r="217" spans="2:18" hidden="1" outlineLevel="1" x14ac:dyDescent="0.2">
      <c r="B217" s="129" t="s">
        <v>895</v>
      </c>
      <c r="C217" s="118">
        <v>0</v>
      </c>
      <c r="D217" s="118">
        <v>0</v>
      </c>
      <c r="E217" s="118"/>
      <c r="F217" s="118"/>
      <c r="G217" s="118"/>
      <c r="H217" s="118">
        <v>3592</v>
      </c>
      <c r="I217" s="118">
        <v>0</v>
      </c>
      <c r="J217" s="118"/>
      <c r="K217" s="118">
        <v>0</v>
      </c>
      <c r="L217" s="118">
        <v>0</v>
      </c>
      <c r="M217" s="118">
        <v>0</v>
      </c>
      <c r="N217" s="118">
        <v>0</v>
      </c>
      <c r="O217" s="118">
        <v>-3592</v>
      </c>
      <c r="P217" s="118">
        <f>+SUM(C217:O217)</f>
        <v>0</v>
      </c>
      <c r="Q217" s="118">
        <v>0</v>
      </c>
      <c r="R217" s="118">
        <f>+SUM(P217:Q217)</f>
        <v>0</v>
      </c>
    </row>
    <row r="218" spans="2:18" hidden="1" outlineLevel="1" x14ac:dyDescent="0.2">
      <c r="B218" s="129" t="s">
        <v>1048</v>
      </c>
      <c r="C218" s="118" t="s">
        <v>160</v>
      </c>
      <c r="D218" s="118" t="s">
        <v>160</v>
      </c>
      <c r="E218" s="118"/>
      <c r="F218" s="118" t="s">
        <v>160</v>
      </c>
      <c r="G218" s="118" t="s">
        <v>160</v>
      </c>
      <c r="H218" s="118" t="s">
        <v>160</v>
      </c>
      <c r="I218" s="118" t="s">
        <v>160</v>
      </c>
      <c r="J218" s="118"/>
      <c r="K218" s="118" t="s">
        <v>160</v>
      </c>
      <c r="L218" s="118" t="s">
        <v>160</v>
      </c>
      <c r="M218" s="118" t="s">
        <v>160</v>
      </c>
      <c r="N218" s="118">
        <v>0</v>
      </c>
      <c r="O218" s="118">
        <v>0</v>
      </c>
      <c r="P218" s="118">
        <f>+SUM(C218:O218)</f>
        <v>0</v>
      </c>
      <c r="Q218" s="118">
        <v>-90</v>
      </c>
      <c r="R218" s="118">
        <f>+SUM(P218:Q218)</f>
        <v>-90</v>
      </c>
    </row>
    <row r="219" spans="2:18" collapsed="1" x14ac:dyDescent="0.2">
      <c r="B219" s="126" t="s">
        <v>1068</v>
      </c>
      <c r="C219" s="120">
        <f t="shared" ref="C219:Q219" si="46">SUM(C214:C218)</f>
        <v>318524</v>
      </c>
      <c r="D219" s="120">
        <f t="shared" si="46"/>
        <v>0</v>
      </c>
      <c r="E219" s="120"/>
      <c r="F219" s="120">
        <f t="shared" si="46"/>
        <v>0</v>
      </c>
      <c r="G219" s="120">
        <f t="shared" si="46"/>
        <v>0</v>
      </c>
      <c r="H219" s="120">
        <f t="shared" si="46"/>
        <v>61830</v>
      </c>
      <c r="I219" s="120">
        <f t="shared" si="46"/>
        <v>32575.3</v>
      </c>
      <c r="J219" s="120" t="s">
        <v>160</v>
      </c>
      <c r="K219" s="120">
        <f t="shared" si="46"/>
        <v>204744.08600000001</v>
      </c>
      <c r="L219" s="120">
        <f t="shared" si="46"/>
        <v>12541</v>
      </c>
      <c r="M219" s="120">
        <f t="shared" si="46"/>
        <v>-342</v>
      </c>
      <c r="N219" s="120">
        <f t="shared" si="46"/>
        <v>-1617</v>
      </c>
      <c r="O219" s="120">
        <f t="shared" si="46"/>
        <v>16656</v>
      </c>
      <c r="P219" s="120">
        <f t="shared" si="46"/>
        <v>644911.38599999994</v>
      </c>
      <c r="Q219" s="120">
        <f t="shared" si="46"/>
        <v>886</v>
      </c>
      <c r="R219" s="120">
        <f>SUM(R214:R218)</f>
        <v>645797.38599999994</v>
      </c>
    </row>
    <row r="221" spans="2:18" hidden="1" outlineLevel="1" x14ac:dyDescent="0.2">
      <c r="B221" s="129" t="s">
        <v>707</v>
      </c>
      <c r="C221" s="118" t="s">
        <v>160</v>
      </c>
      <c r="D221" s="118" t="s">
        <v>160</v>
      </c>
      <c r="E221" s="118"/>
      <c r="F221" s="118" t="s">
        <v>160</v>
      </c>
      <c r="G221" s="118" t="s">
        <v>160</v>
      </c>
      <c r="H221" s="118" t="s">
        <v>160</v>
      </c>
      <c r="I221" s="118" t="s">
        <v>160</v>
      </c>
      <c r="J221" s="118"/>
      <c r="K221" s="118" t="s">
        <v>160</v>
      </c>
      <c r="L221" s="118" t="s">
        <v>160</v>
      </c>
      <c r="M221" s="118" t="s">
        <v>160</v>
      </c>
      <c r="N221" s="118">
        <v>0</v>
      </c>
      <c r="O221" s="118">
        <v>24184</v>
      </c>
      <c r="P221" s="118">
        <f>+SUM(C221:O221)</f>
        <v>24184</v>
      </c>
      <c r="Q221" s="118">
        <v>0</v>
      </c>
      <c r="R221" s="118">
        <f>+SUM(P221:Q221)</f>
        <v>24184</v>
      </c>
    </row>
    <row r="222" spans="2:18" hidden="1" outlineLevel="1" x14ac:dyDescent="0.2">
      <c r="B222" s="129" t="s">
        <v>895</v>
      </c>
      <c r="C222" s="118">
        <v>0</v>
      </c>
      <c r="D222" s="118">
        <v>0</v>
      </c>
      <c r="E222" s="118"/>
      <c r="F222" s="118"/>
      <c r="G222" s="118"/>
      <c r="H222" s="118">
        <v>3363</v>
      </c>
      <c r="I222" s="118">
        <v>0</v>
      </c>
      <c r="J222" s="118"/>
      <c r="K222" s="118">
        <v>0</v>
      </c>
      <c r="L222" s="118">
        <v>0</v>
      </c>
      <c r="M222" s="118">
        <v>0</v>
      </c>
      <c r="N222" s="118">
        <v>0</v>
      </c>
      <c r="O222" s="118">
        <v>-3363</v>
      </c>
      <c r="P222" s="118">
        <f>+SUM(C222:O222)</f>
        <v>0</v>
      </c>
      <c r="Q222" s="118">
        <v>0</v>
      </c>
      <c r="R222" s="118">
        <f>+SUM(P222:Q222)</f>
        <v>0</v>
      </c>
    </row>
    <row r="223" spans="2:18" hidden="1" outlineLevel="1" x14ac:dyDescent="0.2">
      <c r="B223" s="129" t="s">
        <v>1048</v>
      </c>
      <c r="C223" s="118" t="s">
        <v>160</v>
      </c>
      <c r="D223" s="118" t="s">
        <v>160</v>
      </c>
      <c r="E223" s="118"/>
      <c r="F223" s="118" t="s">
        <v>160</v>
      </c>
      <c r="G223" s="118" t="s">
        <v>160</v>
      </c>
      <c r="H223" s="118" t="s">
        <v>160</v>
      </c>
      <c r="I223" s="118" t="s">
        <v>160</v>
      </c>
      <c r="J223" s="118"/>
      <c r="K223" s="118" t="s">
        <v>160</v>
      </c>
      <c r="L223" s="118">
        <v>0</v>
      </c>
      <c r="M223" s="118" t="s">
        <v>160</v>
      </c>
      <c r="N223" s="118">
        <v>0</v>
      </c>
      <c r="O223" s="118">
        <v>0</v>
      </c>
      <c r="P223" s="118">
        <f>+SUM(C223:O223)</f>
        <v>0</v>
      </c>
      <c r="Q223" s="118">
        <v>-28</v>
      </c>
      <c r="R223" s="118">
        <f>+SUM(P223:Q223)</f>
        <v>-28</v>
      </c>
    </row>
    <row r="224" spans="2:18" hidden="1" outlineLevel="1" x14ac:dyDescent="0.2">
      <c r="B224" s="129" t="s">
        <v>736</v>
      </c>
      <c r="C224" s="118" t="s">
        <v>160</v>
      </c>
      <c r="D224" s="118" t="s">
        <v>160</v>
      </c>
      <c r="E224" s="118"/>
      <c r="F224" s="118" t="s">
        <v>160</v>
      </c>
      <c r="G224" s="118" t="s">
        <v>160</v>
      </c>
      <c r="H224" s="118" t="s">
        <v>160</v>
      </c>
      <c r="I224" s="118">
        <v>0</v>
      </c>
      <c r="J224" s="118"/>
      <c r="K224" s="118">
        <v>0</v>
      </c>
      <c r="L224" s="118">
        <v>-12541</v>
      </c>
      <c r="M224" s="118" t="s">
        <v>160</v>
      </c>
      <c r="N224" s="118" t="s">
        <v>160</v>
      </c>
      <c r="O224" s="118">
        <v>0</v>
      </c>
      <c r="P224" s="118">
        <f>+SUM(C224:O224)</f>
        <v>-12541</v>
      </c>
      <c r="Q224" s="118">
        <v>0</v>
      </c>
      <c r="R224" s="118">
        <f>+SUM(P224:Q224)</f>
        <v>-12541</v>
      </c>
    </row>
    <row r="225" spans="2:18" collapsed="1" x14ac:dyDescent="0.2">
      <c r="B225" s="126" t="s">
        <v>1072</v>
      </c>
      <c r="C225" s="120">
        <f t="shared" ref="C225:N225" si="47">SUM(C219:C223)</f>
        <v>318524</v>
      </c>
      <c r="D225" s="120">
        <f t="shared" si="47"/>
        <v>0</v>
      </c>
      <c r="E225" s="120"/>
      <c r="F225" s="120">
        <f t="shared" si="47"/>
        <v>0</v>
      </c>
      <c r="G225" s="120">
        <f t="shared" si="47"/>
        <v>0</v>
      </c>
      <c r="H225" s="120">
        <f t="shared" si="47"/>
        <v>65193</v>
      </c>
      <c r="I225" s="120">
        <f t="shared" si="47"/>
        <v>32575.3</v>
      </c>
      <c r="J225" s="120" t="s">
        <v>160</v>
      </c>
      <c r="K225" s="120">
        <f t="shared" si="47"/>
        <v>204744.08600000001</v>
      </c>
      <c r="L225" s="120">
        <f>SUM(L219:L224)</f>
        <v>0</v>
      </c>
      <c r="M225" s="120">
        <f t="shared" si="47"/>
        <v>-342</v>
      </c>
      <c r="N225" s="120">
        <f t="shared" si="47"/>
        <v>-1617</v>
      </c>
      <c r="O225" s="120">
        <f>SUM(O219:O223)</f>
        <v>37477</v>
      </c>
      <c r="P225" s="120">
        <f>SUM(P219:P224)</f>
        <v>656554.38599999994</v>
      </c>
      <c r="Q225" s="120">
        <f>SUM(Q219:Q223)</f>
        <v>858</v>
      </c>
      <c r="R225" s="120">
        <f>SUM(R219:R224)</f>
        <v>657412.38599999994</v>
      </c>
    </row>
    <row r="227" spans="2:18" hidden="1" outlineLevel="1" x14ac:dyDescent="0.2">
      <c r="B227" s="129" t="s">
        <v>707</v>
      </c>
      <c r="C227" s="118" t="s">
        <v>160</v>
      </c>
      <c r="D227" s="118" t="s">
        <v>160</v>
      </c>
      <c r="E227" s="118"/>
      <c r="F227" s="118" t="s">
        <v>160</v>
      </c>
      <c r="G227" s="118" t="s">
        <v>160</v>
      </c>
      <c r="H227" s="118" t="s">
        <v>160</v>
      </c>
      <c r="I227" s="118" t="s">
        <v>160</v>
      </c>
      <c r="J227" s="118"/>
      <c r="K227" s="118" t="s">
        <v>160</v>
      </c>
      <c r="L227" s="118" t="s">
        <v>160</v>
      </c>
      <c r="M227" s="118" t="s">
        <v>160</v>
      </c>
      <c r="N227" s="118">
        <v>0</v>
      </c>
      <c r="O227" s="118">
        <v>34237</v>
      </c>
      <c r="P227" s="118">
        <v>34237</v>
      </c>
      <c r="Q227" s="118">
        <v>-162</v>
      </c>
      <c r="R227" s="118">
        <f>+SUM(P227:Q227)</f>
        <v>34075</v>
      </c>
    </row>
    <row r="228" spans="2:18" hidden="1" outlineLevel="1" x14ac:dyDescent="0.2">
      <c r="B228" s="129" t="s">
        <v>895</v>
      </c>
      <c r="C228" s="118">
        <v>0</v>
      </c>
      <c r="D228" s="118">
        <v>0</v>
      </c>
      <c r="E228" s="118"/>
      <c r="F228" s="118"/>
      <c r="G228" s="118"/>
      <c r="H228" s="118">
        <v>3599</v>
      </c>
      <c r="I228" s="118">
        <v>0</v>
      </c>
      <c r="J228" s="118"/>
      <c r="K228" s="118">
        <v>0</v>
      </c>
      <c r="L228" s="118">
        <v>0</v>
      </c>
      <c r="M228" s="118">
        <v>0</v>
      </c>
      <c r="N228" s="118">
        <v>0</v>
      </c>
      <c r="O228" s="118">
        <v>-3599</v>
      </c>
      <c r="P228" s="118">
        <v>0</v>
      </c>
      <c r="Q228" s="118">
        <v>0</v>
      </c>
      <c r="R228" s="118">
        <f>+SUM(P228:Q228)</f>
        <v>0</v>
      </c>
    </row>
    <row r="229" spans="2:18" hidden="1" outlineLevel="1" x14ac:dyDescent="0.2">
      <c r="B229" s="129" t="s">
        <v>1048</v>
      </c>
      <c r="C229" s="118" t="s">
        <v>160</v>
      </c>
      <c r="D229" s="118" t="s">
        <v>160</v>
      </c>
      <c r="E229" s="118"/>
      <c r="F229" s="118" t="s">
        <v>160</v>
      </c>
      <c r="G229" s="118" t="s">
        <v>160</v>
      </c>
      <c r="H229" s="118" t="s">
        <v>160</v>
      </c>
      <c r="I229" s="118" t="s">
        <v>160</v>
      </c>
      <c r="J229" s="118"/>
      <c r="K229" s="118" t="s">
        <v>160</v>
      </c>
      <c r="L229" s="118">
        <v>0</v>
      </c>
      <c r="M229" s="118" t="s">
        <v>160</v>
      </c>
      <c r="N229" s="118">
        <v>0</v>
      </c>
      <c r="O229" s="118">
        <v>0</v>
      </c>
      <c r="P229" s="118">
        <v>0</v>
      </c>
      <c r="Q229" s="118">
        <v>118</v>
      </c>
      <c r="R229" s="118">
        <f>+SUM(P229:Q229)</f>
        <v>118</v>
      </c>
    </row>
    <row r="230" spans="2:18" hidden="1" outlineLevel="1" x14ac:dyDescent="0.2">
      <c r="B230" s="129" t="s">
        <v>736</v>
      </c>
      <c r="C230" s="118" t="s">
        <v>160</v>
      </c>
      <c r="D230" s="118" t="s">
        <v>160</v>
      </c>
      <c r="E230" s="118"/>
      <c r="F230" s="118" t="s">
        <v>160</v>
      </c>
      <c r="G230" s="118" t="s">
        <v>160</v>
      </c>
      <c r="H230" s="118" t="s">
        <v>160</v>
      </c>
      <c r="I230" s="118">
        <v>0</v>
      </c>
      <c r="J230" s="118"/>
      <c r="K230" s="118">
        <v>0</v>
      </c>
      <c r="L230" s="118">
        <v>0</v>
      </c>
      <c r="M230" s="118" t="s">
        <v>160</v>
      </c>
      <c r="N230" s="118" t="s">
        <v>160</v>
      </c>
      <c r="O230" s="118">
        <v>-22157</v>
      </c>
      <c r="P230" s="118">
        <v>-22157</v>
      </c>
      <c r="Q230" s="118">
        <v>0</v>
      </c>
      <c r="R230" s="118">
        <f>+SUM(P230:Q230)</f>
        <v>-22157</v>
      </c>
    </row>
    <row r="231" spans="2:18" collapsed="1" x14ac:dyDescent="0.2">
      <c r="B231" s="126" t="s">
        <v>1099</v>
      </c>
      <c r="C231" s="120">
        <f t="shared" ref="C231:N231" si="48">SUM(C225:C230)</f>
        <v>318524</v>
      </c>
      <c r="D231" s="120">
        <f t="shared" si="48"/>
        <v>0</v>
      </c>
      <c r="E231" s="120"/>
      <c r="F231" s="120">
        <f t="shared" si="48"/>
        <v>0</v>
      </c>
      <c r="G231" s="120">
        <f t="shared" si="48"/>
        <v>0</v>
      </c>
      <c r="H231" s="120">
        <f t="shared" si="48"/>
        <v>68792</v>
      </c>
      <c r="I231" s="120">
        <f t="shared" si="48"/>
        <v>32575.3</v>
      </c>
      <c r="J231" s="120" t="s">
        <v>160</v>
      </c>
      <c r="K231" s="120">
        <f t="shared" si="48"/>
        <v>204744.08600000001</v>
      </c>
      <c r="L231" s="120">
        <f t="shared" si="48"/>
        <v>0</v>
      </c>
      <c r="M231" s="120">
        <f t="shared" si="48"/>
        <v>-342</v>
      </c>
      <c r="N231" s="120">
        <f t="shared" si="48"/>
        <v>-1617</v>
      </c>
      <c r="O231" s="120">
        <f>SUM(O225:O230)</f>
        <v>45958</v>
      </c>
      <c r="P231" s="120">
        <f>SUM(P225:P230)</f>
        <v>668634.38599999994</v>
      </c>
      <c r="Q231" s="120">
        <f>SUM(Q225:Q230)</f>
        <v>814</v>
      </c>
      <c r="R231" s="120">
        <f>SUM(R225:R230)</f>
        <v>669448.38599999994</v>
      </c>
    </row>
    <row r="233" spans="2:18" hidden="1" outlineLevel="1" x14ac:dyDescent="0.2">
      <c r="B233" s="129" t="s">
        <v>707</v>
      </c>
      <c r="C233" s="118" t="s">
        <v>160</v>
      </c>
      <c r="D233" s="118" t="s">
        <v>160</v>
      </c>
      <c r="E233" s="121" t="s">
        <v>160</v>
      </c>
      <c r="F233" s="118" t="s">
        <v>160</v>
      </c>
      <c r="G233" s="118" t="s">
        <v>160</v>
      </c>
      <c r="H233" s="118" t="s">
        <v>160</v>
      </c>
      <c r="I233" s="118" t="s">
        <v>160</v>
      </c>
      <c r="J233" s="118"/>
      <c r="K233" s="118" t="s">
        <v>160</v>
      </c>
      <c r="L233" s="118" t="s">
        <v>160</v>
      </c>
      <c r="M233" s="118" t="s">
        <v>160</v>
      </c>
      <c r="N233" s="118">
        <v>0</v>
      </c>
      <c r="O233" s="118">
        <v>29424</v>
      </c>
      <c r="P233" s="118">
        <f t="shared" ref="P233:P241" si="49">+SUM(C233:O233)</f>
        <v>29424</v>
      </c>
      <c r="Q233" s="118">
        <v>-146</v>
      </c>
      <c r="R233" s="118">
        <f>+SUM(P233:Q233)</f>
        <v>29278</v>
      </c>
    </row>
    <row r="234" spans="2:18" hidden="1" outlineLevel="1" x14ac:dyDescent="0.2">
      <c r="B234" s="129" t="s">
        <v>895</v>
      </c>
      <c r="C234" s="118">
        <v>0</v>
      </c>
      <c r="D234" s="118">
        <v>0</v>
      </c>
      <c r="E234" s="121" t="s">
        <v>160</v>
      </c>
      <c r="F234" s="118">
        <v>0</v>
      </c>
      <c r="G234" s="118">
        <v>0</v>
      </c>
      <c r="H234" s="118">
        <v>4931</v>
      </c>
      <c r="I234" s="118">
        <v>0</v>
      </c>
      <c r="J234" s="118"/>
      <c r="K234" s="118">
        <v>0</v>
      </c>
      <c r="L234" s="118">
        <v>0</v>
      </c>
      <c r="M234" s="118">
        <v>0</v>
      </c>
      <c r="N234" s="118">
        <v>0</v>
      </c>
      <c r="O234" s="118">
        <v>-4931</v>
      </c>
      <c r="P234" s="118">
        <f t="shared" si="49"/>
        <v>0</v>
      </c>
      <c r="Q234" s="118">
        <v>0</v>
      </c>
      <c r="R234" s="118">
        <f>+SUM(P234:Q234)</f>
        <v>0</v>
      </c>
    </row>
    <row r="235" spans="2:18" hidden="1" outlineLevel="1" x14ac:dyDescent="0.2">
      <c r="B235" s="129" t="s">
        <v>1048</v>
      </c>
      <c r="C235" s="118" t="s">
        <v>160</v>
      </c>
      <c r="D235" s="118" t="s">
        <v>160</v>
      </c>
      <c r="E235" s="121" t="s">
        <v>160</v>
      </c>
      <c r="F235" s="118" t="s">
        <v>160</v>
      </c>
      <c r="G235" s="118" t="s">
        <v>160</v>
      </c>
      <c r="H235" s="118" t="s">
        <v>160</v>
      </c>
      <c r="I235" s="118" t="s">
        <v>160</v>
      </c>
      <c r="J235" s="118"/>
      <c r="K235" s="118" t="s">
        <v>160</v>
      </c>
      <c r="L235" s="118">
        <v>0</v>
      </c>
      <c r="M235" s="118" t="s">
        <v>160</v>
      </c>
      <c r="N235" s="118">
        <v>0</v>
      </c>
      <c r="O235" s="118">
        <v>0</v>
      </c>
      <c r="P235" s="118">
        <f t="shared" si="49"/>
        <v>0</v>
      </c>
      <c r="Q235" s="118">
        <v>0</v>
      </c>
      <c r="R235" s="118">
        <f>+SUM(P235:Q235)</f>
        <v>0</v>
      </c>
    </row>
    <row r="236" spans="2:18" hidden="1" outlineLevel="1" x14ac:dyDescent="0.2">
      <c r="B236" s="129" t="s">
        <v>1063</v>
      </c>
      <c r="C236" s="118">
        <v>0</v>
      </c>
      <c r="D236" s="118">
        <v>0</v>
      </c>
      <c r="E236" s="121" t="s">
        <v>160</v>
      </c>
      <c r="F236" s="118">
        <v>0</v>
      </c>
      <c r="G236" s="118">
        <v>0</v>
      </c>
      <c r="H236" s="118">
        <v>0</v>
      </c>
      <c r="I236" s="118">
        <v>0</v>
      </c>
      <c r="J236" s="118"/>
      <c r="K236" s="118">
        <v>0</v>
      </c>
      <c r="L236" s="118">
        <v>0</v>
      </c>
      <c r="M236" s="118">
        <v>0</v>
      </c>
      <c r="N236" s="118">
        <v>-462</v>
      </c>
      <c r="O236" s="118">
        <v>0</v>
      </c>
      <c r="P236" s="118">
        <f t="shared" si="49"/>
        <v>-462</v>
      </c>
      <c r="Q236" s="118">
        <v>0</v>
      </c>
      <c r="R236" s="118">
        <f>+SUM(P236:Q236)</f>
        <v>-462</v>
      </c>
    </row>
    <row r="237" spans="2:18" hidden="1" outlineLevel="1" x14ac:dyDescent="0.2">
      <c r="B237" s="129" t="s">
        <v>1064</v>
      </c>
      <c r="C237" s="118">
        <v>0</v>
      </c>
      <c r="D237" s="118">
        <v>0</v>
      </c>
      <c r="E237" s="121" t="s">
        <v>160</v>
      </c>
      <c r="F237" s="118">
        <v>0</v>
      </c>
      <c r="G237" s="118">
        <v>0</v>
      </c>
      <c r="H237" s="118">
        <v>0</v>
      </c>
      <c r="I237" s="118">
        <v>0</v>
      </c>
      <c r="J237" s="118"/>
      <c r="K237" s="118">
        <v>0</v>
      </c>
      <c r="L237" s="118">
        <v>0</v>
      </c>
      <c r="M237" s="118">
        <v>0</v>
      </c>
      <c r="N237" s="118">
        <v>157</v>
      </c>
      <c r="O237" s="118">
        <v>0</v>
      </c>
      <c r="P237" s="118">
        <f t="shared" si="49"/>
        <v>157</v>
      </c>
      <c r="Q237" s="118">
        <v>0</v>
      </c>
      <c r="R237" s="118">
        <f>+SUM(P237:Q237)</f>
        <v>157</v>
      </c>
    </row>
    <row r="238" spans="2:18" hidden="1" outlineLevel="1" x14ac:dyDescent="0.2">
      <c r="B238" s="129" t="s">
        <v>1118</v>
      </c>
      <c r="C238" s="118">
        <v>0</v>
      </c>
      <c r="D238" s="118">
        <v>0</v>
      </c>
      <c r="E238" s="121" t="s">
        <v>160</v>
      </c>
      <c r="F238" s="118">
        <v>0</v>
      </c>
      <c r="G238" s="118">
        <v>0</v>
      </c>
      <c r="H238" s="118">
        <v>0</v>
      </c>
      <c r="I238" s="118">
        <v>0</v>
      </c>
      <c r="J238" s="118"/>
      <c r="K238" s="118">
        <v>0</v>
      </c>
      <c r="L238" s="118">
        <v>0</v>
      </c>
      <c r="M238" s="118">
        <v>0</v>
      </c>
      <c r="N238" s="118">
        <v>0</v>
      </c>
      <c r="O238" s="118">
        <v>0</v>
      </c>
      <c r="P238" s="118">
        <f t="shared" si="49"/>
        <v>0</v>
      </c>
      <c r="Q238" s="118">
        <v>0</v>
      </c>
      <c r="R238" s="118">
        <v>0</v>
      </c>
    </row>
    <row r="239" spans="2:18" hidden="1" outlineLevel="1" x14ac:dyDescent="0.2">
      <c r="B239" s="129" t="s">
        <v>49</v>
      </c>
      <c r="C239" s="118">
        <v>0</v>
      </c>
      <c r="D239" s="118">
        <v>0</v>
      </c>
      <c r="E239" s="121" t="s">
        <v>160</v>
      </c>
      <c r="F239" s="118">
        <v>0</v>
      </c>
      <c r="G239" s="118">
        <v>0</v>
      </c>
      <c r="H239" s="118">
        <v>0</v>
      </c>
      <c r="I239" s="118">
        <v>0</v>
      </c>
      <c r="J239" s="118"/>
      <c r="K239" s="118">
        <v>453</v>
      </c>
      <c r="L239" s="118">
        <v>0</v>
      </c>
      <c r="M239" s="118">
        <v>0</v>
      </c>
      <c r="N239" s="118">
        <v>-354</v>
      </c>
      <c r="O239" s="118">
        <v>0</v>
      </c>
      <c r="P239" s="118">
        <f t="shared" si="49"/>
        <v>99</v>
      </c>
      <c r="Q239" s="118">
        <v>-101</v>
      </c>
      <c r="R239" s="118">
        <f>+SUM(P239:Q239)</f>
        <v>-2</v>
      </c>
    </row>
    <row r="240" spans="2:18" hidden="1" outlineLevel="1" x14ac:dyDescent="0.2">
      <c r="B240" s="129" t="s">
        <v>700</v>
      </c>
      <c r="C240" s="118" t="s">
        <v>160</v>
      </c>
      <c r="D240" s="118" t="s">
        <v>160</v>
      </c>
      <c r="E240" s="121" t="s">
        <v>160</v>
      </c>
      <c r="F240" s="118" t="s">
        <v>160</v>
      </c>
      <c r="G240" s="118" t="s">
        <v>160</v>
      </c>
      <c r="H240" s="118" t="s">
        <v>160</v>
      </c>
      <c r="I240" s="118">
        <v>5405</v>
      </c>
      <c r="J240" s="118"/>
      <c r="K240" s="118">
        <v>64864</v>
      </c>
      <c r="L240" s="118">
        <v>0</v>
      </c>
      <c r="M240" s="118" t="s">
        <v>160</v>
      </c>
      <c r="N240" s="118" t="s">
        <v>160</v>
      </c>
      <c r="O240" s="118">
        <v>-70269</v>
      </c>
      <c r="P240" s="118">
        <f t="shared" si="49"/>
        <v>0</v>
      </c>
      <c r="Q240" s="118">
        <v>0</v>
      </c>
      <c r="R240" s="118">
        <f>+SUM(P240:Q240)</f>
        <v>0</v>
      </c>
    </row>
    <row r="241" spans="2:18" hidden="1" outlineLevel="1" x14ac:dyDescent="0.2">
      <c r="B241" s="129" t="s">
        <v>736</v>
      </c>
      <c r="C241" s="118" t="s">
        <v>160</v>
      </c>
      <c r="D241" s="118" t="s">
        <v>160</v>
      </c>
      <c r="E241" s="121" t="s">
        <v>160</v>
      </c>
      <c r="F241" s="118" t="s">
        <v>160</v>
      </c>
      <c r="G241" s="118" t="s">
        <v>160</v>
      </c>
      <c r="H241" s="118" t="s">
        <v>160</v>
      </c>
      <c r="I241" s="118">
        <v>0</v>
      </c>
      <c r="J241" s="118"/>
      <c r="K241" s="118">
        <v>-39275</v>
      </c>
      <c r="L241" s="118">
        <v>22339</v>
      </c>
      <c r="M241" s="118" t="s">
        <v>160</v>
      </c>
      <c r="N241" s="118" t="s">
        <v>160</v>
      </c>
      <c r="O241" s="118">
        <v>-182</v>
      </c>
      <c r="P241" s="118">
        <f t="shared" si="49"/>
        <v>-17118</v>
      </c>
      <c r="Q241" s="118">
        <v>0</v>
      </c>
      <c r="R241" s="118">
        <f>+SUM(P241:Q241)</f>
        <v>-17118</v>
      </c>
    </row>
    <row r="242" spans="2:18" collapsed="1" x14ac:dyDescent="0.2">
      <c r="B242" s="126" t="s">
        <v>1106</v>
      </c>
      <c r="C242" s="120">
        <f t="shared" ref="C242:O242" si="50">SUM(C231:C241)</f>
        <v>318524</v>
      </c>
      <c r="D242" s="120">
        <f t="shared" si="50"/>
        <v>0</v>
      </c>
      <c r="E242" s="120" t="s">
        <v>160</v>
      </c>
      <c r="F242" s="120">
        <f t="shared" si="50"/>
        <v>0</v>
      </c>
      <c r="G242" s="120">
        <f t="shared" si="50"/>
        <v>0</v>
      </c>
      <c r="H242" s="120">
        <f t="shared" si="50"/>
        <v>73723</v>
      </c>
      <c r="I242" s="120">
        <f t="shared" si="50"/>
        <v>37980.300000000003</v>
      </c>
      <c r="J242" s="120" t="s">
        <v>160</v>
      </c>
      <c r="K242" s="120">
        <f t="shared" si="50"/>
        <v>230786.08600000001</v>
      </c>
      <c r="L242" s="120">
        <f t="shared" si="50"/>
        <v>22339</v>
      </c>
      <c r="M242" s="120">
        <f t="shared" si="50"/>
        <v>-342</v>
      </c>
      <c r="N242" s="120">
        <f t="shared" si="50"/>
        <v>-2276</v>
      </c>
      <c r="O242" s="120">
        <f t="shared" si="50"/>
        <v>0</v>
      </c>
      <c r="P242" s="120">
        <f>SUM(P231:P241)</f>
        <v>680734.38599999994</v>
      </c>
      <c r="Q242" s="120">
        <f>SUM(Q231:Q241)</f>
        <v>567</v>
      </c>
      <c r="R242" s="120">
        <f>SUM(R231:R241)</f>
        <v>681301.38599999994</v>
      </c>
    </row>
    <row r="243" spans="2:18" x14ac:dyDescent="0.2">
      <c r="E243" s="869"/>
    </row>
    <row r="244" spans="2:18" x14ac:dyDescent="0.2">
      <c r="B244" s="129" t="s">
        <v>707</v>
      </c>
      <c r="C244" s="118" t="s">
        <v>160</v>
      </c>
      <c r="D244" s="118" t="s">
        <v>160</v>
      </c>
      <c r="E244" s="121" t="s">
        <v>160</v>
      </c>
      <c r="F244" s="118" t="s">
        <v>160</v>
      </c>
      <c r="G244" s="118" t="s">
        <v>160</v>
      </c>
      <c r="H244" s="118" t="s">
        <v>160</v>
      </c>
      <c r="I244" s="118" t="s">
        <v>160</v>
      </c>
      <c r="J244" s="118" t="s">
        <v>160</v>
      </c>
      <c r="K244" s="118" t="s">
        <v>160</v>
      </c>
      <c r="L244" s="118" t="s">
        <v>160</v>
      </c>
      <c r="M244" s="118" t="s">
        <v>160</v>
      </c>
      <c r="N244" s="118">
        <v>0</v>
      </c>
      <c r="O244" s="118">
        <v>18708</v>
      </c>
      <c r="P244" s="118">
        <f>+SUM(C244:O244)</f>
        <v>18708</v>
      </c>
      <c r="Q244" s="118">
        <v>75</v>
      </c>
      <c r="R244" s="118">
        <f>+SUM(P244:Q244)</f>
        <v>18783</v>
      </c>
    </row>
    <row r="245" spans="2:18" x14ac:dyDescent="0.2">
      <c r="B245" s="129" t="s">
        <v>895</v>
      </c>
      <c r="C245" s="118">
        <v>0</v>
      </c>
      <c r="D245" s="118">
        <v>0</v>
      </c>
      <c r="E245" s="121" t="s">
        <v>160</v>
      </c>
      <c r="F245" s="118">
        <v>0</v>
      </c>
      <c r="G245" s="118">
        <v>0</v>
      </c>
      <c r="H245" s="118">
        <v>3471</v>
      </c>
      <c r="I245" s="118">
        <v>0</v>
      </c>
      <c r="J245" s="118" t="s">
        <v>160</v>
      </c>
      <c r="K245" s="118">
        <v>0</v>
      </c>
      <c r="L245" s="118">
        <v>0</v>
      </c>
      <c r="M245" s="118">
        <v>0</v>
      </c>
      <c r="N245" s="118">
        <v>0</v>
      </c>
      <c r="O245" s="118">
        <v>-3471</v>
      </c>
      <c r="P245" s="118">
        <f>+SUM(C245:O245)</f>
        <v>0</v>
      </c>
      <c r="Q245" s="118">
        <v>0</v>
      </c>
      <c r="R245" s="118">
        <f>+SUM(P245:Q245)</f>
        <v>0</v>
      </c>
    </row>
    <row r="246" spans="2:18" x14ac:dyDescent="0.2">
      <c r="B246" s="126" t="s">
        <v>1129</v>
      </c>
      <c r="C246" s="120">
        <f>SUM(C242:C245)</f>
        <v>318524</v>
      </c>
      <c r="D246" s="120">
        <f>SUM(D231:D245)</f>
        <v>0</v>
      </c>
      <c r="E246" s="120" t="s">
        <v>160</v>
      </c>
      <c r="F246" s="120">
        <f>SUM(F231:F245)</f>
        <v>0</v>
      </c>
      <c r="G246" s="120">
        <f>SUM(G231:G245)</f>
        <v>0</v>
      </c>
      <c r="H246" s="120">
        <f t="shared" ref="H246:R246" si="51">SUM(H242:H245)</f>
        <v>77194</v>
      </c>
      <c r="I246" s="120">
        <f t="shared" si="51"/>
        <v>37980.300000000003</v>
      </c>
      <c r="J246" s="120" t="s">
        <v>160</v>
      </c>
      <c r="K246" s="120">
        <f t="shared" si="51"/>
        <v>230786.08600000001</v>
      </c>
      <c r="L246" s="120">
        <f t="shared" si="51"/>
        <v>22339</v>
      </c>
      <c r="M246" s="120">
        <f t="shared" si="51"/>
        <v>-342</v>
      </c>
      <c r="N246" s="120">
        <f t="shared" si="51"/>
        <v>-2276</v>
      </c>
      <c r="O246" s="120">
        <f t="shared" si="51"/>
        <v>15237</v>
      </c>
      <c r="P246" s="120">
        <f t="shared" si="51"/>
        <v>699442.38599999994</v>
      </c>
      <c r="Q246" s="120">
        <f t="shared" si="51"/>
        <v>642</v>
      </c>
      <c r="R246" s="120">
        <f t="shared" si="51"/>
        <v>700084.38599999994</v>
      </c>
    </row>
    <row r="247" spans="2:18" x14ac:dyDescent="0.2">
      <c r="E247" s="869"/>
    </row>
    <row r="248" spans="2:18" hidden="1" outlineLevel="1" x14ac:dyDescent="0.2">
      <c r="B248" s="129" t="s">
        <v>1226</v>
      </c>
      <c r="C248" s="118" t="s">
        <v>160</v>
      </c>
      <c r="D248" s="118" t="s">
        <v>160</v>
      </c>
      <c r="E248" s="121" t="s">
        <v>160</v>
      </c>
      <c r="F248" s="118" t="s">
        <v>160</v>
      </c>
      <c r="G248" s="118" t="s">
        <v>160</v>
      </c>
      <c r="H248" s="118" t="s">
        <v>160</v>
      </c>
      <c r="I248" s="118" t="s">
        <v>160</v>
      </c>
      <c r="J248" s="118"/>
      <c r="K248" s="118" t="s">
        <v>160</v>
      </c>
      <c r="L248" s="118" t="s">
        <v>160</v>
      </c>
      <c r="M248" s="118" t="s">
        <v>160</v>
      </c>
      <c r="N248" s="118">
        <v>0</v>
      </c>
      <c r="O248" s="118">
        <v>30471</v>
      </c>
      <c r="P248" s="118">
        <v>30471</v>
      </c>
      <c r="Q248" s="118">
        <v>109</v>
      </c>
      <c r="R248" s="118">
        <v>30580</v>
      </c>
    </row>
    <row r="249" spans="2:18" hidden="1" outlineLevel="1" x14ac:dyDescent="0.2">
      <c r="B249" s="129" t="s">
        <v>895</v>
      </c>
      <c r="C249" s="118">
        <v>0</v>
      </c>
      <c r="D249" s="118">
        <v>0</v>
      </c>
      <c r="E249" s="121" t="s">
        <v>160</v>
      </c>
      <c r="F249" s="118">
        <v>0</v>
      </c>
      <c r="G249" s="118">
        <v>0</v>
      </c>
      <c r="H249" s="118">
        <v>4701</v>
      </c>
      <c r="I249" s="118">
        <v>0</v>
      </c>
      <c r="J249" s="118"/>
      <c r="K249" s="118">
        <v>0</v>
      </c>
      <c r="L249" s="118">
        <v>0</v>
      </c>
      <c r="M249" s="118">
        <v>0</v>
      </c>
      <c r="N249" s="118">
        <v>0</v>
      </c>
      <c r="O249" s="118">
        <v>-4701</v>
      </c>
      <c r="P249" s="118">
        <v>0</v>
      </c>
      <c r="Q249" s="118">
        <v>0</v>
      </c>
      <c r="R249" s="118">
        <v>0</v>
      </c>
    </row>
    <row r="250" spans="2:18" hidden="1" outlineLevel="1" x14ac:dyDescent="0.2">
      <c r="B250" s="129" t="s">
        <v>736</v>
      </c>
      <c r="C250" s="118">
        <v>0</v>
      </c>
      <c r="D250" s="118">
        <v>0</v>
      </c>
      <c r="E250" s="121" t="s">
        <v>160</v>
      </c>
      <c r="F250" s="118">
        <v>0</v>
      </c>
      <c r="G250" s="118">
        <v>0</v>
      </c>
      <c r="H250" s="118">
        <v>0</v>
      </c>
      <c r="I250" s="118">
        <v>0</v>
      </c>
      <c r="J250" s="118"/>
      <c r="K250" s="118">
        <v>0</v>
      </c>
      <c r="L250" s="118">
        <v>-22339</v>
      </c>
      <c r="M250" s="118">
        <v>0</v>
      </c>
      <c r="N250" s="118">
        <v>0</v>
      </c>
      <c r="O250" s="118">
        <v>0</v>
      </c>
      <c r="P250" s="118">
        <v>-22339</v>
      </c>
      <c r="Q250" s="118">
        <v>0</v>
      </c>
      <c r="R250" s="118">
        <v>-22339</v>
      </c>
    </row>
    <row r="251" spans="2:18" hidden="1" outlineLevel="1" x14ac:dyDescent="0.2">
      <c r="B251" s="129" t="s">
        <v>911</v>
      </c>
      <c r="C251" s="118">
        <v>0</v>
      </c>
      <c r="D251" s="118">
        <v>0</v>
      </c>
      <c r="E251" s="121" t="s">
        <v>160</v>
      </c>
      <c r="F251" s="118">
        <v>0</v>
      </c>
      <c r="G251" s="118">
        <v>0</v>
      </c>
      <c r="H251" s="118">
        <v>0</v>
      </c>
      <c r="I251" s="118">
        <v>0</v>
      </c>
      <c r="J251" s="118"/>
      <c r="K251" s="118">
        <v>0</v>
      </c>
      <c r="L251" s="118">
        <v>0</v>
      </c>
      <c r="M251" s="118">
        <v>-1</v>
      </c>
      <c r="N251" s="118">
        <v>-3</v>
      </c>
      <c r="O251" s="118">
        <v>3</v>
      </c>
      <c r="P251" s="118">
        <v>-1</v>
      </c>
      <c r="Q251" s="118">
        <v>3</v>
      </c>
      <c r="R251" s="118">
        <v>2</v>
      </c>
    </row>
    <row r="252" spans="2:18" collapsed="1" x14ac:dyDescent="0.2">
      <c r="B252" s="126" t="s">
        <v>1135</v>
      </c>
      <c r="C252" s="120">
        <f t="shared" ref="C252:R252" si="52">SUM(C246:C251)</f>
        <v>318524</v>
      </c>
      <c r="D252" s="120">
        <f t="shared" si="52"/>
        <v>0</v>
      </c>
      <c r="E252" s="120" t="s">
        <v>160</v>
      </c>
      <c r="F252" s="120">
        <f t="shared" si="52"/>
        <v>0</v>
      </c>
      <c r="G252" s="120">
        <f t="shared" si="52"/>
        <v>0</v>
      </c>
      <c r="H252" s="120">
        <f t="shared" si="52"/>
        <v>81895</v>
      </c>
      <c r="I252" s="120">
        <f t="shared" si="52"/>
        <v>37980.300000000003</v>
      </c>
      <c r="J252" s="120" t="s">
        <v>160</v>
      </c>
      <c r="K252" s="120">
        <f t="shared" si="52"/>
        <v>230786.08600000001</v>
      </c>
      <c r="L252" s="120">
        <f t="shared" si="52"/>
        <v>0</v>
      </c>
      <c r="M252" s="120">
        <f t="shared" si="52"/>
        <v>-343</v>
      </c>
      <c r="N252" s="120">
        <f t="shared" si="52"/>
        <v>-2279</v>
      </c>
      <c r="O252" s="120">
        <f t="shared" si="52"/>
        <v>41010</v>
      </c>
      <c r="P252" s="120">
        <f t="shared" si="52"/>
        <v>707573.38599999994</v>
      </c>
      <c r="Q252" s="120">
        <f t="shared" si="52"/>
        <v>754</v>
      </c>
      <c r="R252" s="120">
        <f t="shared" si="52"/>
        <v>708327.38599999994</v>
      </c>
    </row>
    <row r="253" spans="2:18" x14ac:dyDescent="0.2">
      <c r="E253" s="869"/>
    </row>
    <row r="254" spans="2:18" hidden="1" outlineLevel="1" x14ac:dyDescent="0.2">
      <c r="B254" s="129" t="s">
        <v>1226</v>
      </c>
      <c r="C254" s="118" t="s">
        <v>160</v>
      </c>
      <c r="D254" s="118" t="s">
        <v>160</v>
      </c>
      <c r="E254" s="121" t="s">
        <v>160</v>
      </c>
      <c r="F254" s="118" t="s">
        <v>160</v>
      </c>
      <c r="G254" s="118" t="s">
        <v>160</v>
      </c>
      <c r="H254" s="118" t="s">
        <v>160</v>
      </c>
      <c r="I254" s="118" t="s">
        <v>160</v>
      </c>
      <c r="J254" s="118"/>
      <c r="K254" s="118" t="s">
        <v>160</v>
      </c>
      <c r="L254" s="118" t="s">
        <v>160</v>
      </c>
      <c r="M254" s="118" t="s">
        <v>160</v>
      </c>
      <c r="N254" s="118">
        <v>0</v>
      </c>
      <c r="O254" s="118">
        <v>53395</v>
      </c>
      <c r="P254" s="118">
        <v>53395</v>
      </c>
      <c r="Q254" s="118">
        <v>74</v>
      </c>
      <c r="R254" s="118">
        <v>53469</v>
      </c>
    </row>
    <row r="255" spans="2:18" hidden="1" outlineLevel="1" x14ac:dyDescent="0.2">
      <c r="B255" s="129" t="s">
        <v>895</v>
      </c>
      <c r="C255" s="118">
        <v>0</v>
      </c>
      <c r="D255" s="118">
        <v>0</v>
      </c>
      <c r="E255" s="121" t="s">
        <v>160</v>
      </c>
      <c r="F255" s="118">
        <v>0</v>
      </c>
      <c r="G255" s="118">
        <v>0</v>
      </c>
      <c r="H255" s="118">
        <v>6665</v>
      </c>
      <c r="I255" s="118">
        <v>0</v>
      </c>
      <c r="J255" s="118"/>
      <c r="K255" s="118">
        <v>0</v>
      </c>
      <c r="L255" s="118">
        <v>0</v>
      </c>
      <c r="M255" s="118">
        <v>0</v>
      </c>
      <c r="N255" s="118">
        <v>0</v>
      </c>
      <c r="O255" s="118">
        <v>-6665</v>
      </c>
      <c r="P255" s="118">
        <v>0</v>
      </c>
      <c r="Q255" s="118">
        <v>0</v>
      </c>
      <c r="R255" s="118">
        <v>0</v>
      </c>
    </row>
    <row r="256" spans="2:18" hidden="1" outlineLevel="1" x14ac:dyDescent="0.2">
      <c r="B256" s="129" t="s">
        <v>736</v>
      </c>
      <c r="C256" s="118">
        <v>0</v>
      </c>
      <c r="D256" s="118">
        <v>0</v>
      </c>
      <c r="E256" s="121" t="s">
        <v>160</v>
      </c>
      <c r="F256" s="118">
        <v>0</v>
      </c>
      <c r="G256" s="118">
        <v>0</v>
      </c>
      <c r="H256" s="118">
        <v>0</v>
      </c>
      <c r="I256" s="118">
        <v>0</v>
      </c>
      <c r="J256" s="118"/>
      <c r="K256" s="118">
        <v>0</v>
      </c>
      <c r="L256" s="118">
        <v>0</v>
      </c>
      <c r="M256" s="118">
        <v>0</v>
      </c>
      <c r="N256" s="118">
        <v>0</v>
      </c>
      <c r="O256" s="118">
        <v>-24589</v>
      </c>
      <c r="P256" s="118">
        <v>-24589</v>
      </c>
      <c r="Q256" s="118">
        <v>0</v>
      </c>
      <c r="R256" s="118">
        <v>-24589</v>
      </c>
    </row>
    <row r="257" spans="2:18" hidden="1" outlineLevel="1" x14ac:dyDescent="0.2">
      <c r="B257" s="129" t="s">
        <v>911</v>
      </c>
      <c r="C257" s="118">
        <v>0</v>
      </c>
      <c r="D257" s="118">
        <v>0</v>
      </c>
      <c r="E257" s="121" t="s">
        <v>160</v>
      </c>
      <c r="F257" s="118">
        <v>0</v>
      </c>
      <c r="G257" s="118">
        <v>0</v>
      </c>
      <c r="H257" s="118">
        <v>0</v>
      </c>
      <c r="I257" s="118">
        <v>0</v>
      </c>
      <c r="J257" s="118"/>
      <c r="K257" s="118">
        <v>0</v>
      </c>
      <c r="L257" s="118">
        <v>0</v>
      </c>
      <c r="M257" s="118">
        <v>0</v>
      </c>
      <c r="N257" s="118">
        <v>0</v>
      </c>
      <c r="O257" s="118">
        <v>0</v>
      </c>
      <c r="P257" s="118">
        <v>0</v>
      </c>
      <c r="Q257" s="118">
        <v>0</v>
      </c>
      <c r="R257" s="118">
        <v>0</v>
      </c>
    </row>
    <row r="258" spans="2:18" collapsed="1" x14ac:dyDescent="0.2">
      <c r="B258" s="126" t="s">
        <v>1151</v>
      </c>
      <c r="C258" s="120">
        <f t="shared" ref="C258:R258" si="53">SUM(C252:C257)</f>
        <v>318524</v>
      </c>
      <c r="D258" s="120">
        <f t="shared" si="53"/>
        <v>0</v>
      </c>
      <c r="E258" s="120" t="s">
        <v>160</v>
      </c>
      <c r="F258" s="120">
        <f t="shared" si="53"/>
        <v>0</v>
      </c>
      <c r="G258" s="120">
        <f t="shared" si="53"/>
        <v>0</v>
      </c>
      <c r="H258" s="120">
        <f t="shared" si="53"/>
        <v>88560</v>
      </c>
      <c r="I258" s="120">
        <f t="shared" si="53"/>
        <v>37980.300000000003</v>
      </c>
      <c r="J258" s="120" t="s">
        <v>160</v>
      </c>
      <c r="K258" s="120">
        <f t="shared" si="53"/>
        <v>230786.08600000001</v>
      </c>
      <c r="L258" s="120">
        <f t="shared" si="53"/>
        <v>0</v>
      </c>
      <c r="M258" s="120">
        <f t="shared" si="53"/>
        <v>-343</v>
      </c>
      <c r="N258" s="120">
        <f t="shared" si="53"/>
        <v>-2279</v>
      </c>
      <c r="O258" s="120">
        <f t="shared" si="53"/>
        <v>63151</v>
      </c>
      <c r="P258" s="120">
        <f t="shared" si="53"/>
        <v>736379.38599999994</v>
      </c>
      <c r="Q258" s="120">
        <f t="shared" si="53"/>
        <v>828</v>
      </c>
      <c r="R258" s="120">
        <f t="shared" si="53"/>
        <v>737207.38599999994</v>
      </c>
    </row>
    <row r="259" spans="2:18" x14ac:dyDescent="0.2">
      <c r="E259" s="869"/>
    </row>
    <row r="260" spans="2:18" hidden="1" outlineLevel="1" x14ac:dyDescent="0.2">
      <c r="B260" s="129" t="s">
        <v>1226</v>
      </c>
      <c r="C260" s="118" t="s">
        <v>160</v>
      </c>
      <c r="D260" s="118" t="s">
        <v>160</v>
      </c>
      <c r="E260" s="121" t="s">
        <v>160</v>
      </c>
      <c r="F260" s="118" t="s">
        <v>160</v>
      </c>
      <c r="G260" s="118" t="s">
        <v>160</v>
      </c>
      <c r="H260" s="118" t="s">
        <v>160</v>
      </c>
      <c r="I260" s="118" t="s">
        <v>160</v>
      </c>
      <c r="J260" s="118"/>
      <c r="K260" s="118" t="s">
        <v>160</v>
      </c>
      <c r="L260" s="118" t="s">
        <v>160</v>
      </c>
      <c r="M260" s="118" t="s">
        <v>160</v>
      </c>
      <c r="N260" s="118">
        <v>0</v>
      </c>
      <c r="O260" s="118">
        <v>56722</v>
      </c>
      <c r="P260" s="118">
        <f t="shared" ref="P260:P267" si="54">+SUM(C260:O260)</f>
        <v>56722</v>
      </c>
      <c r="Q260" s="118">
        <v>110</v>
      </c>
      <c r="R260" s="118">
        <f t="shared" ref="R260:R267" si="55">+SUM(P260:Q260)</f>
        <v>56832</v>
      </c>
    </row>
    <row r="261" spans="2:18" hidden="1" outlineLevel="1" x14ac:dyDescent="0.2">
      <c r="B261" s="129" t="s">
        <v>895</v>
      </c>
      <c r="C261" s="118">
        <v>0</v>
      </c>
      <c r="D261" s="118">
        <v>0</v>
      </c>
      <c r="E261" s="121" t="s">
        <v>160</v>
      </c>
      <c r="F261" s="118">
        <v>0</v>
      </c>
      <c r="G261" s="118">
        <v>0</v>
      </c>
      <c r="H261" s="118">
        <v>6461</v>
      </c>
      <c r="I261" s="118">
        <v>0</v>
      </c>
      <c r="J261" s="118"/>
      <c r="K261" s="118">
        <v>0</v>
      </c>
      <c r="L261" s="118">
        <v>0</v>
      </c>
      <c r="M261" s="118">
        <v>0</v>
      </c>
      <c r="N261" s="118">
        <v>0</v>
      </c>
      <c r="O261" s="118">
        <v>-6461</v>
      </c>
      <c r="P261" s="118">
        <f t="shared" si="54"/>
        <v>0</v>
      </c>
      <c r="Q261" s="118">
        <v>0</v>
      </c>
      <c r="R261" s="118">
        <f t="shared" si="55"/>
        <v>0</v>
      </c>
    </row>
    <row r="262" spans="2:18" hidden="1" outlineLevel="1" x14ac:dyDescent="0.2">
      <c r="B262" s="129" t="s">
        <v>736</v>
      </c>
      <c r="C262" s="118">
        <v>0</v>
      </c>
      <c r="D262" s="118">
        <v>0</v>
      </c>
      <c r="E262" s="121" t="s">
        <v>160</v>
      </c>
      <c r="F262" s="118">
        <v>0</v>
      </c>
      <c r="G262" s="118">
        <v>0</v>
      </c>
      <c r="H262" s="118">
        <v>0</v>
      </c>
      <c r="I262" s="118">
        <v>0</v>
      </c>
      <c r="J262" s="118"/>
      <c r="K262" s="118">
        <v>-51624</v>
      </c>
      <c r="L262" s="118">
        <v>61902</v>
      </c>
      <c r="M262" s="118">
        <v>0</v>
      </c>
      <c r="N262" s="118">
        <v>0</v>
      </c>
      <c r="O262" s="118">
        <v>-14974</v>
      </c>
      <c r="P262" s="118">
        <f t="shared" si="54"/>
        <v>-4696</v>
      </c>
      <c r="Q262" s="118">
        <v>0</v>
      </c>
      <c r="R262" s="118">
        <f t="shared" si="55"/>
        <v>-4696</v>
      </c>
    </row>
    <row r="263" spans="2:18" hidden="1" outlineLevel="1" x14ac:dyDescent="0.2">
      <c r="B263" s="129" t="s">
        <v>700</v>
      </c>
      <c r="C263" s="118" t="s">
        <v>160</v>
      </c>
      <c r="D263" s="118" t="s">
        <v>160</v>
      </c>
      <c r="E263" s="121" t="s">
        <v>160</v>
      </c>
      <c r="F263" s="118" t="s">
        <v>160</v>
      </c>
      <c r="G263" s="118" t="s">
        <v>160</v>
      </c>
      <c r="H263" s="118" t="s">
        <v>160</v>
      </c>
      <c r="I263" s="118">
        <v>7965</v>
      </c>
      <c r="J263" s="118"/>
      <c r="K263" s="118">
        <v>90473</v>
      </c>
      <c r="L263" s="118">
        <v>0</v>
      </c>
      <c r="M263" s="118" t="s">
        <v>160</v>
      </c>
      <c r="N263" s="118" t="s">
        <v>160</v>
      </c>
      <c r="O263" s="118">
        <v>-98438</v>
      </c>
      <c r="P263" s="118">
        <f t="shared" si="54"/>
        <v>0</v>
      </c>
      <c r="Q263" s="118">
        <v>0</v>
      </c>
      <c r="R263" s="118">
        <f t="shared" si="55"/>
        <v>0</v>
      </c>
    </row>
    <row r="264" spans="2:18" hidden="1" outlineLevel="1" x14ac:dyDescent="0.2">
      <c r="B264" s="129" t="s">
        <v>1063</v>
      </c>
      <c r="C264" s="118" t="s">
        <v>160</v>
      </c>
      <c r="D264" s="118" t="s">
        <v>160</v>
      </c>
      <c r="E264" s="121" t="s">
        <v>160</v>
      </c>
      <c r="F264" s="118" t="s">
        <v>160</v>
      </c>
      <c r="G264" s="118" t="s">
        <v>160</v>
      </c>
      <c r="H264" s="118" t="s">
        <v>160</v>
      </c>
      <c r="I264" s="118" t="s">
        <v>160</v>
      </c>
      <c r="J264" s="118"/>
      <c r="K264" s="118" t="s">
        <v>160</v>
      </c>
      <c r="L264" s="118" t="s">
        <v>160</v>
      </c>
      <c r="M264" s="118" t="s">
        <v>160</v>
      </c>
      <c r="N264" s="118">
        <v>186</v>
      </c>
      <c r="O264" s="118" t="s">
        <v>160</v>
      </c>
      <c r="P264" s="118">
        <f t="shared" si="54"/>
        <v>186</v>
      </c>
      <c r="Q264" s="118">
        <v>0</v>
      </c>
      <c r="R264" s="118">
        <f t="shared" si="55"/>
        <v>186</v>
      </c>
    </row>
    <row r="265" spans="2:18" hidden="1" outlineLevel="1" x14ac:dyDescent="0.2">
      <c r="B265" s="129" t="s">
        <v>1064</v>
      </c>
      <c r="C265" s="118" t="s">
        <v>160</v>
      </c>
      <c r="D265" s="118" t="s">
        <v>160</v>
      </c>
      <c r="E265" s="121" t="s">
        <v>160</v>
      </c>
      <c r="F265" s="118" t="s">
        <v>160</v>
      </c>
      <c r="G265" s="118" t="s">
        <v>160</v>
      </c>
      <c r="H265" s="118" t="s">
        <v>160</v>
      </c>
      <c r="I265" s="118" t="s">
        <v>160</v>
      </c>
      <c r="J265" s="118"/>
      <c r="K265" s="118" t="s">
        <v>160</v>
      </c>
      <c r="L265" s="118" t="s">
        <v>160</v>
      </c>
      <c r="M265" s="118" t="s">
        <v>160</v>
      </c>
      <c r="N265" s="118">
        <v>-63</v>
      </c>
      <c r="O265" s="118" t="s">
        <v>160</v>
      </c>
      <c r="P265" s="118">
        <f t="shared" si="54"/>
        <v>-63</v>
      </c>
      <c r="Q265" s="118" t="s">
        <v>160</v>
      </c>
      <c r="R265" s="118">
        <f t="shared" si="55"/>
        <v>-63</v>
      </c>
    </row>
    <row r="266" spans="2:18" hidden="1" outlineLevel="1" x14ac:dyDescent="0.2">
      <c r="B266" s="129" t="s">
        <v>1118</v>
      </c>
      <c r="C266" s="118" t="s">
        <v>160</v>
      </c>
      <c r="D266" s="118" t="s">
        <v>160</v>
      </c>
      <c r="E266" s="121" t="s">
        <v>160</v>
      </c>
      <c r="F266" s="118" t="s">
        <v>160</v>
      </c>
      <c r="G266" s="118" t="s">
        <v>160</v>
      </c>
      <c r="H266" s="118" t="s">
        <v>160</v>
      </c>
      <c r="I266" s="118" t="s">
        <v>160</v>
      </c>
      <c r="J266" s="118"/>
      <c r="K266" s="118" t="s">
        <v>160</v>
      </c>
      <c r="L266" s="118">
        <v>-22339</v>
      </c>
      <c r="M266" s="118" t="s">
        <v>160</v>
      </c>
      <c r="N266" s="118" t="s">
        <v>160</v>
      </c>
      <c r="O266" s="118" t="s">
        <v>160</v>
      </c>
      <c r="P266" s="118">
        <f t="shared" si="54"/>
        <v>-22339</v>
      </c>
      <c r="Q266" s="118" t="s">
        <v>160</v>
      </c>
      <c r="R266" s="118">
        <f t="shared" si="55"/>
        <v>-22339</v>
      </c>
    </row>
    <row r="267" spans="2:18" hidden="1" outlineLevel="1" x14ac:dyDescent="0.2">
      <c r="B267" s="129" t="s">
        <v>911</v>
      </c>
      <c r="C267" s="118">
        <v>0</v>
      </c>
      <c r="D267" s="118">
        <v>0</v>
      </c>
      <c r="E267" s="121" t="s">
        <v>160</v>
      </c>
      <c r="F267" s="118">
        <v>0</v>
      </c>
      <c r="G267" s="118">
        <v>0</v>
      </c>
      <c r="H267" s="118">
        <v>0</v>
      </c>
      <c r="I267" s="118">
        <v>0</v>
      </c>
      <c r="J267" s="118"/>
      <c r="K267" s="118">
        <v>0</v>
      </c>
      <c r="L267" s="118">
        <v>0</v>
      </c>
      <c r="M267" s="118">
        <v>0</v>
      </c>
      <c r="N267" s="118">
        <v>0</v>
      </c>
      <c r="O267" s="118">
        <v>0</v>
      </c>
      <c r="P267" s="118">
        <f t="shared" si="54"/>
        <v>0</v>
      </c>
      <c r="Q267" s="118">
        <v>0</v>
      </c>
      <c r="R267" s="118">
        <f t="shared" si="55"/>
        <v>0</v>
      </c>
    </row>
    <row r="268" spans="2:18" collapsed="1" x14ac:dyDescent="0.2">
      <c r="B268" s="126" t="s">
        <v>1158</v>
      </c>
      <c r="C268" s="120">
        <f t="shared" ref="C268:R268" si="56">SUM(C258:C267)</f>
        <v>318524</v>
      </c>
      <c r="D268" s="120">
        <f t="shared" si="56"/>
        <v>0</v>
      </c>
      <c r="E268" s="120" t="s">
        <v>160</v>
      </c>
      <c r="F268" s="120">
        <f t="shared" si="56"/>
        <v>0</v>
      </c>
      <c r="G268" s="120">
        <f t="shared" si="56"/>
        <v>0</v>
      </c>
      <c r="H268" s="120">
        <f t="shared" si="56"/>
        <v>95021</v>
      </c>
      <c r="I268" s="120">
        <f t="shared" si="56"/>
        <v>45945.3</v>
      </c>
      <c r="J268" s="120" t="s">
        <v>160</v>
      </c>
      <c r="K268" s="120">
        <f t="shared" si="56"/>
        <v>269635.08600000001</v>
      </c>
      <c r="L268" s="120">
        <f t="shared" si="56"/>
        <v>39563</v>
      </c>
      <c r="M268" s="120">
        <f t="shared" si="56"/>
        <v>-343</v>
      </c>
      <c r="N268" s="120">
        <f t="shared" si="56"/>
        <v>-2156</v>
      </c>
      <c r="O268" s="120">
        <f t="shared" si="56"/>
        <v>0</v>
      </c>
      <c r="P268" s="120">
        <f t="shared" si="56"/>
        <v>766189.38599999994</v>
      </c>
      <c r="Q268" s="120">
        <f t="shared" si="56"/>
        <v>938</v>
      </c>
      <c r="R268" s="120">
        <f t="shared" si="56"/>
        <v>767127.38599999994</v>
      </c>
    </row>
    <row r="269" spans="2:18" x14ac:dyDescent="0.2">
      <c r="E269" s="869"/>
    </row>
    <row r="270" spans="2:18" x14ac:dyDescent="0.2">
      <c r="B270" s="129" t="s">
        <v>1226</v>
      </c>
      <c r="C270" s="118" t="s">
        <v>160</v>
      </c>
      <c r="D270" s="118" t="s">
        <v>160</v>
      </c>
      <c r="E270" s="121" t="s">
        <v>160</v>
      </c>
      <c r="F270" s="118" t="s">
        <v>160</v>
      </c>
      <c r="G270" s="118" t="s">
        <v>160</v>
      </c>
      <c r="H270" s="118" t="s">
        <v>160</v>
      </c>
      <c r="I270" s="118" t="s">
        <v>160</v>
      </c>
      <c r="J270" s="118" t="s">
        <v>160</v>
      </c>
      <c r="K270" s="118" t="s">
        <v>160</v>
      </c>
      <c r="L270" s="118" t="s">
        <v>160</v>
      </c>
      <c r="M270" s="118" t="s">
        <v>160</v>
      </c>
      <c r="N270" s="118">
        <v>0</v>
      </c>
      <c r="O270" s="118">
        <v>34499</v>
      </c>
      <c r="P270" s="118">
        <f t="shared" ref="P270:P277" si="57">+SUM(C270:O270)</f>
        <v>34499</v>
      </c>
      <c r="Q270" s="118">
        <v>224</v>
      </c>
      <c r="R270" s="118">
        <f t="shared" ref="R270:R277" si="58">+SUM(P270:Q270)</f>
        <v>34723</v>
      </c>
    </row>
    <row r="271" spans="2:18" x14ac:dyDescent="0.2">
      <c r="B271" s="129" t="s">
        <v>895</v>
      </c>
      <c r="C271" s="118">
        <v>0</v>
      </c>
      <c r="D271" s="118">
        <v>0</v>
      </c>
      <c r="E271" s="121" t="s">
        <v>160</v>
      </c>
      <c r="F271" s="118">
        <v>0</v>
      </c>
      <c r="G271" s="118">
        <v>0</v>
      </c>
      <c r="H271" s="118">
        <v>4837</v>
      </c>
      <c r="I271" s="118">
        <v>0</v>
      </c>
      <c r="J271" s="118" t="s">
        <v>160</v>
      </c>
      <c r="K271" s="118">
        <v>0</v>
      </c>
      <c r="L271" s="118">
        <v>0</v>
      </c>
      <c r="M271" s="118">
        <v>0</v>
      </c>
      <c r="N271" s="118">
        <v>0</v>
      </c>
      <c r="O271" s="118">
        <v>-4837</v>
      </c>
      <c r="P271" s="118">
        <f t="shared" si="57"/>
        <v>0</v>
      </c>
      <c r="Q271" s="118">
        <v>0</v>
      </c>
      <c r="R271" s="118">
        <f t="shared" si="58"/>
        <v>0</v>
      </c>
    </row>
    <row r="272" spans="2:18" x14ac:dyDescent="0.2">
      <c r="B272" s="129" t="s">
        <v>736</v>
      </c>
      <c r="C272" s="118">
        <v>0</v>
      </c>
      <c r="D272" s="118">
        <v>0</v>
      </c>
      <c r="E272" s="121" t="s">
        <v>160</v>
      </c>
      <c r="F272" s="118">
        <v>0</v>
      </c>
      <c r="G272" s="118">
        <v>0</v>
      </c>
      <c r="H272" s="118">
        <v>0</v>
      </c>
      <c r="I272" s="118">
        <v>0</v>
      </c>
      <c r="J272" s="118" t="s">
        <v>160</v>
      </c>
      <c r="K272" s="118">
        <v>0</v>
      </c>
      <c r="L272" s="118">
        <v>0</v>
      </c>
      <c r="M272" s="118">
        <v>0</v>
      </c>
      <c r="N272" s="118">
        <v>0</v>
      </c>
      <c r="O272" s="118">
        <v>0</v>
      </c>
      <c r="P272" s="118">
        <f t="shared" si="57"/>
        <v>0</v>
      </c>
      <c r="Q272" s="118">
        <v>0</v>
      </c>
      <c r="R272" s="118">
        <f t="shared" si="58"/>
        <v>0</v>
      </c>
    </row>
    <row r="273" spans="2:18" x14ac:dyDescent="0.2">
      <c r="B273" s="129" t="s">
        <v>700</v>
      </c>
      <c r="C273" s="118" t="s">
        <v>160</v>
      </c>
      <c r="D273" s="118" t="s">
        <v>160</v>
      </c>
      <c r="E273" s="121" t="s">
        <v>160</v>
      </c>
      <c r="F273" s="118" t="s">
        <v>160</v>
      </c>
      <c r="G273" s="118" t="s">
        <v>160</v>
      </c>
      <c r="H273" s="118" t="s">
        <v>160</v>
      </c>
      <c r="I273" s="118">
        <v>0</v>
      </c>
      <c r="J273" s="118" t="s">
        <v>160</v>
      </c>
      <c r="K273" s="118">
        <v>0</v>
      </c>
      <c r="L273" s="118">
        <v>0</v>
      </c>
      <c r="M273" s="118" t="s">
        <v>160</v>
      </c>
      <c r="N273" s="118" t="s">
        <v>160</v>
      </c>
      <c r="O273" s="118">
        <v>0</v>
      </c>
      <c r="P273" s="118">
        <f t="shared" si="57"/>
        <v>0</v>
      </c>
      <c r="Q273" s="118">
        <v>0</v>
      </c>
      <c r="R273" s="118">
        <f t="shared" si="58"/>
        <v>0</v>
      </c>
    </row>
    <row r="274" spans="2:18" x14ac:dyDescent="0.2">
      <c r="B274" s="129" t="s">
        <v>1063</v>
      </c>
      <c r="C274" s="118" t="s">
        <v>160</v>
      </c>
      <c r="D274" s="118" t="s">
        <v>160</v>
      </c>
      <c r="E274" s="121" t="s">
        <v>160</v>
      </c>
      <c r="F274" s="118" t="s">
        <v>160</v>
      </c>
      <c r="G274" s="118" t="s">
        <v>160</v>
      </c>
      <c r="H274" s="118" t="s">
        <v>160</v>
      </c>
      <c r="I274" s="118" t="s">
        <v>160</v>
      </c>
      <c r="J274" s="118" t="s">
        <v>160</v>
      </c>
      <c r="K274" s="118" t="s">
        <v>160</v>
      </c>
      <c r="L274" s="118" t="s">
        <v>160</v>
      </c>
      <c r="M274" s="118" t="s">
        <v>160</v>
      </c>
      <c r="N274" s="118">
        <v>0</v>
      </c>
      <c r="O274" s="118" t="s">
        <v>160</v>
      </c>
      <c r="P274" s="118">
        <f t="shared" si="57"/>
        <v>0</v>
      </c>
      <c r="Q274" s="118">
        <v>0</v>
      </c>
      <c r="R274" s="118">
        <f t="shared" si="58"/>
        <v>0</v>
      </c>
    </row>
    <row r="275" spans="2:18" x14ac:dyDescent="0.2">
      <c r="B275" s="129" t="s">
        <v>1064</v>
      </c>
      <c r="C275" s="118" t="s">
        <v>160</v>
      </c>
      <c r="D275" s="118" t="s">
        <v>160</v>
      </c>
      <c r="E275" s="121" t="s">
        <v>160</v>
      </c>
      <c r="F275" s="118" t="s">
        <v>160</v>
      </c>
      <c r="G275" s="118" t="s">
        <v>160</v>
      </c>
      <c r="H275" s="118" t="s">
        <v>160</v>
      </c>
      <c r="I275" s="118" t="s">
        <v>160</v>
      </c>
      <c r="J275" s="118" t="s">
        <v>160</v>
      </c>
      <c r="K275" s="118" t="s">
        <v>160</v>
      </c>
      <c r="L275" s="118" t="s">
        <v>160</v>
      </c>
      <c r="M275" s="118" t="s">
        <v>160</v>
      </c>
      <c r="N275" s="118">
        <v>0</v>
      </c>
      <c r="O275" s="118" t="s">
        <v>160</v>
      </c>
      <c r="P275" s="118">
        <f t="shared" si="57"/>
        <v>0</v>
      </c>
      <c r="Q275" s="118" t="s">
        <v>160</v>
      </c>
      <c r="R275" s="118">
        <f t="shared" si="58"/>
        <v>0</v>
      </c>
    </row>
    <row r="276" spans="2:18" x14ac:dyDescent="0.2">
      <c r="B276" s="129" t="s">
        <v>1118</v>
      </c>
      <c r="C276" s="118" t="s">
        <v>160</v>
      </c>
      <c r="D276" s="118" t="s">
        <v>160</v>
      </c>
      <c r="E276" s="121" t="s">
        <v>160</v>
      </c>
      <c r="F276" s="118" t="s">
        <v>160</v>
      </c>
      <c r="G276" s="118" t="s">
        <v>160</v>
      </c>
      <c r="H276" s="118" t="s">
        <v>160</v>
      </c>
      <c r="I276" s="118" t="s">
        <v>160</v>
      </c>
      <c r="J276" s="118" t="s">
        <v>160</v>
      </c>
      <c r="K276" s="118" t="s">
        <v>160</v>
      </c>
      <c r="L276" s="118">
        <v>0</v>
      </c>
      <c r="M276" s="118" t="s">
        <v>160</v>
      </c>
      <c r="N276" s="118" t="s">
        <v>160</v>
      </c>
      <c r="O276" s="118" t="s">
        <v>160</v>
      </c>
      <c r="P276" s="118">
        <f t="shared" si="57"/>
        <v>0</v>
      </c>
      <c r="Q276" s="118" t="s">
        <v>160</v>
      </c>
      <c r="R276" s="118">
        <f t="shared" si="58"/>
        <v>0</v>
      </c>
    </row>
    <row r="277" spans="2:18" x14ac:dyDescent="0.2">
      <c r="B277" s="129" t="s">
        <v>911</v>
      </c>
      <c r="C277" s="118">
        <v>0</v>
      </c>
      <c r="D277" s="118">
        <v>0</v>
      </c>
      <c r="E277" s="121" t="s">
        <v>160</v>
      </c>
      <c r="F277" s="118">
        <v>0</v>
      </c>
      <c r="G277" s="118">
        <v>0</v>
      </c>
      <c r="H277" s="118">
        <v>0</v>
      </c>
      <c r="I277" s="118">
        <v>0</v>
      </c>
      <c r="J277" s="118" t="s">
        <v>160</v>
      </c>
      <c r="K277" s="118">
        <v>0</v>
      </c>
      <c r="L277" s="118">
        <v>0</v>
      </c>
      <c r="M277" s="118">
        <v>0</v>
      </c>
      <c r="N277" s="118">
        <v>157</v>
      </c>
      <c r="O277" s="118">
        <v>0</v>
      </c>
      <c r="P277" s="118">
        <f t="shared" si="57"/>
        <v>157</v>
      </c>
      <c r="Q277" s="1130"/>
      <c r="R277" s="118">
        <f t="shared" si="58"/>
        <v>157</v>
      </c>
    </row>
    <row r="278" spans="2:18" x14ac:dyDescent="0.2">
      <c r="B278" s="126" t="s">
        <v>1183</v>
      </c>
      <c r="C278" s="120">
        <f t="shared" ref="C278:R278" si="59">SUM(C268:C277)</f>
        <v>318524</v>
      </c>
      <c r="D278" s="120">
        <f t="shared" si="59"/>
        <v>0</v>
      </c>
      <c r="E278" s="120" t="s">
        <v>160</v>
      </c>
      <c r="F278" s="120">
        <f t="shared" si="59"/>
        <v>0</v>
      </c>
      <c r="G278" s="120">
        <f t="shared" si="59"/>
        <v>0</v>
      </c>
      <c r="H278" s="120">
        <f t="shared" si="59"/>
        <v>99858</v>
      </c>
      <c r="I278" s="120">
        <f t="shared" si="59"/>
        <v>45945.3</v>
      </c>
      <c r="J278" s="120" t="s">
        <v>160</v>
      </c>
      <c r="K278" s="120">
        <f t="shared" si="59"/>
        <v>269635.08600000001</v>
      </c>
      <c r="L278" s="120">
        <f t="shared" si="59"/>
        <v>39563</v>
      </c>
      <c r="M278" s="120">
        <f t="shared" si="59"/>
        <v>-343</v>
      </c>
      <c r="N278" s="120">
        <f t="shared" si="59"/>
        <v>-1999</v>
      </c>
      <c r="O278" s="120">
        <f t="shared" si="59"/>
        <v>29662</v>
      </c>
      <c r="P278" s="120">
        <f t="shared" si="59"/>
        <v>800845.38599999994</v>
      </c>
      <c r="Q278" s="120">
        <f t="shared" si="59"/>
        <v>1162</v>
      </c>
      <c r="R278" s="120">
        <f t="shared" si="59"/>
        <v>802007.38599999994</v>
      </c>
    </row>
    <row r="279" spans="2:18" x14ac:dyDescent="0.2">
      <c r="E279" s="869"/>
    </row>
    <row r="280" spans="2:18" x14ac:dyDescent="0.2">
      <c r="B280" s="129" t="s">
        <v>1226</v>
      </c>
      <c r="C280" s="118" t="s">
        <v>160</v>
      </c>
      <c r="D280" s="118" t="s">
        <v>160</v>
      </c>
      <c r="E280" s="121" t="s">
        <v>160</v>
      </c>
      <c r="F280" s="118" t="s">
        <v>160</v>
      </c>
      <c r="G280" s="118" t="s">
        <v>160</v>
      </c>
      <c r="H280" s="118" t="s">
        <v>160</v>
      </c>
      <c r="I280" s="118" t="s">
        <v>160</v>
      </c>
      <c r="J280" s="118" t="s">
        <v>160</v>
      </c>
      <c r="K280" s="118" t="s">
        <v>160</v>
      </c>
      <c r="L280" s="118" t="s">
        <v>160</v>
      </c>
      <c r="M280" s="118" t="s">
        <v>160</v>
      </c>
      <c r="N280" s="118">
        <v>0</v>
      </c>
      <c r="O280" s="118">
        <v>39660</v>
      </c>
      <c r="P280" s="118">
        <f t="shared" ref="P280:P287" si="60">+SUM(C280:O280)</f>
        <v>39660</v>
      </c>
      <c r="Q280" s="118">
        <v>196</v>
      </c>
      <c r="R280" s="118">
        <f t="shared" ref="R280:R287" si="61">+SUM(P280:Q280)</f>
        <v>39856</v>
      </c>
    </row>
    <row r="281" spans="2:18" x14ac:dyDescent="0.2">
      <c r="B281" s="129" t="s">
        <v>895</v>
      </c>
      <c r="C281" s="118">
        <v>0</v>
      </c>
      <c r="D281" s="118">
        <v>0</v>
      </c>
      <c r="E281" s="121" t="s">
        <v>160</v>
      </c>
      <c r="F281" s="118">
        <v>0</v>
      </c>
      <c r="G281" s="118">
        <v>0</v>
      </c>
      <c r="H281" s="118">
        <v>5894</v>
      </c>
      <c r="I281" s="118">
        <v>0</v>
      </c>
      <c r="J281" s="118" t="s">
        <v>160</v>
      </c>
      <c r="K281" s="118">
        <v>0</v>
      </c>
      <c r="L281" s="118">
        <v>0</v>
      </c>
      <c r="M281" s="118">
        <v>0</v>
      </c>
      <c r="N281" s="118">
        <v>0</v>
      </c>
      <c r="O281" s="118">
        <v>-5894</v>
      </c>
      <c r="P281" s="118">
        <f t="shared" si="60"/>
        <v>0</v>
      </c>
      <c r="Q281" s="118">
        <v>0</v>
      </c>
      <c r="R281" s="118">
        <f t="shared" si="61"/>
        <v>0</v>
      </c>
    </row>
    <row r="282" spans="2:18" x14ac:dyDescent="0.2">
      <c r="B282" s="129" t="s">
        <v>736</v>
      </c>
      <c r="C282" s="118">
        <v>0</v>
      </c>
      <c r="D282" s="118">
        <v>0</v>
      </c>
      <c r="E282" s="121" t="s">
        <v>160</v>
      </c>
      <c r="F282" s="118">
        <v>0</v>
      </c>
      <c r="G282" s="118">
        <v>0</v>
      </c>
      <c r="H282" s="118">
        <v>0</v>
      </c>
      <c r="I282" s="118">
        <v>0</v>
      </c>
      <c r="J282" s="118" t="s">
        <v>160</v>
      </c>
      <c r="K282" s="118">
        <v>0</v>
      </c>
      <c r="L282" s="118">
        <v>-39563</v>
      </c>
      <c r="M282" s="118">
        <v>0</v>
      </c>
      <c r="N282" s="118">
        <v>0</v>
      </c>
      <c r="O282" s="118">
        <v>0</v>
      </c>
      <c r="P282" s="118">
        <f t="shared" si="60"/>
        <v>-39563</v>
      </c>
      <c r="Q282" s="118">
        <v>0</v>
      </c>
      <c r="R282" s="118">
        <f t="shared" si="61"/>
        <v>-39563</v>
      </c>
    </row>
    <row r="283" spans="2:18" x14ac:dyDescent="0.2">
      <c r="B283" s="129" t="s">
        <v>700</v>
      </c>
      <c r="C283" s="118" t="s">
        <v>160</v>
      </c>
      <c r="D283" s="118" t="s">
        <v>160</v>
      </c>
      <c r="E283" s="121" t="s">
        <v>160</v>
      </c>
      <c r="F283" s="118" t="s">
        <v>160</v>
      </c>
      <c r="G283" s="118" t="s">
        <v>160</v>
      </c>
      <c r="H283" s="118" t="s">
        <v>160</v>
      </c>
      <c r="I283" s="118">
        <v>0</v>
      </c>
      <c r="J283" s="118" t="s">
        <v>160</v>
      </c>
      <c r="K283" s="118">
        <v>0</v>
      </c>
      <c r="L283" s="118">
        <v>0</v>
      </c>
      <c r="M283" s="118" t="s">
        <v>160</v>
      </c>
      <c r="N283" s="118" t="s">
        <v>160</v>
      </c>
      <c r="O283" s="118">
        <v>0</v>
      </c>
      <c r="P283" s="118">
        <f t="shared" si="60"/>
        <v>0</v>
      </c>
      <c r="Q283" s="118">
        <v>0</v>
      </c>
      <c r="R283" s="118">
        <f t="shared" si="61"/>
        <v>0</v>
      </c>
    </row>
    <row r="284" spans="2:18" x14ac:dyDescent="0.2">
      <c r="B284" s="129" t="s">
        <v>1063</v>
      </c>
      <c r="C284" s="118" t="s">
        <v>160</v>
      </c>
      <c r="D284" s="118" t="s">
        <v>160</v>
      </c>
      <c r="E284" s="121" t="s">
        <v>160</v>
      </c>
      <c r="F284" s="118" t="s">
        <v>160</v>
      </c>
      <c r="G284" s="118" t="s">
        <v>160</v>
      </c>
      <c r="H284" s="118" t="s">
        <v>160</v>
      </c>
      <c r="I284" s="118" t="s">
        <v>160</v>
      </c>
      <c r="J284" s="118" t="s">
        <v>160</v>
      </c>
      <c r="K284" s="118" t="s">
        <v>160</v>
      </c>
      <c r="L284" s="118" t="s">
        <v>160</v>
      </c>
      <c r="M284" s="118" t="s">
        <v>160</v>
      </c>
      <c r="N284" s="118">
        <v>0</v>
      </c>
      <c r="O284" s="118" t="s">
        <v>160</v>
      </c>
      <c r="P284" s="118">
        <f t="shared" si="60"/>
        <v>0</v>
      </c>
      <c r="Q284" s="118">
        <v>0</v>
      </c>
      <c r="R284" s="118">
        <f t="shared" si="61"/>
        <v>0</v>
      </c>
    </row>
    <row r="285" spans="2:18" x14ac:dyDescent="0.2">
      <c r="B285" s="129" t="s">
        <v>1064</v>
      </c>
      <c r="C285" s="118" t="s">
        <v>160</v>
      </c>
      <c r="D285" s="118" t="s">
        <v>160</v>
      </c>
      <c r="E285" s="121" t="s">
        <v>160</v>
      </c>
      <c r="F285" s="118" t="s">
        <v>160</v>
      </c>
      <c r="G285" s="118" t="s">
        <v>160</v>
      </c>
      <c r="H285" s="118" t="s">
        <v>160</v>
      </c>
      <c r="I285" s="118" t="s">
        <v>160</v>
      </c>
      <c r="J285" s="118" t="s">
        <v>160</v>
      </c>
      <c r="K285" s="118" t="s">
        <v>160</v>
      </c>
      <c r="L285" s="118" t="s">
        <v>160</v>
      </c>
      <c r="M285" s="118" t="s">
        <v>160</v>
      </c>
      <c r="N285" s="118">
        <v>0</v>
      </c>
      <c r="O285" s="118" t="s">
        <v>160</v>
      </c>
      <c r="P285" s="118">
        <f t="shared" si="60"/>
        <v>0</v>
      </c>
      <c r="Q285" s="118" t="s">
        <v>160</v>
      </c>
      <c r="R285" s="118">
        <f t="shared" si="61"/>
        <v>0</v>
      </c>
    </row>
    <row r="286" spans="2:18" x14ac:dyDescent="0.2">
      <c r="B286" s="129" t="s">
        <v>1118</v>
      </c>
      <c r="C286" s="118" t="s">
        <v>160</v>
      </c>
      <c r="D286" s="118" t="s">
        <v>160</v>
      </c>
      <c r="E286" s="121" t="s">
        <v>160</v>
      </c>
      <c r="F286" s="118" t="s">
        <v>160</v>
      </c>
      <c r="G286" s="118" t="s">
        <v>160</v>
      </c>
      <c r="H286" s="118" t="s">
        <v>160</v>
      </c>
      <c r="I286" s="118" t="s">
        <v>160</v>
      </c>
      <c r="J286" s="118" t="s">
        <v>160</v>
      </c>
      <c r="K286" s="118" t="s">
        <v>160</v>
      </c>
      <c r="L286" s="118">
        <v>0</v>
      </c>
      <c r="M286" s="118" t="s">
        <v>160</v>
      </c>
      <c r="N286" s="118" t="s">
        <v>160</v>
      </c>
      <c r="O286" s="118" t="s">
        <v>160</v>
      </c>
      <c r="P286" s="118">
        <f t="shared" si="60"/>
        <v>0</v>
      </c>
      <c r="Q286" s="118" t="s">
        <v>160</v>
      </c>
      <c r="R286" s="118">
        <f t="shared" si="61"/>
        <v>0</v>
      </c>
    </row>
    <row r="287" spans="2:18" x14ac:dyDescent="0.2">
      <c r="B287" s="129" t="s">
        <v>911</v>
      </c>
      <c r="C287" s="118">
        <v>0</v>
      </c>
      <c r="D287" s="118">
        <v>0</v>
      </c>
      <c r="E287" s="121" t="s">
        <v>160</v>
      </c>
      <c r="F287" s="118">
        <v>0</v>
      </c>
      <c r="G287" s="118">
        <v>0</v>
      </c>
      <c r="H287" s="118">
        <v>0</v>
      </c>
      <c r="I287" s="118">
        <v>0</v>
      </c>
      <c r="J287" s="118" t="s">
        <v>160</v>
      </c>
      <c r="K287" s="118">
        <v>0</v>
      </c>
      <c r="L287" s="118">
        <v>0</v>
      </c>
      <c r="M287" s="118">
        <v>0</v>
      </c>
      <c r="N287" s="118">
        <v>0</v>
      </c>
      <c r="O287" s="118">
        <v>0</v>
      </c>
      <c r="P287" s="118">
        <f t="shared" si="60"/>
        <v>0</v>
      </c>
      <c r="Q287" s="118" t="s">
        <v>160</v>
      </c>
      <c r="R287" s="118">
        <f t="shared" si="61"/>
        <v>0</v>
      </c>
    </row>
    <row r="288" spans="2:18" x14ac:dyDescent="0.2">
      <c r="B288" s="126" t="s">
        <v>1210</v>
      </c>
      <c r="C288" s="120">
        <f t="shared" ref="C288:R288" si="62">SUM(C278:C287)</f>
        <v>318524</v>
      </c>
      <c r="D288" s="120">
        <f t="shared" si="62"/>
        <v>0</v>
      </c>
      <c r="E288" s="120" t="s">
        <v>160</v>
      </c>
      <c r="F288" s="120">
        <f t="shared" si="62"/>
        <v>0</v>
      </c>
      <c r="G288" s="120">
        <f t="shared" si="62"/>
        <v>0</v>
      </c>
      <c r="H288" s="120">
        <f t="shared" si="62"/>
        <v>105752</v>
      </c>
      <c r="I288" s="120">
        <f t="shared" si="62"/>
        <v>45945.3</v>
      </c>
      <c r="J288" s="120" t="s">
        <v>160</v>
      </c>
      <c r="K288" s="120">
        <f t="shared" si="62"/>
        <v>269635.08600000001</v>
      </c>
      <c r="L288" s="120">
        <f t="shared" si="62"/>
        <v>0</v>
      </c>
      <c r="M288" s="120">
        <f t="shared" si="62"/>
        <v>-343</v>
      </c>
      <c r="N288" s="120">
        <f t="shared" si="62"/>
        <v>-1999</v>
      </c>
      <c r="O288" s="120">
        <f t="shared" si="62"/>
        <v>63428</v>
      </c>
      <c r="P288" s="120">
        <f t="shared" si="62"/>
        <v>800942.38599999994</v>
      </c>
      <c r="Q288" s="120">
        <f t="shared" si="62"/>
        <v>1358</v>
      </c>
      <c r="R288" s="120">
        <f t="shared" si="62"/>
        <v>802300.38599999994</v>
      </c>
    </row>
    <row r="289" spans="2:18" x14ac:dyDescent="0.2">
      <c r="E289" s="869"/>
    </row>
    <row r="290" spans="2:18" x14ac:dyDescent="0.2">
      <c r="B290" s="129" t="s">
        <v>1226</v>
      </c>
      <c r="C290" s="118" t="s">
        <v>160</v>
      </c>
      <c r="D290" s="118" t="s">
        <v>160</v>
      </c>
      <c r="E290" s="121" t="s">
        <v>160</v>
      </c>
      <c r="F290" s="118" t="s">
        <v>160</v>
      </c>
      <c r="G290" s="118" t="s">
        <v>160</v>
      </c>
      <c r="H290" s="118" t="s">
        <v>160</v>
      </c>
      <c r="I290" s="118" t="s">
        <v>160</v>
      </c>
      <c r="J290" s="118" t="s">
        <v>160</v>
      </c>
      <c r="K290" s="118" t="s">
        <v>160</v>
      </c>
      <c r="L290" s="118" t="s">
        <v>160</v>
      </c>
      <c r="M290" s="118" t="s">
        <v>160</v>
      </c>
      <c r="N290" s="118">
        <v>0</v>
      </c>
      <c r="O290" s="118">
        <v>56176</v>
      </c>
      <c r="P290" s="118">
        <f t="shared" ref="P290:P297" si="63">+SUM(C290:O290)</f>
        <v>56176</v>
      </c>
      <c r="Q290" s="118">
        <v>136</v>
      </c>
      <c r="R290" s="118">
        <f t="shared" ref="R290:R297" si="64">+SUM(P290:Q290)</f>
        <v>56312</v>
      </c>
    </row>
    <row r="291" spans="2:18" x14ac:dyDescent="0.2">
      <c r="B291" s="129" t="s">
        <v>895</v>
      </c>
      <c r="C291" s="118">
        <v>0</v>
      </c>
      <c r="D291" s="118">
        <v>0</v>
      </c>
      <c r="E291" s="121" t="s">
        <v>160</v>
      </c>
      <c r="F291" s="118">
        <v>0</v>
      </c>
      <c r="G291" s="118">
        <v>0</v>
      </c>
      <c r="H291" s="118">
        <v>7003</v>
      </c>
      <c r="I291" s="118">
        <v>0</v>
      </c>
      <c r="J291" s="118" t="s">
        <v>160</v>
      </c>
      <c r="K291" s="118">
        <v>0</v>
      </c>
      <c r="L291" s="118">
        <v>0</v>
      </c>
      <c r="M291" s="118">
        <v>0</v>
      </c>
      <c r="N291" s="118">
        <v>0</v>
      </c>
      <c r="O291" s="118">
        <v>-7003</v>
      </c>
      <c r="P291" s="118">
        <f t="shared" si="63"/>
        <v>0</v>
      </c>
      <c r="Q291" s="118">
        <v>0</v>
      </c>
      <c r="R291" s="118">
        <f t="shared" si="64"/>
        <v>0</v>
      </c>
    </row>
    <row r="292" spans="2:18" x14ac:dyDescent="0.2">
      <c r="B292" s="129" t="s">
        <v>736</v>
      </c>
      <c r="C292" s="118">
        <v>0</v>
      </c>
      <c r="D292" s="118">
        <v>0</v>
      </c>
      <c r="E292" s="121" t="s">
        <v>160</v>
      </c>
      <c r="F292" s="118">
        <v>0</v>
      </c>
      <c r="G292" s="118">
        <v>0</v>
      </c>
      <c r="H292" s="118">
        <v>0</v>
      </c>
      <c r="I292" s="118">
        <v>0</v>
      </c>
      <c r="J292" s="118" t="s">
        <v>160</v>
      </c>
      <c r="K292" s="118">
        <v>0</v>
      </c>
      <c r="L292" s="118">
        <v>0</v>
      </c>
      <c r="M292" s="118">
        <v>0</v>
      </c>
      <c r="N292" s="118">
        <v>0</v>
      </c>
      <c r="O292" s="118">
        <v>-37585</v>
      </c>
      <c r="P292" s="118">
        <f t="shared" si="63"/>
        <v>-37585</v>
      </c>
      <c r="Q292" s="118">
        <v>-63</v>
      </c>
      <c r="R292" s="118">
        <f t="shared" si="64"/>
        <v>-37648</v>
      </c>
    </row>
    <row r="293" spans="2:18" x14ac:dyDescent="0.2">
      <c r="B293" s="129" t="s">
        <v>700</v>
      </c>
      <c r="C293" s="118" t="s">
        <v>160</v>
      </c>
      <c r="D293" s="118" t="s">
        <v>160</v>
      </c>
      <c r="E293" s="121" t="s">
        <v>160</v>
      </c>
      <c r="F293" s="118" t="s">
        <v>160</v>
      </c>
      <c r="G293" s="118" t="s">
        <v>160</v>
      </c>
      <c r="H293" s="118" t="s">
        <v>160</v>
      </c>
      <c r="I293" s="118">
        <v>0</v>
      </c>
      <c r="J293" s="118" t="s">
        <v>160</v>
      </c>
      <c r="K293" s="118">
        <v>0</v>
      </c>
      <c r="L293" s="118">
        <v>0</v>
      </c>
      <c r="M293" s="118" t="s">
        <v>160</v>
      </c>
      <c r="N293" s="118" t="s">
        <v>160</v>
      </c>
      <c r="O293" s="118">
        <v>0</v>
      </c>
      <c r="P293" s="118">
        <f t="shared" si="63"/>
        <v>0</v>
      </c>
      <c r="Q293" s="118">
        <v>0</v>
      </c>
      <c r="R293" s="118">
        <f t="shared" si="64"/>
        <v>0</v>
      </c>
    </row>
    <row r="294" spans="2:18" x14ac:dyDescent="0.2">
      <c r="B294" s="129" t="s">
        <v>1063</v>
      </c>
      <c r="C294" s="118" t="s">
        <v>160</v>
      </c>
      <c r="D294" s="118" t="s">
        <v>160</v>
      </c>
      <c r="E294" s="121" t="s">
        <v>160</v>
      </c>
      <c r="F294" s="118" t="s">
        <v>160</v>
      </c>
      <c r="G294" s="118" t="s">
        <v>160</v>
      </c>
      <c r="H294" s="118" t="s">
        <v>160</v>
      </c>
      <c r="I294" s="118" t="s">
        <v>160</v>
      </c>
      <c r="J294" s="118" t="s">
        <v>160</v>
      </c>
      <c r="K294" s="118" t="s">
        <v>160</v>
      </c>
      <c r="L294" s="118" t="s">
        <v>160</v>
      </c>
      <c r="M294" s="118" t="s">
        <v>160</v>
      </c>
      <c r="N294" s="118">
        <v>0</v>
      </c>
      <c r="O294" s="118" t="s">
        <v>160</v>
      </c>
      <c r="P294" s="118">
        <f t="shared" si="63"/>
        <v>0</v>
      </c>
      <c r="Q294" s="118">
        <v>0</v>
      </c>
      <c r="R294" s="118">
        <f t="shared" si="64"/>
        <v>0</v>
      </c>
    </row>
    <row r="295" spans="2:18" x14ac:dyDescent="0.2">
      <c r="B295" s="129" t="s">
        <v>1064</v>
      </c>
      <c r="C295" s="118" t="s">
        <v>160</v>
      </c>
      <c r="D295" s="118" t="s">
        <v>160</v>
      </c>
      <c r="E295" s="121" t="s">
        <v>160</v>
      </c>
      <c r="F295" s="118" t="s">
        <v>160</v>
      </c>
      <c r="G295" s="118" t="s">
        <v>160</v>
      </c>
      <c r="H295" s="118" t="s">
        <v>160</v>
      </c>
      <c r="I295" s="118" t="s">
        <v>160</v>
      </c>
      <c r="J295" s="118" t="s">
        <v>160</v>
      </c>
      <c r="K295" s="118" t="s">
        <v>160</v>
      </c>
      <c r="L295" s="118" t="s">
        <v>160</v>
      </c>
      <c r="M295" s="118" t="s">
        <v>160</v>
      </c>
      <c r="N295" s="118">
        <v>0</v>
      </c>
      <c r="O295" s="118" t="s">
        <v>160</v>
      </c>
      <c r="P295" s="118">
        <f t="shared" si="63"/>
        <v>0</v>
      </c>
      <c r="Q295" s="118" t="s">
        <v>160</v>
      </c>
      <c r="R295" s="118">
        <f t="shared" si="64"/>
        <v>0</v>
      </c>
    </row>
    <row r="296" spans="2:18" x14ac:dyDescent="0.2">
      <c r="B296" s="129" t="s">
        <v>1118</v>
      </c>
      <c r="C296" s="118" t="s">
        <v>160</v>
      </c>
      <c r="D296" s="118" t="s">
        <v>160</v>
      </c>
      <c r="E296" s="121" t="s">
        <v>160</v>
      </c>
      <c r="F296" s="118" t="s">
        <v>160</v>
      </c>
      <c r="G296" s="118" t="s">
        <v>160</v>
      </c>
      <c r="H296" s="118" t="s">
        <v>160</v>
      </c>
      <c r="I296" s="118" t="s">
        <v>160</v>
      </c>
      <c r="J296" s="118" t="s">
        <v>160</v>
      </c>
      <c r="K296" s="118" t="s">
        <v>160</v>
      </c>
      <c r="L296" s="118">
        <v>0</v>
      </c>
      <c r="M296" s="118" t="s">
        <v>160</v>
      </c>
      <c r="N296" s="118" t="s">
        <v>160</v>
      </c>
      <c r="O296" s="118" t="s">
        <v>160</v>
      </c>
      <c r="P296" s="118">
        <f t="shared" si="63"/>
        <v>0</v>
      </c>
      <c r="Q296" s="118" t="s">
        <v>160</v>
      </c>
      <c r="R296" s="118">
        <f t="shared" si="64"/>
        <v>0</v>
      </c>
    </row>
    <row r="297" spans="2:18" x14ac:dyDescent="0.2">
      <c r="B297" s="129" t="s">
        <v>911</v>
      </c>
      <c r="C297" s="118">
        <v>0</v>
      </c>
      <c r="D297" s="118">
        <v>0</v>
      </c>
      <c r="E297" s="121" t="s">
        <v>160</v>
      </c>
      <c r="F297" s="118">
        <v>0</v>
      </c>
      <c r="G297" s="118">
        <v>0</v>
      </c>
      <c r="H297" s="118">
        <v>0</v>
      </c>
      <c r="I297" s="118">
        <v>0</v>
      </c>
      <c r="J297" s="118" t="s">
        <v>160</v>
      </c>
      <c r="K297" s="118">
        <v>0</v>
      </c>
      <c r="L297" s="118">
        <v>0</v>
      </c>
      <c r="M297" s="118">
        <v>0</v>
      </c>
      <c r="N297" s="118">
        <v>0</v>
      </c>
      <c r="O297" s="118">
        <v>0</v>
      </c>
      <c r="P297" s="118">
        <f t="shared" si="63"/>
        <v>0</v>
      </c>
      <c r="Q297" s="118">
        <v>0</v>
      </c>
      <c r="R297" s="118">
        <f t="shared" si="64"/>
        <v>0</v>
      </c>
    </row>
    <row r="298" spans="2:18" x14ac:dyDescent="0.2">
      <c r="B298" s="126" t="s">
        <v>1222</v>
      </c>
      <c r="C298" s="120">
        <f t="shared" ref="C298:R298" si="65">SUM(C288:C297)</f>
        <v>318524</v>
      </c>
      <c r="D298" s="120">
        <f t="shared" si="65"/>
        <v>0</v>
      </c>
      <c r="E298" s="120" t="s">
        <v>160</v>
      </c>
      <c r="F298" s="120">
        <f t="shared" si="65"/>
        <v>0</v>
      </c>
      <c r="G298" s="120">
        <f t="shared" si="65"/>
        <v>0</v>
      </c>
      <c r="H298" s="120">
        <f t="shared" si="65"/>
        <v>112755</v>
      </c>
      <c r="I298" s="120">
        <f t="shared" si="65"/>
        <v>45945.3</v>
      </c>
      <c r="J298" s="120" t="s">
        <v>160</v>
      </c>
      <c r="K298" s="120">
        <f t="shared" si="65"/>
        <v>269635.08600000001</v>
      </c>
      <c r="L298" s="120">
        <f t="shared" si="65"/>
        <v>0</v>
      </c>
      <c r="M298" s="120">
        <f t="shared" si="65"/>
        <v>-343</v>
      </c>
      <c r="N298" s="120">
        <f t="shared" si="65"/>
        <v>-1999</v>
      </c>
      <c r="O298" s="120">
        <f t="shared" si="65"/>
        <v>75016</v>
      </c>
      <c r="P298" s="120">
        <f t="shared" si="65"/>
        <v>819533.38599999994</v>
      </c>
      <c r="Q298" s="120">
        <f t="shared" si="65"/>
        <v>1431</v>
      </c>
      <c r="R298" s="120">
        <f t="shared" si="65"/>
        <v>820964.38599999994</v>
      </c>
    </row>
    <row r="299" spans="2:18" x14ac:dyDescent="0.2">
      <c r="E299" s="869"/>
    </row>
    <row r="300" spans="2:18" x14ac:dyDescent="0.2">
      <c r="B300" s="129" t="s">
        <v>1226</v>
      </c>
      <c r="C300" s="118" t="s">
        <v>160</v>
      </c>
      <c r="D300" s="118" t="s">
        <v>160</v>
      </c>
      <c r="E300" s="121" t="s">
        <v>160</v>
      </c>
      <c r="F300" s="118" t="s">
        <v>160</v>
      </c>
      <c r="G300" s="118" t="s">
        <v>160</v>
      </c>
      <c r="H300" s="118" t="s">
        <v>160</v>
      </c>
      <c r="I300" s="118" t="s">
        <v>160</v>
      </c>
      <c r="J300" s="118" t="s">
        <v>160</v>
      </c>
      <c r="K300" s="118" t="s">
        <v>160</v>
      </c>
      <c r="L300" s="118" t="s">
        <v>160</v>
      </c>
      <c r="M300" s="118" t="s">
        <v>160</v>
      </c>
      <c r="N300" s="118">
        <v>0</v>
      </c>
      <c r="O300" s="118">
        <v>51077</v>
      </c>
      <c r="P300" s="118">
        <f t="shared" ref="P300:P307" si="66">+SUM(C300:O300)</f>
        <v>51077</v>
      </c>
      <c r="Q300" s="118">
        <v>-56</v>
      </c>
      <c r="R300" s="118">
        <f t="shared" ref="R300:R307" si="67">+SUM(P300:Q300)</f>
        <v>51021</v>
      </c>
    </row>
    <row r="301" spans="2:18" x14ac:dyDescent="0.2">
      <c r="B301" s="129" t="s">
        <v>895</v>
      </c>
      <c r="C301" s="118">
        <v>0</v>
      </c>
      <c r="D301" s="118">
        <v>0</v>
      </c>
      <c r="E301" s="121" t="s">
        <v>160</v>
      </c>
      <c r="F301" s="118">
        <v>0</v>
      </c>
      <c r="G301" s="118">
        <v>0</v>
      </c>
      <c r="H301" s="118">
        <v>7560</v>
      </c>
      <c r="I301" s="118">
        <v>0</v>
      </c>
      <c r="J301" s="118" t="s">
        <v>160</v>
      </c>
      <c r="K301" s="118">
        <v>0</v>
      </c>
      <c r="L301" s="118">
        <v>0</v>
      </c>
      <c r="M301" s="118">
        <v>0</v>
      </c>
      <c r="N301" s="118">
        <v>0</v>
      </c>
      <c r="O301" s="118">
        <v>-7560</v>
      </c>
      <c r="P301" s="118">
        <f t="shared" si="66"/>
        <v>0</v>
      </c>
      <c r="Q301" s="118">
        <v>0</v>
      </c>
      <c r="R301" s="118">
        <f t="shared" si="67"/>
        <v>0</v>
      </c>
    </row>
    <row r="302" spans="2:18" x14ac:dyDescent="0.2">
      <c r="B302" s="129" t="s">
        <v>736</v>
      </c>
      <c r="C302" s="118">
        <v>0</v>
      </c>
      <c r="D302" s="118">
        <v>0</v>
      </c>
      <c r="E302" s="121" t="s">
        <v>160</v>
      </c>
      <c r="F302" s="118">
        <v>0</v>
      </c>
      <c r="G302" s="118">
        <v>0</v>
      </c>
      <c r="H302" s="118">
        <v>0</v>
      </c>
      <c r="I302" s="118">
        <v>0</v>
      </c>
      <c r="J302" s="118" t="s">
        <v>160</v>
      </c>
      <c r="K302" s="118">
        <v>-73191</v>
      </c>
      <c r="L302" s="118">
        <v>87038</v>
      </c>
      <c r="M302" s="118">
        <v>0</v>
      </c>
      <c r="N302" s="118">
        <v>0</v>
      </c>
      <c r="O302" s="118">
        <v>-9890</v>
      </c>
      <c r="P302" s="118">
        <f t="shared" si="66"/>
        <v>3957</v>
      </c>
      <c r="Q302" s="118">
        <v>0</v>
      </c>
      <c r="R302" s="118">
        <f t="shared" si="67"/>
        <v>3957</v>
      </c>
    </row>
    <row r="303" spans="2:18" x14ac:dyDescent="0.2">
      <c r="B303" s="129" t="s">
        <v>700</v>
      </c>
      <c r="C303" s="118" t="s">
        <v>160</v>
      </c>
      <c r="D303" s="118" t="s">
        <v>160</v>
      </c>
      <c r="E303" s="121" t="s">
        <v>160</v>
      </c>
      <c r="F303" s="118" t="s">
        <v>160</v>
      </c>
      <c r="G303" s="118" t="s">
        <v>160</v>
      </c>
      <c r="H303" s="118" t="s">
        <v>160</v>
      </c>
      <c r="I303" s="118">
        <v>9071</v>
      </c>
      <c r="J303" s="118" t="s">
        <v>160</v>
      </c>
      <c r="K303" s="118">
        <v>99572</v>
      </c>
      <c r="L303" s="118">
        <v>0</v>
      </c>
      <c r="M303" s="118" t="s">
        <v>160</v>
      </c>
      <c r="N303" s="118" t="s">
        <v>160</v>
      </c>
      <c r="O303" s="118">
        <v>-108643</v>
      </c>
      <c r="P303" s="118">
        <f t="shared" si="66"/>
        <v>0</v>
      </c>
      <c r="Q303" s="118">
        <v>0</v>
      </c>
      <c r="R303" s="118">
        <f t="shared" si="67"/>
        <v>0</v>
      </c>
    </row>
    <row r="304" spans="2:18" x14ac:dyDescent="0.2">
      <c r="B304" s="129" t="s">
        <v>1063</v>
      </c>
      <c r="C304" s="118" t="s">
        <v>160</v>
      </c>
      <c r="D304" s="118" t="s">
        <v>160</v>
      </c>
      <c r="E304" s="121" t="s">
        <v>160</v>
      </c>
      <c r="F304" s="118" t="s">
        <v>160</v>
      </c>
      <c r="G304" s="118" t="s">
        <v>160</v>
      </c>
      <c r="H304" s="118" t="s">
        <v>160</v>
      </c>
      <c r="I304" s="118" t="s">
        <v>160</v>
      </c>
      <c r="J304" s="118" t="s">
        <v>160</v>
      </c>
      <c r="K304" s="118" t="s">
        <v>160</v>
      </c>
      <c r="L304" s="118" t="s">
        <v>160</v>
      </c>
      <c r="M304" s="118" t="s">
        <v>160</v>
      </c>
      <c r="N304" s="118">
        <v>251</v>
      </c>
      <c r="O304" s="118" t="s">
        <v>160</v>
      </c>
      <c r="P304" s="118">
        <f t="shared" si="66"/>
        <v>251</v>
      </c>
      <c r="Q304" s="118">
        <v>0</v>
      </c>
      <c r="R304" s="118">
        <f t="shared" si="67"/>
        <v>251</v>
      </c>
    </row>
    <row r="305" spans="2:18" x14ac:dyDescent="0.2">
      <c r="B305" s="129" t="s">
        <v>1064</v>
      </c>
      <c r="C305" s="118" t="s">
        <v>160</v>
      </c>
      <c r="D305" s="118" t="s">
        <v>160</v>
      </c>
      <c r="E305" s="121" t="s">
        <v>160</v>
      </c>
      <c r="F305" s="118" t="s">
        <v>160</v>
      </c>
      <c r="G305" s="118" t="s">
        <v>160</v>
      </c>
      <c r="H305" s="118" t="s">
        <v>160</v>
      </c>
      <c r="I305" s="118" t="s">
        <v>160</v>
      </c>
      <c r="J305" s="118" t="s">
        <v>160</v>
      </c>
      <c r="K305" s="118" t="s">
        <v>160</v>
      </c>
      <c r="L305" s="118" t="s">
        <v>160</v>
      </c>
      <c r="M305" s="118" t="s">
        <v>160</v>
      </c>
      <c r="N305" s="118">
        <v>-85</v>
      </c>
      <c r="O305" s="118" t="s">
        <v>160</v>
      </c>
      <c r="P305" s="118">
        <f t="shared" si="66"/>
        <v>-85</v>
      </c>
      <c r="Q305" s="118" t="s">
        <v>160</v>
      </c>
      <c r="R305" s="118">
        <f t="shared" si="67"/>
        <v>-85</v>
      </c>
    </row>
    <row r="306" spans="2:18" x14ac:dyDescent="0.2">
      <c r="B306" s="129" t="s">
        <v>1118</v>
      </c>
      <c r="C306" s="118" t="s">
        <v>160</v>
      </c>
      <c r="D306" s="118" t="s">
        <v>160</v>
      </c>
      <c r="E306" s="121" t="s">
        <v>160</v>
      </c>
      <c r="F306" s="118" t="s">
        <v>160</v>
      </c>
      <c r="G306" s="118" t="s">
        <v>160</v>
      </c>
      <c r="H306" s="118" t="s">
        <v>160</v>
      </c>
      <c r="I306" s="118" t="s">
        <v>160</v>
      </c>
      <c r="J306" s="118" t="s">
        <v>160</v>
      </c>
      <c r="K306" s="118" t="s">
        <v>160</v>
      </c>
      <c r="L306" s="118">
        <v>-39563</v>
      </c>
      <c r="M306" s="118" t="s">
        <v>160</v>
      </c>
      <c r="N306" s="118" t="s">
        <v>160</v>
      </c>
      <c r="O306" s="118" t="s">
        <v>160</v>
      </c>
      <c r="P306" s="118">
        <f t="shared" si="66"/>
        <v>-39563</v>
      </c>
      <c r="Q306" s="118" t="s">
        <v>160</v>
      </c>
      <c r="R306" s="118">
        <f t="shared" si="67"/>
        <v>-39563</v>
      </c>
    </row>
    <row r="307" spans="2:18" x14ac:dyDescent="0.2">
      <c r="B307" s="129" t="s">
        <v>911</v>
      </c>
      <c r="C307" s="118">
        <v>0</v>
      </c>
      <c r="D307" s="118">
        <v>0</v>
      </c>
      <c r="E307" s="121" t="s">
        <v>160</v>
      </c>
      <c r="F307" s="118">
        <v>0</v>
      </c>
      <c r="G307" s="118">
        <v>0</v>
      </c>
      <c r="H307" s="118">
        <v>0</v>
      </c>
      <c r="I307" s="118">
        <v>0</v>
      </c>
      <c r="J307" s="118" t="s">
        <v>160</v>
      </c>
      <c r="K307" s="118">
        <v>0</v>
      </c>
      <c r="L307" s="118">
        <v>0</v>
      </c>
      <c r="M307" s="118">
        <v>0</v>
      </c>
      <c r="N307" s="118">
        <v>0</v>
      </c>
      <c r="O307" s="118">
        <v>0</v>
      </c>
      <c r="P307" s="118">
        <f t="shared" si="66"/>
        <v>0</v>
      </c>
      <c r="Q307" s="118" t="s">
        <v>160</v>
      </c>
      <c r="R307" s="118">
        <f t="shared" si="67"/>
        <v>0</v>
      </c>
    </row>
    <row r="308" spans="2:18" x14ac:dyDescent="0.2">
      <c r="B308" s="126" t="s">
        <v>1245</v>
      </c>
      <c r="C308" s="120">
        <f t="shared" ref="C308:R308" si="68">SUM(C298:C307)</f>
        <v>318524</v>
      </c>
      <c r="D308" s="120">
        <f t="shared" si="68"/>
        <v>0</v>
      </c>
      <c r="E308" s="120" t="s">
        <v>160</v>
      </c>
      <c r="F308" s="120">
        <f t="shared" si="68"/>
        <v>0</v>
      </c>
      <c r="G308" s="120">
        <f t="shared" si="68"/>
        <v>0</v>
      </c>
      <c r="H308" s="120">
        <f t="shared" si="68"/>
        <v>120315</v>
      </c>
      <c r="I308" s="120">
        <f t="shared" si="68"/>
        <v>55016.3</v>
      </c>
      <c r="J308" s="120" t="s">
        <v>160</v>
      </c>
      <c r="K308" s="120">
        <f t="shared" si="68"/>
        <v>296016.08600000001</v>
      </c>
      <c r="L308" s="120">
        <f t="shared" si="68"/>
        <v>47475</v>
      </c>
      <c r="M308" s="120">
        <f t="shared" si="68"/>
        <v>-343</v>
      </c>
      <c r="N308" s="120">
        <f t="shared" si="68"/>
        <v>-1833</v>
      </c>
      <c r="O308" s="120">
        <f t="shared" si="68"/>
        <v>0</v>
      </c>
      <c r="P308" s="120">
        <f t="shared" si="68"/>
        <v>835170.38599999994</v>
      </c>
      <c r="Q308" s="120">
        <f t="shared" si="68"/>
        <v>1375</v>
      </c>
      <c r="R308" s="120">
        <f t="shared" si="68"/>
        <v>836545.38599999994</v>
      </c>
    </row>
    <row r="309" spans="2:18" x14ac:dyDescent="0.2">
      <c r="E309" s="869"/>
    </row>
    <row r="310" spans="2:18" x14ac:dyDescent="0.2">
      <c r="B310" s="129" t="s">
        <v>1226</v>
      </c>
      <c r="C310" s="118" t="s">
        <v>160</v>
      </c>
      <c r="D310" s="118" t="s">
        <v>160</v>
      </c>
      <c r="E310" s="121" t="s">
        <v>160</v>
      </c>
      <c r="F310" s="118" t="s">
        <v>160</v>
      </c>
      <c r="G310" s="118" t="s">
        <v>160</v>
      </c>
      <c r="H310" s="118" t="s">
        <v>160</v>
      </c>
      <c r="I310" s="118" t="s">
        <v>160</v>
      </c>
      <c r="J310" s="118" t="s">
        <v>160</v>
      </c>
      <c r="K310" s="118" t="s">
        <v>160</v>
      </c>
      <c r="L310" s="118" t="s">
        <v>160</v>
      </c>
      <c r="M310" s="118" t="s">
        <v>160</v>
      </c>
      <c r="N310" s="118">
        <v>0</v>
      </c>
      <c r="O310" s="118">
        <v>37283</v>
      </c>
      <c r="P310" s="118">
        <f t="shared" ref="P310:P318" si="69">+SUM(C310:O310)</f>
        <v>37283</v>
      </c>
      <c r="Q310" s="118">
        <v>232</v>
      </c>
      <c r="R310" s="118">
        <f t="shared" ref="R310:R315" si="70">+SUM(P310:Q310)</f>
        <v>37515</v>
      </c>
    </row>
    <row r="311" spans="2:18" x14ac:dyDescent="0.2">
      <c r="B311" s="129" t="s">
        <v>1266</v>
      </c>
      <c r="C311" s="118">
        <v>120315</v>
      </c>
      <c r="D311" s="118">
        <v>0</v>
      </c>
      <c r="E311" s="121" t="s">
        <v>160</v>
      </c>
      <c r="F311" s="118">
        <v>0</v>
      </c>
      <c r="G311" s="118">
        <v>0</v>
      </c>
      <c r="H311" s="118">
        <v>-120315</v>
      </c>
      <c r="I311" s="118">
        <v>0</v>
      </c>
      <c r="J311" s="118" t="s">
        <v>160</v>
      </c>
      <c r="K311" s="118">
        <v>0</v>
      </c>
      <c r="L311" s="118">
        <v>0</v>
      </c>
      <c r="M311" s="118">
        <v>0</v>
      </c>
      <c r="N311" s="118">
        <v>0</v>
      </c>
      <c r="O311" s="118">
        <v>0</v>
      </c>
      <c r="P311" s="118">
        <f t="shared" si="69"/>
        <v>0</v>
      </c>
      <c r="Q311" s="118">
        <v>0</v>
      </c>
      <c r="R311" s="118">
        <f t="shared" si="70"/>
        <v>0</v>
      </c>
    </row>
    <row r="312" spans="2:18" hidden="1" x14ac:dyDescent="0.2">
      <c r="B312" s="129" t="s">
        <v>895</v>
      </c>
      <c r="C312" s="118">
        <v>0</v>
      </c>
      <c r="D312" s="118">
        <v>0</v>
      </c>
      <c r="E312" s="121" t="s">
        <v>160</v>
      </c>
      <c r="F312" s="118">
        <v>0</v>
      </c>
      <c r="G312" s="118">
        <v>0</v>
      </c>
      <c r="H312" s="118">
        <v>0</v>
      </c>
      <c r="I312" s="118">
        <v>0</v>
      </c>
      <c r="J312" s="118" t="s">
        <v>160</v>
      </c>
      <c r="K312" s="118">
        <v>0</v>
      </c>
      <c r="L312" s="118">
        <v>0</v>
      </c>
      <c r="M312" s="118">
        <v>0</v>
      </c>
      <c r="N312" s="118">
        <v>0</v>
      </c>
      <c r="O312" s="118">
        <v>0</v>
      </c>
      <c r="P312" s="118">
        <f t="shared" si="69"/>
        <v>0</v>
      </c>
      <c r="Q312" s="118">
        <v>0</v>
      </c>
      <c r="R312" s="118">
        <f t="shared" si="70"/>
        <v>0</v>
      </c>
    </row>
    <row r="313" spans="2:18" hidden="1" x14ac:dyDescent="0.2">
      <c r="B313" s="129" t="s">
        <v>736</v>
      </c>
      <c r="C313" s="118">
        <v>0</v>
      </c>
      <c r="D313" s="118">
        <v>0</v>
      </c>
      <c r="E313" s="121" t="s">
        <v>160</v>
      </c>
      <c r="F313" s="118">
        <v>0</v>
      </c>
      <c r="G313" s="118">
        <v>0</v>
      </c>
      <c r="H313" s="118">
        <v>0</v>
      </c>
      <c r="I313" s="118">
        <v>0</v>
      </c>
      <c r="J313" s="118" t="s">
        <v>160</v>
      </c>
      <c r="K313" s="118">
        <v>0</v>
      </c>
      <c r="L313" s="118">
        <v>0</v>
      </c>
      <c r="M313" s="118">
        <v>0</v>
      </c>
      <c r="N313" s="118">
        <v>0</v>
      </c>
      <c r="O313" s="118">
        <v>0</v>
      </c>
      <c r="P313" s="118">
        <f t="shared" si="69"/>
        <v>0</v>
      </c>
      <c r="Q313" s="118">
        <v>0</v>
      </c>
      <c r="R313" s="118">
        <f t="shared" si="70"/>
        <v>0</v>
      </c>
    </row>
    <row r="314" spans="2:18" hidden="1" x14ac:dyDescent="0.2">
      <c r="B314" s="129" t="s">
        <v>700</v>
      </c>
      <c r="C314" s="118" t="s">
        <v>160</v>
      </c>
      <c r="D314" s="118" t="s">
        <v>160</v>
      </c>
      <c r="E314" s="121" t="s">
        <v>160</v>
      </c>
      <c r="F314" s="118" t="s">
        <v>160</v>
      </c>
      <c r="G314" s="118" t="s">
        <v>160</v>
      </c>
      <c r="H314" s="118" t="s">
        <v>160</v>
      </c>
      <c r="I314" s="118">
        <v>0</v>
      </c>
      <c r="J314" s="118" t="s">
        <v>160</v>
      </c>
      <c r="K314" s="118">
        <v>0</v>
      </c>
      <c r="L314" s="118">
        <v>0</v>
      </c>
      <c r="M314" s="118" t="s">
        <v>160</v>
      </c>
      <c r="N314" s="118" t="s">
        <v>160</v>
      </c>
      <c r="O314" s="118">
        <v>0</v>
      </c>
      <c r="P314" s="118">
        <f t="shared" si="69"/>
        <v>0</v>
      </c>
      <c r="Q314" s="118">
        <v>0</v>
      </c>
      <c r="R314" s="118">
        <f t="shared" si="70"/>
        <v>0</v>
      </c>
    </row>
    <row r="315" spans="2:18" hidden="1" x14ac:dyDescent="0.2">
      <c r="B315" s="129" t="s">
        <v>1063</v>
      </c>
      <c r="C315" s="118" t="s">
        <v>160</v>
      </c>
      <c r="D315" s="118" t="s">
        <v>160</v>
      </c>
      <c r="E315" s="121" t="s">
        <v>160</v>
      </c>
      <c r="F315" s="118" t="s">
        <v>160</v>
      </c>
      <c r="G315" s="118" t="s">
        <v>160</v>
      </c>
      <c r="H315" s="118" t="s">
        <v>160</v>
      </c>
      <c r="I315" s="118" t="s">
        <v>160</v>
      </c>
      <c r="J315" s="118" t="s">
        <v>160</v>
      </c>
      <c r="K315" s="118" t="s">
        <v>160</v>
      </c>
      <c r="L315" s="118" t="s">
        <v>160</v>
      </c>
      <c r="M315" s="118" t="s">
        <v>160</v>
      </c>
      <c r="N315" s="118">
        <v>0</v>
      </c>
      <c r="O315" s="118" t="s">
        <v>160</v>
      </c>
      <c r="P315" s="118">
        <f t="shared" si="69"/>
        <v>0</v>
      </c>
      <c r="Q315" s="118">
        <v>0</v>
      </c>
      <c r="R315" s="118">
        <f t="shared" si="70"/>
        <v>0</v>
      </c>
    </row>
    <row r="316" spans="2:18" hidden="1" x14ac:dyDescent="0.2">
      <c r="B316" s="129" t="s">
        <v>1064</v>
      </c>
      <c r="C316" s="118" t="s">
        <v>160</v>
      </c>
      <c r="D316" s="118" t="s">
        <v>160</v>
      </c>
      <c r="E316" s="121" t="s">
        <v>160</v>
      </c>
      <c r="F316" s="118" t="s">
        <v>160</v>
      </c>
      <c r="G316" s="118" t="s">
        <v>160</v>
      </c>
      <c r="H316" s="118" t="s">
        <v>160</v>
      </c>
      <c r="I316" s="118" t="s">
        <v>160</v>
      </c>
      <c r="J316" s="118" t="s">
        <v>160</v>
      </c>
      <c r="K316" s="118" t="s">
        <v>160</v>
      </c>
      <c r="L316" s="118" t="s">
        <v>160</v>
      </c>
      <c r="M316" s="118" t="s">
        <v>160</v>
      </c>
      <c r="N316" s="118">
        <v>0</v>
      </c>
      <c r="O316" s="118" t="s">
        <v>160</v>
      </c>
      <c r="P316" s="118">
        <f t="shared" si="69"/>
        <v>0</v>
      </c>
      <c r="Q316" s="118" t="s">
        <v>160</v>
      </c>
      <c r="R316" s="118">
        <f>+SUM(P316:Q316)</f>
        <v>0</v>
      </c>
    </row>
    <row r="317" spans="2:18" hidden="1" x14ac:dyDescent="0.2">
      <c r="B317" s="129" t="s">
        <v>1118</v>
      </c>
      <c r="C317" s="118" t="s">
        <v>160</v>
      </c>
      <c r="D317" s="118" t="s">
        <v>160</v>
      </c>
      <c r="E317" s="121" t="s">
        <v>160</v>
      </c>
      <c r="F317" s="118" t="s">
        <v>160</v>
      </c>
      <c r="G317" s="118" t="s">
        <v>160</v>
      </c>
      <c r="H317" s="118" t="s">
        <v>160</v>
      </c>
      <c r="I317" s="118" t="s">
        <v>160</v>
      </c>
      <c r="J317" s="118" t="s">
        <v>160</v>
      </c>
      <c r="K317" s="118" t="s">
        <v>160</v>
      </c>
      <c r="L317" s="118">
        <v>0</v>
      </c>
      <c r="M317" s="118" t="s">
        <v>160</v>
      </c>
      <c r="N317" s="118" t="s">
        <v>160</v>
      </c>
      <c r="O317" s="118" t="s">
        <v>160</v>
      </c>
      <c r="P317" s="118">
        <f t="shared" si="69"/>
        <v>0</v>
      </c>
      <c r="Q317" s="118" t="s">
        <v>160</v>
      </c>
      <c r="R317" s="118">
        <f>+SUM(P317:Q317)</f>
        <v>0</v>
      </c>
    </row>
    <row r="318" spans="2:18" hidden="1" x14ac:dyDescent="0.2">
      <c r="B318" s="129" t="s">
        <v>911</v>
      </c>
      <c r="C318" s="118">
        <v>0</v>
      </c>
      <c r="D318" s="118">
        <v>0</v>
      </c>
      <c r="E318" s="121" t="s">
        <v>160</v>
      </c>
      <c r="F318" s="118">
        <v>0</v>
      </c>
      <c r="G318" s="118">
        <v>0</v>
      </c>
      <c r="H318" s="118">
        <v>0</v>
      </c>
      <c r="I318" s="118">
        <v>0</v>
      </c>
      <c r="J318" s="118" t="s">
        <v>160</v>
      </c>
      <c r="K318" s="118">
        <v>0</v>
      </c>
      <c r="L318" s="118">
        <v>0</v>
      </c>
      <c r="M318" s="118">
        <v>0</v>
      </c>
      <c r="N318" s="118">
        <v>0</v>
      </c>
      <c r="O318" s="118">
        <v>0</v>
      </c>
      <c r="P318" s="118">
        <f t="shared" si="69"/>
        <v>0</v>
      </c>
      <c r="Q318" s="118">
        <v>0</v>
      </c>
      <c r="R318" s="118">
        <f>+SUM(P318:Q318)</f>
        <v>0</v>
      </c>
    </row>
    <row r="319" spans="2:18" x14ac:dyDescent="0.2">
      <c r="B319" s="126" t="s">
        <v>1262</v>
      </c>
      <c r="C319" s="120">
        <f t="shared" ref="C319:R319" si="71">SUM(C308:C318)</f>
        <v>438839</v>
      </c>
      <c r="D319" s="120">
        <f t="shared" si="71"/>
        <v>0</v>
      </c>
      <c r="E319" s="120" t="s">
        <v>160</v>
      </c>
      <c r="F319" s="120">
        <f t="shared" si="71"/>
        <v>0</v>
      </c>
      <c r="G319" s="120">
        <f t="shared" si="71"/>
        <v>0</v>
      </c>
      <c r="H319" s="120">
        <f t="shared" si="71"/>
        <v>0</v>
      </c>
      <c r="I319" s="120">
        <f t="shared" si="71"/>
        <v>55016.3</v>
      </c>
      <c r="J319" s="120" t="s">
        <v>160</v>
      </c>
      <c r="K319" s="120">
        <f t="shared" si="71"/>
        <v>296016.08600000001</v>
      </c>
      <c r="L319" s="120">
        <f t="shared" si="71"/>
        <v>47475</v>
      </c>
      <c r="M319" s="120">
        <f t="shared" si="71"/>
        <v>-343</v>
      </c>
      <c r="N319" s="120">
        <f t="shared" si="71"/>
        <v>-1833</v>
      </c>
      <c r="O319" s="120">
        <f t="shared" si="71"/>
        <v>37283</v>
      </c>
      <c r="P319" s="120">
        <f t="shared" si="71"/>
        <v>872453.38599999994</v>
      </c>
      <c r="Q319" s="120">
        <f t="shared" si="71"/>
        <v>1607</v>
      </c>
      <c r="R319" s="120">
        <f t="shared" si="71"/>
        <v>874060.38599999994</v>
      </c>
    </row>
    <row r="320" spans="2:18" x14ac:dyDescent="0.2">
      <c r="E320" s="869"/>
    </row>
    <row r="321" spans="2:18" x14ac:dyDescent="0.2">
      <c r="B321" s="129" t="s">
        <v>1226</v>
      </c>
      <c r="C321" s="118" t="s">
        <v>160</v>
      </c>
      <c r="D321" s="118" t="s">
        <v>160</v>
      </c>
      <c r="E321" s="121" t="s">
        <v>160</v>
      </c>
      <c r="F321" s="118" t="s">
        <v>160</v>
      </c>
      <c r="G321" s="118" t="s">
        <v>160</v>
      </c>
      <c r="H321" s="118" t="s">
        <v>160</v>
      </c>
      <c r="I321" s="118" t="s">
        <v>160</v>
      </c>
      <c r="J321" s="118" t="s">
        <v>160</v>
      </c>
      <c r="K321" s="118" t="s">
        <v>160</v>
      </c>
      <c r="L321" s="118" t="s">
        <v>160</v>
      </c>
      <c r="M321" s="118" t="s">
        <v>160</v>
      </c>
      <c r="N321" s="118">
        <v>0</v>
      </c>
      <c r="O321" s="118">
        <v>63252</v>
      </c>
      <c r="P321" s="118">
        <f t="shared" ref="P321:P329" si="72">+SUM(C321:O321)</f>
        <v>63252</v>
      </c>
      <c r="Q321" s="118">
        <v>263</v>
      </c>
      <c r="R321" s="118">
        <f t="shared" ref="R321:R326" si="73">+SUM(P321:Q321)</f>
        <v>63515</v>
      </c>
    </row>
    <row r="322" spans="2:18" x14ac:dyDescent="0.2">
      <c r="B322" s="129" t="s">
        <v>1266</v>
      </c>
      <c r="C322" s="118">
        <v>0</v>
      </c>
      <c r="D322" s="118">
        <v>0</v>
      </c>
      <c r="E322" s="121" t="s">
        <v>160</v>
      </c>
      <c r="F322" s="118">
        <v>0</v>
      </c>
      <c r="G322" s="118">
        <v>0</v>
      </c>
      <c r="H322" s="118">
        <v>0</v>
      </c>
      <c r="I322" s="118">
        <v>0</v>
      </c>
      <c r="J322" s="118" t="s">
        <v>160</v>
      </c>
      <c r="K322" s="118">
        <v>0</v>
      </c>
      <c r="L322" s="118">
        <v>0</v>
      </c>
      <c r="M322" s="118">
        <v>0</v>
      </c>
      <c r="N322" s="118">
        <v>0</v>
      </c>
      <c r="O322" s="118">
        <v>0</v>
      </c>
      <c r="P322" s="118">
        <f t="shared" si="72"/>
        <v>0</v>
      </c>
      <c r="Q322" s="118">
        <v>0</v>
      </c>
      <c r="R322" s="118">
        <f t="shared" si="73"/>
        <v>0</v>
      </c>
    </row>
    <row r="323" spans="2:18" x14ac:dyDescent="0.2">
      <c r="B323" s="129" t="s">
        <v>895</v>
      </c>
      <c r="C323" s="118">
        <v>0</v>
      </c>
      <c r="D323" s="118">
        <v>0</v>
      </c>
      <c r="E323" s="121" t="s">
        <v>160</v>
      </c>
      <c r="F323" s="118">
        <v>0</v>
      </c>
      <c r="G323" s="118">
        <v>0</v>
      </c>
      <c r="H323" s="118">
        <v>0</v>
      </c>
      <c r="I323" s="118">
        <v>0</v>
      </c>
      <c r="J323" s="118" t="s">
        <v>160</v>
      </c>
      <c r="K323" s="118">
        <v>0</v>
      </c>
      <c r="L323" s="118">
        <v>0</v>
      </c>
      <c r="M323" s="118">
        <v>0</v>
      </c>
      <c r="N323" s="118">
        <v>0</v>
      </c>
      <c r="O323" s="118">
        <v>0</v>
      </c>
      <c r="P323" s="118">
        <f t="shared" si="72"/>
        <v>0</v>
      </c>
      <c r="Q323" s="118">
        <v>0</v>
      </c>
      <c r="R323" s="118">
        <f t="shared" si="73"/>
        <v>0</v>
      </c>
    </row>
    <row r="324" spans="2:18" x14ac:dyDescent="0.2">
      <c r="B324" s="129" t="s">
        <v>736</v>
      </c>
      <c r="C324" s="118">
        <v>0</v>
      </c>
      <c r="D324" s="118">
        <v>0</v>
      </c>
      <c r="E324" s="121" t="s">
        <v>160</v>
      </c>
      <c r="F324" s="118">
        <v>0</v>
      </c>
      <c r="G324" s="118">
        <v>0</v>
      </c>
      <c r="H324" s="118">
        <v>0</v>
      </c>
      <c r="I324" s="118">
        <v>0</v>
      </c>
      <c r="J324" s="118" t="s">
        <v>160</v>
      </c>
      <c r="K324" s="118">
        <v>0</v>
      </c>
      <c r="L324" s="118">
        <v>-47475</v>
      </c>
      <c r="M324" s="118">
        <v>0</v>
      </c>
      <c r="N324" s="118">
        <v>0</v>
      </c>
      <c r="O324" s="118">
        <v>0</v>
      </c>
      <c r="P324" s="118">
        <f t="shared" si="72"/>
        <v>-47475</v>
      </c>
      <c r="Q324" s="118">
        <v>-238</v>
      </c>
      <c r="R324" s="118">
        <f t="shared" si="73"/>
        <v>-47713</v>
      </c>
    </row>
    <row r="325" spans="2:18" x14ac:dyDescent="0.2">
      <c r="B325" s="129" t="s">
        <v>700</v>
      </c>
      <c r="C325" s="118" t="s">
        <v>160</v>
      </c>
      <c r="D325" s="118" t="s">
        <v>160</v>
      </c>
      <c r="E325" s="121" t="s">
        <v>160</v>
      </c>
      <c r="F325" s="118" t="s">
        <v>160</v>
      </c>
      <c r="G325" s="118" t="s">
        <v>160</v>
      </c>
      <c r="H325" s="118" t="s">
        <v>160</v>
      </c>
      <c r="I325" s="118">
        <v>0</v>
      </c>
      <c r="J325" s="118" t="s">
        <v>160</v>
      </c>
      <c r="K325" s="118">
        <v>0</v>
      </c>
      <c r="L325" s="118">
        <v>0</v>
      </c>
      <c r="M325" s="118" t="s">
        <v>160</v>
      </c>
      <c r="N325" s="118" t="s">
        <v>160</v>
      </c>
      <c r="O325" s="118">
        <v>0</v>
      </c>
      <c r="P325" s="118">
        <f t="shared" si="72"/>
        <v>0</v>
      </c>
      <c r="Q325" s="118">
        <v>0</v>
      </c>
      <c r="R325" s="118">
        <f t="shared" si="73"/>
        <v>0</v>
      </c>
    </row>
    <row r="326" spans="2:18" x14ac:dyDescent="0.2">
      <c r="B326" s="129" t="s">
        <v>1063</v>
      </c>
      <c r="C326" s="118" t="s">
        <v>160</v>
      </c>
      <c r="D326" s="118" t="s">
        <v>160</v>
      </c>
      <c r="E326" s="121" t="s">
        <v>160</v>
      </c>
      <c r="F326" s="118" t="s">
        <v>160</v>
      </c>
      <c r="G326" s="118" t="s">
        <v>160</v>
      </c>
      <c r="H326" s="118" t="s">
        <v>160</v>
      </c>
      <c r="I326" s="118" t="s">
        <v>160</v>
      </c>
      <c r="J326" s="118" t="s">
        <v>160</v>
      </c>
      <c r="K326" s="118" t="s">
        <v>160</v>
      </c>
      <c r="L326" s="118" t="s">
        <v>160</v>
      </c>
      <c r="M326" s="118" t="s">
        <v>160</v>
      </c>
      <c r="N326" s="118">
        <v>0</v>
      </c>
      <c r="O326" s="118" t="s">
        <v>160</v>
      </c>
      <c r="P326" s="118">
        <f t="shared" si="72"/>
        <v>0</v>
      </c>
      <c r="Q326" s="118">
        <v>0</v>
      </c>
      <c r="R326" s="118">
        <f t="shared" si="73"/>
        <v>0</v>
      </c>
    </row>
    <row r="327" spans="2:18" x14ac:dyDescent="0.2">
      <c r="B327" s="129" t="s">
        <v>1064</v>
      </c>
      <c r="C327" s="118" t="s">
        <v>160</v>
      </c>
      <c r="D327" s="118" t="s">
        <v>160</v>
      </c>
      <c r="E327" s="121" t="s">
        <v>160</v>
      </c>
      <c r="F327" s="118" t="s">
        <v>160</v>
      </c>
      <c r="G327" s="118" t="s">
        <v>160</v>
      </c>
      <c r="H327" s="118" t="s">
        <v>160</v>
      </c>
      <c r="I327" s="118" t="s">
        <v>160</v>
      </c>
      <c r="J327" s="118" t="s">
        <v>160</v>
      </c>
      <c r="K327" s="118" t="s">
        <v>160</v>
      </c>
      <c r="L327" s="118" t="s">
        <v>160</v>
      </c>
      <c r="M327" s="118" t="s">
        <v>160</v>
      </c>
      <c r="N327" s="118">
        <v>0</v>
      </c>
      <c r="O327" s="118" t="s">
        <v>160</v>
      </c>
      <c r="P327" s="118">
        <f t="shared" si="72"/>
        <v>0</v>
      </c>
      <c r="Q327" s="118" t="s">
        <v>160</v>
      </c>
      <c r="R327" s="118">
        <f>+SUM(P327:Q327)</f>
        <v>0</v>
      </c>
    </row>
    <row r="328" spans="2:18" x14ac:dyDescent="0.2">
      <c r="B328" s="129" t="s">
        <v>1118</v>
      </c>
      <c r="C328" s="118" t="s">
        <v>160</v>
      </c>
      <c r="D328" s="118" t="s">
        <v>160</v>
      </c>
      <c r="E328" s="121" t="s">
        <v>160</v>
      </c>
      <c r="F328" s="118" t="s">
        <v>160</v>
      </c>
      <c r="G328" s="118" t="s">
        <v>160</v>
      </c>
      <c r="H328" s="118" t="s">
        <v>160</v>
      </c>
      <c r="I328" s="118" t="s">
        <v>160</v>
      </c>
      <c r="J328" s="118" t="s">
        <v>160</v>
      </c>
      <c r="K328" s="118" t="s">
        <v>160</v>
      </c>
      <c r="L328" s="118">
        <v>0</v>
      </c>
      <c r="M328" s="118" t="s">
        <v>160</v>
      </c>
      <c r="N328" s="118" t="s">
        <v>160</v>
      </c>
      <c r="O328" s="118" t="s">
        <v>160</v>
      </c>
      <c r="P328" s="118">
        <f t="shared" si="72"/>
        <v>0</v>
      </c>
      <c r="Q328" s="118" t="s">
        <v>160</v>
      </c>
      <c r="R328" s="118">
        <f>+SUM(P328:Q328)</f>
        <v>0</v>
      </c>
    </row>
    <row r="329" spans="2:18" x14ac:dyDescent="0.2">
      <c r="B329" s="129" t="s">
        <v>911</v>
      </c>
      <c r="C329" s="118">
        <v>0</v>
      </c>
      <c r="D329" s="118">
        <v>0</v>
      </c>
      <c r="E329" s="121" t="s">
        <v>160</v>
      </c>
      <c r="F329" s="118">
        <v>0</v>
      </c>
      <c r="G329" s="118">
        <v>0</v>
      </c>
      <c r="H329" s="118">
        <v>0</v>
      </c>
      <c r="I329" s="118">
        <v>0</v>
      </c>
      <c r="J329" s="118" t="s">
        <v>160</v>
      </c>
      <c r="K329" s="118">
        <v>0</v>
      </c>
      <c r="L329" s="118">
        <v>0</v>
      </c>
      <c r="M329" s="118">
        <v>0</v>
      </c>
      <c r="N329" s="118">
        <v>0</v>
      </c>
      <c r="O329" s="118">
        <v>0</v>
      </c>
      <c r="P329" s="118">
        <f t="shared" si="72"/>
        <v>0</v>
      </c>
      <c r="Q329" s="118">
        <v>0</v>
      </c>
      <c r="R329" s="118">
        <f>+SUM(P329:Q329)</f>
        <v>0</v>
      </c>
    </row>
    <row r="330" spans="2:18" x14ac:dyDescent="0.2">
      <c r="B330" s="126" t="s">
        <v>1273</v>
      </c>
      <c r="C330" s="120">
        <f t="shared" ref="C330:R330" si="74">SUM(C319:C329)</f>
        <v>438839</v>
      </c>
      <c r="D330" s="120">
        <f t="shared" si="74"/>
        <v>0</v>
      </c>
      <c r="E330" s="120" t="s">
        <v>160</v>
      </c>
      <c r="F330" s="120">
        <f t="shared" si="74"/>
        <v>0</v>
      </c>
      <c r="G330" s="120">
        <f t="shared" si="74"/>
        <v>0</v>
      </c>
      <c r="H330" s="120">
        <f t="shared" si="74"/>
        <v>0</v>
      </c>
      <c r="I330" s="120">
        <f t="shared" si="74"/>
        <v>55016.3</v>
      </c>
      <c r="J330" s="120" t="s">
        <v>160</v>
      </c>
      <c r="K330" s="120">
        <f t="shared" si="74"/>
        <v>296016.08600000001</v>
      </c>
      <c r="L330" s="120">
        <f t="shared" si="74"/>
        <v>0</v>
      </c>
      <c r="M330" s="120">
        <f t="shared" si="74"/>
        <v>-343</v>
      </c>
      <c r="N330" s="120">
        <f t="shared" si="74"/>
        <v>-1833</v>
      </c>
      <c r="O330" s="120">
        <f t="shared" si="74"/>
        <v>100535</v>
      </c>
      <c r="P330" s="120">
        <f t="shared" si="74"/>
        <v>888230.38599999994</v>
      </c>
      <c r="Q330" s="120">
        <f t="shared" si="74"/>
        <v>1632</v>
      </c>
      <c r="R330" s="120">
        <f t="shared" si="74"/>
        <v>889862.38599999994</v>
      </c>
    </row>
    <row r="332" spans="2:18" x14ac:dyDescent="0.2">
      <c r="B332" s="129" t="s">
        <v>1226</v>
      </c>
      <c r="C332" s="118" t="s">
        <v>160</v>
      </c>
      <c r="D332" s="118" t="s">
        <v>160</v>
      </c>
      <c r="E332" s="121" t="s">
        <v>160</v>
      </c>
      <c r="F332" s="118" t="s">
        <v>160</v>
      </c>
      <c r="G332" s="118" t="s">
        <v>160</v>
      </c>
      <c r="H332" s="118" t="s">
        <v>160</v>
      </c>
      <c r="I332" s="118" t="s">
        <v>160</v>
      </c>
      <c r="J332" s="118" t="s">
        <v>160</v>
      </c>
      <c r="K332" s="118" t="s">
        <v>160</v>
      </c>
      <c r="L332" s="118" t="s">
        <v>160</v>
      </c>
      <c r="M332" s="118" t="s">
        <v>160</v>
      </c>
      <c r="N332" s="118" t="s">
        <v>160</v>
      </c>
      <c r="O332" s="118">
        <v>84221</v>
      </c>
      <c r="P332" s="118">
        <f t="shared" ref="P332:P340" si="75">+SUM(C332:O332)</f>
        <v>84221</v>
      </c>
      <c r="Q332" s="118">
        <v>224</v>
      </c>
      <c r="R332" s="118">
        <f t="shared" ref="R332:R337" si="76">+SUM(P332:Q332)</f>
        <v>84445</v>
      </c>
    </row>
    <row r="333" spans="2:18" x14ac:dyDescent="0.2">
      <c r="B333" s="129" t="s">
        <v>1266</v>
      </c>
      <c r="C333" s="118" t="s">
        <v>160</v>
      </c>
      <c r="D333" s="118" t="s">
        <v>160</v>
      </c>
      <c r="E333" s="121" t="s">
        <v>160</v>
      </c>
      <c r="F333" s="118" t="s">
        <v>160</v>
      </c>
      <c r="G333" s="118" t="s">
        <v>160</v>
      </c>
      <c r="H333" s="118" t="s">
        <v>160</v>
      </c>
      <c r="I333" s="118" t="s">
        <v>160</v>
      </c>
      <c r="J333" s="118" t="s">
        <v>160</v>
      </c>
      <c r="K333" s="118" t="s">
        <v>160</v>
      </c>
      <c r="L333" s="118" t="s">
        <v>160</v>
      </c>
      <c r="M333" s="118" t="s">
        <v>160</v>
      </c>
      <c r="N333" s="118" t="s">
        <v>160</v>
      </c>
      <c r="O333" s="118" t="s">
        <v>160</v>
      </c>
      <c r="P333" s="118">
        <f t="shared" si="75"/>
        <v>0</v>
      </c>
      <c r="Q333" s="118" t="s">
        <v>160</v>
      </c>
      <c r="R333" s="118">
        <f t="shared" si="76"/>
        <v>0</v>
      </c>
    </row>
    <row r="334" spans="2:18" x14ac:dyDescent="0.2">
      <c r="B334" s="129" t="s">
        <v>895</v>
      </c>
      <c r="C334" s="118" t="s">
        <v>160</v>
      </c>
      <c r="D334" s="118" t="s">
        <v>160</v>
      </c>
      <c r="E334" s="121" t="s">
        <v>160</v>
      </c>
      <c r="F334" s="118" t="s">
        <v>160</v>
      </c>
      <c r="G334" s="118" t="s">
        <v>160</v>
      </c>
      <c r="H334" s="118" t="s">
        <v>160</v>
      </c>
      <c r="I334" s="118" t="s">
        <v>160</v>
      </c>
      <c r="J334" s="118" t="s">
        <v>160</v>
      </c>
      <c r="K334" s="118" t="s">
        <v>160</v>
      </c>
      <c r="L334" s="118" t="s">
        <v>160</v>
      </c>
      <c r="M334" s="118" t="s">
        <v>160</v>
      </c>
      <c r="N334" s="118" t="s">
        <v>160</v>
      </c>
      <c r="O334" s="118" t="s">
        <v>160</v>
      </c>
      <c r="P334" s="118">
        <f t="shared" si="75"/>
        <v>0</v>
      </c>
      <c r="Q334" s="118" t="s">
        <v>160</v>
      </c>
      <c r="R334" s="118">
        <f t="shared" si="76"/>
        <v>0</v>
      </c>
    </row>
    <row r="335" spans="2:18" x14ac:dyDescent="0.2">
      <c r="B335" s="129" t="s">
        <v>736</v>
      </c>
      <c r="C335" s="118" t="s">
        <v>160</v>
      </c>
      <c r="D335" s="118" t="s">
        <v>160</v>
      </c>
      <c r="E335" s="121" t="s">
        <v>160</v>
      </c>
      <c r="F335" s="118" t="s">
        <v>160</v>
      </c>
      <c r="G335" s="118" t="s">
        <v>160</v>
      </c>
      <c r="H335" s="118" t="s">
        <v>160</v>
      </c>
      <c r="I335" s="118" t="s">
        <v>160</v>
      </c>
      <c r="J335" s="118" t="s">
        <v>160</v>
      </c>
      <c r="K335" s="118">
        <v>-80444</v>
      </c>
      <c r="L335" s="118">
        <v>0</v>
      </c>
      <c r="M335" s="118" t="s">
        <v>160</v>
      </c>
      <c r="N335" s="118" t="s">
        <v>160</v>
      </c>
      <c r="O335" s="118" t="s">
        <v>160</v>
      </c>
      <c r="P335" s="118">
        <f t="shared" si="75"/>
        <v>-80444</v>
      </c>
      <c r="Q335" s="118">
        <v>0</v>
      </c>
      <c r="R335" s="118">
        <f t="shared" si="76"/>
        <v>-80444</v>
      </c>
    </row>
    <row r="336" spans="2:18" x14ac:dyDescent="0.2">
      <c r="B336" s="129" t="s">
        <v>700</v>
      </c>
      <c r="C336" s="118" t="s">
        <v>160</v>
      </c>
      <c r="D336" s="118" t="s">
        <v>160</v>
      </c>
      <c r="E336" s="121" t="s">
        <v>160</v>
      </c>
      <c r="F336" s="118" t="s">
        <v>160</v>
      </c>
      <c r="G336" s="118" t="s">
        <v>160</v>
      </c>
      <c r="H336" s="118" t="s">
        <v>160</v>
      </c>
      <c r="I336" s="118" t="s">
        <v>160</v>
      </c>
      <c r="J336" s="118" t="s">
        <v>160</v>
      </c>
      <c r="K336" s="118" t="s">
        <v>160</v>
      </c>
      <c r="L336" s="118" t="s">
        <v>160</v>
      </c>
      <c r="M336" s="118" t="s">
        <v>160</v>
      </c>
      <c r="N336" s="118" t="s">
        <v>160</v>
      </c>
      <c r="O336" s="118" t="s">
        <v>160</v>
      </c>
      <c r="P336" s="118">
        <f t="shared" si="75"/>
        <v>0</v>
      </c>
      <c r="Q336" s="118" t="s">
        <v>160</v>
      </c>
      <c r="R336" s="118">
        <f t="shared" si="76"/>
        <v>0</v>
      </c>
    </row>
    <row r="337" spans="2:18" x14ac:dyDescent="0.2">
      <c r="B337" s="129" t="s">
        <v>1063</v>
      </c>
      <c r="C337" s="118" t="s">
        <v>160</v>
      </c>
      <c r="D337" s="118" t="s">
        <v>160</v>
      </c>
      <c r="E337" s="121" t="s">
        <v>160</v>
      </c>
      <c r="F337" s="118" t="s">
        <v>160</v>
      </c>
      <c r="G337" s="118" t="s">
        <v>160</v>
      </c>
      <c r="H337" s="118" t="s">
        <v>160</v>
      </c>
      <c r="I337" s="118" t="s">
        <v>160</v>
      </c>
      <c r="J337" s="118" t="s">
        <v>160</v>
      </c>
      <c r="K337" s="118" t="s">
        <v>160</v>
      </c>
      <c r="L337" s="118" t="s">
        <v>160</v>
      </c>
      <c r="M337" s="118" t="s">
        <v>160</v>
      </c>
      <c r="N337" s="118" t="s">
        <v>160</v>
      </c>
      <c r="O337" s="118" t="s">
        <v>160</v>
      </c>
      <c r="P337" s="118">
        <f t="shared" si="75"/>
        <v>0</v>
      </c>
      <c r="Q337" s="118" t="s">
        <v>160</v>
      </c>
      <c r="R337" s="118">
        <f t="shared" si="76"/>
        <v>0</v>
      </c>
    </row>
    <row r="338" spans="2:18" x14ac:dyDescent="0.2">
      <c r="B338" s="129" t="s">
        <v>1064</v>
      </c>
      <c r="C338" s="118" t="s">
        <v>160</v>
      </c>
      <c r="D338" s="118" t="s">
        <v>160</v>
      </c>
      <c r="E338" s="121" t="s">
        <v>160</v>
      </c>
      <c r="F338" s="118" t="s">
        <v>160</v>
      </c>
      <c r="G338" s="118" t="s">
        <v>160</v>
      </c>
      <c r="H338" s="118" t="s">
        <v>160</v>
      </c>
      <c r="I338" s="118" t="s">
        <v>160</v>
      </c>
      <c r="J338" s="118" t="s">
        <v>160</v>
      </c>
      <c r="K338" s="118" t="s">
        <v>160</v>
      </c>
      <c r="L338" s="118" t="s">
        <v>160</v>
      </c>
      <c r="M338" s="118" t="s">
        <v>160</v>
      </c>
      <c r="N338" s="118" t="s">
        <v>160</v>
      </c>
      <c r="O338" s="118" t="s">
        <v>160</v>
      </c>
      <c r="P338" s="118">
        <f t="shared" si="75"/>
        <v>0</v>
      </c>
      <c r="Q338" s="118" t="s">
        <v>160</v>
      </c>
      <c r="R338" s="118">
        <f>+SUM(P338:Q338)</f>
        <v>0</v>
      </c>
    </row>
    <row r="339" spans="2:18" x14ac:dyDescent="0.2">
      <c r="B339" s="129" t="s">
        <v>1118</v>
      </c>
      <c r="C339" s="118" t="s">
        <v>160</v>
      </c>
      <c r="D339" s="118" t="s">
        <v>160</v>
      </c>
      <c r="E339" s="121" t="s">
        <v>160</v>
      </c>
      <c r="F339" s="118" t="s">
        <v>160</v>
      </c>
      <c r="G339" s="118" t="s">
        <v>160</v>
      </c>
      <c r="H339" s="118" t="s">
        <v>160</v>
      </c>
      <c r="I339" s="118" t="s">
        <v>160</v>
      </c>
      <c r="J339" s="118" t="s">
        <v>160</v>
      </c>
      <c r="K339" s="118" t="s">
        <v>160</v>
      </c>
      <c r="L339" s="118" t="s">
        <v>160</v>
      </c>
      <c r="M339" s="118" t="s">
        <v>160</v>
      </c>
      <c r="N339" s="118" t="s">
        <v>160</v>
      </c>
      <c r="O339" s="118" t="s">
        <v>160</v>
      </c>
      <c r="P339" s="118">
        <f t="shared" si="75"/>
        <v>0</v>
      </c>
      <c r="Q339" s="118" t="s">
        <v>160</v>
      </c>
      <c r="R339" s="118">
        <f>+SUM(P339:Q339)</f>
        <v>0</v>
      </c>
    </row>
    <row r="340" spans="2:18" x14ac:dyDescent="0.2">
      <c r="B340" s="129" t="s">
        <v>911</v>
      </c>
      <c r="C340" s="118" t="s">
        <v>160</v>
      </c>
      <c r="D340" s="118" t="s">
        <v>160</v>
      </c>
      <c r="E340" s="121" t="s">
        <v>160</v>
      </c>
      <c r="F340" s="118" t="s">
        <v>160</v>
      </c>
      <c r="G340" s="118" t="s">
        <v>160</v>
      </c>
      <c r="H340" s="118" t="s">
        <v>160</v>
      </c>
      <c r="I340" s="118" t="s">
        <v>160</v>
      </c>
      <c r="J340" s="118" t="s">
        <v>160</v>
      </c>
      <c r="K340" s="118" t="s">
        <v>160</v>
      </c>
      <c r="L340" s="118" t="s">
        <v>160</v>
      </c>
      <c r="M340" s="118" t="s">
        <v>160</v>
      </c>
      <c r="N340" s="118" t="s">
        <v>160</v>
      </c>
      <c r="O340" s="118" t="s">
        <v>160</v>
      </c>
      <c r="P340" s="118">
        <f t="shared" si="75"/>
        <v>0</v>
      </c>
      <c r="Q340" s="118" t="s">
        <v>160</v>
      </c>
      <c r="R340" s="118">
        <f>+SUM(P340:Q340)</f>
        <v>0</v>
      </c>
    </row>
    <row r="341" spans="2:18" x14ac:dyDescent="0.2">
      <c r="B341" s="126" t="s">
        <v>1292</v>
      </c>
      <c r="C341" s="120">
        <f t="shared" ref="C341:R341" si="77">SUM(C330:C340)</f>
        <v>438839</v>
      </c>
      <c r="D341" s="120">
        <f t="shared" si="77"/>
        <v>0</v>
      </c>
      <c r="E341" s="120" t="s">
        <v>160</v>
      </c>
      <c r="F341" s="120">
        <f t="shared" si="77"/>
        <v>0</v>
      </c>
      <c r="G341" s="120">
        <f t="shared" si="77"/>
        <v>0</v>
      </c>
      <c r="H341" s="120">
        <f t="shared" si="77"/>
        <v>0</v>
      </c>
      <c r="I341" s="120">
        <f t="shared" si="77"/>
        <v>55016.3</v>
      </c>
      <c r="J341" s="120" t="s">
        <v>160</v>
      </c>
      <c r="K341" s="120">
        <f t="shared" si="77"/>
        <v>215572.08600000001</v>
      </c>
      <c r="L341" s="120">
        <f t="shared" si="77"/>
        <v>0</v>
      </c>
      <c r="M341" s="120">
        <f t="shared" si="77"/>
        <v>-343</v>
      </c>
      <c r="N341" s="120">
        <f t="shared" si="77"/>
        <v>-1833</v>
      </c>
      <c r="O341" s="120">
        <f t="shared" si="77"/>
        <v>184756</v>
      </c>
      <c r="P341" s="120">
        <f t="shared" si="77"/>
        <v>892007.38599999994</v>
      </c>
      <c r="Q341" s="120">
        <f t="shared" si="77"/>
        <v>1856</v>
      </c>
      <c r="R341" s="120">
        <f t="shared" si="77"/>
        <v>893863.38599999994</v>
      </c>
    </row>
    <row r="343" spans="2:18" x14ac:dyDescent="0.2">
      <c r="B343" s="129" t="s">
        <v>1226</v>
      </c>
      <c r="C343" s="118" t="s">
        <v>160</v>
      </c>
      <c r="D343" s="118" t="s">
        <v>160</v>
      </c>
      <c r="E343" s="118" t="s">
        <v>160</v>
      </c>
      <c r="F343" s="118" t="s">
        <v>160</v>
      </c>
      <c r="G343" s="118" t="s">
        <v>160</v>
      </c>
      <c r="H343" s="118" t="s">
        <v>160</v>
      </c>
      <c r="I343" s="118" t="s">
        <v>160</v>
      </c>
      <c r="J343" s="118" t="s">
        <v>160</v>
      </c>
      <c r="K343" s="118" t="s">
        <v>160</v>
      </c>
      <c r="L343" s="118" t="s">
        <v>160</v>
      </c>
      <c r="M343" s="118" t="s">
        <v>160</v>
      </c>
      <c r="N343" s="118" t="s">
        <v>160</v>
      </c>
      <c r="O343" s="118">
        <v>85061</v>
      </c>
      <c r="P343" s="118">
        <v>85061</v>
      </c>
      <c r="Q343" s="118">
        <v>76</v>
      </c>
      <c r="R343" s="118">
        <v>85137</v>
      </c>
    </row>
    <row r="344" spans="2:18" x14ac:dyDescent="0.2">
      <c r="B344" s="129" t="s">
        <v>736</v>
      </c>
      <c r="C344" s="118" t="s">
        <v>160</v>
      </c>
      <c r="D344" s="118" t="s">
        <v>160</v>
      </c>
      <c r="E344" s="118" t="s">
        <v>160</v>
      </c>
      <c r="F344" s="118" t="s">
        <v>160</v>
      </c>
      <c r="G344" s="118" t="s">
        <v>160</v>
      </c>
      <c r="H344" s="118" t="s">
        <v>160</v>
      </c>
      <c r="I344" s="118" t="s">
        <v>160</v>
      </c>
      <c r="J344" s="118" t="s">
        <v>160</v>
      </c>
      <c r="K344" s="118">
        <v>-50772</v>
      </c>
      <c r="L344" s="118">
        <v>38903</v>
      </c>
      <c r="M344" s="118" t="s">
        <v>160</v>
      </c>
      <c r="N344" s="118" t="s">
        <v>160</v>
      </c>
      <c r="O344" s="118">
        <v>-38903</v>
      </c>
      <c r="P344" s="118">
        <v>-50772</v>
      </c>
      <c r="Q344" s="118">
        <v>0</v>
      </c>
      <c r="R344" s="118">
        <v>-50772</v>
      </c>
    </row>
    <row r="345" spans="2:18" x14ac:dyDescent="0.2">
      <c r="B345" s="129" t="s">
        <v>1063</v>
      </c>
      <c r="C345" s="118" t="s">
        <v>160</v>
      </c>
      <c r="D345" s="118" t="s">
        <v>160</v>
      </c>
      <c r="E345" s="121" t="s">
        <v>160</v>
      </c>
      <c r="F345" s="118" t="s">
        <v>160</v>
      </c>
      <c r="G345" s="118" t="s">
        <v>160</v>
      </c>
      <c r="H345" s="118" t="s">
        <v>160</v>
      </c>
      <c r="I345" s="118" t="s">
        <v>160</v>
      </c>
      <c r="J345" s="118" t="s">
        <v>160</v>
      </c>
      <c r="K345" s="118" t="s">
        <v>160</v>
      </c>
      <c r="L345" s="118" t="s">
        <v>160</v>
      </c>
      <c r="M345" s="118" t="s">
        <v>160</v>
      </c>
      <c r="N345" s="118">
        <v>619</v>
      </c>
      <c r="O345" s="118" t="s">
        <v>160</v>
      </c>
      <c r="P345" s="118">
        <v>619</v>
      </c>
      <c r="Q345" s="118" t="s">
        <v>160</v>
      </c>
      <c r="R345" s="118">
        <v>619</v>
      </c>
    </row>
    <row r="346" spans="2:18" x14ac:dyDescent="0.2">
      <c r="B346" s="129" t="s">
        <v>1064</v>
      </c>
      <c r="C346" s="118" t="s">
        <v>160</v>
      </c>
      <c r="D346" s="118" t="s">
        <v>160</v>
      </c>
      <c r="E346" s="121" t="s">
        <v>160</v>
      </c>
      <c r="F346" s="118" t="s">
        <v>160</v>
      </c>
      <c r="G346" s="118" t="s">
        <v>160</v>
      </c>
      <c r="H346" s="118" t="s">
        <v>160</v>
      </c>
      <c r="I346" s="118" t="s">
        <v>160</v>
      </c>
      <c r="J346" s="118" t="s">
        <v>160</v>
      </c>
      <c r="K346" s="118" t="s">
        <v>160</v>
      </c>
      <c r="L346" s="118" t="s">
        <v>160</v>
      </c>
      <c r="M346" s="118" t="s">
        <v>160</v>
      </c>
      <c r="N346" s="118">
        <v>-210</v>
      </c>
      <c r="O346" s="118" t="s">
        <v>160</v>
      </c>
      <c r="P346" s="118">
        <v>-210</v>
      </c>
      <c r="Q346" s="118" t="s">
        <v>160</v>
      </c>
      <c r="R346" s="118">
        <v>-210</v>
      </c>
    </row>
    <row r="347" spans="2:18" x14ac:dyDescent="0.2">
      <c r="B347" s="129" t="s">
        <v>700</v>
      </c>
      <c r="C347" s="118" t="s">
        <v>160</v>
      </c>
      <c r="D347" s="118" t="s">
        <v>160</v>
      </c>
      <c r="E347" s="118" t="s">
        <v>160</v>
      </c>
      <c r="F347" s="118" t="s">
        <v>160</v>
      </c>
      <c r="G347" s="118" t="s">
        <v>160</v>
      </c>
      <c r="H347" s="118" t="s">
        <v>160</v>
      </c>
      <c r="I347" s="118">
        <v>13491</v>
      </c>
      <c r="J347" s="118" t="s">
        <v>160</v>
      </c>
      <c r="K347" s="118">
        <v>217423</v>
      </c>
      <c r="L347" s="118" t="s">
        <v>160</v>
      </c>
      <c r="M347" s="118" t="s">
        <v>160</v>
      </c>
      <c r="N347" s="118" t="s">
        <v>160</v>
      </c>
      <c r="O347" s="118">
        <v>-230914</v>
      </c>
      <c r="P347" s="118">
        <v>0</v>
      </c>
      <c r="Q347" s="118" t="s">
        <v>160</v>
      </c>
      <c r="R347" s="118">
        <v>0</v>
      </c>
    </row>
    <row r="348" spans="2:18" x14ac:dyDescent="0.2">
      <c r="B348" s="129" t="s">
        <v>1319</v>
      </c>
      <c r="C348" s="118" t="s">
        <v>160</v>
      </c>
      <c r="D348" s="118" t="s">
        <v>160</v>
      </c>
      <c r="E348" s="118">
        <v>-5296</v>
      </c>
      <c r="F348" s="118" t="s">
        <v>160</v>
      </c>
      <c r="G348" s="118" t="s">
        <v>160</v>
      </c>
      <c r="H348" s="118" t="s">
        <v>160</v>
      </c>
      <c r="I348" s="118" t="s">
        <v>160</v>
      </c>
      <c r="J348" s="118" t="s">
        <v>160</v>
      </c>
      <c r="K348" s="118" t="s">
        <v>160</v>
      </c>
      <c r="L348" s="118" t="s">
        <v>160</v>
      </c>
      <c r="M348" s="118" t="s">
        <v>160</v>
      </c>
      <c r="N348" s="118" t="s">
        <v>160</v>
      </c>
      <c r="O348" s="118" t="s">
        <v>160</v>
      </c>
      <c r="P348" s="118">
        <v>-5296</v>
      </c>
      <c r="Q348" s="118">
        <v>-1932</v>
      </c>
      <c r="R348" s="118">
        <v>-7228</v>
      </c>
    </row>
    <row r="349" spans="2:18" x14ac:dyDescent="0.2">
      <c r="B349" s="126" t="s">
        <v>1305</v>
      </c>
      <c r="C349" s="120">
        <f t="shared" ref="C349:Q349" si="78">SUM(C341:C348)</f>
        <v>438839</v>
      </c>
      <c r="D349" s="120">
        <f t="shared" si="78"/>
        <v>0</v>
      </c>
      <c r="E349" s="120">
        <f>SUM(E341:E348)</f>
        <v>-5296</v>
      </c>
      <c r="F349" s="120">
        <f t="shared" si="78"/>
        <v>0</v>
      </c>
      <c r="G349" s="120">
        <f t="shared" si="78"/>
        <v>0</v>
      </c>
      <c r="H349" s="120">
        <f t="shared" si="78"/>
        <v>0</v>
      </c>
      <c r="I349" s="120">
        <f t="shared" si="78"/>
        <v>68507.3</v>
      </c>
      <c r="J349" s="120" t="s">
        <v>160</v>
      </c>
      <c r="K349" s="120">
        <f t="shared" si="78"/>
        <v>382223.08600000001</v>
      </c>
      <c r="L349" s="120">
        <f t="shared" si="78"/>
        <v>38903</v>
      </c>
      <c r="M349" s="120">
        <f t="shared" si="78"/>
        <v>-343</v>
      </c>
      <c r="N349" s="120">
        <f t="shared" si="78"/>
        <v>-1424</v>
      </c>
      <c r="O349" s="120">
        <f t="shared" si="78"/>
        <v>0</v>
      </c>
      <c r="P349" s="120">
        <f t="shared" si="78"/>
        <v>921409.38599999994</v>
      </c>
      <c r="Q349" s="120">
        <f t="shared" si="78"/>
        <v>0</v>
      </c>
      <c r="R349" s="120">
        <f>SUM(R341:R348)</f>
        <v>921409.38599999994</v>
      </c>
    </row>
    <row r="351" spans="2:18" x14ac:dyDescent="0.2">
      <c r="B351" s="129" t="s">
        <v>1226</v>
      </c>
      <c r="C351" s="118" t="s">
        <v>160</v>
      </c>
      <c r="D351" s="118" t="s">
        <v>160</v>
      </c>
      <c r="E351" s="118" t="s">
        <v>160</v>
      </c>
      <c r="F351" s="118" t="s">
        <v>160</v>
      </c>
      <c r="G351" s="118" t="s">
        <v>160</v>
      </c>
      <c r="H351" s="118" t="s">
        <v>160</v>
      </c>
      <c r="I351" s="118" t="s">
        <v>160</v>
      </c>
      <c r="J351" s="118" t="s">
        <v>160</v>
      </c>
      <c r="K351" s="118" t="s">
        <v>160</v>
      </c>
      <c r="L351" s="118" t="s">
        <v>160</v>
      </c>
      <c r="M351" s="118" t="s">
        <v>160</v>
      </c>
      <c r="N351" s="118" t="s">
        <v>160</v>
      </c>
      <c r="O351" s="118">
        <v>43734</v>
      </c>
      <c r="P351" s="118">
        <v>43734</v>
      </c>
      <c r="Q351" s="118">
        <v>0</v>
      </c>
      <c r="R351" s="118">
        <v>43734</v>
      </c>
    </row>
    <row r="352" spans="2:18" x14ac:dyDescent="0.2">
      <c r="B352" s="129" t="s">
        <v>736</v>
      </c>
      <c r="C352" s="118" t="s">
        <v>160</v>
      </c>
      <c r="D352" s="118" t="s">
        <v>160</v>
      </c>
      <c r="E352" s="118" t="s">
        <v>160</v>
      </c>
      <c r="F352" s="118" t="s">
        <v>160</v>
      </c>
      <c r="G352" s="118" t="s">
        <v>160</v>
      </c>
      <c r="H352" s="118" t="s">
        <v>160</v>
      </c>
      <c r="I352" s="118" t="s">
        <v>160</v>
      </c>
      <c r="J352" s="118" t="s">
        <v>160</v>
      </c>
      <c r="K352" s="118" t="s">
        <v>160</v>
      </c>
      <c r="L352" s="118">
        <v>0</v>
      </c>
      <c r="M352" s="118" t="s">
        <v>160</v>
      </c>
      <c r="N352" s="118" t="s">
        <v>160</v>
      </c>
      <c r="O352" s="118">
        <v>0</v>
      </c>
      <c r="P352" s="118">
        <v>0</v>
      </c>
      <c r="Q352" s="118">
        <v>0</v>
      </c>
      <c r="R352" s="118">
        <v>0</v>
      </c>
    </row>
    <row r="353" spans="2:18" x14ac:dyDescent="0.2">
      <c r="B353" s="129" t="s">
        <v>1063</v>
      </c>
      <c r="C353" s="118" t="s">
        <v>160</v>
      </c>
      <c r="D353" s="118" t="s">
        <v>160</v>
      </c>
      <c r="E353" s="121" t="s">
        <v>160</v>
      </c>
      <c r="F353" s="118" t="s">
        <v>160</v>
      </c>
      <c r="G353" s="118" t="s">
        <v>160</v>
      </c>
      <c r="H353" s="118" t="s">
        <v>160</v>
      </c>
      <c r="I353" s="118" t="s">
        <v>160</v>
      </c>
      <c r="J353" s="118" t="s">
        <v>160</v>
      </c>
      <c r="K353" s="118" t="s">
        <v>160</v>
      </c>
      <c r="L353" s="118" t="s">
        <v>160</v>
      </c>
      <c r="M353" s="118" t="s">
        <v>160</v>
      </c>
      <c r="N353" s="118">
        <v>0</v>
      </c>
      <c r="O353" s="118" t="s">
        <v>160</v>
      </c>
      <c r="P353" s="118">
        <v>0</v>
      </c>
      <c r="Q353" s="118" t="s">
        <v>160</v>
      </c>
      <c r="R353" s="118">
        <v>0</v>
      </c>
    </row>
    <row r="354" spans="2:18" x14ac:dyDescent="0.2">
      <c r="B354" s="129" t="s">
        <v>1064</v>
      </c>
      <c r="C354" s="118" t="s">
        <v>160</v>
      </c>
      <c r="D354" s="118" t="s">
        <v>160</v>
      </c>
      <c r="E354" s="121" t="s">
        <v>160</v>
      </c>
      <c r="F354" s="118" t="s">
        <v>160</v>
      </c>
      <c r="G354" s="118" t="s">
        <v>160</v>
      </c>
      <c r="H354" s="118" t="s">
        <v>160</v>
      </c>
      <c r="I354" s="118" t="s">
        <v>160</v>
      </c>
      <c r="J354" s="118" t="s">
        <v>160</v>
      </c>
      <c r="K354" s="118" t="s">
        <v>160</v>
      </c>
      <c r="L354" s="118" t="s">
        <v>160</v>
      </c>
      <c r="M354" s="118" t="s">
        <v>160</v>
      </c>
      <c r="N354" s="118">
        <v>0</v>
      </c>
      <c r="O354" s="118" t="s">
        <v>160</v>
      </c>
      <c r="P354" s="118">
        <v>0</v>
      </c>
      <c r="Q354" s="118" t="s">
        <v>160</v>
      </c>
      <c r="R354" s="118">
        <v>0</v>
      </c>
    </row>
    <row r="355" spans="2:18" x14ac:dyDescent="0.2">
      <c r="B355" s="129" t="s">
        <v>700</v>
      </c>
      <c r="C355" s="118" t="s">
        <v>160</v>
      </c>
      <c r="D355" s="118" t="s">
        <v>160</v>
      </c>
      <c r="E355" s="118" t="s">
        <v>160</v>
      </c>
      <c r="F355" s="118" t="s">
        <v>160</v>
      </c>
      <c r="G355" s="118" t="s">
        <v>160</v>
      </c>
      <c r="H355" s="118" t="s">
        <v>160</v>
      </c>
      <c r="I355" s="118">
        <v>0</v>
      </c>
      <c r="J355" s="118" t="s">
        <v>160</v>
      </c>
      <c r="K355" s="118">
        <v>0</v>
      </c>
      <c r="L355" s="118" t="s">
        <v>160</v>
      </c>
      <c r="M355" s="118" t="s">
        <v>160</v>
      </c>
      <c r="N355" s="118" t="s">
        <v>160</v>
      </c>
      <c r="O355" s="118">
        <v>0</v>
      </c>
      <c r="P355" s="118">
        <v>0</v>
      </c>
      <c r="Q355" s="118" t="s">
        <v>160</v>
      </c>
      <c r="R355" s="118">
        <v>0</v>
      </c>
    </row>
    <row r="356" spans="2:18" x14ac:dyDescent="0.2">
      <c r="B356" s="129" t="s">
        <v>1319</v>
      </c>
      <c r="C356" s="118" t="s">
        <v>160</v>
      </c>
      <c r="D356" s="118" t="s">
        <v>160</v>
      </c>
      <c r="E356" s="118">
        <v>0</v>
      </c>
      <c r="F356" s="118" t="s">
        <v>160</v>
      </c>
      <c r="G356" s="118" t="s">
        <v>160</v>
      </c>
      <c r="H356" s="118" t="s">
        <v>160</v>
      </c>
      <c r="I356" s="118" t="s">
        <v>160</v>
      </c>
      <c r="J356" s="118" t="s">
        <v>160</v>
      </c>
      <c r="K356" s="118" t="s">
        <v>160</v>
      </c>
      <c r="L356" s="118" t="s">
        <v>160</v>
      </c>
      <c r="M356" s="118" t="s">
        <v>160</v>
      </c>
      <c r="N356" s="118" t="s">
        <v>160</v>
      </c>
      <c r="O356" s="118" t="s">
        <v>160</v>
      </c>
      <c r="P356" s="118">
        <v>0</v>
      </c>
      <c r="Q356" s="118">
        <v>0</v>
      </c>
      <c r="R356" s="118">
        <v>0</v>
      </c>
    </row>
    <row r="357" spans="2:18" x14ac:dyDescent="0.2">
      <c r="B357" s="126" t="s">
        <v>1326</v>
      </c>
      <c r="C357" s="120">
        <f t="shared" ref="C357:N357" si="79">SUM(C349:C356)</f>
        <v>438839</v>
      </c>
      <c r="D357" s="120">
        <f t="shared" si="79"/>
        <v>0</v>
      </c>
      <c r="E357" s="120">
        <f t="shared" si="79"/>
        <v>-5296</v>
      </c>
      <c r="F357" s="120">
        <f t="shared" si="79"/>
        <v>0</v>
      </c>
      <c r="G357" s="120">
        <f t="shared" si="79"/>
        <v>0</v>
      </c>
      <c r="H357" s="120">
        <f t="shared" si="79"/>
        <v>0</v>
      </c>
      <c r="I357" s="120">
        <f t="shared" si="79"/>
        <v>68507.3</v>
      </c>
      <c r="J357" s="120" t="s">
        <v>160</v>
      </c>
      <c r="K357" s="120">
        <f t="shared" si="79"/>
        <v>382223.08600000001</v>
      </c>
      <c r="L357" s="120">
        <f t="shared" si="79"/>
        <v>38903</v>
      </c>
      <c r="M357" s="120">
        <f t="shared" si="79"/>
        <v>-343</v>
      </c>
      <c r="N357" s="120">
        <f t="shared" si="79"/>
        <v>-1424</v>
      </c>
      <c r="O357" s="120">
        <f>SUM(O349:O356)</f>
        <v>43734</v>
      </c>
      <c r="P357" s="120">
        <f>SUM(P349:P356)</f>
        <v>965143.38599999994</v>
      </c>
      <c r="Q357" s="120">
        <f>SUM(Q349:Q356)</f>
        <v>0</v>
      </c>
      <c r="R357" s="120">
        <f>SUM(R349:R356)</f>
        <v>965143.38599999994</v>
      </c>
    </row>
    <row r="359" spans="2:18" x14ac:dyDescent="0.2">
      <c r="B359" s="129" t="s">
        <v>1226</v>
      </c>
      <c r="C359" s="118" t="s">
        <v>160</v>
      </c>
      <c r="D359" s="118" t="s">
        <v>160</v>
      </c>
      <c r="E359" s="118" t="s">
        <v>160</v>
      </c>
      <c r="F359" s="118" t="s">
        <v>160</v>
      </c>
      <c r="G359" s="118" t="s">
        <v>160</v>
      </c>
      <c r="H359" s="118" t="s">
        <v>160</v>
      </c>
      <c r="I359" s="118" t="s">
        <v>160</v>
      </c>
      <c r="J359" s="118" t="s">
        <v>160</v>
      </c>
      <c r="K359" s="118" t="s">
        <v>160</v>
      </c>
      <c r="L359" s="118" t="s">
        <v>160</v>
      </c>
      <c r="M359" s="118" t="s">
        <v>160</v>
      </c>
      <c r="N359" s="118" t="s">
        <v>160</v>
      </c>
      <c r="O359" s="118">
        <v>67119</v>
      </c>
      <c r="P359" s="118">
        <v>67119</v>
      </c>
      <c r="Q359" s="118">
        <v>0</v>
      </c>
      <c r="R359" s="118">
        <v>67119</v>
      </c>
    </row>
    <row r="360" spans="2:18" x14ac:dyDescent="0.2">
      <c r="B360" s="129" t="s">
        <v>736</v>
      </c>
      <c r="C360" s="118" t="s">
        <v>160</v>
      </c>
      <c r="D360" s="118" t="s">
        <v>160</v>
      </c>
      <c r="E360" s="118" t="s">
        <v>160</v>
      </c>
      <c r="F360" s="118" t="s">
        <v>160</v>
      </c>
      <c r="G360" s="118" t="s">
        <v>160</v>
      </c>
      <c r="H360" s="118" t="s">
        <v>160</v>
      </c>
      <c r="I360" s="118" t="s">
        <v>160</v>
      </c>
      <c r="J360" s="118" t="s">
        <v>160</v>
      </c>
      <c r="K360" s="118" t="s">
        <v>160</v>
      </c>
      <c r="L360" s="118">
        <v>-38903</v>
      </c>
      <c r="M360" s="118" t="s">
        <v>160</v>
      </c>
      <c r="N360" s="118" t="s">
        <v>160</v>
      </c>
      <c r="O360" s="118">
        <v>0</v>
      </c>
      <c r="P360" s="118">
        <v>-38903</v>
      </c>
      <c r="Q360" s="118">
        <v>0</v>
      </c>
      <c r="R360" s="118">
        <v>-38903</v>
      </c>
    </row>
    <row r="361" spans="2:18" x14ac:dyDescent="0.2">
      <c r="B361" s="129" t="s">
        <v>1063</v>
      </c>
      <c r="C361" s="118" t="s">
        <v>160</v>
      </c>
      <c r="D361" s="118" t="s">
        <v>160</v>
      </c>
      <c r="E361" s="121" t="s">
        <v>160</v>
      </c>
      <c r="F361" s="118" t="s">
        <v>160</v>
      </c>
      <c r="G361" s="118" t="s">
        <v>160</v>
      </c>
      <c r="H361" s="118" t="s">
        <v>160</v>
      </c>
      <c r="I361" s="118" t="s">
        <v>160</v>
      </c>
      <c r="J361" s="118" t="s">
        <v>160</v>
      </c>
      <c r="K361" s="118" t="s">
        <v>160</v>
      </c>
      <c r="L361" s="118" t="s">
        <v>160</v>
      </c>
      <c r="M361" s="118" t="s">
        <v>160</v>
      </c>
      <c r="N361" s="118">
        <v>0</v>
      </c>
      <c r="O361" s="118" t="s">
        <v>160</v>
      </c>
      <c r="P361" s="118">
        <v>0</v>
      </c>
      <c r="Q361" s="118" t="s">
        <v>160</v>
      </c>
      <c r="R361" s="118">
        <v>0</v>
      </c>
    </row>
    <row r="362" spans="2:18" x14ac:dyDescent="0.2">
      <c r="B362" s="129" t="s">
        <v>1064</v>
      </c>
      <c r="C362" s="118" t="s">
        <v>160</v>
      </c>
      <c r="D362" s="118" t="s">
        <v>160</v>
      </c>
      <c r="E362" s="121" t="s">
        <v>160</v>
      </c>
      <c r="F362" s="118" t="s">
        <v>160</v>
      </c>
      <c r="G362" s="118" t="s">
        <v>160</v>
      </c>
      <c r="H362" s="118" t="s">
        <v>160</v>
      </c>
      <c r="I362" s="118" t="s">
        <v>160</v>
      </c>
      <c r="J362" s="118" t="s">
        <v>160</v>
      </c>
      <c r="K362" s="118" t="s">
        <v>160</v>
      </c>
      <c r="L362" s="118" t="s">
        <v>160</v>
      </c>
      <c r="M362" s="118" t="s">
        <v>160</v>
      </c>
      <c r="N362" s="118">
        <v>0</v>
      </c>
      <c r="O362" s="118" t="s">
        <v>160</v>
      </c>
      <c r="P362" s="118">
        <v>0</v>
      </c>
      <c r="Q362" s="118" t="s">
        <v>160</v>
      </c>
      <c r="R362" s="118">
        <v>0</v>
      </c>
    </row>
    <row r="363" spans="2:18" x14ac:dyDescent="0.2">
      <c r="B363" s="129" t="s">
        <v>700</v>
      </c>
      <c r="C363" s="118" t="s">
        <v>160</v>
      </c>
      <c r="D363" s="118" t="s">
        <v>160</v>
      </c>
      <c r="E363" s="118" t="s">
        <v>160</v>
      </c>
      <c r="F363" s="118" t="s">
        <v>160</v>
      </c>
      <c r="G363" s="118" t="s">
        <v>160</v>
      </c>
      <c r="H363" s="118" t="s">
        <v>160</v>
      </c>
      <c r="I363" s="118">
        <v>0</v>
      </c>
      <c r="J363" s="118" t="s">
        <v>160</v>
      </c>
      <c r="K363" s="118">
        <v>0</v>
      </c>
      <c r="L363" s="118" t="s">
        <v>160</v>
      </c>
      <c r="M363" s="118" t="s">
        <v>160</v>
      </c>
      <c r="N363" s="118" t="s">
        <v>160</v>
      </c>
      <c r="O363" s="118">
        <v>0</v>
      </c>
      <c r="P363" s="118">
        <v>0</v>
      </c>
      <c r="Q363" s="118" t="s">
        <v>160</v>
      </c>
      <c r="R363" s="118">
        <v>0</v>
      </c>
    </row>
    <row r="364" spans="2:18" x14ac:dyDescent="0.2">
      <c r="B364" s="129" t="s">
        <v>1319</v>
      </c>
      <c r="C364" s="118" t="s">
        <v>160</v>
      </c>
      <c r="D364" s="118" t="s">
        <v>160</v>
      </c>
      <c r="E364" s="118">
        <v>0</v>
      </c>
      <c r="F364" s="118" t="s">
        <v>160</v>
      </c>
      <c r="G364" s="118" t="s">
        <v>160</v>
      </c>
      <c r="H364" s="118" t="s">
        <v>160</v>
      </c>
      <c r="I364" s="118" t="s">
        <v>160</v>
      </c>
      <c r="J364" s="118" t="s">
        <v>160</v>
      </c>
      <c r="K364" s="118" t="s">
        <v>160</v>
      </c>
      <c r="L364" s="118" t="s">
        <v>160</v>
      </c>
      <c r="M364" s="118" t="s">
        <v>160</v>
      </c>
      <c r="N364" s="118" t="s">
        <v>160</v>
      </c>
      <c r="O364" s="118" t="s">
        <v>160</v>
      </c>
      <c r="P364" s="118">
        <v>0</v>
      </c>
      <c r="Q364" s="118">
        <v>0</v>
      </c>
      <c r="R364" s="118">
        <v>0</v>
      </c>
    </row>
    <row r="365" spans="2:18" x14ac:dyDescent="0.2">
      <c r="B365" s="126" t="s">
        <v>1334</v>
      </c>
      <c r="C365" s="120">
        <f t="shared" ref="C365:R365" si="80">SUM(C357:C364)</f>
        <v>438839</v>
      </c>
      <c r="D365" s="120">
        <f t="shared" si="80"/>
        <v>0</v>
      </c>
      <c r="E365" s="120">
        <f t="shared" si="80"/>
        <v>-5296</v>
      </c>
      <c r="F365" s="120">
        <f t="shared" si="80"/>
        <v>0</v>
      </c>
      <c r="G365" s="120">
        <f t="shared" si="80"/>
        <v>0</v>
      </c>
      <c r="H365" s="120">
        <f t="shared" si="80"/>
        <v>0</v>
      </c>
      <c r="I365" s="120">
        <f t="shared" si="80"/>
        <v>68507.3</v>
      </c>
      <c r="J365" s="120" t="s">
        <v>160</v>
      </c>
      <c r="K365" s="120">
        <f t="shared" si="80"/>
        <v>382223.08600000001</v>
      </c>
      <c r="L365" s="120">
        <f t="shared" si="80"/>
        <v>0</v>
      </c>
      <c r="M365" s="120">
        <f t="shared" si="80"/>
        <v>-343</v>
      </c>
      <c r="N365" s="120">
        <f t="shared" si="80"/>
        <v>-1424</v>
      </c>
      <c r="O365" s="120">
        <f t="shared" si="80"/>
        <v>110853</v>
      </c>
      <c r="P365" s="120">
        <f t="shared" si="80"/>
        <v>993359.38599999994</v>
      </c>
      <c r="Q365" s="120">
        <f t="shared" si="80"/>
        <v>0</v>
      </c>
      <c r="R365" s="120">
        <f t="shared" si="80"/>
        <v>993359.38599999994</v>
      </c>
    </row>
    <row r="367" spans="2:18" x14ac:dyDescent="0.2">
      <c r="B367" s="129" t="s">
        <v>1226</v>
      </c>
      <c r="C367" s="118" t="s">
        <v>160</v>
      </c>
      <c r="D367" s="118" t="s">
        <v>160</v>
      </c>
      <c r="E367" s="118" t="s">
        <v>160</v>
      </c>
      <c r="F367" s="118" t="s">
        <v>160</v>
      </c>
      <c r="G367" s="118" t="s">
        <v>160</v>
      </c>
      <c r="H367" s="118" t="s">
        <v>160</v>
      </c>
      <c r="I367" s="118" t="s">
        <v>160</v>
      </c>
      <c r="J367" s="118" t="s">
        <v>160</v>
      </c>
      <c r="K367" s="118" t="s">
        <v>160</v>
      </c>
      <c r="L367" s="118" t="s">
        <v>160</v>
      </c>
      <c r="M367" s="118" t="s">
        <v>160</v>
      </c>
      <c r="N367" s="118" t="s">
        <v>160</v>
      </c>
      <c r="O367" s="118">
        <v>79891</v>
      </c>
      <c r="P367" s="118">
        <v>79891</v>
      </c>
      <c r="Q367" s="118" t="s">
        <v>160</v>
      </c>
      <c r="R367" s="118">
        <v>79891</v>
      </c>
    </row>
    <row r="368" spans="2:18" x14ac:dyDescent="0.2">
      <c r="B368" s="129" t="s">
        <v>736</v>
      </c>
      <c r="C368" s="118" t="s">
        <v>160</v>
      </c>
      <c r="D368" s="118" t="s">
        <v>160</v>
      </c>
      <c r="E368" s="118" t="s">
        <v>160</v>
      </c>
      <c r="F368" s="118" t="s">
        <v>160</v>
      </c>
      <c r="G368" s="118" t="s">
        <v>160</v>
      </c>
      <c r="H368" s="118" t="s">
        <v>160</v>
      </c>
      <c r="I368" s="118" t="s">
        <v>160</v>
      </c>
      <c r="J368" s="118" t="s">
        <v>160</v>
      </c>
      <c r="K368" s="118">
        <v>0</v>
      </c>
      <c r="L368" s="118">
        <v>0</v>
      </c>
      <c r="M368" s="118" t="s">
        <v>160</v>
      </c>
      <c r="N368" s="118" t="s">
        <v>160</v>
      </c>
      <c r="O368" s="118">
        <v>-89016</v>
      </c>
      <c r="P368" s="118">
        <v>-89016</v>
      </c>
      <c r="Q368" s="118" t="s">
        <v>160</v>
      </c>
      <c r="R368" s="118">
        <v>-89016</v>
      </c>
    </row>
    <row r="369" spans="2:18" x14ac:dyDescent="0.2">
      <c r="B369" s="129" t="s">
        <v>1063</v>
      </c>
      <c r="C369" s="118" t="s">
        <v>160</v>
      </c>
      <c r="D369" s="118" t="s">
        <v>160</v>
      </c>
      <c r="E369" s="121" t="s">
        <v>160</v>
      </c>
      <c r="F369" s="118" t="s">
        <v>160</v>
      </c>
      <c r="G369" s="118" t="s">
        <v>160</v>
      </c>
      <c r="H369" s="118" t="s">
        <v>160</v>
      </c>
      <c r="I369" s="118" t="s">
        <v>160</v>
      </c>
      <c r="J369" s="118" t="s">
        <v>160</v>
      </c>
      <c r="K369" s="118" t="s">
        <v>160</v>
      </c>
      <c r="L369" s="118" t="s">
        <v>160</v>
      </c>
      <c r="M369" s="118" t="s">
        <v>160</v>
      </c>
      <c r="N369" s="118">
        <v>0</v>
      </c>
      <c r="O369" s="118" t="s">
        <v>160</v>
      </c>
      <c r="P369" s="118">
        <v>0</v>
      </c>
      <c r="Q369" s="118" t="s">
        <v>160</v>
      </c>
      <c r="R369" s="118">
        <v>0</v>
      </c>
    </row>
    <row r="370" spans="2:18" x14ac:dyDescent="0.2">
      <c r="B370" s="129" t="s">
        <v>1064</v>
      </c>
      <c r="C370" s="118" t="s">
        <v>160</v>
      </c>
      <c r="D370" s="118" t="s">
        <v>160</v>
      </c>
      <c r="E370" s="121" t="s">
        <v>160</v>
      </c>
      <c r="F370" s="118" t="s">
        <v>160</v>
      </c>
      <c r="G370" s="118" t="s">
        <v>160</v>
      </c>
      <c r="H370" s="118" t="s">
        <v>160</v>
      </c>
      <c r="I370" s="118" t="s">
        <v>160</v>
      </c>
      <c r="J370" s="118" t="s">
        <v>160</v>
      </c>
      <c r="K370" s="118" t="s">
        <v>160</v>
      </c>
      <c r="L370" s="118" t="s">
        <v>160</v>
      </c>
      <c r="M370" s="118" t="s">
        <v>160</v>
      </c>
      <c r="N370" s="118">
        <v>0</v>
      </c>
      <c r="O370" s="118" t="s">
        <v>160</v>
      </c>
      <c r="P370" s="118">
        <v>0</v>
      </c>
      <c r="Q370" s="118" t="s">
        <v>160</v>
      </c>
      <c r="R370" s="118">
        <v>0</v>
      </c>
    </row>
    <row r="371" spans="2:18" x14ac:dyDescent="0.2">
      <c r="B371" s="129" t="s">
        <v>700</v>
      </c>
      <c r="C371" s="118" t="s">
        <v>160</v>
      </c>
      <c r="D371" s="118" t="s">
        <v>160</v>
      </c>
      <c r="E371" s="118" t="s">
        <v>160</v>
      </c>
      <c r="F371" s="118" t="s">
        <v>160</v>
      </c>
      <c r="G371" s="118" t="s">
        <v>160</v>
      </c>
      <c r="H371" s="118" t="s">
        <v>160</v>
      </c>
      <c r="I371" s="118">
        <v>0</v>
      </c>
      <c r="J371" s="118" t="s">
        <v>160</v>
      </c>
      <c r="K371" s="118">
        <v>0</v>
      </c>
      <c r="L371" s="118" t="s">
        <v>160</v>
      </c>
      <c r="M371" s="118" t="s">
        <v>160</v>
      </c>
      <c r="N371" s="118" t="s">
        <v>160</v>
      </c>
      <c r="O371" s="118">
        <v>0</v>
      </c>
      <c r="P371" s="118">
        <v>0</v>
      </c>
      <c r="Q371" s="118" t="s">
        <v>160</v>
      </c>
      <c r="R371" s="118">
        <v>0</v>
      </c>
    </row>
    <row r="372" spans="2:18" x14ac:dyDescent="0.2">
      <c r="B372" s="129" t="s">
        <v>1319</v>
      </c>
      <c r="C372" s="118" t="s">
        <v>160</v>
      </c>
      <c r="D372" s="118" t="s">
        <v>160</v>
      </c>
      <c r="E372" s="118">
        <v>0</v>
      </c>
      <c r="F372" s="118" t="s">
        <v>160</v>
      </c>
      <c r="G372" s="118" t="s">
        <v>160</v>
      </c>
      <c r="H372" s="118" t="s">
        <v>160</v>
      </c>
      <c r="I372" s="118" t="s">
        <v>160</v>
      </c>
      <c r="J372" s="118" t="s">
        <v>160</v>
      </c>
      <c r="K372" s="118" t="s">
        <v>160</v>
      </c>
      <c r="L372" s="118" t="s">
        <v>160</v>
      </c>
      <c r="M372" s="118" t="s">
        <v>160</v>
      </c>
      <c r="N372" s="118" t="s">
        <v>160</v>
      </c>
      <c r="O372" s="118" t="s">
        <v>160</v>
      </c>
      <c r="P372" s="118">
        <v>0</v>
      </c>
      <c r="Q372" s="118">
        <v>0</v>
      </c>
      <c r="R372" s="118">
        <v>0</v>
      </c>
    </row>
    <row r="373" spans="2:18" x14ac:dyDescent="0.2">
      <c r="B373" s="126" t="s">
        <v>1341</v>
      </c>
      <c r="C373" s="120">
        <f t="shared" ref="C373:R373" si="81">SUM(C365:C372)</f>
        <v>438839</v>
      </c>
      <c r="D373" s="120">
        <f t="shared" si="81"/>
        <v>0</v>
      </c>
      <c r="E373" s="120">
        <f t="shared" si="81"/>
        <v>-5296</v>
      </c>
      <c r="F373" s="120">
        <f t="shared" si="81"/>
        <v>0</v>
      </c>
      <c r="G373" s="120">
        <f t="shared" si="81"/>
        <v>0</v>
      </c>
      <c r="H373" s="120">
        <f t="shared" si="81"/>
        <v>0</v>
      </c>
      <c r="I373" s="120">
        <f t="shared" si="81"/>
        <v>68507.3</v>
      </c>
      <c r="J373" s="120" t="s">
        <v>160</v>
      </c>
      <c r="K373" s="120">
        <f t="shared" si="81"/>
        <v>382223.08600000001</v>
      </c>
      <c r="L373" s="120">
        <f t="shared" si="81"/>
        <v>0</v>
      </c>
      <c r="M373" s="120">
        <f t="shared" si="81"/>
        <v>-343</v>
      </c>
      <c r="N373" s="120">
        <f t="shared" si="81"/>
        <v>-1424</v>
      </c>
      <c r="O373" s="120">
        <f t="shared" si="81"/>
        <v>101728</v>
      </c>
      <c r="P373" s="120">
        <f t="shared" si="81"/>
        <v>984234.38599999994</v>
      </c>
      <c r="Q373" s="120">
        <f t="shared" si="81"/>
        <v>0</v>
      </c>
      <c r="R373" s="120">
        <f t="shared" si="81"/>
        <v>984234.38599999994</v>
      </c>
    </row>
    <row r="375" spans="2:18" x14ac:dyDescent="0.2">
      <c r="B375" s="129" t="s">
        <v>1226</v>
      </c>
      <c r="C375" s="118" t="s">
        <v>160</v>
      </c>
      <c r="D375" s="118" t="s">
        <v>160</v>
      </c>
      <c r="E375" s="118" t="s">
        <v>160</v>
      </c>
      <c r="F375" s="118" t="s">
        <v>160</v>
      </c>
      <c r="G375" s="118" t="s">
        <v>160</v>
      </c>
      <c r="H375" s="118" t="s">
        <v>160</v>
      </c>
      <c r="I375" s="118" t="s">
        <v>160</v>
      </c>
      <c r="J375" s="118">
        <v>0</v>
      </c>
      <c r="K375" s="118" t="s">
        <v>160</v>
      </c>
      <c r="L375" s="118" t="s">
        <v>160</v>
      </c>
      <c r="M375" s="118" t="s">
        <v>160</v>
      </c>
      <c r="N375" s="118" t="s">
        <v>160</v>
      </c>
      <c r="O375" s="118">
        <v>52219</v>
      </c>
      <c r="P375" s="118">
        <v>52219</v>
      </c>
      <c r="Q375" s="118">
        <v>0</v>
      </c>
      <c r="R375" s="118">
        <v>52219</v>
      </c>
    </row>
    <row r="376" spans="2:18" x14ac:dyDescent="0.2">
      <c r="B376" s="129" t="s">
        <v>1364</v>
      </c>
      <c r="C376" s="118">
        <v>21161</v>
      </c>
      <c r="D376" s="118" t="s">
        <v>160</v>
      </c>
      <c r="E376" s="118" t="s">
        <v>160</v>
      </c>
      <c r="F376" s="118" t="s">
        <v>160</v>
      </c>
      <c r="G376" s="118" t="s">
        <v>160</v>
      </c>
      <c r="H376" s="118" t="s">
        <v>160</v>
      </c>
      <c r="I376" s="118" t="s">
        <v>160</v>
      </c>
      <c r="J376" s="118">
        <v>0</v>
      </c>
      <c r="K376" s="118">
        <v>-21161</v>
      </c>
      <c r="L376" s="118"/>
      <c r="M376" s="118"/>
      <c r="N376" s="118"/>
      <c r="O376" s="118"/>
      <c r="P376" s="118"/>
      <c r="Q376" s="118"/>
      <c r="R376" s="118"/>
    </row>
    <row r="377" spans="2:18" x14ac:dyDescent="0.2">
      <c r="B377" s="129" t="s">
        <v>736</v>
      </c>
      <c r="C377" s="118" t="s">
        <v>160</v>
      </c>
      <c r="D377" s="118" t="s">
        <v>160</v>
      </c>
      <c r="E377" s="118" t="s">
        <v>160</v>
      </c>
      <c r="F377" s="118" t="s">
        <v>160</v>
      </c>
      <c r="G377" s="118" t="s">
        <v>160</v>
      </c>
      <c r="H377" s="118" t="s">
        <v>160</v>
      </c>
      <c r="I377" s="118" t="s">
        <v>160</v>
      </c>
      <c r="J377" s="118">
        <v>0</v>
      </c>
      <c r="K377" s="118">
        <v>-100225</v>
      </c>
      <c r="L377" s="118">
        <v>0</v>
      </c>
      <c r="M377" s="118" t="s">
        <v>160</v>
      </c>
      <c r="N377" s="118" t="s">
        <v>160</v>
      </c>
      <c r="O377" s="118">
        <v>-63960</v>
      </c>
      <c r="P377" s="118">
        <v>-164185</v>
      </c>
      <c r="Q377" s="118">
        <v>0</v>
      </c>
      <c r="R377" s="118">
        <v>-164185</v>
      </c>
    </row>
    <row r="378" spans="2:18" x14ac:dyDescent="0.2">
      <c r="B378" s="129" t="s">
        <v>1063</v>
      </c>
      <c r="C378" s="118" t="s">
        <v>160</v>
      </c>
      <c r="D378" s="118" t="s">
        <v>160</v>
      </c>
      <c r="E378" s="121" t="s">
        <v>160</v>
      </c>
      <c r="F378" s="118" t="s">
        <v>160</v>
      </c>
      <c r="G378" s="118" t="s">
        <v>160</v>
      </c>
      <c r="H378" s="118" t="s">
        <v>160</v>
      </c>
      <c r="I378" s="118" t="s">
        <v>160</v>
      </c>
      <c r="J378" s="118">
        <v>0</v>
      </c>
      <c r="K378" s="118" t="s">
        <v>160</v>
      </c>
      <c r="L378" s="118" t="s">
        <v>160</v>
      </c>
      <c r="M378" s="118" t="s">
        <v>160</v>
      </c>
      <c r="N378" s="118">
        <v>-53</v>
      </c>
      <c r="O378" s="118" t="s">
        <v>160</v>
      </c>
      <c r="P378" s="118">
        <v>-53</v>
      </c>
      <c r="Q378" s="118" t="s">
        <v>160</v>
      </c>
      <c r="R378" s="118">
        <v>-53</v>
      </c>
    </row>
    <row r="379" spans="2:18" x14ac:dyDescent="0.2">
      <c r="B379" s="129" t="s">
        <v>1064</v>
      </c>
      <c r="C379" s="118" t="s">
        <v>160</v>
      </c>
      <c r="D379" s="118" t="s">
        <v>160</v>
      </c>
      <c r="E379" s="121" t="s">
        <v>160</v>
      </c>
      <c r="F379" s="118" t="s">
        <v>160</v>
      </c>
      <c r="G379" s="118" t="s">
        <v>160</v>
      </c>
      <c r="H379" s="118" t="s">
        <v>160</v>
      </c>
      <c r="I379" s="118" t="s">
        <v>160</v>
      </c>
      <c r="J379" s="118">
        <v>0</v>
      </c>
      <c r="K379" s="118" t="s">
        <v>160</v>
      </c>
      <c r="L379" s="118" t="s">
        <v>160</v>
      </c>
      <c r="M379" s="118" t="s">
        <v>160</v>
      </c>
      <c r="N379" s="118">
        <v>18</v>
      </c>
      <c r="O379" s="118" t="s">
        <v>160</v>
      </c>
      <c r="P379" s="118">
        <v>18</v>
      </c>
      <c r="Q379" s="118" t="s">
        <v>160</v>
      </c>
      <c r="R379" s="118">
        <v>18</v>
      </c>
    </row>
    <row r="380" spans="2:18" x14ac:dyDescent="0.2">
      <c r="B380" s="129" t="s">
        <v>700</v>
      </c>
      <c r="C380" s="118" t="s">
        <v>160</v>
      </c>
      <c r="D380" s="118" t="s">
        <v>160</v>
      </c>
      <c r="E380" s="118" t="s">
        <v>160</v>
      </c>
      <c r="F380" s="118" t="s">
        <v>160</v>
      </c>
      <c r="G380" s="118" t="s">
        <v>160</v>
      </c>
      <c r="H380" s="118" t="s">
        <v>160</v>
      </c>
      <c r="I380" s="118">
        <v>12148</v>
      </c>
      <c r="J380" s="118">
        <v>77839</v>
      </c>
      <c r="K380" s="118">
        <v>0</v>
      </c>
      <c r="L380" s="118" t="s">
        <v>160</v>
      </c>
      <c r="M380" s="118" t="s">
        <v>160</v>
      </c>
      <c r="N380" s="118" t="s">
        <v>160</v>
      </c>
      <c r="O380" s="118">
        <v>-89987</v>
      </c>
      <c r="P380" s="118">
        <v>0</v>
      </c>
      <c r="Q380" s="118" t="s">
        <v>160</v>
      </c>
      <c r="R380" s="118">
        <v>0</v>
      </c>
    </row>
    <row r="381" spans="2:18" x14ac:dyDescent="0.2">
      <c r="B381" s="129" t="s">
        <v>1319</v>
      </c>
      <c r="C381" s="118" t="s">
        <v>160</v>
      </c>
      <c r="D381" s="118" t="s">
        <v>160</v>
      </c>
      <c r="E381" s="118">
        <v>0</v>
      </c>
      <c r="F381" s="118" t="s">
        <v>160</v>
      </c>
      <c r="G381" s="118" t="s">
        <v>160</v>
      </c>
      <c r="H381" s="118" t="s">
        <v>160</v>
      </c>
      <c r="I381" s="118" t="s">
        <v>160</v>
      </c>
      <c r="J381" s="118">
        <v>0</v>
      </c>
      <c r="K381" s="118" t="s">
        <v>160</v>
      </c>
      <c r="L381" s="118" t="s">
        <v>160</v>
      </c>
      <c r="M381" s="118" t="s">
        <v>160</v>
      </c>
      <c r="N381" s="118" t="s">
        <v>160</v>
      </c>
      <c r="O381" s="118" t="s">
        <v>160</v>
      </c>
      <c r="P381" s="118">
        <v>0</v>
      </c>
      <c r="Q381" s="118">
        <v>0</v>
      </c>
      <c r="R381" s="118">
        <v>0</v>
      </c>
    </row>
    <row r="382" spans="2:18" x14ac:dyDescent="0.2">
      <c r="B382" s="126" t="s">
        <v>1356</v>
      </c>
      <c r="C382" s="120">
        <f t="shared" ref="C382:R382" si="82">SUM(C373:C381)</f>
        <v>460000</v>
      </c>
      <c r="D382" s="120">
        <f t="shared" si="82"/>
        <v>0</v>
      </c>
      <c r="E382" s="120">
        <f t="shared" si="82"/>
        <v>-5296</v>
      </c>
      <c r="F382" s="120">
        <f t="shared" si="82"/>
        <v>0</v>
      </c>
      <c r="G382" s="120">
        <f t="shared" si="82"/>
        <v>0</v>
      </c>
      <c r="H382" s="120">
        <f t="shared" si="82"/>
        <v>0</v>
      </c>
      <c r="I382" s="120">
        <f t="shared" si="82"/>
        <v>80655.3</v>
      </c>
      <c r="J382" s="120">
        <f t="shared" si="82"/>
        <v>77839</v>
      </c>
      <c r="K382" s="120">
        <f t="shared" si="82"/>
        <v>260837.08600000001</v>
      </c>
      <c r="L382" s="120">
        <f t="shared" si="82"/>
        <v>0</v>
      </c>
      <c r="M382" s="120">
        <f t="shared" si="82"/>
        <v>-343</v>
      </c>
      <c r="N382" s="120">
        <f t="shared" si="82"/>
        <v>-1459</v>
      </c>
      <c r="O382" s="120">
        <f t="shared" si="82"/>
        <v>0</v>
      </c>
      <c r="P382" s="120">
        <f>SUM(P373:P381)</f>
        <v>872233.38599999994</v>
      </c>
      <c r="Q382" s="120">
        <f t="shared" si="82"/>
        <v>0</v>
      </c>
      <c r="R382" s="120">
        <f t="shared" si="82"/>
        <v>872233.38599999994</v>
      </c>
    </row>
    <row r="384" spans="2:18" x14ac:dyDescent="0.2">
      <c r="B384" s="129" t="s">
        <v>1226</v>
      </c>
      <c r="C384" s="118" t="s">
        <v>160</v>
      </c>
      <c r="D384" s="118" t="s">
        <v>160</v>
      </c>
      <c r="E384" s="118" t="s">
        <v>160</v>
      </c>
      <c r="F384" s="118" t="s">
        <v>160</v>
      </c>
      <c r="G384" s="118" t="s">
        <v>160</v>
      </c>
      <c r="H384" s="118" t="s">
        <v>160</v>
      </c>
      <c r="I384" s="118" t="s">
        <v>160</v>
      </c>
      <c r="J384" s="118">
        <v>0</v>
      </c>
      <c r="K384" s="118" t="s">
        <v>160</v>
      </c>
      <c r="L384" s="118" t="s">
        <v>160</v>
      </c>
      <c r="M384" s="118" t="s">
        <v>160</v>
      </c>
      <c r="N384" s="118" t="s">
        <v>160</v>
      </c>
      <c r="O384" s="118">
        <v>38785</v>
      </c>
      <c r="P384" s="118">
        <f>+SUM(C384:O384)</f>
        <v>38785</v>
      </c>
      <c r="Q384" s="118">
        <v>0</v>
      </c>
      <c r="R384" s="118">
        <f>+SUM(P384:Q384)</f>
        <v>38785</v>
      </c>
    </row>
    <row r="385" spans="2:18" x14ac:dyDescent="0.2">
      <c r="B385" s="129" t="s">
        <v>1364</v>
      </c>
      <c r="C385" s="118">
        <v>0</v>
      </c>
      <c r="D385" s="118" t="s">
        <v>160</v>
      </c>
      <c r="E385" s="118" t="s">
        <v>160</v>
      </c>
      <c r="F385" s="118" t="s">
        <v>160</v>
      </c>
      <c r="G385" s="118" t="s">
        <v>160</v>
      </c>
      <c r="H385" s="118" t="s">
        <v>160</v>
      </c>
      <c r="I385" s="118" t="s">
        <v>160</v>
      </c>
      <c r="J385" s="118">
        <v>0</v>
      </c>
      <c r="K385" s="118">
        <v>0</v>
      </c>
      <c r="L385" s="118"/>
      <c r="M385" s="118"/>
      <c r="N385" s="118"/>
      <c r="O385" s="118"/>
      <c r="P385" s="118"/>
      <c r="Q385" s="118"/>
      <c r="R385" s="118"/>
    </row>
    <row r="386" spans="2:18" x14ac:dyDescent="0.2">
      <c r="B386" s="129" t="s">
        <v>736</v>
      </c>
      <c r="C386" s="118" t="s">
        <v>160</v>
      </c>
      <c r="D386" s="118" t="s">
        <v>160</v>
      </c>
      <c r="E386" s="118" t="s">
        <v>160</v>
      </c>
      <c r="F386" s="118" t="s">
        <v>160</v>
      </c>
      <c r="G386" s="118" t="s">
        <v>160</v>
      </c>
      <c r="H386" s="118" t="s">
        <v>160</v>
      </c>
      <c r="I386" s="118" t="s">
        <v>160</v>
      </c>
      <c r="J386" s="118">
        <v>0</v>
      </c>
      <c r="K386" s="118">
        <v>0</v>
      </c>
      <c r="L386" s="118">
        <v>0</v>
      </c>
      <c r="M386" s="118" t="s">
        <v>160</v>
      </c>
      <c r="N386" s="118" t="s">
        <v>160</v>
      </c>
      <c r="O386" s="118" t="s">
        <v>160</v>
      </c>
      <c r="P386" s="118">
        <f>+SUM(C386:O386)</f>
        <v>0</v>
      </c>
      <c r="Q386" s="118">
        <v>0</v>
      </c>
      <c r="R386" s="118">
        <f>+SUM(P386:Q386)</f>
        <v>0</v>
      </c>
    </row>
    <row r="387" spans="2:18" x14ac:dyDescent="0.2">
      <c r="B387" s="129" t="s">
        <v>1063</v>
      </c>
      <c r="C387" s="118" t="s">
        <v>160</v>
      </c>
      <c r="D387" s="118" t="s">
        <v>160</v>
      </c>
      <c r="E387" s="121" t="s">
        <v>160</v>
      </c>
      <c r="F387" s="118" t="s">
        <v>160</v>
      </c>
      <c r="G387" s="118" t="s">
        <v>160</v>
      </c>
      <c r="H387" s="118" t="s">
        <v>160</v>
      </c>
      <c r="I387" s="118" t="s">
        <v>160</v>
      </c>
      <c r="J387" s="118">
        <v>0</v>
      </c>
      <c r="K387" s="118" t="s">
        <v>160</v>
      </c>
      <c r="L387" s="118" t="s">
        <v>160</v>
      </c>
      <c r="M387" s="118" t="s">
        <v>160</v>
      </c>
      <c r="N387" s="118">
        <v>0</v>
      </c>
      <c r="O387" s="118" t="s">
        <v>160</v>
      </c>
      <c r="P387" s="118">
        <f>+SUM(C387:O387)</f>
        <v>0</v>
      </c>
      <c r="Q387" s="118" t="s">
        <v>160</v>
      </c>
      <c r="R387" s="118">
        <f>+SUM(P387:Q387)</f>
        <v>0</v>
      </c>
    </row>
    <row r="388" spans="2:18" x14ac:dyDescent="0.2">
      <c r="B388" s="129" t="s">
        <v>1064</v>
      </c>
      <c r="C388" s="118" t="s">
        <v>160</v>
      </c>
      <c r="D388" s="118" t="s">
        <v>160</v>
      </c>
      <c r="E388" s="121" t="s">
        <v>160</v>
      </c>
      <c r="F388" s="118" t="s">
        <v>160</v>
      </c>
      <c r="G388" s="118" t="s">
        <v>160</v>
      </c>
      <c r="H388" s="118" t="s">
        <v>160</v>
      </c>
      <c r="I388" s="118" t="s">
        <v>160</v>
      </c>
      <c r="J388" s="118">
        <v>0</v>
      </c>
      <c r="K388" s="118" t="s">
        <v>160</v>
      </c>
      <c r="L388" s="118" t="s">
        <v>160</v>
      </c>
      <c r="M388" s="118" t="s">
        <v>160</v>
      </c>
      <c r="N388" s="118">
        <v>0</v>
      </c>
      <c r="O388" s="118" t="s">
        <v>160</v>
      </c>
      <c r="P388" s="118">
        <f>+SUM(C388:O388)</f>
        <v>0</v>
      </c>
      <c r="Q388" s="118" t="s">
        <v>160</v>
      </c>
      <c r="R388" s="118">
        <f>+SUM(P388:Q388)</f>
        <v>0</v>
      </c>
    </row>
    <row r="389" spans="2:18" x14ac:dyDescent="0.2">
      <c r="B389" s="129" t="s">
        <v>700</v>
      </c>
      <c r="C389" s="118" t="s">
        <v>160</v>
      </c>
      <c r="D389" s="118" t="s">
        <v>160</v>
      </c>
      <c r="E389" s="118" t="s">
        <v>160</v>
      </c>
      <c r="F389" s="118" t="s">
        <v>160</v>
      </c>
      <c r="G389" s="118" t="s">
        <v>160</v>
      </c>
      <c r="H389" s="118" t="s">
        <v>160</v>
      </c>
      <c r="I389" s="118">
        <v>0</v>
      </c>
      <c r="J389" s="118">
        <v>0</v>
      </c>
      <c r="K389" s="118">
        <v>0</v>
      </c>
      <c r="L389" s="118" t="s">
        <v>160</v>
      </c>
      <c r="M389" s="118" t="s">
        <v>160</v>
      </c>
      <c r="N389" s="118" t="s">
        <v>160</v>
      </c>
      <c r="O389" s="118">
        <v>0</v>
      </c>
      <c r="P389" s="118">
        <f>+SUM(C389:O389)</f>
        <v>0</v>
      </c>
      <c r="Q389" s="118" t="s">
        <v>160</v>
      </c>
      <c r="R389" s="118">
        <f>+SUM(P389:Q389)</f>
        <v>0</v>
      </c>
    </row>
    <row r="390" spans="2:18" x14ac:dyDescent="0.2">
      <c r="B390" s="129" t="s">
        <v>1319</v>
      </c>
      <c r="C390" s="118" t="s">
        <v>160</v>
      </c>
      <c r="D390" s="118" t="s">
        <v>160</v>
      </c>
      <c r="E390" s="118">
        <v>0</v>
      </c>
      <c r="F390" s="118" t="s">
        <v>160</v>
      </c>
      <c r="G390" s="118" t="s">
        <v>160</v>
      </c>
      <c r="H390" s="118" t="s">
        <v>160</v>
      </c>
      <c r="I390" s="118" t="s">
        <v>160</v>
      </c>
      <c r="J390" s="118">
        <v>0</v>
      </c>
      <c r="K390" s="118" t="s">
        <v>160</v>
      </c>
      <c r="L390" s="118" t="s">
        <v>160</v>
      </c>
      <c r="M390" s="118" t="s">
        <v>160</v>
      </c>
      <c r="N390" s="118" t="s">
        <v>160</v>
      </c>
      <c r="O390" s="118" t="s">
        <v>160</v>
      </c>
      <c r="P390" s="118">
        <f>+SUM(C390:O390)</f>
        <v>0</v>
      </c>
      <c r="Q390" s="118">
        <v>0</v>
      </c>
      <c r="R390" s="118">
        <f>+SUM(P390:Q390)</f>
        <v>0</v>
      </c>
    </row>
    <row r="391" spans="2:18" x14ac:dyDescent="0.2">
      <c r="B391" s="126" t="s">
        <v>1374</v>
      </c>
      <c r="C391" s="120">
        <f t="shared" ref="C391:O391" si="83">SUM(C382:C390)</f>
        <v>460000</v>
      </c>
      <c r="D391" s="120">
        <f t="shared" si="83"/>
        <v>0</v>
      </c>
      <c r="E391" s="120">
        <f t="shared" si="83"/>
        <v>-5296</v>
      </c>
      <c r="F391" s="120">
        <f t="shared" si="83"/>
        <v>0</v>
      </c>
      <c r="G391" s="120">
        <f t="shared" si="83"/>
        <v>0</v>
      </c>
      <c r="H391" s="120">
        <f t="shared" si="83"/>
        <v>0</v>
      </c>
      <c r="I391" s="120">
        <f t="shared" si="83"/>
        <v>80655.3</v>
      </c>
      <c r="J391" s="120">
        <f t="shared" si="83"/>
        <v>77839</v>
      </c>
      <c r="K391" s="120">
        <f t="shared" si="83"/>
        <v>260837.08600000001</v>
      </c>
      <c r="L391" s="120">
        <f t="shared" si="83"/>
        <v>0</v>
      </c>
      <c r="M391" s="120">
        <f t="shared" si="83"/>
        <v>-343</v>
      </c>
      <c r="N391" s="120">
        <f t="shared" si="83"/>
        <v>-1459</v>
      </c>
      <c r="O391" s="120">
        <f t="shared" si="83"/>
        <v>38785</v>
      </c>
      <c r="P391" s="120">
        <f>SUM(P382:P390)</f>
        <v>911018.38599999994</v>
      </c>
      <c r="Q391" s="120">
        <f>SUM(Q382:Q390)</f>
        <v>0</v>
      </c>
      <c r="R391" s="120">
        <f>SUM(R382:R390)</f>
        <v>911018.38599999994</v>
      </c>
    </row>
  </sheetData>
  <mergeCells count="2">
    <mergeCell ref="C4:G4"/>
    <mergeCell ref="H4:K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7">
    <tabColor rgb="FFFAB766"/>
    <pageSetUpPr autoPageBreaks="0"/>
  </sheetPr>
  <dimension ref="A1:BI163"/>
  <sheetViews>
    <sheetView showGridLines="0" zoomScaleNormal="100" workbookViewId="0">
      <pane xSplit="2" topLeftCell="C1" activePane="topRight" state="frozen"/>
      <selection activeCell="C84" sqref="C84"/>
      <selection pane="topRight" activeCell="E2" sqref="E2"/>
    </sheetView>
  </sheetViews>
  <sheetFormatPr defaultColWidth="9.140625" defaultRowHeight="12.75" outlineLevelRow="1" x14ac:dyDescent="0.2"/>
  <cols>
    <col min="1" max="1" width="1.42578125" style="2" customWidth="1"/>
    <col min="2" max="2" width="40.140625" style="2" customWidth="1"/>
    <col min="3" max="3" width="8.5703125" style="38" customWidth="1"/>
    <col min="4" max="15" width="10.85546875" style="38" customWidth="1"/>
    <col min="16" max="16" width="10.85546875" style="2" customWidth="1"/>
    <col min="17" max="17" width="9.140625" style="2" customWidth="1"/>
    <col min="18" max="29" width="10.85546875" style="2" customWidth="1"/>
    <col min="30" max="30" width="10.42578125" style="2" customWidth="1"/>
    <col min="31" max="31" width="10.85546875" style="2" customWidth="1"/>
    <col min="32" max="33" width="10.42578125" style="2" customWidth="1"/>
    <col min="34" max="41" width="9.140625" style="2" customWidth="1"/>
    <col min="42" max="43" width="9.42578125" style="2" customWidth="1"/>
    <col min="44" max="50" width="9.140625" style="2" customWidth="1"/>
    <col min="51" max="54" width="9.140625" style="2"/>
    <col min="55" max="59" width="10.42578125" style="2" bestFit="1" customWidth="1"/>
    <col min="60" max="64" width="9.140625" style="2"/>
    <col min="65" max="65" width="10" style="2" bestFit="1" customWidth="1"/>
    <col min="66" max="16384" width="9.140625" style="2"/>
  </cols>
  <sheetData>
    <row r="1" spans="1:59" s="267" customFormat="1" ht="7.5" customHeight="1" x14ac:dyDescent="0.2">
      <c r="C1" s="547"/>
      <c r="D1" s="547"/>
      <c r="E1" s="547"/>
      <c r="F1" s="547"/>
      <c r="G1" s="547"/>
      <c r="H1" s="547"/>
      <c r="I1" s="547"/>
      <c r="J1" s="547"/>
      <c r="K1" s="547"/>
      <c r="L1" s="547"/>
      <c r="M1" s="547"/>
      <c r="N1" s="547"/>
      <c r="O1" s="547"/>
    </row>
    <row r="2" spans="1:59" s="267" customFormat="1" ht="12.75" customHeight="1" x14ac:dyDescent="0.2">
      <c r="C2" s="547"/>
      <c r="D2" s="547"/>
      <c r="E2" s="547"/>
      <c r="F2" s="547"/>
      <c r="G2" s="547"/>
      <c r="H2" s="547"/>
      <c r="I2" s="547"/>
      <c r="J2" s="547"/>
      <c r="K2" s="547"/>
      <c r="L2" s="547"/>
      <c r="M2" s="547"/>
      <c r="N2" s="547"/>
      <c r="O2" s="547"/>
      <c r="P2" s="547"/>
      <c r="Q2" s="547"/>
      <c r="R2" s="547"/>
      <c r="S2" s="547"/>
      <c r="T2" s="547"/>
      <c r="U2" s="547"/>
      <c r="V2" s="547"/>
      <c r="W2" s="547"/>
      <c r="X2" s="547"/>
      <c r="Y2" s="547"/>
      <c r="Z2" s="547"/>
      <c r="AA2" s="547"/>
      <c r="AB2" s="547"/>
      <c r="AC2" s="547"/>
      <c r="AD2" s="547"/>
      <c r="AE2" s="547"/>
      <c r="AF2" s="547"/>
      <c r="AG2" s="547"/>
      <c r="AH2" s="547"/>
      <c r="AI2" s="547"/>
      <c r="AJ2" s="547"/>
      <c r="AK2" s="547"/>
      <c r="AL2" s="547"/>
      <c r="AM2" s="547"/>
      <c r="AN2" s="547"/>
      <c r="AO2" s="547"/>
      <c r="AP2" s="547"/>
      <c r="AQ2" s="547"/>
      <c r="AR2" s="547"/>
      <c r="AS2" s="547"/>
      <c r="AT2" s="547"/>
      <c r="AU2" s="547"/>
      <c r="AV2" s="547"/>
      <c r="AW2" s="547"/>
      <c r="AX2" s="547"/>
      <c r="AY2" s="547"/>
      <c r="AZ2" s="547"/>
      <c r="BA2" s="547"/>
      <c r="BB2" s="547"/>
      <c r="BC2" s="547"/>
      <c r="BD2" s="547"/>
      <c r="BE2" s="547"/>
      <c r="BF2" s="547"/>
      <c r="BG2" s="547"/>
    </row>
    <row r="3" spans="1:59" ht="12.75" customHeight="1" x14ac:dyDescent="0.2">
      <c r="A3" s="10"/>
      <c r="B3" s="10"/>
      <c r="C3" s="267" t="s">
        <v>7</v>
      </c>
      <c r="D3" s="267" t="s">
        <v>6</v>
      </c>
      <c r="E3" s="267" t="s">
        <v>5</v>
      </c>
      <c r="F3" s="267" t="s">
        <v>4</v>
      </c>
      <c r="G3" s="267" t="s">
        <v>3</v>
      </c>
      <c r="H3" s="267" t="s">
        <v>2</v>
      </c>
      <c r="I3" s="267" t="s">
        <v>1</v>
      </c>
      <c r="J3" s="267" t="s">
        <v>0</v>
      </c>
      <c r="K3" s="267" t="s">
        <v>45</v>
      </c>
      <c r="L3" s="267" t="s">
        <v>55</v>
      </c>
      <c r="M3" s="267" t="s">
        <v>71</v>
      </c>
      <c r="N3" s="267" t="s">
        <v>77</v>
      </c>
      <c r="O3" s="267" t="s">
        <v>87</v>
      </c>
      <c r="P3" s="267" t="s">
        <v>88</v>
      </c>
      <c r="Q3" s="267" t="s">
        <v>378</v>
      </c>
      <c r="R3" s="267" t="s">
        <v>406</v>
      </c>
      <c r="S3" s="267" t="s">
        <v>467</v>
      </c>
      <c r="T3" s="267" t="s">
        <v>501</v>
      </c>
      <c r="U3" s="267" t="s">
        <v>511</v>
      </c>
      <c r="V3" s="267" t="s">
        <v>538</v>
      </c>
      <c r="W3" s="267" t="s">
        <v>567</v>
      </c>
      <c r="X3" s="267" t="s">
        <v>575</v>
      </c>
      <c r="Y3" s="267" t="s">
        <v>595</v>
      </c>
      <c r="Z3" s="267" t="s">
        <v>596</v>
      </c>
      <c r="AA3" s="267" t="s">
        <v>623</v>
      </c>
      <c r="AB3" s="267" t="s">
        <v>624</v>
      </c>
      <c r="AC3" s="267" t="s">
        <v>625</v>
      </c>
      <c r="AD3" s="267" t="s">
        <v>626</v>
      </c>
      <c r="AE3" s="267" t="s">
        <v>798</v>
      </c>
      <c r="AF3" s="267" t="s">
        <v>799</v>
      </c>
      <c r="AG3" s="267" t="s">
        <v>800</v>
      </c>
      <c r="AH3" s="267" t="s">
        <v>801</v>
      </c>
      <c r="AI3" s="267" t="s">
        <v>913</v>
      </c>
      <c r="AJ3" s="267" t="s">
        <v>914</v>
      </c>
      <c r="AK3" s="267" t="s">
        <v>923</v>
      </c>
      <c r="AL3" s="267" t="s">
        <v>924</v>
      </c>
      <c r="AM3" s="267" t="s">
        <v>1049</v>
      </c>
      <c r="AN3" s="267" t="s">
        <v>1023</v>
      </c>
      <c r="AO3" s="267" t="s">
        <v>1024</v>
      </c>
      <c r="AP3" s="267" t="s">
        <v>1050</v>
      </c>
      <c r="AQ3" s="267" t="s">
        <v>1114</v>
      </c>
      <c r="AR3" s="267" t="s">
        <v>1119</v>
      </c>
      <c r="AS3" s="267" t="s">
        <v>1121</v>
      </c>
      <c r="AT3" s="267" t="s">
        <v>1123</v>
      </c>
      <c r="AU3" s="267" t="s">
        <v>1176</v>
      </c>
      <c r="AV3" s="267" t="s">
        <v>1177</v>
      </c>
      <c r="AW3" s="267" t="s">
        <v>1179</v>
      </c>
      <c r="AX3" s="267" t="s">
        <v>1181</v>
      </c>
      <c r="AY3" s="267" t="s">
        <v>1243</v>
      </c>
      <c r="AZ3" s="267" t="s">
        <v>1250</v>
      </c>
      <c r="BA3" s="267" t="s">
        <v>1251</v>
      </c>
      <c r="BB3" s="267" t="s">
        <v>1252</v>
      </c>
      <c r="BC3" s="267" t="s">
        <v>1311</v>
      </c>
      <c r="BD3" s="267" t="s">
        <v>1313</v>
      </c>
      <c r="BE3" s="267" t="s">
        <v>1315</v>
      </c>
      <c r="BF3" s="267" t="s">
        <v>1317</v>
      </c>
      <c r="BG3" s="267" t="s">
        <v>1344</v>
      </c>
    </row>
    <row r="4" spans="1:59" x14ac:dyDescent="0.2">
      <c r="A4" s="10"/>
      <c r="B4" s="10" t="s">
        <v>483</v>
      </c>
      <c r="C4" s="11"/>
      <c r="D4" s="11"/>
      <c r="E4" s="11"/>
      <c r="F4" s="11"/>
      <c r="G4" s="11"/>
      <c r="H4" s="11"/>
      <c r="I4" s="11"/>
      <c r="J4" s="11"/>
      <c r="K4" s="11"/>
      <c r="L4" s="11"/>
      <c r="M4" s="11"/>
      <c r="N4" s="11"/>
      <c r="O4" s="266"/>
      <c r="P4" s="266"/>
      <c r="Q4" s="266"/>
      <c r="R4" s="266"/>
      <c r="S4" s="266"/>
      <c r="T4" s="266"/>
      <c r="U4" s="266"/>
      <c r="V4" s="266"/>
      <c r="W4" s="266"/>
      <c r="X4" s="266"/>
      <c r="Y4" s="266"/>
      <c r="Z4" s="266"/>
      <c r="AA4" s="266"/>
      <c r="AB4" s="266"/>
      <c r="AC4" s="266"/>
      <c r="AE4" s="187"/>
      <c r="AF4" s="187"/>
      <c r="AG4" s="187"/>
      <c r="AH4" s="187"/>
      <c r="AI4" s="187"/>
      <c r="AJ4" s="187"/>
      <c r="AK4" s="187"/>
      <c r="AL4" s="187"/>
      <c r="AM4" s="187"/>
      <c r="AN4" s="187"/>
      <c r="AO4" s="187"/>
      <c r="AP4" s="187"/>
      <c r="AQ4" s="187"/>
    </row>
    <row r="5" spans="1:59" x14ac:dyDescent="0.2">
      <c r="A5" s="10"/>
      <c r="B5" s="127" t="s">
        <v>464</v>
      </c>
      <c r="C5" s="141" t="str">
        <f t="shared" ref="C5:AE5" si="0">+C$3</f>
        <v>1T12</v>
      </c>
      <c r="D5" s="141" t="str">
        <f t="shared" si="0"/>
        <v>2T12</v>
      </c>
      <c r="E5" s="141" t="str">
        <f t="shared" si="0"/>
        <v>3T12</v>
      </c>
      <c r="F5" s="141" t="str">
        <f t="shared" si="0"/>
        <v>4T12</v>
      </c>
      <c r="G5" s="141" t="str">
        <f t="shared" si="0"/>
        <v>1T13</v>
      </c>
      <c r="H5" s="141" t="str">
        <f t="shared" si="0"/>
        <v>2T13</v>
      </c>
      <c r="I5" s="141" t="str">
        <f t="shared" si="0"/>
        <v>3T13</v>
      </c>
      <c r="J5" s="141" t="str">
        <f t="shared" si="0"/>
        <v>4T13</v>
      </c>
      <c r="K5" s="141" t="str">
        <f t="shared" si="0"/>
        <v>1T14</v>
      </c>
      <c r="L5" s="141" t="str">
        <f t="shared" si="0"/>
        <v>2T14</v>
      </c>
      <c r="M5" s="141" t="str">
        <f t="shared" si="0"/>
        <v>3T14</v>
      </c>
      <c r="N5" s="141" t="str">
        <f t="shared" si="0"/>
        <v>4T14</v>
      </c>
      <c r="O5" s="141" t="str">
        <f t="shared" si="0"/>
        <v>1T15</v>
      </c>
      <c r="P5" s="141" t="str">
        <f t="shared" si="0"/>
        <v>2T15</v>
      </c>
      <c r="Q5" s="141" t="str">
        <f t="shared" si="0"/>
        <v>3T15</v>
      </c>
      <c r="R5" s="141" t="str">
        <f t="shared" si="0"/>
        <v>4T15</v>
      </c>
      <c r="S5" s="141" t="str">
        <f t="shared" si="0"/>
        <v>1T16</v>
      </c>
      <c r="T5" s="141" t="str">
        <f t="shared" si="0"/>
        <v>2T16</v>
      </c>
      <c r="U5" s="141" t="str">
        <f t="shared" si="0"/>
        <v>3T16</v>
      </c>
      <c r="V5" s="141" t="str">
        <f t="shared" si="0"/>
        <v>4T16</v>
      </c>
      <c r="W5" s="141" t="str">
        <f t="shared" si="0"/>
        <v>1T17</v>
      </c>
      <c r="X5" s="141" t="str">
        <f t="shared" si="0"/>
        <v>2T17</v>
      </c>
      <c r="Y5" s="141" t="str">
        <f t="shared" si="0"/>
        <v>3T17</v>
      </c>
      <c r="Z5" s="141" t="str">
        <f t="shared" si="0"/>
        <v>4T17</v>
      </c>
      <c r="AA5" s="141" t="str">
        <f t="shared" si="0"/>
        <v>1T18</v>
      </c>
      <c r="AB5" s="141" t="str">
        <f t="shared" si="0"/>
        <v>2T18</v>
      </c>
      <c r="AC5" s="141" t="str">
        <f t="shared" si="0"/>
        <v>3T18</v>
      </c>
      <c r="AD5" s="141" t="str">
        <f t="shared" si="0"/>
        <v>4T18</v>
      </c>
      <c r="AE5" s="141" t="str">
        <f t="shared" si="0"/>
        <v>1T19</v>
      </c>
      <c r="AF5" s="141" t="str">
        <f t="shared" ref="AF5:BG5" si="1">+AF$3</f>
        <v>2T19</v>
      </c>
      <c r="AG5" s="141" t="str">
        <f t="shared" si="1"/>
        <v>3T19</v>
      </c>
      <c r="AH5" s="141" t="str">
        <f t="shared" si="1"/>
        <v>4T19</v>
      </c>
      <c r="AI5" s="141" t="str">
        <f t="shared" si="1"/>
        <v>1T20</v>
      </c>
      <c r="AJ5" s="141" t="str">
        <f t="shared" si="1"/>
        <v>2T20</v>
      </c>
      <c r="AK5" s="141" t="str">
        <f t="shared" si="1"/>
        <v>3T20</v>
      </c>
      <c r="AL5" s="141" t="str">
        <f t="shared" si="1"/>
        <v>4T20</v>
      </c>
      <c r="AM5" s="141" t="str">
        <f t="shared" si="1"/>
        <v>1T21</v>
      </c>
      <c r="AN5" s="141" t="str">
        <f t="shared" si="1"/>
        <v>2T21</v>
      </c>
      <c r="AO5" s="141" t="str">
        <f t="shared" si="1"/>
        <v>3T21</v>
      </c>
      <c r="AP5" s="141" t="str">
        <f t="shared" si="1"/>
        <v>4T21</v>
      </c>
      <c r="AQ5" s="141" t="str">
        <f t="shared" si="1"/>
        <v>1T22</v>
      </c>
      <c r="AR5" s="141" t="str">
        <f t="shared" si="1"/>
        <v>2T22</v>
      </c>
      <c r="AS5" s="141" t="str">
        <f t="shared" si="1"/>
        <v>3T22</v>
      </c>
      <c r="AT5" s="141" t="str">
        <f t="shared" si="1"/>
        <v>4T22</v>
      </c>
      <c r="AU5" s="141" t="str">
        <f t="shared" si="1"/>
        <v>1T23</v>
      </c>
      <c r="AV5" s="141" t="str">
        <f t="shared" si="1"/>
        <v>2T23</v>
      </c>
      <c r="AW5" s="141" t="str">
        <f t="shared" si="1"/>
        <v>3T23</v>
      </c>
      <c r="AX5" s="141" t="str">
        <f t="shared" si="1"/>
        <v>4T23</v>
      </c>
      <c r="AY5" s="141" t="str">
        <f t="shared" si="1"/>
        <v>1T24</v>
      </c>
      <c r="AZ5" s="141" t="str">
        <f t="shared" si="1"/>
        <v>2T24</v>
      </c>
      <c r="BA5" s="141" t="str">
        <f t="shared" si="1"/>
        <v>3T24</v>
      </c>
      <c r="BB5" s="141" t="str">
        <f t="shared" si="1"/>
        <v>4T24</v>
      </c>
      <c r="BC5" s="141" t="str">
        <f t="shared" si="1"/>
        <v>1T25</v>
      </c>
      <c r="BD5" s="141" t="str">
        <f t="shared" si="1"/>
        <v>2T25</v>
      </c>
      <c r="BE5" s="141" t="str">
        <f t="shared" si="1"/>
        <v>3T25</v>
      </c>
      <c r="BF5" s="141" t="str">
        <f t="shared" si="1"/>
        <v>4T25</v>
      </c>
      <c r="BG5" s="141" t="str">
        <f t="shared" si="1"/>
        <v>1T26</v>
      </c>
    </row>
    <row r="6" spans="1:59" x14ac:dyDescent="0.2">
      <c r="A6" s="10"/>
      <c r="B6" s="117" t="s">
        <v>461</v>
      </c>
      <c r="C6" s="209">
        <f>BP!K6/BP!K42</f>
        <v>2.2364955715599977</v>
      </c>
      <c r="D6" s="209">
        <f>BP!L6/BP!L42</f>
        <v>1.1627723824826701</v>
      </c>
      <c r="E6" s="209">
        <f>BP!M6/BP!M42</f>
        <v>1.3313881674598933</v>
      </c>
      <c r="F6" s="209">
        <f>BP!N6/BP!N42</f>
        <v>1.3311960183728813</v>
      </c>
      <c r="G6" s="209">
        <f>BP!O6/BP!O42</f>
        <v>1.7787891963663736</v>
      </c>
      <c r="H6" s="209">
        <f>BP!P6/BP!P42</f>
        <v>1.679611827917687</v>
      </c>
      <c r="I6" s="209">
        <f>BP!Q6/BP!Q42</f>
        <v>1.6426202518620536</v>
      </c>
      <c r="J6" s="209">
        <f>BP!R6/BP!R42</f>
        <v>2.288819059632683</v>
      </c>
      <c r="K6" s="209">
        <f>BP!S6/BP!S42</f>
        <v>2.4164946316793103</v>
      </c>
      <c r="L6" s="209">
        <f>BP!T6/BP!T42</f>
        <v>2.5371847111466641</v>
      </c>
      <c r="M6" s="209">
        <f>BP!U6/BP!U42</f>
        <v>3.6846806140133697</v>
      </c>
      <c r="N6" s="209">
        <f>BP!V6/BP!V42</f>
        <v>3.5697091216196806</v>
      </c>
      <c r="O6" s="209">
        <f>BP!W6/BP!W42</f>
        <v>2.5214870204290993</v>
      </c>
      <c r="P6" s="209">
        <f>BP!X6/BP!X42</f>
        <v>3.158675608875559</v>
      </c>
      <c r="Q6" s="209">
        <f>BP!Y6/BP!Y42</f>
        <v>3.0543052429774109</v>
      </c>
      <c r="R6" s="209">
        <f>BP!Z6/BP!Z42</f>
        <v>2.1445947492940549</v>
      </c>
      <c r="S6" s="209">
        <f>BP!AA6/BP!AA42</f>
        <v>1.6166125820195656</v>
      </c>
      <c r="T6" s="209">
        <f>BP!AB6/BP!AB42</f>
        <v>1.6186253045367749</v>
      </c>
      <c r="U6" s="209">
        <f>BP!AC6/BP!AC42</f>
        <v>1.6568172662826577</v>
      </c>
      <c r="V6" s="209">
        <f>BP!AD6/BP!AD42</f>
        <v>1.498823989029213</v>
      </c>
      <c r="W6" s="209">
        <f>BP!AE6/BP!AE42</f>
        <v>1.2533849403156763</v>
      </c>
      <c r="X6" s="209">
        <v>1.668093304024185</v>
      </c>
      <c r="Y6" s="209">
        <f>BP!AG6/BP!AG42</f>
        <v>1.8680480228078</v>
      </c>
      <c r="Z6" s="209">
        <f>BP!AH6/BP!AH42</f>
        <v>2.0028009707180963</v>
      </c>
      <c r="AA6" s="209">
        <f>BP!AI6/BP!AI42</f>
        <v>2.0712162905888829</v>
      </c>
      <c r="AB6" s="209">
        <f>BP!AJ6/BP!AJ42</f>
        <v>1.5957810202465785</v>
      </c>
      <c r="AC6" s="209">
        <f>BP!AK6/BP!AK42</f>
        <v>2.0035162114467826</v>
      </c>
      <c r="AD6" s="209">
        <f>BP!AL6/BP!AL42</f>
        <v>1.9778893824498072</v>
      </c>
      <c r="AE6" s="209">
        <f>BP!AM6/BP!AM42</f>
        <v>2.5132489874498853</v>
      </c>
      <c r="AF6" s="209">
        <f>BP!AN6/BP!AN42</f>
        <v>2.441727700576457</v>
      </c>
      <c r="AG6" s="209">
        <f>BP!AO6/BP!AO42</f>
        <v>1.6965456103323826</v>
      </c>
      <c r="AH6" s="209">
        <f>BP!AP6/BP!AP42</f>
        <v>1.6711832238617121</v>
      </c>
      <c r="AI6" s="209">
        <f>BP!AQ6/BP!AQ42</f>
        <v>1.8969015617056573</v>
      </c>
      <c r="AJ6" s="209">
        <f>BP!AR6/BP!AR42</f>
        <v>1.8973730141304226</v>
      </c>
      <c r="AK6" s="209">
        <f>BP!AS6/BP!AS42</f>
        <v>2.4206379644228537</v>
      </c>
      <c r="AL6" s="209">
        <f>BP!AT6/BP!AT42</f>
        <v>2.5150331560154484</v>
      </c>
      <c r="AM6" s="209">
        <f>BP!AU6/BP!AU42</f>
        <v>2.5765767996513609</v>
      </c>
      <c r="AN6" s="209">
        <f>BP!AV6/BP!AV42</f>
        <v>2.3061999741205614</v>
      </c>
      <c r="AO6" s="209">
        <f>BP!AW6/BP!AW42</f>
        <v>2.3936354587209272</v>
      </c>
      <c r="AP6" s="209">
        <f>BP!AX6/BP!AX42</f>
        <v>2.3081918718427161</v>
      </c>
      <c r="AQ6" s="209">
        <f>BP!AY6/BP!AY42</f>
        <v>2.5084837004271052</v>
      </c>
      <c r="AR6" s="209">
        <f>BP!AZ6/BP!AZ42</f>
        <v>2.8808165368021124</v>
      </c>
      <c r="AS6" s="209">
        <f>BP!BA6/BP!BA42</f>
        <v>2.260233585542629</v>
      </c>
      <c r="AT6" s="209">
        <f>BP!BB6/BP!BB42</f>
        <v>2.2994903584132467</v>
      </c>
      <c r="AU6" s="209">
        <f>BP!BC6/BP!BC42</f>
        <v>2.6808115291765224</v>
      </c>
      <c r="AV6" s="209">
        <f>BP!BD6/BP!BD42</f>
        <v>2.6167242358057594</v>
      </c>
      <c r="AW6" s="209">
        <f>BP!BE6/BP!BE42</f>
        <v>3.1988518524663601</v>
      </c>
      <c r="AX6" s="209">
        <f>BP!BF6/BP!BF42</f>
        <v>3.0931376013407776</v>
      </c>
      <c r="AY6" s="209">
        <f>BP!BG6/BP!BG42</f>
        <v>3.5492200656607755</v>
      </c>
      <c r="AZ6" s="209">
        <f>BP!BH6/BP!BH42</f>
        <v>3.2573353812614578</v>
      </c>
      <c r="BA6" s="209">
        <f>BP!BI6/BP!BI42</f>
        <v>2.8019919883024356</v>
      </c>
      <c r="BB6" s="209">
        <f>BP!BJ6/BP!BJ42</f>
        <v>2.7108788425112396</v>
      </c>
      <c r="BC6" s="209">
        <f>BP!BK6/BP!BK42</f>
        <v>3.1992926126354018</v>
      </c>
      <c r="BD6" s="209">
        <f>BP!BL6/BP!BL42</f>
        <v>3.0259160827897236</v>
      </c>
      <c r="BE6" s="209">
        <f>BP!BM6/BP!BM42</f>
        <v>2.6134832275611966</v>
      </c>
      <c r="BF6" s="209">
        <f>BP!BN6/BP!BN42</f>
        <v>2.0990778862839838</v>
      </c>
      <c r="BG6" s="209">
        <f>BP!BO6/BP!BO42</f>
        <v>2.222591680350301</v>
      </c>
    </row>
    <row r="7" spans="1:59" x14ac:dyDescent="0.2">
      <c r="A7" s="10"/>
      <c r="B7" s="117" t="s">
        <v>462</v>
      </c>
      <c r="C7" s="209">
        <f>(BP!K7+BP!K19)/BP!K42</f>
        <v>0.33382326523279932</v>
      </c>
      <c r="D7" s="209">
        <f>(BP!L7+BP!L19)/BP!L42</f>
        <v>0.13216021222487448</v>
      </c>
      <c r="E7" s="209">
        <f>(BP!M7+BP!M19)/BP!M42</f>
        <v>0.20020130975606726</v>
      </c>
      <c r="F7" s="209">
        <f>(BP!N7+BP!N19)/BP!N42</f>
        <v>0.16743053099232122</v>
      </c>
      <c r="G7" s="209">
        <f>(BP!O7+BP!O19)/BP!O42</f>
        <v>0.70783483176010209</v>
      </c>
      <c r="H7" s="209">
        <f>(BP!P7+BP!P19)/BP!P42</f>
        <v>0.58335668538892338</v>
      </c>
      <c r="I7" s="209">
        <f>(BP!Q7+BP!Q19)/BP!Q42</f>
        <v>0.48919969288976484</v>
      </c>
      <c r="J7" s="209">
        <f>(BP!R7+BP!R19)/BP!R42</f>
        <v>0.76755117057860667</v>
      </c>
      <c r="K7" s="209">
        <f>(BP!S7+BP!S19)/BP!S42</f>
        <v>0.91810305517555857</v>
      </c>
      <c r="L7" s="209">
        <f>(BP!T7+BP!T19)/BP!T42</f>
        <v>0.64238753522057279</v>
      </c>
      <c r="M7" s="209">
        <f>(BP!U7+BP!U19)/BP!U42</f>
        <v>1.151850705620203</v>
      </c>
      <c r="N7" s="209">
        <f>(BP!V7+BP!V19)/BP!V42</f>
        <v>1.3090791053608259</v>
      </c>
      <c r="O7" s="209">
        <f>(BP!W7+BP!W19)/BP!W42</f>
        <v>1.2300738140463081</v>
      </c>
      <c r="P7" s="209">
        <f>(BP!X7+BP!X19)/BP!X42</f>
        <v>0.91300091643755732</v>
      </c>
      <c r="Q7" s="209">
        <f>(BP!Y7+BP!Y19)/BP!Y42</f>
        <v>1.4361298657997832</v>
      </c>
      <c r="R7" s="209">
        <f>(BP!Z7+BP!Z19)/BP!Z42</f>
        <v>1.0219940090055712</v>
      </c>
      <c r="S7" s="209">
        <f>(BP!AA7+BP!AA19)/BP!AA42</f>
        <v>0.92311384752096604</v>
      </c>
      <c r="T7" s="209">
        <f>(BP!AB7+BP!AB19)/BP!AB42</f>
        <v>0.90215315730559031</v>
      </c>
      <c r="U7" s="209">
        <f>(BP!AC7+BP!AC19)/BP!AC42</f>
        <v>1.0046720627260759</v>
      </c>
      <c r="V7" s="209">
        <f>(BP!AD7+BP!AD19)/BP!AD42</f>
        <v>0.76882414848832759</v>
      </c>
      <c r="W7" s="209">
        <f>(BP!AE7+BP!AE19)/BP!AE42</f>
        <v>0.59407588300741099</v>
      </c>
      <c r="X7" s="209">
        <v>0.88815454267538174</v>
      </c>
      <c r="Y7" s="209">
        <f>(BP!AG7+BP!AG19)/BP!AG42</f>
        <v>0.90009043831611291</v>
      </c>
      <c r="Z7" s="209">
        <f>(BP!AH7+BP!AH19)/BP!AH42</f>
        <v>0.79502667336618948</v>
      </c>
      <c r="AA7" s="209">
        <f>(BP!AI7+BP!AI19)/BP!AI42</f>
        <v>0.86313979086406167</v>
      </c>
      <c r="AB7" s="209">
        <f>(BP!AJ7+BP!AJ19)/BP!AJ42</f>
        <v>0.51288881348263771</v>
      </c>
      <c r="AC7" s="209">
        <f>(BP!AK7+BP!AK19)/BP!AK42</f>
        <v>0.64506018384386443</v>
      </c>
      <c r="AD7" s="209">
        <f>(BP!AL7+BP!AL19)/BP!AL42</f>
        <v>0.48957466508831354</v>
      </c>
      <c r="AE7" s="209">
        <f>(BP!AM7+BP!AM19)/BP!AM42</f>
        <v>0.8019993001402469</v>
      </c>
      <c r="AF7" s="209">
        <f>(BP!AN7+BP!AN19)/BP!AN42</f>
        <v>0.74337213511932942</v>
      </c>
      <c r="AG7" s="209">
        <f>(BP!AO7+BP!AO19)/BP!AO42</f>
        <v>0.41583240293918006</v>
      </c>
      <c r="AH7" s="209">
        <f>(BP!AP7+BP!AP19)/BP!AP42</f>
        <v>0.25057030683065701</v>
      </c>
      <c r="AI7" s="209">
        <f>(BP!AQ7+BP!AQ19)/BP!AQ42</f>
        <v>0.56162538685884</v>
      </c>
      <c r="AJ7" s="209">
        <f>(BP!AR7+BP!AR19)/BP!AR42</f>
        <v>1.0662123991946739</v>
      </c>
      <c r="AK7" s="209">
        <f>(BP!AS7+BP!AS19)/BP!AS42</f>
        <v>1.1732456451849642</v>
      </c>
      <c r="AL7" s="209">
        <f>(BP!AT7+BP!AT19)/BP!AT42</f>
        <v>1.2649663581821273</v>
      </c>
      <c r="AM7" s="209">
        <f>(BP!AU7+BP!AU19)/BP!AU42</f>
        <v>1.5099887088467177</v>
      </c>
      <c r="AN7" s="209">
        <f>(BP!AV7+BP!AV19)/BP!AV42</f>
        <v>1.1300488012274248</v>
      </c>
      <c r="AO7" s="209">
        <f>(BP!AW7+BP!AW19)/BP!AW42</f>
        <v>1.1188020757014587</v>
      </c>
      <c r="AP7" s="209">
        <f>(BP!AX7+BP!AX19)/BP!AX42</f>
        <v>0.6695854002639603</v>
      </c>
      <c r="AQ7" s="209">
        <f>(BP!AY7+BP!AY19)/BP!AY42</f>
        <v>1.0690529031471709</v>
      </c>
      <c r="AR7" s="209">
        <f>(BP!AZ7+BP!AZ19)/BP!AZ42</f>
        <v>0.77096400283340849</v>
      </c>
      <c r="AS7" s="209">
        <f>(BP!BA7+BP!BA19)/BP!BA42</f>
        <v>0.62442047217583974</v>
      </c>
      <c r="AT7" s="209">
        <f>(BP!BB7+BP!BB19)/BP!BB42</f>
        <v>0.79170844340898217</v>
      </c>
      <c r="AU7" s="209">
        <f>(BP!BC7+BP!BC19)/BP!BC42</f>
        <v>1.1804628252334852</v>
      </c>
      <c r="AV7" s="209">
        <f>(BP!BD7+BP!BD19)/BP!BD42</f>
        <v>1.1403404116113265</v>
      </c>
      <c r="AW7" s="209">
        <f>(BP!BE7+BP!BE19)/BP!BE42</f>
        <v>1.4303728161138856</v>
      </c>
      <c r="AX7" s="209">
        <f>(BP!BF7+BP!BF19)/BP!BF42</f>
        <v>1.1738820963784871</v>
      </c>
      <c r="AY7" s="209">
        <f>(BP!BG7+BP!BG19)/BP!BG42</f>
        <v>1.6998996376749962</v>
      </c>
      <c r="AZ7" s="209">
        <f>(BP!BH7+BP!BH19)/BP!BH42</f>
        <v>1.401189119556062</v>
      </c>
      <c r="BA7" s="209">
        <f>(BP!BI7+BP!BI19)/BP!BI42</f>
        <v>1.0698168002624662</v>
      </c>
      <c r="BB7" s="209">
        <f>(BP!BJ7+BP!BJ19)/BP!BJ42</f>
        <v>0.91792373171455299</v>
      </c>
      <c r="BC7" s="209">
        <f>(BP!BK7+BP!BK19)/BP!BK42</f>
        <v>1.5322073557444733</v>
      </c>
      <c r="BD7" s="209">
        <f>(BP!BL7+BP!BL19)/BP!BL42</f>
        <v>1.3978859627929452</v>
      </c>
      <c r="BE7" s="209">
        <f>(BP!BM7+BP!BM19)/BP!BM42</f>
        <v>0.8908939256572983</v>
      </c>
      <c r="BF7" s="209">
        <f>(BP!BN7+BP!BN19)/BP!BN42</f>
        <v>0.38742386607233997</v>
      </c>
      <c r="BG7" s="209">
        <f>(BP!BO7+BP!BO19)/BP!BO42</f>
        <v>0.630093732895457</v>
      </c>
    </row>
    <row r="8" spans="1:59" x14ac:dyDescent="0.2">
      <c r="A8" s="10"/>
      <c r="B8" s="117" t="s">
        <v>463</v>
      </c>
      <c r="C8" s="209">
        <f>(BP!K6+BP!K23)/(BP!K42+BP!K61)</f>
        <v>0.86517859998081292</v>
      </c>
      <c r="D8" s="209">
        <f>(BP!L6+BP!L23)/(BP!L42+BP!L61)</f>
        <v>0.86646852088382087</v>
      </c>
      <c r="E8" s="209">
        <f>(BP!M6+BP!M23)/(BP!M42+BP!M61)</f>
        <v>0.90078514585629299</v>
      </c>
      <c r="F8" s="209">
        <f>(BP!N6+BP!N23)/(BP!N42+BP!N61)</f>
        <v>0.91041411724358323</v>
      </c>
      <c r="G8" s="209">
        <f>(BP!O6+BP!O23)/(BP!O42+BP!O61)</f>
        <v>0.93754285400839255</v>
      </c>
      <c r="H8" s="209">
        <f>(BP!P6+BP!P23)/(BP!P42+BP!P61)</f>
        <v>0.9345572390152177</v>
      </c>
      <c r="I8" s="209">
        <f>(BP!Q6+BP!Q23)/(BP!Q42+BP!Q61)</f>
        <v>0.91350737941877569</v>
      </c>
      <c r="J8" s="209">
        <f>(BP!R6+BP!R23)/(BP!R42+BP!R61)</f>
        <v>0.9092985849027081</v>
      </c>
      <c r="K8" s="209">
        <f>(BP!S6+BP!S23)/(BP!S42+BP!S61)</f>
        <v>0.91109843599954154</v>
      </c>
      <c r="L8" s="209">
        <f>(BP!T6+BP!T23)/(BP!T42+BP!T61)</f>
        <v>1.0448666475878758</v>
      </c>
      <c r="M8" s="209">
        <f>(BP!U6+BP!U23)/(BP!U42+BP!U61)</f>
        <v>1.004819306194936</v>
      </c>
      <c r="N8" s="209">
        <f>(BP!V6+BP!V23)/(BP!V42+BP!V61)</f>
        <v>0.99553021941508568</v>
      </c>
      <c r="O8" s="209">
        <f>(BP!W6+BP!W23)/(BP!W42+BP!W61)</f>
        <v>0.99930463501127309</v>
      </c>
      <c r="P8" s="209">
        <f>(BP!X6+BP!X23)/(BP!X42+BP!X61)</f>
        <v>0.9810099340598798</v>
      </c>
      <c r="Q8" s="209">
        <f>(BP!Y6+BP!Y23)/(BP!Y42+BP!Y61)</f>
        <v>0.94788977641248684</v>
      </c>
      <c r="R8" s="209">
        <f>(BP!Z6+BP!Z23)/(BP!Z42+BP!Z61)</f>
        <v>0.92618133216654008</v>
      </c>
      <c r="S8" s="209">
        <f>(BP!AA6+BP!AA23)/(BP!AA42+BP!AA61)</f>
        <v>0.91311251598210397</v>
      </c>
      <c r="T8" s="209">
        <f>(BP!AB6+BP!AB23)/(BP!AB42+BP!AB61)</f>
        <v>0.90923822996991022</v>
      </c>
      <c r="U8" s="209">
        <f>(BP!AC6+BP!AC23)/(BP!AC42+BP!AC61)</f>
        <v>0.92435622426059549</v>
      </c>
      <c r="V8" s="209">
        <f>(BP!AD6+BP!AD23)/(BP!AD42+BP!AD61)</f>
        <v>0.95831981370504038</v>
      </c>
      <c r="W8" s="209">
        <f>(BP!AE6+BP!AE23)/(BP!AE42+BP!AE61)</f>
        <v>0.96119366115258564</v>
      </c>
      <c r="X8" s="209">
        <v>1.9744449721724939</v>
      </c>
      <c r="Y8" s="209">
        <f>(BP!AG6+BP!AG23)/(BP!AG42+BP!AG61)</f>
        <v>1.0283270830924101</v>
      </c>
      <c r="Z8" s="209">
        <f>(BP!AH6+BP!AH23)/(BP!AH42+BP!AH61)</f>
        <v>1.1765876175880066</v>
      </c>
      <c r="AA8" s="209">
        <f>(BP!AI6+BP!AI23)/(BP!AI42+BP!AI61)</f>
        <v>1.2075054668579088</v>
      </c>
      <c r="AB8" s="209">
        <f>(BP!AJ6+BP!AJ23)/(BP!AJ42+BP!AJ61)</f>
        <v>1.2098263537842104</v>
      </c>
      <c r="AC8" s="209">
        <f>(BP!AK6+BP!AK23)/(BP!AK42+BP!AK61)</f>
        <v>1.1992792008163424</v>
      </c>
      <c r="AD8" s="209">
        <f>(BP!AL6+BP!AL23)/(BP!AL42+BP!AL61)</f>
        <v>1.2270589212486271</v>
      </c>
      <c r="AE8" s="209">
        <f>(BP!AM6+BP!AM23)/(BP!AM42+BP!AM61)</f>
        <v>1.0973444846247797</v>
      </c>
      <c r="AF8" s="209">
        <f>(BP!AN6+BP!AN23)/(BP!AN42+BP!AN61)</f>
        <v>1.0426058767624429</v>
      </c>
      <c r="AG8" s="209">
        <f>(BP!AO6+BP!AO23)/(BP!AO42+BP!AO61)</f>
        <v>1.191324580276983</v>
      </c>
      <c r="AH8" s="209">
        <f>(BP!AP6+BP!AP23)/(BP!AP42+BP!AP61)</f>
        <v>1.2079436177627443</v>
      </c>
      <c r="AI8" s="209">
        <f>(BP!AQ6+BP!AQ23)/(BP!AQ42+BP!AQ61)</f>
        <v>1.2608747932459912</v>
      </c>
      <c r="AJ8" s="209">
        <f>(BP!AR6+BP!AR23)/(BP!AR42+BP!AR61)</f>
        <v>1.2302681882584179</v>
      </c>
      <c r="AK8" s="209">
        <f>(BP!AS6+BP!AS23)/(BP!AS42+BP!AS61)</f>
        <v>1.3547759895395355</v>
      </c>
      <c r="AL8" s="209">
        <f>(BP!AT6+BP!AT23)/(BP!AT42+BP!AT61)</f>
        <v>1.406580727797395</v>
      </c>
      <c r="AM8" s="209">
        <f>(BP!AU6+BP!AU23)/(BP!AU42+BP!AU61)</f>
        <v>1.368460495238832</v>
      </c>
      <c r="AN8" s="209">
        <f>(BP!AV6+BP!AV23)/(BP!AV42+BP!AV61)</f>
        <v>1.4582680858060013</v>
      </c>
      <c r="AO8" s="209">
        <f>(BP!AW6+BP!AW23)/(BP!AW42+BP!AW61)</f>
        <v>1.5345177841753344</v>
      </c>
      <c r="AP8" s="209">
        <f>(BP!AX6+BP!AX23)/(BP!AX42+BP!AX61)</f>
        <v>1.550155855803806</v>
      </c>
      <c r="AQ8" s="209">
        <f>(BP!AY6+BP!AY23)/(BP!AY42+BP!AY61)</f>
        <v>1.6737452970500299</v>
      </c>
      <c r="AR8" s="209">
        <f>(BP!AZ6+BP!AZ23)/(BP!AZ42+BP!AZ61)</f>
        <v>1.7914738036489384</v>
      </c>
      <c r="AS8" s="209">
        <f>(BP!BA6+BP!BA23)/(BP!BA42+BP!BA61)</f>
        <v>1.8280431618973529</v>
      </c>
      <c r="AT8" s="209">
        <f>(BP!BB6+BP!BB23)/(BP!BB42+BP!BB61)</f>
        <v>1.7834006390407993</v>
      </c>
      <c r="AU8" s="209">
        <f>(BP!BC6+BP!BC23)/(BP!BC42+BP!BC61)</f>
        <v>1.8602547181860756</v>
      </c>
      <c r="AV8" s="209">
        <f>(BP!BD6+BP!BD23)/(BP!BD42+BP!BD61)</f>
        <v>1.8532184933515838</v>
      </c>
      <c r="AW8" s="209">
        <f>(BP!BE6+BP!BE23)/(BP!BE42+BP!BE61)</f>
        <v>1.8623838856791854</v>
      </c>
      <c r="AX8" s="209">
        <f>(BP!BF6+BP!BF23)/(BP!BF42+BP!BF61)</f>
        <v>1.8667358728515335</v>
      </c>
      <c r="AY8" s="209">
        <f>(BP!BG6+BP!BG23)/(BP!BG42+BP!BG61)</f>
        <v>1.9817952373834355</v>
      </c>
      <c r="AZ8" s="209">
        <f>(BP!BH6+BP!BH23)/(BP!BH42+BP!BH61)</f>
        <v>1.910756980531918</v>
      </c>
      <c r="BA8" s="209">
        <f>(BP!BI6+BP!BI23)/(BP!BI42+BP!BI61)</f>
        <v>1.891611651175964</v>
      </c>
      <c r="BB8" s="209">
        <f>(BP!BJ6+BP!BJ23)/(BP!BJ42+BP!BJ61)</f>
        <v>1.878409745456328</v>
      </c>
      <c r="BC8" s="209">
        <f>(BP!BK6+BP!BK23)/(BP!BK42+BP!BK61)</f>
        <v>1.9820075437121416</v>
      </c>
      <c r="BD8" s="209">
        <f>(BP!BL6+BP!BL23)/(BP!BL42+BP!BL61)</f>
        <v>1.9946051585384883</v>
      </c>
      <c r="BE8" s="209">
        <f>(BP!BM6+BP!BM23)/(BP!BM42+BP!BM61)</f>
        <v>1.9005491811317055</v>
      </c>
      <c r="BF8" s="209">
        <f>(BP!BN6+BP!BN23)/(BP!BN42+BP!BN61)</f>
        <v>1.4456354195370626</v>
      </c>
      <c r="BG8" s="209">
        <f>(BP!BO6+BP!BO23)/(BP!BO42+BP!BO61)</f>
        <v>1.5488767375979973</v>
      </c>
    </row>
    <row r="9" spans="1:59" ht="7.35" customHeight="1" x14ac:dyDescent="0.2">
      <c r="A9" s="10"/>
      <c r="B9" s="10"/>
      <c r="C9" s="11"/>
      <c r="D9" s="11"/>
      <c r="E9" s="11"/>
      <c r="F9" s="11"/>
      <c r="G9" s="11"/>
      <c r="H9" s="11"/>
      <c r="I9" s="11"/>
      <c r="J9" s="11"/>
      <c r="K9" s="11"/>
      <c r="L9" s="11"/>
      <c r="M9" s="11"/>
      <c r="N9" s="11"/>
      <c r="O9" s="11"/>
      <c r="P9" s="11"/>
    </row>
    <row r="10" spans="1:59" x14ac:dyDescent="0.2">
      <c r="A10" s="10"/>
      <c r="B10" s="10" t="s">
        <v>517</v>
      </c>
      <c r="C10" s="11"/>
      <c r="D10" s="11"/>
      <c r="E10" s="11"/>
      <c r="F10" s="11"/>
      <c r="G10" s="11"/>
      <c r="H10" s="11"/>
      <c r="I10" s="11"/>
      <c r="J10" s="1235" t="s">
        <v>1426</v>
      </c>
      <c r="K10" s="1236"/>
      <c r="L10" s="224" t="s">
        <v>1427</v>
      </c>
      <c r="M10" s="223"/>
      <c r="N10" s="11"/>
      <c r="O10" s="11"/>
      <c r="P10" s="11"/>
    </row>
    <row r="11" spans="1:59" x14ac:dyDescent="0.2">
      <c r="A11" s="10"/>
      <c r="B11" s="127" t="s">
        <v>496</v>
      </c>
      <c r="C11" s="141" t="str">
        <f t="shared" ref="C11:BG11" si="2">+C$3</f>
        <v>1T12</v>
      </c>
      <c r="D11" s="141" t="str">
        <f t="shared" si="2"/>
        <v>2T12</v>
      </c>
      <c r="E11" s="141" t="str">
        <f t="shared" si="2"/>
        <v>3T12</v>
      </c>
      <c r="F11" s="141" t="str">
        <f t="shared" si="2"/>
        <v>4T12</v>
      </c>
      <c r="G11" s="141" t="str">
        <f t="shared" si="2"/>
        <v>1T13</v>
      </c>
      <c r="H11" s="141" t="str">
        <f t="shared" si="2"/>
        <v>2T13</v>
      </c>
      <c r="I11" s="141" t="str">
        <f t="shared" si="2"/>
        <v>3T13</v>
      </c>
      <c r="J11" s="141" t="str">
        <f t="shared" si="2"/>
        <v>4T13</v>
      </c>
      <c r="K11" s="141" t="str">
        <f t="shared" si="2"/>
        <v>1T14</v>
      </c>
      <c r="L11" s="141" t="str">
        <f t="shared" si="2"/>
        <v>2T14</v>
      </c>
      <c r="M11" s="141" t="str">
        <f t="shared" si="2"/>
        <v>3T14</v>
      </c>
      <c r="N11" s="141" t="str">
        <f t="shared" si="2"/>
        <v>4T14</v>
      </c>
      <c r="O11" s="141" t="str">
        <f t="shared" si="2"/>
        <v>1T15</v>
      </c>
      <c r="P11" s="141" t="str">
        <f t="shared" si="2"/>
        <v>2T15</v>
      </c>
      <c r="Q11" s="141" t="str">
        <f t="shared" si="2"/>
        <v>3T15</v>
      </c>
      <c r="R11" s="141" t="str">
        <f t="shared" si="2"/>
        <v>4T15</v>
      </c>
      <c r="S11" s="141" t="str">
        <f t="shared" si="2"/>
        <v>1T16</v>
      </c>
      <c r="T11" s="141" t="str">
        <f t="shared" si="2"/>
        <v>2T16</v>
      </c>
      <c r="U11" s="141" t="str">
        <f t="shared" si="2"/>
        <v>3T16</v>
      </c>
      <c r="V11" s="141" t="str">
        <f t="shared" si="2"/>
        <v>4T16</v>
      </c>
      <c r="W11" s="141" t="str">
        <f t="shared" si="2"/>
        <v>1T17</v>
      </c>
      <c r="X11" s="141" t="str">
        <f t="shared" si="2"/>
        <v>2T17</v>
      </c>
      <c r="Y11" s="141" t="str">
        <f t="shared" si="2"/>
        <v>3T17</v>
      </c>
      <c r="Z11" s="141" t="str">
        <f t="shared" si="2"/>
        <v>4T17</v>
      </c>
      <c r="AA11" s="141" t="str">
        <f t="shared" si="2"/>
        <v>1T18</v>
      </c>
      <c r="AB11" s="141" t="str">
        <f t="shared" si="2"/>
        <v>2T18</v>
      </c>
      <c r="AC11" s="141" t="str">
        <f t="shared" si="2"/>
        <v>3T18</v>
      </c>
      <c r="AD11" s="141" t="str">
        <f t="shared" si="2"/>
        <v>4T18</v>
      </c>
      <c r="AE11" s="141" t="str">
        <f t="shared" si="2"/>
        <v>1T19</v>
      </c>
      <c r="AF11" s="141" t="str">
        <f t="shared" si="2"/>
        <v>2T19</v>
      </c>
      <c r="AG11" s="141" t="str">
        <f t="shared" si="2"/>
        <v>3T19</v>
      </c>
      <c r="AH11" s="141" t="str">
        <f t="shared" si="2"/>
        <v>4T19</v>
      </c>
      <c r="AI11" s="141" t="str">
        <f t="shared" si="2"/>
        <v>1T20</v>
      </c>
      <c r="AJ11" s="141" t="str">
        <f t="shared" si="2"/>
        <v>2T20</v>
      </c>
      <c r="AK11" s="141" t="str">
        <f t="shared" si="2"/>
        <v>3T20</v>
      </c>
      <c r="AL11" s="141" t="str">
        <f t="shared" si="2"/>
        <v>4T20</v>
      </c>
      <c r="AM11" s="141" t="str">
        <f t="shared" si="2"/>
        <v>1T21</v>
      </c>
      <c r="AN11" s="141" t="str">
        <f t="shared" si="2"/>
        <v>2T21</v>
      </c>
      <c r="AO11" s="141" t="str">
        <f t="shared" si="2"/>
        <v>3T21</v>
      </c>
      <c r="AP11" s="141" t="str">
        <f t="shared" si="2"/>
        <v>4T21</v>
      </c>
      <c r="AQ11" s="141" t="str">
        <f t="shared" si="2"/>
        <v>1T22</v>
      </c>
      <c r="AR11" s="141" t="str">
        <f t="shared" si="2"/>
        <v>2T22</v>
      </c>
      <c r="AS11" s="141" t="str">
        <f t="shared" si="2"/>
        <v>3T22</v>
      </c>
      <c r="AT11" s="141" t="str">
        <f t="shared" si="2"/>
        <v>4T22</v>
      </c>
      <c r="AU11" s="141" t="str">
        <f t="shared" si="2"/>
        <v>1T23</v>
      </c>
      <c r="AV11" s="141" t="str">
        <f t="shared" si="2"/>
        <v>2T23</v>
      </c>
      <c r="AW11" s="141" t="str">
        <f t="shared" si="2"/>
        <v>3T23</v>
      </c>
      <c r="AX11" s="141" t="str">
        <f t="shared" si="2"/>
        <v>4T23</v>
      </c>
      <c r="AY11" s="141" t="str">
        <f t="shared" si="2"/>
        <v>1T24</v>
      </c>
      <c r="AZ11" s="141" t="str">
        <f t="shared" si="2"/>
        <v>2T24</v>
      </c>
      <c r="BA11" s="141" t="str">
        <f t="shared" si="2"/>
        <v>3T24</v>
      </c>
      <c r="BB11" s="141" t="str">
        <f t="shared" si="2"/>
        <v>4T24</v>
      </c>
      <c r="BC11" s="141" t="str">
        <f t="shared" si="2"/>
        <v>1T25</v>
      </c>
      <c r="BD11" s="141" t="str">
        <f t="shared" si="2"/>
        <v>2T25</v>
      </c>
      <c r="BE11" s="141" t="str">
        <f t="shared" si="2"/>
        <v>3T25</v>
      </c>
      <c r="BF11" s="141" t="str">
        <f t="shared" si="2"/>
        <v>4T25</v>
      </c>
      <c r="BG11" s="141" t="str">
        <f t="shared" si="2"/>
        <v>1T26</v>
      </c>
    </row>
    <row r="12" spans="1:59" x14ac:dyDescent="0.2">
      <c r="A12" s="10"/>
      <c r="B12" s="117" t="s">
        <v>504</v>
      </c>
      <c r="C12" s="118">
        <f>+(BP!K43+BP!K44+BP!K62+BP!K75+BP!K64-BP!K16-BP!K30)</f>
        <v>263571</v>
      </c>
      <c r="D12" s="118">
        <f>+(BP!L43+BP!L44+BP!L62+BP!L75+BP!L64-BP!L16-BP!L30)</f>
        <v>280597</v>
      </c>
      <c r="E12" s="118">
        <f>+(BP!M43+BP!M44+BP!M62+BP!M75+BP!M64-BP!M16-BP!M30)</f>
        <v>293629</v>
      </c>
      <c r="F12" s="118">
        <f>+(BP!N43+BP!N44+BP!N62+BP!N75+BP!N64-BP!N16-BP!N30)</f>
        <v>302392</v>
      </c>
      <c r="G12" s="118">
        <f>+(BP!O43+BP!O44+BP!O62+BP!O75+BP!O64-BP!O16-BP!O30)</f>
        <v>534863</v>
      </c>
      <c r="H12" s="118">
        <f>+(BP!P43+BP!P44+BP!P62+BP!P75+BP!P64-BP!P16-BP!P30)</f>
        <v>566387</v>
      </c>
      <c r="I12" s="118">
        <f>+(BP!Q43+BP!Q44+BP!Q62+BP!Q75+BP!Q64-BP!Q16-BP!Q30)</f>
        <v>461495</v>
      </c>
      <c r="J12" s="118">
        <f>+(BP!R43+BP!R44+BP!R62+BP!R75+BP!R64-BP!R16-BP!R30)</f>
        <v>484647</v>
      </c>
      <c r="K12" s="118">
        <f>+(BP!S43+BP!S44+BP!S62+BP!S75+BP!S64-BP!S16-BP!S30)</f>
        <v>495401</v>
      </c>
      <c r="L12" s="160">
        <f>+(BP!T43+BP!T44+BP!T62+BP!T75+BP!T64-BP!T16-BP!T30)</f>
        <v>416441</v>
      </c>
      <c r="M12" s="118">
        <f>+(BP!U43+BP!U44+BP!U62+BP!U75+BP!U64-BP!U16-BP!U30)</f>
        <v>489051</v>
      </c>
      <c r="N12" s="118">
        <f>+(BP!V43+BP!V44+BP!V62+BP!V75+BP!V64-BP!V16-BP!V30)</f>
        <v>493332</v>
      </c>
      <c r="O12" s="118">
        <f>+(BP!W43+BP!W44+BP!W62+BP!W75+BP!W64-BP!W16-BP!W30)</f>
        <v>490649</v>
      </c>
      <c r="P12" s="118">
        <f>+(BP!X43+BP!X44+BP!X62+BP!X75+BP!X64-BP!X16-BP!X30)</f>
        <v>364474</v>
      </c>
      <c r="Q12" s="118">
        <f>+(BP!Y43+BP!Y44+BP!Y62+BP!Y75+BP!Y64-BP!Y16-BP!Y30)</f>
        <v>363556</v>
      </c>
      <c r="R12" s="118">
        <f>+(BP!Z43+BP!Z44+BP!Z62+BP!Z75+BP!Z64-BP!Z16-BP!Z30)</f>
        <v>364297</v>
      </c>
      <c r="S12" s="118">
        <f>+(BP!AA43+BP!AA44+BP!AA62+BP!AA75+BP!AA64-BP!AA16-BP!AA30)</f>
        <v>341865</v>
      </c>
      <c r="T12" s="118">
        <f>+(BP!AB43+BP!AB44+BP!AB62+BP!AB75+BP!AB64-BP!AB16-BP!AB30)</f>
        <v>342593</v>
      </c>
      <c r="U12" s="118">
        <f>+(BP!AC43+BP!AC44+BP!AC62+BP!AC75+BP!AC64)</f>
        <v>341733</v>
      </c>
      <c r="V12" s="118">
        <f>+(BP!AD43+BP!AD44+BP!AD62+BP!AD75+BP!AD64)</f>
        <v>291577</v>
      </c>
      <c r="W12" s="118">
        <f>+(BP!AE43+BP!AE44+BP!AE62+BP!AE75+BP!AE64)</f>
        <v>221452</v>
      </c>
      <c r="X12" s="118">
        <f>+(BP!AF43+BP!AF44+BP!AF62+BP!AF75+BP!AF64)</f>
        <v>273851</v>
      </c>
      <c r="Y12" s="118">
        <f>+(BP!AG43+BP!AG44+BP!AG62+BP!AG75+BP!AG64)</f>
        <v>219975</v>
      </c>
      <c r="Z12" s="118">
        <f>+(BP!AH43+BP!AH44+BP!AH62+BP!AH75+BP!AH64)</f>
        <v>222874</v>
      </c>
      <c r="AA12" s="118">
        <f>+BP!AI40</f>
        <v>154169</v>
      </c>
      <c r="AB12" s="118">
        <f>+BP!AJ40</f>
        <v>148113</v>
      </c>
      <c r="AC12" s="118">
        <f>+BP!AK40</f>
        <v>158913</v>
      </c>
      <c r="AD12" s="118">
        <f>+BP!AL40</f>
        <v>158586</v>
      </c>
      <c r="AE12" s="118">
        <f>+BP!AM40</f>
        <v>142726</v>
      </c>
      <c r="AF12" s="118">
        <f>+BP!AN40</f>
        <v>138647</v>
      </c>
      <c r="AG12" s="118">
        <f>+BP!AO40</f>
        <v>140100</v>
      </c>
      <c r="AH12" s="118">
        <f>+BP!AP40</f>
        <v>137418</v>
      </c>
      <c r="AI12" s="118">
        <f>+BP!AQ40</f>
        <v>133519</v>
      </c>
      <c r="AJ12" s="118">
        <f>+BP!AR40</f>
        <v>223997</v>
      </c>
      <c r="AK12" s="118">
        <f>+BP!AS40</f>
        <v>193443</v>
      </c>
      <c r="AL12" s="118">
        <f>+BP!AT40</f>
        <v>193811</v>
      </c>
      <c r="AM12" s="118">
        <f>+BP!AU40</f>
        <v>194589</v>
      </c>
      <c r="AN12" s="118">
        <f>+BP!AV40</f>
        <v>152313</v>
      </c>
      <c r="AO12" s="118">
        <f>+BP!AW40</f>
        <v>127676</v>
      </c>
      <c r="AP12" s="118">
        <f>+BP!AX40</f>
        <v>128886</v>
      </c>
      <c r="AQ12" s="118">
        <f>+BP!AY40</f>
        <v>119250</v>
      </c>
      <c r="AR12" s="118">
        <f>+BP!AZ40</f>
        <v>68411</v>
      </c>
      <c r="AS12" s="118">
        <f>+BP!BA40</f>
        <v>66432</v>
      </c>
      <c r="AT12" s="118">
        <f>+BP!BB40</f>
        <v>101740</v>
      </c>
      <c r="AU12" s="118">
        <f>+BP!BC40</f>
        <v>90366</v>
      </c>
      <c r="AV12" s="118">
        <f>+BP!BD40</f>
        <v>91267</v>
      </c>
      <c r="AW12" s="118">
        <f>+BP!BE40</f>
        <v>95806</v>
      </c>
      <c r="AX12" s="118">
        <f>+BP!BF40</f>
        <v>101599</v>
      </c>
      <c r="AY12" s="118">
        <f>+BP!BG40</f>
        <v>107217</v>
      </c>
      <c r="AZ12" s="118">
        <f>+BP!BH40</f>
        <v>105966</v>
      </c>
      <c r="BA12" s="118">
        <f>+BP!BI40</f>
        <v>105679</v>
      </c>
      <c r="BB12" s="118">
        <f>+BP!BJ40</f>
        <v>105996</v>
      </c>
      <c r="BC12" s="118">
        <f>+BP!BK40</f>
        <v>110285</v>
      </c>
      <c r="BD12" s="118">
        <f>+BP!BL40</f>
        <v>111205</v>
      </c>
      <c r="BE12" s="118">
        <f>+BP!BM40</f>
        <v>85819</v>
      </c>
      <c r="BF12" s="118">
        <f>+BP!BN40</f>
        <v>125950</v>
      </c>
      <c r="BG12" s="118">
        <f>+BP!BO40</f>
        <v>125204</v>
      </c>
    </row>
    <row r="13" spans="1:59" x14ac:dyDescent="0.2">
      <c r="A13" s="10"/>
      <c r="B13" s="117" t="s">
        <v>505</v>
      </c>
      <c r="C13" s="118">
        <f>+BP!K7+BP!K19</f>
        <v>61323</v>
      </c>
      <c r="D13" s="118">
        <f>+BP!L7+BP!L19</f>
        <v>54203</v>
      </c>
      <c r="E13" s="118">
        <f>+BP!M7+BP!M19</f>
        <v>80554</v>
      </c>
      <c r="F13" s="118">
        <f>+BP!N7+BP!N19</f>
        <v>66743</v>
      </c>
      <c r="G13" s="118">
        <f>+BP!O7+BP!O19</f>
        <v>302799</v>
      </c>
      <c r="H13" s="118">
        <f>+BP!P7+BP!P19</f>
        <v>287281</v>
      </c>
      <c r="I13" s="118">
        <f>+BP!Q7+BP!Q19</f>
        <v>185415</v>
      </c>
      <c r="J13" s="118">
        <f>+BP!R7+BP!R19</f>
        <v>204448</v>
      </c>
      <c r="K13" s="118">
        <f>+BP!S7+BP!S19</f>
        <v>221474</v>
      </c>
      <c r="L13" s="160">
        <f>+BP!T7+BP!T19</f>
        <v>179882</v>
      </c>
      <c r="M13" s="118">
        <f>+BP!U7+BP!U19</f>
        <v>186093</v>
      </c>
      <c r="N13" s="118">
        <f>+BP!V7+BP!V19</f>
        <v>227857</v>
      </c>
      <c r="O13" s="118">
        <f>+BP!W7+BP!W19</f>
        <v>306960</v>
      </c>
      <c r="P13" s="118">
        <f>+BP!X7+BP!X19</f>
        <v>131505</v>
      </c>
      <c r="Q13" s="118">
        <f>+BP!Y7+BP!Y19</f>
        <v>206751</v>
      </c>
      <c r="R13" s="118">
        <f>+BP!Z7+BP!Z19</f>
        <v>214259</v>
      </c>
      <c r="S13" s="118">
        <f>+BP!AA7+BP!AA19</f>
        <v>232693</v>
      </c>
      <c r="T13" s="118">
        <f>+BP!AB7+BP!AB19</f>
        <v>219216</v>
      </c>
      <c r="U13" s="118">
        <f>+BP!AC7+BP!AC19</f>
        <v>241918</v>
      </c>
      <c r="V13" s="118">
        <f>+BP!AD7+BP!AD19</f>
        <v>192858</v>
      </c>
      <c r="W13" s="118">
        <f>+BP!AE7+BP!AE19</f>
        <v>126013</v>
      </c>
      <c r="X13" s="118">
        <f>+BP!AF7+BP!AF19</f>
        <v>183030</v>
      </c>
      <c r="Y13" s="118">
        <f>+BP!AG7+BP!AG19</f>
        <v>145307</v>
      </c>
      <c r="Z13" s="118">
        <f>+BP!AH7+BP!AH19</f>
        <v>148732</v>
      </c>
      <c r="AA13" s="118">
        <f>+BP!AI7+BP!AI19</f>
        <v>125466</v>
      </c>
      <c r="AB13" s="118">
        <f>+BP!AJ7+BP!AJ19</f>
        <v>90689</v>
      </c>
      <c r="AC13" s="118">
        <f>+BP!AK7+BP!AK19</f>
        <v>97964</v>
      </c>
      <c r="AD13" s="118">
        <f>+BP!AL7+BP!AL19</f>
        <v>83542</v>
      </c>
      <c r="AE13" s="118">
        <f>+BP!AM7+BP!AM19</f>
        <v>107994</v>
      </c>
      <c r="AF13" s="118">
        <f>+BP!AN7+BP!AN19</f>
        <v>106775</v>
      </c>
      <c r="AG13" s="118">
        <f>+BP!AO7+BP!AO19</f>
        <v>112108</v>
      </c>
      <c r="AH13" s="118">
        <f>+BP!AP7+BP!AP19</f>
        <v>67332</v>
      </c>
      <c r="AI13" s="118">
        <f>+BP!AQ7+BP!AQ19</f>
        <v>125940</v>
      </c>
      <c r="AJ13" s="118">
        <f>+BP!AR7+BP!AR19</f>
        <v>286503</v>
      </c>
      <c r="AK13" s="118">
        <f>+BP!AS7+BP!AS19</f>
        <v>247793</v>
      </c>
      <c r="AL13" s="118">
        <f>+BP!AT7+BP!AT19</f>
        <v>260387</v>
      </c>
      <c r="AM13" s="118">
        <f>+BP!AU7+BP!AU19</f>
        <v>304909</v>
      </c>
      <c r="AN13" s="118">
        <f>+BP!AV7+BP!AV19</f>
        <v>244529</v>
      </c>
      <c r="AO13" s="118">
        <f>+BP!AW7+BP!AW19</f>
        <v>221421</v>
      </c>
      <c r="AP13" s="118">
        <f>+BP!AX7+BP!AX19</f>
        <v>147128</v>
      </c>
      <c r="AQ13" s="118">
        <f>+BP!AY7+BP!AY19</f>
        <v>210504</v>
      </c>
      <c r="AR13" s="118">
        <f>+BP!AZ7+BP!AZ19</f>
        <v>119723</v>
      </c>
      <c r="AS13" s="118">
        <f>+BP!BA7+BP!BA19</f>
        <v>137242</v>
      </c>
      <c r="AT13" s="118">
        <f>+BP!BB7+BP!BB19</f>
        <v>190299</v>
      </c>
      <c r="AU13" s="118">
        <f>+BP!BC7+BP!BC19</f>
        <v>242048</v>
      </c>
      <c r="AV13" s="118">
        <f>+BP!BD7+BP!BD19</f>
        <v>237038</v>
      </c>
      <c r="AW13" s="118">
        <f>+BP!BE7+BP!BE19</f>
        <v>258630</v>
      </c>
      <c r="AX13" s="118">
        <f>+BP!BF7+BP!BF19</f>
        <v>232539</v>
      </c>
      <c r="AY13" s="118">
        <f>+BP!BG7+BP!BG19</f>
        <v>299796</v>
      </c>
      <c r="AZ13" s="118">
        <f>+BP!BH7+BP!BH19</f>
        <v>282802</v>
      </c>
      <c r="BA13" s="118">
        <f>+BP!BI7+BP!BI19</f>
        <v>264126</v>
      </c>
      <c r="BB13" s="118">
        <f>+BP!BJ7+BP!BJ19</f>
        <v>241335</v>
      </c>
      <c r="BC13" s="118">
        <f>+BP!BK7+BP!BK19</f>
        <v>339197</v>
      </c>
      <c r="BD13" s="118">
        <f>+BP!BL7+BP!BL19</f>
        <v>347151</v>
      </c>
      <c r="BE13" s="118">
        <f>+BP!BM7+BP!BM19</f>
        <v>245664</v>
      </c>
      <c r="BF13" s="118">
        <f>+BP!BN7+BP!BN19</f>
        <v>113860</v>
      </c>
      <c r="BG13" s="118">
        <f>+BP!BO7+BP!BO19</f>
        <v>184189</v>
      </c>
    </row>
    <row r="14" spans="1:59" x14ac:dyDescent="0.2">
      <c r="A14" s="10"/>
      <c r="B14" s="117" t="s">
        <v>1070</v>
      </c>
      <c r="C14" s="118">
        <f>+C12-C13</f>
        <v>202248</v>
      </c>
      <c r="D14" s="118">
        <f t="shared" ref="D14:U14" si="3">+D12-D13</f>
        <v>226394</v>
      </c>
      <c r="E14" s="118">
        <f t="shared" si="3"/>
        <v>213075</v>
      </c>
      <c r="F14" s="118">
        <f t="shared" si="3"/>
        <v>235649</v>
      </c>
      <c r="G14" s="118">
        <f t="shared" si="3"/>
        <v>232064</v>
      </c>
      <c r="H14" s="118">
        <f t="shared" si="3"/>
        <v>279106</v>
      </c>
      <c r="I14" s="118">
        <f t="shared" si="3"/>
        <v>276080</v>
      </c>
      <c r="J14" s="118">
        <f t="shared" si="3"/>
        <v>280199</v>
      </c>
      <c r="K14" s="118">
        <f t="shared" si="3"/>
        <v>273927</v>
      </c>
      <c r="L14" s="160">
        <f t="shared" si="3"/>
        <v>236559</v>
      </c>
      <c r="M14" s="118">
        <f t="shared" si="3"/>
        <v>302958</v>
      </c>
      <c r="N14" s="118">
        <f t="shared" si="3"/>
        <v>265475</v>
      </c>
      <c r="O14" s="118">
        <f>+O12-O13</f>
        <v>183689</v>
      </c>
      <c r="P14" s="118">
        <f t="shared" si="3"/>
        <v>232969</v>
      </c>
      <c r="Q14" s="118">
        <f t="shared" si="3"/>
        <v>156805</v>
      </c>
      <c r="R14" s="118">
        <f t="shared" si="3"/>
        <v>150038</v>
      </c>
      <c r="S14" s="118">
        <f t="shared" si="3"/>
        <v>109172</v>
      </c>
      <c r="T14" s="118">
        <f t="shared" si="3"/>
        <v>123377</v>
      </c>
      <c r="U14" s="118">
        <f t="shared" si="3"/>
        <v>99815</v>
      </c>
      <c r="V14" s="118">
        <f t="shared" ref="V14:AC14" si="4">+V12-V13</f>
        <v>98719</v>
      </c>
      <c r="W14" s="118">
        <f t="shared" si="4"/>
        <v>95439</v>
      </c>
      <c r="X14" s="118">
        <f t="shared" si="4"/>
        <v>90821</v>
      </c>
      <c r="Y14" s="118">
        <f t="shared" si="4"/>
        <v>74668</v>
      </c>
      <c r="Z14" s="118">
        <f t="shared" si="4"/>
        <v>74142</v>
      </c>
      <c r="AA14" s="118">
        <f t="shared" si="4"/>
        <v>28703</v>
      </c>
      <c r="AB14" s="118">
        <f t="shared" si="4"/>
        <v>57424</v>
      </c>
      <c r="AC14" s="118">
        <f t="shared" si="4"/>
        <v>60949</v>
      </c>
      <c r="AD14" s="118">
        <f t="shared" ref="AD14:AJ14" si="5">+AD12-AD13</f>
        <v>75044</v>
      </c>
      <c r="AE14" s="118">
        <f t="shared" si="5"/>
        <v>34732</v>
      </c>
      <c r="AF14" s="118">
        <f t="shared" si="5"/>
        <v>31872</v>
      </c>
      <c r="AG14" s="118">
        <f t="shared" si="5"/>
        <v>27992</v>
      </c>
      <c r="AH14" s="118">
        <f t="shared" si="5"/>
        <v>70086</v>
      </c>
      <c r="AI14" s="118">
        <f t="shared" si="5"/>
        <v>7579</v>
      </c>
      <c r="AJ14" s="118">
        <f t="shared" si="5"/>
        <v>-62506</v>
      </c>
      <c r="AK14" s="118">
        <f t="shared" ref="AK14:AP14" si="6">+AK12-AK13</f>
        <v>-54350</v>
      </c>
      <c r="AL14" s="118">
        <f t="shared" si="6"/>
        <v>-66576</v>
      </c>
      <c r="AM14" s="118">
        <f t="shared" si="6"/>
        <v>-110320</v>
      </c>
      <c r="AN14" s="118">
        <f t="shared" si="6"/>
        <v>-92216</v>
      </c>
      <c r="AO14" s="118">
        <f t="shared" si="6"/>
        <v>-93745</v>
      </c>
      <c r="AP14" s="118">
        <f t="shared" si="6"/>
        <v>-18242</v>
      </c>
      <c r="AQ14" s="118">
        <f t="shared" ref="AQ14:AV14" si="7">+AQ12-AQ13</f>
        <v>-91254</v>
      </c>
      <c r="AR14" s="118">
        <f t="shared" si="7"/>
        <v>-51312</v>
      </c>
      <c r="AS14" s="118">
        <f t="shared" si="7"/>
        <v>-70810</v>
      </c>
      <c r="AT14" s="118">
        <f t="shared" si="7"/>
        <v>-88559</v>
      </c>
      <c r="AU14" s="118">
        <f t="shared" si="7"/>
        <v>-151682</v>
      </c>
      <c r="AV14" s="118">
        <f t="shared" si="7"/>
        <v>-145771</v>
      </c>
      <c r="AW14" s="118">
        <f t="shared" ref="AW14:BG14" si="8">+AW12-AW13</f>
        <v>-162824</v>
      </c>
      <c r="AX14" s="118">
        <f t="shared" si="8"/>
        <v>-130940</v>
      </c>
      <c r="AY14" s="118">
        <f t="shared" si="8"/>
        <v>-192579</v>
      </c>
      <c r="AZ14" s="118">
        <f t="shared" si="8"/>
        <v>-176836</v>
      </c>
      <c r="BA14" s="118">
        <f t="shared" si="8"/>
        <v>-158447</v>
      </c>
      <c r="BB14" s="118">
        <f t="shared" si="8"/>
        <v>-135339</v>
      </c>
      <c r="BC14" s="118">
        <f t="shared" si="8"/>
        <v>-228912</v>
      </c>
      <c r="BD14" s="118">
        <f t="shared" si="8"/>
        <v>-235946</v>
      </c>
      <c r="BE14" s="118">
        <f t="shared" si="8"/>
        <v>-159845</v>
      </c>
      <c r="BF14" s="118">
        <f t="shared" si="8"/>
        <v>12090</v>
      </c>
      <c r="BG14" s="118">
        <f t="shared" si="8"/>
        <v>-58985</v>
      </c>
    </row>
    <row r="15" spans="1:59" s="283" customFormat="1" x14ac:dyDescent="0.2">
      <c r="A15" s="13"/>
      <c r="B15" s="280" t="s">
        <v>522</v>
      </c>
      <c r="C15" s="281">
        <v>0</v>
      </c>
      <c r="D15" s="281">
        <v>0</v>
      </c>
      <c r="E15" s="281">
        <v>0</v>
      </c>
      <c r="F15" s="281">
        <v>0</v>
      </c>
      <c r="G15" s="281">
        <v>0</v>
      </c>
      <c r="H15" s="281">
        <v>0</v>
      </c>
      <c r="I15" s="281">
        <v>0</v>
      </c>
      <c r="J15" s="281">
        <v>0</v>
      </c>
      <c r="K15" s="281">
        <v>0</v>
      </c>
      <c r="L15" s="282">
        <v>0</v>
      </c>
      <c r="M15" s="281">
        <v>0</v>
      </c>
      <c r="N15" s="281">
        <f>SUM(Consolidado!K34:N34)/-SUM('Resultado Financeiro'!C4:F4)</f>
        <v>3.0640042172616884</v>
      </c>
      <c r="O15" s="281">
        <f>SUM(Consolidado!L34:O34)/-SUM('Resultado Financeiro'!D4:G4)</f>
        <v>2.664429420066297</v>
      </c>
      <c r="P15" s="281">
        <f>SUM(Consolidado!M34:P34)/-SUM('Resultado Financeiro'!E4:H4)</f>
        <v>2.2788113547079356</v>
      </c>
      <c r="Q15" s="281">
        <f>SUM(Consolidado!N34:Q34)/-SUM('Resultado Financeiro'!F4:I4)</f>
        <v>2.0231127629980867</v>
      </c>
      <c r="R15" s="281">
        <f>SUM(Consolidado!O34:R34)/-SUM('Resultado Financeiro'!G4:J4)</f>
        <v>1.7834746113774824</v>
      </c>
      <c r="S15" s="281">
        <f>SUM(Consolidado!P34:S34)/-SUM('Resultado Financeiro'!H4:K4)</f>
        <v>1.7150992957529836</v>
      </c>
      <c r="T15" s="281">
        <f>SUM(Consolidado!Q34:T34)/-SUM('Resultado Financeiro'!I4:L4)</f>
        <v>1.7271654027420733</v>
      </c>
      <c r="U15" s="281">
        <f>SUM(Consolidado!R34:U34)/-SUM('Resultado Financeiro'!J4:M4)</f>
        <v>1.7948633775226364</v>
      </c>
      <c r="V15" s="281">
        <f>SUM(Consolidado!S34:V34)/-SUM('Resultado Financeiro'!K4:N4)</f>
        <v>1.8027789331306991</v>
      </c>
      <c r="W15" s="281">
        <f>SUM(Consolidado!T34:W34)/-SUM('Resultado Financeiro'!L4:O4)</f>
        <v>2.0888886962914208</v>
      </c>
      <c r="X15" s="281">
        <f>SUM(Consolidado!U34:X34)/-SUM('Resultado Financeiro'!M4:P4)</f>
        <v>2.7012316426922411</v>
      </c>
      <c r="Y15" s="281">
        <f>SUM(Consolidado!V34:Y34)/-SUM('Resultado Financeiro'!N4:Q4)</f>
        <v>3.6265207421759467</v>
      </c>
      <c r="Z15" s="281">
        <f>SUM(Consolidado!W34:Z34)/-SUM('Resultado Financeiro'!O4:R4)</f>
        <v>5.0454636577696288</v>
      </c>
      <c r="AA15" s="281">
        <f>SUM(Consolidado!X34:AA34)/-SUM('Resultado Financeiro'!P4:S4)</f>
        <v>6.537680184771208</v>
      </c>
      <c r="AB15" s="281">
        <f>SUM(Consolidado!Y34:AB34)/-SUM('Resultado Financeiro'!Q4:T4)</f>
        <v>8.6233145072923953</v>
      </c>
      <c r="AC15" s="281">
        <f>SUM(Consolidado!Z34:AC34)/-SUM('Resultado Financeiro'!R4:U4)</f>
        <v>16.778615634950718</v>
      </c>
      <c r="AD15" s="281">
        <f>SUM(Consolidado!AA34:AD34)/-SUM('Resultado Financeiro'!S4:V4)</f>
        <v>18.848052058805699</v>
      </c>
      <c r="AE15" s="281">
        <f>SUM(Consolidado!AB34:AE34)/-SUM('Resultado Financeiro'!T4:W4)</f>
        <v>27.878201872232008</v>
      </c>
      <c r="AF15" s="281">
        <f>SUM(Consolidado!AC34:AF34)/-SUM('Resultado Financeiro'!U4:X4)</f>
        <v>26.160977742813827</v>
      </c>
      <c r="AG15" s="281">
        <f>SUM(Consolidado!AD34:AG34)/-SUM('Resultado Financeiro'!V4:Z4)</f>
        <v>18.034247271352797</v>
      </c>
      <c r="AH15" s="281">
        <f>SUM(Consolidado!AE34:AH34)/-SUM('Resultado Financeiro'!W4:AA4)</f>
        <v>-57.411186834251659</v>
      </c>
      <c r="AI15" s="281">
        <f>SUM(Consolidado!AF34:AI34)/-SUM('Resultado Financeiro'!X4:AB4)</f>
        <v>-34.932996053364633</v>
      </c>
      <c r="AJ15" s="281">
        <f>SUM(Consolidado!AG34:AJ34)/-SUM('Resultado Financeiro'!Y4:AC4)</f>
        <v>-35.635669980578776</v>
      </c>
      <c r="AK15" s="281">
        <f>SUM(Consolidado!AH34:AK34)/-SUM('Resultado Financeiro'!Z4:AD4)</f>
        <v>-61.430973313359189</v>
      </c>
      <c r="AL15" s="281">
        <f>SUM(Consolidado!AI34:AL34)/-SUM('Resultado Financeiro'!AA4:AE4)</f>
        <v>-38.94533389887372</v>
      </c>
      <c r="AM15" s="281">
        <f>SUM(Consolidado!AJ34:AM34)/-SUM('Resultado Financeiro'!AB4:AF4)</f>
        <v>14.239508150956707</v>
      </c>
      <c r="AN15" s="281">
        <f>SUM(Consolidado!AK34:AN34)/-SUM('Resultado Financeiro'!AC4:AG4)</f>
        <v>12.691328877881251</v>
      </c>
      <c r="AO15" s="281">
        <f>SUM(Consolidado!AL34:AO34)/-SUM('Resultado Financeiro'!AD4:AH4)</f>
        <v>18.589298845169544</v>
      </c>
      <c r="AP15" s="281">
        <f>SUM(Consolidado!AM34:AP34)/-SUM('Resultado Financeiro'!AE4:AI4)</f>
        <v>22.907934208887614</v>
      </c>
      <c r="AQ15" s="281">
        <f>SUM(Consolidado!AN34:AQ34)/-SUM('Resultado Financeiro'!AF4:AJ4)</f>
        <v>21.736622335312386</v>
      </c>
      <c r="AR15" s="281">
        <f>SUM(Consolidado!AO34:AR34)/-SUM('Resultado Financeiro'!AG4:AK4)</f>
        <v>22.462300254657531</v>
      </c>
      <c r="AS15" s="281">
        <f>SUM(Consolidado!AP34:AS34)/-SUM('Resultado Financeiro'!AH4:AL4)</f>
        <v>28.602378444182051</v>
      </c>
      <c r="AT15" s="281">
        <f>SUM(Consolidado!AQ34:AT34)/-SUM('Resultado Financeiro'!AI4:AM4)</f>
        <v>21.662269961260254</v>
      </c>
      <c r="AU15" s="281">
        <f>SUM(Consolidado!AR34:AU34)/-SUM('Resultado Financeiro'!AJ4:AN4)</f>
        <v>18.047424637076794</v>
      </c>
      <c r="AV15" s="281">
        <f>SUM(Consolidado!AS34:AV34)/-SUM('Resultado Financeiro'!AK4:AO4)</f>
        <v>18.404973375374912</v>
      </c>
      <c r="AW15" s="281">
        <f>SUM(Consolidado!AT34:AW34)/-SUM('Resultado Financeiro'!AL4:AP4)</f>
        <v>17.165742236607027</v>
      </c>
      <c r="AX15" s="281">
        <f>SUM(Consolidado!AU34:AX34)/-SUM('Resultado Financeiro'!AM4:AQ4)</f>
        <v>16.848698416502465</v>
      </c>
      <c r="AY15" s="281">
        <f>SUM(Consolidado!AV34:AY34)/-SUM('Resultado Financeiro'!AN4:AV4)</f>
        <v>9.3045772156484006</v>
      </c>
      <c r="AZ15" s="281">
        <f>SUM(Consolidado!AW34:AZ34)/-SUM('Resultado Financeiro'!AO4:AY4)</f>
        <v>7.8094405145472754</v>
      </c>
      <c r="BA15" s="281">
        <f>SUM(Consolidado!AX34:BA34)/-SUM('Resultado Financeiro'!AP4:AZ4)</f>
        <v>9.6683166266621647</v>
      </c>
      <c r="BB15" s="281">
        <f>SUM(Consolidado!AY34:BB34)/-SUM('Resultado Financeiro'!AQ4:BA4)</f>
        <v>12.205035433593867</v>
      </c>
      <c r="BC15" s="281">
        <f>SUM(Consolidado!AZ34:BC34)/-SUM('Resultado Financeiro'!AR4:BB4)</f>
        <v>13.864538176908876</v>
      </c>
      <c r="BD15" s="281">
        <f>SUM(Consolidado!BA34:BD34)/-SUM('Resultado Financeiro'!AS4:BC4)</f>
        <v>15.787804818997632</v>
      </c>
      <c r="BE15" s="281">
        <f>SUM(Consolidado!BB34:BE34)/-SUM('Resultado Financeiro'!AT4:BD4)</f>
        <v>17.613276582163273</v>
      </c>
      <c r="BF15" s="281">
        <f>SUM(Consolidado!BC34:BF34)/-SUM('Resultado Financeiro'!AU4:BE4)</f>
        <v>18.189709247360472</v>
      </c>
      <c r="BG15" s="281">
        <f>SUM(Consolidado!BD34:BG34)/-SUM('Resultado Financeiro'!AV4:BF4)</f>
        <v>22.430282511150484</v>
      </c>
    </row>
    <row r="16" spans="1:59" s="283" customFormat="1" x14ac:dyDescent="0.2">
      <c r="A16" s="13"/>
      <c r="B16" s="280" t="s">
        <v>495</v>
      </c>
      <c r="C16" s="281">
        <v>0</v>
      </c>
      <c r="D16" s="281">
        <v>0</v>
      </c>
      <c r="E16" s="281">
        <v>0</v>
      </c>
      <c r="F16" s="281">
        <f>F12/SUM(Consolidado!C34:F34)</f>
        <v>1.6975058802395881</v>
      </c>
      <c r="G16" s="281">
        <f>G12/SUM(Consolidado!D34:G34)</f>
        <v>3.4133146988812948</v>
      </c>
      <c r="H16" s="281">
        <f>H12/SUM(Consolidado!E34:H34)</f>
        <v>3.7100962262791413</v>
      </c>
      <c r="I16" s="281">
        <f>I12/SUM(Consolidado!F34:I34)</f>
        <v>3.063541798049668</v>
      </c>
      <c r="J16" s="281">
        <f>J12/SUM(Consolidado!G34:J34)</f>
        <v>3.1545350994239594</v>
      </c>
      <c r="K16" s="281">
        <f>K12/SUM(Consolidado!H34:K34)</f>
        <v>3.0168012471531052</v>
      </c>
      <c r="L16" s="282">
        <f>L12/SUM(Consolidado!I34:L34)</f>
        <v>2.5929193621697686</v>
      </c>
      <c r="M16" s="281">
        <f>M12/SUM(Consolidado!J34:M34)</f>
        <v>3.1767904121601869</v>
      </c>
      <c r="N16" s="281">
        <f>N12/SUM(Consolidado!K34:N34)</f>
        <v>2.9267962766304572</v>
      </c>
      <c r="O16" s="281">
        <f>O12/SUM(Consolidado!L34:O34)</f>
        <v>3.0218889539001634</v>
      </c>
      <c r="P16" s="281">
        <f>P12/SUM(Consolidado!M34:P34)</f>
        <v>2.5730023676751212</v>
      </c>
      <c r="Q16" s="281">
        <f>Q12/SUM(Consolidado!N34:Q34)</f>
        <v>2.9897895879631373</v>
      </c>
      <c r="R16" s="281">
        <f>R12/SUM(Consolidado!O34:R34)</f>
        <v>3.6818650571479714</v>
      </c>
      <c r="S16" s="281">
        <f>S12/SUM(Consolidado!P34:S34)</f>
        <v>3.8322467791891133</v>
      </c>
      <c r="T16" s="281">
        <f>T12/SUM(Consolidado!Q34:T34)</f>
        <v>3.8629672171789702</v>
      </c>
      <c r="U16" s="281">
        <f>U12/SUM(Consolidado!R34:U34)</f>
        <v>3.7559920476794115</v>
      </c>
      <c r="V16" s="281">
        <f>V12/SUM(Consolidado!S34:V34)</f>
        <v>3.2773560985879211</v>
      </c>
      <c r="W16" s="281">
        <f>W12/SUM(Consolidado!T34:W34)</f>
        <v>2.3264047639622829</v>
      </c>
      <c r="X16" s="281">
        <f>X12/SUM(Consolidado!U34:X34)</f>
        <v>2.5719879841450388</v>
      </c>
      <c r="Y16" s="281">
        <f>Y12/SUM(Consolidado!V34:Y34)</f>
        <v>1.7942765178792393</v>
      </c>
      <c r="Z16" s="281">
        <f>Z12/SUM(Consolidado!W34:Z34)</f>
        <v>1.6536197898611871</v>
      </c>
      <c r="AA16" s="281">
        <f>AA12/SUM(Consolidado!X34:AA34)</f>
        <v>1.0758522863462654</v>
      </c>
      <c r="AB16" s="281">
        <f>AB12/SUM(Consolidado!Y34:AB34)</f>
        <v>0.92437857164374537</v>
      </c>
      <c r="AC16" s="281">
        <f>AC12/SUM(Consolidado!Z34:AC34)</f>
        <v>0.89757039289806284</v>
      </c>
      <c r="AD16" s="281">
        <f>AD12/SUM(Consolidado!AA34:AD34)</f>
        <v>0.79107934227257004</v>
      </c>
      <c r="AE16" s="281">
        <f>AE12/SUM(Consolidado!AB34:AE34)</f>
        <v>0.62863791487704768</v>
      </c>
      <c r="AF16" s="281">
        <f>AF12/SUM(Consolidado!AC34:AF34)</f>
        <v>0.57450012926139227</v>
      </c>
      <c r="AG16" s="281">
        <f>AG12/SUM(Consolidado!AC34:AG34)</f>
        <v>0.45806339770214599</v>
      </c>
      <c r="AH16" s="281">
        <f>AH12/SUM(Consolidado!AD34:AH34)</f>
        <v>0.43191815021840085</v>
      </c>
      <c r="AI16" s="281">
        <f>AI12/SUM(Consolidado!AE34:AI34)</f>
        <v>0.4536779603387161</v>
      </c>
      <c r="AJ16" s="281">
        <f>AJ12/SUM(Consolidado!AF34:AJ34)</f>
        <v>0.92205859804280876</v>
      </c>
      <c r="AK16" s="281">
        <f>AK12/SUM(Consolidado!AG34:AK34)</f>
        <v>0.81007125716354267</v>
      </c>
      <c r="AL16" s="281">
        <f>AL12/SUM(Consolidado!AH34:AL34)</f>
        <v>0.83318247718358429</v>
      </c>
      <c r="AM16" s="281">
        <f>AM12/SUM(Consolidado!AI34:AM34)</f>
        <v>0.94593566803314666</v>
      </c>
      <c r="AN16" s="281">
        <f>AN12/SUM(Consolidado!AJ34:AN34)</f>
        <v>0.77389760183217637</v>
      </c>
      <c r="AO16" s="281">
        <f>AO12/SUM(Consolidado!AK34:AO34)</f>
        <v>0.55598354229334879</v>
      </c>
      <c r="AP16" s="281">
        <f>AP12/SUM(Consolidado!AL34:AP34)</f>
        <v>0.58530510733532382</v>
      </c>
      <c r="AQ16" s="281">
        <f>AQ12/SUM(Consolidado!AM34:AQ34)</f>
        <v>0.60546335230056125</v>
      </c>
      <c r="AR16" s="281">
        <f>AR12/SUM(Consolidado!AN34:AR34)</f>
        <v>0.33714312840199911</v>
      </c>
      <c r="AS16" s="281">
        <f>AS12/SUM(Consolidado!AO34:AS34)</f>
        <v>0.25999112806496905</v>
      </c>
      <c r="AT16" s="281">
        <f>AT12/SUM(Consolidado!AP34:AT34)</f>
        <v>0.34990502070258822</v>
      </c>
      <c r="AU16" s="281">
        <f>AU12/SUM(Consolidado!AQ34:AU34)</f>
        <v>0.30268759463333744</v>
      </c>
      <c r="AV16" s="281">
        <f>AV12/SUM(Consolidado!AR34:AV34)</f>
        <v>0.28390612217642919</v>
      </c>
      <c r="AW16" s="281">
        <f>AW12/SUM(Consolidado!AS34:AW34)</f>
        <v>0.27250606684271167</v>
      </c>
      <c r="AX16" s="281">
        <f>AX12/SUM(Consolidado!AT34:AX34)</f>
        <v>0.30078848555875559</v>
      </c>
      <c r="AY16" s="281">
        <f>AY12/SUM(Consolidado!AU34:AY34)</f>
        <v>0.33156623548953212</v>
      </c>
      <c r="AZ16" s="281">
        <f>AZ12/SUM(Consolidado!AV34:AZ34)</f>
        <v>0.29859611444880635</v>
      </c>
      <c r="BA16" s="281">
        <f>BA12/SUM(Consolidado!AW34:BA34)</f>
        <v>0.25016309698169903</v>
      </c>
      <c r="BB16" s="281">
        <f>BB12/SUM(Consolidado!AX34:BB34)</f>
        <v>0.22591191518515891</v>
      </c>
      <c r="BC16" s="281">
        <f>BC12/SUM(Consolidado!AY34:BC34)</f>
        <v>0.23770007593004075</v>
      </c>
      <c r="BD16" s="281">
        <f>BD12/SUM(Consolidado!AZ34:BD34)</f>
        <v>0.22225148237506775</v>
      </c>
      <c r="BE16" s="281">
        <f>BE12/SUM(Consolidado!BA34:BE34)</f>
        <v>0.16130896630046132</v>
      </c>
      <c r="BF16" s="281">
        <f>BF12/SUM(Consolidado!BB34:BF34)</f>
        <v>0.25820089200951846</v>
      </c>
      <c r="BG16" s="281">
        <f>BG12/SUM(Consolidado!BC34:BG34)</f>
        <v>0.28715283533519187</v>
      </c>
    </row>
    <row r="17" spans="1:59" s="283" customFormat="1" x14ac:dyDescent="0.2">
      <c r="A17" s="13"/>
      <c r="B17" s="280" t="s">
        <v>509</v>
      </c>
      <c r="C17" s="281">
        <f>+(BP!K43+BP!K44+BP!K62+BP!K75+BP!K64)/BP!K78</f>
        <v>0.69584907464970591</v>
      </c>
      <c r="D17" s="281">
        <f>+(BP!L43+BP!L44+BP!L62+BP!L75+BP!L64)/BP!L78</f>
        <v>0.81221317469900212</v>
      </c>
      <c r="E17" s="281">
        <f>+(BP!M43+BP!M44+BP!M62+BP!M75+BP!M64)/BP!M78</f>
        <v>0.83580577517073307</v>
      </c>
      <c r="F17" s="281">
        <f>+(BP!N43+BP!N44+BP!N62+BP!N75+BP!N64)/BP!N78</f>
        <v>0.8494684764563839</v>
      </c>
      <c r="G17" s="281">
        <f>+(BP!O43+BP!O44+BP!O62+BP!O75+BP!O64)/BP!O78</f>
        <v>1.3756140957148728</v>
      </c>
      <c r="H17" s="281">
        <f>+(BP!P43+BP!P44+BP!P62+BP!P75+BP!P64)/BP!P78</f>
        <v>1.5877715394479639</v>
      </c>
      <c r="I17" s="281">
        <f>+(BP!Q43+BP!Q44+BP!Q62+BP!Q75+BP!Q64)/BP!Q78</f>
        <v>1.1759189380371857</v>
      </c>
      <c r="J17" s="281">
        <f>+(BP!R43+BP!R44+BP!R62+BP!R75+BP!R64)/BP!R78</f>
        <v>1.3150371071375206</v>
      </c>
      <c r="K17" s="281">
        <f>+(BP!S43+BP!S44+BP!S62+BP!S75+BP!S64)/BP!S78</f>
        <v>1.281198973641241</v>
      </c>
      <c r="L17" s="282">
        <f>+(BP!T43+BP!T44+BP!T62+BP!T75+BP!T64)/BP!T78</f>
        <v>1.1064464619251442</v>
      </c>
      <c r="M17" s="281">
        <f>+(BP!U43+BP!U44+BP!U62+BP!U75+BP!U64)/BP!U78</f>
        <v>1.4270918209256687</v>
      </c>
      <c r="N17" s="281">
        <f>+(BP!V43+BP!V44+BP!V62+BP!V75+BP!V64)/BP!V78</f>
        <v>1.4066810826933114</v>
      </c>
      <c r="O17" s="281">
        <f>O12/BP!W78</f>
        <v>1.3266879377011058</v>
      </c>
      <c r="P17" s="281">
        <f>+(BP!X43+BP!X44+BP!X62+BP!X75+BP!X64)/BP!X78</f>
        <v>0.98215820746709059</v>
      </c>
      <c r="Q17" s="281">
        <f>+(BP!Y43+BP!Y44+BP!Y62+BP!Y75+BP!Y64)/BP!Y78</f>
        <v>0.97997757315679379</v>
      </c>
      <c r="R17" s="281">
        <f>+(BP!Z43+BP!Z44+BP!Z62+BP!Z75+BP!Z64)/BP!Z78</f>
        <v>0.99708235371397758</v>
      </c>
      <c r="S17" s="281">
        <f>+(BP!AA43+BP!AA44+BP!AA62+BP!AA75+BP!AA64)/BP!AA78</f>
        <v>0.94234278437188168</v>
      </c>
      <c r="T17" s="281">
        <f>+(BP!AB43+BP!AB44+BP!AB62+BP!AB75+BP!AB64)/BP!AB78</f>
        <v>0.94624834969369209</v>
      </c>
      <c r="U17" s="281">
        <f>+(BP!AC43+BP!AC44+BP!AC62+BP!AC75+BP!AC64)/BP!AC78</f>
        <v>0.93396466199319472</v>
      </c>
      <c r="V17" s="281">
        <f>+(BP!AD43+BP!AD44+BP!AD62+BP!AD75+BP!AD64)/BP!AD78</f>
        <v>0.77737904483612696</v>
      </c>
      <c r="W17" s="281">
        <f>+(BP!AE43+BP!AE44+BP!AE62+BP!AE75+BP!AE64)/BP!AE78</f>
        <v>0.581959803220788</v>
      </c>
      <c r="X17" s="281">
        <f>+(BP!AF43+BP!AF44+BP!AF62+BP!AF75+BP!AF64)/BP!AF78</f>
        <v>0.68450257827946404</v>
      </c>
      <c r="Y17" s="281">
        <f>+(BP!AG43+BP!AG44+BP!AG62+BP!AG75+BP!AG64)/BP!AG78</f>
        <v>0.54910149297694255</v>
      </c>
      <c r="Z17" s="281">
        <f>+(BP!AH43+BP!AH44+BP!AH62+BP!AH75+BP!AH64)/BP!AH78</f>
        <v>0.49659318280058645</v>
      </c>
      <c r="AA17" s="281">
        <f>+(BP!AI43+BP!AI44+BP!AI62+BP!AI75+BP!AI64)/BP!AI78</f>
        <v>0.3331208594604172</v>
      </c>
      <c r="AB17" s="281">
        <f>+(BP!AJ43+BP!AJ44+BP!AJ62+BP!AJ75+BP!AJ64)/BP!AJ78</f>
        <v>0.32533788458877255</v>
      </c>
      <c r="AC17" s="281">
        <f>+(BP!AK43+BP!AK44+BP!AK62+BP!AK75+BP!AK64)/BP!AK78</f>
        <v>0.3499199639031832</v>
      </c>
      <c r="AD17" s="281">
        <f>+(BP!AL43+BP!AL44+BP!AL62+BP!AL75+BP!AL64)/BP!AL78</f>
        <v>0.33073753230987751</v>
      </c>
      <c r="AE17" s="281">
        <f>+(BP!AM43+BP!AM44+BP!AM62+BP!AM75+BP!AM64)/BP!AM78</f>
        <v>0.28451189323000753</v>
      </c>
      <c r="AF17" s="281">
        <f>+(BP!AN43+BP!AN44+BP!AN62+BP!AN75+BP!AN64)/BP!AN78</f>
        <v>0.27254381203473943</v>
      </c>
      <c r="AG17" s="281">
        <f>+(BP!AO43+BP!AO44+BP!AO62+BP!AO75+BP!AO64)/BP!AO78</f>
        <v>0.25270928712991253</v>
      </c>
      <c r="AH17" s="281">
        <f>+(BP!AP43+BP!AP44+BP!AP62+BP!AP75+BP!AP64)/BP!AP78</f>
        <v>0.24545671116490081</v>
      </c>
      <c r="AI17" s="281">
        <f>+(BP!AQ43+BP!AQ44+BP!AQ62+BP!AQ75+BP!AQ64)/BP!AQ78</f>
        <v>0.25906397078962445</v>
      </c>
      <c r="AJ17" s="281">
        <f>+(BP!AR43+BP!AR44+BP!AR62+BP!AR75+BP!AR64)/BP!AR78</f>
        <v>0.42005260232372121</v>
      </c>
      <c r="AK17" s="281">
        <f>+(BP!AS43+BP!AS44+BP!AS62+BP!AS75+BP!AS64)/BP!AS78</f>
        <v>0.31203151237121884</v>
      </c>
      <c r="AL17" s="281">
        <f>+(BP!AT43+BP!AT44+BP!AT62+BP!AT75+BP!AT64)/BP!AT78</f>
        <v>0.31026489483129305</v>
      </c>
      <c r="AM17" s="281">
        <f>+(BP!AU43+BP!AU44+BP!AU62+BP!AU75+BP!AU64)/BP!AU78</f>
        <v>0.30173000615588819</v>
      </c>
      <c r="AN17" s="281">
        <f>+(BP!AV43+BP!AV44+BP!AV62+BP!AV75+BP!AV64)/BP!AV78</f>
        <v>0.23198853407335879</v>
      </c>
      <c r="AO17" s="281">
        <f>+(BP!AW43+BP!AW44+BP!AW62+BP!AW75+BP!AW64)/BP!AW78</f>
        <v>0.1909505050595692</v>
      </c>
      <c r="AP17" s="281">
        <f>+(BP!AX43+BP!AX44+BP!AX62+BP!AX75+BP!AX64)/BP!AX78</f>
        <v>0.18933386609160113</v>
      </c>
      <c r="AQ17" s="281">
        <f>+(BP!AY43+BP!AY44+BP!AY62+BP!AY75+BP!AY64)/BP!AY78</f>
        <v>0.17049305017428179</v>
      </c>
      <c r="AR17" s="281">
        <f>+(BP!AZ43+BP!AZ44+BP!AZ62+BP!AZ75+BP!AZ64)/BP!AZ78</f>
        <v>9.6684017055484031E-2</v>
      </c>
      <c r="AS17" s="281">
        <f>+(BP!BA43+BP!BA44+BP!BA62+BP!BA75+BP!BA64)/BP!BA78</f>
        <v>9.0214414044941529E-2</v>
      </c>
      <c r="AT17" s="281">
        <f>+(BP!BB43+BP!BB44+BP!BB62+BP!BB75+BP!BB64)/BP!BB78</f>
        <v>0.13278707995024727</v>
      </c>
      <c r="AU17" s="281">
        <f>+(BP!BC43+BP!BC44+BP!BC62+BP!BC75+BP!BC64)/BP!BC78</f>
        <v>0.11283845542952185</v>
      </c>
      <c r="AV17" s="281">
        <f>+(BP!BD43+BP!BD44+BP!BD62+BP!BD75+BP!BD64)/BP!BD78</f>
        <v>0.11394957437617206</v>
      </c>
      <c r="AW17" s="281">
        <f>+(BP!BE43+BP!BE44+BP!BE62+BP!BE75+BP!BE64)/BP!BE78</f>
        <v>0.11690316314291188</v>
      </c>
      <c r="AX17" s="281">
        <f>+(BP!BF43+BP!BF44+BP!BF62+BP!BF75+BP!BF64)/BP!BF78</f>
        <v>0.12165068189709879</v>
      </c>
      <c r="AY17" s="281">
        <f>+(BP!BG43+BP!BG44+BP!BG62+BP!BG75+BP!BG64)/BP!BG78</f>
        <v>0.12289143369327632</v>
      </c>
      <c r="AZ17" s="281">
        <f>+(BP!BH43+BP!BH44+BP!BH62+BP!BH75+BP!BH64)/BP!BH78</f>
        <v>0.1193001812593585</v>
      </c>
      <c r="BA17" s="281">
        <f>+(BP!BI43+BP!BI44+BP!BI62+BP!BI75+BP!BI64)/BP!BI78</f>
        <v>0.11847328552354409</v>
      </c>
      <c r="BB17" s="281">
        <f>+(BP!BJ43+BP!BJ44+BP!BJ62+BP!BJ75+BP!BJ64)/BP!BJ78</f>
        <v>0.11503686202327087</v>
      </c>
      <c r="BC17" s="281">
        <f>+(BP!BK43+BP!BK44+BP!BK62+BP!BK75+BP!BK64)/BP!BK78</f>
        <v>0.11426804110893411</v>
      </c>
      <c r="BD17" s="281">
        <f>+(BP!BL43+BP!BL44+BP!BL62+BP!BL75+BP!BL64)/BP!BL78</f>
        <v>0.11194844965415324</v>
      </c>
      <c r="BE17" s="281">
        <f>+(BP!BM43+BP!BM44+BP!BM62+BP!BM75+BP!BM64)/BP!BM78</f>
        <v>8.7193695808110677E-2</v>
      </c>
      <c r="BF17" s="281">
        <f>+(BP!BN43+BP!BN44+BP!BN62+BP!BN75+BP!BN64)/BP!BN78</f>
        <v>0.14439948958592486</v>
      </c>
      <c r="BG17" s="281">
        <f>+(BP!BO43+BP!BO44+BP!BO62+BP!BO75+BP!BO64)/BP!BO78</f>
        <v>0.13743306937952926</v>
      </c>
    </row>
    <row r="18" spans="1:59" s="283" customFormat="1" x14ac:dyDescent="0.2">
      <c r="A18" s="13"/>
      <c r="B18" s="280" t="s">
        <v>559</v>
      </c>
      <c r="C18" s="284">
        <f>+(BP!K43+BP!K44+BP!K62+BP!K75+BP!K64)/(C60*C59)</f>
        <v>0.14900874951235682</v>
      </c>
      <c r="D18" s="284">
        <f>+(BP!L43+BP!L44+BP!L62+BP!L75+BP!L64)/(D60*D59)</f>
        <v>0.16902164621539226</v>
      </c>
      <c r="E18" s="284">
        <f>+(BP!M43+BP!M44+BP!M62+BP!M75+BP!M64)/(E60*E59)</f>
        <v>0.16173052106751809</v>
      </c>
      <c r="F18" s="284">
        <f>+(BP!N43+BP!N44+BP!N62+BP!N75+BP!N64)/(F60*F59)</f>
        <v>0.1601302914374301</v>
      </c>
      <c r="G18" s="284">
        <f>+(BP!O43+BP!O44+BP!O62+BP!O75+BP!O64)/(G60*G59)</f>
        <v>0.27748986383969643</v>
      </c>
      <c r="H18" s="284">
        <f>+(BP!P43+BP!P44+BP!P62+BP!P75+BP!P64)/(H60*H59)</f>
        <v>0.38132781894345574</v>
      </c>
      <c r="I18" s="284">
        <f>+(BP!Q43+BP!Q44+BP!Q62+BP!Q75+BP!Q64)/(I60*I59)</f>
        <v>0.34666400324759905</v>
      </c>
      <c r="J18" s="284">
        <f>+(BP!R43+BP!R44+BP!R62+BP!R75+BP!R64)/(J60*J59)</f>
        <v>0.3918491126258497</v>
      </c>
      <c r="K18" s="284">
        <f>+(BP!S43+BP!S44+BP!S62+BP!S75+BP!S64)/(K60*K59)</f>
        <v>0.41763513240622135</v>
      </c>
      <c r="L18" s="285">
        <f>+(BP!T43+BP!T44+BP!T62+BP!T75+BP!T64)/(L60*L59)</f>
        <v>0.32770603122755598</v>
      </c>
      <c r="M18" s="284">
        <f>+(BP!U43+BP!U44+BP!U62+BP!U75+BP!U64)/(M60*M59)</f>
        <v>0.40670168933963385</v>
      </c>
      <c r="N18" s="284">
        <f>+(BP!V43+BP!V44+BP!V62+BP!V75+BP!V64)/(N60*N59)</f>
        <v>0.4453063565380162</v>
      </c>
      <c r="O18" s="284">
        <f>+(BP!W43+BP!W44+BP!W62+BP!W75+BP!W64)/(O60*O59)</f>
        <v>0.57769811622255562</v>
      </c>
      <c r="P18" s="284">
        <f>+(BP!X43+BP!X44+BP!X62+BP!X75+BP!X64)/(P60*P59)</f>
        <v>0.40613553133486302</v>
      </c>
      <c r="Q18" s="284">
        <f>+(BP!Y43+BP!Y44+BP!Y62+BP!Y75+BP!Y64)/(Q60*Q59)</f>
        <v>0.90944099577847792</v>
      </c>
      <c r="R18" s="284">
        <f>+(BP!Z43+BP!Z44+BP!Z62+BP!Z75+BP!Z64)/(R60*R59)</f>
        <v>1.3451034300510822</v>
      </c>
      <c r="S18" s="284">
        <f>+(BP!AA43+BP!AA44+BP!AA62+BP!AA75+BP!AA64)/(S60*S59)</f>
        <v>1.3235631935470991</v>
      </c>
      <c r="T18" s="284">
        <f>+(BP!AB43+BP!AB44+BP!AB62+BP!AB75+BP!AB64)/(T60*T59)</f>
        <v>1.0078784038759383</v>
      </c>
      <c r="U18" s="284">
        <f>+(BP!AC43+BP!AC44+BP!AC62+BP!AC75+BP!AC64)/(U60*U59)</f>
        <v>0.62530725270657161</v>
      </c>
      <c r="V18" s="284">
        <f>+(BP!AD43+BP!AD44+BP!AD62+BP!AD75+BP!AD64)/(V60*V59)</f>
        <v>0.57001783496497727</v>
      </c>
      <c r="W18" s="284">
        <f>+(BP!AE43+BP!AE44+BP!AE62+BP!AE75+BP!AE64)/(W60*W59)</f>
        <v>0.32797508758449517</v>
      </c>
      <c r="X18" s="284">
        <f>+(BP!AF43+BP!AF44+BP!AF62+BP!AF75+BP!AF64)/(X60*X59)</f>
        <v>0.31818054639377991</v>
      </c>
      <c r="Y18" s="284">
        <f>+(BP!AG43+BP!AG44+BP!AG62+BP!AG75+BP!AG64)/(Y60*Y59)</f>
        <v>0.20674983538854902</v>
      </c>
      <c r="Z18" s="284">
        <f>+(BP!AH43+BP!AH44+BP!AH62+BP!AH75+BP!AH64)/(Z60*Z59)</f>
        <v>0.17106026590607692</v>
      </c>
      <c r="AA18" s="284">
        <f>+(BP!AI43+BP!AI44+BP!AI62+BP!AI75+BP!AI64)/(AA60*AA59)</f>
        <v>0.10276246261774588</v>
      </c>
      <c r="AB18" s="284">
        <f>+(BP!AJ43+BP!AJ44+BP!AJ62+BP!AJ75+BP!AJ64)/(AB60*AB59)</f>
        <v>0.11312300708582364</v>
      </c>
      <c r="AC18" s="284">
        <f>+(BP!AK43+BP!AK44+BP!AK62+BP!AK75+BP!AK64)/(AC60*AC59)</f>
        <v>0.12438467040693975</v>
      </c>
      <c r="AD18" s="284">
        <f>+(BP!AL43+BP!AL44+BP!AL62+BP!AL75+BP!AL64)/(AD60*AD59)</f>
        <v>0.10419899740981282</v>
      </c>
      <c r="AE18" s="284">
        <f>+(BP!AM43+BP!AM44+BP!AM62+BP!AM75+BP!AM64)/(AE60*AE59)</f>
        <v>7.8364084308393825E-2</v>
      </c>
      <c r="AF18" s="284">
        <f>+(BP!AN43+BP!AN44+BP!AN62+BP!AN75+BP!AN64)/(AF60*AF59)</f>
        <v>7.9466755189762844E-2</v>
      </c>
      <c r="AG18" s="284">
        <f>+(BP!AO43+BP!AO44+BP!AO62+BP!AO75+BP!AO64)/(AG60*AG59)</f>
        <v>7.0158106533429243E-2</v>
      </c>
      <c r="AH18" s="284">
        <f>+(BP!AP43+BP!AP44+BP!AP62+BP!AP75+BP!AP64)/(AH60*AH59)</f>
        <v>6.5976982712857665E-2</v>
      </c>
      <c r="AI18" s="284">
        <f>+(BP!AQ43+BP!AQ44+BP!AQ62+BP!AQ75+BP!AQ64)/(AI60*AI59)</f>
        <v>6.7839848085465906E-2</v>
      </c>
      <c r="AJ18" s="284">
        <f>+(BP!AR43+BP!AR44+BP!AR62+BP!AR75+BP!AR64)/(AJ60*AJ59)</f>
        <v>0.18880894387324226</v>
      </c>
      <c r="AK18" s="284">
        <f>+(BP!AS43+BP!AS44+BP!AS62+BP!AS75+BP!AS64)/(AK60*AK59)</f>
        <v>0.11634875350056631</v>
      </c>
      <c r="AL18" s="284">
        <f>+(BP!AT43+BP!AT44+BP!AT62+BP!AT75+BP!AT64)/(AL60*AL59)</f>
        <v>0.11769140729472037</v>
      </c>
      <c r="AM18" s="284">
        <f>+(BP!AU43+BP!AU44+BP!AU62+BP!AU75+BP!AU64)/(AM60*AM59)</f>
        <v>0.12918561451040478</v>
      </c>
      <c r="AN18" s="284">
        <f>+(BP!AV43+BP!AV44+BP!AV62+BP!AV75+BP!AV64)/(AN60*AN59)</f>
        <v>0.10084196609766005</v>
      </c>
      <c r="AO18" s="284">
        <f>+(BP!AW43+BP!AW44+BP!AW62+BP!AW75+BP!AW64)/(AO60*AO59)</f>
        <v>9.6024164754778291E-2</v>
      </c>
      <c r="AP18" s="284">
        <f>+(BP!AX43+BP!AX44+BP!AX62+BP!AX75+BP!AX64)/(AP60*AP59)</f>
        <v>0.12390431066990282</v>
      </c>
      <c r="AQ18" s="284">
        <f>+(BP!AY43+BP!AY44+BP!AY62+BP!AY75+BP!AY64)/(AQ60*AQ59)</f>
        <v>0.12307482181241232</v>
      </c>
      <c r="AR18" s="284">
        <f>+(BP!AZ43+BP!AZ44+BP!AZ62+BP!AZ75+BP!AZ64)/(AR60*AR59)</f>
        <v>6.9984688528750519E-2</v>
      </c>
      <c r="AS18" s="284">
        <f>+(BP!BA43+BP!BA44+BP!BA62+BP!BA75+BP!BA64)/(AS60*AS59)</f>
        <v>6.1957293616841609E-2</v>
      </c>
      <c r="AT18" s="284">
        <f>+(BP!BB43+BP!BB44+BP!BB62+BP!BB75+BP!BB64)/(AT60*AT59)</f>
        <v>7.3840906028088252E-2</v>
      </c>
      <c r="AU18" s="284">
        <f>+(BP!BC43+BP!BC44+BP!BC62+BP!BC75+BP!BC64)/(AU60*AU59)</f>
        <v>7.5102652147865392E-2</v>
      </c>
      <c r="AV18" s="284">
        <f>+(BP!BD43+BP!BD44+BP!BD62+BP!BD75+BP!BD64)/(AV60*AV59)</f>
        <v>7.0155873206078675E-2</v>
      </c>
      <c r="AW18" s="284">
        <f>+(BP!BE43+BP!BE44+BP!BE62+BP!BE75+BP!BE64)/(AW60*AW59)</f>
        <v>6.0105256763418866E-2</v>
      </c>
      <c r="AX18" s="284">
        <f>+(BP!BF43+BP!BF44+BP!BF62+BP!BF75+BP!BF64)/(AX60*AX59)</f>
        <v>5.980228444645358E-2</v>
      </c>
      <c r="AY18" s="284">
        <f>+(BP!BG43+BP!BG44+BP!BG62+BP!BG75+BP!BG64)/(AY60*AY59)</f>
        <v>6.0658261927511697E-2</v>
      </c>
      <c r="AZ18" s="284">
        <f>+(BP!BH43+BP!BH44+BP!BH62+BP!BH75+BP!BH64)/(AZ60*AZ59)</f>
        <v>6.4425142298809621E-2</v>
      </c>
      <c r="BA18" s="284">
        <f>+(BP!BI43+BP!BI44+BP!BI62+BP!BI75+BP!BI64)/(BA60*BA59)</f>
        <v>6.1795687120318396E-2</v>
      </c>
      <c r="BB18" s="284">
        <f>+(BP!BJ43+BP!BJ44+BP!BJ62+BP!BJ75+BP!BJ64)/(BB60*BB59)</f>
        <v>5.4396557993551295E-2</v>
      </c>
      <c r="BC18" s="284">
        <f>+(BP!BK43+BP!BK44+BP!BK62+BP!BK75+BP!BK64)/(BC60*BC59)</f>
        <v>5.3230680150158569E-2</v>
      </c>
      <c r="BD18" s="284">
        <f>+(BP!BL43+BP!BL44+BP!BL62+BP!BL75+BP!BL64)/(BD60*BD59)</f>
        <v>4.7788490645404733E-2</v>
      </c>
      <c r="BE18" s="284">
        <f>+(BP!BM43+BP!BM44+BP!BM62+BP!BM75+BP!BM64)/(BE60*BE59)</f>
        <v>3.59142103112568E-2</v>
      </c>
      <c r="BF18" s="284">
        <f>+(BP!BN43+BP!BN44+BP!BN62+BP!BN75+BP!BN64)/(BF60*BF59)</f>
        <v>5.239563570383092E-2</v>
      </c>
      <c r="BG18" s="284">
        <f>+(BP!BO43+BP!BO44+BP!BO62+BP!BO75+BP!BO64)/(BG60*BG59)</f>
        <v>5.2085297123163531E-2</v>
      </c>
    </row>
    <row r="19" spans="1:59" s="283" customFormat="1" ht="13.5" x14ac:dyDescent="0.2">
      <c r="A19" s="13"/>
      <c r="B19" s="460" t="s">
        <v>550</v>
      </c>
      <c r="C19" s="286">
        <v>0</v>
      </c>
      <c r="D19" s="286">
        <v>0</v>
      </c>
      <c r="E19" s="286">
        <v>0</v>
      </c>
      <c r="F19" s="286">
        <f>-SUM(Consolidado!C34:F34)/SUM(Consolidado!C40:F40)</f>
        <v>5.3466294495467919</v>
      </c>
      <c r="G19" s="286">
        <f>-SUM(Consolidado!D34:G34)/SUM(Consolidado!D40:G40)</f>
        <v>4.7790112537741312</v>
      </c>
      <c r="H19" s="286">
        <f>-SUM(Consolidado!E34:H34)/SUM(Consolidado!E40:H40)</f>
        <v>6.4544647387113141</v>
      </c>
      <c r="I19" s="286">
        <f>-SUM(Consolidado!F34:I34)/SUM(Consolidado!F40:I40)</f>
        <v>4.6289831914697475</v>
      </c>
      <c r="J19" s="286">
        <f>-SUM(Consolidado!G34:J34)/SUM(Consolidado!G40:J40)</f>
        <v>3.9516191260063271</v>
      </c>
      <c r="K19" s="286">
        <f>-SUM(Consolidado!H34:K34)/SUM(Consolidado!H40:K40)</f>
        <v>3.9746823187704226</v>
      </c>
      <c r="L19" s="287">
        <f>-SUM(Consolidado!I34:L34)/SUM(Consolidado!I40:L40)</f>
        <v>3.1749298224805282</v>
      </c>
      <c r="M19" s="286">
        <f>-SUM(Consolidado!J34:M34)/SUM(Consolidado!J40:M40)</f>
        <v>3.4720781271144392</v>
      </c>
      <c r="N19" s="286">
        <f>-SUM(Consolidado!K34:N34)/SUM(Consolidado!K40:N40)</f>
        <v>3.6469990047167768</v>
      </c>
      <c r="O19" s="286">
        <f>-SUM(Consolidado!L34:O34)/SUM(Consolidado!L40:O40)</f>
        <v>3.718765030576487</v>
      </c>
      <c r="P19" s="286">
        <f>-SUM(Consolidado!M34:P34)/SUM(Consolidado!M40:P40)</f>
        <v>3.5684500357718658</v>
      </c>
      <c r="Q19" s="286">
        <f>-SUM(Consolidado!N34:Q34)/SUM(Consolidado!N40:Q40)</f>
        <v>3.4162834359723551</v>
      </c>
      <c r="R19" s="286">
        <f>-SUM(Consolidado!O34:R34)/SUM(Consolidado!O40:R40)</f>
        <v>3.0024235600135345</v>
      </c>
      <c r="S19" s="286">
        <f>-SUM(Consolidado!P34:S34)/SUM(Consolidado!P40:S40)</f>
        <v>2.6182867027416385</v>
      </c>
      <c r="T19" s="286">
        <f>-SUM(Consolidado!Q34:T34)/SUM(Consolidado!Q40:T40)</f>
        <v>2.528274070723231</v>
      </c>
      <c r="U19" s="286">
        <f>-SUM(Consolidado!R34:U34)/SUM(Consolidado!R40:U40)</f>
        <v>2.4159786148202369</v>
      </c>
      <c r="V19" s="286">
        <f>-SUM(Consolidado!S34:V34)/SUM(Consolidado!S40:V40)</f>
        <v>2.9778116108408499</v>
      </c>
      <c r="W19" s="286">
        <f>-SUM(Consolidado!T34:W34)/SUM(Consolidado!T40:W40)</f>
        <v>3.7521644694408436</v>
      </c>
      <c r="X19" s="286">
        <f>-SUM(Consolidado!U34:X34)/SUM(Consolidado!U40:X40)</f>
        <v>6.8266400981966244</v>
      </c>
      <c r="Y19" s="286">
        <f>-SUM(Consolidado!V34:Y34)/SUM(Consolidado!V40:Y40)</f>
        <v>16.053482023369082</v>
      </c>
      <c r="Z19" s="286" t="s">
        <v>160</v>
      </c>
      <c r="AA19" s="286" t="s">
        <v>160</v>
      </c>
      <c r="AB19" s="286" t="s">
        <v>160</v>
      </c>
      <c r="AC19" s="286" t="s">
        <v>160</v>
      </c>
      <c r="AD19" s="286">
        <f>-SUM(Consolidado!AA34:AD34)/SUM(Consolidado!AA40:AD40)</f>
        <v>21.981576868610489</v>
      </c>
      <c r="AE19" s="286">
        <f>-SUM(Consolidado!AB34:AE34)/SUM(Consolidado!AB40:AE40)</f>
        <v>24.868551478948159</v>
      </c>
      <c r="AF19" s="286">
        <f>-SUM(Consolidado!AC34:AF34)/SUM(Consolidado!AC40:AF40)</f>
        <v>21.956533156783561</v>
      </c>
      <c r="AG19" s="286" t="s">
        <v>160</v>
      </c>
      <c r="AH19" s="286" t="s">
        <v>160</v>
      </c>
      <c r="AI19" s="286" t="s">
        <v>160</v>
      </c>
      <c r="AJ19" s="286" t="s">
        <v>160</v>
      </c>
      <c r="AK19" s="286">
        <f>-SUM(Consolidado!AH34:AK34)/SUM(Consolidado!AH40:AK40)</f>
        <v>17.002103556743851</v>
      </c>
      <c r="AL19" s="286">
        <f>-SUM(Consolidado!AI34:AL34)/SUM(Consolidado!AI40:AL40)</f>
        <v>17.74811044713563</v>
      </c>
      <c r="AM19" s="286">
        <f>-SUM(Consolidado!AJ34:AM34)/SUM(Consolidado!AJ40:AM40)</f>
        <v>16.079585475032609</v>
      </c>
      <c r="AN19" s="286">
        <f>-SUM(Consolidado!AK34:AN34)/SUM(Consolidado!AK40:AN40)</f>
        <v>31.445550506493145</v>
      </c>
      <c r="AO19" s="286">
        <f>-SUM(Consolidado!AL34:AO34)/SUM(Consolidado!AL40:AO40)</f>
        <v>41.290286830477761</v>
      </c>
      <c r="AP19" s="286">
        <f>-SUM(Consolidado!AM34:AP34)/SUM(Consolidado!AM40:AP40)</f>
        <v>53.555773337668619</v>
      </c>
      <c r="AQ19" s="286">
        <f>-SUM(Consolidado!AN34:AQ34)/SUM(Consolidado!AN40:AQ40)</f>
        <v>229.30509319318034</v>
      </c>
      <c r="AR19" s="286">
        <f>-SUM(Consolidado!AO34:AR34)/SUM(Consolidado!AO40:AR40)</f>
        <v>75.311819373384793</v>
      </c>
      <c r="AS19" s="286">
        <f>-SUM(Consolidado!AP34:AS34)/SUM(Consolidado!AP40:AS40)</f>
        <v>157.7690864649191</v>
      </c>
      <c r="AT19" s="286" t="s">
        <v>160</v>
      </c>
      <c r="AU19" s="286" t="s">
        <v>160</v>
      </c>
      <c r="AV19" s="286" t="s">
        <v>160</v>
      </c>
      <c r="AW19" s="286" t="s">
        <v>160</v>
      </c>
      <c r="AX19" s="286" t="s">
        <v>160</v>
      </c>
      <c r="AY19" s="286" t="s">
        <v>160</v>
      </c>
      <c r="AZ19" s="286" t="s">
        <v>160</v>
      </c>
      <c r="BA19" s="286" t="s">
        <v>160</v>
      </c>
      <c r="BB19" s="286" t="s">
        <v>160</v>
      </c>
      <c r="BC19" s="286" t="s">
        <v>160</v>
      </c>
      <c r="BD19" s="286" t="s">
        <v>160</v>
      </c>
      <c r="BE19" s="286" t="s">
        <v>160</v>
      </c>
      <c r="BF19" s="286" t="s">
        <v>160</v>
      </c>
      <c r="BG19" s="286" t="s">
        <v>160</v>
      </c>
    </row>
    <row r="20" spans="1:59" s="283" customFormat="1" ht="13.5" x14ac:dyDescent="0.2">
      <c r="A20" s="13"/>
      <c r="B20" s="460" t="s">
        <v>520</v>
      </c>
      <c r="C20" s="286">
        <v>0</v>
      </c>
      <c r="D20" s="286">
        <v>0</v>
      </c>
      <c r="E20" s="286">
        <v>0</v>
      </c>
      <c r="F20" s="286">
        <f>+(F12-F13)/SUM(Consolidado!C34:F34)</f>
        <v>1.3228377839776804</v>
      </c>
      <c r="G20" s="286">
        <f>+(G12-G13)/SUM(Consolidado!D34:G34)</f>
        <v>1.4809539307844977</v>
      </c>
      <c r="H20" s="286">
        <f>+(H12-H13)/SUM(Consolidado!E34:H34)</f>
        <v>1.8282731018400247</v>
      </c>
      <c r="I20" s="286">
        <f>+(I12-I13)/SUM(Consolidado!F34:I34)</f>
        <v>1.8327015885449511</v>
      </c>
      <c r="J20" s="286">
        <f>+(J12-J13)/SUM(Consolidado!G34:J34)</f>
        <v>1.8237966609171088</v>
      </c>
      <c r="K20" s="286">
        <f>+(K12-K13)/SUM(Consolidado!H34:K34)</f>
        <v>1.6681099053673865</v>
      </c>
      <c r="L20" s="287">
        <f>+(L12-L13)/SUM(Consolidado!I34:L34)</f>
        <v>1.4729059131918285</v>
      </c>
      <c r="M20" s="286">
        <f>+(M12-M13)/SUM(Consolidado!J34:M34)</f>
        <v>1.9679625840397545</v>
      </c>
      <c r="N20" s="286">
        <f>+(N12-N13)/SUM(Consolidado!K34:N34)</f>
        <v>1.5749865030820434</v>
      </c>
      <c r="O20" s="286">
        <f>+(O12-O13)/SUM(Consolidado!L34:O34)</f>
        <v>1.1313337234009793</v>
      </c>
      <c r="P20" s="286">
        <f>+(P12-P13)/SUM(Consolidado!M34:P34)</f>
        <v>1.6446434823743405</v>
      </c>
      <c r="Q20" s="286">
        <f>+(Q12-Q13)/SUM(Consolidado!N34:Q34)</f>
        <v>1.2895233646001161</v>
      </c>
      <c r="R20" s="286">
        <f>+(R12-R13)/SUM(Consolidado!O34:R34)</f>
        <v>1.5163991727748714</v>
      </c>
      <c r="S20" s="286">
        <f>+(S12-S13)/SUM(Consolidado!P34:S34)</f>
        <v>1.2237990007097359</v>
      </c>
      <c r="T20" s="286">
        <f>+(T12-T13)/SUM(Consolidado!Q34:T34)</f>
        <v>1.3911589155466977</v>
      </c>
      <c r="U20" s="286">
        <f>+(U12-U13)/SUM(Consolidado!R34:U34)</f>
        <v>1.0970680216400537</v>
      </c>
      <c r="V20" s="286">
        <f>+(V12-V13)/SUM(Consolidado!S34:V34)</f>
        <v>1.1096119265116966</v>
      </c>
      <c r="W20" s="286">
        <f>+(W12-W13)/SUM(Consolidado!T34:W34)</f>
        <v>1.0026088916234503</v>
      </c>
      <c r="X20" s="286">
        <f>+(X12-X13)/SUM(Consolidado!U34:X34)</f>
        <v>0.85298399753163789</v>
      </c>
      <c r="Y20" s="286">
        <f>+(Y12-Y13)/SUM(Consolidado!V34:Y34)</f>
        <v>0.60904666001594288</v>
      </c>
      <c r="Z20" s="286">
        <f>+(Z12-Z13)/SUM(Consolidado!W34:Z34)</f>
        <v>0.55009861383511816</v>
      </c>
      <c r="AA20" s="286">
        <f>+(AA12-AA13)/SUM(Consolidado!X34:AA34)</f>
        <v>0.2003008917162131</v>
      </c>
      <c r="AB20" s="286">
        <f>+(AB12-AB13)/SUM(Consolidado!Y34:AB34)</f>
        <v>0.35838525381344266</v>
      </c>
      <c r="AC20" s="286">
        <f>+(AC12-AC13)/SUM(Consolidado!Z34:AC34)</f>
        <v>0.34425136947099372</v>
      </c>
      <c r="AD20" s="286">
        <f>+(AD12-AD13)/SUM(Consolidado!AA34:AD34)</f>
        <v>0.37434425587064901</v>
      </c>
      <c r="AE20" s="286">
        <f>+(AE12-AE13)/SUM(Consolidado!AB34:AE34)</f>
        <v>0.15297739766762622</v>
      </c>
      <c r="AF20" s="286">
        <f>+(AF12-AF13)/SUM(Consolidado!AC34:AF34)</f>
        <v>0.13206537552070433</v>
      </c>
      <c r="AG20" s="286">
        <f>+(AG12-AG13)/SUM(Consolidado!AD34:AG34)</f>
        <v>0.11284317955501118</v>
      </c>
      <c r="AH20" s="286">
        <f>+(AH12-AH13)/SUM(Consolidado!AE34:AH34)</f>
        <v>0.28025081116842049</v>
      </c>
      <c r="AI20" s="286">
        <f>+(AI12-AI13)/SUM(Consolidado!AE34:AI34)</f>
        <v>2.5752329341944814E-2</v>
      </c>
      <c r="AJ20" s="286" t="s">
        <v>160</v>
      </c>
      <c r="AK20" s="286" t="s">
        <v>160</v>
      </c>
      <c r="AL20" s="286" t="s">
        <v>160</v>
      </c>
      <c r="AM20" s="286" t="s">
        <v>160</v>
      </c>
      <c r="AN20" s="286" t="s">
        <v>160</v>
      </c>
      <c r="AO20" s="286" t="s">
        <v>160</v>
      </c>
      <c r="AP20" s="286" t="s">
        <v>160</v>
      </c>
      <c r="AQ20" s="286" t="s">
        <v>160</v>
      </c>
      <c r="AR20" s="286" t="s">
        <v>160</v>
      </c>
      <c r="AS20" s="286" t="s">
        <v>160</v>
      </c>
      <c r="AT20" s="286" t="s">
        <v>160</v>
      </c>
      <c r="AU20" s="286" t="s">
        <v>160</v>
      </c>
      <c r="AV20" s="286" t="s">
        <v>160</v>
      </c>
      <c r="AW20" s="286" t="s">
        <v>160</v>
      </c>
      <c r="AX20" s="286" t="s">
        <v>160</v>
      </c>
      <c r="AY20" s="286" t="s">
        <v>160</v>
      </c>
      <c r="AZ20" s="286" t="s">
        <v>160</v>
      </c>
      <c r="BA20" s="286" t="s">
        <v>160</v>
      </c>
      <c r="BB20" s="286" t="s">
        <v>160</v>
      </c>
      <c r="BC20" s="286" t="s">
        <v>160</v>
      </c>
      <c r="BD20" s="286" t="s">
        <v>160</v>
      </c>
      <c r="BE20" s="286" t="s">
        <v>160</v>
      </c>
      <c r="BF20" s="1220">
        <f>+(BF12-BF13)/SUM(Consolidado!BB34:BF34)</f>
        <v>2.4784825600596097E-2</v>
      </c>
      <c r="BG20" s="286" t="s">
        <v>160</v>
      </c>
    </row>
    <row r="21" spans="1:59" ht="7.35" customHeight="1" x14ac:dyDescent="0.2">
      <c r="A21" s="10"/>
      <c r="B21" s="10"/>
      <c r="C21" s="11"/>
      <c r="D21" s="11"/>
      <c r="E21" s="11"/>
      <c r="F21" s="11"/>
      <c r="G21" s="11"/>
      <c r="H21" s="11"/>
      <c r="I21" s="11"/>
      <c r="J21" s="11"/>
      <c r="K21" s="11"/>
      <c r="L21" s="11"/>
      <c r="M21" s="11"/>
      <c r="N21" s="11"/>
      <c r="O21" s="11"/>
      <c r="P21" s="11"/>
    </row>
    <row r="22" spans="1:59" x14ac:dyDescent="0.2">
      <c r="A22" s="10"/>
      <c r="B22" s="10" t="s">
        <v>714</v>
      </c>
      <c r="C22" s="11"/>
      <c r="D22" s="11"/>
      <c r="E22" s="11"/>
      <c r="F22" s="11"/>
      <c r="G22" s="11"/>
      <c r="H22" s="11"/>
      <c r="I22" s="11"/>
      <c r="J22" s="1235" t="str">
        <f>J10</f>
        <v>&lt;== Com Direct Express</v>
      </c>
      <c r="K22" s="1236"/>
      <c r="L22" s="224" t="str">
        <f>L10</f>
        <v>Sem Direct Express ==&gt;</v>
      </c>
      <c r="M22" s="223"/>
      <c r="N22" s="11"/>
      <c r="O22" s="11"/>
      <c r="P22" s="11"/>
    </row>
    <row r="23" spans="1:59" x14ac:dyDescent="0.2">
      <c r="A23" s="10"/>
      <c r="B23" s="127" t="s">
        <v>512</v>
      </c>
      <c r="C23" s="141" t="str">
        <f t="shared" ref="C23:AE23" si="9">+C$3</f>
        <v>1T12</v>
      </c>
      <c r="D23" s="141" t="str">
        <f t="shared" si="9"/>
        <v>2T12</v>
      </c>
      <c r="E23" s="141" t="str">
        <f t="shared" si="9"/>
        <v>3T12</v>
      </c>
      <c r="F23" s="141" t="str">
        <f t="shared" si="9"/>
        <v>4T12</v>
      </c>
      <c r="G23" s="141" t="str">
        <f t="shared" si="9"/>
        <v>1T13</v>
      </c>
      <c r="H23" s="141" t="str">
        <f t="shared" si="9"/>
        <v>2T13</v>
      </c>
      <c r="I23" s="141" t="str">
        <f t="shared" si="9"/>
        <v>3T13</v>
      </c>
      <c r="J23" s="141" t="str">
        <f t="shared" si="9"/>
        <v>4T13</v>
      </c>
      <c r="K23" s="141" t="str">
        <f t="shared" si="9"/>
        <v>1T14</v>
      </c>
      <c r="L23" s="141" t="str">
        <f t="shared" si="9"/>
        <v>2T14</v>
      </c>
      <c r="M23" s="141" t="str">
        <f t="shared" si="9"/>
        <v>3T14</v>
      </c>
      <c r="N23" s="141" t="str">
        <f t="shared" si="9"/>
        <v>4T14</v>
      </c>
      <c r="O23" s="141" t="str">
        <f t="shared" si="9"/>
        <v>1T15</v>
      </c>
      <c r="P23" s="141" t="str">
        <f t="shared" si="9"/>
        <v>2T15</v>
      </c>
      <c r="Q23" s="141" t="str">
        <f t="shared" si="9"/>
        <v>3T15</v>
      </c>
      <c r="R23" s="141" t="str">
        <f t="shared" si="9"/>
        <v>4T15</v>
      </c>
      <c r="S23" s="141" t="str">
        <f t="shared" si="9"/>
        <v>1T16</v>
      </c>
      <c r="T23" s="141" t="str">
        <f t="shared" si="9"/>
        <v>2T16</v>
      </c>
      <c r="U23" s="141" t="str">
        <f t="shared" si="9"/>
        <v>3T16</v>
      </c>
      <c r="V23" s="141" t="str">
        <f t="shared" si="9"/>
        <v>4T16</v>
      </c>
      <c r="W23" s="141" t="str">
        <f t="shared" si="9"/>
        <v>1T17</v>
      </c>
      <c r="X23" s="141" t="str">
        <f t="shared" si="9"/>
        <v>2T17</v>
      </c>
      <c r="Y23" s="141" t="str">
        <f t="shared" si="9"/>
        <v>3T17</v>
      </c>
      <c r="Z23" s="141" t="str">
        <f t="shared" si="9"/>
        <v>4T17</v>
      </c>
      <c r="AA23" s="141" t="str">
        <f t="shared" si="9"/>
        <v>1T18</v>
      </c>
      <c r="AB23" s="141" t="str">
        <f t="shared" si="9"/>
        <v>2T18</v>
      </c>
      <c r="AC23" s="141" t="str">
        <f t="shared" si="9"/>
        <v>3T18</v>
      </c>
      <c r="AD23" s="141" t="str">
        <f t="shared" si="9"/>
        <v>4T18</v>
      </c>
      <c r="AE23" s="141" t="str">
        <f t="shared" si="9"/>
        <v>1T19</v>
      </c>
      <c r="AF23" s="141" t="str">
        <f t="shared" ref="AF23:BG23" si="10">+AF$3</f>
        <v>2T19</v>
      </c>
      <c r="AG23" s="141" t="str">
        <f t="shared" si="10"/>
        <v>3T19</v>
      </c>
      <c r="AH23" s="141" t="str">
        <f t="shared" si="10"/>
        <v>4T19</v>
      </c>
      <c r="AI23" s="141" t="str">
        <f t="shared" si="10"/>
        <v>1T20</v>
      </c>
      <c r="AJ23" s="141" t="str">
        <f t="shared" si="10"/>
        <v>2T20</v>
      </c>
      <c r="AK23" s="141" t="str">
        <f t="shared" si="10"/>
        <v>3T20</v>
      </c>
      <c r="AL23" s="141" t="str">
        <f t="shared" si="10"/>
        <v>4T20</v>
      </c>
      <c r="AM23" s="141" t="str">
        <f t="shared" si="10"/>
        <v>1T21</v>
      </c>
      <c r="AN23" s="141" t="str">
        <f t="shared" si="10"/>
        <v>2T21</v>
      </c>
      <c r="AO23" s="141" t="str">
        <f t="shared" si="10"/>
        <v>3T21</v>
      </c>
      <c r="AP23" s="141" t="str">
        <f t="shared" si="10"/>
        <v>4T21</v>
      </c>
      <c r="AQ23" s="141" t="str">
        <f t="shared" si="10"/>
        <v>1T22</v>
      </c>
      <c r="AR23" s="141" t="str">
        <f t="shared" si="10"/>
        <v>2T22</v>
      </c>
      <c r="AS23" s="141" t="str">
        <f t="shared" si="10"/>
        <v>3T22</v>
      </c>
      <c r="AT23" s="141" t="str">
        <f t="shared" si="10"/>
        <v>4T22</v>
      </c>
      <c r="AU23" s="141" t="str">
        <f t="shared" si="10"/>
        <v>1T23</v>
      </c>
      <c r="AV23" s="141" t="str">
        <f t="shared" si="10"/>
        <v>2T23</v>
      </c>
      <c r="AW23" s="141" t="str">
        <f t="shared" si="10"/>
        <v>3T23</v>
      </c>
      <c r="AX23" s="141" t="str">
        <f t="shared" si="10"/>
        <v>4T23</v>
      </c>
      <c r="AY23" s="141" t="str">
        <f t="shared" si="10"/>
        <v>1T24</v>
      </c>
      <c r="AZ23" s="141" t="str">
        <f t="shared" si="10"/>
        <v>2T24</v>
      </c>
      <c r="BA23" s="141" t="str">
        <f t="shared" si="10"/>
        <v>3T24</v>
      </c>
      <c r="BB23" s="141" t="str">
        <f t="shared" si="10"/>
        <v>4T24</v>
      </c>
      <c r="BC23" s="141" t="str">
        <f t="shared" si="10"/>
        <v>1T25</v>
      </c>
      <c r="BD23" s="141" t="str">
        <f t="shared" si="10"/>
        <v>2T25</v>
      </c>
      <c r="BE23" s="141" t="str">
        <f t="shared" si="10"/>
        <v>3T25</v>
      </c>
      <c r="BF23" s="141" t="str">
        <f t="shared" si="10"/>
        <v>4T25</v>
      </c>
      <c r="BG23" s="141" t="str">
        <f t="shared" si="10"/>
        <v>1T26</v>
      </c>
    </row>
    <row r="24" spans="1:59" x14ac:dyDescent="0.2">
      <c r="A24" s="10"/>
      <c r="B24" s="612" t="s">
        <v>465</v>
      </c>
      <c r="C24" s="820">
        <v>0</v>
      </c>
      <c r="D24" s="820">
        <v>0</v>
      </c>
      <c r="E24" s="820">
        <v>0</v>
      </c>
      <c r="F24" s="615">
        <f>(SUM(Consolidado!C39:F39)*0.66)/AVERAGE(BP!K39:N39)</f>
        <v>9.7557634888823797E-2</v>
      </c>
      <c r="G24" s="615">
        <f>(SUM(Consolidado!D39:G39)*0.66)/AVERAGE(BP!L39:O39)</f>
        <v>7.888865937069113E-2</v>
      </c>
      <c r="H24" s="615">
        <f>(SUM(Consolidado!E39:H39)*0.66)/AVERAGE(BP!M39:P39)</f>
        <v>6.9673261046188539E-2</v>
      </c>
      <c r="I24" s="615">
        <f>(SUM(Consolidado!F39:I39)*0.66)/AVERAGE(BP!N39:Q39)</f>
        <v>6.3295160608635076E-2</v>
      </c>
      <c r="J24" s="615">
        <f>(SUM(Consolidado!G39:J39)*0.66)/AVERAGE(BP!O39:R39)</f>
        <v>5.7910603145326041E-2</v>
      </c>
      <c r="K24" s="615">
        <f>(SUM(Consolidado!H39:K39)*0.66)/AVERAGE(BP!P39:S39)</f>
        <v>5.9698450664516359E-2</v>
      </c>
      <c r="L24" s="821">
        <f>(SUM(Consolidado!I39:L39)*0.66)/AVERAGE(BP!Q39:T39)</f>
        <v>6.319497982158051E-2</v>
      </c>
      <c r="M24" s="820">
        <f>(SUM(Consolidado!J39:M39)*0.66)/AVERAGE(BP!R39:U39)</f>
        <v>6.2988332342349712E-2</v>
      </c>
      <c r="N24" s="820">
        <f>(SUM(Consolidado!K39:N39)*0.66)/AVERAGE(BP!S39:V39)</f>
        <v>7.9249470248709653E-2</v>
      </c>
      <c r="O24" s="615">
        <f>(SUM(Consolidado!L39:O39)*0.66)/AVERAGE(BP!T39:W39)</f>
        <v>8.5036661593459101E-2</v>
      </c>
      <c r="P24" s="615">
        <f>(SUM(Consolidado!M39:P39)*0.66)/AVERAGE(BP!U39:X39)</f>
        <v>7.4149181122451502E-2</v>
      </c>
      <c r="Q24" s="615">
        <f>(SUM(Consolidado!N39:Q39)*0.66)/AVERAGE(BP!V39:Y39)</f>
        <v>6.3014847008334707E-2</v>
      </c>
      <c r="R24" s="615">
        <f>(SUM(Consolidado!O39:R39)*0.66)/AVERAGE(BP!W39:Z39)</f>
        <v>2.9548600052646586E-2</v>
      </c>
      <c r="S24" s="615">
        <f>(SUM(Consolidado!P39:S39)*0.66)/AVERAGE(BP!X39:AA39)</f>
        <v>2.3464727299654441E-2</v>
      </c>
      <c r="T24" s="615">
        <f>(SUM(Consolidado!Q39:T39)*0.66)/AVERAGE(BP!Y39:AB39)</f>
        <v>2.4449693962648296E-2</v>
      </c>
      <c r="U24" s="615">
        <f>(SUM(Consolidado!R39:U39)*0.66)/AVERAGE(BP!Z39:AC39)</f>
        <v>2.6390698208802597E-2</v>
      </c>
      <c r="V24" s="615">
        <f>(SUM(Consolidado!S39:V39)*0.66)/AVERAGE(BP!AA39:AD39)</f>
        <v>4.5486908259287771E-2</v>
      </c>
      <c r="W24" s="615">
        <f>(SUM(Consolidado!T39:W39)*0.66)/AVERAGE(BP!AB39:AE39)</f>
        <v>5.2981818976474269E-2</v>
      </c>
      <c r="X24" s="615">
        <f>(SUM(Consolidado!U39:X39)*0.66)/AVERAGE(BP!AC39:AF39)</f>
        <v>5.8224092468547359E-2</v>
      </c>
      <c r="Y24" s="615">
        <f>(SUM(Consolidado!V39:Y39)*0.66)/AVERAGE(BP!AD39:AG39)</f>
        <v>6.8296537931184273E-2</v>
      </c>
      <c r="Z24" s="615">
        <f>(SUM(Consolidado!W39:Z39)*0.66)/AVERAGE(BP!AE39:AH39)</f>
        <v>9.200089577374225E-2</v>
      </c>
      <c r="AA24" s="615">
        <f>(SUM(Consolidado!X39:AA39)*0.66)/AVERAGE(BP!AF39:AI39)</f>
        <v>9.7885808307452346E-2</v>
      </c>
      <c r="AB24" s="615">
        <f>(SUM(Consolidado!Y39:AB39)*0.66)/AVERAGE(BP!AG39:AJ39)</f>
        <v>0.11991038037636652</v>
      </c>
      <c r="AC24" s="615">
        <f>(SUM(Consolidado!Z39:AC39)*0.66)/AVERAGE(BP!AH39:AK39)</f>
        <v>0.13463962967768203</v>
      </c>
      <c r="AD24" s="615">
        <f>(SUM(Consolidado!AA39:AD39)*0.66)/AVERAGE(BP!AI39:AL39)</f>
        <v>0.1311713950236687</v>
      </c>
      <c r="AE24" s="615">
        <f>(SUM(Consolidado!AB39:AE39)*0.66)/AVERAGE(BP!AJ39:AM39)</f>
        <v>0.14136886379618624</v>
      </c>
      <c r="AF24" s="615">
        <f>(SUM(Consolidado!AC39:AF39)*0.66)/AVERAGE(BP!AK39:AN39)</f>
        <v>0.1420374430152431</v>
      </c>
      <c r="AG24" s="615">
        <f>(SUM(Consolidado!AD39:AG39)*0.66)/AVERAGE(BP!AL39:AO39)</f>
        <v>0.17308873864841659</v>
      </c>
      <c r="AH24" s="615">
        <f>(SUM(Consolidado!AE39:AH39)*0.66)/AVERAGE(BP!AM39:AP39)</f>
        <v>0.16817225458227569</v>
      </c>
      <c r="AI24" s="615">
        <f>(SUM(Consolidado!AF39:AI39)*0.66)/AVERAGE(BP!AN39:AQ39)</f>
        <v>0.15459625640135943</v>
      </c>
      <c r="AJ24" s="615">
        <f>(SUM(Consolidado!AG39:AJ39)*0.66)/AVERAGE(BP!AO39:AR39)</f>
        <v>0.11272572709644321</v>
      </c>
      <c r="AK24" s="615">
        <f>(SUM(Consolidado!AH39:AK39)*0.66)/AVERAGE(BP!AP39:AS39)</f>
        <v>7.3883477832044436E-2</v>
      </c>
      <c r="AL24" s="615">
        <f>(SUM(Consolidado!AI39:AL39)*0.66)/AVERAGE(BP!AQ39:AT39)</f>
        <v>6.4795237942711664E-2</v>
      </c>
      <c r="AM24" s="615">
        <f>(SUM(Consolidado!AJ39:AM39)*0.66)/AVERAGE(BP!AR39:AU39)</f>
        <v>6.5601363755388456E-2</v>
      </c>
      <c r="AN24" s="615">
        <f>(SUM(Consolidado!AK39:AN39)*0.66)/AVERAGE(BP!AS39:AV39)</f>
        <v>8.9661015720713597E-2</v>
      </c>
      <c r="AO24" s="615">
        <f>(SUM(Consolidado!AL39:AO39)*0.66)/AVERAGE(BP!AT39:AW39)</f>
        <v>7.8282644638369994E-2</v>
      </c>
      <c r="AP24" s="615">
        <f>(SUM(Consolidado!AM39:AP39)*0.66)/AVERAGE(BP!AU39:AX39)</f>
        <v>7.5230633780894743E-2</v>
      </c>
      <c r="AQ24" s="615">
        <f>(SUM(Consolidado!AN39:AQ39)*0.66)/AVERAGE(BP!AV39:AY39)</f>
        <v>7.0254281492732593E-2</v>
      </c>
      <c r="AR24" s="615">
        <f>(SUM(Consolidado!AO39:AR39)*0.66)/AVERAGE(BP!AW39:AZ39)</f>
        <v>7.5680978725645873E-2</v>
      </c>
      <c r="AS24" s="615">
        <f>(SUM(Consolidado!AP39:AS39)*0.66)/AVERAGE(BP!AX39:BA39)</f>
        <v>0.10430033676218257</v>
      </c>
      <c r="AT24" s="615">
        <f>(SUM(Consolidado!AQ39:AT39)*0.66)/AVERAGE(BP!AY39:BB39)</f>
        <v>0.12092536589293773</v>
      </c>
      <c r="AU24" s="615">
        <f>(SUM(Consolidado!AR39:AU39)*0.66)/AVERAGE(BP!AZ39:BC39)</f>
        <v>0.12957405435898742</v>
      </c>
      <c r="AV24" s="615">
        <f>(SUM(Consolidado!AS39:AV39)*0.66)/AVERAGE(BP!BA39:BD39)</f>
        <v>0.13083975558709657</v>
      </c>
      <c r="AW24" s="615">
        <f>(SUM(Consolidado!AT39:AW39)*0.66)/AVERAGE(BP!BB39:BE39)</f>
        <v>0.12517244508290037</v>
      </c>
      <c r="AX24" s="615">
        <f>(SUM(Consolidado!AU39:AX39)*0.66)/AVERAGE(BP!BC39:BF39)</f>
        <v>0.11999963074692341</v>
      </c>
      <c r="AY24" s="615">
        <f>(SUM(Consolidado!AV39:AY39)*0.66)/AVERAGE(BP!BD39:BG39)</f>
        <v>0.12005599382262179</v>
      </c>
      <c r="AZ24" s="615">
        <f>(SUM(Consolidado!AW39:AZ39)*0.66)/AVERAGE(BP!BE39:BH39)</f>
        <v>0.13109560851790447</v>
      </c>
      <c r="BA24" s="615">
        <f>(SUM(Consolidado!AX39:BA39)*0.66)/AVERAGE(BP!BF39:BI39)</f>
        <v>0.15243218041219353</v>
      </c>
      <c r="BB24" s="615">
        <f>(SUM(Consolidado!AY39:BB39)*0.66)/AVERAGE(BP!BG39:BJ39)</f>
        <v>0.17545519295902737</v>
      </c>
      <c r="BC24" s="615">
        <f>(SUM(Consolidado!AZ39:BC39)*0.66)/AVERAGE(BP!BH39:BK39)</f>
        <v>0.17591340167611114</v>
      </c>
      <c r="BD24" s="615">
        <f>(SUM(Consolidado!BA39:BD39)*0.66)/AVERAGE(BP!BI39:BM39)</f>
        <v>0.1744939991695568</v>
      </c>
      <c r="BE24" s="615">
        <f>(SUM(Consolidado!BB39:BE39)*0.66)/AVERAGE(BP!BJ39:BM39)</f>
        <v>0.16740247154408722</v>
      </c>
      <c r="BF24" s="615">
        <f>(SUM(Consolidado!BC39:BF39)*0.66)/AVERAGE(BP!BK39:BN39)</f>
        <v>0.14468627078749582</v>
      </c>
      <c r="BG24" s="615">
        <f>(SUM(Consolidado!BD39:BG39)*0.66)/AVERAGE(BP!BL39:BR39)</f>
        <v>0.14599466035400308</v>
      </c>
    </row>
    <row r="25" spans="1:59" x14ac:dyDescent="0.2">
      <c r="A25" s="10"/>
      <c r="B25" s="612" t="s">
        <v>466</v>
      </c>
      <c r="C25" s="820">
        <v>0</v>
      </c>
      <c r="D25" s="820">
        <v>0</v>
      </c>
      <c r="E25" s="820">
        <v>0</v>
      </c>
      <c r="F25" s="615">
        <f>SUM(Consolidado!C48:F48)/AVERAGE(BP!K78:N78)</f>
        <v>0.19929597246045075</v>
      </c>
      <c r="G25" s="615">
        <f>SUM(Consolidado!D48:G48)/AVERAGE(BP!L78:O78)</f>
        <v>0.1751150431122058</v>
      </c>
      <c r="H25" s="615">
        <f>SUM(Consolidado!E48:H48)/AVERAGE(BP!M78:P78)</f>
        <v>0.17129390518760496</v>
      </c>
      <c r="I25" s="615">
        <f>SUM(Consolidado!F48:I48)/AVERAGE(BP!N78:Q78)</f>
        <v>0.14340147814267901</v>
      </c>
      <c r="J25" s="615">
        <f>SUM(Consolidado!G48:J48)/AVERAGE(BP!O78:R78)</f>
        <v>0.1185315320119622</v>
      </c>
      <c r="K25" s="615">
        <f>SUM(Consolidado!H48:K48)/AVERAGE(BP!P78:S78)</f>
        <v>0.11324210025498455</v>
      </c>
      <c r="L25" s="616">
        <f>SUM(Consolidado!I48:L48)/AVERAGE(BP!Q78:T78)</f>
        <v>4.6520793422733075E-2</v>
      </c>
      <c r="M25" s="615">
        <f>SUM(Consolidado!J48:M48)/AVERAGE(BP!R78:U78)</f>
        <v>-7.8794698462119866E-2</v>
      </c>
      <c r="N25" s="615">
        <f>SUM(Consolidado!K48:N48)/AVERAGE(BP!S78:V78)</f>
        <v>-6.1645637583892618E-2</v>
      </c>
      <c r="O25" s="615">
        <f>SUM(Consolidado!L48:O48)/AVERAGE(BP!T78:W78)</f>
        <v>-4.6022519789244203E-2</v>
      </c>
      <c r="P25" s="615">
        <f>SUM(Consolidado!M48:P48)/AVERAGE(BP!U78:X78)</f>
        <v>-1.5456367932652232E-2</v>
      </c>
      <c r="Q25" s="615">
        <f>SUM(Consolidado!N48:Q48)/AVERAGE(BP!V78:Y78)</f>
        <v>7.3752752702499175E-2</v>
      </c>
      <c r="R25" s="615">
        <f>SUM(Consolidado!O48:R48)/AVERAGE(BP!W78:Z78)</f>
        <v>2.6889882146551133E-2</v>
      </c>
      <c r="S25" s="615">
        <f>SUM(Consolidado!P48:S48)/AVERAGE(BP!X78:AA78)</f>
        <v>1.4363697357680017E-3</v>
      </c>
      <c r="T25" s="615">
        <f>SUM(Consolidado!Q48:T48)/AVERAGE(BP!Y78:AB78)</f>
        <v>-3.6788887234522195E-3</v>
      </c>
      <c r="U25" s="615">
        <f>SUM(Consolidado!R48:U48)/AVERAGE(BP!Z78:AC78)</f>
        <v>-7.1487289567844859E-3</v>
      </c>
      <c r="V25" s="615">
        <f>SUM(Consolidado!S48:V48)/AVERAGE(BP!AA78:AD78)</f>
        <v>3.7734504082390048E-2</v>
      </c>
      <c r="W25" s="615">
        <f>SUM(Consolidado!T48:W48)/AVERAGE(BP!AB78:AE78)</f>
        <v>5.7114439703576818E-2</v>
      </c>
      <c r="X25" s="615">
        <f>SUM(Consolidado!U48:X48)/AVERAGE(BP!AC78:AF78)</f>
        <v>0.12073728327198248</v>
      </c>
      <c r="Y25" s="615">
        <f>SUM(Consolidado!V48:Y48)/AVERAGE(BP!AD78:AG78)</f>
        <v>0.14745848579343029</v>
      </c>
      <c r="Z25" s="615">
        <f>SUM(Consolidado!W48:Z48)/AVERAGE(BP!AE78:AH78)</f>
        <v>0.25462845871451589</v>
      </c>
      <c r="AA25" s="615">
        <f>SUM(Consolidado!X48:AA48)/AVERAGE(BP!AF78:AI78)</f>
        <v>0.26234883925036073</v>
      </c>
      <c r="AB25" s="615">
        <f>SUM(Consolidado!Y48:AB48)/AVERAGE(BP!AG78:AJ78)</f>
        <v>0.26350223131742656</v>
      </c>
      <c r="AC25" s="615">
        <f>SUM(Consolidado!Z48:AC48)/AVERAGE(BP!AH78:AK78)</f>
        <v>0.28871799860501807</v>
      </c>
      <c r="AD25" s="615">
        <f>SUM(Consolidado!AA48:AD48)/AVERAGE(BP!AI78:AL78)</f>
        <v>0.23181309881746254</v>
      </c>
      <c r="AE25" s="615">
        <f>SUM(Consolidado!AB48:AE48)/AVERAGE(BP!AJ78:AM78)</f>
        <v>0.25234109557626594</v>
      </c>
      <c r="AF25" s="615">
        <f>SUM(Consolidado!AC48:AF48)/AVERAGE(BP!AK78:AN78)</f>
        <v>0.25336637878977991</v>
      </c>
      <c r="AG25" s="615">
        <f>SUM(Consolidado!AD48:AG48)/AVERAGE(BP!AL78:AO78)</f>
        <v>0.35517886526832637</v>
      </c>
      <c r="AH25" s="615">
        <f>SUM(Consolidado!AE48:AH48)/AVERAGE(BP!AM78:AP78)</f>
        <v>0.35596734511224037</v>
      </c>
      <c r="AI25" s="615">
        <f>SUM(Consolidado!AF48:AI48)/AVERAGE(BP!AN78:AQ78)</f>
        <v>0.32977874877693797</v>
      </c>
      <c r="AJ25" s="615">
        <f>SUM(Consolidado!AG48:AJ48)/AVERAGE(BP!AO78:AR78)</f>
        <v>0.25621544313531947</v>
      </c>
      <c r="AK25" s="615">
        <f>SUM(Consolidado!AH48:AK48)/AVERAGE(BP!AP78:AS78)</f>
        <v>0.14840028274400327</v>
      </c>
      <c r="AL25" s="615">
        <f>SUM(Consolidado!AI48:AL48)/AVERAGE(BP!AQ78:AT78)</f>
        <v>0.12101064856827377</v>
      </c>
      <c r="AM25" s="615">
        <f>SUM(Consolidado!AJ48:AM48)/AVERAGE(BP!AR78:AU78)</f>
        <v>0.11998781530475172</v>
      </c>
      <c r="AN25" s="615">
        <f>SUM(Consolidado!AK48:AN48)/AVERAGE(BP!AS78:AV78)</f>
        <v>0.16165963472592129</v>
      </c>
      <c r="AO25" s="615">
        <f>SUM(Consolidado!AL48:AO48)/AVERAGE(BP!AT78:AW78)</f>
        <v>0.16518461095268083</v>
      </c>
      <c r="AP25" s="615">
        <f>SUM(Consolidado!AM48:AP48)/AVERAGE(BP!AU78:AX78)</f>
        <v>0.16264423190929023</v>
      </c>
      <c r="AQ25" s="615">
        <f>SUM(Consolidado!AN48:AQ48)/AVERAGE(BP!AV78:AY78)</f>
        <v>0.15733193487962113</v>
      </c>
      <c r="AR25" s="615">
        <f>SUM(Consolidado!AO48:AR48)/AVERAGE(BP!AW78:AZ78)</f>
        <v>0.16374324812305521</v>
      </c>
      <c r="AS25" s="615">
        <f>SUM(Consolidado!AP48:AS48)/AVERAGE(BP!AX78:BA78)</f>
        <v>0.18711728979875242</v>
      </c>
      <c r="AT25" s="615">
        <f>SUM(Consolidado!AQ48:AT48)/AVERAGE(BP!AY78:BB78)</f>
        <v>0.21950179551969173</v>
      </c>
      <c r="AU25" s="615">
        <f>SUM(Consolidado!AR48:AU48)/AVERAGE(BP!AZ78:BC78)</f>
        <v>0.23328566959845332</v>
      </c>
      <c r="AV25" s="615">
        <f>SUM(Consolidado!AS48:AV48)/AVERAGE(BP!BA78:BD78)</f>
        <v>0.23822094072183758</v>
      </c>
      <c r="AW25" s="615">
        <f>SUM(Consolidado!AT48:AW48)/AVERAGE(BP!BB78:BE78)</f>
        <v>0.23557491396413743</v>
      </c>
      <c r="AX25" s="615">
        <f>SUM(Consolidado!AU48:AX48)/AVERAGE(BP!BC78:BF78)</f>
        <v>0.22344624579146463</v>
      </c>
      <c r="AY25" s="615">
        <f>SUM(Consolidado!AV48:AY48)/AVERAGE(BP!BD78:BG78)</f>
        <v>0.22199439826591663</v>
      </c>
      <c r="AZ25" s="615">
        <f>SUM(Consolidado!AW48:AZ48)/AVERAGE(BP!BE78:BH78)</f>
        <v>0.24402877713968504</v>
      </c>
      <c r="BA25" s="615">
        <f>SUM(Consolidado!AX48:BA48)/AVERAGE(BP!BF78:BI78)</f>
        <v>0.27122201410607094</v>
      </c>
      <c r="BB25" s="615">
        <f>SUM(Consolidado!AY48:BB48)/AVERAGE(BP!BG78:BJ78)</f>
        <v>0.30285940514764675</v>
      </c>
      <c r="BC25" s="615">
        <f>SUM(Consolidado!AZ48:BC48)/AVERAGE(BP!BH78:BK78)</f>
        <v>0.30198846099920107</v>
      </c>
      <c r="BD25" s="615">
        <f>SUM(Consolidado!BA48:BD48)/AVERAGE(BP!BI78:BL78)</f>
        <v>0.29739336107486936</v>
      </c>
      <c r="BE25" s="615">
        <f>SUM(Consolidado!BB48:BE48)/AVERAGE(BP!BJ78:BM78)</f>
        <v>0.28558025299744155</v>
      </c>
      <c r="BF25" s="615">
        <f>SUM(Consolidado!BC48:BF48)/AVERAGE(BP!BK78:BN78)</f>
        <v>0.2547462821847305</v>
      </c>
      <c r="BG25" s="615">
        <f>SUM(Consolidado!BD48:BG48)/AVERAGE(BP!BL78:BO78)</f>
        <v>0.25314796803058037</v>
      </c>
    </row>
    <row r="26" spans="1:59" x14ac:dyDescent="0.2">
      <c r="A26" s="10"/>
      <c r="B26" s="612" t="s">
        <v>713</v>
      </c>
      <c r="C26" s="209">
        <v>0</v>
      </c>
      <c r="D26" s="209">
        <v>0</v>
      </c>
      <c r="E26" s="209">
        <v>0</v>
      </c>
      <c r="F26" s="209">
        <v>0</v>
      </c>
      <c r="G26" s="615">
        <f t="shared" ref="G26:N26" si="11">G27/G28</f>
        <v>0.18100700445738196</v>
      </c>
      <c r="H26" s="615">
        <f t="shared" si="11"/>
        <v>0.16692073427287987</v>
      </c>
      <c r="I26" s="615">
        <f t="shared" si="11"/>
        <v>0.15080309911835427</v>
      </c>
      <c r="J26" s="615">
        <f t="shared" si="11"/>
        <v>0.14051656288629266</v>
      </c>
      <c r="K26" s="615">
        <f t="shared" si="11"/>
        <v>0.14003708674952139</v>
      </c>
      <c r="L26" s="616">
        <f t="shared" si="11"/>
        <v>0.14594572861927085</v>
      </c>
      <c r="M26" s="615">
        <f t="shared" si="11"/>
        <v>0.14312216693182331</v>
      </c>
      <c r="N26" s="615">
        <f t="shared" si="11"/>
        <v>0.17911685151182064</v>
      </c>
      <c r="O26" s="615">
        <f t="shared" ref="O26:Z26" si="12">O27/O28</f>
        <v>0.20134856973009263</v>
      </c>
      <c r="P26" s="615">
        <f t="shared" si="12"/>
        <v>0.16801313894433623</v>
      </c>
      <c r="Q26" s="615">
        <f t="shared" si="12"/>
        <v>0.14909703500405472</v>
      </c>
      <c r="R26" s="615">
        <f t="shared" si="12"/>
        <v>7.2214162656229819E-2</v>
      </c>
      <c r="S26" s="615">
        <f t="shared" si="12"/>
        <v>5.7244757064376463E-2</v>
      </c>
      <c r="T26" s="615">
        <f t="shared" si="12"/>
        <v>6.4253918370351423E-2</v>
      </c>
      <c r="U26" s="615">
        <f t="shared" si="12"/>
        <v>7.1955554802619212E-2</v>
      </c>
      <c r="V26" s="615">
        <f t="shared" si="12"/>
        <v>0.12520680177989765</v>
      </c>
      <c r="W26" s="615">
        <f t="shared" si="12"/>
        <v>0.13933912238212409</v>
      </c>
      <c r="X26" s="615">
        <f t="shared" si="12"/>
        <v>0.15010863461840857</v>
      </c>
      <c r="Y26" s="615">
        <f t="shared" si="12"/>
        <v>0.16934563700032096</v>
      </c>
      <c r="Z26" s="615">
        <f t="shared" si="12"/>
        <v>0.2200299162295801</v>
      </c>
      <c r="AA26" s="615">
        <f t="shared" ref="AA26:AF26" si="13">AA27/AA28</f>
        <v>0.2359852586972781</v>
      </c>
      <c r="AB26" s="615">
        <f t="shared" si="13"/>
        <v>0.28076190152634428</v>
      </c>
      <c r="AC26" s="615">
        <f t="shared" si="13"/>
        <v>0.30758117395760876</v>
      </c>
      <c r="AD26" s="615">
        <f t="shared" si="13"/>
        <v>0.28864705156894621</v>
      </c>
      <c r="AE26" s="615">
        <f t="shared" si="13"/>
        <v>0.30718476086180174</v>
      </c>
      <c r="AF26" s="615">
        <f t="shared" si="13"/>
        <v>0.31333533474968595</v>
      </c>
      <c r="AG26" s="763">
        <f t="shared" ref="AG26:AL26" si="14">AG27/AG28</f>
        <v>0.38345845384067889</v>
      </c>
      <c r="AH26" s="615">
        <f t="shared" si="14"/>
        <v>0.37118706293121845</v>
      </c>
      <c r="AI26" s="615">
        <f t="shared" si="14"/>
        <v>0.33838149785337857</v>
      </c>
      <c r="AJ26" s="615">
        <f t="shared" si="14"/>
        <v>0.25891184452470239</v>
      </c>
      <c r="AK26" s="615">
        <f t="shared" si="14"/>
        <v>0.17505722453581155</v>
      </c>
      <c r="AL26" s="615">
        <f t="shared" si="14"/>
        <v>0.16347423992643662</v>
      </c>
      <c r="AM26" s="615">
        <f t="shared" ref="AM26:AR26" si="15">AM27/AM28</f>
        <v>0.17662503475525132</v>
      </c>
      <c r="AN26" s="615">
        <f t="shared" si="15"/>
        <v>0.23491928153859268</v>
      </c>
      <c r="AO26" s="615">
        <f t="shared" si="15"/>
        <v>0.20305423590565752</v>
      </c>
      <c r="AP26" s="615">
        <f t="shared" si="15"/>
        <v>0.18391796545700856</v>
      </c>
      <c r="AQ26" s="615">
        <f t="shared" si="15"/>
        <v>0.16339542313520486</v>
      </c>
      <c r="AR26" s="615">
        <f t="shared" si="15"/>
        <v>0.16559831598483518</v>
      </c>
      <c r="AS26" s="615">
        <f t="shared" ref="AS26:AX26" si="16">AS27/AS28</f>
        <v>0.21876444079447549</v>
      </c>
      <c r="AT26" s="615">
        <f t="shared" si="16"/>
        <v>0.25575808306782127</v>
      </c>
      <c r="AU26" s="615">
        <f t="shared" si="16"/>
        <v>0.27503812213449441</v>
      </c>
      <c r="AV26" s="615">
        <f t="shared" si="16"/>
        <v>0.28723870732787221</v>
      </c>
      <c r="AW26" s="615">
        <f t="shared" si="16"/>
        <v>0.28419901649520862</v>
      </c>
      <c r="AX26" s="615">
        <f t="shared" si="16"/>
        <v>0.27412751475687691</v>
      </c>
      <c r="AY26" s="615">
        <f t="shared" ref="AY26:BG26" si="17">AY27/AY28</f>
        <v>0.27547895472990364</v>
      </c>
      <c r="AZ26" s="615">
        <f t="shared" si="17"/>
        <v>0.30141700704301322</v>
      </c>
      <c r="BA26" s="615">
        <f t="shared" si="17"/>
        <v>0.3466265428888089</v>
      </c>
      <c r="BB26" s="615">
        <f t="shared" si="17"/>
        <v>0.39462092540627164</v>
      </c>
      <c r="BC26" s="615">
        <f t="shared" si="17"/>
        <v>0.39569790687899709</v>
      </c>
      <c r="BD26" s="615">
        <f t="shared" si="17"/>
        <v>0.39192309466044789</v>
      </c>
      <c r="BE26" s="615">
        <f t="shared" si="17"/>
        <v>0.37345653957026331</v>
      </c>
      <c r="BF26" s="615">
        <f t="shared" si="17"/>
        <v>0.31661340543113914</v>
      </c>
      <c r="BG26" s="615">
        <f t="shared" si="17"/>
        <v>0.30383713634859988</v>
      </c>
    </row>
    <row r="27" spans="1:59" x14ac:dyDescent="0.2">
      <c r="A27" s="10"/>
      <c r="B27" s="613" t="s">
        <v>712</v>
      </c>
      <c r="C27" s="209">
        <v>0</v>
      </c>
      <c r="D27" s="209">
        <v>0</v>
      </c>
      <c r="E27" s="209">
        <v>0</v>
      </c>
      <c r="F27" s="209">
        <v>0</v>
      </c>
      <c r="G27" s="118">
        <f>SUM(DRE!I19:L19)*(1-34%)/1000</f>
        <v>87.551639999999992</v>
      </c>
      <c r="H27" s="118">
        <f>SUM(DRE!J19:M19)*(1-34%)/1000</f>
        <v>83.31113999999998</v>
      </c>
      <c r="I27" s="118">
        <f>SUM(DRE!K19:N19)*(1-34%)/1000</f>
        <v>77.612700000000004</v>
      </c>
      <c r="J27" s="118">
        <f>SUM(DRE!L19:O19)*(1-34%)/1000</f>
        <v>73.092359999999985</v>
      </c>
      <c r="K27" s="118">
        <f>SUM(DRE!M19:P19)*(1-34%)/1000</f>
        <v>73.423019999999994</v>
      </c>
      <c r="L27" s="160">
        <f>SUM(DRE!N19:Q19)*(1-34%)/1000</f>
        <v>73.507499999999979</v>
      </c>
      <c r="M27" s="118">
        <f>SUM(DRE!O19:R19)*(1-34%)/1000</f>
        <v>70.394279999999981</v>
      </c>
      <c r="N27" s="118">
        <f>SUM(DRE!P19:S19)*(1-34%)/1000</f>
        <v>85.672619999999995</v>
      </c>
      <c r="O27" s="118">
        <f>SUM(DRE!Q19:T19)*(1-34%)/1000</f>
        <v>90.095279999999974</v>
      </c>
      <c r="P27" s="118">
        <f>SUM(DRE!R19:U19)*(1-34%)/1000</f>
        <v>74.806379999999947</v>
      </c>
      <c r="Q27" s="118">
        <f>SUM(DRE!S19:V19)*(1-34%)/1000</f>
        <v>61.772690766599922</v>
      </c>
      <c r="R27" s="118">
        <f>SUM(DRE!T19:W19)*(1-34%)/1000</f>
        <v>27.894110448599903</v>
      </c>
      <c r="S27" s="118">
        <f>SUM(DRE!U19:X19)*(1-34%)/1000</f>
        <v>20.944597225199935</v>
      </c>
      <c r="T27" s="118">
        <f>SUM(DRE!V19:Y19)*(1-34%)/1000</f>
        <v>21.603436370999962</v>
      </c>
      <c r="U27" s="118">
        <f>SUM(DRE!W19:Z19)*(1-34%)/1000</f>
        <v>23.076146425199983</v>
      </c>
      <c r="V27" s="118">
        <f>SUM(DRE!X19:AA19)*(1-34%)/1000</f>
        <v>38.851514083800019</v>
      </c>
      <c r="W27" s="118">
        <f>SUM(DRE!Y19:AB19)*(1-34%)/1000</f>
        <v>43.376547475799995</v>
      </c>
      <c r="X27" s="118">
        <f>SUM(DRE!Z19:AC19)*(1-34%)/1000</f>
        <v>46.985338553999959</v>
      </c>
      <c r="Y27" s="118">
        <f>SUM(DRE!AA19:AD19)*(1-34%)/1000</f>
        <v>53.469496139400007</v>
      </c>
      <c r="Z27" s="118">
        <f>SUM(DRE!AB19:AE19)*(1-34%)/1000</f>
        <v>72.251454481799954</v>
      </c>
      <c r="AA27" s="118">
        <f>SUM(DRE!AC19:AF19)*(1-34%)/1000</f>
        <v>77.65219994399996</v>
      </c>
      <c r="AB27" s="118">
        <f>SUM(DRE!AD19:AG19)*(1-34%)/1000</f>
        <v>92.921281714799932</v>
      </c>
      <c r="AC27" s="118">
        <f>SUM(DRE!AE19:AH19)*(1-34%)/1000</f>
        <v>104.63650094039987</v>
      </c>
      <c r="AD27" s="118">
        <f>SUM(DRE!AF19:AI19)*(1-34%)/1000</f>
        <v>101.00922138779993</v>
      </c>
      <c r="AE27" s="118">
        <f>SUM(DRE!AG19:AJ19)*(1-34%)/1000</f>
        <v>112.94308180319992</v>
      </c>
      <c r="AF27" s="118">
        <f>SUM(DRE!AH19:AK19)*(1-34%)/1000</f>
        <v>119.25605507639999</v>
      </c>
      <c r="AG27" s="118">
        <f>SUM(DRE!AI19:AL19,)*(1-34%)/1000</f>
        <v>155.15342575920013</v>
      </c>
      <c r="AH27" s="118">
        <f>SUM(DRE!AJ19:AM19,)*(1-34%)/1000</f>
        <v>158.14545451980013</v>
      </c>
      <c r="AI27" s="118">
        <f>SUM(DRE!AK19:AN19)*(1-34%)/1000</f>
        <v>148.98818916960008</v>
      </c>
      <c r="AJ27" s="118">
        <f>SUM(DRE!AL19:AO19)*(1-34%)/1000</f>
        <v>112.69500509520005</v>
      </c>
      <c r="AK27" s="118">
        <f>(SUM(DRE!AM19:AP19))*(1-34%)/1000</f>
        <v>74.439846175199946</v>
      </c>
      <c r="AL27" s="118">
        <f>(SUM(DRE!AN19:AQ19))*(1-34%)/1000</f>
        <v>65.955643789199968</v>
      </c>
      <c r="AM27" s="118">
        <f>(SUM(DRE!AO19:AR19))*(1-34%)/1000</f>
        <v>68.253609586799953</v>
      </c>
      <c r="AN27" s="118">
        <f>(SUM(DRE!AP19:AS19))*(1-34%)/1000</f>
        <v>92.939059811399943</v>
      </c>
      <c r="AO27" s="118">
        <f>(SUM(DRE!AQ19:AT19))*(1-34%)/1000</f>
        <v>80.804265616799952</v>
      </c>
      <c r="AP27" s="118">
        <f>(SUM(DRE!AR19:AU19))*(1-34%)/1000</f>
        <v>77.989585621199907</v>
      </c>
      <c r="AQ27" s="118">
        <f>(SUM(DRE!AS19:AV19))*(1-34%)/1000</f>
        <v>72.29344714019993</v>
      </c>
      <c r="AR27" s="118">
        <f>(SUM(DRE!AT19:AW19))*(1-34%)/1000</f>
        <v>77.073679016399893</v>
      </c>
      <c r="AS27" s="118">
        <f>(SUM(DRE!AU19:AX19))*(1-34%)/1000</f>
        <v>106.77793911179991</v>
      </c>
      <c r="AT27" s="118">
        <f>(SUM(DRE!AV19:AY19))*(1-34%)/1000</f>
        <v>125.80228589939992</v>
      </c>
      <c r="AU27" s="118">
        <f>(SUM(DRE!AW19:AZ19))*(1-34%)/1000</f>
        <v>138.10310451959981</v>
      </c>
      <c r="AV27" s="118">
        <f>(SUM(DRE!AX19:BA19))*(1-34%)/1000</f>
        <v>144.15103251119996</v>
      </c>
      <c r="AW27" s="118">
        <f>(SUM(DRE!AY19:BB19))*(1-34%)/1000</f>
        <v>141.99605980560003</v>
      </c>
      <c r="AX27" s="118">
        <f>(SUM(DRE!AZ19:BC19))*(1-34%)/1000</f>
        <v>138.78692293620017</v>
      </c>
      <c r="AY27" s="118">
        <f>(SUM(DRE!BA19:BD19))*(1-34%)/1000</f>
        <v>141.58626548880017</v>
      </c>
      <c r="AZ27" s="118">
        <f>(SUM(DRE!BB19:BE19))*(1-34%)/1000</f>
        <v>159.15413270460004</v>
      </c>
      <c r="BA27" s="118">
        <f>(SUM(DRE!BC19:BF19))*(1-34%)/1000</f>
        <v>189.68530963140009</v>
      </c>
      <c r="BB27" s="118">
        <f>(SUM(DRE!BD19:BG19))*(1-34%)/1000</f>
        <v>224.02333969619986</v>
      </c>
      <c r="BC27" s="118">
        <f>(SUM(DRE!BE19:BH19))*(1-34%)/1000</f>
        <v>230.20982073539994</v>
      </c>
      <c r="BD27" s="118">
        <f>(SUM(DRE!BF19:BI19))*(1-34%)/1000</f>
        <v>235.75639936199974</v>
      </c>
      <c r="BE27" s="118">
        <f>(SUM(DRE!BG19:BJ19))*(1-34%)/1000</f>
        <v>228.83474770859971</v>
      </c>
      <c r="BF27" s="118">
        <f>(SUM(DRE!BH19:BK19))*(1-34%)/1000</f>
        <v>198.04822316399967</v>
      </c>
      <c r="BG27" s="118">
        <f>(SUM(DRE!BI19:BL19))*(1-34%)/1000</f>
        <v>200.46270340799984</v>
      </c>
    </row>
    <row r="28" spans="1:59" x14ac:dyDescent="0.2">
      <c r="A28" s="10"/>
      <c r="B28" s="613" t="s">
        <v>1058</v>
      </c>
      <c r="C28" s="209">
        <v>0</v>
      </c>
      <c r="D28" s="209">
        <v>0</v>
      </c>
      <c r="E28" s="209">
        <v>0</v>
      </c>
      <c r="F28" s="209">
        <v>0</v>
      </c>
      <c r="G28" s="118">
        <f>(G29+G30-G31)</f>
        <v>483.69200000000001</v>
      </c>
      <c r="H28" s="118">
        <f t="shared" ref="H28:Z28" si="18">(H29+H30-H31)</f>
        <v>499.10599999999999</v>
      </c>
      <c r="I28" s="118">
        <f t="shared" si="18"/>
        <v>514.66250000000002</v>
      </c>
      <c r="J28" s="118">
        <f t="shared" si="18"/>
        <v>520.1690000000001</v>
      </c>
      <c r="K28" s="118">
        <f t="shared" si="18"/>
        <v>524.31124999999997</v>
      </c>
      <c r="L28" s="160">
        <f t="shared" si="18"/>
        <v>503.66325000000006</v>
      </c>
      <c r="M28" s="118">
        <f t="shared" si="18"/>
        <v>491.84750000000008</v>
      </c>
      <c r="N28" s="118">
        <f t="shared" si="18"/>
        <v>478.30574999999999</v>
      </c>
      <c r="O28" s="118">
        <f t="shared" si="18"/>
        <v>447.45925000000011</v>
      </c>
      <c r="P28" s="118">
        <f t="shared" si="18"/>
        <v>445.24125000000004</v>
      </c>
      <c r="Q28" s="118">
        <f t="shared" si="18"/>
        <v>414.31200000000001</v>
      </c>
      <c r="R28" s="118">
        <f t="shared" si="18"/>
        <v>386.26925000000006</v>
      </c>
      <c r="S28" s="118">
        <f t="shared" si="18"/>
        <v>365.87800000000004</v>
      </c>
      <c r="T28" s="118">
        <f t="shared" si="18"/>
        <v>336.21974999999998</v>
      </c>
      <c r="U28" s="118">
        <f t="shared" si="18"/>
        <v>320.70000000000005</v>
      </c>
      <c r="V28" s="118">
        <f t="shared" si="18"/>
        <v>310.29875000000004</v>
      </c>
      <c r="W28" s="118">
        <f t="shared" si="18"/>
        <v>311.30200000000002</v>
      </c>
      <c r="X28" s="118">
        <f t="shared" si="18"/>
        <v>313.00889967750004</v>
      </c>
      <c r="Y28" s="118">
        <f t="shared" si="18"/>
        <v>315.74179935500001</v>
      </c>
      <c r="Z28" s="118">
        <f t="shared" si="18"/>
        <v>328.37104935499997</v>
      </c>
      <c r="AA28" s="118">
        <f t="shared" ref="AA28:AF28" si="19">(AA29+AA30-AA31)</f>
        <v>329.05529935499999</v>
      </c>
      <c r="AB28" s="118">
        <f t="shared" si="19"/>
        <v>330.96114967749998</v>
      </c>
      <c r="AC28" s="118">
        <f t="shared" si="19"/>
        <v>340.19150000000002</v>
      </c>
      <c r="AD28" s="118">
        <f t="shared" si="19"/>
        <v>349.94024999999999</v>
      </c>
      <c r="AE28" s="118">
        <f t="shared" si="19"/>
        <v>367.67149999999992</v>
      </c>
      <c r="AF28" s="118">
        <f t="shared" si="19"/>
        <v>380.60200000000009</v>
      </c>
      <c r="AG28" s="118">
        <f t="shared" ref="AG28:AL28" si="20">(AG29+AG30-AG31)</f>
        <v>404.61599999999999</v>
      </c>
      <c r="AH28" s="118">
        <f t="shared" si="20"/>
        <v>426.05324999999993</v>
      </c>
      <c r="AI28" s="118">
        <f t="shared" si="20"/>
        <v>440.29649999999992</v>
      </c>
      <c r="AJ28" s="118">
        <f t="shared" si="20"/>
        <v>435.2639999999999</v>
      </c>
      <c r="AK28" s="118">
        <f t="shared" si="20"/>
        <v>425.23149999999998</v>
      </c>
      <c r="AL28" s="118">
        <f t="shared" si="20"/>
        <v>403.46199999999999</v>
      </c>
      <c r="AM28" s="118">
        <f t="shared" ref="AM28:AR28" si="21">(AM29+AM30-AM31)</f>
        <v>386.43224999999995</v>
      </c>
      <c r="AN28" s="118">
        <f t="shared" si="21"/>
        <v>395.62124999999992</v>
      </c>
      <c r="AO28" s="118">
        <f t="shared" si="21"/>
        <v>397.94425000000001</v>
      </c>
      <c r="AP28" s="118">
        <f t="shared" si="21"/>
        <v>424.04549999999995</v>
      </c>
      <c r="AQ28" s="118">
        <f t="shared" si="21"/>
        <v>442.44475</v>
      </c>
      <c r="AR28" s="118">
        <f t="shared" si="21"/>
        <v>465.42549999999994</v>
      </c>
      <c r="AS28" s="118">
        <f t="shared" ref="AS28:AX28" si="22">(AS29+AS30-AS31)</f>
        <v>488.09550000000002</v>
      </c>
      <c r="AT28" s="118">
        <f t="shared" si="22"/>
        <v>491.88</v>
      </c>
      <c r="AU28" s="118">
        <f t="shared" si="22"/>
        <v>502.12350000000004</v>
      </c>
      <c r="AV28" s="118">
        <f t="shared" si="22"/>
        <v>501.85099999999989</v>
      </c>
      <c r="AW28" s="118">
        <f t="shared" si="22"/>
        <v>499.63599999999985</v>
      </c>
      <c r="AX28" s="118">
        <f t="shared" si="22"/>
        <v>506.28599999999994</v>
      </c>
      <c r="AY28" s="118">
        <f t="shared" ref="AY28:BG28" si="23">(AY29+AY30-AY31)</f>
        <v>513.96399999999994</v>
      </c>
      <c r="AZ28" s="118">
        <f t="shared" si="23"/>
        <v>528.01974999999993</v>
      </c>
      <c r="BA28" s="118">
        <f t="shared" si="23"/>
        <v>547.23249999999996</v>
      </c>
      <c r="BB28" s="118">
        <f t="shared" si="23"/>
        <v>567.6925</v>
      </c>
      <c r="BC28" s="118">
        <f t="shared" si="23"/>
        <v>581.78174999999999</v>
      </c>
      <c r="BD28" s="118">
        <f t="shared" si="23"/>
        <v>601.53740000000005</v>
      </c>
      <c r="BE28" s="118">
        <f t="shared" si="23"/>
        <v>612.74800000000005</v>
      </c>
      <c r="BF28" s="118">
        <f t="shared" si="23"/>
        <v>625.52064999999993</v>
      </c>
      <c r="BG28" s="118">
        <f t="shared" si="23"/>
        <v>659.77025000000003</v>
      </c>
    </row>
    <row r="29" spans="1:59" x14ac:dyDescent="0.2">
      <c r="A29" s="10"/>
      <c r="B29" s="614" t="s">
        <v>711</v>
      </c>
      <c r="C29" s="209">
        <v>0</v>
      </c>
      <c r="D29" s="209">
        <v>0</v>
      </c>
      <c r="E29" s="209">
        <v>0</v>
      </c>
      <c r="F29" s="209">
        <v>0</v>
      </c>
      <c r="G29" s="258">
        <f t="shared" ref="G29:AK29" si="24">AVERAGE(D14:G14)/1000</f>
        <v>226.7955</v>
      </c>
      <c r="H29" s="258">
        <f t="shared" si="24"/>
        <v>239.9735</v>
      </c>
      <c r="I29" s="258">
        <f t="shared" si="24"/>
        <v>255.72475</v>
      </c>
      <c r="J29" s="258">
        <f t="shared" si="24"/>
        <v>266.86225000000002</v>
      </c>
      <c r="K29" s="258">
        <f t="shared" si="24"/>
        <v>277.32799999999997</v>
      </c>
      <c r="L29" s="258">
        <f t="shared" si="24"/>
        <v>266.69125000000003</v>
      </c>
      <c r="M29" s="258">
        <f t="shared" si="24"/>
        <v>273.41075000000001</v>
      </c>
      <c r="N29" s="258">
        <f t="shared" si="24"/>
        <v>269.72975000000002</v>
      </c>
      <c r="O29" s="258">
        <f t="shared" si="24"/>
        <v>247.17025000000001</v>
      </c>
      <c r="P29" s="258">
        <f t="shared" si="24"/>
        <v>246.27275</v>
      </c>
      <c r="Q29" s="258">
        <f t="shared" si="24"/>
        <v>209.7345</v>
      </c>
      <c r="R29" s="258">
        <f t="shared" si="24"/>
        <v>180.87524999999999</v>
      </c>
      <c r="S29" s="258">
        <f t="shared" si="24"/>
        <v>162.24600000000001</v>
      </c>
      <c r="T29" s="258">
        <f t="shared" si="24"/>
        <v>134.84800000000001</v>
      </c>
      <c r="U29" s="258">
        <f t="shared" si="24"/>
        <v>120.6005</v>
      </c>
      <c r="V29" s="258">
        <f t="shared" si="24"/>
        <v>107.77075000000001</v>
      </c>
      <c r="W29" s="258">
        <f t="shared" si="24"/>
        <v>104.33750000000001</v>
      </c>
      <c r="X29" s="258">
        <f t="shared" si="24"/>
        <v>96.198499999999996</v>
      </c>
      <c r="Y29" s="258">
        <f t="shared" si="24"/>
        <v>89.911749999999998</v>
      </c>
      <c r="Z29" s="258">
        <f t="shared" si="24"/>
        <v>83.767499999999998</v>
      </c>
      <c r="AA29" s="258">
        <f t="shared" si="24"/>
        <v>67.083500000000001</v>
      </c>
      <c r="AB29" s="258">
        <f t="shared" si="24"/>
        <v>58.734250000000003</v>
      </c>
      <c r="AC29" s="258">
        <f t="shared" si="24"/>
        <v>55.304499999999997</v>
      </c>
      <c r="AD29" s="258">
        <f t="shared" si="24"/>
        <v>55.53</v>
      </c>
      <c r="AE29" s="258">
        <f t="shared" si="24"/>
        <v>57.03725</v>
      </c>
      <c r="AF29" s="258">
        <f t="shared" si="24"/>
        <v>50.649250000000002</v>
      </c>
      <c r="AG29" s="258">
        <f t="shared" si="24"/>
        <v>42.41</v>
      </c>
      <c r="AH29" s="258">
        <f t="shared" si="24"/>
        <v>41.170499999999997</v>
      </c>
      <c r="AI29" s="258">
        <f t="shared" si="24"/>
        <v>34.382249999999999</v>
      </c>
      <c r="AJ29" s="258">
        <f t="shared" si="24"/>
        <v>10.787750000000001</v>
      </c>
      <c r="AK29" s="258">
        <f t="shared" si="24"/>
        <v>-9.7977500000000006</v>
      </c>
      <c r="AL29" s="258">
        <f t="shared" ref="AL29:AX29" si="25">AVERAGE(AI14:AL14)/1000</f>
        <v>-43.963250000000002</v>
      </c>
      <c r="AM29" s="258">
        <f t="shared" si="25"/>
        <v>-73.438000000000002</v>
      </c>
      <c r="AN29" s="258">
        <f t="shared" si="25"/>
        <v>-80.865499999999997</v>
      </c>
      <c r="AO29" s="258">
        <f t="shared" si="25"/>
        <v>-90.714250000000007</v>
      </c>
      <c r="AP29" s="258">
        <f t="shared" si="25"/>
        <v>-78.630750000000006</v>
      </c>
      <c r="AQ29" s="258">
        <f t="shared" si="25"/>
        <v>-73.864249999999998</v>
      </c>
      <c r="AR29" s="258">
        <f t="shared" si="25"/>
        <v>-63.638249999999999</v>
      </c>
      <c r="AS29" s="258">
        <f t="shared" si="25"/>
        <v>-57.904499999999999</v>
      </c>
      <c r="AT29" s="258">
        <f t="shared" si="25"/>
        <v>-75.483750000000001</v>
      </c>
      <c r="AU29" s="258">
        <f t="shared" si="25"/>
        <v>-90.59075</v>
      </c>
      <c r="AV29" s="258">
        <f t="shared" si="25"/>
        <v>-114.2055</v>
      </c>
      <c r="AW29" s="258">
        <f t="shared" si="25"/>
        <v>-137.209</v>
      </c>
      <c r="AX29" s="258">
        <f t="shared" si="25"/>
        <v>-147.80425</v>
      </c>
      <c r="AY29" s="258">
        <f t="shared" ref="AY29:BG29" si="26">AVERAGE(AV14:AY14)/1000</f>
        <v>-158.02850000000001</v>
      </c>
      <c r="AZ29" s="258">
        <f t="shared" si="26"/>
        <v>-165.79474999999999</v>
      </c>
      <c r="BA29" s="258">
        <f t="shared" si="26"/>
        <v>-164.70050000000001</v>
      </c>
      <c r="BB29" s="258">
        <f t="shared" si="26"/>
        <v>-165.80025000000001</v>
      </c>
      <c r="BC29" s="258">
        <f t="shared" si="26"/>
        <v>-174.8835</v>
      </c>
      <c r="BD29" s="258">
        <f t="shared" si="26"/>
        <v>-189.661</v>
      </c>
      <c r="BE29" s="258">
        <f t="shared" si="26"/>
        <v>-190.01050000000001</v>
      </c>
      <c r="BF29" s="258">
        <f t="shared" si="26"/>
        <v>-153.15325000000001</v>
      </c>
      <c r="BG29" s="258">
        <f t="shared" si="26"/>
        <v>-110.67149999999999</v>
      </c>
    </row>
    <row r="30" spans="1:59" x14ac:dyDescent="0.2">
      <c r="A30" s="10"/>
      <c r="B30" s="614" t="s">
        <v>709</v>
      </c>
      <c r="C30" s="209">
        <v>0</v>
      </c>
      <c r="D30" s="209">
        <v>0</v>
      </c>
      <c r="E30" s="209">
        <v>0</v>
      </c>
      <c r="F30" s="209">
        <v>0</v>
      </c>
      <c r="G30" s="258">
        <f>AVERAGE(BP!L78:'BP'!O78)/1000</f>
        <v>420.82049999999998</v>
      </c>
      <c r="H30" s="258">
        <f>AVERAGE(BP!M78:'BP'!P78)/1000</f>
        <v>423.05650000000003</v>
      </c>
      <c r="I30" s="258">
        <f>AVERAGE(BP!N78:'BP'!Q78)/1000</f>
        <v>422.86174999999997</v>
      </c>
      <c r="J30" s="258">
        <f>AVERAGE(BP!O78:'BP'!R78)/1000</f>
        <v>417.23075</v>
      </c>
      <c r="K30" s="258">
        <f>AVERAGE(BP!P78:'BP'!S78)/1000</f>
        <v>410.90724999999998</v>
      </c>
      <c r="L30" s="258">
        <f>AVERAGE(BP!Q78:'BP'!T78)/1000</f>
        <v>400.89600000000002</v>
      </c>
      <c r="M30" s="258">
        <f>AVERAGE(BP!R78:'BP'!U78)/1000</f>
        <v>382.36075</v>
      </c>
      <c r="N30" s="258">
        <f>AVERAGE(BP!S78:'BP'!V78)/1000</f>
        <v>372.5</v>
      </c>
      <c r="O30" s="258">
        <f>AVERAGE(BP!T78:'BP'!W78)/1000</f>
        <v>364.21300000000002</v>
      </c>
      <c r="P30" s="258">
        <f>AVERAGE(BP!U78:'BP'!X78)/1000</f>
        <v>362.89249999999998</v>
      </c>
      <c r="Q30" s="258">
        <f>AVERAGE(BP!V78:'BP'!Y78)/1000</f>
        <v>368.50150000000002</v>
      </c>
      <c r="R30" s="258">
        <f>AVERAGE(BP!W78:'BP'!Z78)/1000</f>
        <v>369.31799999999998</v>
      </c>
      <c r="S30" s="258">
        <f>AVERAGE(BP!X78:'BP'!AA78)/1000</f>
        <v>367.55599999999998</v>
      </c>
      <c r="T30" s="258">
        <f>AVERAGE(BP!Y78:'BP'!AB78)/1000</f>
        <v>365.29575</v>
      </c>
      <c r="U30" s="258">
        <f>AVERAGE(BP!Z78:'BP'!AC78)/1000</f>
        <v>364.02350000000001</v>
      </c>
      <c r="V30" s="258">
        <f>AVERAGE(BP!AA78:'BP'!AD78)/1000</f>
        <v>366.452</v>
      </c>
      <c r="W30" s="258">
        <f>AVERAGE(BP!AB78:'BP'!AE78)/1000</f>
        <v>370.88850000000002</v>
      </c>
      <c r="X30" s="258">
        <f>AVERAGE(BP!AC78:'BP'!AF78)/1000</f>
        <v>380.39325000000002</v>
      </c>
      <c r="Y30" s="258">
        <f>AVERAGE(BP!AD78:'BP'!AG78)/1000</f>
        <v>389.07175000000001</v>
      </c>
      <c r="Z30" s="258">
        <f>AVERAGE(BP!AE78:'BP'!AH78)/1000</f>
        <v>407.50400000000002</v>
      </c>
      <c r="AA30" s="258">
        <f>AVERAGE(BP!AF78:'BP'!AI78)/1000</f>
        <v>428.07249999999999</v>
      </c>
      <c r="AB30" s="258">
        <f>AVERAGE(BP!AG78:'BP'!AJ78)/1000</f>
        <v>441.86900000000003</v>
      </c>
      <c r="AC30" s="258">
        <f>AVERAGE(BP!AH78:'BP'!AK78)/1000</f>
        <v>458.07049999999998</v>
      </c>
      <c r="AD30" s="258">
        <f>AVERAGE(BP!AI78:'BP'!AL78)/1000</f>
        <v>466.96199999999999</v>
      </c>
      <c r="AE30" s="258">
        <f>AVERAGE(BP!AJ78:'BP'!AM78)/1000</f>
        <v>479.01274999999998</v>
      </c>
      <c r="AF30" s="258">
        <f>AVERAGE(BP!AK78:'BP'!AN78)/1000</f>
        <v>494.15800000000002</v>
      </c>
      <c r="AG30" s="258">
        <f>AVERAGE(BP!AL78:'BP'!AO78)/1000</f>
        <v>522.23800000000006</v>
      </c>
      <c r="AH30" s="258">
        <f>AVERAGE(BP!AM78:'BP'!AP78)/1000</f>
        <v>544.91475000000003</v>
      </c>
      <c r="AI30" s="258">
        <f>AVERAGE(BP!AN78:'BP'!AQ78)/1000</f>
        <v>565.94624999999996</v>
      </c>
      <c r="AJ30" s="258">
        <f>AVERAGE(BP!AO78:'BP'!AR78)/1000</f>
        <v>584.50824999999998</v>
      </c>
      <c r="AK30" s="258">
        <f>AVERAGE(BP!AP78:'BP'!AS78)/1000</f>
        <v>595.06124999999997</v>
      </c>
      <c r="AL30" s="258">
        <f>AVERAGE(BP!AQ78:'BP'!AT78)/1000</f>
        <v>607.45725000000004</v>
      </c>
      <c r="AM30" s="258">
        <f>AVERAGE(BP!AR78:'BP'!AU78)/1000</f>
        <v>619.90224999999998</v>
      </c>
      <c r="AN30" s="258">
        <f>AVERAGE(BP!AS78:'BP'!AV78)/1000</f>
        <v>636.51874999999995</v>
      </c>
      <c r="AO30" s="258">
        <f>AVERAGE(BP!AT78:'BP'!AW78)/1000</f>
        <v>648.69050000000004</v>
      </c>
      <c r="AP30" s="258">
        <f>AVERAGE(BP!AU78:'BP'!AX78)/1000</f>
        <v>662.70825000000002</v>
      </c>
      <c r="AQ30" s="258">
        <f>AVERAGE(BP!AV78:'BP'!AY78)/1000</f>
        <v>676.34100000000001</v>
      </c>
      <c r="AR30" s="258">
        <f>AVERAGE(BP!AW78:'BP'!AZ78)/1000</f>
        <v>689.09574999999995</v>
      </c>
      <c r="AS30" s="258">
        <f>AVERAGE(BP!AX78:'BP'!BA78)/1000</f>
        <v>706.03200000000004</v>
      </c>
      <c r="AT30" s="258">
        <f>AVERAGE(BP!AY78:'BP'!BB78)/1000</f>
        <v>727.39575000000002</v>
      </c>
      <c r="AU30" s="258">
        <f>AVERAGE(BP!AZ78:'BP'!BC78)/1000</f>
        <v>752.74625000000003</v>
      </c>
      <c r="AV30" s="258">
        <f>AVERAGE(BP!BA78:'BP'!BD78)/1000</f>
        <v>776.08849999999995</v>
      </c>
      <c r="AW30" s="258">
        <f>AVERAGE(BP!BB78:'BP'!BE78)/1000</f>
        <v>796.87699999999995</v>
      </c>
      <c r="AX30" s="258">
        <f>AVERAGE(BP!BC78:'BP'!BF78)/1000</f>
        <v>814.12225000000001</v>
      </c>
      <c r="AY30" s="258">
        <f>AVERAGE(BP!BD78:'BP'!BG78)/1000</f>
        <v>832.02449999999999</v>
      </c>
      <c r="AZ30" s="258">
        <f>AVERAGE(BP!BE78:'BP'!BH78)/1000</f>
        <v>853.84649999999999</v>
      </c>
      <c r="BA30" s="258">
        <f>AVERAGE(BP!BF78:'BP'!BI78)/1000</f>
        <v>871.96500000000003</v>
      </c>
      <c r="BB30" s="258">
        <f>AVERAGE(BP!BG78:'BP'!BJ78)/1000</f>
        <v>893.52475000000004</v>
      </c>
      <c r="BC30" s="258">
        <f>AVERAGE(BP!BH78:'BP'!BK78)/1000</f>
        <v>916.69725000000005</v>
      </c>
      <c r="BD30" s="258">
        <f>AVERAGE(BP!BI78:'BP'!BM78)/1000</f>
        <v>951.23040000000003</v>
      </c>
      <c r="BE30" s="258">
        <f>AVERAGE(BP!BJ78:'BP'!BM78)/1000</f>
        <v>966.03625</v>
      </c>
      <c r="BF30" s="258">
        <f>AVERAGE(BP!BK78:'BP'!BQ78)/1000</f>
        <v>945.19740000000002</v>
      </c>
      <c r="BG30" s="258">
        <f>AVERAGE(BP!BL78:'BP'!BR78)/1000</f>
        <v>940.21100000000001</v>
      </c>
    </row>
    <row r="31" spans="1:59" x14ac:dyDescent="0.2">
      <c r="A31" s="10"/>
      <c r="B31" s="614" t="s">
        <v>710</v>
      </c>
      <c r="C31" s="209">
        <v>0</v>
      </c>
      <c r="D31" s="209">
        <v>0</v>
      </c>
      <c r="E31" s="209">
        <v>0</v>
      </c>
      <c r="F31" s="209">
        <v>0</v>
      </c>
      <c r="G31" s="258">
        <f>163924/1000</f>
        <v>163.92400000000001</v>
      </c>
      <c r="H31" s="258">
        <f t="shared" ref="H31:V31" si="27">163924/1000</f>
        <v>163.92400000000001</v>
      </c>
      <c r="I31" s="258">
        <f t="shared" si="27"/>
        <v>163.92400000000001</v>
      </c>
      <c r="J31" s="258">
        <f t="shared" si="27"/>
        <v>163.92400000000001</v>
      </c>
      <c r="K31" s="258">
        <f t="shared" si="27"/>
        <v>163.92400000000001</v>
      </c>
      <c r="L31" s="259">
        <f t="shared" si="27"/>
        <v>163.92400000000001</v>
      </c>
      <c r="M31" s="258">
        <f t="shared" si="27"/>
        <v>163.92400000000001</v>
      </c>
      <c r="N31" s="258">
        <f t="shared" si="27"/>
        <v>163.92400000000001</v>
      </c>
      <c r="O31" s="258">
        <f t="shared" si="27"/>
        <v>163.92400000000001</v>
      </c>
      <c r="P31" s="258">
        <f t="shared" si="27"/>
        <v>163.92400000000001</v>
      </c>
      <c r="Q31" s="258">
        <f t="shared" si="27"/>
        <v>163.92400000000001</v>
      </c>
      <c r="R31" s="258">
        <f t="shared" si="27"/>
        <v>163.92400000000001</v>
      </c>
      <c r="S31" s="258">
        <f t="shared" si="27"/>
        <v>163.92400000000001</v>
      </c>
      <c r="T31" s="258">
        <f t="shared" si="27"/>
        <v>163.92400000000001</v>
      </c>
      <c r="U31" s="258">
        <f t="shared" si="27"/>
        <v>163.92400000000001</v>
      </c>
      <c r="V31" s="258">
        <f t="shared" si="27"/>
        <v>163.92400000000001</v>
      </c>
      <c r="W31" s="258">
        <f>AVERAGE(Intangível!CV41:CY41)/1000</f>
        <v>163.92400000000001</v>
      </c>
      <c r="X31" s="258">
        <f>AVERAGE(Intangível!CW41:CZ41)/1000</f>
        <v>163.58285032249998</v>
      </c>
      <c r="Y31" s="258">
        <f>AVERAGE(Intangível!CX41:DA41)/1000</f>
        <v>163.24170064500001</v>
      </c>
      <c r="Z31" s="258">
        <f>AVERAGE(Intangível!CY41:DB41)/1000</f>
        <v>162.90045064500001</v>
      </c>
      <c r="AA31" s="258">
        <f>AVERAGE(Intangível!CZ41:DC41)/1000</f>
        <v>166.10070064500002</v>
      </c>
      <c r="AB31" s="258">
        <f>AVERAGE(Intangível!DA41:DD41)/1000</f>
        <v>169.6421003225</v>
      </c>
      <c r="AC31" s="258">
        <f>AVERAGE(Intangível!DB41:DE41)/1000</f>
        <v>173.18350000000001</v>
      </c>
      <c r="AD31" s="258">
        <f>AVERAGE(Intangível!DC41:DF41)/1000</f>
        <v>172.55175</v>
      </c>
      <c r="AE31" s="258">
        <f>AVERAGE(Intangível!DD41:DG41)/1000</f>
        <v>168.3785</v>
      </c>
      <c r="AF31" s="258">
        <f>AVERAGE(Intangível!DE41:DH41)/1000</f>
        <v>164.20525000000001</v>
      </c>
      <c r="AG31" s="258">
        <f>AVERAGE(Intangível!DI41:DL41)/1000</f>
        <v>160.03200000000001</v>
      </c>
      <c r="AH31" s="258">
        <f>AVERAGE(Intangível!DJ41:DM41)/1000</f>
        <v>160.03200000000001</v>
      </c>
      <c r="AI31" s="258">
        <f>AVERAGE(Intangível!DK41:DN41)/1000</f>
        <v>160.03200000000001</v>
      </c>
      <c r="AJ31" s="258">
        <f>AVERAGE(Intangível!DL41:DO41)/1000</f>
        <v>160.03200000000001</v>
      </c>
      <c r="AK31" s="258">
        <f>AVERAGE(Intangível!DM41:DP41)/1000</f>
        <v>160.03200000000001</v>
      </c>
      <c r="AL31" s="258">
        <f>AVERAGE(Intangível!DN41:DQ41)/1000</f>
        <v>160.03200000000001</v>
      </c>
      <c r="AM31" s="258">
        <f>AVERAGE(Intangível!DO41:DR41)/1000</f>
        <v>160.03200000000001</v>
      </c>
      <c r="AN31" s="258">
        <f>AVERAGE(Intangível!DP41:DS41)/1000</f>
        <v>160.03200000000001</v>
      </c>
      <c r="AO31" s="258">
        <f>AVERAGE(Intangível!DQ41:DT41)/1000</f>
        <v>160.03200000000001</v>
      </c>
      <c r="AP31" s="258">
        <f>AVERAGE(Intangível!DR41:DU41)/1000</f>
        <v>160.03200000000001</v>
      </c>
      <c r="AQ31" s="258">
        <f>AVERAGE(Intangível!DS41:DV41)/1000</f>
        <v>160.03200000000001</v>
      </c>
      <c r="AR31" s="258">
        <f>AVERAGE(Intangível!DT41:DW41)/1000</f>
        <v>160.03200000000001</v>
      </c>
      <c r="AS31" s="258">
        <f>AVERAGE(Intangível!DU41:DX41)/1000</f>
        <v>160.03200000000001</v>
      </c>
      <c r="AT31" s="258">
        <f>AVERAGE(Intangível!DV41:DY41)/1000</f>
        <v>160.03200000000001</v>
      </c>
      <c r="AU31" s="258">
        <f>AVERAGE(Intangível!DW41:DZ41)/1000</f>
        <v>160.03200000000001</v>
      </c>
      <c r="AV31" s="258">
        <f>AVERAGE(Intangível!DX41:EA41)/1000</f>
        <v>160.03200000000001</v>
      </c>
      <c r="AW31" s="258">
        <f>AVERAGE(Intangível!DY41:EB41)/1000</f>
        <v>160.03200000000001</v>
      </c>
      <c r="AX31" s="258">
        <f>AVERAGE(Intangível!DZ41:EC41)/1000</f>
        <v>160.03200000000001</v>
      </c>
      <c r="AY31" s="258">
        <f>AVERAGE(Intangível!EA41:ED41)/1000</f>
        <v>160.03200000000001</v>
      </c>
      <c r="AZ31" s="258">
        <f>AVERAGE(Intangível!EB41:EE41)/1000</f>
        <v>160.03200000000001</v>
      </c>
      <c r="BA31" s="258">
        <f>+AZ31</f>
        <v>160.03200000000001</v>
      </c>
      <c r="BB31" s="258">
        <f>+BA31</f>
        <v>160.03200000000001</v>
      </c>
      <c r="BC31" s="258">
        <f>+BB31</f>
        <v>160.03200000000001</v>
      </c>
      <c r="BD31" s="258">
        <f>+BC31</f>
        <v>160.03200000000001</v>
      </c>
      <c r="BE31" s="258">
        <f>+AVERAGE(Intangível!GT37,Intangível!GN37,Intangível!GH37,Intangível!GB37)/1000</f>
        <v>163.27775</v>
      </c>
      <c r="BF31" s="258">
        <f>+AVERAGE(Intangível!GZ37,Intangível!GT37,Intangível!GN37,Intangível!GH37)/1000</f>
        <v>166.52350000000001</v>
      </c>
      <c r="BG31" s="258">
        <f>+AVERAGE(Intangível!HF37,Intangível!GZ37,Intangível!GT37,Intangível!GN37)/1000</f>
        <v>169.76925</v>
      </c>
    </row>
    <row r="32" spans="1:59" ht="12" customHeight="1" x14ac:dyDescent="0.2">
      <c r="A32" s="10"/>
      <c r="B32" s="10"/>
      <c r="C32" s="11"/>
      <c r="D32" s="11"/>
      <c r="E32" s="11"/>
      <c r="F32" s="11"/>
      <c r="G32" s="11"/>
      <c r="H32" s="11"/>
      <c r="I32" s="11"/>
      <c r="J32" s="11"/>
      <c r="K32" s="11"/>
      <c r="L32" s="11"/>
      <c r="M32" s="11"/>
      <c r="N32" s="11"/>
      <c r="O32" s="11"/>
      <c r="P32" s="11"/>
    </row>
    <row r="33" spans="1:60" x14ac:dyDescent="0.2">
      <c r="A33" s="10"/>
      <c r="B33" s="10" t="s">
        <v>497</v>
      </c>
      <c r="C33" s="11"/>
      <c r="D33" s="11"/>
      <c r="E33" s="11"/>
      <c r="F33" s="11"/>
      <c r="G33" s="11"/>
      <c r="H33" s="11"/>
      <c r="I33" s="11"/>
      <c r="J33" s="11"/>
      <c r="K33" s="11"/>
      <c r="L33" s="11"/>
      <c r="M33" s="11"/>
      <c r="N33" s="11"/>
      <c r="O33" s="11"/>
      <c r="P33" s="11"/>
    </row>
    <row r="34" spans="1:60" x14ac:dyDescent="0.2">
      <c r="A34" s="10"/>
      <c r="B34" s="127" t="s">
        <v>631</v>
      </c>
      <c r="C34" s="141" t="str">
        <f t="shared" ref="C34:AE34" si="28">+C$3</f>
        <v>1T12</v>
      </c>
      <c r="D34" s="141" t="str">
        <f t="shared" si="28"/>
        <v>2T12</v>
      </c>
      <c r="E34" s="141" t="str">
        <f t="shared" si="28"/>
        <v>3T12</v>
      </c>
      <c r="F34" s="141" t="str">
        <f t="shared" si="28"/>
        <v>4T12</v>
      </c>
      <c r="G34" s="141" t="str">
        <f t="shared" si="28"/>
        <v>1T13</v>
      </c>
      <c r="H34" s="141" t="str">
        <f t="shared" si="28"/>
        <v>2T13</v>
      </c>
      <c r="I34" s="141" t="str">
        <f t="shared" si="28"/>
        <v>3T13</v>
      </c>
      <c r="J34" s="141" t="str">
        <f t="shared" si="28"/>
        <v>4T13</v>
      </c>
      <c r="K34" s="141" t="str">
        <f t="shared" si="28"/>
        <v>1T14</v>
      </c>
      <c r="L34" s="141" t="str">
        <f t="shared" si="28"/>
        <v>2T14</v>
      </c>
      <c r="M34" s="141" t="str">
        <f t="shared" si="28"/>
        <v>3T14</v>
      </c>
      <c r="N34" s="141" t="str">
        <f t="shared" si="28"/>
        <v>4T14</v>
      </c>
      <c r="O34" s="141" t="str">
        <f t="shared" si="28"/>
        <v>1T15</v>
      </c>
      <c r="P34" s="141" t="str">
        <f t="shared" si="28"/>
        <v>2T15</v>
      </c>
      <c r="Q34" s="141" t="str">
        <f t="shared" si="28"/>
        <v>3T15</v>
      </c>
      <c r="R34" s="141" t="str">
        <f t="shared" si="28"/>
        <v>4T15</v>
      </c>
      <c r="S34" s="141" t="str">
        <f t="shared" si="28"/>
        <v>1T16</v>
      </c>
      <c r="T34" s="141" t="str">
        <f t="shared" si="28"/>
        <v>2T16</v>
      </c>
      <c r="U34" s="141" t="str">
        <f t="shared" si="28"/>
        <v>3T16</v>
      </c>
      <c r="V34" s="141" t="str">
        <f t="shared" si="28"/>
        <v>4T16</v>
      </c>
      <c r="W34" s="141" t="str">
        <f t="shared" si="28"/>
        <v>1T17</v>
      </c>
      <c r="X34" s="141" t="str">
        <f t="shared" si="28"/>
        <v>2T17</v>
      </c>
      <c r="Y34" s="141" t="str">
        <f t="shared" si="28"/>
        <v>3T17</v>
      </c>
      <c r="Z34" s="141" t="str">
        <f t="shared" si="28"/>
        <v>4T17</v>
      </c>
      <c r="AA34" s="141" t="str">
        <f t="shared" si="28"/>
        <v>1T18</v>
      </c>
      <c r="AB34" s="141" t="str">
        <f t="shared" si="28"/>
        <v>2T18</v>
      </c>
      <c r="AC34" s="141" t="str">
        <f t="shared" si="28"/>
        <v>3T18</v>
      </c>
      <c r="AD34" s="141" t="str">
        <f t="shared" si="28"/>
        <v>4T18</v>
      </c>
      <c r="AE34" s="141" t="str">
        <f t="shared" si="28"/>
        <v>1T19</v>
      </c>
      <c r="AF34" s="141" t="str">
        <f t="shared" ref="AF34:BG34" si="29">+AF$3</f>
        <v>2T19</v>
      </c>
      <c r="AG34" s="141" t="str">
        <f t="shared" si="29"/>
        <v>3T19</v>
      </c>
      <c r="AH34" s="141" t="str">
        <f t="shared" si="29"/>
        <v>4T19</v>
      </c>
      <c r="AI34" s="141" t="str">
        <f t="shared" si="29"/>
        <v>1T20</v>
      </c>
      <c r="AJ34" s="141" t="str">
        <f t="shared" si="29"/>
        <v>2T20</v>
      </c>
      <c r="AK34" s="141" t="str">
        <f t="shared" si="29"/>
        <v>3T20</v>
      </c>
      <c r="AL34" s="141" t="str">
        <f t="shared" si="29"/>
        <v>4T20</v>
      </c>
      <c r="AM34" s="141" t="str">
        <f t="shared" si="29"/>
        <v>1T21</v>
      </c>
      <c r="AN34" s="141" t="str">
        <f t="shared" si="29"/>
        <v>2T21</v>
      </c>
      <c r="AO34" s="141" t="str">
        <f t="shared" si="29"/>
        <v>3T21</v>
      </c>
      <c r="AP34" s="141" t="str">
        <f t="shared" si="29"/>
        <v>4T21</v>
      </c>
      <c r="AQ34" s="141" t="str">
        <f t="shared" si="29"/>
        <v>1T22</v>
      </c>
      <c r="AR34" s="141" t="str">
        <f t="shared" si="29"/>
        <v>2T22</v>
      </c>
      <c r="AS34" s="141" t="str">
        <f t="shared" si="29"/>
        <v>3T22</v>
      </c>
      <c r="AT34" s="141" t="str">
        <f t="shared" si="29"/>
        <v>4T22</v>
      </c>
      <c r="AU34" s="141" t="str">
        <f t="shared" si="29"/>
        <v>1T23</v>
      </c>
      <c r="AV34" s="141" t="str">
        <f t="shared" si="29"/>
        <v>2T23</v>
      </c>
      <c r="AW34" s="141" t="str">
        <f t="shared" si="29"/>
        <v>3T23</v>
      </c>
      <c r="AX34" s="141" t="str">
        <f t="shared" si="29"/>
        <v>4T23</v>
      </c>
      <c r="AY34" s="141" t="str">
        <f t="shared" si="29"/>
        <v>1T24</v>
      </c>
      <c r="AZ34" s="141" t="str">
        <f t="shared" si="29"/>
        <v>2T24</v>
      </c>
      <c r="BA34" s="141" t="str">
        <f t="shared" si="29"/>
        <v>3T24</v>
      </c>
      <c r="BB34" s="141" t="str">
        <f t="shared" si="29"/>
        <v>4T24</v>
      </c>
      <c r="BC34" s="141" t="str">
        <f t="shared" si="29"/>
        <v>1T25</v>
      </c>
      <c r="BD34" s="141" t="str">
        <f t="shared" si="29"/>
        <v>2T25</v>
      </c>
      <c r="BE34" s="141" t="str">
        <f t="shared" si="29"/>
        <v>3T25</v>
      </c>
      <c r="BF34" s="141" t="str">
        <f t="shared" si="29"/>
        <v>4T25</v>
      </c>
      <c r="BG34" s="141" t="str">
        <f t="shared" si="29"/>
        <v>1T26</v>
      </c>
    </row>
    <row r="35" spans="1:60" x14ac:dyDescent="0.2">
      <c r="A35" s="10"/>
      <c r="B35" s="117" t="s">
        <v>631</v>
      </c>
      <c r="C35" s="458">
        <f>+Auto!C6/(HLOOKUP(C34,'Dados Operacionais Auto'!5:9,5,0)/1000)</f>
        <v>1.021284234045956</v>
      </c>
      <c r="D35" s="458">
        <f>+Auto!D6/(HLOOKUP(D34,'Dados Operacionais Auto'!5:9,5,0)/1000)</f>
        <v>1.0271750486803555</v>
      </c>
      <c r="E35" s="458">
        <f>+Auto!E6/(HLOOKUP(E34,'Dados Operacionais Auto'!5:9,5,0)/1000)</f>
        <v>1.0688695032100914</v>
      </c>
      <c r="F35" s="458">
        <f>+Auto!F6/(HLOOKUP(F34,'Dados Operacionais Auto'!5:9,5,0)/1000)</f>
        <v>1.065596701888742</v>
      </c>
      <c r="G35" s="458">
        <f>+Auto!G6/(HLOOKUP(G34,'Dados Operacionais Auto'!5:9,5,0)/1000)</f>
        <v>1.0634876946654175</v>
      </c>
      <c r="H35" s="458">
        <f>+Auto!H6/(HLOOKUP(H34,'Dados Operacionais Auto'!5:9,5,0)/1000)</f>
        <v>1.1867760252936781</v>
      </c>
      <c r="I35" s="458">
        <f>+Auto!I6/(HLOOKUP(I34,'Dados Operacionais Auto'!5:9,5,0)/1000)</f>
        <v>1.2197740002434432</v>
      </c>
      <c r="J35" s="458">
        <f>+Auto!J6/(HLOOKUP(J34,'Dados Operacionais Auto'!5:9,5,0)/1000)</f>
        <v>1.2206737168833925</v>
      </c>
      <c r="K35" s="458">
        <f>+Auto!K6/(HLOOKUP(K34,'Dados Operacionais Auto'!5:9,5,0)/1000)</f>
        <v>1.1894166448730146</v>
      </c>
      <c r="L35" s="458">
        <f>+Auto!L6/(HLOOKUP(L34,'Dados Operacionais Auto'!5:9,5,0)/1000)</f>
        <v>1.2618923995781626</v>
      </c>
      <c r="M35" s="458">
        <f>+Auto!M6/(HLOOKUP(M34,'Dados Operacionais Auto'!5:9,5,0)/1000)</f>
        <v>1.2637716962754904</v>
      </c>
      <c r="N35" s="458">
        <f>+Auto!N6/(HLOOKUP(N34,'Dados Operacionais Auto'!5:9,5,0)/1000)</f>
        <v>1.2848960436847068</v>
      </c>
      <c r="O35" s="458">
        <f>+Auto!O6/(HLOOKUP(O34,'Dados Operacionais Auto'!5:9,5,0)/1000)</f>
        <v>1.2605387080123669</v>
      </c>
      <c r="P35" s="458">
        <f>+Auto!P6/(HLOOKUP(P34,'Dados Operacionais Auto'!5:9,5,0)/1000)</f>
        <v>1.3208670683603603</v>
      </c>
      <c r="Q35" s="458">
        <f>+Auto!Q6/(HLOOKUP(Q34,'Dados Operacionais Auto'!5:9,5,0)/1000)</f>
        <v>1.3462974186190662</v>
      </c>
      <c r="R35" s="458">
        <f>+Auto!R6/(HLOOKUP(R34,'Dados Operacionais Auto'!5:9,5,0)/1000)</f>
        <v>1.3309078714439726</v>
      </c>
      <c r="S35" s="458">
        <f>+Auto!S6/(HLOOKUP(S34,'Dados Operacionais Auto'!5:9,5,0)/1000)</f>
        <v>1.3829162835409414</v>
      </c>
      <c r="T35" s="458">
        <f>+Auto!T6/(HLOOKUP(T34,'Dados Operacionais Auto'!5:9,5,0)/1000)</f>
        <v>1.4495390942766722</v>
      </c>
      <c r="U35" s="458">
        <f>+Auto!U6/(HLOOKUP(U34,'Dados Operacionais Auto'!5:9,5,0)/1000)</f>
        <v>1.444089329720039</v>
      </c>
      <c r="V35" s="458">
        <f>+Auto!V6/(HLOOKUP(V34,'Dados Operacionais Auto'!5:9,5,0)/1000)</f>
        <v>1.5133848823488343</v>
      </c>
      <c r="W35" s="458">
        <f>+Auto!W6/(HLOOKUP(W34,'Dados Operacionais Auto'!5:9,5,0)/1000)</f>
        <v>1.4638722454190447</v>
      </c>
      <c r="X35" s="458">
        <f>+Auto!X6/(HLOOKUP(X34,'Dados Operacionais Auto'!5:9,5,0)/1000)</f>
        <v>1.5609712953552854</v>
      </c>
      <c r="Y35" s="458">
        <f>+Auto!Y6/(HLOOKUP(Y34,'Dados Operacionais Auto'!5:9,5,0)/1000)</f>
        <v>1.5972489442563604</v>
      </c>
      <c r="Z35" s="458">
        <f>+Auto!Z6/(HLOOKUP(Z34,'Dados Operacionais Auto'!5:9,5,0)/1000)</f>
        <v>1.6674908186966177</v>
      </c>
      <c r="AA35" s="458">
        <f>+Auto!AA6/(HLOOKUP(AA34,'Dados Operacionais Auto'!5:9,5,0)/1000)</f>
        <v>1.6014399176312468</v>
      </c>
      <c r="AB35" s="458">
        <f>+Auto!AB6/(HLOOKUP(AB34,'Dados Operacionais Auto'!5:9,5,0)/1000)</f>
        <v>1.6593197481071922</v>
      </c>
      <c r="AC35" s="458">
        <f>+Auto!AC6/(HLOOKUP(AC34,'Dados Operacionais Auto'!5:9,5,0)/1000)</f>
        <v>1.7017403255931354</v>
      </c>
      <c r="AD35" s="458">
        <f>+Auto!AD6/(HLOOKUP(AD34,'Dados Operacionais Auto'!5:9,5,0)/1000)</f>
        <v>1.8241325920083793</v>
      </c>
      <c r="AE35" s="458">
        <f>+Auto!AE6/(HLOOKUP(AE34,'Dados Operacionais Auto'!5:9,5,0)/1000)</f>
        <v>1.704438231051103</v>
      </c>
      <c r="AF35" s="458">
        <f>+Auto!AF6/(HLOOKUP(AF34,'Dados Operacionais Auto'!5:9,5,0)/1000)</f>
        <v>1.6387093583983541</v>
      </c>
      <c r="AG35" s="458">
        <f>+Auto!AG6/(HLOOKUP(AG34,'Dados Operacionais Auto'!5:9,5,0)/1000)</f>
        <v>1.6199998789880523</v>
      </c>
      <c r="AH35" s="458">
        <f>+Auto!AH6/(HLOOKUP(AH34,'Dados Operacionais Auto'!5:9,5,0)/1000)</f>
        <v>1.6879303889862884</v>
      </c>
      <c r="AI35" s="458">
        <f>+Auto!AI6/(HLOOKUP(AI34,'Dados Operacionais Auto'!5:9,5,0)/1000)</f>
        <v>1.6978181649041046</v>
      </c>
      <c r="AJ35" s="458">
        <f>+Auto!AJ6/(HLOOKUP(AJ34,'Dados Operacionais Auto'!5:9,5,0)/1000)</f>
        <v>1.7757660163478872</v>
      </c>
      <c r="AK35" s="458">
        <f>+Auto!AK6/(HLOOKUP(AK34,'Dados Operacionais Auto'!5:9,5,0)/1000)</f>
        <v>1.6084004787692068</v>
      </c>
      <c r="AL35" s="458">
        <f>+Auto!AL6/(HLOOKUP(AL34,'Dados Operacionais Auto'!5:9,5,0)/1000)</f>
        <v>1.6173521781082087</v>
      </c>
      <c r="AM35" s="458">
        <f>+Auto!AM6/(HLOOKUP(AM34,'Dados Operacionais Auto'!5:9,5,0)/1000)</f>
        <v>1.7369218784993354</v>
      </c>
      <c r="AN35" s="458">
        <f>+Auto!AN6/(HLOOKUP(AN34,'Dados Operacionais Auto'!5:9,5,0)/1000)</f>
        <v>1.9767110052498353</v>
      </c>
      <c r="AO35" s="458">
        <f>+Auto!AO6/(HLOOKUP(AO34,'Dados Operacionais Auto'!5:9,5,0)/1000)</f>
        <v>2.065011595326776</v>
      </c>
      <c r="AP35" s="458">
        <f>+Auto!AP6/(HLOOKUP(AP34,'Dados Operacionais Auto'!5:9,5,0)/1000)</f>
        <v>2.0641145013285183</v>
      </c>
      <c r="AQ35" s="458">
        <f>+Auto!AQ6/(HLOOKUP(AQ34,'Dados Operacionais Auto'!5:9,5,0)/1000)</f>
        <v>2.1890266519477608</v>
      </c>
      <c r="AR35" s="458">
        <f>+Auto!AR6/(HLOOKUP(AR34,'Dados Operacionais Auto'!5:9,5,0)/1000)</f>
        <v>2.4777264093652351</v>
      </c>
      <c r="AS35" s="458">
        <f>+Auto!AS6/(HLOOKUP(AS34,'Dados Operacionais Auto'!5:9,5,0)/1000)</f>
        <v>2.6876931599601108</v>
      </c>
      <c r="AT35" s="458">
        <f>+Auto!AT6/(HLOOKUP(AT34,'Dados Operacionais Auto'!5:9,5,0)/1000)</f>
        <v>2.722997400728306</v>
      </c>
      <c r="AU35" s="458">
        <f>+Auto!AU6/(HLOOKUP(AU34,'Dados Operacionais Auto'!5:9,5,0)/1000)</f>
        <v>2.7048834821251102</v>
      </c>
      <c r="AV35" s="458">
        <f>+Auto!AV6/(HLOOKUP(AV34,'Dados Operacionais Auto'!5:9,5,0)/1000)</f>
        <v>2.7522027450955555</v>
      </c>
      <c r="AW35" s="458">
        <f>+Auto!AW6/(HLOOKUP(AW34,'Dados Operacionais Auto'!5:9,5,0)/1000)</f>
        <v>2.711493972519762</v>
      </c>
      <c r="AX35" s="458">
        <f>+Auto!AX6/(HLOOKUP(AX34,'Dados Operacionais Auto'!5:9,5,0)/1000)</f>
        <v>2.7363086840878692</v>
      </c>
      <c r="AY35" s="458">
        <f>+Auto!AY6/(HLOOKUP(AY34,'Dados Operacionais Auto'!5:9,5,0)/1000)</f>
        <v>2.9068921499134639</v>
      </c>
      <c r="AZ35" s="458">
        <f>+Auto!AZ6/(HLOOKUP(AZ34,'Dados Operacionais Auto'!5:9,5,0)/1000)</f>
        <v>2.9088245379598101</v>
      </c>
      <c r="BA35" s="458">
        <f>+Auto!BA6/(HLOOKUP(BA34,'Dados Operacionais Auto'!5:9,5,0)/1000)</f>
        <v>3.2152291515979066</v>
      </c>
      <c r="BB35" s="458">
        <f>+Auto!BB6/(HLOOKUP(BB34,'Dados Operacionais Auto'!5:9,5,0)/1000)</f>
        <v>3.2723003443856395</v>
      </c>
      <c r="BC35" s="458">
        <f>+Auto!BC6/(HLOOKUP(BC34,'Dados Operacionais Auto'!5:9,5,0)/1000)</f>
        <v>3.2979171948495583</v>
      </c>
      <c r="BD35" s="458">
        <f>+Auto!BD6/(HLOOKUP(BD34,'Dados Operacionais Auto'!5:9,5,0)/1000)</f>
        <v>3.3664326526290012</v>
      </c>
      <c r="BE35" s="458">
        <f>+Auto!BE6/(HLOOKUP(BE34,'Dados Operacionais Auto'!5:9,5,0)/1000)</f>
        <v>3.3768775593411795</v>
      </c>
      <c r="BF35" s="458">
        <f>+Auto!BF6/(HLOOKUP(BF34,'Dados Operacionais Auto'!5:9,5,0)/1000)</f>
        <v>3.2895891896757465</v>
      </c>
      <c r="BG35" s="458">
        <f>+Auto!BG6/(HLOOKUP(BG34,'Dados Operacionais Auto'!5:9,5,0)/1000)</f>
        <v>3.4020229684175991</v>
      </c>
      <c r="BH35" s="1137"/>
    </row>
    <row r="36" spans="1:60" x14ac:dyDescent="0.2">
      <c r="B36" s="459" t="s">
        <v>632</v>
      </c>
      <c r="AC36" s="275"/>
      <c r="AF36" s="275">
        <f>AG35/AF35-1</f>
        <v>-1.1417204225029898E-2</v>
      </c>
      <c r="AG36" s="275">
        <f>AH35/AG35-1</f>
        <v>4.1932416711456533E-2</v>
      </c>
      <c r="AN36" s="275"/>
      <c r="AO36" s="275"/>
      <c r="AP36" s="275"/>
      <c r="AQ36" s="275">
        <f>AR35/AQ35-1</f>
        <v>0.1318849896873544</v>
      </c>
      <c r="AR36" s="275"/>
      <c r="AS36" s="275"/>
      <c r="AT36" s="275"/>
      <c r="AU36" s="275"/>
      <c r="AV36" s="275"/>
      <c r="AW36" s="275"/>
      <c r="AX36" s="275"/>
      <c r="AY36" s="329"/>
      <c r="AZ36" s="329"/>
      <c r="BA36" s="329"/>
      <c r="BB36" s="275"/>
    </row>
    <row r="37" spans="1:60" x14ac:dyDescent="0.2">
      <c r="B37" s="459"/>
    </row>
    <row r="38" spans="1:60" x14ac:dyDescent="0.2">
      <c r="B38" s="127" t="s">
        <v>64</v>
      </c>
      <c r="C38" s="141" t="str">
        <f t="shared" ref="C38:AE38" si="30">+C$3</f>
        <v>1T12</v>
      </c>
      <c r="D38" s="141" t="str">
        <f t="shared" si="30"/>
        <v>2T12</v>
      </c>
      <c r="E38" s="141" t="str">
        <f t="shared" si="30"/>
        <v>3T12</v>
      </c>
      <c r="F38" s="141" t="str">
        <f t="shared" si="30"/>
        <v>4T12</v>
      </c>
      <c r="G38" s="141" t="str">
        <f t="shared" si="30"/>
        <v>1T13</v>
      </c>
      <c r="H38" s="141" t="str">
        <f t="shared" si="30"/>
        <v>2T13</v>
      </c>
      <c r="I38" s="141" t="str">
        <f t="shared" si="30"/>
        <v>3T13</v>
      </c>
      <c r="J38" s="141" t="str">
        <f t="shared" si="30"/>
        <v>4T13</v>
      </c>
      <c r="K38" s="141" t="str">
        <f t="shared" si="30"/>
        <v>1T14</v>
      </c>
      <c r="L38" s="141" t="str">
        <f t="shared" si="30"/>
        <v>2T14</v>
      </c>
      <c r="M38" s="141" t="str">
        <f t="shared" si="30"/>
        <v>3T14</v>
      </c>
      <c r="N38" s="141" t="str">
        <f t="shared" si="30"/>
        <v>4T14</v>
      </c>
      <c r="O38" s="141" t="str">
        <f t="shared" si="30"/>
        <v>1T15</v>
      </c>
      <c r="P38" s="141" t="str">
        <f t="shared" si="30"/>
        <v>2T15</v>
      </c>
      <c r="Q38" s="141" t="str">
        <f t="shared" si="30"/>
        <v>3T15</v>
      </c>
      <c r="R38" s="141" t="str">
        <f t="shared" si="30"/>
        <v>4T15</v>
      </c>
      <c r="S38" s="141" t="str">
        <f t="shared" si="30"/>
        <v>1T16</v>
      </c>
      <c r="T38" s="141" t="str">
        <f t="shared" si="30"/>
        <v>2T16</v>
      </c>
      <c r="U38" s="141" t="str">
        <f t="shared" si="30"/>
        <v>3T16</v>
      </c>
      <c r="V38" s="141" t="str">
        <f t="shared" si="30"/>
        <v>4T16</v>
      </c>
      <c r="W38" s="141" t="str">
        <f t="shared" si="30"/>
        <v>1T17</v>
      </c>
      <c r="X38" s="141" t="str">
        <f t="shared" si="30"/>
        <v>2T17</v>
      </c>
      <c r="Y38" s="141" t="str">
        <f t="shared" si="30"/>
        <v>3T17</v>
      </c>
      <c r="Z38" s="141" t="str">
        <f t="shared" si="30"/>
        <v>4T17</v>
      </c>
      <c r="AA38" s="141" t="str">
        <f t="shared" si="30"/>
        <v>1T18</v>
      </c>
      <c r="AB38" s="141" t="str">
        <f t="shared" si="30"/>
        <v>2T18</v>
      </c>
      <c r="AC38" s="141" t="str">
        <f t="shared" si="30"/>
        <v>3T18</v>
      </c>
      <c r="AD38" s="141" t="str">
        <f t="shared" si="30"/>
        <v>4T18</v>
      </c>
      <c r="AE38" s="141" t="str">
        <f t="shared" si="30"/>
        <v>1T19</v>
      </c>
      <c r="AF38" s="141" t="str">
        <f t="shared" ref="AF38:BG38" si="31">+AF$3</f>
        <v>2T19</v>
      </c>
      <c r="AG38" s="141" t="str">
        <f t="shared" si="31"/>
        <v>3T19</v>
      </c>
      <c r="AH38" s="141" t="str">
        <f t="shared" si="31"/>
        <v>4T19</v>
      </c>
      <c r="AI38" s="141" t="str">
        <f t="shared" si="31"/>
        <v>1T20</v>
      </c>
      <c r="AJ38" s="141" t="str">
        <f t="shared" si="31"/>
        <v>2T20</v>
      </c>
      <c r="AK38" s="141" t="str">
        <f t="shared" si="31"/>
        <v>3T20</v>
      </c>
      <c r="AL38" s="141" t="str">
        <f t="shared" si="31"/>
        <v>4T20</v>
      </c>
      <c r="AM38" s="141" t="str">
        <f t="shared" si="31"/>
        <v>1T21</v>
      </c>
      <c r="AN38" s="141" t="str">
        <f t="shared" si="31"/>
        <v>2T21</v>
      </c>
      <c r="AO38" s="141" t="str">
        <f t="shared" si="31"/>
        <v>3T21</v>
      </c>
      <c r="AP38" s="141" t="str">
        <f t="shared" si="31"/>
        <v>4T21</v>
      </c>
      <c r="AQ38" s="141" t="str">
        <f t="shared" si="31"/>
        <v>1T22</v>
      </c>
      <c r="AR38" s="141" t="str">
        <f t="shared" si="31"/>
        <v>2T22</v>
      </c>
      <c r="AS38" s="141" t="str">
        <f t="shared" si="31"/>
        <v>3T22</v>
      </c>
      <c r="AT38" s="141" t="str">
        <f t="shared" si="31"/>
        <v>4T22</v>
      </c>
      <c r="AU38" s="141" t="str">
        <f t="shared" si="31"/>
        <v>1T23</v>
      </c>
      <c r="AV38" s="141" t="str">
        <f t="shared" si="31"/>
        <v>2T23</v>
      </c>
      <c r="AW38" s="141" t="str">
        <f t="shared" si="31"/>
        <v>3T23</v>
      </c>
      <c r="AX38" s="141" t="str">
        <f t="shared" si="31"/>
        <v>4T23</v>
      </c>
      <c r="AY38" s="141" t="str">
        <f t="shared" si="31"/>
        <v>1T24</v>
      </c>
      <c r="AZ38" s="141" t="str">
        <f t="shared" si="31"/>
        <v>2T24</v>
      </c>
      <c r="BA38" s="141" t="str">
        <f t="shared" si="31"/>
        <v>3T24</v>
      </c>
      <c r="BB38" s="141" t="str">
        <f t="shared" si="31"/>
        <v>4T24</v>
      </c>
      <c r="BC38" s="141" t="str">
        <f t="shared" si="31"/>
        <v>1T25</v>
      </c>
      <c r="BD38" s="141" t="str">
        <f t="shared" si="31"/>
        <v>2T25</v>
      </c>
      <c r="BE38" s="141" t="str">
        <f t="shared" si="31"/>
        <v>3T25</v>
      </c>
      <c r="BF38" s="141" t="str">
        <f t="shared" si="31"/>
        <v>4T25</v>
      </c>
      <c r="BG38" s="141" t="str">
        <f t="shared" si="31"/>
        <v>1T26</v>
      </c>
    </row>
    <row r="39" spans="1:60" x14ac:dyDescent="0.2">
      <c r="B39" s="117" t="s">
        <v>921</v>
      </c>
      <c r="C39" s="118">
        <v>0</v>
      </c>
      <c r="D39" s="118">
        <v>0</v>
      </c>
      <c r="E39" s="118">
        <v>0</v>
      </c>
      <c r="F39" s="118">
        <v>0</v>
      </c>
      <c r="G39" s="118">
        <v>0</v>
      </c>
      <c r="H39" s="118">
        <v>0</v>
      </c>
      <c r="I39" s="118">
        <v>0</v>
      </c>
      <c r="J39" s="118">
        <v>0</v>
      </c>
      <c r="K39" s="118">
        <v>4328.7771300000004</v>
      </c>
      <c r="L39" s="118">
        <v>6848.2228699999996</v>
      </c>
      <c r="M39" s="118">
        <v>3604</v>
      </c>
      <c r="N39" s="118">
        <v>4632</v>
      </c>
      <c r="O39" s="118">
        <v>6222.5027399999999</v>
      </c>
      <c r="P39" s="118">
        <v>3531.6223799999989</v>
      </c>
      <c r="Q39" s="118">
        <v>2515.0915399999976</v>
      </c>
      <c r="R39" s="118">
        <v>2702.7663199999988</v>
      </c>
      <c r="S39" s="118">
        <v>2509.7773099999986</v>
      </c>
      <c r="T39" s="118">
        <v>2225.4309000000012</v>
      </c>
      <c r="U39" s="118">
        <v>1203</v>
      </c>
      <c r="V39" s="118">
        <v>1736</v>
      </c>
      <c r="W39" s="118">
        <v>2522</v>
      </c>
      <c r="X39" s="118">
        <v>3690</v>
      </c>
      <c r="Y39" s="118">
        <v>3297.9759600000002</v>
      </c>
      <c r="Z39" s="118">
        <v>2843</v>
      </c>
      <c r="AA39" s="118">
        <v>1421.03973</v>
      </c>
      <c r="AB39" s="118">
        <v>2109.0640800000001</v>
      </c>
      <c r="AC39" s="118">
        <v>2054.6063599999998</v>
      </c>
      <c r="AD39" s="118">
        <v>3383.4123600000003</v>
      </c>
      <c r="AE39" s="118">
        <v>991.43054000000018</v>
      </c>
      <c r="AF39" s="118">
        <v>3747.3046499999996</v>
      </c>
      <c r="AG39" s="118">
        <v>2713.3493199999998</v>
      </c>
      <c r="AH39" s="118">
        <v>2935.5512100000001</v>
      </c>
      <c r="AI39" s="118">
        <v>1365</v>
      </c>
      <c r="AJ39" s="118">
        <v>1517</v>
      </c>
      <c r="AK39" s="118">
        <v>3479</v>
      </c>
      <c r="AL39" s="118">
        <v>2675</v>
      </c>
      <c r="AM39" s="118">
        <v>1428</v>
      </c>
      <c r="AN39" s="118">
        <v>3155</v>
      </c>
      <c r="AO39" s="118">
        <v>1791</v>
      </c>
      <c r="AP39" s="118">
        <v>3713</v>
      </c>
      <c r="AQ39" s="118">
        <v>1842.4698800000049</v>
      </c>
      <c r="AR39" s="118">
        <v>2276.4484799999991</v>
      </c>
      <c r="AS39" s="118">
        <v>2638.0827999999992</v>
      </c>
      <c r="AT39" s="118">
        <v>5139.1214599999967</v>
      </c>
      <c r="AU39" s="118">
        <v>2664.2619599999998</v>
      </c>
      <c r="AV39" s="118">
        <v>3370.3146099999981</v>
      </c>
      <c r="AW39" s="118">
        <v>4021</v>
      </c>
      <c r="AX39" s="118">
        <v>3811</v>
      </c>
      <c r="AY39" s="118">
        <v>1663</v>
      </c>
      <c r="AZ39" s="118">
        <v>3371.5504099999926</v>
      </c>
      <c r="BA39" s="118">
        <v>6454.9132299999892</v>
      </c>
      <c r="BB39" s="118">
        <v>7131.5363600000201</v>
      </c>
      <c r="BC39" s="118">
        <v>4181.0433999999996</v>
      </c>
      <c r="BD39" s="118">
        <v>6260.9870200000096</v>
      </c>
      <c r="BE39" s="118">
        <v>7086.9593531217497</v>
      </c>
      <c r="BF39" s="118">
        <v>22799</v>
      </c>
      <c r="BG39" s="118">
        <v>6513.6521000000002</v>
      </c>
    </row>
    <row r="40" spans="1:60" x14ac:dyDescent="0.2">
      <c r="B40" s="117" t="s">
        <v>1076</v>
      </c>
      <c r="C40" s="118">
        <v>0</v>
      </c>
      <c r="D40" s="118">
        <v>0</v>
      </c>
      <c r="E40" s="118">
        <v>0</v>
      </c>
      <c r="F40" s="118">
        <v>0</v>
      </c>
      <c r="G40" s="118">
        <v>0</v>
      </c>
      <c r="H40" s="118">
        <v>0</v>
      </c>
      <c r="I40" s="118">
        <v>0</v>
      </c>
      <c r="J40" s="118">
        <v>0</v>
      </c>
      <c r="K40" s="118">
        <v>0</v>
      </c>
      <c r="L40" s="118">
        <v>0</v>
      </c>
      <c r="M40" s="118">
        <v>0</v>
      </c>
      <c r="N40" s="118">
        <v>0</v>
      </c>
      <c r="O40" s="118">
        <v>0</v>
      </c>
      <c r="P40" s="118">
        <v>0</v>
      </c>
      <c r="Q40" s="118">
        <v>0</v>
      </c>
      <c r="R40" s="118">
        <v>0</v>
      </c>
      <c r="S40" s="118">
        <v>0</v>
      </c>
      <c r="T40" s="118">
        <v>0</v>
      </c>
      <c r="U40" s="118">
        <v>0</v>
      </c>
      <c r="V40" s="118">
        <v>0</v>
      </c>
      <c r="W40" s="118">
        <v>0</v>
      </c>
      <c r="X40" s="118">
        <v>0</v>
      </c>
      <c r="Y40" s="118">
        <v>0</v>
      </c>
      <c r="Z40" s="118">
        <v>0</v>
      </c>
      <c r="AA40" s="118">
        <v>0</v>
      </c>
      <c r="AB40" s="118">
        <v>0</v>
      </c>
      <c r="AC40" s="118">
        <v>0</v>
      </c>
      <c r="AD40" s="118">
        <v>0</v>
      </c>
      <c r="AE40" s="118">
        <v>152.58170000000001</v>
      </c>
      <c r="AF40" s="118">
        <v>5202.2970599999999</v>
      </c>
      <c r="AG40" s="118">
        <v>0</v>
      </c>
      <c r="AH40" s="118">
        <v>0</v>
      </c>
      <c r="AI40" s="118">
        <v>0</v>
      </c>
      <c r="AJ40" s="118" t="s">
        <v>160</v>
      </c>
      <c r="AK40" s="118">
        <v>0</v>
      </c>
      <c r="AL40" s="118">
        <v>1093</v>
      </c>
      <c r="AM40" s="118">
        <v>3209</v>
      </c>
      <c r="AN40" s="118">
        <v>2309</v>
      </c>
      <c r="AO40" s="118">
        <v>6929</v>
      </c>
      <c r="AP40" s="118">
        <v>786</v>
      </c>
      <c r="AQ40" s="118">
        <v>240.86632</v>
      </c>
      <c r="AR40" s="118">
        <v>9100.2381199999891</v>
      </c>
      <c r="AS40" s="118">
        <v>2741.8408799999997</v>
      </c>
      <c r="AT40" s="118">
        <v>11720</v>
      </c>
      <c r="AU40" s="118">
        <v>0</v>
      </c>
      <c r="AV40" s="118">
        <v>105.30797</v>
      </c>
      <c r="AW40" s="118">
        <v>5887.9614700000002</v>
      </c>
      <c r="AX40" s="118">
        <v>3737</v>
      </c>
      <c r="AY40" s="118">
        <v>9320</v>
      </c>
      <c r="AZ40" s="118">
        <v>5363.5993600000002</v>
      </c>
      <c r="BA40" s="118">
        <v>480</v>
      </c>
      <c r="BB40" s="118">
        <v>6715.4006399999998</v>
      </c>
      <c r="BC40" s="118">
        <v>0</v>
      </c>
      <c r="BD40" s="118">
        <v>2543</v>
      </c>
      <c r="BE40" s="118">
        <v>8794.1542762434892</v>
      </c>
      <c r="BF40" s="118">
        <v>6211</v>
      </c>
      <c r="BG40" s="118">
        <v>267.3</v>
      </c>
    </row>
    <row r="41" spans="1:60" x14ac:dyDescent="0.2">
      <c r="B41" s="117" t="s">
        <v>759</v>
      </c>
      <c r="C41" s="118" t="s">
        <v>160</v>
      </c>
      <c r="D41" s="118" t="s">
        <v>160</v>
      </c>
      <c r="E41" s="118" t="s">
        <v>160</v>
      </c>
      <c r="F41" s="118" t="s">
        <v>160</v>
      </c>
      <c r="G41" s="118" t="s">
        <v>160</v>
      </c>
      <c r="H41" s="118" t="s">
        <v>160</v>
      </c>
      <c r="I41" s="118" t="s">
        <v>160</v>
      </c>
      <c r="J41" s="118" t="s">
        <v>160</v>
      </c>
      <c r="K41" s="118" t="s">
        <v>160</v>
      </c>
      <c r="L41" s="118" t="s">
        <v>160</v>
      </c>
      <c r="M41" s="118" t="s">
        <v>160</v>
      </c>
      <c r="N41" s="118" t="s">
        <v>160</v>
      </c>
      <c r="O41" s="118" t="s">
        <v>160</v>
      </c>
      <c r="P41" s="118" t="s">
        <v>160</v>
      </c>
      <c r="Q41" s="118" t="s">
        <v>160</v>
      </c>
      <c r="R41" s="118" t="s">
        <v>160</v>
      </c>
      <c r="S41" s="118" t="s">
        <v>160</v>
      </c>
      <c r="T41" s="118" t="s">
        <v>160</v>
      </c>
      <c r="U41" s="118" t="s">
        <v>160</v>
      </c>
      <c r="V41" s="118" t="s">
        <v>160</v>
      </c>
      <c r="W41" s="118">
        <v>1244</v>
      </c>
      <c r="X41" s="118">
        <v>878</v>
      </c>
      <c r="Y41" s="118">
        <v>1650.0240399999998</v>
      </c>
      <c r="Z41" s="118">
        <v>1273</v>
      </c>
      <c r="AA41" s="118">
        <v>1039.1589100000001</v>
      </c>
      <c r="AB41" s="118">
        <v>1076.8006200000002</v>
      </c>
      <c r="AC41" s="118">
        <v>1907.9771699999997</v>
      </c>
      <c r="AD41" s="118">
        <v>2676.5601699999997</v>
      </c>
      <c r="AE41" s="118">
        <v>1782.2983599999993</v>
      </c>
      <c r="AF41" s="118">
        <v>849.06035999999995</v>
      </c>
      <c r="AG41" s="118">
        <v>954.18462999999997</v>
      </c>
      <c r="AH41" s="118">
        <v>1674.6355200000007</v>
      </c>
      <c r="AI41" s="118">
        <v>1636</v>
      </c>
      <c r="AJ41" s="118">
        <v>986</v>
      </c>
      <c r="AK41" s="118">
        <v>730</v>
      </c>
      <c r="AL41" s="118">
        <v>1904</v>
      </c>
      <c r="AM41" s="118">
        <v>1889</v>
      </c>
      <c r="AN41" s="118">
        <v>992</v>
      </c>
      <c r="AO41" s="118">
        <v>1572</v>
      </c>
      <c r="AP41" s="118">
        <v>1829</v>
      </c>
      <c r="AQ41" s="118">
        <v>2326.0203700000006</v>
      </c>
      <c r="AR41" s="118">
        <v>955.61133000000018</v>
      </c>
      <c r="AS41" s="118">
        <v>2614.1886199999999</v>
      </c>
      <c r="AT41" s="118">
        <v>3383.0074600000007</v>
      </c>
      <c r="AU41" s="118">
        <v>2791.2877100000001</v>
      </c>
      <c r="AV41" s="118">
        <v>1686.6533399999998</v>
      </c>
      <c r="AW41" s="118">
        <v>2035.07331</v>
      </c>
      <c r="AX41" s="118">
        <v>3042</v>
      </c>
      <c r="AY41" s="118">
        <v>5153</v>
      </c>
      <c r="AZ41" s="118">
        <v>3324.3858000000114</v>
      </c>
      <c r="BA41" s="118">
        <v>5639.2999999999975</v>
      </c>
      <c r="BB41" s="118">
        <v>2958.3141999999934</v>
      </c>
      <c r="BC41" s="118">
        <v>5762.9570400000002</v>
      </c>
      <c r="BD41" s="118">
        <v>2641.0125400000002</v>
      </c>
      <c r="BE41" s="118">
        <v>2300.2855800000002</v>
      </c>
      <c r="BF41" s="118">
        <v>3793.0479999999998</v>
      </c>
      <c r="BG41" s="118">
        <v>4058.4540000000002</v>
      </c>
    </row>
    <row r="42" spans="1:60" x14ac:dyDescent="0.2">
      <c r="B42" s="117" t="s">
        <v>1365</v>
      </c>
      <c r="C42" s="118" t="s">
        <v>160</v>
      </c>
      <c r="D42" s="118" t="s">
        <v>160</v>
      </c>
      <c r="E42" s="118" t="s">
        <v>160</v>
      </c>
      <c r="F42" s="118" t="s">
        <v>160</v>
      </c>
      <c r="G42" s="118" t="s">
        <v>160</v>
      </c>
      <c r="H42" s="118" t="s">
        <v>160</v>
      </c>
      <c r="I42" s="118" t="s">
        <v>160</v>
      </c>
      <c r="J42" s="118" t="s">
        <v>160</v>
      </c>
      <c r="K42" s="118" t="s">
        <v>160</v>
      </c>
      <c r="L42" s="118" t="s">
        <v>160</v>
      </c>
      <c r="M42" s="118">
        <v>3400</v>
      </c>
      <c r="N42" s="118">
        <v>17000</v>
      </c>
      <c r="O42" s="118">
        <v>647.87880000000007</v>
      </c>
      <c r="P42" s="118">
        <v>10471.601050000001</v>
      </c>
      <c r="Q42" s="118">
        <v>16744.132700000002</v>
      </c>
      <c r="R42" s="118">
        <v>5241.9889500000018</v>
      </c>
      <c r="S42" s="118">
        <v>5338.6158999999998</v>
      </c>
      <c r="T42" s="118">
        <v>6670</v>
      </c>
      <c r="U42" s="118">
        <v>2790</v>
      </c>
      <c r="V42" s="118">
        <v>3395</v>
      </c>
      <c r="W42" s="118" t="s">
        <v>160</v>
      </c>
      <c r="X42" s="118" t="s">
        <v>160</v>
      </c>
      <c r="Y42" s="118" t="s">
        <v>160</v>
      </c>
      <c r="Z42" s="118" t="s">
        <v>160</v>
      </c>
      <c r="AA42" s="118" t="s">
        <v>160</v>
      </c>
      <c r="AB42" s="118">
        <v>165</v>
      </c>
      <c r="AC42" s="118">
        <v>10508.144619999999</v>
      </c>
      <c r="AD42" s="118">
        <v>6750.4519999999984</v>
      </c>
      <c r="AE42" s="636">
        <v>3413.339320000001</v>
      </c>
      <c r="AF42" s="118">
        <v>1593.1054199999999</v>
      </c>
      <c r="AG42" s="118">
        <v>395.59154999999998</v>
      </c>
      <c r="AH42" s="118">
        <v>6076.4810599999992</v>
      </c>
      <c r="AI42" s="118">
        <v>2426</v>
      </c>
      <c r="AJ42" s="118">
        <v>1763</v>
      </c>
      <c r="AK42" s="118">
        <v>197</v>
      </c>
      <c r="AL42" s="118">
        <v>0</v>
      </c>
      <c r="AM42" s="118">
        <v>0</v>
      </c>
      <c r="AN42" s="118" t="s">
        <v>160</v>
      </c>
      <c r="AO42" s="118" t="s">
        <v>160</v>
      </c>
      <c r="AP42" s="118" t="s">
        <v>160</v>
      </c>
      <c r="AQ42" s="118" t="s">
        <v>160</v>
      </c>
      <c r="AR42" s="118" t="s">
        <v>160</v>
      </c>
      <c r="AS42" s="118" t="s">
        <v>160</v>
      </c>
      <c r="AT42" s="118" t="s">
        <v>160</v>
      </c>
      <c r="AU42" s="118" t="s">
        <v>160</v>
      </c>
      <c r="AV42" s="118" t="s">
        <v>160</v>
      </c>
      <c r="AW42" s="118" t="s">
        <v>160</v>
      </c>
      <c r="AX42" s="118" t="s">
        <v>160</v>
      </c>
      <c r="AY42" s="118" t="s">
        <v>160</v>
      </c>
      <c r="AZ42" s="118" t="s">
        <v>160</v>
      </c>
      <c r="BA42" s="118" t="s">
        <v>160</v>
      </c>
      <c r="BB42" s="118" t="s">
        <v>160</v>
      </c>
      <c r="BC42" s="118" t="s">
        <v>160</v>
      </c>
      <c r="BD42" s="118" t="s">
        <v>160</v>
      </c>
      <c r="BE42" s="118" t="s">
        <v>160</v>
      </c>
      <c r="BF42" s="118">
        <v>40000</v>
      </c>
      <c r="BG42" s="118">
        <v>1500</v>
      </c>
    </row>
    <row r="43" spans="1:60" hidden="1" outlineLevel="1" x14ac:dyDescent="0.2">
      <c r="B43" s="765" t="s">
        <v>758</v>
      </c>
      <c r="C43" s="312" t="s">
        <v>160</v>
      </c>
      <c r="D43" s="312" t="s">
        <v>160</v>
      </c>
      <c r="E43" s="312" t="s">
        <v>160</v>
      </c>
      <c r="F43" s="312" t="s">
        <v>160</v>
      </c>
      <c r="G43" s="312" t="s">
        <v>160</v>
      </c>
      <c r="H43" s="312" t="s">
        <v>160</v>
      </c>
      <c r="I43" s="312" t="s">
        <v>160</v>
      </c>
      <c r="J43" s="312" t="s">
        <v>160</v>
      </c>
      <c r="K43" s="312" t="s">
        <v>160</v>
      </c>
      <c r="L43" s="312" t="s">
        <v>160</v>
      </c>
      <c r="M43" s="312" t="s">
        <v>160</v>
      </c>
      <c r="N43" s="312" t="s">
        <v>160</v>
      </c>
      <c r="O43" s="312">
        <v>4691.6184599999997</v>
      </c>
      <c r="P43" s="312">
        <v>3715.77657</v>
      </c>
      <c r="Q43" s="312">
        <v>5007.7757600000004</v>
      </c>
      <c r="R43" s="312">
        <v>6985.2447299999994</v>
      </c>
      <c r="S43" s="312">
        <v>2656.6067900000007</v>
      </c>
      <c r="T43" s="312">
        <v>1441.1324700000002</v>
      </c>
      <c r="U43" s="312" t="s">
        <v>160</v>
      </c>
      <c r="V43" s="312">
        <v>1173</v>
      </c>
      <c r="W43" s="312" t="s">
        <v>160</v>
      </c>
      <c r="X43" s="312" t="s">
        <v>160</v>
      </c>
      <c r="Y43" s="312" t="s">
        <v>160</v>
      </c>
      <c r="Z43" s="312" t="s">
        <v>160</v>
      </c>
      <c r="AA43" s="312" t="s">
        <v>160</v>
      </c>
      <c r="AB43" s="312">
        <v>1373.4128699999997</v>
      </c>
      <c r="AC43" s="312">
        <v>528.54906000000028</v>
      </c>
      <c r="AD43" s="312">
        <v>445.90744000000007</v>
      </c>
      <c r="AE43" s="312">
        <v>218.71389000000002</v>
      </c>
      <c r="AF43" s="312">
        <v>82.789210000000011</v>
      </c>
      <c r="AG43" s="312">
        <v>56.596550000000001</v>
      </c>
      <c r="AH43" s="312">
        <v>3</v>
      </c>
      <c r="AI43" s="312">
        <v>0</v>
      </c>
      <c r="AJ43" s="312" t="s">
        <v>160</v>
      </c>
      <c r="AK43" s="312">
        <v>0</v>
      </c>
      <c r="AL43" s="312">
        <v>0</v>
      </c>
      <c r="AM43" s="312">
        <v>0</v>
      </c>
      <c r="AN43" s="312" t="s">
        <v>160</v>
      </c>
      <c r="AO43" s="312" t="s">
        <v>160</v>
      </c>
      <c r="AP43" s="312" t="s">
        <v>160</v>
      </c>
      <c r="AQ43" s="312" t="s">
        <v>160</v>
      </c>
      <c r="AR43" s="312" t="s">
        <v>160</v>
      </c>
      <c r="AS43" s="312" t="s">
        <v>160</v>
      </c>
      <c r="AT43" s="312" t="s">
        <v>160</v>
      </c>
      <c r="AU43" s="312" t="s">
        <v>160</v>
      </c>
      <c r="AV43" s="312" t="s">
        <v>160</v>
      </c>
      <c r="AW43" s="312" t="s">
        <v>160</v>
      </c>
      <c r="AX43" s="312" t="s">
        <v>160</v>
      </c>
      <c r="AY43" s="312" t="s">
        <v>160</v>
      </c>
      <c r="AZ43" s="312" t="s">
        <v>160</v>
      </c>
      <c r="BA43" s="312" t="s">
        <v>160</v>
      </c>
      <c r="BB43" s="312"/>
      <c r="BC43" s="312"/>
      <c r="BD43" s="312"/>
      <c r="BE43" s="312"/>
      <c r="BF43" s="312"/>
      <c r="BG43" s="312"/>
    </row>
    <row r="44" spans="1:60" hidden="1" outlineLevel="1" x14ac:dyDescent="0.2">
      <c r="B44" s="765" t="s">
        <v>760</v>
      </c>
      <c r="C44" s="312" t="s">
        <v>160</v>
      </c>
      <c r="D44" s="312" t="s">
        <v>160</v>
      </c>
      <c r="E44" s="312" t="s">
        <v>160</v>
      </c>
      <c r="F44" s="312" t="s">
        <v>160</v>
      </c>
      <c r="G44" s="312" t="s">
        <v>160</v>
      </c>
      <c r="H44" s="312" t="s">
        <v>160</v>
      </c>
      <c r="I44" s="312" t="s">
        <v>160</v>
      </c>
      <c r="J44" s="312" t="s">
        <v>160</v>
      </c>
      <c r="K44" s="312" t="s">
        <v>160</v>
      </c>
      <c r="L44" s="312" t="s">
        <v>160</v>
      </c>
      <c r="M44" s="312" t="s">
        <v>160</v>
      </c>
      <c r="N44" s="312" t="s">
        <v>160</v>
      </c>
      <c r="O44" s="312" t="s">
        <v>160</v>
      </c>
      <c r="P44" s="312" t="s">
        <v>160</v>
      </c>
      <c r="Q44" s="312" t="s">
        <v>160</v>
      </c>
      <c r="R44" s="312" t="s">
        <v>160</v>
      </c>
      <c r="S44" s="312" t="s">
        <v>160</v>
      </c>
      <c r="T44" s="312" t="s">
        <v>160</v>
      </c>
      <c r="U44" s="312" t="s">
        <v>160</v>
      </c>
      <c r="V44" s="312" t="s">
        <v>160</v>
      </c>
      <c r="W44" s="312">
        <v>3054</v>
      </c>
      <c r="X44" s="312">
        <v>3864</v>
      </c>
      <c r="Y44" s="312">
        <v>914</v>
      </c>
      <c r="Z44" s="312">
        <v>0</v>
      </c>
      <c r="AA44" s="312" t="s">
        <v>160</v>
      </c>
      <c r="AB44" s="312" t="s">
        <v>160</v>
      </c>
      <c r="AC44" s="312" t="s">
        <v>160</v>
      </c>
      <c r="AD44" s="312">
        <v>0</v>
      </c>
      <c r="AE44" s="312">
        <v>77.271439999999998</v>
      </c>
      <c r="AF44" s="312">
        <v>3077.5007999999998</v>
      </c>
      <c r="AG44" s="312">
        <v>12.58652</v>
      </c>
      <c r="AH44" s="312">
        <v>0</v>
      </c>
      <c r="AI44" s="312">
        <v>0</v>
      </c>
      <c r="AJ44" s="312" t="s">
        <v>160</v>
      </c>
      <c r="AK44" s="312">
        <v>0</v>
      </c>
      <c r="AL44" s="312">
        <v>0</v>
      </c>
      <c r="AM44" s="312">
        <v>0</v>
      </c>
      <c r="AN44" s="312" t="s">
        <v>160</v>
      </c>
      <c r="AO44" s="312" t="s">
        <v>160</v>
      </c>
      <c r="AP44" s="312" t="s">
        <v>160</v>
      </c>
      <c r="AQ44" s="312" t="s">
        <v>160</v>
      </c>
      <c r="AR44" s="312" t="s">
        <v>160</v>
      </c>
      <c r="AS44" s="312" t="s">
        <v>160</v>
      </c>
      <c r="AT44" s="312" t="s">
        <v>160</v>
      </c>
      <c r="AU44" s="312" t="s">
        <v>160</v>
      </c>
      <c r="AV44" s="312" t="s">
        <v>160</v>
      </c>
      <c r="AW44" s="312" t="s">
        <v>160</v>
      </c>
      <c r="AX44" s="312" t="s">
        <v>160</v>
      </c>
      <c r="AY44" s="312" t="s">
        <v>160</v>
      </c>
      <c r="AZ44" s="312" t="s">
        <v>160</v>
      </c>
      <c r="BA44" s="312" t="s">
        <v>160</v>
      </c>
      <c r="BB44" s="312"/>
      <c r="BC44" s="312"/>
      <c r="BD44" s="312"/>
      <c r="BE44" s="312"/>
      <c r="BF44" s="312"/>
      <c r="BG44" s="312"/>
    </row>
    <row r="45" spans="1:60" collapsed="1" x14ac:dyDescent="0.2">
      <c r="A45" s="10"/>
      <c r="B45" s="126" t="s">
        <v>112</v>
      </c>
      <c r="C45" s="120" t="s">
        <v>160</v>
      </c>
      <c r="D45" s="120" t="s">
        <v>160</v>
      </c>
      <c r="E45" s="120" t="s">
        <v>160</v>
      </c>
      <c r="F45" s="120" t="s">
        <v>160</v>
      </c>
      <c r="G45" s="120" t="s">
        <v>160</v>
      </c>
      <c r="H45" s="120" t="s">
        <v>160</v>
      </c>
      <c r="I45" s="120" t="s">
        <v>160</v>
      </c>
      <c r="J45" s="120" t="s">
        <v>160</v>
      </c>
      <c r="K45" s="120">
        <f t="shared" ref="K45:AG45" si="32">+SUM(K39:K44)</f>
        <v>4328.7771300000004</v>
      </c>
      <c r="L45" s="120">
        <f t="shared" si="32"/>
        <v>6848.2228699999996</v>
      </c>
      <c r="M45" s="120">
        <f t="shared" si="32"/>
        <v>7004</v>
      </c>
      <c r="N45" s="120">
        <f t="shared" si="32"/>
        <v>21632</v>
      </c>
      <c r="O45" s="120">
        <f t="shared" si="32"/>
        <v>11562</v>
      </c>
      <c r="P45" s="120">
        <f t="shared" si="32"/>
        <v>17719</v>
      </c>
      <c r="Q45" s="120">
        <f t="shared" si="32"/>
        <v>24267</v>
      </c>
      <c r="R45" s="120">
        <f t="shared" si="32"/>
        <v>14930</v>
      </c>
      <c r="S45" s="120">
        <f t="shared" si="32"/>
        <v>10505</v>
      </c>
      <c r="T45" s="120">
        <f t="shared" si="32"/>
        <v>10336.563370000002</v>
      </c>
      <c r="U45" s="120">
        <f t="shared" si="32"/>
        <v>3993</v>
      </c>
      <c r="V45" s="120">
        <f t="shared" si="32"/>
        <v>6304</v>
      </c>
      <c r="W45" s="120">
        <f t="shared" si="32"/>
        <v>6820</v>
      </c>
      <c r="X45" s="120">
        <f t="shared" si="32"/>
        <v>8432</v>
      </c>
      <c r="Y45" s="120">
        <f t="shared" si="32"/>
        <v>5862</v>
      </c>
      <c r="Z45" s="120">
        <f t="shared" si="32"/>
        <v>4116</v>
      </c>
      <c r="AA45" s="120">
        <f t="shared" si="32"/>
        <v>2460.1986400000001</v>
      </c>
      <c r="AB45" s="120">
        <f t="shared" si="32"/>
        <v>4724.2775700000002</v>
      </c>
      <c r="AC45" s="120">
        <f t="shared" si="32"/>
        <v>14999.27721</v>
      </c>
      <c r="AD45" s="120">
        <f t="shared" si="32"/>
        <v>13256.331969999999</v>
      </c>
      <c r="AE45" s="120">
        <f t="shared" si="32"/>
        <v>6635.6352500000012</v>
      </c>
      <c r="AF45" s="120">
        <f t="shared" si="32"/>
        <v>14552.057499999999</v>
      </c>
      <c r="AG45" s="120">
        <f t="shared" si="32"/>
        <v>4132.3085700000001</v>
      </c>
      <c r="AH45" s="120">
        <v>10689.66779</v>
      </c>
      <c r="AI45" s="120">
        <f t="shared" ref="AI45:AN45" si="33">+SUM(AI39:AI44)</f>
        <v>5427</v>
      </c>
      <c r="AJ45" s="120">
        <f t="shared" si="33"/>
        <v>4266</v>
      </c>
      <c r="AK45" s="120">
        <f t="shared" si="33"/>
        <v>4406</v>
      </c>
      <c r="AL45" s="120">
        <f t="shared" si="33"/>
        <v>5672</v>
      </c>
      <c r="AM45" s="120">
        <f t="shared" si="33"/>
        <v>6526</v>
      </c>
      <c r="AN45" s="120">
        <f t="shared" si="33"/>
        <v>6456</v>
      </c>
      <c r="AO45" s="120">
        <f t="shared" ref="AO45:AT45" si="34">+SUM(AO39:AO44)</f>
        <v>10292</v>
      </c>
      <c r="AP45" s="120">
        <f t="shared" si="34"/>
        <v>6328</v>
      </c>
      <c r="AQ45" s="120">
        <f t="shared" si="34"/>
        <v>4409.3565700000054</v>
      </c>
      <c r="AR45" s="120">
        <f t="shared" si="34"/>
        <v>12332.297929999988</v>
      </c>
      <c r="AS45" s="120">
        <f t="shared" si="34"/>
        <v>7994.1122999999989</v>
      </c>
      <c r="AT45" s="120">
        <f t="shared" si="34"/>
        <v>20242.128919999996</v>
      </c>
      <c r="AU45" s="120">
        <f t="shared" ref="AU45:AZ45" si="35">+SUM(AU39:AU44)</f>
        <v>5455.5496700000003</v>
      </c>
      <c r="AV45" s="120">
        <f t="shared" si="35"/>
        <v>5162.2759199999982</v>
      </c>
      <c r="AW45" s="120">
        <f t="shared" si="35"/>
        <v>11944.03478</v>
      </c>
      <c r="AX45" s="120">
        <f t="shared" si="35"/>
        <v>10590</v>
      </c>
      <c r="AY45" s="120">
        <f t="shared" si="35"/>
        <v>16136</v>
      </c>
      <c r="AZ45" s="120">
        <f t="shared" si="35"/>
        <v>12059.535570000004</v>
      </c>
      <c r="BA45" s="120">
        <f t="shared" ref="BA45:BF45" si="36">+SUM(BA39:BA44)</f>
        <v>12574.213229999987</v>
      </c>
      <c r="BB45" s="120">
        <f t="shared" si="36"/>
        <v>16805.251200000013</v>
      </c>
      <c r="BC45" s="120">
        <f t="shared" si="36"/>
        <v>9944.0004399999998</v>
      </c>
      <c r="BD45" s="120">
        <f t="shared" si="36"/>
        <v>11444.999560000009</v>
      </c>
      <c r="BE45" s="120">
        <f t="shared" si="36"/>
        <v>18181.399209365238</v>
      </c>
      <c r="BF45" s="120">
        <f t="shared" si="36"/>
        <v>72803.04800000001</v>
      </c>
      <c r="BG45" s="120">
        <f>+SUM(BG39:BG44)</f>
        <v>12339.4061</v>
      </c>
    </row>
    <row r="46" spans="1:60" x14ac:dyDescent="0.2">
      <c r="B46" s="459"/>
      <c r="AX46" s="1133"/>
      <c r="AY46" s="1133"/>
      <c r="AZ46" s="1133"/>
      <c r="BA46" s="1133"/>
      <c r="BE46" s="1149"/>
      <c r="BF46" s="1149"/>
      <c r="BG46" s="1149"/>
    </row>
    <row r="47" spans="1:60" x14ac:dyDescent="0.2">
      <c r="A47" s="10"/>
      <c r="B47" s="10" t="s">
        <v>482</v>
      </c>
      <c r="C47" s="11"/>
      <c r="D47" s="11"/>
      <c r="E47" s="11"/>
      <c r="F47" s="11"/>
      <c r="G47" s="11"/>
      <c r="H47" s="11"/>
      <c r="I47" s="11"/>
      <c r="J47" s="11"/>
      <c r="K47" s="247"/>
      <c r="L47" s="247"/>
      <c r="M47" s="247"/>
      <c r="N47" s="247"/>
      <c r="O47" s="247"/>
      <c r="P47" s="247"/>
      <c r="Q47" s="247"/>
      <c r="R47" s="275"/>
      <c r="S47" s="247"/>
      <c r="T47" s="247"/>
      <c r="U47" s="247"/>
      <c r="V47" s="275"/>
      <c r="W47" s="275"/>
      <c r="X47" s="275"/>
      <c r="Y47" s="275"/>
      <c r="Z47" s="275"/>
      <c r="AA47" s="275"/>
      <c r="AB47" s="275"/>
      <c r="AC47" s="275"/>
    </row>
    <row r="48" spans="1:60" x14ac:dyDescent="0.2">
      <c r="A48" s="10"/>
      <c r="B48" s="127" t="s">
        <v>782</v>
      </c>
      <c r="C48" s="141" t="str">
        <f t="shared" ref="C48:AE48" si="37">+C$3</f>
        <v>1T12</v>
      </c>
      <c r="D48" s="141" t="str">
        <f t="shared" si="37"/>
        <v>2T12</v>
      </c>
      <c r="E48" s="141" t="str">
        <f t="shared" si="37"/>
        <v>3T12</v>
      </c>
      <c r="F48" s="141" t="str">
        <f t="shared" si="37"/>
        <v>4T12</v>
      </c>
      <c r="G48" s="141" t="str">
        <f t="shared" si="37"/>
        <v>1T13</v>
      </c>
      <c r="H48" s="141" t="str">
        <f t="shared" si="37"/>
        <v>2T13</v>
      </c>
      <c r="I48" s="141" t="str">
        <f t="shared" si="37"/>
        <v>3T13</v>
      </c>
      <c r="J48" s="141" t="str">
        <f t="shared" si="37"/>
        <v>4T13</v>
      </c>
      <c r="K48" s="141" t="str">
        <f t="shared" si="37"/>
        <v>1T14</v>
      </c>
      <c r="L48" s="141" t="str">
        <f t="shared" si="37"/>
        <v>2T14</v>
      </c>
      <c r="M48" s="141" t="str">
        <f t="shared" si="37"/>
        <v>3T14</v>
      </c>
      <c r="N48" s="141" t="str">
        <f t="shared" si="37"/>
        <v>4T14</v>
      </c>
      <c r="O48" s="141" t="str">
        <f t="shared" si="37"/>
        <v>1T15</v>
      </c>
      <c r="P48" s="141" t="str">
        <f t="shared" si="37"/>
        <v>2T15</v>
      </c>
      <c r="Q48" s="141" t="str">
        <f t="shared" si="37"/>
        <v>3T15</v>
      </c>
      <c r="R48" s="141" t="str">
        <f t="shared" si="37"/>
        <v>4T15</v>
      </c>
      <c r="S48" s="141" t="str">
        <f t="shared" si="37"/>
        <v>1T16</v>
      </c>
      <c r="T48" s="141" t="str">
        <f t="shared" si="37"/>
        <v>2T16</v>
      </c>
      <c r="U48" s="141" t="str">
        <f t="shared" si="37"/>
        <v>3T16</v>
      </c>
      <c r="V48" s="141" t="str">
        <f t="shared" si="37"/>
        <v>4T16</v>
      </c>
      <c r="W48" s="141" t="str">
        <f t="shared" si="37"/>
        <v>1T17</v>
      </c>
      <c r="X48" s="141" t="str">
        <f t="shared" si="37"/>
        <v>2T17</v>
      </c>
      <c r="Y48" s="141" t="str">
        <f t="shared" si="37"/>
        <v>3T17</v>
      </c>
      <c r="Z48" s="141" t="str">
        <f t="shared" si="37"/>
        <v>4T17</v>
      </c>
      <c r="AA48" s="141" t="str">
        <f t="shared" si="37"/>
        <v>1T18</v>
      </c>
      <c r="AB48" s="141" t="str">
        <f t="shared" si="37"/>
        <v>2T18</v>
      </c>
      <c r="AC48" s="141" t="str">
        <f t="shared" si="37"/>
        <v>3T18</v>
      </c>
      <c r="AD48" s="141" t="str">
        <f t="shared" si="37"/>
        <v>4T18</v>
      </c>
      <c r="AE48" s="141" t="str">
        <f t="shared" si="37"/>
        <v>1T19</v>
      </c>
      <c r="AF48" s="141" t="str">
        <f t="shared" ref="AF48:BG48" si="38">+AF$3</f>
        <v>2T19</v>
      </c>
      <c r="AG48" s="141" t="str">
        <f t="shared" si="38"/>
        <v>3T19</v>
      </c>
      <c r="AH48" s="141" t="str">
        <f t="shared" si="38"/>
        <v>4T19</v>
      </c>
      <c r="AI48" s="141" t="str">
        <f t="shared" si="38"/>
        <v>1T20</v>
      </c>
      <c r="AJ48" s="141" t="str">
        <f t="shared" si="38"/>
        <v>2T20</v>
      </c>
      <c r="AK48" s="141" t="str">
        <f t="shared" si="38"/>
        <v>3T20</v>
      </c>
      <c r="AL48" s="141" t="str">
        <f t="shared" si="38"/>
        <v>4T20</v>
      </c>
      <c r="AM48" s="141" t="str">
        <f t="shared" si="38"/>
        <v>1T21</v>
      </c>
      <c r="AN48" s="141" t="str">
        <f t="shared" si="38"/>
        <v>2T21</v>
      </c>
      <c r="AO48" s="141" t="str">
        <f t="shared" si="38"/>
        <v>3T21</v>
      </c>
      <c r="AP48" s="141" t="str">
        <f t="shared" si="38"/>
        <v>4T21</v>
      </c>
      <c r="AQ48" s="141" t="str">
        <f t="shared" si="38"/>
        <v>1T22</v>
      </c>
      <c r="AR48" s="141" t="str">
        <f t="shared" si="38"/>
        <v>2T22</v>
      </c>
      <c r="AS48" s="141" t="str">
        <f t="shared" si="38"/>
        <v>3T22</v>
      </c>
      <c r="AT48" s="141" t="str">
        <f t="shared" si="38"/>
        <v>4T22</v>
      </c>
      <c r="AU48" s="141" t="str">
        <f t="shared" si="38"/>
        <v>1T23</v>
      </c>
      <c r="AV48" s="141" t="str">
        <f t="shared" si="38"/>
        <v>2T23</v>
      </c>
      <c r="AW48" s="141" t="str">
        <f t="shared" si="38"/>
        <v>3T23</v>
      </c>
      <c r="AX48" s="141" t="str">
        <f t="shared" si="38"/>
        <v>4T23</v>
      </c>
      <c r="AY48" s="141" t="str">
        <f t="shared" si="38"/>
        <v>1T24</v>
      </c>
      <c r="AZ48" s="141" t="str">
        <f t="shared" si="38"/>
        <v>2T24</v>
      </c>
      <c r="BA48" s="141" t="str">
        <f t="shared" si="38"/>
        <v>3T24</v>
      </c>
      <c r="BB48" s="141" t="str">
        <f t="shared" si="38"/>
        <v>4T24</v>
      </c>
      <c r="BC48" s="141" t="str">
        <f t="shared" si="38"/>
        <v>1T25</v>
      </c>
      <c r="BD48" s="141" t="str">
        <f t="shared" si="38"/>
        <v>2T25</v>
      </c>
      <c r="BE48" s="141" t="str">
        <f t="shared" si="38"/>
        <v>3T25</v>
      </c>
      <c r="BF48" s="141" t="str">
        <f t="shared" si="38"/>
        <v>4T25</v>
      </c>
      <c r="BG48" s="141" t="str">
        <f t="shared" si="38"/>
        <v>1T26</v>
      </c>
    </row>
    <row r="49" spans="1:59" x14ac:dyDescent="0.2">
      <c r="A49" s="10"/>
      <c r="B49" s="117" t="s">
        <v>36</v>
      </c>
      <c r="C49" s="118">
        <f>+BP!K8</f>
        <v>294602</v>
      </c>
      <c r="D49" s="118">
        <f>+BP!L8</f>
        <v>331980</v>
      </c>
      <c r="E49" s="118">
        <f>+BP!M8</f>
        <v>352994</v>
      </c>
      <c r="F49" s="118">
        <f>+BP!N8</f>
        <v>361666</v>
      </c>
      <c r="G49" s="118">
        <f>+BP!O8</f>
        <v>341441</v>
      </c>
      <c r="H49" s="118">
        <f>+BP!P8</f>
        <v>394608</v>
      </c>
      <c r="I49" s="118">
        <f>+BP!Q8</f>
        <v>353269</v>
      </c>
      <c r="J49" s="118">
        <f>+BP!R8</f>
        <v>338425</v>
      </c>
      <c r="K49" s="118">
        <f>+BP!S8</f>
        <v>301539</v>
      </c>
      <c r="L49" s="118">
        <f>+BP!T8</f>
        <v>260290</v>
      </c>
      <c r="M49" s="118">
        <f>+BP!U8</f>
        <v>248659</v>
      </c>
      <c r="N49" s="118">
        <f>+BP!V8</f>
        <v>253604</v>
      </c>
      <c r="O49" s="118">
        <f>+BP!W8</f>
        <v>199309</v>
      </c>
      <c r="P49" s="118">
        <f>+BP!X8</f>
        <v>221868</v>
      </c>
      <c r="Q49" s="118">
        <f>+BP!Y8</f>
        <v>182340</v>
      </c>
      <c r="R49" s="118">
        <f>+BP!Z8</f>
        <v>187600</v>
      </c>
      <c r="S49" s="118">
        <f>+BP!AA8</f>
        <v>129251</v>
      </c>
      <c r="T49" s="118">
        <f>+BP!AB8</f>
        <v>138728</v>
      </c>
      <c r="U49" s="118">
        <f>+BP!AC8</f>
        <v>126437</v>
      </c>
      <c r="V49" s="118">
        <f>+BP!AD8</f>
        <v>154255</v>
      </c>
      <c r="W49" s="118">
        <f>+BP!AE8</f>
        <v>116130</v>
      </c>
      <c r="X49" s="118">
        <f>+BP!AF8</f>
        <v>123239</v>
      </c>
      <c r="Y49" s="118">
        <f>+BP!AG8</f>
        <v>137433</v>
      </c>
      <c r="Z49" s="118">
        <f>+BP!AH8</f>
        <v>171180</v>
      </c>
      <c r="AA49" s="118">
        <f>+BP!AI8</f>
        <v>149456</v>
      </c>
      <c r="AB49" s="118">
        <f>+BP!AJ8</f>
        <v>175884</v>
      </c>
      <c r="AC49" s="118">
        <f>+BP!AK8</f>
        <v>190482</v>
      </c>
      <c r="AD49" s="118">
        <f>+BP!AL8</f>
        <v>226227</v>
      </c>
      <c r="AE49" s="118">
        <f>+BP!AM8</f>
        <v>202605</v>
      </c>
      <c r="AF49" s="118">
        <f>+BP!AN8</f>
        <v>215878</v>
      </c>
      <c r="AG49" s="118">
        <f>+BP!AO8</f>
        <v>222773</v>
      </c>
      <c r="AH49" s="118">
        <f>+BP!AP8</f>
        <v>261173</v>
      </c>
      <c r="AI49" s="118">
        <f>+BP!AQ8</f>
        <v>208452</v>
      </c>
      <c r="AJ49" s="118">
        <f>+BP!AR8</f>
        <v>127444</v>
      </c>
      <c r="AK49" s="118">
        <f>+BP!AS8</f>
        <v>199717</v>
      </c>
      <c r="AL49" s="118">
        <f>+BP!AT8</f>
        <v>212138</v>
      </c>
      <c r="AM49" s="118">
        <f>+BP!AU8</f>
        <v>169120</v>
      </c>
      <c r="AN49" s="118">
        <f>+BP!AV8</f>
        <v>197088</v>
      </c>
      <c r="AO49" s="118">
        <f>+BP!AW8</f>
        <v>196436</v>
      </c>
      <c r="AP49" s="118">
        <f>+BP!AX8</f>
        <v>302669</v>
      </c>
      <c r="AQ49" s="118">
        <f>+BP!AY8</f>
        <v>223696</v>
      </c>
      <c r="AR49" s="118">
        <f>+BP!AZ8</f>
        <v>266460</v>
      </c>
      <c r="AS49" s="118">
        <f>+BP!BA8</f>
        <v>289087</v>
      </c>
      <c r="AT49" s="118">
        <f>+BP!BB8</f>
        <v>314053</v>
      </c>
      <c r="AU49" s="118">
        <f>+BP!BC8</f>
        <v>259933</v>
      </c>
      <c r="AV49" s="118">
        <f>+BP!BD8</f>
        <v>264045</v>
      </c>
      <c r="AW49" s="118">
        <f>+BP!BE8</f>
        <v>280755</v>
      </c>
      <c r="AX49" s="118">
        <f>+BP!BF8</f>
        <v>345505</v>
      </c>
      <c r="AY49" s="118">
        <f>+BP!BG8</f>
        <v>294190</v>
      </c>
      <c r="AZ49" s="118">
        <f>+BP!BH8</f>
        <v>342942</v>
      </c>
      <c r="BA49" s="118">
        <f>+BP!BI8</f>
        <v>395339</v>
      </c>
      <c r="BB49" s="118">
        <f>+BP!BJ8</f>
        <v>437934</v>
      </c>
      <c r="BC49" s="118">
        <f>+BP!BK8</f>
        <v>328402</v>
      </c>
      <c r="BD49" s="118">
        <f>+BP!BL8</f>
        <v>366152</v>
      </c>
      <c r="BE49" s="118">
        <f>+BP!BM8</f>
        <v>419796</v>
      </c>
      <c r="BF49" s="118">
        <f>+BP!BN8</f>
        <v>443159</v>
      </c>
      <c r="BG49" s="118">
        <f>+BP!BO8</f>
        <v>413218</v>
      </c>
    </row>
    <row r="50" spans="1:59" x14ac:dyDescent="0.2">
      <c r="A50" s="10"/>
      <c r="B50" s="280" t="s">
        <v>535</v>
      </c>
      <c r="C50" s="258">
        <f>+C49/(DRE!H6/90)</f>
        <v>62.621911615702373</v>
      </c>
      <c r="D50" s="258">
        <f>+D49/(DRE!I6/90)</f>
        <v>62.493359157669282</v>
      </c>
      <c r="E50" s="258">
        <f>+E49/(DRE!J6/90)</f>
        <v>56.97249779422841</v>
      </c>
      <c r="F50" s="258">
        <f>+F49/(DRE!K6/90)</f>
        <v>58.667567859846436</v>
      </c>
      <c r="G50" s="258">
        <f>+G49/(DRE!L6/90)</f>
        <v>65.745739213781704</v>
      </c>
      <c r="H50" s="258">
        <f>+H49/(DRE!M6/90)</f>
        <v>62.839337753265852</v>
      </c>
      <c r="I50" s="258">
        <f>+I49/(DRE!N6/90)</f>
        <v>55.24460615411882</v>
      </c>
      <c r="J50" s="258">
        <f>+J49/(DRE!O6/90)</f>
        <v>53.264519175279361</v>
      </c>
      <c r="K50" s="258">
        <f>+K49/(DRE!P6/90)</f>
        <v>57.289653731103819</v>
      </c>
      <c r="L50" s="258">
        <f>+L49/(DRE!Q6/90)</f>
        <v>46.45261460913224</v>
      </c>
      <c r="M50" s="258">
        <f>+M49/(DRE!R6/90)</f>
        <v>46.287495992636792</v>
      </c>
      <c r="N50" s="258">
        <f>+N49/(DRE!S6/90)</f>
        <v>46.311248724249111</v>
      </c>
      <c r="O50" s="258">
        <f>+O49/(DRE!T6/90)</f>
        <v>50.832461934759877</v>
      </c>
      <c r="P50" s="258">
        <f>+P49/(DRE!U6/90)</f>
        <v>58.358331092692396</v>
      </c>
      <c r="Q50" s="258">
        <f>+Q49/(DRE!V6/90)</f>
        <v>47.823680693430958</v>
      </c>
      <c r="R50" s="258">
        <f>+R49/(DRE!W6/90)</f>
        <v>47.713316679253914</v>
      </c>
      <c r="S50" s="258">
        <f>+S49/(DRE!X6/90)</f>
        <v>46.336666535887467</v>
      </c>
      <c r="T50" s="258">
        <f>+T49/(DRE!Y6/90)</f>
        <v>44.110378040067964</v>
      </c>
      <c r="U50" s="258">
        <f>+U49/(DRE!Z6/90)</f>
        <v>38.894306878741482</v>
      </c>
      <c r="V50" s="258">
        <f>+V49/(DRE!AA6/90)</f>
        <v>44.275026198992798</v>
      </c>
      <c r="W50" s="258">
        <f>+W49/(DRE!AB6/90)</f>
        <v>39.719237402548863</v>
      </c>
      <c r="X50" s="258">
        <f>+X49/(DRE!AC6/90)</f>
        <v>35.014730035534399</v>
      </c>
      <c r="Y50" s="258">
        <f>+Y49/(DRE!AD6/90)</f>
        <v>34.780388227402035</v>
      </c>
      <c r="Z50" s="258">
        <f>+Z49/(DRE!AE6/90)</f>
        <v>39.037343944115563</v>
      </c>
      <c r="AA50" s="258">
        <f>+AA49/(DRE!AF6/90)</f>
        <v>41.663506875971962</v>
      </c>
      <c r="AB50" s="258">
        <f>+AB49/(DRE!AG6/90)</f>
        <v>43.922375863127726</v>
      </c>
      <c r="AC50" s="258">
        <f>+AC49/(DRE!AH6/90)</f>
        <v>41.225349933842544</v>
      </c>
      <c r="AD50" s="258">
        <f>+AD49/(DRE!AI6/90)</f>
        <v>46.313049769519438</v>
      </c>
      <c r="AE50" s="258">
        <f>+AE49/(DRE!AJ6/90)</f>
        <v>49.646939808097962</v>
      </c>
      <c r="AF50" s="258">
        <f>+AF49/(DRE!AK6/90)</f>
        <v>47.815763249532246</v>
      </c>
      <c r="AG50" s="258">
        <f>+AG49/(DRE!AL6/90)</f>
        <v>48.213560576659368</v>
      </c>
      <c r="AH50" s="258">
        <f>+AH49/(DRE!AM6/90)</f>
        <v>50.675232910702135</v>
      </c>
      <c r="AI50" s="258">
        <f>+AI49/(DRE!AN6/90)</f>
        <v>54.307420809725244</v>
      </c>
      <c r="AJ50" s="258">
        <f>+AJ49/(DRE!AO6/90)</f>
        <v>71.568658460625841</v>
      </c>
      <c r="AK50" s="258">
        <f>+AK49/(DRE!AP6/90)</f>
        <v>50.163895693743683</v>
      </c>
      <c r="AL50" s="258">
        <f>+AL49/(DRE!AQ6/90)</f>
        <v>49.36897007920826</v>
      </c>
      <c r="AM50" s="258">
        <f>+AM49/(DRE!AR6/90)</f>
        <v>52.347476219140027</v>
      </c>
      <c r="AN50" s="258">
        <f>+AN49/(DRE!AS6/90)</f>
        <v>60.187450597363473</v>
      </c>
      <c r="AO50" s="258">
        <f>+AO49/(DRE!AT6/90)</f>
        <v>61.114199538102213</v>
      </c>
      <c r="AP50" s="258">
        <f>+AP49/(DRE!AU6/90)</f>
        <v>71.782561682617512</v>
      </c>
      <c r="AQ50" s="258">
        <f>+AQ49/(DRE!AV6/90)</f>
        <v>67.482475285711402</v>
      </c>
      <c r="AR50" s="258">
        <f>+AR49/(DRE!AW6/90)</f>
        <v>63.808961158789771</v>
      </c>
      <c r="AS50" s="258">
        <f>+AS49/(DRE!AX6/90)</f>
        <v>50.874665931595509</v>
      </c>
      <c r="AT50" s="258">
        <f>+AT49/(DRE!AY6/90)</f>
        <v>55.826079891574423</v>
      </c>
      <c r="AU50" s="258">
        <f>+AU49/(DRE!AZ6/90)</f>
        <v>56.070215665586787</v>
      </c>
      <c r="AV50" s="258">
        <f>+AV49/(DRE!BA6/90)</f>
        <v>51.983792337188738</v>
      </c>
      <c r="AW50" s="258">
        <f>+AW49/(DRE!BB6/90)</f>
        <v>47.576690603690487</v>
      </c>
      <c r="AX50" s="258">
        <f>+AX49/(DRE!BC6/90)</f>
        <v>54.941851530098845</v>
      </c>
      <c r="AY50" s="258">
        <f>+AY49/(DRE!BD6/90)</f>
        <v>54.791267344803188</v>
      </c>
      <c r="AZ50" s="258">
        <f>+AZ49/(DRE!BE6/90)</f>
        <v>52.770403894665691</v>
      </c>
      <c r="BA50" s="258">
        <f>+BA49/(DRE!BF6/90)</f>
        <v>47.646607614023388</v>
      </c>
      <c r="BB50" s="258">
        <f>+BB49/(DRE!BG6/90)</f>
        <v>51.164407216993304</v>
      </c>
      <c r="BC50" s="258">
        <f>+BC49/(DRE!BH6/90)</f>
        <v>54.216612160742947</v>
      </c>
      <c r="BD50" s="258">
        <f>+BD49/(DRE!BI6/90)</f>
        <v>48.770676288977057</v>
      </c>
      <c r="BE50" s="258">
        <f>+BE49/(DRE!BJ6/90)</f>
        <v>48.041871943473204</v>
      </c>
      <c r="BF50" s="258">
        <f>+BF49/(DRE!BK6/90)</f>
        <v>52.153208861689272</v>
      </c>
      <c r="BG50" s="258">
        <f>+BG49/(DRE!BL6/90)</f>
        <v>57.21172078421079</v>
      </c>
    </row>
    <row r="51" spans="1:59" x14ac:dyDescent="0.2">
      <c r="A51" s="10"/>
      <c r="B51" s="117" t="s">
        <v>481</v>
      </c>
      <c r="C51" s="118">
        <f>+BP!K46</f>
        <v>45173</v>
      </c>
      <c r="D51" s="118">
        <f>+BP!L46</f>
        <v>47474</v>
      </c>
      <c r="E51" s="118">
        <f>+BP!M46</f>
        <v>43965</v>
      </c>
      <c r="F51" s="118">
        <f>+BP!N46</f>
        <v>32532</v>
      </c>
      <c r="G51" s="118">
        <f>+BP!O46</f>
        <v>42104</v>
      </c>
      <c r="H51" s="118">
        <f>+BP!P46</f>
        <v>54771</v>
      </c>
      <c r="I51" s="118">
        <f>+BP!Q46</f>
        <v>65269</v>
      </c>
      <c r="J51" s="118">
        <f>+BP!R46</f>
        <v>56817</v>
      </c>
      <c r="K51" s="118">
        <f>+BP!S46</f>
        <v>53213</v>
      </c>
      <c r="L51" s="118">
        <f>+BP!T46</f>
        <v>46278</v>
      </c>
      <c r="M51" s="118">
        <f>+BP!U46</f>
        <v>53006</v>
      </c>
      <c r="N51" s="118">
        <f>+BP!V46</f>
        <v>51894</v>
      </c>
      <c r="O51" s="118">
        <f>+BP!W46</f>
        <v>48471</v>
      </c>
      <c r="P51" s="118">
        <f>+BP!X46</f>
        <v>39196</v>
      </c>
      <c r="Q51" s="118">
        <f>+BP!Y46</f>
        <v>39489</v>
      </c>
      <c r="R51" s="118">
        <f>+BP!Z46</f>
        <v>45404</v>
      </c>
      <c r="S51" s="118">
        <f>+BP!AA46</f>
        <v>33904</v>
      </c>
      <c r="T51" s="118">
        <f>+BP!AB46</f>
        <v>30891</v>
      </c>
      <c r="U51" s="118">
        <f>+BP!AC46</f>
        <v>32399</v>
      </c>
      <c r="V51" s="118">
        <f>+BP!AD46</f>
        <v>43164</v>
      </c>
      <c r="W51" s="118">
        <f>+BP!AE46</f>
        <v>23189</v>
      </c>
      <c r="X51" s="118">
        <f>+BP!AF46</f>
        <v>23235</v>
      </c>
      <c r="Y51" s="118">
        <f>+BP!AG46</f>
        <v>26706</v>
      </c>
      <c r="Z51" s="118">
        <f>+BP!AH46</f>
        <v>32237</v>
      </c>
      <c r="AA51" s="118">
        <f>+BP!AI46</f>
        <v>28016</v>
      </c>
      <c r="AB51" s="118">
        <f>+BP!AJ46</f>
        <v>24553</v>
      </c>
      <c r="AC51" s="118">
        <f>+BP!AK46</f>
        <v>27786</v>
      </c>
      <c r="AD51" s="118">
        <f>+BP!AL46</f>
        <v>36898</v>
      </c>
      <c r="AE51" s="118">
        <f>+BP!AM46</f>
        <v>32147</v>
      </c>
      <c r="AF51" s="118">
        <f>+BP!AN46</f>
        <v>30700</v>
      </c>
      <c r="AG51" s="118">
        <f>+BP!AO46</f>
        <v>30325</v>
      </c>
      <c r="AH51" s="118">
        <f>+BP!AP46</f>
        <v>36312</v>
      </c>
      <c r="AI51" s="118">
        <f>+BP!AQ46</f>
        <v>21287</v>
      </c>
      <c r="AJ51" s="118">
        <f>+BP!AR46</f>
        <v>17169</v>
      </c>
      <c r="AK51" s="118">
        <f>+BP!AS46</f>
        <v>28173</v>
      </c>
      <c r="AL51" s="118">
        <f>+BP!AT46</f>
        <v>31268</v>
      </c>
      <c r="AM51" s="118">
        <f>+BP!AU46</f>
        <v>27426</v>
      </c>
      <c r="AN51" s="118">
        <f>+BP!AV46</f>
        <v>29673</v>
      </c>
      <c r="AO51" s="118">
        <f>+BP!AW46</f>
        <v>37709</v>
      </c>
      <c r="AP51" s="118">
        <f>+BP!AX46</f>
        <v>47838</v>
      </c>
      <c r="AQ51" s="118">
        <f>+BP!AY46</f>
        <v>39307</v>
      </c>
      <c r="AR51" s="118">
        <f>+BP!AZ46</f>
        <v>34064</v>
      </c>
      <c r="AS51" s="118">
        <f>+BP!BA46</f>
        <v>30411</v>
      </c>
      <c r="AT51" s="118">
        <f>+BP!BB46</f>
        <v>49406</v>
      </c>
      <c r="AU51" s="118">
        <f>+BP!BC46</f>
        <v>36895</v>
      </c>
      <c r="AV51" s="118">
        <f>+BP!BD46</f>
        <v>36160</v>
      </c>
      <c r="AW51" s="118">
        <f>+BP!BE46</f>
        <v>43470</v>
      </c>
      <c r="AX51" s="118">
        <f>+BP!BF46</f>
        <v>49620</v>
      </c>
      <c r="AY51" s="118">
        <f>+BP!BG46</f>
        <v>45666</v>
      </c>
      <c r="AZ51" s="118">
        <f>+BP!BH46</f>
        <v>54715</v>
      </c>
      <c r="BA51" s="118">
        <f>+BP!BI46</f>
        <v>56527</v>
      </c>
      <c r="BB51" s="118">
        <f>+BP!BJ46</f>
        <v>62418</v>
      </c>
      <c r="BC51" s="118">
        <f>+BP!BK46</f>
        <v>48147</v>
      </c>
      <c r="BD51" s="118">
        <f>+BP!BL46</f>
        <v>52246</v>
      </c>
      <c r="BE51" s="118">
        <f>+BP!BM46</f>
        <v>59589</v>
      </c>
      <c r="BF51" s="118">
        <f>+BP!BN46</f>
        <v>62248</v>
      </c>
      <c r="BG51" s="118">
        <f>+BP!BO46</f>
        <v>68197</v>
      </c>
    </row>
    <row r="52" spans="1:59" x14ac:dyDescent="0.2">
      <c r="A52" s="10"/>
      <c r="B52" s="280" t="s">
        <v>783</v>
      </c>
      <c r="C52" s="258">
        <f>+C51/((DRE!H11)/90)</f>
        <v>-14.30058319908264</v>
      </c>
      <c r="D52" s="258">
        <f>+D51/((DRE!I11)/90)</f>
        <v>-13.115169746454663</v>
      </c>
      <c r="E52" s="258">
        <f>+E51/((DRE!J11)/90)</f>
        <v>-10.292583700320209</v>
      </c>
      <c r="F52" s="258">
        <f>+F51/((DRE!K11)/90)</f>
        <v>-7.3106895750986904</v>
      </c>
      <c r="G52" s="258">
        <f>+G51/((DRE!L11)/90)</f>
        <v>-11.033478724209619</v>
      </c>
      <c r="H52" s="258">
        <f>+H51/((DRE!M11)/90)</f>
        <v>-12.435362171134786</v>
      </c>
      <c r="I52" s="258">
        <f>+I51/((DRE!N11)/90)</f>
        <v>-14.265651220453988</v>
      </c>
      <c r="J52" s="258">
        <f>+J51/((DRE!O11)/90)</f>
        <v>-12.770352278346344</v>
      </c>
      <c r="K52" s="258">
        <f>+K51/((DRE!P11)/90)</f>
        <v>-14.111610063115464</v>
      </c>
      <c r="L52" s="258">
        <f>+L51/((DRE!Q11)/90)</f>
        <v>-11.852140631447149</v>
      </c>
      <c r="M52" s="258">
        <f>+M51/((DRE!R11)/90)</f>
        <v>-15.240416715918203</v>
      </c>
      <c r="N52" s="258">
        <f>+N51/((DRE!S11)/90)</f>
        <v>-14.526142926900574</v>
      </c>
      <c r="O52" s="258">
        <f>+O51/((DRE!T11)/90)</f>
        <v>-17.658995688869997</v>
      </c>
      <c r="P52" s="258">
        <f>+P51/((DRE!U11)/90)</f>
        <v>-14.280266689336068</v>
      </c>
      <c r="Q52" s="258">
        <f>+Q51/((DRE!V11)/90)</f>
        <v>-15.003507936721643</v>
      </c>
      <c r="R52" s="258">
        <f>+R51/((DRE!W11)/90)</f>
        <v>-16.782252339932771</v>
      </c>
      <c r="S52" s="258">
        <f>+S51/((DRE!X11)/90)</f>
        <v>-17.055718131110005</v>
      </c>
      <c r="T52" s="258">
        <f>+T51/((DRE!Y11)/90)</f>
        <v>-14.082731402385987</v>
      </c>
      <c r="U52" s="258">
        <f>+U51/((DRE!Z11)/90)</f>
        <v>-14.705749394291326</v>
      </c>
      <c r="V52" s="258">
        <f>+V51/((DRE!AA11)/90)</f>
        <v>-18.795197830070208</v>
      </c>
      <c r="W52" s="258">
        <f>+W51/((DRE!AB11)/90)</f>
        <v>-11.548627625633276</v>
      </c>
      <c r="X52" s="258">
        <f>+X51/((DRE!AC11)/90)</f>
        <v>-9.8680231374766247</v>
      </c>
      <c r="Y52" s="258">
        <f>+Y51/((DRE!AD11)/90)</f>
        <v>-10.329163339596352</v>
      </c>
      <c r="Z52" s="258">
        <f>+Z51/((DRE!AE11)/90)</f>
        <v>-12.91072495633567</v>
      </c>
      <c r="AA52" s="258">
        <f>+AA51/((DRE!AF11)/90)</f>
        <v>-11.825070929411718</v>
      </c>
      <c r="AB52" s="258">
        <f>+AB51/((DRE!AG11)/90)</f>
        <v>-9.2832036156152729</v>
      </c>
      <c r="AC52" s="258">
        <f>+AC51/((DRE!AH11)/90)</f>
        <v>-9.4595189229042056</v>
      </c>
      <c r="AD52" s="258">
        <f>+AD51/((DRE!AI11)/90)</f>
        <v>-11.852774825253992</v>
      </c>
      <c r="AE52" s="258">
        <f>+AE51/((DRE!AJ11)/90)</f>
        <v>-12.356794322087181</v>
      </c>
      <c r="AF52" s="258">
        <f>+AF51/((DRE!AK11)/90)</f>
        <v>-10.535153399881665</v>
      </c>
      <c r="AG52" s="258">
        <f>+AG51/((DRE!AL11)/90)</f>
        <v>-10.054497925490397</v>
      </c>
      <c r="AH52" s="258">
        <f>+AH51/((DRE!AM11)/90)</f>
        <v>-11.168298617796204</v>
      </c>
      <c r="AI52" s="258">
        <f>+AI51/((DRE!AN11)/90)</f>
        <v>-8.6731594829882521</v>
      </c>
      <c r="AJ52" s="258">
        <f>+AJ51/((DRE!AO11)/90)</f>
        <v>-13.022060546436977</v>
      </c>
      <c r="AK52" s="258">
        <f>+AK51/((DRE!AP11)/90)</f>
        <v>-11.29501744858489</v>
      </c>
      <c r="AL52" s="258">
        <f>+AL51/((DRE!AQ11)/90)</f>
        <v>-11.353707310421859</v>
      </c>
      <c r="AM52" s="258">
        <f>+AM51/((DRE!AR11)/90)</f>
        <v>-12.900253937198039</v>
      </c>
      <c r="AN52" s="258">
        <f>+AN51/((DRE!AS11)/90)</f>
        <v>-13.859771247009496</v>
      </c>
      <c r="AO52" s="258">
        <f>+AO51/((DRE!AT11)/90)</f>
        <v>-17.904000611810467</v>
      </c>
      <c r="AP52" s="258">
        <f>+AP51/((DRE!AU11)/90)</f>
        <v>-17.514674024755848</v>
      </c>
      <c r="AQ52" s="258">
        <f>+AQ51/((DRE!AV11)/90)</f>
        <v>-17.513245219987983</v>
      </c>
      <c r="AR52" s="258">
        <f>+AR51/((DRE!AW11)/90)</f>
        <v>-12.405920817697677</v>
      </c>
      <c r="AS52" s="258">
        <f>+AS51/((DRE!AX11)/90)</f>
        <v>-8.5556760923362312</v>
      </c>
      <c r="AT52" s="258">
        <f>+AT51/((DRE!AY11)/90)</f>
        <v>-13.606121800845154</v>
      </c>
      <c r="AU52" s="258">
        <f>+AU51/((DRE!AZ11)/90)</f>
        <v>-12.025929277728443</v>
      </c>
      <c r="AV52" s="258">
        <f>+AV51/((DRE!BA11)/90)</f>
        <v>-10.931669182357853</v>
      </c>
      <c r="AW52" s="258">
        <f>+AW51/((DRE!BB11)/90)</f>
        <v>-11.658031592841706</v>
      </c>
      <c r="AX52" s="258">
        <f>+AX51/((DRE!BC11)/90)</f>
        <v>-12.326465417746961</v>
      </c>
      <c r="AY52" s="258">
        <f>+AY51/((DRE!BD11)/90)</f>
        <v>-13.022555621244376</v>
      </c>
      <c r="AZ52" s="258">
        <f>+AZ51/((DRE!BE11)/90)</f>
        <v>-13.070347587325504</v>
      </c>
      <c r="BA52" s="258">
        <f>+BA51/((DRE!BF11)/90)</f>
        <v>-10.958964100044357</v>
      </c>
      <c r="BB52" s="258">
        <f>+BB51/((DRE!BG11)/90)</f>
        <v>-11.642795298944984</v>
      </c>
      <c r="BC52" s="258">
        <f>+BC51/((DRE!BH11)/90)</f>
        <v>-12.171349901523564</v>
      </c>
      <c r="BD52" s="258">
        <f>+BD51/((DRE!BI11)/90)</f>
        <v>-10.955863945469853</v>
      </c>
      <c r="BE52" s="258">
        <f>+BE51/((DRE!BJ11)/90)</f>
        <v>-10.674166488581861</v>
      </c>
      <c r="BF52" s="258">
        <f>+BF51/((DRE!BK11)/90)</f>
        <v>-11.014863191203156</v>
      </c>
      <c r="BG52" s="258">
        <f>+BG51/((DRE!BL11)/90)</f>
        <v>-14.033727221353155</v>
      </c>
    </row>
    <row r="53" spans="1:59" ht="13.5" x14ac:dyDescent="0.2">
      <c r="A53" s="10"/>
      <c r="B53" s="676" t="s">
        <v>782</v>
      </c>
      <c r="C53" s="677">
        <f t="shared" ref="C53:L53" si="39">+C50+C52</f>
        <v>48.321328416619735</v>
      </c>
      <c r="D53" s="677">
        <f t="shared" si="39"/>
        <v>49.37818941121462</v>
      </c>
      <c r="E53" s="677">
        <f t="shared" si="39"/>
        <v>46.679914093908202</v>
      </c>
      <c r="F53" s="677">
        <f t="shared" si="39"/>
        <v>51.356878284747744</v>
      </c>
      <c r="G53" s="677">
        <f t="shared" si="39"/>
        <v>54.712260489572088</v>
      </c>
      <c r="H53" s="677">
        <f t="shared" si="39"/>
        <v>50.403975582131068</v>
      </c>
      <c r="I53" s="677">
        <f t="shared" si="39"/>
        <v>40.978954933664831</v>
      </c>
      <c r="J53" s="677">
        <f t="shared" si="39"/>
        <v>40.494166896933017</v>
      </c>
      <c r="K53" s="677">
        <f t="shared" si="39"/>
        <v>43.178043667988355</v>
      </c>
      <c r="L53" s="677">
        <f t="shared" si="39"/>
        <v>34.600473977685091</v>
      </c>
      <c r="M53" s="677">
        <f t="shared" ref="M53:AC53" si="40">+M50+M52</f>
        <v>31.047079276718591</v>
      </c>
      <c r="N53" s="677">
        <f t="shared" si="40"/>
        <v>31.785105797348535</v>
      </c>
      <c r="O53" s="677">
        <f t="shared" si="40"/>
        <v>33.173466245889884</v>
      </c>
      <c r="P53" s="677">
        <f t="shared" si="40"/>
        <v>44.078064403356329</v>
      </c>
      <c r="Q53" s="677">
        <f t="shared" si="40"/>
        <v>32.820172756709312</v>
      </c>
      <c r="R53" s="677">
        <f t="shared" si="40"/>
        <v>30.931064339321143</v>
      </c>
      <c r="S53" s="677">
        <f t="shared" si="40"/>
        <v>29.280948404777462</v>
      </c>
      <c r="T53" s="677">
        <f t="shared" si="40"/>
        <v>30.027646637681976</v>
      </c>
      <c r="U53" s="677">
        <f t="shared" si="40"/>
        <v>24.188557484450158</v>
      </c>
      <c r="V53" s="677">
        <f t="shared" si="40"/>
        <v>25.47982836892259</v>
      </c>
      <c r="W53" s="677">
        <f t="shared" si="40"/>
        <v>28.170609776915587</v>
      </c>
      <c r="X53" s="677">
        <f t="shared" si="40"/>
        <v>25.146706898057772</v>
      </c>
      <c r="Y53" s="677">
        <f t="shared" si="40"/>
        <v>24.451224887805683</v>
      </c>
      <c r="Z53" s="677">
        <f t="shared" si="40"/>
        <v>26.126618987779892</v>
      </c>
      <c r="AA53" s="677">
        <f t="shared" si="40"/>
        <v>29.838435946560246</v>
      </c>
      <c r="AB53" s="677">
        <f t="shared" si="40"/>
        <v>34.639172247512455</v>
      </c>
      <c r="AC53" s="677">
        <f t="shared" si="40"/>
        <v>31.765831010938339</v>
      </c>
      <c r="AD53" s="677">
        <f t="shared" ref="AD53:AJ53" si="41">+AD50+AD52</f>
        <v>34.46027494426545</v>
      </c>
      <c r="AE53" s="677">
        <f t="shared" si="41"/>
        <v>37.290145486010779</v>
      </c>
      <c r="AF53" s="677">
        <f t="shared" si="41"/>
        <v>37.280609849650581</v>
      </c>
      <c r="AG53" s="677">
        <f t="shared" si="41"/>
        <v>38.159062651168973</v>
      </c>
      <c r="AH53" s="677">
        <f t="shared" si="41"/>
        <v>39.506934292905932</v>
      </c>
      <c r="AI53" s="677">
        <f t="shared" si="41"/>
        <v>45.63426132673699</v>
      </c>
      <c r="AJ53" s="677">
        <f t="shared" si="41"/>
        <v>58.546597914188865</v>
      </c>
      <c r="AK53" s="677">
        <f t="shared" ref="AK53:AP53" si="42">+AK50+AK52</f>
        <v>38.868878245158797</v>
      </c>
      <c r="AL53" s="677">
        <f t="shared" si="42"/>
        <v>38.0152627687864</v>
      </c>
      <c r="AM53" s="677">
        <f t="shared" si="42"/>
        <v>39.44722228194199</v>
      </c>
      <c r="AN53" s="677">
        <f t="shared" si="42"/>
        <v>46.327679350353975</v>
      </c>
      <c r="AO53" s="677">
        <f t="shared" si="42"/>
        <v>43.210198926291746</v>
      </c>
      <c r="AP53" s="677">
        <f t="shared" si="42"/>
        <v>54.267887657861664</v>
      </c>
      <c r="AQ53" s="677">
        <f t="shared" ref="AQ53:AV53" si="43">+AQ50+AQ52</f>
        <v>49.969230065723423</v>
      </c>
      <c r="AR53" s="677">
        <f t="shared" si="43"/>
        <v>51.403040341092094</v>
      </c>
      <c r="AS53" s="677">
        <f t="shared" si="43"/>
        <v>42.318989839259274</v>
      </c>
      <c r="AT53" s="677">
        <f t="shared" si="43"/>
        <v>42.219958090729271</v>
      </c>
      <c r="AU53" s="677">
        <f t="shared" si="43"/>
        <v>44.044286387858342</v>
      </c>
      <c r="AV53" s="677">
        <f t="shared" si="43"/>
        <v>41.052123154830888</v>
      </c>
      <c r="AW53" s="677">
        <f t="shared" ref="AW53:BG53" si="44">+AW50+AW52</f>
        <v>35.918659010848785</v>
      </c>
      <c r="AX53" s="677">
        <f t="shared" si="44"/>
        <v>42.615386112351885</v>
      </c>
      <c r="AY53" s="677">
        <f t="shared" si="44"/>
        <v>41.768711723558809</v>
      </c>
      <c r="AZ53" s="677">
        <f t="shared" si="44"/>
        <v>39.700056307340191</v>
      </c>
      <c r="BA53" s="677">
        <f t="shared" si="44"/>
        <v>36.687643513979033</v>
      </c>
      <c r="BB53" s="677">
        <f t="shared" si="44"/>
        <v>39.521611918048322</v>
      </c>
      <c r="BC53" s="677">
        <f t="shared" si="44"/>
        <v>42.045262259219385</v>
      </c>
      <c r="BD53" s="677">
        <f t="shared" si="44"/>
        <v>37.814812343507207</v>
      </c>
      <c r="BE53" s="677">
        <f t="shared" si="44"/>
        <v>37.367705454891343</v>
      </c>
      <c r="BF53" s="677">
        <f t="shared" si="44"/>
        <v>41.138345670486117</v>
      </c>
      <c r="BG53" s="677">
        <f t="shared" si="44"/>
        <v>43.177993562857637</v>
      </c>
    </row>
    <row r="54" spans="1:59" ht="7.35" customHeight="1" x14ac:dyDescent="0.2">
      <c r="A54" s="10"/>
      <c r="B54" s="10"/>
      <c r="C54" s="11"/>
      <c r="D54" s="11"/>
      <c r="E54" s="11"/>
      <c r="F54" s="11"/>
      <c r="G54" s="11"/>
      <c r="H54" s="11"/>
      <c r="I54" s="11"/>
      <c r="J54" s="11"/>
      <c r="K54" s="11"/>
      <c r="L54" s="11"/>
      <c r="M54" s="11"/>
      <c r="N54" s="11"/>
      <c r="O54" s="11"/>
      <c r="P54" s="11"/>
    </row>
    <row r="55" spans="1:59" x14ac:dyDescent="0.2">
      <c r="A55" s="10"/>
      <c r="B55" s="10" t="s">
        <v>497</v>
      </c>
      <c r="C55" s="11"/>
      <c r="D55" s="11"/>
      <c r="E55" s="11"/>
      <c r="F55" s="11"/>
      <c r="G55" s="11"/>
      <c r="H55" s="11"/>
      <c r="I55" s="11"/>
      <c r="J55" s="1235" t="str">
        <f>J22</f>
        <v>&lt;== Com Direct Express</v>
      </c>
      <c r="K55" s="1236"/>
      <c r="L55" s="224" t="str">
        <f>L22</f>
        <v>Sem Direct Express ==&gt;</v>
      </c>
      <c r="M55" s="11"/>
      <c r="N55" s="11"/>
      <c r="O55" s="11"/>
      <c r="P55" s="11"/>
      <c r="Z55" s="275"/>
      <c r="AA55" s="275"/>
      <c r="AB55" s="275"/>
      <c r="AC55" s="275"/>
      <c r="AD55" s="275"/>
      <c r="AE55" s="275"/>
      <c r="AF55" s="275"/>
      <c r="AG55" s="275"/>
      <c r="AH55" s="275"/>
      <c r="AI55" s="275"/>
      <c r="AJ55" s="275"/>
      <c r="AK55" s="275"/>
      <c r="AL55" s="275"/>
      <c r="AM55" s="275"/>
      <c r="AQ55" s="275"/>
      <c r="AR55" s="275"/>
      <c r="AS55" s="275"/>
      <c r="AT55" s="275"/>
      <c r="AU55" s="275"/>
      <c r="AV55" s="275"/>
      <c r="AW55" s="275"/>
      <c r="AX55" s="275"/>
      <c r="AY55" s="275"/>
      <c r="AZ55" s="275"/>
      <c r="BA55" s="275"/>
      <c r="BB55" s="275"/>
    </row>
    <row r="56" spans="1:59" x14ac:dyDescent="0.2">
      <c r="A56" s="10"/>
      <c r="B56" s="127" t="s">
        <v>499</v>
      </c>
      <c r="C56" s="141" t="str">
        <f t="shared" ref="C56:AE56" si="45">+C$3</f>
        <v>1T12</v>
      </c>
      <c r="D56" s="141" t="str">
        <f t="shared" si="45"/>
        <v>2T12</v>
      </c>
      <c r="E56" s="141" t="str">
        <f t="shared" si="45"/>
        <v>3T12</v>
      </c>
      <c r="F56" s="141" t="str">
        <f t="shared" si="45"/>
        <v>4T12</v>
      </c>
      <c r="G56" s="141" t="str">
        <f t="shared" si="45"/>
        <v>1T13</v>
      </c>
      <c r="H56" s="141" t="str">
        <f t="shared" si="45"/>
        <v>2T13</v>
      </c>
      <c r="I56" s="141" t="str">
        <f t="shared" si="45"/>
        <v>3T13</v>
      </c>
      <c r="J56" s="141" t="str">
        <f t="shared" si="45"/>
        <v>4T13</v>
      </c>
      <c r="K56" s="141" t="str">
        <f t="shared" si="45"/>
        <v>1T14</v>
      </c>
      <c r="L56" s="141" t="str">
        <f t="shared" si="45"/>
        <v>2T14</v>
      </c>
      <c r="M56" s="141" t="str">
        <f t="shared" si="45"/>
        <v>3T14</v>
      </c>
      <c r="N56" s="141" t="str">
        <f t="shared" si="45"/>
        <v>4T14</v>
      </c>
      <c r="O56" s="141" t="str">
        <f t="shared" si="45"/>
        <v>1T15</v>
      </c>
      <c r="P56" s="141" t="str">
        <f t="shared" si="45"/>
        <v>2T15</v>
      </c>
      <c r="Q56" s="141" t="str">
        <f t="shared" si="45"/>
        <v>3T15</v>
      </c>
      <c r="R56" s="141" t="str">
        <f t="shared" si="45"/>
        <v>4T15</v>
      </c>
      <c r="S56" s="141" t="str">
        <f t="shared" si="45"/>
        <v>1T16</v>
      </c>
      <c r="T56" s="141" t="str">
        <f t="shared" si="45"/>
        <v>2T16</v>
      </c>
      <c r="U56" s="141" t="str">
        <f t="shared" si="45"/>
        <v>3T16</v>
      </c>
      <c r="V56" s="141" t="str">
        <f t="shared" si="45"/>
        <v>4T16</v>
      </c>
      <c r="W56" s="141" t="str">
        <f t="shared" si="45"/>
        <v>1T17</v>
      </c>
      <c r="X56" s="141" t="str">
        <f t="shared" si="45"/>
        <v>2T17</v>
      </c>
      <c r="Y56" s="141" t="str">
        <f t="shared" si="45"/>
        <v>3T17</v>
      </c>
      <c r="Z56" s="141" t="str">
        <f t="shared" si="45"/>
        <v>4T17</v>
      </c>
      <c r="AA56" s="141" t="str">
        <f t="shared" si="45"/>
        <v>1T18</v>
      </c>
      <c r="AB56" s="141" t="str">
        <f t="shared" si="45"/>
        <v>2T18</v>
      </c>
      <c r="AC56" s="141" t="str">
        <f t="shared" si="45"/>
        <v>3T18</v>
      </c>
      <c r="AD56" s="141" t="str">
        <f t="shared" si="45"/>
        <v>4T18</v>
      </c>
      <c r="AE56" s="141" t="str">
        <f t="shared" si="45"/>
        <v>1T19</v>
      </c>
      <c r="AF56" s="141" t="str">
        <f t="shared" ref="AF56:BG56" si="46">+AF$3</f>
        <v>2T19</v>
      </c>
      <c r="AG56" s="141" t="str">
        <f t="shared" si="46"/>
        <v>3T19</v>
      </c>
      <c r="AH56" s="141" t="str">
        <f t="shared" si="46"/>
        <v>4T19</v>
      </c>
      <c r="AI56" s="141" t="str">
        <f t="shared" si="46"/>
        <v>1T20</v>
      </c>
      <c r="AJ56" s="141" t="str">
        <f t="shared" si="46"/>
        <v>2T20</v>
      </c>
      <c r="AK56" s="141" t="str">
        <f t="shared" si="46"/>
        <v>3T20</v>
      </c>
      <c r="AL56" s="141" t="str">
        <f t="shared" si="46"/>
        <v>4T20</v>
      </c>
      <c r="AM56" s="141" t="str">
        <f t="shared" si="46"/>
        <v>1T21</v>
      </c>
      <c r="AN56" s="141" t="str">
        <f t="shared" si="46"/>
        <v>2T21</v>
      </c>
      <c r="AO56" s="141" t="str">
        <f t="shared" si="46"/>
        <v>3T21</v>
      </c>
      <c r="AP56" s="141" t="str">
        <f t="shared" si="46"/>
        <v>4T21</v>
      </c>
      <c r="AQ56" s="141" t="str">
        <f t="shared" si="46"/>
        <v>1T22</v>
      </c>
      <c r="AR56" s="141" t="str">
        <f t="shared" si="46"/>
        <v>2T22</v>
      </c>
      <c r="AS56" s="141" t="str">
        <f t="shared" si="46"/>
        <v>3T22</v>
      </c>
      <c r="AT56" s="141" t="str">
        <f t="shared" si="46"/>
        <v>4T22</v>
      </c>
      <c r="AU56" s="141" t="str">
        <f t="shared" si="46"/>
        <v>1T23</v>
      </c>
      <c r="AV56" s="141" t="str">
        <f t="shared" si="46"/>
        <v>2T23</v>
      </c>
      <c r="AW56" s="141" t="str">
        <f t="shared" si="46"/>
        <v>3T23</v>
      </c>
      <c r="AX56" s="141" t="str">
        <f t="shared" si="46"/>
        <v>4T23</v>
      </c>
      <c r="AY56" s="141" t="str">
        <f t="shared" si="46"/>
        <v>1T24</v>
      </c>
      <c r="AZ56" s="141" t="str">
        <f t="shared" si="46"/>
        <v>2T24</v>
      </c>
      <c r="BA56" s="141" t="str">
        <f t="shared" si="46"/>
        <v>3T24</v>
      </c>
      <c r="BB56" s="141" t="str">
        <f t="shared" si="46"/>
        <v>4T24</v>
      </c>
      <c r="BC56" s="141" t="str">
        <f t="shared" si="46"/>
        <v>1T25</v>
      </c>
      <c r="BD56" s="141" t="str">
        <f t="shared" si="46"/>
        <v>2T25</v>
      </c>
      <c r="BE56" s="141" t="str">
        <f t="shared" si="46"/>
        <v>3T25</v>
      </c>
      <c r="BF56" s="141" t="str">
        <f t="shared" si="46"/>
        <v>4T25</v>
      </c>
      <c r="BG56" s="141" t="str">
        <f t="shared" si="46"/>
        <v>1T26</v>
      </c>
    </row>
    <row r="57" spans="1:59" x14ac:dyDescent="0.2">
      <c r="A57" s="10"/>
      <c r="B57" s="117" t="s">
        <v>569</v>
      </c>
      <c r="C57" s="209"/>
      <c r="D57" s="209"/>
      <c r="E57" s="209"/>
      <c r="F57" s="210"/>
      <c r="G57" s="215">
        <v>7553.9571866666665</v>
      </c>
      <c r="H57" s="215">
        <v>5568.01955</v>
      </c>
      <c r="I57" s="215">
        <v>2356.2241600000002</v>
      </c>
      <c r="J57" s="215">
        <v>3178.5515874999996</v>
      </c>
      <c r="K57" s="215">
        <v>2693.8325533333332</v>
      </c>
      <c r="L57" s="617">
        <v>3499.7332925000001</v>
      </c>
      <c r="M57" s="215">
        <v>4006.1908399999998</v>
      </c>
      <c r="N57" s="215">
        <v>2463.608936666667</v>
      </c>
      <c r="O57" s="215">
        <v>1863.9312666666667</v>
      </c>
      <c r="P57" s="215">
        <v>1339.2537866666669</v>
      </c>
      <c r="Q57" s="215">
        <v>959.08744333333334</v>
      </c>
      <c r="R57" s="215">
        <v>611.84621333333325</v>
      </c>
      <c r="S57" s="215">
        <v>982.90269666666666</v>
      </c>
      <c r="T57" s="215">
        <v>1027.1672633333333</v>
      </c>
      <c r="U57" s="215">
        <v>1350</v>
      </c>
      <c r="V57" s="215">
        <v>957</v>
      </c>
      <c r="W57" s="215">
        <v>2232</v>
      </c>
      <c r="X57" s="215">
        <v>2870</v>
      </c>
      <c r="Y57" s="215">
        <v>5148</v>
      </c>
      <c r="Z57" s="215">
        <v>6365</v>
      </c>
      <c r="AA57" s="215">
        <v>6667.9690000000001</v>
      </c>
      <c r="AB57" s="215">
        <v>8650</v>
      </c>
      <c r="AC57" s="215">
        <v>6036.7524642403096</v>
      </c>
      <c r="AD57" s="215">
        <v>9115.9603220338995</v>
      </c>
      <c r="AE57" s="215">
        <v>7410.1886440677972</v>
      </c>
      <c r="AF57" s="215">
        <v>5645.0656612903222</v>
      </c>
      <c r="AG57" s="215">
        <v>8155.2082968750001</v>
      </c>
      <c r="AH57" s="215">
        <v>11250.830296296297</v>
      </c>
      <c r="AI57" s="215">
        <v>12616.978403225805</v>
      </c>
      <c r="AJ57" s="215">
        <v>19092</v>
      </c>
      <c r="AK57" s="215">
        <v>16098</v>
      </c>
      <c r="AL57" s="215">
        <v>13822</v>
      </c>
      <c r="AM57" s="215">
        <v>11955</v>
      </c>
      <c r="AN57" s="215">
        <v>9699.8427580645166</v>
      </c>
      <c r="AO57" s="215">
        <v>13091.498446153846</v>
      </c>
      <c r="AP57" s="215">
        <v>6429.0860000000002</v>
      </c>
      <c r="AQ57" s="215">
        <v>4846</v>
      </c>
      <c r="AR57" s="215">
        <v>3137.7112580645162</v>
      </c>
      <c r="AS57" s="215">
        <v>3630.1029846153847</v>
      </c>
      <c r="AT57" s="215">
        <v>3630.1029846153847</v>
      </c>
      <c r="AU57" s="215">
        <v>3561</v>
      </c>
      <c r="AV57" s="215">
        <v>3145</v>
      </c>
      <c r="AW57" s="215">
        <v>4879</v>
      </c>
      <c r="AX57" s="215">
        <v>5840</v>
      </c>
      <c r="AY57" s="215">
        <v>5230</v>
      </c>
      <c r="AZ57" s="215">
        <v>6401</v>
      </c>
      <c r="BA57" s="215">
        <v>3992</v>
      </c>
      <c r="BB57" s="215">
        <v>8486.8065081967216</v>
      </c>
      <c r="BC57" s="215">
        <v>7267</v>
      </c>
      <c r="BD57" s="215">
        <v>9218.1956721311471</v>
      </c>
      <c r="BE57" s="215">
        <v>8007.0264999999999</v>
      </c>
      <c r="BF57" s="215">
        <v>7552</v>
      </c>
      <c r="BG57" s="215">
        <v>7552</v>
      </c>
    </row>
    <row r="58" spans="1:59" x14ac:dyDescent="0.2">
      <c r="A58" s="10"/>
      <c r="B58" s="117" t="s">
        <v>500</v>
      </c>
      <c r="C58" s="209"/>
      <c r="D58" s="209"/>
      <c r="E58" s="209"/>
      <c r="F58" s="209"/>
      <c r="G58" s="215">
        <v>432096.14600000001</v>
      </c>
      <c r="H58" s="215">
        <v>368689.61499999999</v>
      </c>
      <c r="I58" s="215">
        <v>228554.726</v>
      </c>
      <c r="J58" s="215">
        <v>230940.989</v>
      </c>
      <c r="K58" s="215">
        <v>164725.21299999999</v>
      </c>
      <c r="L58" s="617">
        <v>277954.71500000003</v>
      </c>
      <c r="M58" s="215">
        <v>261120.785</v>
      </c>
      <c r="N58" s="215">
        <v>152383.32199999999</v>
      </c>
      <c r="O58" s="215">
        <v>115188.493</v>
      </c>
      <c r="P58" s="215">
        <v>81309.907000000007</v>
      </c>
      <c r="Q58" s="215">
        <v>61602.510999999999</v>
      </c>
      <c r="R58" s="215">
        <v>36868.832000000002</v>
      </c>
      <c r="S58" s="215">
        <v>62022.053999999996</v>
      </c>
      <c r="T58" s="215">
        <v>64031.72</v>
      </c>
      <c r="U58" s="215">
        <v>87794</v>
      </c>
      <c r="V58" s="215">
        <v>58390</v>
      </c>
      <c r="W58" s="215">
        <v>136182</v>
      </c>
      <c r="X58" s="215">
        <v>175100</v>
      </c>
      <c r="Y58" s="215">
        <v>324337</v>
      </c>
      <c r="Z58" s="215">
        <v>375564.609</v>
      </c>
      <c r="AA58" s="215">
        <v>260050.79199999999</v>
      </c>
      <c r="AB58" s="215">
        <v>542171.76399999997</v>
      </c>
      <c r="AC58" s="215">
        <v>542171.76399999997</v>
      </c>
      <c r="AD58" s="215">
        <v>537841.65899999999</v>
      </c>
      <c r="AE58" s="215">
        <v>437201.13</v>
      </c>
      <c r="AF58" s="215">
        <v>349994.071</v>
      </c>
      <c r="AG58" s="215">
        <v>521933.33100000001</v>
      </c>
      <c r="AH58" s="215">
        <v>911317.25399999996</v>
      </c>
      <c r="AI58" s="215">
        <v>782252.66099999996</v>
      </c>
      <c r="AJ58" s="215">
        <v>1176621</v>
      </c>
      <c r="AK58" s="215">
        <v>1046414</v>
      </c>
      <c r="AL58" s="215">
        <v>843162</v>
      </c>
      <c r="AM58" s="215">
        <v>717334</v>
      </c>
      <c r="AN58" s="215">
        <v>601390.25100000005</v>
      </c>
      <c r="AO58" s="215">
        <v>850947.39899999998</v>
      </c>
      <c r="AP58" s="215">
        <v>392174.22100000002</v>
      </c>
      <c r="AQ58" s="215">
        <v>300504</v>
      </c>
      <c r="AR58" s="215">
        <v>194538.098</v>
      </c>
      <c r="AS58" s="215">
        <v>235956.69399999999</v>
      </c>
      <c r="AT58" s="215">
        <v>235956.69399999999</v>
      </c>
      <c r="AU58" s="215">
        <v>224349</v>
      </c>
      <c r="AV58" s="215">
        <v>191872</v>
      </c>
      <c r="AW58" s="215">
        <v>312279</v>
      </c>
      <c r="AX58" s="215">
        <v>350421</v>
      </c>
      <c r="AY58" s="215">
        <v>319075</v>
      </c>
      <c r="AZ58" s="215">
        <v>403257</v>
      </c>
      <c r="BA58" s="215">
        <v>262744</v>
      </c>
      <c r="BB58" s="215">
        <v>517695.19699999999</v>
      </c>
      <c r="BC58" s="215">
        <v>443332</v>
      </c>
      <c r="BD58" s="215">
        <v>261272.13114754099</v>
      </c>
      <c r="BE58" s="215">
        <v>222539.39393939395</v>
      </c>
      <c r="BF58" s="215">
        <v>206306</v>
      </c>
      <c r="BG58" s="215">
        <v>206306</v>
      </c>
    </row>
    <row r="59" spans="1:59" x14ac:dyDescent="0.2">
      <c r="A59" s="10"/>
      <c r="B59" s="117" t="s">
        <v>498</v>
      </c>
      <c r="C59" s="209">
        <v>29.59</v>
      </c>
      <c r="D59" s="209">
        <v>29.666666666666668</v>
      </c>
      <c r="E59" s="209">
        <v>33.156666666666666</v>
      </c>
      <c r="F59" s="209">
        <v>34.083333333333336</v>
      </c>
      <c r="G59" s="209">
        <v>32.166666666666664</v>
      </c>
      <c r="H59" s="209">
        <v>26.27</v>
      </c>
      <c r="I59" s="209">
        <v>21.723333333333333</v>
      </c>
      <c r="J59" s="209">
        <v>20.416666666666668</v>
      </c>
      <c r="K59" s="209">
        <v>18.73</v>
      </c>
      <c r="L59" s="236">
        <v>19.253333333333334</v>
      </c>
      <c r="M59" s="209">
        <v>18.53</v>
      </c>
      <c r="N59" s="209">
        <v>17.329999999999998</v>
      </c>
      <c r="O59" s="209">
        <v>14.146666666666667</v>
      </c>
      <c r="P59" s="209">
        <v>13.596666666666666</v>
      </c>
      <c r="Q59" s="209">
        <v>6.0566666666666658</v>
      </c>
      <c r="R59" s="209">
        <v>4.1033333333333335</v>
      </c>
      <c r="S59" s="209">
        <v>3.9133333333333336</v>
      </c>
      <c r="T59" s="209">
        <v>5.15</v>
      </c>
      <c r="U59" s="209">
        <v>8.2799999999999994</v>
      </c>
      <c r="V59" s="209">
        <v>7.75</v>
      </c>
      <c r="W59" s="209">
        <v>10.23</v>
      </c>
      <c r="X59" s="209">
        <v>13.04</v>
      </c>
      <c r="Y59" s="209">
        <v>16.12</v>
      </c>
      <c r="Z59" s="209">
        <v>19.739999999999998</v>
      </c>
      <c r="AA59" s="209">
        <v>22.73</v>
      </c>
      <c r="AB59" s="209">
        <v>19.837142857142862</v>
      </c>
      <c r="AC59" s="209">
        <v>19.837142857142862</v>
      </c>
      <c r="AD59" s="209">
        <v>23.293559322033897</v>
      </c>
      <c r="AE59" s="209">
        <v>28.109000000000012</v>
      </c>
      <c r="AF59" s="674">
        <v>26.804193548387101</v>
      </c>
      <c r="AG59" s="674">
        <v>31.528906249999999</v>
      </c>
      <c r="AH59" s="674">
        <v>32.415061728395074</v>
      </c>
      <c r="AI59" s="674">
        <v>34.432741935483868</v>
      </c>
      <c r="AJ59" s="674">
        <v>19.89</v>
      </c>
      <c r="AK59" s="674">
        <v>25.19</v>
      </c>
      <c r="AL59" s="674">
        <v>24.95</v>
      </c>
      <c r="AM59" s="674">
        <v>22.821333330000002</v>
      </c>
      <c r="AN59" s="674">
        <v>22.884032258064508</v>
      </c>
      <c r="AO59" s="674">
        <v>20.144923076923071</v>
      </c>
      <c r="AP59" s="674">
        <v>15.76</v>
      </c>
      <c r="AQ59" s="674">
        <v>14.68</v>
      </c>
      <c r="AR59" s="674">
        <v>14.810161290322583</v>
      </c>
      <c r="AS59" s="674">
        <v>16.245076923076923</v>
      </c>
      <c r="AT59" s="674">
        <v>20.875245901639346</v>
      </c>
      <c r="AU59" s="674">
        <v>18.23</v>
      </c>
      <c r="AV59" s="674">
        <v>19.71</v>
      </c>
      <c r="AW59" s="674">
        <v>24.15</v>
      </c>
      <c r="AX59" s="674">
        <v>25.74</v>
      </c>
      <c r="AY59" s="674">
        <v>26.78</v>
      </c>
      <c r="AZ59" s="674">
        <v>24.92</v>
      </c>
      <c r="BA59" s="674">
        <v>25.91</v>
      </c>
      <c r="BB59" s="674">
        <v>29.522622950819667</v>
      </c>
      <c r="BC59" s="674">
        <v>31.39</v>
      </c>
      <c r="BD59" s="674">
        <v>35.256393442622958</v>
      </c>
      <c r="BE59" s="674">
        <v>36.203787878787892</v>
      </c>
      <c r="BF59" s="674">
        <v>36.42</v>
      </c>
      <c r="BG59" s="674">
        <v>36.42</v>
      </c>
    </row>
    <row r="60" spans="1:59" x14ac:dyDescent="0.2">
      <c r="A60" s="10"/>
      <c r="B60" s="117" t="s">
        <v>558</v>
      </c>
      <c r="C60" s="118">
        <v>66002.914999999994</v>
      </c>
      <c r="D60" s="118">
        <v>66002.914999999994</v>
      </c>
      <c r="E60" s="118">
        <v>66002.914999999994</v>
      </c>
      <c r="F60" s="118">
        <v>66002.914999999994</v>
      </c>
      <c r="G60" s="118">
        <v>66002.914999999994</v>
      </c>
      <c r="H60" s="118">
        <v>66002.914999999994</v>
      </c>
      <c r="I60" s="118">
        <v>66002.914999999994</v>
      </c>
      <c r="J60" s="118">
        <v>66002.914999999994</v>
      </c>
      <c r="K60" s="118">
        <v>66002.914999999994</v>
      </c>
      <c r="L60" s="160">
        <v>66002.914999999994</v>
      </c>
      <c r="M60" s="118">
        <v>66002.914999999994</v>
      </c>
      <c r="N60" s="118">
        <v>66002.914999999994</v>
      </c>
      <c r="O60" s="118">
        <v>66002.914999999994</v>
      </c>
      <c r="P60" s="118">
        <v>66002.914999999994</v>
      </c>
      <c r="Q60" s="118">
        <v>66002.914999999994</v>
      </c>
      <c r="R60" s="118">
        <v>66002.914999999994</v>
      </c>
      <c r="S60" s="118">
        <v>66002.914999999994</v>
      </c>
      <c r="T60" s="118">
        <v>66002.914999999994</v>
      </c>
      <c r="U60" s="118">
        <v>66002.914999999994</v>
      </c>
      <c r="V60" s="118">
        <v>66002.914999999994</v>
      </c>
      <c r="W60" s="118">
        <v>66002.914999999994</v>
      </c>
      <c r="X60" s="118">
        <v>66002.914999999994</v>
      </c>
      <c r="Y60" s="118">
        <v>66002.914999999994</v>
      </c>
      <c r="Z60" s="118">
        <v>66002.914999999994</v>
      </c>
      <c r="AA60" s="118">
        <v>66002.914999999994</v>
      </c>
      <c r="AB60" s="118">
        <v>66002.914999999994</v>
      </c>
      <c r="AC60" s="118">
        <v>66002.914999999994</v>
      </c>
      <c r="AD60" s="118">
        <v>66002.914999999994</v>
      </c>
      <c r="AE60" s="118">
        <v>66002.914999999994</v>
      </c>
      <c r="AF60" s="118">
        <v>66002.914999999994</v>
      </c>
      <c r="AG60" s="118">
        <v>66002.914999999994</v>
      </c>
      <c r="AH60" s="118">
        <v>66002.914999999994</v>
      </c>
      <c r="AI60" s="118">
        <v>66002.914999999994</v>
      </c>
      <c r="AJ60" s="118">
        <v>66002.914999999994</v>
      </c>
      <c r="AK60" s="118">
        <v>66002.914999999994</v>
      </c>
      <c r="AL60" s="118">
        <v>66002.914999999994</v>
      </c>
      <c r="AM60" s="118">
        <v>66002.914999999994</v>
      </c>
      <c r="AN60" s="118">
        <v>66002.914999999994</v>
      </c>
      <c r="AO60" s="118">
        <v>66002.914999999994</v>
      </c>
      <c r="AP60" s="118">
        <v>66002.914999999994</v>
      </c>
      <c r="AQ60" s="118">
        <v>66002.914999999994</v>
      </c>
      <c r="AR60" s="118">
        <v>66002.914999999994</v>
      </c>
      <c r="AS60" s="118">
        <v>66002.914999999994</v>
      </c>
      <c r="AT60" s="118">
        <v>66002.914999999994</v>
      </c>
      <c r="AU60" s="118">
        <v>66002.914999999994</v>
      </c>
      <c r="AV60" s="118">
        <v>66002.914999999994</v>
      </c>
      <c r="AW60" s="118">
        <v>66002.914999999994</v>
      </c>
      <c r="AX60" s="118">
        <v>66002.914999999994</v>
      </c>
      <c r="AY60" s="118">
        <v>66002.914999999994</v>
      </c>
      <c r="AZ60" s="118">
        <v>66002.914999999994</v>
      </c>
      <c r="BA60" s="118">
        <v>66002.914999999994</v>
      </c>
      <c r="BB60" s="118">
        <v>66002.914999999994</v>
      </c>
      <c r="BC60" s="118">
        <v>66002.914999999994</v>
      </c>
      <c r="BD60" s="118">
        <v>66002.914999999994</v>
      </c>
      <c r="BE60" s="118">
        <v>66002.914999999994</v>
      </c>
      <c r="BF60" s="118">
        <v>66002.914999999994</v>
      </c>
      <c r="BG60" s="118">
        <v>66002.914999999994</v>
      </c>
    </row>
    <row r="61" spans="1:59" x14ac:dyDescent="0.2">
      <c r="A61" s="10"/>
      <c r="B61" s="117" t="s">
        <v>685</v>
      </c>
      <c r="C61" s="118">
        <v>65.2</v>
      </c>
      <c r="D61" s="118">
        <v>65.2</v>
      </c>
      <c r="E61" s="118">
        <v>65.2</v>
      </c>
      <c r="F61" s="118">
        <v>65.2</v>
      </c>
      <c r="G61" s="118">
        <v>65.2</v>
      </c>
      <c r="H61" s="118">
        <v>65.2</v>
      </c>
      <c r="I61" s="118">
        <v>65.2</v>
      </c>
      <c r="J61" s="118">
        <v>65.2</v>
      </c>
      <c r="K61" s="118">
        <v>65.2</v>
      </c>
      <c r="L61" s="160">
        <v>65.2</v>
      </c>
      <c r="M61" s="118">
        <v>65.2</v>
      </c>
      <c r="N61" s="118">
        <v>65.2</v>
      </c>
      <c r="O61" s="118">
        <v>65.2</v>
      </c>
      <c r="P61" s="118">
        <v>65.2</v>
      </c>
      <c r="Q61" s="118">
        <v>65.2</v>
      </c>
      <c r="R61" s="118">
        <v>65.2</v>
      </c>
      <c r="S61" s="118">
        <v>65.2</v>
      </c>
      <c r="T61" s="118">
        <v>65.2</v>
      </c>
      <c r="U61" s="118">
        <v>65.2</v>
      </c>
      <c r="V61" s="118">
        <v>65.2</v>
      </c>
      <c r="W61" s="118">
        <v>65.2</v>
      </c>
      <c r="X61" s="118">
        <v>65.2</v>
      </c>
      <c r="Y61" s="118">
        <v>65.2</v>
      </c>
      <c r="Z61" s="118">
        <v>65.2</v>
      </c>
      <c r="AA61" s="118">
        <v>65.2</v>
      </c>
      <c r="AB61" s="118">
        <v>65.2</v>
      </c>
      <c r="AC61" s="118">
        <v>65.2</v>
      </c>
      <c r="AD61" s="118">
        <v>65.2</v>
      </c>
      <c r="AE61" s="118">
        <v>65.2</v>
      </c>
      <c r="AF61" s="118">
        <v>65.2</v>
      </c>
      <c r="AG61" s="118">
        <v>65.2</v>
      </c>
      <c r="AH61" s="118">
        <v>65.2</v>
      </c>
      <c r="AI61" s="118">
        <v>65.2</v>
      </c>
      <c r="AJ61" s="118">
        <v>65.2</v>
      </c>
      <c r="AK61" s="118">
        <v>65.2</v>
      </c>
      <c r="AL61" s="118">
        <v>65.2</v>
      </c>
      <c r="AM61" s="118">
        <v>65.2</v>
      </c>
      <c r="AN61" s="118">
        <v>65.2</v>
      </c>
      <c r="AO61" s="118">
        <v>65.2</v>
      </c>
      <c r="AP61" s="118">
        <v>65.2</v>
      </c>
      <c r="AQ61" s="118">
        <v>66.2</v>
      </c>
      <c r="AR61" s="118">
        <v>66.2</v>
      </c>
      <c r="AS61" s="118">
        <v>66.2</v>
      </c>
      <c r="AT61" s="118">
        <v>66.2</v>
      </c>
      <c r="AU61" s="118">
        <v>66.2</v>
      </c>
      <c r="AV61" s="118">
        <v>66.2</v>
      </c>
      <c r="AW61" s="118">
        <v>66.2</v>
      </c>
      <c r="AX61" s="118">
        <v>66.2</v>
      </c>
      <c r="AY61" s="118">
        <v>66.2</v>
      </c>
      <c r="AZ61" s="118">
        <v>66.2</v>
      </c>
      <c r="BA61" s="118">
        <v>66.2</v>
      </c>
      <c r="BB61" s="118">
        <v>66.2</v>
      </c>
      <c r="BC61" s="118">
        <v>65.143000000000001</v>
      </c>
      <c r="BD61" s="118">
        <v>65.143000000000001</v>
      </c>
      <c r="BE61" s="118">
        <v>65.143000000000001</v>
      </c>
      <c r="BF61" s="118">
        <v>65.143000000000001</v>
      </c>
      <c r="BG61" s="118">
        <v>65.143000000000001</v>
      </c>
    </row>
    <row r="62" spans="1:59" x14ac:dyDescent="0.2">
      <c r="B62" s="459"/>
    </row>
    <row r="63" spans="1:59" x14ac:dyDescent="0.2">
      <c r="B63" s="127" t="s">
        <v>1043</v>
      </c>
      <c r="C63" s="141" t="str">
        <f t="shared" ref="C63:AH63" si="47">+C$3</f>
        <v>1T12</v>
      </c>
      <c r="D63" s="141" t="str">
        <f t="shared" si="47"/>
        <v>2T12</v>
      </c>
      <c r="E63" s="141" t="str">
        <f t="shared" si="47"/>
        <v>3T12</v>
      </c>
      <c r="F63" s="141" t="str">
        <f t="shared" si="47"/>
        <v>4T12</v>
      </c>
      <c r="G63" s="141" t="str">
        <f t="shared" si="47"/>
        <v>1T13</v>
      </c>
      <c r="H63" s="141" t="str">
        <f t="shared" si="47"/>
        <v>2T13</v>
      </c>
      <c r="I63" s="141" t="str">
        <f t="shared" si="47"/>
        <v>3T13</v>
      </c>
      <c r="J63" s="141" t="str">
        <f t="shared" si="47"/>
        <v>4T13</v>
      </c>
      <c r="K63" s="141" t="str">
        <f t="shared" si="47"/>
        <v>1T14</v>
      </c>
      <c r="L63" s="141" t="str">
        <f t="shared" si="47"/>
        <v>2T14</v>
      </c>
      <c r="M63" s="141" t="str">
        <f t="shared" si="47"/>
        <v>3T14</v>
      </c>
      <c r="N63" s="141" t="str">
        <f t="shared" si="47"/>
        <v>4T14</v>
      </c>
      <c r="O63" s="141" t="str">
        <f t="shared" si="47"/>
        <v>1T15</v>
      </c>
      <c r="P63" s="141" t="str">
        <f t="shared" si="47"/>
        <v>2T15</v>
      </c>
      <c r="Q63" s="141" t="str">
        <f t="shared" si="47"/>
        <v>3T15</v>
      </c>
      <c r="R63" s="141" t="str">
        <f t="shared" si="47"/>
        <v>4T15</v>
      </c>
      <c r="S63" s="141" t="str">
        <f t="shared" si="47"/>
        <v>1T16</v>
      </c>
      <c r="T63" s="141" t="str">
        <f t="shared" si="47"/>
        <v>2T16</v>
      </c>
      <c r="U63" s="141" t="str">
        <f t="shared" si="47"/>
        <v>3T16</v>
      </c>
      <c r="V63" s="141" t="str">
        <f t="shared" si="47"/>
        <v>4T16</v>
      </c>
      <c r="W63" s="141" t="str">
        <f t="shared" si="47"/>
        <v>1T17</v>
      </c>
      <c r="X63" s="141" t="str">
        <f t="shared" si="47"/>
        <v>2T17</v>
      </c>
      <c r="Y63" s="141" t="str">
        <f t="shared" si="47"/>
        <v>3T17</v>
      </c>
      <c r="Z63" s="141" t="str">
        <f t="shared" si="47"/>
        <v>4T17</v>
      </c>
      <c r="AA63" s="141" t="str">
        <f t="shared" si="47"/>
        <v>1T18</v>
      </c>
      <c r="AB63" s="141" t="str">
        <f t="shared" si="47"/>
        <v>2T18</v>
      </c>
      <c r="AC63" s="141" t="str">
        <f t="shared" si="47"/>
        <v>3T18</v>
      </c>
      <c r="AD63" s="141" t="str">
        <f t="shared" si="47"/>
        <v>4T18</v>
      </c>
      <c r="AE63" s="141" t="str">
        <f t="shared" si="47"/>
        <v>1T19</v>
      </c>
      <c r="AF63" s="141" t="str">
        <f t="shared" si="47"/>
        <v>2T19</v>
      </c>
      <c r="AG63" s="141" t="str">
        <f t="shared" si="47"/>
        <v>3T19</v>
      </c>
      <c r="AH63" s="141" t="str">
        <f t="shared" si="47"/>
        <v>4T19</v>
      </c>
      <c r="AI63" s="141" t="str">
        <f t="shared" ref="AI63:BG63" si="48">+AI$3</f>
        <v>1T20</v>
      </c>
      <c r="AJ63" s="141" t="str">
        <f t="shared" si="48"/>
        <v>2T20</v>
      </c>
      <c r="AK63" s="141" t="str">
        <f t="shared" si="48"/>
        <v>3T20</v>
      </c>
      <c r="AL63" s="141" t="str">
        <f t="shared" si="48"/>
        <v>4T20</v>
      </c>
      <c r="AM63" s="141" t="str">
        <f t="shared" si="48"/>
        <v>1T21</v>
      </c>
      <c r="AN63" s="141" t="str">
        <f t="shared" si="48"/>
        <v>2T21</v>
      </c>
      <c r="AO63" s="141" t="str">
        <f t="shared" si="48"/>
        <v>3T21</v>
      </c>
      <c r="AP63" s="141" t="str">
        <f t="shared" si="48"/>
        <v>4T21</v>
      </c>
      <c r="AQ63" s="141" t="str">
        <f t="shared" si="48"/>
        <v>1T22</v>
      </c>
      <c r="AR63" s="141" t="str">
        <f t="shared" si="48"/>
        <v>2T22</v>
      </c>
      <c r="AS63" s="141" t="str">
        <f t="shared" si="48"/>
        <v>3T22</v>
      </c>
      <c r="AT63" s="141" t="str">
        <f t="shared" si="48"/>
        <v>4T22</v>
      </c>
      <c r="AU63" s="141" t="str">
        <f t="shared" si="48"/>
        <v>1T23</v>
      </c>
      <c r="AV63" s="141" t="str">
        <f t="shared" si="48"/>
        <v>2T23</v>
      </c>
      <c r="AW63" s="141" t="str">
        <f t="shared" si="48"/>
        <v>3T23</v>
      </c>
      <c r="AX63" s="141" t="str">
        <f t="shared" si="48"/>
        <v>4T23</v>
      </c>
      <c r="AY63" s="141" t="str">
        <f t="shared" si="48"/>
        <v>1T24</v>
      </c>
      <c r="AZ63" s="141" t="str">
        <f t="shared" si="48"/>
        <v>2T24</v>
      </c>
      <c r="BA63" s="141" t="str">
        <f t="shared" si="48"/>
        <v>3T24</v>
      </c>
      <c r="BB63" s="141" t="str">
        <f t="shared" si="48"/>
        <v>4T24</v>
      </c>
      <c r="BC63" s="141" t="str">
        <f t="shared" si="48"/>
        <v>1T25</v>
      </c>
      <c r="BD63" s="141" t="str">
        <f t="shared" si="48"/>
        <v>2T25</v>
      </c>
      <c r="BE63" s="141" t="str">
        <f t="shared" si="48"/>
        <v>3T25</v>
      </c>
      <c r="BF63" s="141" t="str">
        <f t="shared" si="48"/>
        <v>4T25</v>
      </c>
      <c r="BG63" s="141" t="str">
        <f t="shared" si="48"/>
        <v>1T26</v>
      </c>
    </row>
    <row r="64" spans="1:59" x14ac:dyDescent="0.2">
      <c r="B64" s="612" t="s">
        <v>1041</v>
      </c>
      <c r="C64" s="667" t="s">
        <v>160</v>
      </c>
      <c r="D64" s="667" t="s">
        <v>160</v>
      </c>
      <c r="E64" s="667" t="s">
        <v>160</v>
      </c>
      <c r="F64" s="667" t="s">
        <v>160</v>
      </c>
      <c r="G64" s="667" t="s">
        <v>160</v>
      </c>
      <c r="H64" s="667" t="s">
        <v>160</v>
      </c>
      <c r="I64" s="667" t="s">
        <v>160</v>
      </c>
      <c r="J64" s="667" t="s">
        <v>160</v>
      </c>
      <c r="K64" s="667" t="s">
        <v>160</v>
      </c>
      <c r="L64" s="667" t="s">
        <v>160</v>
      </c>
      <c r="M64" s="667" t="s">
        <v>160</v>
      </c>
      <c r="N64" s="667" t="s">
        <v>160</v>
      </c>
      <c r="O64" s="667" t="s">
        <v>160</v>
      </c>
      <c r="P64" s="667" t="s">
        <v>160</v>
      </c>
      <c r="Q64" s="667" t="s">
        <v>160</v>
      </c>
      <c r="R64" s="667" t="s">
        <v>160</v>
      </c>
      <c r="S64" s="667" t="s">
        <v>160</v>
      </c>
      <c r="T64" s="667" t="s">
        <v>160</v>
      </c>
      <c r="U64" s="667" t="s">
        <v>160</v>
      </c>
      <c r="V64" s="667" t="s">
        <v>160</v>
      </c>
      <c r="W64" s="932">
        <f>+W66</f>
        <v>6.0136466675770581</v>
      </c>
      <c r="X64" s="932">
        <f>+X66</f>
        <v>7.5665925375745511</v>
      </c>
      <c r="Y64" s="932">
        <f>+Y66</f>
        <v>8.722944252808988</v>
      </c>
      <c r="Z64" s="932">
        <f>+Z66</f>
        <v>9.8453732752621512</v>
      </c>
      <c r="AA64" s="932">
        <f>+AA67</f>
        <v>7.8431787111418894</v>
      </c>
      <c r="AB64" s="932">
        <f>+AB67</f>
        <v>6.9285879237699337</v>
      </c>
      <c r="AC64" s="932">
        <f>+AC67</f>
        <v>6.9347392987762264</v>
      </c>
      <c r="AD64" s="932">
        <f>+AD67</f>
        <v>7.8329292527915122</v>
      </c>
      <c r="AE64" s="932">
        <f>+AE68</f>
        <v>7.6752978925652764</v>
      </c>
      <c r="AF64" s="932">
        <f>+AF68</f>
        <v>7.1433816676695905</v>
      </c>
      <c r="AG64" s="932">
        <f>+AG68</f>
        <v>8.217844015121333</v>
      </c>
      <c r="AH64" s="932">
        <f>+AH68</f>
        <v>8.7093571507580485</v>
      </c>
      <c r="AI64" s="932">
        <f>+AI69</f>
        <v>8.3090595192715284</v>
      </c>
      <c r="AJ64" s="932">
        <f>+AJ69</f>
        <v>6.4753076362566846</v>
      </c>
      <c r="AK64" s="932">
        <f>+AK69</f>
        <v>8.4887757074557619</v>
      </c>
      <c r="AL64" s="932">
        <f>+AL69</f>
        <v>7.2453160718129226</v>
      </c>
      <c r="AM64" s="932">
        <f>+AM70</f>
        <v>5.5640279369380261</v>
      </c>
      <c r="AN64" s="932">
        <f>+AN70</f>
        <v>5.6207586263222646</v>
      </c>
      <c r="AO64" s="932">
        <f>+AO70</f>
        <v>5.2963204746249772</v>
      </c>
      <c r="AP64" s="932">
        <f>+AP70</f>
        <v>5.3813224140650657</v>
      </c>
      <c r="AQ64" s="932">
        <f>+AQ71</f>
        <v>4.1250787582393595</v>
      </c>
      <c r="AR64" s="932">
        <f>+AR71</f>
        <v>4.395675102248398</v>
      </c>
      <c r="AS64" s="932">
        <f>+AS71</f>
        <v>4.4694322062172258</v>
      </c>
      <c r="AT64" s="932">
        <f>+AT71</f>
        <v>5.3584640097765366</v>
      </c>
      <c r="AU64" s="932">
        <f t="shared" ref="AU64:AZ64" si="49">+AU72</f>
        <v>3.9216308672705096</v>
      </c>
      <c r="AV64" s="932">
        <f t="shared" si="49"/>
        <v>4.3106611413579046</v>
      </c>
      <c r="AW64" s="932">
        <f t="shared" si="49"/>
        <v>5.4582888144049333</v>
      </c>
      <c r="AX64" s="932">
        <f t="shared" si="49"/>
        <v>5.9000661261401808</v>
      </c>
      <c r="AY64" s="932">
        <f t="shared" si="49"/>
        <v>5.6885756107452332</v>
      </c>
      <c r="AZ64" s="932">
        <f t="shared" si="49"/>
        <v>5.3858393129982662</v>
      </c>
      <c r="BA64" s="932">
        <f>+BA72</f>
        <v>5.6113675135181973</v>
      </c>
      <c r="BB64" s="932">
        <f t="shared" ref="BB64:BF64" si="50">+BB73</f>
        <v>4.7969316751322735</v>
      </c>
      <c r="BC64" s="932">
        <f t="shared" si="50"/>
        <v>4.1600891689616253</v>
      </c>
      <c r="BD64" s="932">
        <f t="shared" si="50"/>
        <v>4.8516908111368924</v>
      </c>
      <c r="BE64" s="932">
        <f t="shared" si="50"/>
        <v>5.2463777271568643</v>
      </c>
      <c r="BF64" s="932">
        <f t="shared" si="50"/>
        <v>5.7843164348762963</v>
      </c>
      <c r="BG64" s="932">
        <f>+BG74</f>
        <v>5.8150697710526309</v>
      </c>
    </row>
    <row r="65" spans="2:59" x14ac:dyDescent="0.2">
      <c r="B65" s="612" t="s">
        <v>1042</v>
      </c>
      <c r="C65" s="667" t="s">
        <v>160</v>
      </c>
      <c r="D65" s="667" t="s">
        <v>160</v>
      </c>
      <c r="E65" s="667" t="s">
        <v>160</v>
      </c>
      <c r="F65" s="667" t="s">
        <v>160</v>
      </c>
      <c r="G65" s="667" t="s">
        <v>160</v>
      </c>
      <c r="H65" s="667" t="s">
        <v>160</v>
      </c>
      <c r="I65" s="667" t="s">
        <v>160</v>
      </c>
      <c r="J65" s="667" t="s">
        <v>160</v>
      </c>
      <c r="K65" s="667" t="s">
        <v>160</v>
      </c>
      <c r="L65" s="667" t="s">
        <v>160</v>
      </c>
      <c r="M65" s="667" t="s">
        <v>160</v>
      </c>
      <c r="N65" s="667" t="s">
        <v>160</v>
      </c>
      <c r="O65" s="667" t="s">
        <v>160</v>
      </c>
      <c r="P65" s="667" t="s">
        <v>160</v>
      </c>
      <c r="Q65" s="667" t="s">
        <v>160</v>
      </c>
      <c r="R65" s="667" t="s">
        <v>160</v>
      </c>
      <c r="S65" s="667" t="s">
        <v>160</v>
      </c>
      <c r="T65" s="667" t="s">
        <v>160</v>
      </c>
      <c r="U65" s="667" t="s">
        <v>160</v>
      </c>
      <c r="V65" s="667" t="s">
        <v>160</v>
      </c>
      <c r="W65" s="932">
        <f>+W76</f>
        <v>13.888443341446692</v>
      </c>
      <c r="X65" s="932">
        <f>+X76</f>
        <v>17.588787702997273</v>
      </c>
      <c r="Y65" s="932">
        <f>+Y76</f>
        <v>18.886987984615381</v>
      </c>
      <c r="Z65" s="932">
        <f>+Z76</f>
        <v>19.504454223053887</v>
      </c>
      <c r="AA65" s="932">
        <f>+AA77</f>
        <v>15.057674051020406</v>
      </c>
      <c r="AB65" s="932">
        <f>+AB77</f>
        <v>12.920815005028196</v>
      </c>
      <c r="AC65" s="932">
        <f>+AC77</f>
        <v>12.736471340883824</v>
      </c>
      <c r="AD65" s="932">
        <f>+AD77</f>
        <v>13.768144620713379</v>
      </c>
      <c r="AE65" s="932">
        <f>+AE78</f>
        <v>13.114065140086401</v>
      </c>
      <c r="AF65" s="932">
        <f>+AF78</f>
        <v>11.691738573087841</v>
      </c>
      <c r="AG65" s="932">
        <f>+AG78</f>
        <v>13.720877269857485</v>
      </c>
      <c r="AH65" s="932">
        <f>+AH78</f>
        <v>13.444628596432844</v>
      </c>
      <c r="AI65" s="932">
        <f>+AI79</f>
        <v>12.796516549463274</v>
      </c>
      <c r="AJ65" s="932">
        <f>+AJ79</f>
        <v>13.191172859979506</v>
      </c>
      <c r="AK65" s="932">
        <f>+AK79</f>
        <v>16.378979399784129</v>
      </c>
      <c r="AL65" s="932">
        <f>+AL79</f>
        <v>13.395412170759505</v>
      </c>
      <c r="AM65" s="932">
        <f>+AM80</f>
        <v>10.015123164671921</v>
      </c>
      <c r="AN65" s="932">
        <f>+AN80</f>
        <v>10.042638537142883</v>
      </c>
      <c r="AO65" s="932">
        <f>+AO80</f>
        <v>9.5131670321561526</v>
      </c>
      <c r="AP65" s="932">
        <f>+AP80</f>
        <v>9.0874135736750148</v>
      </c>
      <c r="AQ65" s="932">
        <f>+AQ81</f>
        <v>6.9456830982078843</v>
      </c>
      <c r="AR65" s="932">
        <f>+AR81</f>
        <v>7.200838429329294</v>
      </c>
      <c r="AS65" s="932">
        <f>+AS81</f>
        <v>7.2357829129837432</v>
      </c>
      <c r="AT65" s="932">
        <f>+AT81</f>
        <v>8.6801370066148671</v>
      </c>
      <c r="AU65" s="932">
        <f t="shared" ref="AU65:AZ65" si="51">+AU82</f>
        <v>6.4249533597650501</v>
      </c>
      <c r="AV65" s="932">
        <f t="shared" si="51"/>
        <v>6.9785469181046045</v>
      </c>
      <c r="AW65" s="932">
        <f t="shared" si="51"/>
        <v>9.1318842580922333</v>
      </c>
      <c r="AX65" s="932">
        <f t="shared" si="51"/>
        <v>9.5605798092290346</v>
      </c>
      <c r="AY65" s="932">
        <f t="shared" si="51"/>
        <v>9.2300682177545674</v>
      </c>
      <c r="AZ65" s="932">
        <f t="shared" si="51"/>
        <v>8.5889955185378586</v>
      </c>
      <c r="BA65" s="932">
        <f>+BA82</f>
        <v>8.9302116326370751</v>
      </c>
      <c r="BB65" s="932">
        <f t="shared" ref="BB65:BF65" si="52">+BB83</f>
        <v>7.2169599007407381</v>
      </c>
      <c r="BC65" s="932">
        <f t="shared" si="52"/>
        <v>6.837727728877887</v>
      </c>
      <c r="BD65" s="932">
        <f t="shared" si="52"/>
        <v>7.9150501346938791</v>
      </c>
      <c r="BE65" s="932">
        <f t="shared" si="52"/>
        <v>8.2540778377950517</v>
      </c>
      <c r="BF65" s="932">
        <f t="shared" si="52"/>
        <v>8.4641766348591538</v>
      </c>
      <c r="BG65" s="932">
        <f>+BG84</f>
        <v>8.886603195194084</v>
      </c>
    </row>
    <row r="66" spans="2:59" x14ac:dyDescent="0.2">
      <c r="B66" s="117" t="s">
        <v>1031</v>
      </c>
      <c r="C66" s="667" t="s">
        <v>160</v>
      </c>
      <c r="D66" s="667" t="s">
        <v>160</v>
      </c>
      <c r="E66" s="667" t="s">
        <v>160</v>
      </c>
      <c r="F66" s="667" t="s">
        <v>160</v>
      </c>
      <c r="G66" s="667" t="s">
        <v>160</v>
      </c>
      <c r="H66" s="667" t="s">
        <v>160</v>
      </c>
      <c r="I66" s="667" t="s">
        <v>160</v>
      </c>
      <c r="J66" s="667" t="s">
        <v>160</v>
      </c>
      <c r="K66" s="667" t="s">
        <v>160</v>
      </c>
      <c r="L66" s="667" t="s">
        <v>160</v>
      </c>
      <c r="M66" s="667" t="s">
        <v>160</v>
      </c>
      <c r="N66" s="667" t="s">
        <v>160</v>
      </c>
      <c r="O66" s="667" t="s">
        <v>160</v>
      </c>
      <c r="P66" s="667" t="s">
        <v>160</v>
      </c>
      <c r="Q66" s="667" t="s">
        <v>160</v>
      </c>
      <c r="R66" s="667" t="s">
        <v>160</v>
      </c>
      <c r="S66" s="667" t="s">
        <v>160</v>
      </c>
      <c r="T66" s="667" t="s">
        <v>160</v>
      </c>
      <c r="U66" s="667" t="s">
        <v>160</v>
      </c>
      <c r="V66" s="667" t="s">
        <v>160</v>
      </c>
      <c r="W66" s="674">
        <f>+((W$59*66002.915)+W$14)/(AVERAGEIFS(Estimativas!$73:$73,Estimativas!$315:$315,Indicadores!W56)*1000)</f>
        <v>6.0136466675770581</v>
      </c>
      <c r="X66" s="674">
        <f>+((X$59*66002.915)+X$14)/(AVERAGEIFS(Estimativas!$73:$73,Estimativas!$315:$315,Indicadores!X56)*1000)</f>
        <v>7.5665925375745511</v>
      </c>
      <c r="Y66" s="674">
        <f>+((Y$59*66002.915)+Y$14)/(AVERAGEIFS(Estimativas!$73:$73,Estimativas!$315:$315,Indicadores!Y56)*1000)</f>
        <v>8.722944252808988</v>
      </c>
      <c r="Z66" s="674">
        <f>+((Z$59*66002.915)+Z$14)/(AVERAGEIFS(Estimativas!$73:$73,Estimativas!$315:$315,Indicadores!Z56)*1000)</f>
        <v>9.8453732752621512</v>
      </c>
      <c r="AA66" s="674">
        <f>+((AA$59*66002.915)+AA$14)/(AVERAGEIFS(Estimativas!$73:$73,Estimativas!$315:$315,Indicadores!AA56)*1000)</f>
        <v>9.3494654990827541</v>
      </c>
      <c r="AB66" s="674">
        <f>+((AB$59*66002.915)+AB$14)/(AVERAGEIFS(Estimativas!$73:$73,Estimativas!$315:$315,Indicadores!AA56)*1000)</f>
        <v>8.3575209162832689</v>
      </c>
      <c r="AC66" s="674">
        <f>+((AC$59*66002.915)+AC$14)/(AVERAGEIFS(Estimativas!$73:$73,Estimativas!$315:$315,Indicadores!AC56)*1000)</f>
        <v>8.0319944539440637</v>
      </c>
      <c r="AD66" s="674">
        <f>+((AD$59*66002.915)+AD$14)/(AVERAGEIFS(Estimativas!$73:$73,Estimativas!$315:$315,Indicadores!AD56)*1000)</f>
        <v>9.1307294223083844</v>
      </c>
      <c r="AE66" s="674" t="s">
        <v>160</v>
      </c>
      <c r="AF66" s="674" t="s">
        <v>160</v>
      </c>
      <c r="AG66" s="674" t="s">
        <v>160</v>
      </c>
      <c r="AH66" s="674" t="s">
        <v>160</v>
      </c>
      <c r="AI66" s="674" t="s">
        <v>160</v>
      </c>
      <c r="AJ66" s="674" t="s">
        <v>160</v>
      </c>
      <c r="AK66" s="674" t="s">
        <v>160</v>
      </c>
      <c r="AL66" s="674" t="s">
        <v>160</v>
      </c>
      <c r="AM66" s="674" t="s">
        <v>160</v>
      </c>
      <c r="AN66" s="674" t="s">
        <v>160</v>
      </c>
      <c r="AO66" s="674" t="s">
        <v>160</v>
      </c>
      <c r="AP66" s="674" t="s">
        <v>160</v>
      </c>
      <c r="AQ66" s="674" t="s">
        <v>160</v>
      </c>
      <c r="AR66" s="674" t="s">
        <v>160</v>
      </c>
      <c r="AS66" s="674" t="s">
        <v>160</v>
      </c>
      <c r="AT66" s="674" t="s">
        <v>160</v>
      </c>
      <c r="AU66" s="674" t="s">
        <v>160</v>
      </c>
      <c r="AV66" s="674" t="s">
        <v>160</v>
      </c>
      <c r="AW66" s="674" t="s">
        <v>160</v>
      </c>
      <c r="AX66" s="674" t="s">
        <v>160</v>
      </c>
      <c r="AY66" s="674" t="s">
        <v>160</v>
      </c>
      <c r="AZ66" s="674" t="s">
        <v>160</v>
      </c>
      <c r="BA66" s="674" t="s">
        <v>160</v>
      </c>
      <c r="BB66" s="674" t="s">
        <v>160</v>
      </c>
      <c r="BC66" s="674" t="s">
        <v>160</v>
      </c>
      <c r="BD66" s="674" t="s">
        <v>160</v>
      </c>
      <c r="BE66" s="674" t="s">
        <v>160</v>
      </c>
      <c r="BF66" s="674" t="s">
        <v>160</v>
      </c>
      <c r="BG66" s="674" t="s">
        <v>160</v>
      </c>
    </row>
    <row r="67" spans="2:59" x14ac:dyDescent="0.2">
      <c r="B67" s="117" t="s">
        <v>1032</v>
      </c>
      <c r="C67" s="667" t="s">
        <v>160</v>
      </c>
      <c r="D67" s="667" t="s">
        <v>160</v>
      </c>
      <c r="E67" s="667" t="s">
        <v>160</v>
      </c>
      <c r="F67" s="667" t="s">
        <v>160</v>
      </c>
      <c r="G67" s="667" t="s">
        <v>160</v>
      </c>
      <c r="H67" s="667" t="s">
        <v>160</v>
      </c>
      <c r="I67" s="667" t="s">
        <v>160</v>
      </c>
      <c r="J67" s="667" t="s">
        <v>160</v>
      </c>
      <c r="K67" s="667" t="s">
        <v>160</v>
      </c>
      <c r="L67" s="667" t="s">
        <v>160</v>
      </c>
      <c r="M67" s="667" t="s">
        <v>160</v>
      </c>
      <c r="N67" s="667" t="s">
        <v>160</v>
      </c>
      <c r="O67" s="667" t="s">
        <v>160</v>
      </c>
      <c r="P67" s="667" t="s">
        <v>160</v>
      </c>
      <c r="Q67" s="667" t="s">
        <v>160</v>
      </c>
      <c r="R67" s="667" t="s">
        <v>160</v>
      </c>
      <c r="S67" s="667" t="s">
        <v>160</v>
      </c>
      <c r="T67" s="667" t="s">
        <v>160</v>
      </c>
      <c r="U67" s="667" t="s">
        <v>160</v>
      </c>
      <c r="V67" s="667" t="s">
        <v>160</v>
      </c>
      <c r="W67" s="674">
        <f>+((W$59*66002.915)+W$14)/(AVERAGEIFS(Estimativas!$107:$107,Estimativas!$315:$315,Indicadores!W56)*1000)</f>
        <v>4.8165551278125003</v>
      </c>
      <c r="X67" s="674">
        <f>+((X$59*66002.915)+X$14)/(AVERAGEIFS(Estimativas!$107:$107,Estimativas!$315:$315,Indicadores!X56)*1000)</f>
        <v>5.9968425100840328</v>
      </c>
      <c r="Y67" s="674">
        <f>+((Y$59*66002.915)+Y$14)/(AVERAGEIFS(Estimativas!$107:$107,Estimativas!$315:$315,Indicadores!Y56)*1000)</f>
        <v>7.1362917188022275</v>
      </c>
      <c r="Z67" s="674">
        <f>+((Z$59*66002.915)+Z$14)/(AVERAGEIFS(Estimativas!$107:$107,Estimativas!$315:$315,Indicadores!Z56)*1000)</f>
        <v>8.0515548993990542</v>
      </c>
      <c r="AA67" s="674">
        <f>+((AA$59*66002.915)+AA$14)/(AVERAGEIFS(Estimativas!$107:$107,Estimativas!$315:$315,Indicadores!AA56)*1000)</f>
        <v>7.8431787111418894</v>
      </c>
      <c r="AB67" s="674">
        <f>+((AB$59*66002.915)+AB$14)/(AVERAGEIFS(Estimativas!$107:$107,Estimativas!$315:$315,Indicadores!AB56)*1000)</f>
        <v>6.9285879237699337</v>
      </c>
      <c r="AC67" s="674">
        <f>+((AC$59*66002.915)+AC$14)/(AVERAGEIFS(Estimativas!$107:$107,Estimativas!$315:$315,Indicadores!AC56)*1000)</f>
        <v>6.9347392987762264</v>
      </c>
      <c r="AD67" s="674">
        <f>+((AD$59*66002.915)+AD$14)/(AVERAGEIFS(Estimativas!$107:$107,Estimativas!$315:$315,Indicadores!AD56)*1000)</f>
        <v>7.8329292527915122</v>
      </c>
      <c r="AE67" s="674">
        <f>+((AE$59*66002.915)+AE$14)/(AVERAGEIFS(Estimativas!$107:$107,Estimativas!$315:$315,Indicadores!AE56)*1000)</f>
        <v>8.6596979247434192</v>
      </c>
      <c r="AF67" s="674">
        <f>+((AF$59*66002.915)+AF$14)/(AVERAGEIFS(Estimativas!$107:$107,Estimativas!$315:$315,Indicadores!AF56)*1000)</f>
        <v>7.7482963112655154</v>
      </c>
      <c r="AG67" s="674">
        <f>+((AG$59*66002.915)+AG$14)/(AVERAGEIFS(Estimativas!$107:$107,Estimativas!$315:$315,Indicadores!AG56)*1000)</f>
        <v>8.9765549649351932</v>
      </c>
      <c r="AH67" s="674">
        <f>+((AH$59*66002.915)+AH$14)/(AVERAGEIFS(Estimativas!$107:$107,Estimativas!$315:$315,Indicadores!AH56)*1000)</f>
        <v>9.5377319308446609</v>
      </c>
      <c r="AI67" s="674" t="s">
        <v>160</v>
      </c>
      <c r="AJ67" s="674" t="s">
        <v>160</v>
      </c>
      <c r="AK67" s="674" t="s">
        <v>160</v>
      </c>
      <c r="AL67" s="674" t="s">
        <v>160</v>
      </c>
      <c r="AM67" s="674" t="s">
        <v>160</v>
      </c>
      <c r="AN67" s="674" t="s">
        <v>160</v>
      </c>
      <c r="AO67" s="674" t="s">
        <v>160</v>
      </c>
      <c r="AP67" s="674" t="s">
        <v>160</v>
      </c>
      <c r="AQ67" s="674" t="s">
        <v>160</v>
      </c>
      <c r="AR67" s="674" t="s">
        <v>160</v>
      </c>
      <c r="AS67" s="674" t="s">
        <v>160</v>
      </c>
      <c r="AT67" s="674" t="s">
        <v>160</v>
      </c>
      <c r="AU67" s="674" t="s">
        <v>160</v>
      </c>
      <c r="AV67" s="674" t="s">
        <v>160</v>
      </c>
      <c r="AW67" s="674" t="s">
        <v>160</v>
      </c>
      <c r="AX67" s="674" t="s">
        <v>160</v>
      </c>
      <c r="AY67" s="674" t="s">
        <v>160</v>
      </c>
      <c r="AZ67" s="674" t="s">
        <v>160</v>
      </c>
      <c r="BA67" s="674" t="s">
        <v>160</v>
      </c>
      <c r="BB67" s="674" t="s">
        <v>160</v>
      </c>
      <c r="BC67" s="674" t="s">
        <v>160</v>
      </c>
      <c r="BD67" s="674" t="s">
        <v>160</v>
      </c>
      <c r="BE67" s="674" t="s">
        <v>160</v>
      </c>
      <c r="BF67" s="674" t="s">
        <v>160</v>
      </c>
      <c r="BG67" s="674" t="s">
        <v>160</v>
      </c>
    </row>
    <row r="68" spans="2:59" x14ac:dyDescent="0.2">
      <c r="B68" s="117" t="s">
        <v>1033</v>
      </c>
      <c r="C68" s="667" t="s">
        <v>160</v>
      </c>
      <c r="D68" s="667" t="s">
        <v>160</v>
      </c>
      <c r="E68" s="667" t="s">
        <v>160</v>
      </c>
      <c r="F68" s="667" t="s">
        <v>160</v>
      </c>
      <c r="G68" s="667" t="s">
        <v>160</v>
      </c>
      <c r="H68" s="667" t="s">
        <v>160</v>
      </c>
      <c r="I68" s="667" t="s">
        <v>160</v>
      </c>
      <c r="J68" s="667" t="s">
        <v>160</v>
      </c>
      <c r="K68" s="667" t="s">
        <v>160</v>
      </c>
      <c r="L68" s="667" t="s">
        <v>160</v>
      </c>
      <c r="M68" s="667" t="s">
        <v>160</v>
      </c>
      <c r="N68" s="667" t="s">
        <v>160</v>
      </c>
      <c r="O68" s="667" t="s">
        <v>160</v>
      </c>
      <c r="P68" s="667" t="s">
        <v>160</v>
      </c>
      <c r="Q68" s="667" t="s">
        <v>160</v>
      </c>
      <c r="R68" s="667" t="s">
        <v>160</v>
      </c>
      <c r="S68" s="667" t="s">
        <v>160</v>
      </c>
      <c r="T68" s="667" t="s">
        <v>160</v>
      </c>
      <c r="U68" s="667" t="s">
        <v>160</v>
      </c>
      <c r="V68" s="667" t="s">
        <v>160</v>
      </c>
      <c r="W68" s="674" t="s">
        <v>160</v>
      </c>
      <c r="X68" s="674" t="s">
        <v>160</v>
      </c>
      <c r="Y68" s="674" t="s">
        <v>160</v>
      </c>
      <c r="Z68" s="674" t="s">
        <v>160</v>
      </c>
      <c r="AA68" s="674" t="s">
        <v>160</v>
      </c>
      <c r="AB68" s="674">
        <f>+((AB$59*66002.915)+AB$14)/(AVERAGEIFS(Estimativas!$139:$139,Estimativas!$315:$315,Indicadores!AB56)*1000)</f>
        <v>6.629263963667861</v>
      </c>
      <c r="AC68" s="674">
        <f>+((AC$59*66002.915)+AC$14)/(AVERAGEIFS(Estimativas!$139:$139,Estimativas!$315:$315,Indicadores!AC56)*1000)</f>
        <v>6.3881503675657676</v>
      </c>
      <c r="AD68" s="674">
        <f>+((AD$59*66002.915)+AD$14)/(AVERAGEIFS(Estimativas!$139:$139,Estimativas!$315:$315,Indicadores!AD56)*1000)</f>
        <v>6.8779058501502117</v>
      </c>
      <c r="AE68" s="674">
        <f>+((AE$59*66002.915)+AE$14+'Arrendamento Mercantil'!D18)/(AVERAGEIFS(Estimativas!$139:$139,Estimativas!$315:$315,Indicadores!AE56)*1000)</f>
        <v>7.6752978925652764</v>
      </c>
      <c r="AF68" s="674">
        <f>+((AF$59*66002.915)+AF$14+'Arrendamento Mercantil'!E18)/(AVERAGEIFS(Estimativas!$139:$139,Estimativas!$315:$315,Indicadores!AF56)*1000)</f>
        <v>7.1433816676695905</v>
      </c>
      <c r="AG68" s="674">
        <f>+((AG$59*66002.915)+AG$14+'Arrendamento Mercantil'!F18)/(AVERAGEIFS(Estimativas!$139:$139,Estimativas!$315:$315,Indicadores!AG56)*1000)</f>
        <v>8.217844015121333</v>
      </c>
      <c r="AH68" s="674">
        <f>+((AH$59*66002.915)+AH$14+'Arrendamento Mercantil'!G18)/(AVERAGEIFS(Estimativas!$139:$139,Estimativas!$315:$315,Indicadores!AH56)*1000)</f>
        <v>8.7093571507580485</v>
      </c>
      <c r="AI68" s="674">
        <f>+((AI$59*66002.915)+AI$14+'Arrendamento Mercantil'!H18)/(AVERAGEIFS(Estimativas!$139:$139,Estimativas!$315:$315,Indicadores!AI56)*1000)</f>
        <v>9.053439277123573</v>
      </c>
      <c r="AJ68" s="674">
        <f>+((AJ$59*66002.915)+AJ$14+'Arrendamento Mercantil'!I18)/(AVERAGEIFS(Estimativas!$139:$139,Estimativas!$315:$315,Indicadores!AJ56)*1000)</f>
        <v>10.287823324547489</v>
      </c>
      <c r="AK68" s="674">
        <f>+((AK$59*66002.915)+AK$14+'Arrendamento Mercantil'!J18)/(AVERAGEIFS(Estimativas!$139:$139,Estimativas!$315:$315,Indicadores!AK56)*1000)</f>
        <v>13.115939290218932</v>
      </c>
      <c r="AL68" s="674">
        <f>+((AL$59*66002.915)+AL$14+'Arrendamento Mercantil'!K18)/(AVERAGEIFS(Estimativas!$139:$139,Estimativas!$315:$315,Indicadores!AL56)*1000)</f>
        <v>11.138903250920517</v>
      </c>
      <c r="AM68" s="674" t="s">
        <v>160</v>
      </c>
      <c r="AN68" s="674" t="s">
        <v>160</v>
      </c>
      <c r="AO68" s="674" t="s">
        <v>160</v>
      </c>
      <c r="AP68" s="674" t="s">
        <v>160</v>
      </c>
      <c r="AQ68" s="674" t="s">
        <v>160</v>
      </c>
      <c r="AR68" s="674" t="s">
        <v>160</v>
      </c>
      <c r="AS68" s="674" t="s">
        <v>160</v>
      </c>
      <c r="AT68" s="674" t="s">
        <v>160</v>
      </c>
      <c r="AU68" s="674" t="s">
        <v>160</v>
      </c>
      <c r="AV68" s="674" t="s">
        <v>160</v>
      </c>
      <c r="AW68" s="674" t="s">
        <v>160</v>
      </c>
      <c r="AX68" s="674" t="s">
        <v>160</v>
      </c>
      <c r="AY68" s="674" t="s">
        <v>160</v>
      </c>
      <c r="AZ68" s="674" t="s">
        <v>160</v>
      </c>
      <c r="BA68" s="674" t="s">
        <v>160</v>
      </c>
      <c r="BB68" s="674" t="s">
        <v>160</v>
      </c>
      <c r="BC68" s="674" t="s">
        <v>160</v>
      </c>
      <c r="BD68" s="674" t="s">
        <v>160</v>
      </c>
      <c r="BE68" s="674" t="s">
        <v>160</v>
      </c>
      <c r="BF68" s="674" t="s">
        <v>160</v>
      </c>
      <c r="BG68" s="674" t="s">
        <v>160</v>
      </c>
    </row>
    <row r="69" spans="2:59" x14ac:dyDescent="0.2">
      <c r="B69" s="117" t="s">
        <v>1034</v>
      </c>
      <c r="C69" s="215" t="s">
        <v>160</v>
      </c>
      <c r="D69" s="215" t="s">
        <v>160</v>
      </c>
      <c r="E69" s="215" t="s">
        <v>160</v>
      </c>
      <c r="F69" s="215" t="s">
        <v>160</v>
      </c>
      <c r="G69" s="215" t="s">
        <v>160</v>
      </c>
      <c r="H69" s="215" t="s">
        <v>160</v>
      </c>
      <c r="I69" s="215" t="s">
        <v>160</v>
      </c>
      <c r="J69" s="215" t="s">
        <v>160</v>
      </c>
      <c r="K69" s="215" t="s">
        <v>160</v>
      </c>
      <c r="L69" s="215" t="s">
        <v>160</v>
      </c>
      <c r="M69" s="215" t="s">
        <v>160</v>
      </c>
      <c r="N69" s="215" t="s">
        <v>160</v>
      </c>
      <c r="O69" s="215" t="s">
        <v>160</v>
      </c>
      <c r="P69" s="215" t="s">
        <v>160</v>
      </c>
      <c r="Q69" s="215" t="s">
        <v>160</v>
      </c>
      <c r="R69" s="215" t="s">
        <v>160</v>
      </c>
      <c r="S69" s="215" t="s">
        <v>160</v>
      </c>
      <c r="T69" s="215" t="s">
        <v>160</v>
      </c>
      <c r="U69" s="215" t="s">
        <v>160</v>
      </c>
      <c r="V69" s="215" t="s">
        <v>160</v>
      </c>
      <c r="W69" s="674" t="s">
        <v>160</v>
      </c>
      <c r="X69" s="674" t="s">
        <v>160</v>
      </c>
      <c r="Y69" s="674" t="s">
        <v>160</v>
      </c>
      <c r="Z69" s="674" t="s">
        <v>160</v>
      </c>
      <c r="AA69" s="674" t="s">
        <v>160</v>
      </c>
      <c r="AB69" s="674" t="s">
        <v>160</v>
      </c>
      <c r="AC69" s="674" t="s">
        <v>160</v>
      </c>
      <c r="AD69" s="674" t="s">
        <v>160</v>
      </c>
      <c r="AE69" s="674">
        <f>+((AE$59*66002.915)+AE$14+'Arrendamento Mercantil'!D18)/(AVERAGEIFS(Estimativas!$163:$163,Estimativas!$315:$315,Indicadores!AE$56)*1000)</f>
        <v>7.3399228285955083</v>
      </c>
      <c r="AF69" s="674">
        <f>+((AF$59*66002.915)+AF$14+'Arrendamento Mercantil'!E18)/(AVERAGEIFS(Estimativas!$163:$163,Estimativas!$315:$315,Indicadores!AF$56)*1000)</f>
        <v>6.7967175573268017</v>
      </c>
      <c r="AG69" s="674">
        <f>+((AG$59*66002.915)+AG$14+'Arrendamento Mercantil'!F18)/(AVERAGEIFS(Estimativas!$163:$163,Estimativas!$315:$315,Indicadores!AG$56)*1000)</f>
        <v>7.7511775101433757</v>
      </c>
      <c r="AH69" s="674">
        <f>+((AH$59*66002.915)+AH$14+'Arrendamento Mercantil'!G18)/(AVERAGEIFS(Estimativas!$163:$163,Estimativas!$315:$315,Indicadores!AH$56)*1000)</f>
        <v>8.1263946119382044</v>
      </c>
      <c r="AI69" s="674">
        <f>+((AI$59*66002.915)+AI$14+'Arrendamento Mercantil'!H18)/(AVERAGEIFS(Estimativas!$163:$163,Estimativas!$315:$315,Indicadores!AI$56)*1000)</f>
        <v>8.3090595192715284</v>
      </c>
      <c r="AJ69" s="674">
        <f>+((AJ$59*66002.915)+AJ$14+'Arrendamento Mercantil'!I18)/(AVERAGEIFS(Estimativas!$163:$163,Estimativas!$315:$315,Indicadores!AJ$56)*1000)</f>
        <v>6.4753076362566846</v>
      </c>
      <c r="AK69" s="674">
        <f>+((AK$59*66002.915)+AK$14+'Arrendamento Mercantil'!J18)/(AVERAGEIFS(Estimativas!$163:$163,Estimativas!$315:$315,Indicadores!AK$56)*1000)</f>
        <v>8.4887757074557619</v>
      </c>
      <c r="AL69" s="674">
        <f>+((AL$59*66002.915)+AL$14+'Arrendamento Mercantil'!K18)/(AVERAGEIFS(Estimativas!$163:$163,Estimativas!$315:$315,Indicadores!AL$56)*1000)</f>
        <v>7.2453160718129226</v>
      </c>
      <c r="AM69" s="674">
        <f>+((AM$59*66002.915)+AM$14+'Arrendamento Mercantil'!L18)/(AVERAGEIFS(Estimativas!$163:$163,Estimativas!$315:$315,Indicadores!AM$56)*1000)</f>
        <v>5.9243100277888203</v>
      </c>
      <c r="AN69" s="674">
        <f>+((AN$59*66002.915)+AN$14+'Arrendamento Mercantil'!M18)/(AVERAGEIFS(Estimativas!$163:$163,Estimativas!$315:$315,Indicadores!AN$56)*1000)</f>
        <v>5.9827254708033086</v>
      </c>
      <c r="AO69" s="674">
        <f>+((AO$59*66002.915)+AO$14+'Arrendamento Mercantil'!N18)/(AVERAGEIFS(Estimativas!$163:$163,Estimativas!$315:$315,Indicadores!AO$56)*1000)</f>
        <v>5.8907919397860091</v>
      </c>
      <c r="AP69" s="674">
        <f>+((AP$59*66002.915)+AP$14+'Arrendamento Mercantil'!O18)/(AVERAGEIFS(Estimativas!$163:$163,Estimativas!$315:$315,Indicadores!AP$56)*1000)</f>
        <v>6.6229986273003014</v>
      </c>
      <c r="AQ69" s="674" t="s">
        <v>160</v>
      </c>
      <c r="AR69" s="674" t="s">
        <v>160</v>
      </c>
      <c r="AS69" s="674" t="s">
        <v>160</v>
      </c>
      <c r="AT69" s="674" t="s">
        <v>160</v>
      </c>
      <c r="AU69" s="674" t="s">
        <v>160</v>
      </c>
      <c r="AV69" s="674" t="s">
        <v>160</v>
      </c>
      <c r="AW69" s="674" t="s">
        <v>160</v>
      </c>
      <c r="AX69" s="674" t="s">
        <v>160</v>
      </c>
      <c r="AY69" s="674" t="s">
        <v>160</v>
      </c>
      <c r="AZ69" s="674" t="s">
        <v>160</v>
      </c>
      <c r="BA69" s="674" t="s">
        <v>160</v>
      </c>
      <c r="BB69" s="674" t="s">
        <v>160</v>
      </c>
      <c r="BC69" s="674" t="s">
        <v>160</v>
      </c>
      <c r="BD69" s="674" t="s">
        <v>160</v>
      </c>
      <c r="BE69" s="674" t="s">
        <v>160</v>
      </c>
      <c r="BF69" s="674" t="s">
        <v>160</v>
      </c>
      <c r="BG69" s="674" t="s">
        <v>160</v>
      </c>
    </row>
    <row r="70" spans="2:59" x14ac:dyDescent="0.2">
      <c r="B70" s="117" t="s">
        <v>1035</v>
      </c>
      <c r="C70" s="215" t="s">
        <v>160</v>
      </c>
      <c r="D70" s="215" t="s">
        <v>160</v>
      </c>
      <c r="E70" s="215" t="s">
        <v>160</v>
      </c>
      <c r="F70" s="215" t="s">
        <v>160</v>
      </c>
      <c r="G70" s="215" t="s">
        <v>160</v>
      </c>
      <c r="H70" s="215" t="s">
        <v>160</v>
      </c>
      <c r="I70" s="215" t="s">
        <v>160</v>
      </c>
      <c r="J70" s="215" t="s">
        <v>160</v>
      </c>
      <c r="K70" s="215" t="s">
        <v>160</v>
      </c>
      <c r="L70" s="215" t="s">
        <v>160</v>
      </c>
      <c r="M70" s="215" t="s">
        <v>160</v>
      </c>
      <c r="N70" s="215" t="s">
        <v>160</v>
      </c>
      <c r="O70" s="215" t="s">
        <v>160</v>
      </c>
      <c r="P70" s="215" t="s">
        <v>160</v>
      </c>
      <c r="Q70" s="215" t="s">
        <v>160</v>
      </c>
      <c r="R70" s="215" t="s">
        <v>160</v>
      </c>
      <c r="S70" s="215" t="s">
        <v>160</v>
      </c>
      <c r="T70" s="215" t="s">
        <v>160</v>
      </c>
      <c r="U70" s="215" t="s">
        <v>160</v>
      </c>
      <c r="V70" s="215" t="s">
        <v>160</v>
      </c>
      <c r="W70" s="674" t="s">
        <v>160</v>
      </c>
      <c r="X70" s="674" t="s">
        <v>160</v>
      </c>
      <c r="Y70" s="674" t="s">
        <v>160</v>
      </c>
      <c r="Z70" s="674" t="s">
        <v>160</v>
      </c>
      <c r="AA70" s="674" t="s">
        <v>160</v>
      </c>
      <c r="AB70" s="674" t="s">
        <v>160</v>
      </c>
      <c r="AC70" s="674" t="s">
        <v>160</v>
      </c>
      <c r="AD70" s="674" t="s">
        <v>160</v>
      </c>
      <c r="AE70" s="674" t="s">
        <v>160</v>
      </c>
      <c r="AF70" s="674" t="s">
        <v>160</v>
      </c>
      <c r="AG70" s="674" t="s">
        <v>160</v>
      </c>
      <c r="AH70" s="674" t="s">
        <v>160</v>
      </c>
      <c r="AI70" s="674" t="s">
        <v>160</v>
      </c>
      <c r="AJ70" s="674" t="s">
        <v>160</v>
      </c>
      <c r="AK70" s="674" t="s">
        <v>160</v>
      </c>
      <c r="AL70" s="674">
        <f>+((AL$59*66002.915)+AL$14+'Arrendamento Mercantil'!K18)/(AVERAGEIFS(Estimativas!197:197,Estimativas!$315:$315,Indicadores!AL$56)*1000)</f>
        <v>6.2748648974843819</v>
      </c>
      <c r="AM70" s="674">
        <f>+((AM$59*66002.915)+AM$14+'Arrendamento Mercantil'!L18)/(AVERAGEIFS(Estimativas!197:197,Estimativas!$315:$315,Indicadores!AM$56)*1000)</f>
        <v>5.5640279369380261</v>
      </c>
      <c r="AN70" s="674">
        <f>+((AN$59*66002.915)+AN$14+'Arrendamento Mercantil'!M18)/(AVERAGEIFS(Estimativas!197:197,Estimativas!$315:$315,Indicadores!AN$56)*1000)</f>
        <v>5.6207586263222646</v>
      </c>
      <c r="AO70" s="674">
        <f>+((AO$59*66002.915)+AO$14+'Arrendamento Mercantil'!N18)/(AVERAGEIFS(Estimativas!197:197,Estimativas!$315:$315,Indicadores!AO$56)*1000)</f>
        <v>5.2963204746249772</v>
      </c>
      <c r="AP70" s="674">
        <f>+((AP$59*66002.915)+AP$14+'Arrendamento Mercantil'!O18)/(AVERAGEIFS(Estimativas!197:197,Estimativas!$315:$315,Indicadores!AP$56)*1000)</f>
        <v>5.3813224140650657</v>
      </c>
      <c r="AQ70" s="674">
        <f>+((AQ$59*66002.915)+AQ$14+'Arrendamento Mercantil'!P18)/(AVERAGEIFS(Estimativas!197:197,Estimativas!$315:$315,Indicadores!AQ$56)*1000)</f>
        <v>4.9583915637953639</v>
      </c>
      <c r="AR70" s="674">
        <f>+((AR$59*66002.915)+AR$14+'Arrendamento Mercantil'!Q18)/(AVERAGEIFS(Estimativas!197:197,Estimativas!$315:$315,Indicadores!AR$56)*1000)</f>
        <v>5.2666266850077221</v>
      </c>
      <c r="AS70" s="674">
        <f>+((AS$59*66002.915)+AS$14+'Arrendamento Mercantil'!R18)/(AVERAGEIFS(Estimativas!197:197,Estimativas!$315:$315,Indicadores!AS$56)*1000)</f>
        <v>5.518356909977375</v>
      </c>
      <c r="AT70" s="674">
        <f>+((AT$59*66002.915)+AT$14+'Arrendamento Mercantil'!S18)/(AVERAGEIFS(Estimativas!197:197,Estimativas!$315:$315,Indicadores!AT$56)*1000)</f>
        <v>6.4808449847972964</v>
      </c>
      <c r="AU70" s="674" t="s">
        <v>160</v>
      </c>
      <c r="AV70" s="674" t="s">
        <v>160</v>
      </c>
      <c r="AW70" s="674" t="s">
        <v>160</v>
      </c>
      <c r="AX70" s="674" t="s">
        <v>160</v>
      </c>
      <c r="AY70" s="674" t="s">
        <v>160</v>
      </c>
      <c r="AZ70" s="674" t="s">
        <v>160</v>
      </c>
      <c r="BA70" s="674" t="s">
        <v>160</v>
      </c>
      <c r="BB70" s="674" t="s">
        <v>160</v>
      </c>
      <c r="BC70" s="674" t="s">
        <v>160</v>
      </c>
      <c r="BD70" s="674" t="s">
        <v>160</v>
      </c>
      <c r="BE70" s="674" t="s">
        <v>160</v>
      </c>
      <c r="BF70" s="674" t="s">
        <v>160</v>
      </c>
      <c r="BG70" s="674" t="s">
        <v>160</v>
      </c>
    </row>
    <row r="71" spans="2:59" x14ac:dyDescent="0.2">
      <c r="B71" s="117" t="s">
        <v>1127</v>
      </c>
      <c r="C71" s="215" t="s">
        <v>160</v>
      </c>
      <c r="D71" s="215" t="s">
        <v>160</v>
      </c>
      <c r="E71" s="215" t="s">
        <v>160</v>
      </c>
      <c r="F71" s="215" t="s">
        <v>160</v>
      </c>
      <c r="G71" s="215" t="s">
        <v>160</v>
      </c>
      <c r="H71" s="215" t="s">
        <v>160</v>
      </c>
      <c r="I71" s="215" t="s">
        <v>160</v>
      </c>
      <c r="J71" s="215" t="s">
        <v>160</v>
      </c>
      <c r="K71" s="215" t="s">
        <v>160</v>
      </c>
      <c r="L71" s="215" t="s">
        <v>160</v>
      </c>
      <c r="M71" s="215" t="s">
        <v>160</v>
      </c>
      <c r="N71" s="215" t="s">
        <v>160</v>
      </c>
      <c r="O71" s="215" t="s">
        <v>160</v>
      </c>
      <c r="P71" s="215" t="s">
        <v>160</v>
      </c>
      <c r="Q71" s="215" t="s">
        <v>160</v>
      </c>
      <c r="R71" s="215" t="s">
        <v>160</v>
      </c>
      <c r="S71" s="215" t="s">
        <v>160</v>
      </c>
      <c r="T71" s="215" t="s">
        <v>160</v>
      </c>
      <c r="U71" s="215" t="s">
        <v>160</v>
      </c>
      <c r="V71" s="215" t="s">
        <v>160</v>
      </c>
      <c r="W71" s="674" t="s">
        <v>160</v>
      </c>
      <c r="X71" s="674" t="s">
        <v>160</v>
      </c>
      <c r="Y71" s="674" t="s">
        <v>160</v>
      </c>
      <c r="Z71" s="674" t="s">
        <v>160</v>
      </c>
      <c r="AA71" s="674" t="s">
        <v>160</v>
      </c>
      <c r="AB71" s="674" t="s">
        <v>160</v>
      </c>
      <c r="AC71" s="674" t="s">
        <v>160</v>
      </c>
      <c r="AD71" s="674" t="s">
        <v>160</v>
      </c>
      <c r="AE71" s="674" t="s">
        <v>160</v>
      </c>
      <c r="AF71" s="674" t="s">
        <v>160</v>
      </c>
      <c r="AG71" s="674" t="s">
        <v>160</v>
      </c>
      <c r="AH71" s="674" t="s">
        <v>160</v>
      </c>
      <c r="AI71" s="674" t="s">
        <v>160</v>
      </c>
      <c r="AJ71" s="674" t="s">
        <v>160</v>
      </c>
      <c r="AK71" s="674" t="s">
        <v>160</v>
      </c>
      <c r="AL71" s="674" t="s">
        <v>160</v>
      </c>
      <c r="AM71" s="674" t="s">
        <v>160</v>
      </c>
      <c r="AN71" s="674" t="s">
        <v>160</v>
      </c>
      <c r="AO71" s="674" t="s">
        <v>160</v>
      </c>
      <c r="AP71" s="674" t="s">
        <v>160</v>
      </c>
      <c r="AQ71" s="674">
        <f>+((AQ$59*66002.915)+AQ$14+'Arrendamento Mercantil'!P18)/(AVERAGEIFS(Estimativas!$251:$251,Estimativas!$315:$315,Indicadores!AQ$56)*1000)</f>
        <v>4.1250787582393595</v>
      </c>
      <c r="AR71" s="674">
        <f>+((AR$59*66002.915)+AR$14+'Arrendamento Mercantil'!Q18)/(AVERAGEIFS(Estimativas!$251:$251,Estimativas!$315:$315,Indicadores!AR$56)*1000)</f>
        <v>4.395675102248398</v>
      </c>
      <c r="AS71" s="674">
        <f>+((AS$59*66002.915)+AS$14+'Arrendamento Mercantil'!R18)/(AVERAGEIFS(Estimativas!$251:$251,Estimativas!$315:$315,Indicadores!AS$56)*1000)</f>
        <v>4.4694322062172258</v>
      </c>
      <c r="AT71" s="674">
        <f>+((AT$59*66002.915)+AT$14+'Arrendamento Mercantil'!S18)/(AVERAGEIFS(Estimativas!$251:$251,Estimativas!$315:$315,Indicadores!AT$56)*1000)</f>
        <v>5.3584640097765366</v>
      </c>
      <c r="AU71" s="674">
        <f>+((AU$59*66002.915)+AU$14+'Arrendamento Mercantil'!T18)/(AVERAGEIFS(Estimativas!$251:$251,Estimativas!$315:$315,Indicadores!AU$56)*1000)</f>
        <v>4.307431470306879</v>
      </c>
      <c r="AV71" s="674">
        <f>+((AV$59*66002.915)+AV$14+'Arrendamento Mercantil'!U18)/(AVERAGEIFS(Estimativas!$251:$251,Estimativas!$315:$315,Indicadores!AV$56)*1000)</f>
        <v>4.727839056302698</v>
      </c>
      <c r="AW71" s="674">
        <f>+((AW$59*66002.915)+AW$14+'Arrendamento Mercantil'!V18)/(AVERAGEIFS(Estimativas!$251:$251,Estimativas!$315:$315,Indicadores!AW$56)*1000)</f>
        <v>5.9956333090872844</v>
      </c>
      <c r="AX71" s="674">
        <f>+((AX$59*66002.915)+AX$14+'Arrendamento Mercantil'!W18)/(AVERAGEIFS(Estimativas!$251:$251,Estimativas!$315:$315,Indicadores!AX$56)*1000)</f>
        <v>6.5310682825827016</v>
      </c>
      <c r="AY71" s="674" t="s">
        <v>160</v>
      </c>
      <c r="AZ71" s="674" t="s">
        <v>160</v>
      </c>
      <c r="BA71" s="674" t="s">
        <v>160</v>
      </c>
      <c r="BB71" s="674" t="s">
        <v>160</v>
      </c>
      <c r="BC71" s="674" t="s">
        <v>160</v>
      </c>
      <c r="BD71" s="674" t="s">
        <v>160</v>
      </c>
      <c r="BE71" s="674" t="s">
        <v>160</v>
      </c>
      <c r="BF71" s="674" t="s">
        <v>160</v>
      </c>
      <c r="BG71" s="674" t="s">
        <v>160</v>
      </c>
    </row>
    <row r="72" spans="2:59" x14ac:dyDescent="0.2">
      <c r="B72" s="117" t="s">
        <v>1186</v>
      </c>
      <c r="C72" s="215" t="s">
        <v>160</v>
      </c>
      <c r="D72" s="215" t="s">
        <v>160</v>
      </c>
      <c r="E72" s="215" t="s">
        <v>160</v>
      </c>
      <c r="F72" s="215" t="s">
        <v>160</v>
      </c>
      <c r="G72" s="215" t="s">
        <v>160</v>
      </c>
      <c r="H72" s="215" t="s">
        <v>160</v>
      </c>
      <c r="I72" s="215" t="s">
        <v>160</v>
      </c>
      <c r="J72" s="215" t="s">
        <v>160</v>
      </c>
      <c r="K72" s="215" t="s">
        <v>160</v>
      </c>
      <c r="L72" s="215" t="s">
        <v>160</v>
      </c>
      <c r="M72" s="215" t="s">
        <v>160</v>
      </c>
      <c r="N72" s="215" t="s">
        <v>160</v>
      </c>
      <c r="O72" s="215" t="s">
        <v>160</v>
      </c>
      <c r="P72" s="215" t="s">
        <v>160</v>
      </c>
      <c r="Q72" s="215" t="s">
        <v>160</v>
      </c>
      <c r="R72" s="215" t="s">
        <v>160</v>
      </c>
      <c r="S72" s="215" t="s">
        <v>160</v>
      </c>
      <c r="T72" s="215" t="s">
        <v>160</v>
      </c>
      <c r="U72" s="215" t="s">
        <v>160</v>
      </c>
      <c r="V72" s="215" t="s">
        <v>160</v>
      </c>
      <c r="W72" s="674" t="s">
        <v>160</v>
      </c>
      <c r="X72" s="674" t="s">
        <v>160</v>
      </c>
      <c r="Y72" s="674" t="s">
        <v>160</v>
      </c>
      <c r="Z72" s="674" t="s">
        <v>160</v>
      </c>
      <c r="AA72" s="674" t="s">
        <v>160</v>
      </c>
      <c r="AB72" s="674" t="s">
        <v>160</v>
      </c>
      <c r="AC72" s="674" t="s">
        <v>160</v>
      </c>
      <c r="AD72" s="674" t="s">
        <v>160</v>
      </c>
      <c r="AE72" s="674" t="s">
        <v>160</v>
      </c>
      <c r="AF72" s="674" t="s">
        <v>160</v>
      </c>
      <c r="AG72" s="674" t="s">
        <v>160</v>
      </c>
      <c r="AH72" s="674" t="s">
        <v>160</v>
      </c>
      <c r="AI72" s="674" t="s">
        <v>160</v>
      </c>
      <c r="AJ72" s="674" t="s">
        <v>160</v>
      </c>
      <c r="AK72" s="674" t="s">
        <v>160</v>
      </c>
      <c r="AL72" s="674" t="s">
        <v>160</v>
      </c>
      <c r="AM72" s="674" t="s">
        <v>160</v>
      </c>
      <c r="AN72" s="674" t="s">
        <v>160</v>
      </c>
      <c r="AO72" s="674" t="s">
        <v>160</v>
      </c>
      <c r="AP72" s="674" t="s">
        <v>160</v>
      </c>
      <c r="AQ72" s="674" t="s">
        <v>160</v>
      </c>
      <c r="AR72" s="674" t="s">
        <v>160</v>
      </c>
      <c r="AS72" s="674">
        <f>+((AS$59*66002.915)+AS$14+'Arrendamento Mercantil'!R18)/(AVERAGEIFS(Estimativas!275:275,Estimativas!$315:$315,Indicadores!AS$56)*1000)</f>
        <v>3.6101984085647114</v>
      </c>
      <c r="AT72" s="674">
        <f>+((AT$59*66002.915)+AT$14+'Arrendamento Mercantil'!S18)/(AVERAGEIFS(Estimativas!275:275,Estimativas!$315:$315,Indicadores!AT$56)*1000)</f>
        <v>4.6026772265638387</v>
      </c>
      <c r="AU72" s="674">
        <f>+((AU$59*66002.915)+AU$14+'Arrendamento Mercantil'!T18)/(AVERAGEIFS(Estimativas!275:275,Estimativas!$315:$315,Indicadores!AU$56)*1000)</f>
        <v>3.9216308672705096</v>
      </c>
      <c r="AV72" s="674">
        <f>+((AV$59*66002.915)+AV$14+'Arrendamento Mercantil'!U18)/(AVERAGEIFS(Estimativas!275:275,Estimativas!$315:$315,Indicadores!AV$56)*1000)</f>
        <v>4.3106611413579046</v>
      </c>
      <c r="AW72" s="674">
        <f>+((AW$59*66002.915)+AW$14+'Arrendamento Mercantil'!V18)/(AVERAGEIFS(Estimativas!275:275,Estimativas!$315:$315,Indicadores!AW$56)*1000)</f>
        <v>5.4582888144049333</v>
      </c>
      <c r="AX72" s="674">
        <f>+((AX$59*66002.915)+AX$14+'Arrendamento Mercantil'!W18)/(AVERAGEIFS(Estimativas!275:275,Estimativas!$315:$315,Indicadores!AX$56)*1000)</f>
        <v>5.9000661261401808</v>
      </c>
      <c r="AY72" s="674">
        <f>+((AY$59*66002.915)+AY$14+'Arrendamento Mercantil'!X18)/(AVERAGEIFS(Estimativas!275:275,Estimativas!$315:$315,Indicadores!AY$56)*1000)</f>
        <v>5.6885756107452332</v>
      </c>
      <c r="AZ72" s="674">
        <f>+((AZ$59*66002.915)+AZ$14+'Arrendamento Mercantil'!AC18)/(AVERAGEIFS(Estimativas!275:275,Estimativas!$315:$315,Indicadores!AZ$56)*1000)</f>
        <v>5.3858393129982662</v>
      </c>
      <c r="BA72" s="674">
        <f>+((BA$59*66002.915)+BA$14+'Arrendamento Mercantil'!AF18)/(AVERAGEIFS(Estimativas!275:275,Estimativas!$315:$315,Indicadores!BA$56)*1000)</f>
        <v>5.6113675135181973</v>
      </c>
      <c r="BB72" s="674">
        <f>+((BB$59*66002.915)+BB$14+'Arrendamento Mercantil'!AG18)/(AVERAGEIFS(Estimativas!275:275,Estimativas!$315:$315,Indicadores!BB$56)*1000)</f>
        <v>5.7563180101587283</v>
      </c>
      <c r="BC72" s="674" t="s">
        <v>160</v>
      </c>
      <c r="BD72" s="674" t="s">
        <v>160</v>
      </c>
      <c r="BE72" s="674" t="s">
        <v>160</v>
      </c>
      <c r="BF72" s="674" t="s">
        <v>160</v>
      </c>
      <c r="BG72" s="674" t="s">
        <v>160</v>
      </c>
    </row>
    <row r="73" spans="2:59" x14ac:dyDescent="0.2">
      <c r="B73" s="117" t="s">
        <v>1306</v>
      </c>
      <c r="C73" s="215" t="s">
        <v>160</v>
      </c>
      <c r="D73" s="215" t="s">
        <v>160</v>
      </c>
      <c r="E73" s="215" t="s">
        <v>160</v>
      </c>
      <c r="F73" s="215" t="s">
        <v>160</v>
      </c>
      <c r="G73" s="215" t="s">
        <v>160</v>
      </c>
      <c r="H73" s="215" t="s">
        <v>160</v>
      </c>
      <c r="I73" s="215" t="s">
        <v>160</v>
      </c>
      <c r="J73" s="215" t="s">
        <v>160</v>
      </c>
      <c r="K73" s="215" t="s">
        <v>160</v>
      </c>
      <c r="L73" s="215" t="s">
        <v>160</v>
      </c>
      <c r="M73" s="215" t="s">
        <v>160</v>
      </c>
      <c r="N73" s="215" t="s">
        <v>160</v>
      </c>
      <c r="O73" s="215" t="s">
        <v>160</v>
      </c>
      <c r="P73" s="215" t="s">
        <v>160</v>
      </c>
      <c r="Q73" s="215" t="s">
        <v>160</v>
      </c>
      <c r="R73" s="215" t="s">
        <v>160</v>
      </c>
      <c r="S73" s="215" t="s">
        <v>160</v>
      </c>
      <c r="T73" s="215" t="s">
        <v>160</v>
      </c>
      <c r="U73" s="215" t="s">
        <v>160</v>
      </c>
      <c r="V73" s="215" t="s">
        <v>160</v>
      </c>
      <c r="W73" s="674" t="s">
        <v>160</v>
      </c>
      <c r="X73" s="674" t="s">
        <v>160</v>
      </c>
      <c r="Y73" s="674" t="s">
        <v>160</v>
      </c>
      <c r="Z73" s="674" t="s">
        <v>160</v>
      </c>
      <c r="AA73" s="674" t="s">
        <v>160</v>
      </c>
      <c r="AB73" s="674" t="s">
        <v>160</v>
      </c>
      <c r="AC73" s="674" t="s">
        <v>160</v>
      </c>
      <c r="AD73" s="674" t="s">
        <v>160</v>
      </c>
      <c r="AE73" s="674" t="s">
        <v>160</v>
      </c>
      <c r="AF73" s="674" t="s">
        <v>160</v>
      </c>
      <c r="AG73" s="674" t="s">
        <v>160</v>
      </c>
      <c r="AH73" s="674" t="s">
        <v>160</v>
      </c>
      <c r="AI73" s="674" t="s">
        <v>160</v>
      </c>
      <c r="AJ73" s="674" t="s">
        <v>160</v>
      </c>
      <c r="AK73" s="674" t="s">
        <v>160</v>
      </c>
      <c r="AL73" s="674" t="s">
        <v>160</v>
      </c>
      <c r="AM73" s="674" t="s">
        <v>160</v>
      </c>
      <c r="AN73" s="674" t="s">
        <v>160</v>
      </c>
      <c r="AO73" s="674" t="s">
        <v>160</v>
      </c>
      <c r="AP73" s="674" t="s">
        <v>160</v>
      </c>
      <c r="AQ73" s="674" t="s">
        <v>160</v>
      </c>
      <c r="AR73" s="674" t="s">
        <v>160</v>
      </c>
      <c r="AS73" s="674" t="s">
        <v>160</v>
      </c>
      <c r="AT73" s="674" t="s">
        <v>160</v>
      </c>
      <c r="AU73" s="674" t="s">
        <v>160</v>
      </c>
      <c r="AV73" s="674" t="s">
        <v>160</v>
      </c>
      <c r="AW73" s="674" t="s">
        <v>160</v>
      </c>
      <c r="AX73" s="674" t="s">
        <v>160</v>
      </c>
      <c r="AY73" s="674" t="s">
        <v>160</v>
      </c>
      <c r="AZ73" s="674" t="s">
        <v>160</v>
      </c>
      <c r="BA73" s="674" t="s">
        <v>160</v>
      </c>
      <c r="BB73" s="674">
        <f>+((BB$59*66002.915)+BB$14+'Arrendamento Mercantil'!AG18)/(AVERAGEIFS(Estimativas!$295:$295,Estimativas!$315:$315,Indicadores!BB$56)*1000)</f>
        <v>4.7969316751322735</v>
      </c>
      <c r="BC73" s="674">
        <f>+((BC$59*66002.915)+BC$14+'Arrendamento Mercantil'!AH18)/(AVERAGEIFS(Estimativas!$295:$295,Estimativas!$315:$315,Indicadores!BC$56)*1000)</f>
        <v>4.1600891689616253</v>
      </c>
      <c r="BD73" s="674">
        <f>+((BD$59*66002.915)+BD$14+'Arrendamento Mercantil'!AI18)/(AVERAGEIFS(Estimativas!$295:$295,Estimativas!$315:$315,Indicadores!BD$56)*1000)</f>
        <v>4.8516908111368924</v>
      </c>
      <c r="BE73" s="674">
        <f>+((BE$59*66002.915)+BE$14+'Arrendamento Mercantil'!AJ18)/(AVERAGEIFS(Estimativas!$295:$295,Estimativas!$315:$315,Indicadores!BE$56)*1000)</f>
        <v>5.2463777271568643</v>
      </c>
      <c r="BF73" s="674">
        <f>+((BF$59*66002.915)+BF$14+'Arrendamento Mercantil'!AK18)/(AVERAGEIFS(Estimativas!$295:$295,Estimativas!$315:$315,Indicadores!BF$56)*1000)</f>
        <v>5.7843164348762963</v>
      </c>
      <c r="BG73" s="674" t="s">
        <v>160</v>
      </c>
    </row>
    <row r="74" spans="2:59" x14ac:dyDescent="0.2">
      <c r="B74" s="117" t="s">
        <v>1338</v>
      </c>
      <c r="C74" s="215" t="s">
        <v>160</v>
      </c>
      <c r="D74" s="215" t="s">
        <v>160</v>
      </c>
      <c r="E74" s="215" t="s">
        <v>160</v>
      </c>
      <c r="F74" s="215" t="s">
        <v>160</v>
      </c>
      <c r="G74" s="215" t="s">
        <v>160</v>
      </c>
      <c r="H74" s="215" t="s">
        <v>160</v>
      </c>
      <c r="I74" s="215" t="s">
        <v>160</v>
      </c>
      <c r="J74" s="215" t="s">
        <v>160</v>
      </c>
      <c r="K74" s="215" t="s">
        <v>160</v>
      </c>
      <c r="L74" s="215" t="s">
        <v>160</v>
      </c>
      <c r="M74" s="215" t="s">
        <v>160</v>
      </c>
      <c r="N74" s="215" t="s">
        <v>160</v>
      </c>
      <c r="O74" s="215" t="s">
        <v>160</v>
      </c>
      <c r="P74" s="215" t="s">
        <v>160</v>
      </c>
      <c r="Q74" s="215" t="s">
        <v>160</v>
      </c>
      <c r="R74" s="215" t="s">
        <v>160</v>
      </c>
      <c r="S74" s="215" t="s">
        <v>160</v>
      </c>
      <c r="T74" s="215" t="s">
        <v>160</v>
      </c>
      <c r="U74" s="215" t="s">
        <v>160</v>
      </c>
      <c r="V74" s="215" t="s">
        <v>160</v>
      </c>
      <c r="W74" s="674" t="s">
        <v>160</v>
      </c>
      <c r="X74" s="674" t="s">
        <v>160</v>
      </c>
      <c r="Y74" s="674" t="s">
        <v>160</v>
      </c>
      <c r="Z74" s="674" t="s">
        <v>160</v>
      </c>
      <c r="AA74" s="674" t="s">
        <v>160</v>
      </c>
      <c r="AB74" s="674" t="s">
        <v>160</v>
      </c>
      <c r="AC74" s="674" t="s">
        <v>160</v>
      </c>
      <c r="AD74" s="674" t="s">
        <v>160</v>
      </c>
      <c r="AE74" s="674" t="s">
        <v>160</v>
      </c>
      <c r="AF74" s="674" t="s">
        <v>160</v>
      </c>
      <c r="AG74" s="674" t="s">
        <v>160</v>
      </c>
      <c r="AH74" s="674" t="s">
        <v>160</v>
      </c>
      <c r="AI74" s="674" t="s">
        <v>160</v>
      </c>
      <c r="AJ74" s="674" t="s">
        <v>160</v>
      </c>
      <c r="AK74" s="674" t="s">
        <v>160</v>
      </c>
      <c r="AL74" s="674" t="s">
        <v>160</v>
      </c>
      <c r="AM74" s="674" t="s">
        <v>160</v>
      </c>
      <c r="AN74" s="674" t="s">
        <v>160</v>
      </c>
      <c r="AO74" s="674" t="s">
        <v>160</v>
      </c>
      <c r="AP74" s="674" t="s">
        <v>160</v>
      </c>
      <c r="AQ74" s="674" t="s">
        <v>160</v>
      </c>
      <c r="AR74" s="674" t="s">
        <v>160</v>
      </c>
      <c r="AS74" s="674" t="s">
        <v>160</v>
      </c>
      <c r="AT74" s="674" t="s">
        <v>160</v>
      </c>
      <c r="AU74" s="674" t="s">
        <v>160</v>
      </c>
      <c r="AV74" s="674" t="s">
        <v>160</v>
      </c>
      <c r="AW74" s="674" t="s">
        <v>160</v>
      </c>
      <c r="AX74" s="674" t="s">
        <v>160</v>
      </c>
      <c r="AY74" s="674" t="s">
        <v>160</v>
      </c>
      <c r="AZ74" s="674" t="s">
        <v>160</v>
      </c>
      <c r="BA74" s="674" t="s">
        <v>160</v>
      </c>
      <c r="BB74" s="674">
        <f>+((BB$59*66002.915)+BB$14+'Arrendamento Mercantil'!$AC$18)/(AVERAGEIFS(Estimativas!$27:$27,Estimativas!$315:$315,Indicadores!BB$56)*1000)</f>
        <v>4.759644544360901</v>
      </c>
      <c r="BC74" s="674">
        <f>+((BC$59*66002.915)+BC$14+'Arrendamento Mercantil'!$AC$18)/(AVERAGEIFS(Estimativas!$27:$27,Estimativas!$315:$315,Indicadores!BC$56)*1000)</f>
        <v>4.0520535753151261</v>
      </c>
      <c r="BD74" s="674">
        <f>+((BD$59*66002.915)+BD$14+'Arrendamento Mercantil'!$AC$18)/(AVERAGEIFS(Estimativas!$27:$27,Estimativas!$315:$315,Indicadores!BD$56)*1000)</f>
        <v>4.7153864395667879</v>
      </c>
      <c r="BE74" s="674">
        <f>+((BE$59*66002.915)+BE$14+'Arrendamento Mercantil'!$AC$18)/(AVERAGEIFS(Estimativas!$27:$27,Estimativas!$315:$315,Indicadores!BE$56)*1000)</f>
        <v>5.0947602509167602</v>
      </c>
      <c r="BF74" s="674">
        <f>+((BF$59*66002.915)+BF$14+'Arrendamento Mercantil'!$AC$18)/(AVERAGEIFS(Estimativas!$27:$27,Estimativas!$315:$315,Indicadores!BF$56)*1000)</f>
        <v>5.655857191333836</v>
      </c>
      <c r="BG74" s="674">
        <f>+((BG$59*66002.915)+BG$14+'Arrendamento Mercantil'!$AC$18)/(AVERAGEIFS(Estimativas!$27:$27,Estimativas!$315:$315,Indicadores!BG$56)*1000)</f>
        <v>5.8150697710526309</v>
      </c>
    </row>
    <row r="75" spans="2:59" x14ac:dyDescent="0.2">
      <c r="B75" s="117" t="s">
        <v>1371</v>
      </c>
      <c r="C75" s="215" t="s">
        <v>160</v>
      </c>
      <c r="D75" s="215" t="s">
        <v>160</v>
      </c>
      <c r="E75" s="215" t="s">
        <v>160</v>
      </c>
      <c r="F75" s="215" t="s">
        <v>160</v>
      </c>
      <c r="G75" s="215" t="s">
        <v>160</v>
      </c>
      <c r="H75" s="215" t="s">
        <v>160</v>
      </c>
      <c r="I75" s="215" t="s">
        <v>160</v>
      </c>
      <c r="J75" s="215" t="s">
        <v>160</v>
      </c>
      <c r="K75" s="215" t="s">
        <v>160</v>
      </c>
      <c r="L75" s="215" t="s">
        <v>160</v>
      </c>
      <c r="M75" s="215" t="s">
        <v>160</v>
      </c>
      <c r="N75" s="215" t="s">
        <v>160</v>
      </c>
      <c r="O75" s="215" t="s">
        <v>160</v>
      </c>
      <c r="P75" s="215" t="s">
        <v>160</v>
      </c>
      <c r="Q75" s="215" t="s">
        <v>160</v>
      </c>
      <c r="R75" s="215" t="s">
        <v>160</v>
      </c>
      <c r="S75" s="215" t="s">
        <v>160</v>
      </c>
      <c r="T75" s="215" t="s">
        <v>160</v>
      </c>
      <c r="U75" s="215" t="s">
        <v>160</v>
      </c>
      <c r="V75" s="215" t="s">
        <v>160</v>
      </c>
      <c r="W75" s="674" t="s">
        <v>160</v>
      </c>
      <c r="X75" s="674" t="s">
        <v>160</v>
      </c>
      <c r="Y75" s="674" t="s">
        <v>160</v>
      </c>
      <c r="Z75" s="674" t="s">
        <v>160</v>
      </c>
      <c r="AA75" s="674" t="s">
        <v>160</v>
      </c>
      <c r="AB75" s="674" t="s">
        <v>160</v>
      </c>
      <c r="AC75" s="674" t="s">
        <v>160</v>
      </c>
      <c r="AD75" s="674" t="s">
        <v>160</v>
      </c>
      <c r="AE75" s="674" t="s">
        <v>160</v>
      </c>
      <c r="AF75" s="674" t="s">
        <v>160</v>
      </c>
      <c r="AG75" s="674" t="s">
        <v>160</v>
      </c>
      <c r="AH75" s="674" t="s">
        <v>160</v>
      </c>
      <c r="AI75" s="674" t="s">
        <v>160</v>
      </c>
      <c r="AJ75" s="674" t="s">
        <v>160</v>
      </c>
      <c r="AK75" s="674" t="s">
        <v>160</v>
      </c>
      <c r="AL75" s="674" t="s">
        <v>160</v>
      </c>
      <c r="AM75" s="674" t="s">
        <v>160</v>
      </c>
      <c r="AN75" s="674" t="s">
        <v>160</v>
      </c>
      <c r="AO75" s="674" t="s">
        <v>160</v>
      </c>
      <c r="AP75" s="674" t="s">
        <v>160</v>
      </c>
      <c r="AQ75" s="674" t="s">
        <v>160</v>
      </c>
      <c r="AR75" s="674" t="s">
        <v>160</v>
      </c>
      <c r="AS75" s="674" t="s">
        <v>160</v>
      </c>
      <c r="AT75" s="674" t="s">
        <v>160</v>
      </c>
      <c r="AU75" s="674" t="s">
        <v>160</v>
      </c>
      <c r="AV75" s="674" t="s">
        <v>160</v>
      </c>
      <c r="AW75" s="674" t="s">
        <v>160</v>
      </c>
      <c r="AX75" s="674" t="s">
        <v>160</v>
      </c>
      <c r="AY75" s="674" t="s">
        <v>160</v>
      </c>
      <c r="AZ75" s="674" t="s">
        <v>160</v>
      </c>
      <c r="BA75" s="674" t="s">
        <v>160</v>
      </c>
      <c r="BB75" s="674" t="s">
        <v>160</v>
      </c>
      <c r="BC75" s="674" t="s">
        <v>160</v>
      </c>
      <c r="BD75" s="674">
        <f>+((BD$59*66002.915)+BD$14+'Arrendamento Mercantil'!$AC$18)/(AVERAGEIFS(Estimativas!$42:$42,Estimativas!$315:$315,Indicadores!BD$56)*1000)</f>
        <v>4.9140784189616262</v>
      </c>
      <c r="BE75" s="674">
        <f>+((BE$59*66002.915)+BE$14+'Arrendamento Mercantil'!$AC$18)/(AVERAGEIFS(Estimativas!$42:$42,Estimativas!$315:$315,Indicadores!BE$56)*1000)</f>
        <v>5.227017006866066</v>
      </c>
      <c r="BF75" s="674">
        <f>+((BF$59*66002.915)+BF$14+'Arrendamento Mercantil'!$AC$18)/(AVERAGEIFS(Estimativas!$42:$42,Estimativas!$315:$315,Indicadores!BF$56)*1000)</f>
        <v>5.5410280493909188</v>
      </c>
      <c r="BG75" s="674">
        <f>+((BG$59*66002.915)+BG$14+'Arrendamento Mercantil'!$AC$18)/(AVERAGEIFS(Estimativas!$42:$42,Estimativas!$315:$315,Indicadores!BG$56)*1000)</f>
        <v>5.1882586217716113</v>
      </c>
    </row>
    <row r="76" spans="2:59" x14ac:dyDescent="0.2">
      <c r="B76" s="117" t="s">
        <v>1036</v>
      </c>
      <c r="C76" s="667" t="s">
        <v>160</v>
      </c>
      <c r="D76" s="667" t="s">
        <v>160</v>
      </c>
      <c r="E76" s="667" t="s">
        <v>160</v>
      </c>
      <c r="F76" s="667" t="s">
        <v>160</v>
      </c>
      <c r="G76" s="667" t="s">
        <v>160</v>
      </c>
      <c r="H76" s="667" t="s">
        <v>160</v>
      </c>
      <c r="I76" s="667" t="s">
        <v>160</v>
      </c>
      <c r="J76" s="667" t="s">
        <v>160</v>
      </c>
      <c r="K76" s="667" t="s">
        <v>160</v>
      </c>
      <c r="L76" s="667" t="s">
        <v>160</v>
      </c>
      <c r="M76" s="667" t="s">
        <v>160</v>
      </c>
      <c r="N76" s="667" t="s">
        <v>160</v>
      </c>
      <c r="O76" s="667" t="s">
        <v>160</v>
      </c>
      <c r="P76" s="667" t="s">
        <v>160</v>
      </c>
      <c r="Q76" s="667" t="s">
        <v>160</v>
      </c>
      <c r="R76" s="667" t="s">
        <v>160</v>
      </c>
      <c r="S76" s="667" t="s">
        <v>160</v>
      </c>
      <c r="T76" s="667" t="s">
        <v>160</v>
      </c>
      <c r="U76" s="667" t="s">
        <v>160</v>
      </c>
      <c r="V76" s="667" t="s">
        <v>160</v>
      </c>
      <c r="W76" s="674">
        <f>+((W$59*66002.915))/(AVERAGEIFS(Estimativas!$83:$83,Estimativas!$315:$315,Indicadores!W56)*1000)</f>
        <v>13.888443341446692</v>
      </c>
      <c r="X76" s="674">
        <f>+((X$59*66002.915))/(AVERAGEIFS(Estimativas!$83:$83,Estimativas!$315:$315,Indicadores!X56)*1000)</f>
        <v>17.588787702997273</v>
      </c>
      <c r="Y76" s="674">
        <f>+((Y$59*66002.915))/(AVERAGEIFS(Estimativas!$83:$83,Estimativas!$315:$315,Indicadores!Y56)*1000)</f>
        <v>18.886987984615381</v>
      </c>
      <c r="Z76" s="674">
        <f>+((Z$59*66002.915))/(AVERAGEIFS(Estimativas!$83:$83,Estimativas!$315:$315,Indicadores!Z56)*1000)</f>
        <v>19.504454223053887</v>
      </c>
      <c r="AA76" s="674">
        <f>+((AA$59*66002.915))/(AVERAGEIFS(Estimativas!$83:$83,Estimativas!$315:$315,Indicadores!AA56)*1000)</f>
        <v>18.248211051938043</v>
      </c>
      <c r="AB76" s="674">
        <f>+((AB$59*66002.915))/(AVERAGEIFS(Estimativas!$83:$83,Estimativas!$315:$315,Indicadores!AA56)*1000)</f>
        <v>15.925753168701634</v>
      </c>
      <c r="AC76" s="674">
        <f>+((AC$59*66002.915))/(AVERAGEIFS(Estimativas!$83:$83,Estimativas!$315:$315,Indicadores!AC56)*1000)</f>
        <v>15.119044501649618</v>
      </c>
      <c r="AD76" s="674">
        <f>+((AD$59*66002.915))/(AVERAGEIFS(Estimativas!$83:$83,Estimativas!$315:$315,Indicadores!AD56)*1000)</f>
        <v>16.355774638081495</v>
      </c>
      <c r="AE76" s="674" t="s">
        <v>160</v>
      </c>
      <c r="AF76" s="674" t="s">
        <v>160</v>
      </c>
      <c r="AG76" s="674" t="s">
        <v>160</v>
      </c>
      <c r="AH76" s="674" t="s">
        <v>160</v>
      </c>
      <c r="AI76" s="674" t="s">
        <v>160</v>
      </c>
      <c r="AJ76" s="674" t="s">
        <v>160</v>
      </c>
      <c r="AK76" s="674" t="s">
        <v>160</v>
      </c>
      <c r="AL76" s="674" t="s">
        <v>160</v>
      </c>
      <c r="AM76" s="674" t="s">
        <v>160</v>
      </c>
      <c r="AN76" s="674" t="s">
        <v>160</v>
      </c>
      <c r="AO76" s="674" t="s">
        <v>160</v>
      </c>
      <c r="AP76" s="674" t="s">
        <v>160</v>
      </c>
      <c r="AQ76" s="674" t="s">
        <v>160</v>
      </c>
      <c r="AR76" s="674" t="s">
        <v>160</v>
      </c>
      <c r="AS76" s="674" t="s">
        <v>160</v>
      </c>
      <c r="AT76" s="674" t="s">
        <v>160</v>
      </c>
      <c r="AU76" s="674" t="s">
        <v>160</v>
      </c>
      <c r="AV76" s="674" t="s">
        <v>160</v>
      </c>
      <c r="AW76" s="674" t="s">
        <v>160</v>
      </c>
      <c r="AX76" s="674" t="s">
        <v>160</v>
      </c>
      <c r="AY76" s="674" t="s">
        <v>160</v>
      </c>
      <c r="AZ76" s="674" t="s">
        <v>160</v>
      </c>
      <c r="BA76" s="674" t="s">
        <v>160</v>
      </c>
      <c r="BB76" s="674" t="s">
        <v>160</v>
      </c>
      <c r="BC76" s="674" t="s">
        <v>160</v>
      </c>
      <c r="BD76" s="674" t="s">
        <v>160</v>
      </c>
      <c r="BE76" s="674" t="s">
        <v>160</v>
      </c>
      <c r="BF76" s="674" t="s">
        <v>160</v>
      </c>
      <c r="BG76" s="674" t="s">
        <v>160</v>
      </c>
    </row>
    <row r="77" spans="2:59" x14ac:dyDescent="0.2">
      <c r="B77" s="117" t="s">
        <v>1037</v>
      </c>
      <c r="C77" s="667" t="s">
        <v>160</v>
      </c>
      <c r="D77" s="667" t="s">
        <v>160</v>
      </c>
      <c r="E77" s="667" t="s">
        <v>160</v>
      </c>
      <c r="F77" s="667" t="s">
        <v>160</v>
      </c>
      <c r="G77" s="667" t="s">
        <v>160</v>
      </c>
      <c r="H77" s="667" t="s">
        <v>160</v>
      </c>
      <c r="I77" s="667" t="s">
        <v>160</v>
      </c>
      <c r="J77" s="667" t="s">
        <v>160</v>
      </c>
      <c r="K77" s="667" t="s">
        <v>160</v>
      </c>
      <c r="L77" s="667" t="s">
        <v>160</v>
      </c>
      <c r="M77" s="667" t="s">
        <v>160</v>
      </c>
      <c r="N77" s="667" t="s">
        <v>160</v>
      </c>
      <c r="O77" s="667" t="s">
        <v>160</v>
      </c>
      <c r="P77" s="667" t="s">
        <v>160</v>
      </c>
      <c r="Q77" s="667" t="s">
        <v>160</v>
      </c>
      <c r="R77" s="667" t="s">
        <v>160</v>
      </c>
      <c r="S77" s="667" t="s">
        <v>160</v>
      </c>
      <c r="T77" s="667" t="s">
        <v>160</v>
      </c>
      <c r="U77" s="667" t="s">
        <v>160</v>
      </c>
      <c r="V77" s="667" t="s">
        <v>160</v>
      </c>
      <c r="W77" s="674">
        <f>+((W$59*66002.915))/(AVERAGEIFS(Estimativas!$115:$115,Estimativas!$315:$315,Indicadores!W56)*1000)</f>
        <v>10.077758514179104</v>
      </c>
      <c r="X77" s="674">
        <f>+((X$59*66002.915))/(AVERAGEIFS(Estimativas!$115:$115,Estimativas!$315:$315,Indicadores!X56)*1000)</f>
        <v>12.657029582352939</v>
      </c>
      <c r="Y77" s="674">
        <f>+((Y$59*66002.915))/(AVERAGEIFS(Estimativas!$115:$115,Estimativas!$315:$315,Indicadores!Y56)*1000)</f>
        <v>14.432106869932177</v>
      </c>
      <c r="Z77" s="674">
        <f>+((Z$59*66002.915))/(AVERAGEIFS(Estimativas!$115:$115,Estimativas!$315:$315,Indicadores!Z56)*1000)</f>
        <v>15.567312152538996</v>
      </c>
      <c r="AA77" s="674">
        <f>+((AA$59*66002.915))/(AVERAGEIFS(Estimativas!$115:$115,Estimativas!$315:$315,Indicadores!AA56)*1000)</f>
        <v>15.057674051020406</v>
      </c>
      <c r="AB77" s="674">
        <f>+((AB$59*66002.915))/(AVERAGEIFS(Estimativas!$115:$115,Estimativas!$315:$315,Indicadores!AB56)*1000)</f>
        <v>12.920815005028196</v>
      </c>
      <c r="AC77" s="674">
        <f>+((AC$59*66002.915))/(AVERAGEIFS(Estimativas!$115:$115,Estimativas!$315:$315,Indicadores!AC56)*1000)</f>
        <v>12.736471340883824</v>
      </c>
      <c r="AD77" s="674">
        <f>+((AD$59*66002.915))/(AVERAGEIFS(Estimativas!$115:$115,Estimativas!$315:$315,Indicadores!AD56)*1000)</f>
        <v>13.768144620713379</v>
      </c>
      <c r="AE77" s="674">
        <f>+((AE$59*66002.915))/(AVERAGEIFS(Estimativas!$115:$115,Estimativas!$315:$315,Indicadores!AE56)*1000)</f>
        <v>15.547005064818441</v>
      </c>
      <c r="AF77" s="674">
        <f>+((AF$59*66002.915))/(AVERAGEIFS(Estimativas!$115:$115,Estimativas!$315:$315,Indicadores!AF56)*1000)</f>
        <v>13.064528554469481</v>
      </c>
      <c r="AG77" s="674">
        <f>+((AG$59*66002.915))/(AVERAGEIFS(Estimativas!$115:$115,Estimativas!$315:$315,Indicadores!AG56)*1000)</f>
        <v>15.245419188730539</v>
      </c>
      <c r="AH77" s="674">
        <f>+((AH$59*66002.915))/(AVERAGEIFS(Estimativas!$115:$115,Estimativas!$315:$315,Indicadores!AH56)*1000)</f>
        <v>15.267520675397332</v>
      </c>
      <c r="AI77" s="674" t="s">
        <v>160</v>
      </c>
      <c r="AJ77" s="674" t="s">
        <v>160</v>
      </c>
      <c r="AK77" s="674" t="s">
        <v>160</v>
      </c>
      <c r="AL77" s="674" t="s">
        <v>160</v>
      </c>
      <c r="AM77" s="674" t="s">
        <v>160</v>
      </c>
      <c r="AN77" s="674" t="s">
        <v>160</v>
      </c>
      <c r="AO77" s="674" t="s">
        <v>160</v>
      </c>
      <c r="AP77" s="674" t="s">
        <v>160</v>
      </c>
      <c r="AQ77" s="674" t="s">
        <v>160</v>
      </c>
      <c r="AR77" s="674" t="s">
        <v>160</v>
      </c>
      <c r="AS77" s="674" t="s">
        <v>160</v>
      </c>
      <c r="AT77" s="674" t="s">
        <v>160</v>
      </c>
      <c r="AU77" s="674" t="s">
        <v>160</v>
      </c>
      <c r="AV77" s="674" t="s">
        <v>160</v>
      </c>
      <c r="AW77" s="674" t="s">
        <v>160</v>
      </c>
      <c r="AX77" s="674" t="s">
        <v>160</v>
      </c>
      <c r="AY77" s="674" t="s">
        <v>160</v>
      </c>
      <c r="AZ77" s="674" t="s">
        <v>160</v>
      </c>
      <c r="BA77" s="674" t="s">
        <v>160</v>
      </c>
      <c r="BB77" s="674" t="s">
        <v>160</v>
      </c>
      <c r="BC77" s="674" t="s">
        <v>160</v>
      </c>
      <c r="BD77" s="674" t="s">
        <v>160</v>
      </c>
      <c r="BE77" s="674" t="s">
        <v>160</v>
      </c>
      <c r="BF77" s="674" t="s">
        <v>160</v>
      </c>
      <c r="BG77" s="674" t="s">
        <v>160</v>
      </c>
    </row>
    <row r="78" spans="2:59" x14ac:dyDescent="0.2">
      <c r="B78" s="117" t="s">
        <v>1038</v>
      </c>
      <c r="C78" s="667" t="s">
        <v>160</v>
      </c>
      <c r="D78" s="667" t="s">
        <v>160</v>
      </c>
      <c r="E78" s="667" t="s">
        <v>160</v>
      </c>
      <c r="F78" s="667" t="s">
        <v>160</v>
      </c>
      <c r="G78" s="667" t="s">
        <v>160</v>
      </c>
      <c r="H78" s="667" t="s">
        <v>160</v>
      </c>
      <c r="I78" s="667" t="s">
        <v>160</v>
      </c>
      <c r="J78" s="667" t="s">
        <v>160</v>
      </c>
      <c r="K78" s="667" t="s">
        <v>160</v>
      </c>
      <c r="L78" s="667" t="s">
        <v>160</v>
      </c>
      <c r="M78" s="667" t="s">
        <v>160</v>
      </c>
      <c r="N78" s="667" t="s">
        <v>160</v>
      </c>
      <c r="O78" s="667" t="s">
        <v>160</v>
      </c>
      <c r="P78" s="667" t="s">
        <v>160</v>
      </c>
      <c r="Q78" s="667" t="s">
        <v>160</v>
      </c>
      <c r="R78" s="667" t="s">
        <v>160</v>
      </c>
      <c r="S78" s="667" t="s">
        <v>160</v>
      </c>
      <c r="T78" s="667" t="s">
        <v>160</v>
      </c>
      <c r="U78" s="667" t="s">
        <v>160</v>
      </c>
      <c r="V78" s="667" t="s">
        <v>160</v>
      </c>
      <c r="W78" s="215" t="s">
        <v>160</v>
      </c>
      <c r="X78" s="215" t="s">
        <v>160</v>
      </c>
      <c r="Y78" s="215" t="s">
        <v>160</v>
      </c>
      <c r="Z78" s="674" t="s">
        <v>160</v>
      </c>
      <c r="AA78" s="674" t="s">
        <v>160</v>
      </c>
      <c r="AB78" s="674">
        <f>+((AB$59*66002.915))/(AVERAGEIFS(Estimativas!$147:$147,Estimativas!$315:$315,Indicadores!AB56)*1000)</f>
        <v>11.920873327856061</v>
      </c>
      <c r="AC78" s="674">
        <f>+((AC$59*66002.915))/(AVERAGEIFS(Estimativas!$147:$147,Estimativas!$315:$315,Indicadores!AC56)*1000)</f>
        <v>11.180060042301438</v>
      </c>
      <c r="AD78" s="674">
        <f>+((AD$59*66002.915))/(AVERAGEIFS(Estimativas!$147:$147,Estimativas!$315:$315,Indicadores!AD56)*1000)</f>
        <v>11.813861552885333</v>
      </c>
      <c r="AE78" s="674">
        <f>+((AE$59*66002.915))/(AVERAGEIFS(Estimativas!$147:$147,Estimativas!$315:$315,Indicadores!AE56)*1000)</f>
        <v>13.114065140086401</v>
      </c>
      <c r="AF78" s="674">
        <f>+((AF$59*66002.915))/(AVERAGEIFS(Estimativas!$147:$147,Estimativas!$315:$315,Indicadores!AF56)*1000)</f>
        <v>11.691738573087841</v>
      </c>
      <c r="AG78" s="674">
        <f>+((AG$59*66002.915))/(AVERAGEIFS(Estimativas!$147:$147,Estimativas!$315:$315,Indicadores!AG56)*1000)</f>
        <v>13.720877269857485</v>
      </c>
      <c r="AH78" s="674">
        <f>+((AH$59*66002.915))/(AVERAGEIFS(Estimativas!$147:$147,Estimativas!$315:$315,Indicadores!AH56)*1000)</f>
        <v>13.444628596432844</v>
      </c>
      <c r="AI78" s="674">
        <f>+((AI$59*66002.915))/(AVERAGEIFS(Estimativas!$147:$147,Estimativas!$315:$315,Indicadores!AI56)*1000)</f>
        <v>13.942707602359983</v>
      </c>
      <c r="AJ78" s="674">
        <f>+((AJ$59*66002.915))/(AVERAGEIFS(Estimativas!$147:$147,Estimativas!$315:$315,Indicadores!AJ56)*1000)</f>
        <v>24.473579867651683</v>
      </c>
      <c r="AK78" s="674">
        <f>+((AK$59*66002.915))/(AVERAGEIFS(Estimativas!$147:$147,Estimativas!$315:$315,Indicadores!AK56)*1000)</f>
        <v>32.245802512489696</v>
      </c>
      <c r="AL78" s="674">
        <f>+((AL$59*66002.915))/(AVERAGEIFS(Estimativas!$147:$147,Estimativas!$315:$315,Indicadores!AL56)*1000)</f>
        <v>25.183802619797053</v>
      </c>
      <c r="AM78" s="674" t="s">
        <v>160</v>
      </c>
      <c r="AN78" s="674" t="s">
        <v>160</v>
      </c>
      <c r="AO78" s="674" t="s">
        <v>160</v>
      </c>
      <c r="AP78" s="674" t="s">
        <v>160</v>
      </c>
      <c r="AQ78" s="674" t="s">
        <v>160</v>
      </c>
      <c r="AR78" s="674" t="s">
        <v>160</v>
      </c>
      <c r="AS78" s="674" t="s">
        <v>160</v>
      </c>
      <c r="AT78" s="674" t="s">
        <v>160</v>
      </c>
      <c r="AU78" s="674" t="s">
        <v>160</v>
      </c>
      <c r="AV78" s="674" t="s">
        <v>160</v>
      </c>
      <c r="AW78" s="674" t="s">
        <v>160</v>
      </c>
      <c r="AX78" s="674" t="s">
        <v>160</v>
      </c>
      <c r="AY78" s="674" t="s">
        <v>160</v>
      </c>
      <c r="AZ78" s="674" t="s">
        <v>160</v>
      </c>
      <c r="BA78" s="674" t="s">
        <v>160</v>
      </c>
      <c r="BB78" s="674" t="s">
        <v>160</v>
      </c>
      <c r="BC78" s="674" t="s">
        <v>160</v>
      </c>
      <c r="BD78" s="674" t="s">
        <v>160</v>
      </c>
      <c r="BE78" s="674" t="s">
        <v>160</v>
      </c>
      <c r="BF78" s="674" t="s">
        <v>160</v>
      </c>
      <c r="BG78" s="674" t="s">
        <v>160</v>
      </c>
    </row>
    <row r="79" spans="2:59" x14ac:dyDescent="0.2">
      <c r="B79" s="117" t="s">
        <v>1039</v>
      </c>
      <c r="C79" s="215" t="s">
        <v>160</v>
      </c>
      <c r="D79" s="215" t="s">
        <v>160</v>
      </c>
      <c r="E79" s="215" t="s">
        <v>160</v>
      </c>
      <c r="F79" s="215" t="s">
        <v>160</v>
      </c>
      <c r="G79" s="215" t="s">
        <v>160</v>
      </c>
      <c r="H79" s="215" t="s">
        <v>160</v>
      </c>
      <c r="I79" s="215" t="s">
        <v>160</v>
      </c>
      <c r="J79" s="215" t="s">
        <v>160</v>
      </c>
      <c r="K79" s="215" t="s">
        <v>160</v>
      </c>
      <c r="L79" s="215" t="s">
        <v>160</v>
      </c>
      <c r="M79" s="215" t="s">
        <v>160</v>
      </c>
      <c r="N79" s="215" t="s">
        <v>160</v>
      </c>
      <c r="O79" s="215" t="s">
        <v>160</v>
      </c>
      <c r="P79" s="215" t="s">
        <v>160</v>
      </c>
      <c r="Q79" s="215" t="s">
        <v>160</v>
      </c>
      <c r="R79" s="215" t="s">
        <v>160</v>
      </c>
      <c r="S79" s="215" t="s">
        <v>160</v>
      </c>
      <c r="T79" s="215" t="s">
        <v>160</v>
      </c>
      <c r="U79" s="215" t="s">
        <v>160</v>
      </c>
      <c r="V79" s="215" t="s">
        <v>160</v>
      </c>
      <c r="W79" s="215" t="s">
        <v>160</v>
      </c>
      <c r="X79" s="215" t="s">
        <v>160</v>
      </c>
      <c r="Y79" s="215" t="s">
        <v>160</v>
      </c>
      <c r="Z79" s="674" t="s">
        <v>160</v>
      </c>
      <c r="AA79" s="674" t="s">
        <v>160</v>
      </c>
      <c r="AB79" s="674" t="s">
        <v>160</v>
      </c>
      <c r="AC79" s="674" t="s">
        <v>160</v>
      </c>
      <c r="AD79" s="674" t="s">
        <v>160</v>
      </c>
      <c r="AE79" s="674">
        <f>+((AE$59*66002.915))/(AVERAGEIFS(Estimativas!$171:$171,Estimativas!$315:$315,Indicadores!AE$56)*1000)</f>
        <v>12.7073694365411</v>
      </c>
      <c r="AF79" s="674">
        <f>+((AF$59*66002.915))/(AVERAGEIFS(Estimativas!$171:$171,Estimativas!$315:$315,Indicadores!AF$56)*1000)</f>
        <v>11.438501563045746</v>
      </c>
      <c r="AG79" s="674">
        <f>+((AG$59*66002.915))/(AVERAGEIFS(Estimativas!$171:$171,Estimativas!$315:$315,Indicadores!AG$56)*1000)</f>
        <v>12.907648155310454</v>
      </c>
      <c r="AH79" s="674">
        <f>+((AH$59*66002.915))/(AVERAGEIFS(Estimativas!$171:$171,Estimativas!$315:$315,Indicadores!AH$56)*1000)</f>
        <v>12.412426400961202</v>
      </c>
      <c r="AI79" s="674">
        <f>+((AI$59*66002.915))/(AVERAGEIFS(Estimativas!$171:$171,Estimativas!$315:$315,Indicadores!AI$56)*1000)</f>
        <v>12.796516549463274</v>
      </c>
      <c r="AJ79" s="674">
        <f>+((AJ$59*66002.915))/(AVERAGEIFS(Estimativas!$171:$171,Estimativas!$315:$315,Indicadores!AJ$56)*1000)</f>
        <v>13.191172859979506</v>
      </c>
      <c r="AK79" s="674">
        <f>+((AK$59*66002.915))/(AVERAGEIFS(Estimativas!$171:$171,Estimativas!$315:$315,Indicadores!AK$56)*1000)</f>
        <v>16.378979399784129</v>
      </c>
      <c r="AL79" s="674">
        <f>+((AL$59*66002.915))/(AVERAGEIFS(Estimativas!$171:$171,Estimativas!$315:$315,Indicadores!AL$56)*1000)</f>
        <v>13.395412170759505</v>
      </c>
      <c r="AM79" s="674">
        <f>+((AM$59*66002.915))/(AVERAGEIFS(Estimativas!$171:$171,Estimativas!$315:$315,Indicadores!AM$56)*1000)</f>
        <v>10.465690630305069</v>
      </c>
      <c r="AN79" s="674">
        <f>+((AN$59*66002.915))/(AVERAGEIFS(Estimativas!$171:$171,Estimativas!$315:$315,Indicadores!AN$56)*1000)</f>
        <v>10.48837106176464</v>
      </c>
      <c r="AO79" s="674">
        <f>+((AO$59*66002.915))/(AVERAGEIFS(Estimativas!$171:$171,Estimativas!$315:$315,Indicadores!AO$56)*1000)</f>
        <v>10.741540155064158</v>
      </c>
      <c r="AP79" s="674">
        <f>+((AP$59*66002.915))/(AVERAGEIFS(Estimativas!$171:$171,Estimativas!$315:$315,Indicadores!AP$56)*1000)</f>
        <v>11.888067890285713</v>
      </c>
      <c r="AQ79" s="674" t="s">
        <v>160</v>
      </c>
      <c r="AR79" s="674" t="s">
        <v>160</v>
      </c>
      <c r="AS79" s="674" t="s">
        <v>160</v>
      </c>
      <c r="AT79" s="674" t="s">
        <v>160</v>
      </c>
      <c r="AU79" s="674" t="s">
        <v>160</v>
      </c>
      <c r="AV79" s="674" t="s">
        <v>160</v>
      </c>
      <c r="AW79" s="674" t="s">
        <v>160</v>
      </c>
      <c r="AX79" s="674" t="s">
        <v>160</v>
      </c>
      <c r="AY79" s="674" t="s">
        <v>160</v>
      </c>
      <c r="AZ79" s="674" t="s">
        <v>160</v>
      </c>
      <c r="BA79" s="674" t="s">
        <v>160</v>
      </c>
      <c r="BB79" s="674" t="s">
        <v>160</v>
      </c>
      <c r="BC79" s="674" t="s">
        <v>160</v>
      </c>
      <c r="BD79" s="674" t="s">
        <v>160</v>
      </c>
      <c r="BE79" s="674" t="s">
        <v>160</v>
      </c>
      <c r="BF79" s="674" t="s">
        <v>160</v>
      </c>
      <c r="BG79" s="674" t="s">
        <v>160</v>
      </c>
    </row>
    <row r="80" spans="2:59" x14ac:dyDescent="0.2">
      <c r="B80" s="117" t="s">
        <v>1040</v>
      </c>
      <c r="C80" s="215" t="s">
        <v>160</v>
      </c>
      <c r="D80" s="215" t="s">
        <v>160</v>
      </c>
      <c r="E80" s="215" t="s">
        <v>160</v>
      </c>
      <c r="F80" s="215" t="s">
        <v>160</v>
      </c>
      <c r="G80" s="215" t="s">
        <v>160</v>
      </c>
      <c r="H80" s="215" t="s">
        <v>160</v>
      </c>
      <c r="I80" s="215" t="s">
        <v>160</v>
      </c>
      <c r="J80" s="215" t="s">
        <v>160</v>
      </c>
      <c r="K80" s="215" t="s">
        <v>160</v>
      </c>
      <c r="L80" s="215" t="s">
        <v>160</v>
      </c>
      <c r="M80" s="215" t="s">
        <v>160</v>
      </c>
      <c r="N80" s="215" t="s">
        <v>160</v>
      </c>
      <c r="O80" s="215" t="s">
        <v>160</v>
      </c>
      <c r="P80" s="215" t="s">
        <v>160</v>
      </c>
      <c r="Q80" s="215" t="s">
        <v>160</v>
      </c>
      <c r="R80" s="215" t="s">
        <v>160</v>
      </c>
      <c r="S80" s="215" t="s">
        <v>160</v>
      </c>
      <c r="T80" s="215" t="s">
        <v>160</v>
      </c>
      <c r="U80" s="215" t="s">
        <v>160</v>
      </c>
      <c r="V80" s="215" t="s">
        <v>160</v>
      </c>
      <c r="W80" s="215" t="s">
        <v>160</v>
      </c>
      <c r="X80" s="215" t="s">
        <v>160</v>
      </c>
      <c r="Y80" s="215" t="s">
        <v>160</v>
      </c>
      <c r="Z80" s="674" t="s">
        <v>160</v>
      </c>
      <c r="AA80" s="674" t="s">
        <v>160</v>
      </c>
      <c r="AB80" s="674" t="s">
        <v>160</v>
      </c>
      <c r="AC80" s="674" t="s">
        <v>160</v>
      </c>
      <c r="AD80" s="674" t="s">
        <v>160</v>
      </c>
      <c r="AE80" s="674" t="s">
        <v>160</v>
      </c>
      <c r="AF80" s="674" t="s">
        <v>160</v>
      </c>
      <c r="AG80" s="674" t="s">
        <v>160</v>
      </c>
      <c r="AH80" s="674" t="s">
        <v>160</v>
      </c>
      <c r="AI80" s="674" t="s">
        <v>160</v>
      </c>
      <c r="AJ80" s="674" t="s">
        <v>160</v>
      </c>
      <c r="AK80" s="674" t="s">
        <v>160</v>
      </c>
      <c r="AL80" s="674">
        <f>+((AL$59*66002.915))/(AVERAGEIFS(Estimativas!206:206,Estimativas!$315:$315,Indicadores!AL$56)*1000)</f>
        <v>11.72358373932131</v>
      </c>
      <c r="AM80" s="674">
        <f>+((AM$59*66002.915))/(AVERAGEIFS(Estimativas!206:206,Estimativas!$315:$315,Indicadores!AM$56)*1000)</f>
        <v>10.015123164671921</v>
      </c>
      <c r="AN80" s="674">
        <f>+((AN$59*66002.915))/(AVERAGEIFS(Estimativas!206:206,Estimativas!$315:$315,Indicadores!AN$56)*1000)</f>
        <v>10.042638537142883</v>
      </c>
      <c r="AO80" s="674">
        <f>+((AO$59*66002.915))/(AVERAGEIFS(Estimativas!206:206,Estimativas!$315:$315,Indicadores!AO$56)*1000)</f>
        <v>9.5131670321561526</v>
      </c>
      <c r="AP80" s="674">
        <f>+((AP$59*66002.915))/(AVERAGEIFS(Estimativas!206:206,Estimativas!$315:$315,Indicadores!AP$56)*1000)</f>
        <v>9.0874135736750148</v>
      </c>
      <c r="AQ80" s="674">
        <f>+((AQ$59*66002.915))/(AVERAGEIFS(Estimativas!206:206,Estimativas!$315:$315,Indicadores!AQ$56)*1000)</f>
        <v>9.0497147465753418</v>
      </c>
      <c r="AR80" s="674">
        <f>+((AR$59*66002.915))/(AVERAGEIFS(Estimativas!206:206,Estimativas!$315:$315,Indicadores!AR$56)*1000)</f>
        <v>9.2218284602023743</v>
      </c>
      <c r="AS80" s="674">
        <f>+((AS$59*66002.915))/(AVERAGEIFS(Estimativas!206:206,Estimativas!$315:$315,Indicadores!AS$56)*1000)</f>
        <v>9.6307404010985707</v>
      </c>
      <c r="AT80" s="674">
        <f>+((AT$59*66002.915))/(AVERAGEIFS(Estimativas!206:206,Estimativas!$315:$315,Indicadores!AT$56)*1000)</f>
        <v>11.177612878718225</v>
      </c>
      <c r="AU80" s="674" t="s">
        <v>160</v>
      </c>
      <c r="AV80" s="674" t="s">
        <v>160</v>
      </c>
      <c r="AW80" s="674" t="s">
        <v>160</v>
      </c>
      <c r="AX80" s="674" t="s">
        <v>160</v>
      </c>
      <c r="AY80" s="674" t="s">
        <v>160</v>
      </c>
      <c r="AZ80" s="674" t="s">
        <v>160</v>
      </c>
      <c r="BA80" s="674" t="s">
        <v>160</v>
      </c>
      <c r="BB80" s="674" t="s">
        <v>160</v>
      </c>
      <c r="BC80" s="674" t="s">
        <v>160</v>
      </c>
      <c r="BD80" s="674" t="s">
        <v>160</v>
      </c>
      <c r="BE80" s="674" t="s">
        <v>160</v>
      </c>
      <c r="BF80" s="674" t="s">
        <v>160</v>
      </c>
      <c r="BG80" s="674" t="s">
        <v>160</v>
      </c>
    </row>
    <row r="81" spans="2:61" x14ac:dyDescent="0.2">
      <c r="B81" s="117" t="s">
        <v>1128</v>
      </c>
      <c r="C81" s="215" t="s">
        <v>160</v>
      </c>
      <c r="D81" s="215" t="s">
        <v>160</v>
      </c>
      <c r="E81" s="215" t="s">
        <v>160</v>
      </c>
      <c r="F81" s="215" t="s">
        <v>160</v>
      </c>
      <c r="G81" s="215" t="s">
        <v>160</v>
      </c>
      <c r="H81" s="215" t="s">
        <v>160</v>
      </c>
      <c r="I81" s="215" t="s">
        <v>160</v>
      </c>
      <c r="J81" s="215" t="s">
        <v>160</v>
      </c>
      <c r="K81" s="215" t="s">
        <v>160</v>
      </c>
      <c r="L81" s="215" t="s">
        <v>160</v>
      </c>
      <c r="M81" s="215" t="s">
        <v>160</v>
      </c>
      <c r="N81" s="215" t="s">
        <v>160</v>
      </c>
      <c r="O81" s="215" t="s">
        <v>160</v>
      </c>
      <c r="P81" s="215" t="s">
        <v>160</v>
      </c>
      <c r="Q81" s="215" t="s">
        <v>160</v>
      </c>
      <c r="R81" s="215" t="s">
        <v>160</v>
      </c>
      <c r="S81" s="215" t="s">
        <v>160</v>
      </c>
      <c r="T81" s="215" t="s">
        <v>160</v>
      </c>
      <c r="U81" s="215" t="s">
        <v>160</v>
      </c>
      <c r="V81" s="215" t="s">
        <v>160</v>
      </c>
      <c r="W81" s="215" t="s">
        <v>160</v>
      </c>
      <c r="X81" s="215" t="s">
        <v>160</v>
      </c>
      <c r="Y81" s="215" t="s">
        <v>160</v>
      </c>
      <c r="Z81" s="674" t="s">
        <v>160</v>
      </c>
      <c r="AA81" s="674" t="s">
        <v>160</v>
      </c>
      <c r="AB81" s="674" t="s">
        <v>160</v>
      </c>
      <c r="AC81" s="674" t="s">
        <v>160</v>
      </c>
      <c r="AD81" s="674" t="s">
        <v>160</v>
      </c>
      <c r="AE81" s="674" t="s">
        <v>160</v>
      </c>
      <c r="AF81" s="674" t="s">
        <v>160</v>
      </c>
      <c r="AG81" s="674" t="s">
        <v>160</v>
      </c>
      <c r="AH81" s="674" t="s">
        <v>160</v>
      </c>
      <c r="AI81" s="674" t="s">
        <v>160</v>
      </c>
      <c r="AJ81" s="674" t="s">
        <v>160</v>
      </c>
      <c r="AK81" s="674" t="s">
        <v>160</v>
      </c>
      <c r="AL81" s="674" t="s">
        <v>160</v>
      </c>
      <c r="AM81" s="674" t="s">
        <v>160</v>
      </c>
      <c r="AN81" s="674" t="s">
        <v>160</v>
      </c>
      <c r="AO81" s="674" t="s">
        <v>160</v>
      </c>
      <c r="AP81" s="674" t="s">
        <v>160</v>
      </c>
      <c r="AQ81" s="674">
        <f>+((AQ$59*66002.915))/(AVERAGEIFS(Estimativas!$259:$259,Estimativas!$315:$315,Indicadores!AQ$56)*1000)</f>
        <v>6.9456830982078843</v>
      </c>
      <c r="AR81" s="674">
        <f>+((AR$59*66002.915))/(AVERAGEIFS(Estimativas!$259:$259,Estimativas!$315:$315,Indicadores!AR$56)*1000)</f>
        <v>7.200838429329294</v>
      </c>
      <c r="AS81" s="674">
        <f>+((AS$59*66002.915))/(AVERAGEIFS(Estimativas!$259:$259,Estimativas!$315:$315,Indicadores!AS$56)*1000)</f>
        <v>7.2357829129837432</v>
      </c>
      <c r="AT81" s="674">
        <f>+((AT$59*66002.915))/(AVERAGEIFS(Estimativas!$259:$259,Estimativas!$315:$315,Indicadores!AT$56)*1000)</f>
        <v>8.6801370066148671</v>
      </c>
      <c r="AU81" s="674">
        <f>+((AU$59*66002.915))/(AVERAGEIFS(Estimativas!$259:$259,Estimativas!$315:$315,Indicadores!AU$56)*1000)</f>
        <v>7.1680754226736569</v>
      </c>
      <c r="AV81" s="674">
        <f>+((AV$59*66002.915))/(AVERAGEIFS(Estimativas!$259:$259,Estimativas!$315:$315,Indicadores!AV$56)*1000)</f>
        <v>7.7544032107412155</v>
      </c>
      <c r="AW81" s="674">
        <f>+((AW$59*66002.915))/(AVERAGEIFS(Estimativas!$259:$259,Estimativas!$315:$315,Indicadores!AW$56)*1000)</f>
        <v>10.277049627659572</v>
      </c>
      <c r="AX81" s="674">
        <f>+((AX$59*66002.915))/(AVERAGEIFS(Estimativas!$259:$259,Estimativas!$315:$315,Indicadores!AX$56)*1000)</f>
        <v>10.953675255319148</v>
      </c>
      <c r="AY81" s="674" t="s">
        <v>160</v>
      </c>
      <c r="AZ81" s="674" t="s">
        <v>160</v>
      </c>
      <c r="BA81" s="674" t="s">
        <v>160</v>
      </c>
      <c r="BB81" s="674" t="s">
        <v>160</v>
      </c>
      <c r="BC81" s="674" t="s">
        <v>160</v>
      </c>
      <c r="BD81" s="674" t="s">
        <v>160</v>
      </c>
      <c r="BE81" s="674" t="s">
        <v>160</v>
      </c>
      <c r="BF81" s="674" t="s">
        <v>160</v>
      </c>
      <c r="BG81" s="674" t="s">
        <v>160</v>
      </c>
    </row>
    <row r="82" spans="2:61" x14ac:dyDescent="0.2">
      <c r="B82" s="117" t="s">
        <v>1187</v>
      </c>
      <c r="C82" s="215" t="s">
        <v>160</v>
      </c>
      <c r="D82" s="215" t="s">
        <v>160</v>
      </c>
      <c r="E82" s="215" t="s">
        <v>160</v>
      </c>
      <c r="F82" s="215" t="s">
        <v>160</v>
      </c>
      <c r="G82" s="215" t="s">
        <v>160</v>
      </c>
      <c r="H82" s="215" t="s">
        <v>160</v>
      </c>
      <c r="I82" s="215" t="s">
        <v>160</v>
      </c>
      <c r="J82" s="215" t="s">
        <v>160</v>
      </c>
      <c r="K82" s="215" t="s">
        <v>160</v>
      </c>
      <c r="L82" s="215" t="s">
        <v>160</v>
      </c>
      <c r="M82" s="215" t="s">
        <v>160</v>
      </c>
      <c r="N82" s="215" t="s">
        <v>160</v>
      </c>
      <c r="O82" s="215" t="s">
        <v>160</v>
      </c>
      <c r="P82" s="215" t="s">
        <v>160</v>
      </c>
      <c r="Q82" s="215" t="s">
        <v>160</v>
      </c>
      <c r="R82" s="215" t="s">
        <v>160</v>
      </c>
      <c r="S82" s="215" t="s">
        <v>160</v>
      </c>
      <c r="T82" s="215" t="s">
        <v>160</v>
      </c>
      <c r="U82" s="215" t="s">
        <v>160</v>
      </c>
      <c r="V82" s="215" t="s">
        <v>160</v>
      </c>
      <c r="W82" s="215" t="s">
        <v>160</v>
      </c>
      <c r="X82" s="215" t="s">
        <v>160</v>
      </c>
      <c r="Y82" s="215" t="s">
        <v>160</v>
      </c>
      <c r="Z82" s="674" t="s">
        <v>160</v>
      </c>
      <c r="AA82" s="674" t="s">
        <v>160</v>
      </c>
      <c r="AB82" s="674" t="s">
        <v>160</v>
      </c>
      <c r="AC82" s="674" t="s">
        <v>160</v>
      </c>
      <c r="AD82" s="674" t="s">
        <v>160</v>
      </c>
      <c r="AE82" s="674" t="s">
        <v>160</v>
      </c>
      <c r="AF82" s="674" t="s">
        <v>160</v>
      </c>
      <c r="AG82" s="674" t="s">
        <v>160</v>
      </c>
      <c r="AH82" s="674" t="s">
        <v>160</v>
      </c>
      <c r="AI82" s="674" t="s">
        <v>160</v>
      </c>
      <c r="AJ82" s="674" t="s">
        <v>160</v>
      </c>
      <c r="AK82" s="674" t="s">
        <v>160</v>
      </c>
      <c r="AL82" s="674" t="s">
        <v>160</v>
      </c>
      <c r="AM82" s="674" t="s">
        <v>160</v>
      </c>
      <c r="AN82" s="674" t="s">
        <v>160</v>
      </c>
      <c r="AO82" s="674" t="s">
        <v>160</v>
      </c>
      <c r="AP82" s="674" t="s">
        <v>160</v>
      </c>
      <c r="AQ82" s="674" t="s">
        <v>160</v>
      </c>
      <c r="AR82" s="674" t="s">
        <v>160</v>
      </c>
      <c r="AS82" s="674">
        <f>+((AS$59*66002.915))/(AVERAGEIFS(Estimativas!283:283,Estimativas!$315:$315,Indicadores!AS$56)*1000)</f>
        <v>5.6731345572608864</v>
      </c>
      <c r="AT82" s="674">
        <f>+((AT$59*66002.915))/(AVERAGEIFS(Estimativas!283:283,Estimativas!$315:$315,Indicadores!AT$56)*1000)</f>
        <v>7.3191345596281545</v>
      </c>
      <c r="AU82" s="674">
        <f>+((AU$59*66002.915))/(AVERAGEIFS(Estimativas!283:283,Estimativas!$315:$315,Indicadores!AU$56)*1000)</f>
        <v>6.4249533597650501</v>
      </c>
      <c r="AV82" s="674">
        <f>+((AV$59*66002.915))/(AVERAGEIFS(Estimativas!283:283,Estimativas!$315:$315,Indicadores!AV$56)*1000)</f>
        <v>6.9785469181046045</v>
      </c>
      <c r="AW82" s="674">
        <f>+((AW$59*66002.915))/(AVERAGEIFS(Estimativas!283:283,Estimativas!$315:$315,Indicadores!AW$56)*1000)</f>
        <v>9.1318842580922333</v>
      </c>
      <c r="AX82" s="674">
        <f>+((AX$59*66002.915))/(AVERAGEIFS(Estimativas!283:283,Estimativas!$315:$315,Indicadores!AX$56)*1000)</f>
        <v>9.5605798092290346</v>
      </c>
      <c r="AY82" s="674">
        <f>+((AY$59*66002.915))/(AVERAGEIFS(Estimativas!283:283,Estimativas!$315:$315,Indicadores!AY$56)*1000)</f>
        <v>9.2300682177545674</v>
      </c>
      <c r="AZ82" s="674">
        <f>+((AZ$59*66002.915))/(AVERAGEIFS(Estimativas!283:283,Estimativas!$315:$315,Indicadores!AZ$56)*1000)</f>
        <v>8.5889955185378586</v>
      </c>
      <c r="BA82" s="674">
        <f>+((BA$59*66002.915))/(AVERAGEIFS(Estimativas!283:283,Estimativas!$315:$315,Indicadores!BA$56)*1000)</f>
        <v>8.9302116326370751</v>
      </c>
      <c r="BB82" s="674">
        <f>+((BB$59*66002.915))/(AVERAGEIFS(Estimativas!283:283,Estimativas!$315:$315,Indicadores!BB$56)*1000)</f>
        <v>9.0631589451162764</v>
      </c>
      <c r="BC82" s="674" t="s">
        <v>160</v>
      </c>
      <c r="BD82" s="674" t="s">
        <v>160</v>
      </c>
      <c r="BE82" s="674" t="s">
        <v>160</v>
      </c>
      <c r="BF82" s="674" t="s">
        <v>160</v>
      </c>
      <c r="BG82" s="674" t="s">
        <v>160</v>
      </c>
    </row>
    <row r="83" spans="2:61" x14ac:dyDescent="0.2">
      <c r="B83" s="117" t="s">
        <v>1307</v>
      </c>
      <c r="C83" s="215" t="s">
        <v>160</v>
      </c>
      <c r="D83" s="215" t="s">
        <v>160</v>
      </c>
      <c r="E83" s="215" t="s">
        <v>160</v>
      </c>
      <c r="F83" s="215" t="s">
        <v>160</v>
      </c>
      <c r="G83" s="215" t="s">
        <v>160</v>
      </c>
      <c r="H83" s="215" t="s">
        <v>160</v>
      </c>
      <c r="I83" s="215" t="s">
        <v>160</v>
      </c>
      <c r="J83" s="215" t="s">
        <v>160</v>
      </c>
      <c r="K83" s="215" t="s">
        <v>160</v>
      </c>
      <c r="L83" s="215" t="s">
        <v>160</v>
      </c>
      <c r="M83" s="215" t="s">
        <v>160</v>
      </c>
      <c r="N83" s="215" t="s">
        <v>160</v>
      </c>
      <c r="O83" s="215" t="s">
        <v>160</v>
      </c>
      <c r="P83" s="215" t="s">
        <v>160</v>
      </c>
      <c r="Q83" s="215" t="s">
        <v>160</v>
      </c>
      <c r="R83" s="215" t="s">
        <v>160</v>
      </c>
      <c r="S83" s="215" t="s">
        <v>160</v>
      </c>
      <c r="T83" s="215" t="s">
        <v>160</v>
      </c>
      <c r="U83" s="215" t="s">
        <v>160</v>
      </c>
      <c r="V83" s="215" t="s">
        <v>160</v>
      </c>
      <c r="W83" s="215" t="s">
        <v>160</v>
      </c>
      <c r="X83" s="215" t="s">
        <v>160</v>
      </c>
      <c r="Y83" s="215" t="s">
        <v>160</v>
      </c>
      <c r="Z83" s="674" t="s">
        <v>160</v>
      </c>
      <c r="AA83" s="674" t="s">
        <v>160</v>
      </c>
      <c r="AB83" s="674" t="s">
        <v>160</v>
      </c>
      <c r="AC83" s="674" t="s">
        <v>160</v>
      </c>
      <c r="AD83" s="674" t="s">
        <v>160</v>
      </c>
      <c r="AE83" s="674" t="s">
        <v>160</v>
      </c>
      <c r="AF83" s="674" t="s">
        <v>160</v>
      </c>
      <c r="AG83" s="674" t="s">
        <v>160</v>
      </c>
      <c r="AH83" s="674" t="s">
        <v>160</v>
      </c>
      <c r="AI83" s="674" t="s">
        <v>160</v>
      </c>
      <c r="AJ83" s="674" t="s">
        <v>160</v>
      </c>
      <c r="AK83" s="674" t="s">
        <v>160</v>
      </c>
      <c r="AL83" s="674" t="s">
        <v>160</v>
      </c>
      <c r="AM83" s="674" t="s">
        <v>160</v>
      </c>
      <c r="AN83" s="674" t="s">
        <v>160</v>
      </c>
      <c r="AO83" s="674" t="s">
        <v>160</v>
      </c>
      <c r="AP83" s="674" t="s">
        <v>160</v>
      </c>
      <c r="AQ83" s="674" t="s">
        <v>160</v>
      </c>
      <c r="AR83" s="674" t="s">
        <v>160</v>
      </c>
      <c r="AS83" s="674" t="s">
        <v>160</v>
      </c>
      <c r="AT83" s="674" t="s">
        <v>160</v>
      </c>
      <c r="AU83" s="674" t="s">
        <v>160</v>
      </c>
      <c r="AV83" s="674" t="s">
        <v>160</v>
      </c>
      <c r="AW83" s="674" t="s">
        <v>160</v>
      </c>
      <c r="AX83" s="674" t="s">
        <v>160</v>
      </c>
      <c r="AY83" s="674" t="s">
        <v>160</v>
      </c>
      <c r="AZ83" s="674" t="s">
        <v>160</v>
      </c>
      <c r="BA83" s="674" t="s">
        <v>160</v>
      </c>
      <c r="BB83" s="674">
        <f>+((BB$59*66002.915))/(AVERAGEIFS(Estimativas!$301:$301,Estimativas!$315:$315,Indicadores!BB$56)*1000)</f>
        <v>7.2169599007407381</v>
      </c>
      <c r="BC83" s="674">
        <f>+((BC$59*66002.915))/(AVERAGEIFS(Estimativas!$301:$301,Estimativas!$315:$315,Indicadores!BC$56)*1000)</f>
        <v>6.837727728877887</v>
      </c>
      <c r="BD83" s="674">
        <f>+((BD$59*66002.915))/(AVERAGEIFS(Estimativas!$301:$301,Estimativas!$315:$315,Indicadores!BD$56)*1000)</f>
        <v>7.9150501346938791</v>
      </c>
      <c r="BE83" s="674">
        <f>+((BE$59*66002.915))/(AVERAGEIFS(Estimativas!$301:$301,Estimativas!$315:$315,Indicadores!BE$56)*1000)</f>
        <v>8.2540778377950517</v>
      </c>
      <c r="BF83" s="674">
        <f>+((BF$59*66002.915))/(AVERAGEIFS(Estimativas!$301:$301,Estimativas!$315:$315,Indicadores!BF$56)*1000)</f>
        <v>8.4641766348591538</v>
      </c>
      <c r="BG83" s="674" t="s">
        <v>160</v>
      </c>
    </row>
    <row r="84" spans="2:61" x14ac:dyDescent="0.2">
      <c r="B84" s="117" t="s">
        <v>1339</v>
      </c>
      <c r="C84" s="215" t="s">
        <v>160</v>
      </c>
      <c r="D84" s="215" t="s">
        <v>160</v>
      </c>
      <c r="E84" s="215" t="s">
        <v>160</v>
      </c>
      <c r="F84" s="215" t="s">
        <v>160</v>
      </c>
      <c r="G84" s="215" t="s">
        <v>160</v>
      </c>
      <c r="H84" s="215" t="s">
        <v>160</v>
      </c>
      <c r="I84" s="215" t="s">
        <v>160</v>
      </c>
      <c r="J84" s="215" t="s">
        <v>160</v>
      </c>
      <c r="K84" s="215" t="s">
        <v>160</v>
      </c>
      <c r="L84" s="215" t="s">
        <v>160</v>
      </c>
      <c r="M84" s="215" t="s">
        <v>160</v>
      </c>
      <c r="N84" s="215" t="s">
        <v>160</v>
      </c>
      <c r="O84" s="215" t="s">
        <v>160</v>
      </c>
      <c r="P84" s="215" t="s">
        <v>160</v>
      </c>
      <c r="Q84" s="215" t="s">
        <v>160</v>
      </c>
      <c r="R84" s="215" t="s">
        <v>160</v>
      </c>
      <c r="S84" s="215" t="s">
        <v>160</v>
      </c>
      <c r="T84" s="215" t="s">
        <v>160</v>
      </c>
      <c r="U84" s="215" t="s">
        <v>160</v>
      </c>
      <c r="V84" s="215" t="s">
        <v>160</v>
      </c>
      <c r="W84" s="215" t="s">
        <v>160</v>
      </c>
      <c r="X84" s="215" t="s">
        <v>160</v>
      </c>
      <c r="Y84" s="215" t="s">
        <v>160</v>
      </c>
      <c r="Z84" s="674" t="s">
        <v>160</v>
      </c>
      <c r="AA84" s="674" t="s">
        <v>160</v>
      </c>
      <c r="AB84" s="674" t="s">
        <v>160</v>
      </c>
      <c r="AC84" s="674" t="s">
        <v>160</v>
      </c>
      <c r="AD84" s="674" t="s">
        <v>160</v>
      </c>
      <c r="AE84" s="674" t="s">
        <v>160</v>
      </c>
      <c r="AF84" s="674" t="s">
        <v>160</v>
      </c>
      <c r="AG84" s="674" t="s">
        <v>160</v>
      </c>
      <c r="AH84" s="674" t="s">
        <v>160</v>
      </c>
      <c r="AI84" s="674" t="s">
        <v>160</v>
      </c>
      <c r="AJ84" s="674" t="s">
        <v>160</v>
      </c>
      <c r="AK84" s="674" t="s">
        <v>160</v>
      </c>
      <c r="AL84" s="674" t="s">
        <v>160</v>
      </c>
      <c r="AM84" s="674" t="s">
        <v>160</v>
      </c>
      <c r="AN84" s="674" t="s">
        <v>160</v>
      </c>
      <c r="AO84" s="674" t="s">
        <v>160</v>
      </c>
      <c r="AP84" s="674" t="s">
        <v>160</v>
      </c>
      <c r="AQ84" s="674" t="s">
        <v>160</v>
      </c>
      <c r="AR84" s="674" t="s">
        <v>160</v>
      </c>
      <c r="AS84" s="674" t="s">
        <v>160</v>
      </c>
      <c r="AT84" s="674" t="s">
        <v>160</v>
      </c>
      <c r="AU84" s="674" t="s">
        <v>160</v>
      </c>
      <c r="AV84" s="674" t="s">
        <v>160</v>
      </c>
      <c r="AW84" s="674" t="s">
        <v>160</v>
      </c>
      <c r="AX84" s="674" t="s">
        <v>160</v>
      </c>
      <c r="AY84" s="674" t="s">
        <v>160</v>
      </c>
      <c r="AZ84" s="674" t="s">
        <v>160</v>
      </c>
      <c r="BA84" s="674" t="s">
        <v>160</v>
      </c>
      <c r="BB84" s="674">
        <f>+((BB$59*66002.915))/(AVERAGEIFS(Estimativas!$32:$32,Estimativas!$315:$315,Indicadores!BB$56)*1000)</f>
        <v>6.8371199059649097</v>
      </c>
      <c r="BC84" s="674">
        <f>+((BC$59*66002.915))/(AVERAGEIFS(Estimativas!$32:$32,Estimativas!$315:$315,Indicadores!BC$56)*1000)</f>
        <v>6.355311355368098</v>
      </c>
      <c r="BD84" s="674">
        <f>+((BD$59*66002.915))/(AVERAGEIFS(Estimativas!$32:$32,Estimativas!$315:$315,Indicadores!BD$56)*1000)</f>
        <v>7.4266747008510654</v>
      </c>
      <c r="BE84" s="674">
        <f>+((BE$59*66002.915))/(AVERAGEIFS(Estimativas!$32:$32,Estimativas!$315:$315,Indicadores!BE$56)*1000)</f>
        <v>7.7835685147937044</v>
      </c>
      <c r="BF84" s="674">
        <f>+((BF$59*66002.915))/(AVERAGEIFS(Estimativas!$32:$32,Estimativas!$315:$315,Indicadores!BF$56)*1000)</f>
        <v>8.1531695793103456</v>
      </c>
      <c r="BG84" s="674">
        <f>+((BG$59*66002.915))/(AVERAGEIFS(Estimativas!$32:$32,Estimativas!$315:$315,Indicadores!BG$56)*1000)</f>
        <v>8.886603195194084</v>
      </c>
    </row>
    <row r="85" spans="2:61" x14ac:dyDescent="0.2">
      <c r="B85" s="117" t="s">
        <v>1372</v>
      </c>
      <c r="C85" s="215" t="s">
        <v>160</v>
      </c>
      <c r="D85" s="215" t="s">
        <v>160</v>
      </c>
      <c r="E85" s="215" t="s">
        <v>160</v>
      </c>
      <c r="F85" s="215" t="s">
        <v>160</v>
      </c>
      <c r="G85" s="215" t="s">
        <v>160</v>
      </c>
      <c r="H85" s="215" t="s">
        <v>160</v>
      </c>
      <c r="I85" s="215" t="s">
        <v>160</v>
      </c>
      <c r="J85" s="215" t="s">
        <v>160</v>
      </c>
      <c r="K85" s="215" t="s">
        <v>160</v>
      </c>
      <c r="L85" s="215" t="s">
        <v>160</v>
      </c>
      <c r="M85" s="215" t="s">
        <v>160</v>
      </c>
      <c r="N85" s="215" t="s">
        <v>160</v>
      </c>
      <c r="O85" s="215" t="s">
        <v>160</v>
      </c>
      <c r="P85" s="215" t="s">
        <v>160</v>
      </c>
      <c r="Q85" s="215" t="s">
        <v>160</v>
      </c>
      <c r="R85" s="215" t="s">
        <v>160</v>
      </c>
      <c r="S85" s="215" t="s">
        <v>160</v>
      </c>
      <c r="T85" s="215" t="s">
        <v>160</v>
      </c>
      <c r="U85" s="215" t="s">
        <v>160</v>
      </c>
      <c r="V85" s="215" t="s">
        <v>160</v>
      </c>
      <c r="W85" s="215" t="s">
        <v>160</v>
      </c>
      <c r="X85" s="215" t="s">
        <v>160</v>
      </c>
      <c r="Y85" s="215" t="s">
        <v>160</v>
      </c>
      <c r="Z85" s="674" t="s">
        <v>160</v>
      </c>
      <c r="AA85" s="674" t="s">
        <v>160</v>
      </c>
      <c r="AB85" s="674" t="s">
        <v>160</v>
      </c>
      <c r="AC85" s="674" t="s">
        <v>160</v>
      </c>
      <c r="AD85" s="674" t="s">
        <v>160</v>
      </c>
      <c r="AE85" s="674" t="s">
        <v>160</v>
      </c>
      <c r="AF85" s="674" t="s">
        <v>160</v>
      </c>
      <c r="AG85" s="674" t="s">
        <v>160</v>
      </c>
      <c r="AH85" s="674" t="s">
        <v>160</v>
      </c>
      <c r="AI85" s="674" t="s">
        <v>160</v>
      </c>
      <c r="AJ85" s="674" t="s">
        <v>160</v>
      </c>
      <c r="AK85" s="674" t="s">
        <v>160</v>
      </c>
      <c r="AL85" s="674" t="s">
        <v>160</v>
      </c>
      <c r="AM85" s="674" t="s">
        <v>160</v>
      </c>
      <c r="AN85" s="674" t="s">
        <v>160</v>
      </c>
      <c r="AO85" s="674" t="s">
        <v>160</v>
      </c>
      <c r="AP85" s="674" t="s">
        <v>160</v>
      </c>
      <c r="AQ85" s="674" t="s">
        <v>160</v>
      </c>
      <c r="AR85" s="674" t="s">
        <v>160</v>
      </c>
      <c r="AS85" s="674" t="s">
        <v>160</v>
      </c>
      <c r="AT85" s="674" t="s">
        <v>160</v>
      </c>
      <c r="AU85" s="674" t="s">
        <v>160</v>
      </c>
      <c r="AV85" s="674" t="s">
        <v>160</v>
      </c>
      <c r="AW85" s="674" t="s">
        <v>160</v>
      </c>
      <c r="AX85" s="674" t="s">
        <v>160</v>
      </c>
      <c r="AY85" s="674" t="s">
        <v>160</v>
      </c>
      <c r="AZ85" s="674" t="s">
        <v>160</v>
      </c>
      <c r="BA85" s="674" t="s">
        <v>160</v>
      </c>
      <c r="BB85" s="674" t="s">
        <v>160</v>
      </c>
      <c r="BC85" s="674" t="s">
        <v>160</v>
      </c>
      <c r="BD85" s="674">
        <f>+((BD$59*66002.915))/(AVERAGEIFS(Estimativas!$47:$47,Estimativas!$315:$315,Indicadores!BD$56)*1000)</f>
        <v>7.1381126981595102</v>
      </c>
      <c r="BE85" s="674">
        <f>+((BE$59*66002.915))/(AVERAGEIFS(Estimativas!$47:$47,Estimativas!$315:$315,Indicadores!BE$56)*1000)</f>
        <v>7.4751476560218997</v>
      </c>
      <c r="BF85" s="674">
        <f>+((BF$59*66002.915))/(AVERAGEIFS(Estimativas!$47:$47,Estimativas!$315:$315,Indicadores!BF$56)*1000)</f>
        <v>7.5158712797290255</v>
      </c>
      <c r="BG85" s="674">
        <f>+((BG$59*66002.915))/(AVERAGEIFS(Estimativas!$47:$47,Estimativas!$315:$315,Indicadores!BG$56)*1000)</f>
        <v>7.8173208595121944</v>
      </c>
    </row>
    <row r="86" spans="2:61" x14ac:dyDescent="0.2">
      <c r="B86" s="459"/>
    </row>
    <row r="87" spans="2:61" x14ac:dyDescent="0.2">
      <c r="B87" s="10" t="s">
        <v>497</v>
      </c>
      <c r="M87" s="2"/>
      <c r="N87" s="2"/>
      <c r="O87" s="2"/>
      <c r="R87" s="453"/>
      <c r="S87" s="453"/>
      <c r="T87" s="453"/>
      <c r="U87" s="453"/>
      <c r="V87" s="453"/>
      <c r="W87" s="453"/>
      <c r="X87" s="453"/>
      <c r="Y87" s="453"/>
      <c r="Z87" s="453"/>
      <c r="AA87" s="453"/>
      <c r="AB87" s="453"/>
      <c r="AC87" s="453"/>
    </row>
    <row r="88" spans="2:61" x14ac:dyDescent="0.2">
      <c r="B88" s="924" t="s">
        <v>633</v>
      </c>
      <c r="C88" s="465" t="s">
        <v>160</v>
      </c>
      <c r="D88" s="465" t="s">
        <v>160</v>
      </c>
      <c r="E88" s="465" t="s">
        <v>160</v>
      </c>
      <c r="F88" s="465" t="s">
        <v>160</v>
      </c>
      <c r="G88" s="465" t="s">
        <v>160</v>
      </c>
      <c r="H88" s="465" t="s">
        <v>160</v>
      </c>
      <c r="I88" s="465" t="s">
        <v>160</v>
      </c>
      <c r="J88" s="465" t="s">
        <v>160</v>
      </c>
      <c r="K88" s="465" t="s">
        <v>160</v>
      </c>
      <c r="L88" s="465" t="s">
        <v>160</v>
      </c>
      <c r="M88" s="465" t="s">
        <v>160</v>
      </c>
      <c r="N88" s="465" t="s">
        <v>160</v>
      </c>
      <c r="O88" s="465" t="s">
        <v>160</v>
      </c>
      <c r="P88" s="465" t="s">
        <v>160</v>
      </c>
      <c r="Q88" s="465" t="s">
        <v>160</v>
      </c>
      <c r="R88" s="465" t="s">
        <v>160</v>
      </c>
      <c r="S88" s="465" t="s">
        <v>160</v>
      </c>
      <c r="T88" s="465" t="s">
        <v>160</v>
      </c>
      <c r="U88" s="465" t="s">
        <v>160</v>
      </c>
      <c r="V88" s="465" t="s">
        <v>160</v>
      </c>
      <c r="W88" s="461">
        <v>42705</v>
      </c>
      <c r="X88" s="465">
        <v>42767</v>
      </c>
      <c r="Y88" s="462">
        <v>43070</v>
      </c>
      <c r="Z88" s="461">
        <v>43132</v>
      </c>
      <c r="AA88" s="462">
        <v>43435</v>
      </c>
      <c r="AB88" s="461">
        <v>43497</v>
      </c>
      <c r="AC88" s="465">
        <v>43617</v>
      </c>
      <c r="AD88" s="462">
        <v>43800</v>
      </c>
      <c r="AE88" s="461">
        <v>43983</v>
      </c>
      <c r="AF88" s="465">
        <v>44013</v>
      </c>
      <c r="AG88" s="462">
        <v>44044</v>
      </c>
      <c r="AH88" s="465">
        <v>44287</v>
      </c>
      <c r="AI88" s="462">
        <v>44378</v>
      </c>
      <c r="AJ88" s="465">
        <v>44621</v>
      </c>
      <c r="AK88" s="462">
        <v>44652</v>
      </c>
      <c r="AL88" s="465">
        <v>44986</v>
      </c>
      <c r="AM88" s="465">
        <v>45108</v>
      </c>
      <c r="AN88" s="462">
        <v>45139</v>
      </c>
      <c r="AO88" s="462">
        <v>45383</v>
      </c>
      <c r="AP88" s="462">
        <v>45870</v>
      </c>
      <c r="AQ88" s="462" t="s">
        <v>1317</v>
      </c>
      <c r="AR88" s="462" t="s">
        <v>1344</v>
      </c>
      <c r="AS88" s="462" t="s">
        <v>1345</v>
      </c>
      <c r="AT88" s="462" t="s">
        <v>1346</v>
      </c>
      <c r="AU88" s="462" t="s">
        <v>1347</v>
      </c>
      <c r="AV88" s="462" t="s">
        <v>1357</v>
      </c>
      <c r="AW88" s="1117">
        <v>46023</v>
      </c>
      <c r="AX88" s="1117">
        <v>46388</v>
      </c>
      <c r="AY88" s="1117">
        <v>46753</v>
      </c>
      <c r="AZ88" s="1117">
        <v>47119</v>
      </c>
      <c r="BA88" s="1117">
        <v>47484</v>
      </c>
      <c r="BB88" s="1117">
        <v>47849</v>
      </c>
      <c r="BC88" s="1117">
        <v>48214</v>
      </c>
      <c r="BD88" s="462" t="s">
        <v>1275</v>
      </c>
      <c r="BE88" s="465" t="s">
        <v>73</v>
      </c>
      <c r="BF88" s="462" t="s">
        <v>628</v>
      </c>
      <c r="BG88" s="462" t="s">
        <v>628</v>
      </c>
      <c r="BH88"/>
      <c r="BI88"/>
    </row>
    <row r="89" spans="2:61" hidden="1" outlineLevel="1" x14ac:dyDescent="0.2">
      <c r="B89" s="222" t="s">
        <v>501</v>
      </c>
      <c r="C89" s="455" t="s">
        <v>160</v>
      </c>
      <c r="D89" s="455" t="s">
        <v>160</v>
      </c>
      <c r="E89" s="455" t="s">
        <v>160</v>
      </c>
      <c r="F89" s="455" t="s">
        <v>160</v>
      </c>
      <c r="G89" s="455" t="s">
        <v>160</v>
      </c>
      <c r="H89" s="455" t="s">
        <v>160</v>
      </c>
      <c r="I89" s="455" t="s">
        <v>160</v>
      </c>
      <c r="J89" s="455" t="s">
        <v>160</v>
      </c>
      <c r="K89" s="455" t="s">
        <v>160</v>
      </c>
      <c r="L89" s="455" t="s">
        <v>160</v>
      </c>
      <c r="M89" s="455" t="s">
        <v>160</v>
      </c>
      <c r="N89" s="455" t="s">
        <v>160</v>
      </c>
      <c r="O89" s="455" t="s">
        <v>160</v>
      </c>
      <c r="P89" s="455" t="s">
        <v>160</v>
      </c>
      <c r="Q89" s="455" t="s">
        <v>160</v>
      </c>
      <c r="R89" s="455" t="s">
        <v>160</v>
      </c>
      <c r="S89" s="455" t="s">
        <v>160</v>
      </c>
      <c r="T89" s="455" t="s">
        <v>160</v>
      </c>
      <c r="U89" s="455" t="s">
        <v>160</v>
      </c>
      <c r="V89" s="455" t="s">
        <v>160</v>
      </c>
      <c r="W89" s="466">
        <v>50000</v>
      </c>
      <c r="X89" s="456">
        <v>66660</v>
      </c>
      <c r="Y89" s="464">
        <v>50000</v>
      </c>
      <c r="Z89" s="463">
        <f t="shared" ref="Z89:AA91" si="53">+X89</f>
        <v>66660</v>
      </c>
      <c r="AA89" s="464">
        <f t="shared" si="53"/>
        <v>50000</v>
      </c>
      <c r="AB89" s="463">
        <v>46676</v>
      </c>
      <c r="AC89" s="454" t="s">
        <v>160</v>
      </c>
      <c r="AD89" s="464" t="s">
        <v>160</v>
      </c>
      <c r="AE89" s="463" t="s">
        <v>160</v>
      </c>
      <c r="AF89" s="454" t="s">
        <v>160</v>
      </c>
      <c r="AG89" s="464" t="s">
        <v>160</v>
      </c>
      <c r="AH89" s="454" t="s">
        <v>160</v>
      </c>
      <c r="AI89" s="464" t="s">
        <v>160</v>
      </c>
      <c r="AJ89" s="454" t="s">
        <v>160</v>
      </c>
      <c r="AK89" s="464" t="s">
        <v>160</v>
      </c>
      <c r="AL89" s="454" t="s">
        <v>160</v>
      </c>
      <c r="AM89" s="454" t="s">
        <v>160</v>
      </c>
      <c r="AN89" s="464" t="s">
        <v>160</v>
      </c>
      <c r="AO89" s="464" t="s">
        <v>160</v>
      </c>
      <c r="AP89" s="464"/>
      <c r="AQ89" s="464"/>
      <c r="AR89" s="464"/>
      <c r="AS89" s="464"/>
      <c r="AT89" s="464"/>
      <c r="AU89" s="464"/>
      <c r="AV89" s="464"/>
      <c r="AW89" s="464"/>
      <c r="AX89" s="464"/>
      <c r="AY89" s="464"/>
      <c r="AZ89" s="464"/>
      <c r="BA89" s="464"/>
      <c r="BB89" s="464"/>
      <c r="BC89" s="464" t="s">
        <v>160</v>
      </c>
      <c r="BD89" s="464" t="s">
        <v>160</v>
      </c>
      <c r="BE89" s="455">
        <f t="shared" ref="BE89:BE99" si="54">+SUM(W89:AI89)</f>
        <v>329996</v>
      </c>
      <c r="BF89" s="925">
        <v>1.2200000000000001E-2</v>
      </c>
      <c r="BG89" s="925">
        <v>1.2200000000000001E-2</v>
      </c>
      <c r="BH89"/>
      <c r="BI89"/>
    </row>
    <row r="90" spans="2:61" hidden="1" outlineLevel="1" x14ac:dyDescent="0.2">
      <c r="B90" s="222" t="s">
        <v>511</v>
      </c>
      <c r="C90" s="455" t="s">
        <v>160</v>
      </c>
      <c r="D90" s="455" t="s">
        <v>160</v>
      </c>
      <c r="E90" s="455" t="s">
        <v>160</v>
      </c>
      <c r="F90" s="455" t="s">
        <v>160</v>
      </c>
      <c r="G90" s="455" t="s">
        <v>160</v>
      </c>
      <c r="H90" s="455" t="s">
        <v>160</v>
      </c>
      <c r="I90" s="455" t="s">
        <v>160</v>
      </c>
      <c r="J90" s="455" t="s">
        <v>160</v>
      </c>
      <c r="K90" s="455" t="s">
        <v>160</v>
      </c>
      <c r="L90" s="455" t="s">
        <v>160</v>
      </c>
      <c r="M90" s="455" t="s">
        <v>160</v>
      </c>
      <c r="N90" s="455" t="s">
        <v>160</v>
      </c>
      <c r="O90" s="455" t="s">
        <v>160</v>
      </c>
      <c r="P90" s="455" t="s">
        <v>160</v>
      </c>
      <c r="Q90" s="455" t="s">
        <v>160</v>
      </c>
      <c r="R90" s="455" t="s">
        <v>160</v>
      </c>
      <c r="S90" s="455" t="s">
        <v>160</v>
      </c>
      <c r="T90" s="455" t="s">
        <v>160</v>
      </c>
      <c r="U90" s="455" t="s">
        <v>160</v>
      </c>
      <c r="V90" s="455" t="s">
        <v>160</v>
      </c>
      <c r="W90" s="466">
        <v>50000</v>
      </c>
      <c r="X90" s="456">
        <v>66660</v>
      </c>
      <c r="Y90" s="464">
        <v>50000</v>
      </c>
      <c r="Z90" s="463">
        <f t="shared" si="53"/>
        <v>66660</v>
      </c>
      <c r="AA90" s="464">
        <f t="shared" si="53"/>
        <v>50000</v>
      </c>
      <c r="AB90" s="463">
        <v>46676</v>
      </c>
      <c r="AC90" s="454" t="s">
        <v>160</v>
      </c>
      <c r="AD90" s="464" t="s">
        <v>160</v>
      </c>
      <c r="AE90" s="463" t="s">
        <v>160</v>
      </c>
      <c r="AF90" s="454" t="s">
        <v>160</v>
      </c>
      <c r="AG90" s="464" t="s">
        <v>160</v>
      </c>
      <c r="AH90" s="454" t="s">
        <v>160</v>
      </c>
      <c r="AI90" s="464" t="s">
        <v>160</v>
      </c>
      <c r="AJ90" s="454" t="s">
        <v>160</v>
      </c>
      <c r="AK90" s="464" t="s">
        <v>160</v>
      </c>
      <c r="AL90" s="454" t="s">
        <v>160</v>
      </c>
      <c r="AM90" s="454" t="s">
        <v>160</v>
      </c>
      <c r="AN90" s="464" t="s">
        <v>160</v>
      </c>
      <c r="AO90" s="464" t="s">
        <v>160</v>
      </c>
      <c r="AP90" s="464"/>
      <c r="AQ90" s="464"/>
      <c r="AR90" s="464"/>
      <c r="AS90" s="464"/>
      <c r="AT90" s="464"/>
      <c r="AU90" s="464"/>
      <c r="AV90" s="464"/>
      <c r="AW90" s="464"/>
      <c r="AX90" s="464"/>
      <c r="AY90" s="464"/>
      <c r="AZ90" s="464"/>
      <c r="BA90" s="464"/>
      <c r="BB90" s="464"/>
      <c r="BC90" s="464" t="s">
        <v>160</v>
      </c>
      <c r="BD90" s="464" t="s">
        <v>160</v>
      </c>
      <c r="BE90" s="455">
        <f t="shared" si="54"/>
        <v>329996</v>
      </c>
      <c r="BF90" s="925">
        <v>1.2200000000000001E-2</v>
      </c>
      <c r="BG90" s="925">
        <v>1.2200000000000001E-2</v>
      </c>
      <c r="BH90"/>
      <c r="BI90"/>
    </row>
    <row r="91" spans="2:61" hidden="1" outlineLevel="1" x14ac:dyDescent="0.2">
      <c r="B91" s="222" t="s">
        <v>538</v>
      </c>
      <c r="C91" s="455" t="s">
        <v>160</v>
      </c>
      <c r="D91" s="455" t="s">
        <v>160</v>
      </c>
      <c r="E91" s="455" t="s">
        <v>160</v>
      </c>
      <c r="F91" s="455" t="s">
        <v>160</v>
      </c>
      <c r="G91" s="455" t="s">
        <v>160</v>
      </c>
      <c r="H91" s="455" t="s">
        <v>160</v>
      </c>
      <c r="I91" s="455" t="s">
        <v>160</v>
      </c>
      <c r="J91" s="455" t="s">
        <v>160</v>
      </c>
      <c r="K91" s="455" t="s">
        <v>160</v>
      </c>
      <c r="L91" s="455" t="s">
        <v>160</v>
      </c>
      <c r="M91" s="455" t="s">
        <v>160</v>
      </c>
      <c r="N91" s="455" t="s">
        <v>160</v>
      </c>
      <c r="O91" s="455" t="s">
        <v>160</v>
      </c>
      <c r="P91" s="455" t="s">
        <v>160</v>
      </c>
      <c r="Q91" s="455" t="s">
        <v>160</v>
      </c>
      <c r="R91" s="455" t="s">
        <v>160</v>
      </c>
      <c r="S91" s="455" t="s">
        <v>160</v>
      </c>
      <c r="T91" s="455" t="s">
        <v>160</v>
      </c>
      <c r="U91" s="455" t="s">
        <v>160</v>
      </c>
      <c r="V91" s="455" t="s">
        <v>160</v>
      </c>
      <c r="W91" s="463" t="s">
        <v>160</v>
      </c>
      <c r="X91" s="456">
        <v>66660</v>
      </c>
      <c r="Y91" s="467">
        <v>50000</v>
      </c>
      <c r="Z91" s="463">
        <f t="shared" si="53"/>
        <v>66660</v>
      </c>
      <c r="AA91" s="464">
        <f t="shared" si="53"/>
        <v>50000</v>
      </c>
      <c r="AB91" s="463">
        <v>46676</v>
      </c>
      <c r="AC91" s="454" t="s">
        <v>160</v>
      </c>
      <c r="AD91" s="464" t="s">
        <v>160</v>
      </c>
      <c r="AE91" s="463" t="s">
        <v>160</v>
      </c>
      <c r="AF91" s="454" t="s">
        <v>160</v>
      </c>
      <c r="AG91" s="464" t="s">
        <v>160</v>
      </c>
      <c r="AH91" s="454" t="s">
        <v>160</v>
      </c>
      <c r="AI91" s="464" t="s">
        <v>160</v>
      </c>
      <c r="AJ91" s="454" t="s">
        <v>160</v>
      </c>
      <c r="AK91" s="464" t="s">
        <v>160</v>
      </c>
      <c r="AL91" s="454" t="s">
        <v>160</v>
      </c>
      <c r="AM91" s="454" t="s">
        <v>160</v>
      </c>
      <c r="AN91" s="464" t="s">
        <v>160</v>
      </c>
      <c r="AO91" s="464" t="s">
        <v>160</v>
      </c>
      <c r="AP91" s="464"/>
      <c r="AQ91" s="464"/>
      <c r="AR91" s="464"/>
      <c r="AS91" s="464"/>
      <c r="AT91" s="464"/>
      <c r="AU91" s="464"/>
      <c r="AV91" s="464"/>
      <c r="AW91" s="464"/>
      <c r="AX91" s="464"/>
      <c r="AY91" s="464"/>
      <c r="AZ91" s="464"/>
      <c r="BA91" s="464"/>
      <c r="BB91" s="464"/>
      <c r="BC91" s="464" t="s">
        <v>160</v>
      </c>
      <c r="BD91" s="464" t="s">
        <v>160</v>
      </c>
      <c r="BE91" s="455">
        <f t="shared" si="54"/>
        <v>279996</v>
      </c>
      <c r="BF91" s="925">
        <v>1.2200000000000001E-2</v>
      </c>
      <c r="BG91" s="925">
        <v>1.2200000000000001E-2</v>
      </c>
      <c r="BH91"/>
      <c r="BI91"/>
    </row>
    <row r="92" spans="2:61" hidden="1" outlineLevel="1" x14ac:dyDescent="0.2">
      <c r="B92" s="222" t="s">
        <v>567</v>
      </c>
      <c r="C92" s="455" t="s">
        <v>160</v>
      </c>
      <c r="D92" s="455" t="s">
        <v>160</v>
      </c>
      <c r="E92" s="455" t="s">
        <v>160</v>
      </c>
      <c r="F92" s="455" t="s">
        <v>160</v>
      </c>
      <c r="G92" s="455" t="s">
        <v>160</v>
      </c>
      <c r="H92" s="455" t="s">
        <v>160</v>
      </c>
      <c r="I92" s="455" t="s">
        <v>160</v>
      </c>
      <c r="J92" s="455" t="s">
        <v>160</v>
      </c>
      <c r="K92" s="455" t="s">
        <v>160</v>
      </c>
      <c r="L92" s="455" t="s">
        <v>160</v>
      </c>
      <c r="M92" s="455" t="s">
        <v>160</v>
      </c>
      <c r="N92" s="455" t="s">
        <v>160</v>
      </c>
      <c r="O92" s="455" t="s">
        <v>160</v>
      </c>
      <c r="P92" s="455" t="s">
        <v>160</v>
      </c>
      <c r="Q92" s="455" t="s">
        <v>160</v>
      </c>
      <c r="R92" s="455" t="s">
        <v>160</v>
      </c>
      <c r="S92" s="455" t="s">
        <v>160</v>
      </c>
      <c r="T92" s="455" t="s">
        <v>160</v>
      </c>
      <c r="U92" s="455" t="s">
        <v>160</v>
      </c>
      <c r="V92" s="455" t="s">
        <v>160</v>
      </c>
      <c r="W92" s="463" t="s">
        <v>160</v>
      </c>
      <c r="X92" s="454" t="s">
        <v>160</v>
      </c>
      <c r="Y92" s="467">
        <v>50000</v>
      </c>
      <c r="Z92" s="466">
        <v>66660</v>
      </c>
      <c r="AA92" s="464">
        <f>+Y92</f>
        <v>50000</v>
      </c>
      <c r="AB92" s="463">
        <v>46676</v>
      </c>
      <c r="AC92" s="454" t="s">
        <v>160</v>
      </c>
      <c r="AD92" s="464" t="s">
        <v>160</v>
      </c>
      <c r="AE92" s="463" t="s">
        <v>160</v>
      </c>
      <c r="AF92" s="454" t="s">
        <v>160</v>
      </c>
      <c r="AG92" s="464" t="s">
        <v>160</v>
      </c>
      <c r="AH92" s="454" t="s">
        <v>160</v>
      </c>
      <c r="AI92" s="464" t="s">
        <v>160</v>
      </c>
      <c r="AJ92" s="454" t="s">
        <v>160</v>
      </c>
      <c r="AK92" s="464" t="s">
        <v>160</v>
      </c>
      <c r="AL92" s="454" t="s">
        <v>160</v>
      </c>
      <c r="AM92" s="454" t="s">
        <v>160</v>
      </c>
      <c r="AN92" s="464" t="s">
        <v>160</v>
      </c>
      <c r="AO92" s="464" t="s">
        <v>160</v>
      </c>
      <c r="AP92" s="464"/>
      <c r="AQ92" s="464"/>
      <c r="AR92" s="464"/>
      <c r="AS92" s="464"/>
      <c r="AT92" s="464"/>
      <c r="AU92" s="464"/>
      <c r="AV92" s="464"/>
      <c r="AW92" s="464"/>
      <c r="AX92" s="464"/>
      <c r="AY92" s="464"/>
      <c r="AZ92" s="464"/>
      <c r="BA92" s="464"/>
      <c r="BB92" s="464"/>
      <c r="BC92" s="464" t="s">
        <v>160</v>
      </c>
      <c r="BD92" s="464" t="s">
        <v>160</v>
      </c>
      <c r="BE92" s="455">
        <f t="shared" si="54"/>
        <v>213336</v>
      </c>
      <c r="BF92" s="925">
        <v>1.3299999999999999E-2</v>
      </c>
      <c r="BG92" s="925">
        <v>1.3299999999999999E-2</v>
      </c>
      <c r="BH92"/>
      <c r="BI92"/>
    </row>
    <row r="93" spans="2:61" hidden="1" outlineLevel="1" x14ac:dyDescent="0.2">
      <c r="B93" s="222" t="s">
        <v>575</v>
      </c>
      <c r="C93" s="455" t="s">
        <v>160</v>
      </c>
      <c r="D93" s="455" t="s">
        <v>160</v>
      </c>
      <c r="E93" s="455" t="s">
        <v>160</v>
      </c>
      <c r="F93" s="455" t="s">
        <v>160</v>
      </c>
      <c r="G93" s="455" t="s">
        <v>160</v>
      </c>
      <c r="H93" s="455" t="s">
        <v>160</v>
      </c>
      <c r="I93" s="455" t="s">
        <v>160</v>
      </c>
      <c r="J93" s="455" t="s">
        <v>160</v>
      </c>
      <c r="K93" s="455" t="s">
        <v>160</v>
      </c>
      <c r="L93" s="455" t="s">
        <v>160</v>
      </c>
      <c r="M93" s="455" t="s">
        <v>160</v>
      </c>
      <c r="N93" s="455" t="s">
        <v>160</v>
      </c>
      <c r="O93" s="455" t="s">
        <v>160</v>
      </c>
      <c r="P93" s="455" t="s">
        <v>160</v>
      </c>
      <c r="Q93" s="455" t="s">
        <v>160</v>
      </c>
      <c r="R93" s="455" t="s">
        <v>160</v>
      </c>
      <c r="S93" s="455" t="s">
        <v>160</v>
      </c>
      <c r="T93" s="455" t="s">
        <v>160</v>
      </c>
      <c r="U93" s="455" t="s">
        <v>160</v>
      </c>
      <c r="V93" s="455" t="s">
        <v>160</v>
      </c>
      <c r="W93" s="463" t="s">
        <v>160</v>
      </c>
      <c r="X93" s="454" t="s">
        <v>160</v>
      </c>
      <c r="Y93" s="464" t="s">
        <v>160</v>
      </c>
      <c r="Z93" s="466">
        <v>66660</v>
      </c>
      <c r="AA93" s="464">
        <v>50000</v>
      </c>
      <c r="AB93" s="463">
        <v>46676</v>
      </c>
      <c r="AC93" s="454">
        <v>43333</v>
      </c>
      <c r="AD93" s="464">
        <v>3333</v>
      </c>
      <c r="AE93" s="463">
        <v>3333</v>
      </c>
      <c r="AF93" s="454" t="s">
        <v>160</v>
      </c>
      <c r="AG93" s="464" t="s">
        <v>160</v>
      </c>
      <c r="AH93" s="454" t="s">
        <v>160</v>
      </c>
      <c r="AI93" s="464" t="s">
        <v>160</v>
      </c>
      <c r="AJ93" s="454" t="s">
        <v>160</v>
      </c>
      <c r="AK93" s="464" t="s">
        <v>160</v>
      </c>
      <c r="AL93" s="454" t="s">
        <v>160</v>
      </c>
      <c r="AM93" s="454" t="s">
        <v>160</v>
      </c>
      <c r="AN93" s="464" t="s">
        <v>160</v>
      </c>
      <c r="AO93" s="464" t="s">
        <v>160</v>
      </c>
      <c r="AP93" s="464"/>
      <c r="AQ93" s="464"/>
      <c r="AR93" s="464"/>
      <c r="AS93" s="464"/>
      <c r="AT93" s="464"/>
      <c r="AU93" s="464"/>
      <c r="AV93" s="464"/>
      <c r="AW93" s="464"/>
      <c r="AX93" s="464"/>
      <c r="AY93" s="464"/>
      <c r="AZ93" s="464"/>
      <c r="BA93" s="464"/>
      <c r="BB93" s="464"/>
      <c r="BC93" s="464" t="s">
        <v>160</v>
      </c>
      <c r="BD93" s="464" t="s">
        <v>160</v>
      </c>
      <c r="BE93" s="455">
        <f t="shared" si="54"/>
        <v>213335</v>
      </c>
      <c r="BF93" s="925">
        <v>1.55E-2</v>
      </c>
      <c r="BG93" s="925">
        <v>1.55E-2</v>
      </c>
      <c r="BH93"/>
      <c r="BI93"/>
    </row>
    <row r="94" spans="2:61" hidden="1" outlineLevel="1" x14ac:dyDescent="0.2">
      <c r="B94" s="222" t="s">
        <v>595</v>
      </c>
      <c r="C94" s="455" t="s">
        <v>160</v>
      </c>
      <c r="D94" s="455" t="s">
        <v>160</v>
      </c>
      <c r="E94" s="455" t="s">
        <v>160</v>
      </c>
      <c r="F94" s="455" t="s">
        <v>160</v>
      </c>
      <c r="G94" s="455" t="s">
        <v>160</v>
      </c>
      <c r="H94" s="455" t="s">
        <v>160</v>
      </c>
      <c r="I94" s="455" t="s">
        <v>160</v>
      </c>
      <c r="J94" s="455" t="s">
        <v>160</v>
      </c>
      <c r="K94" s="455" t="s">
        <v>160</v>
      </c>
      <c r="L94" s="455" t="s">
        <v>160</v>
      </c>
      <c r="M94" s="455" t="s">
        <v>160</v>
      </c>
      <c r="N94" s="455" t="s">
        <v>160</v>
      </c>
      <c r="O94" s="455" t="s">
        <v>160</v>
      </c>
      <c r="P94" s="455" t="s">
        <v>160</v>
      </c>
      <c r="Q94" s="455" t="s">
        <v>160</v>
      </c>
      <c r="R94" s="455" t="s">
        <v>160</v>
      </c>
      <c r="S94" s="455" t="s">
        <v>160</v>
      </c>
      <c r="T94" s="455" t="s">
        <v>160</v>
      </c>
      <c r="U94" s="455" t="s">
        <v>160</v>
      </c>
      <c r="V94" s="455" t="s">
        <v>160</v>
      </c>
      <c r="W94" s="463" t="s">
        <v>160</v>
      </c>
      <c r="X94" s="454" t="s">
        <v>160</v>
      </c>
      <c r="Y94" s="464" t="s">
        <v>160</v>
      </c>
      <c r="Z94" s="466">
        <v>66660</v>
      </c>
      <c r="AA94" s="464" t="s">
        <v>160</v>
      </c>
      <c r="AB94" s="463">
        <v>46676</v>
      </c>
      <c r="AC94" s="454">
        <v>43333</v>
      </c>
      <c r="AD94" s="464">
        <v>3333</v>
      </c>
      <c r="AE94" s="463">
        <v>3333</v>
      </c>
      <c r="AF94" s="454">
        <v>25000</v>
      </c>
      <c r="AG94" s="464" t="s">
        <v>160</v>
      </c>
      <c r="AH94" s="454" t="s">
        <v>160</v>
      </c>
      <c r="AI94" s="464">
        <v>25000</v>
      </c>
      <c r="AJ94" s="454" t="s">
        <v>160</v>
      </c>
      <c r="AK94" s="464" t="s">
        <v>160</v>
      </c>
      <c r="AL94" s="454" t="s">
        <v>160</v>
      </c>
      <c r="AM94" s="454" t="s">
        <v>160</v>
      </c>
      <c r="AN94" s="464" t="s">
        <v>160</v>
      </c>
      <c r="AO94" s="464" t="s">
        <v>160</v>
      </c>
      <c r="AP94" s="464"/>
      <c r="AQ94" s="464"/>
      <c r="AR94" s="464"/>
      <c r="AS94" s="464"/>
      <c r="AT94" s="464"/>
      <c r="AU94" s="464"/>
      <c r="AV94" s="464"/>
      <c r="AW94" s="464"/>
      <c r="AX94" s="464"/>
      <c r="AY94" s="464"/>
      <c r="AZ94" s="464"/>
      <c r="BA94" s="464"/>
      <c r="BB94" s="464"/>
      <c r="BC94" s="464" t="s">
        <v>160</v>
      </c>
      <c r="BD94" s="464" t="s">
        <v>160</v>
      </c>
      <c r="BE94" s="455">
        <f t="shared" si="54"/>
        <v>213335</v>
      </c>
      <c r="BF94" s="925">
        <v>1.5599999999999999E-2</v>
      </c>
      <c r="BG94" s="925">
        <v>1.5599999999999999E-2</v>
      </c>
      <c r="BH94"/>
      <c r="BI94"/>
    </row>
    <row r="95" spans="2:61" hidden="1" outlineLevel="1" x14ac:dyDescent="0.2">
      <c r="B95" s="222" t="s">
        <v>596</v>
      </c>
      <c r="C95" s="455" t="s">
        <v>160</v>
      </c>
      <c r="D95" s="455" t="s">
        <v>160</v>
      </c>
      <c r="E95" s="455" t="s">
        <v>160</v>
      </c>
      <c r="F95" s="455" t="s">
        <v>160</v>
      </c>
      <c r="G95" s="455" t="s">
        <v>160</v>
      </c>
      <c r="H95" s="455" t="s">
        <v>160</v>
      </c>
      <c r="I95" s="455" t="s">
        <v>160</v>
      </c>
      <c r="J95" s="455" t="s">
        <v>160</v>
      </c>
      <c r="K95" s="455" t="s">
        <v>160</v>
      </c>
      <c r="L95" s="455" t="s">
        <v>160</v>
      </c>
      <c r="M95" s="455" t="s">
        <v>160</v>
      </c>
      <c r="N95" s="455" t="s">
        <v>160</v>
      </c>
      <c r="O95" s="455" t="s">
        <v>160</v>
      </c>
      <c r="P95" s="455" t="s">
        <v>160</v>
      </c>
      <c r="Q95" s="455" t="s">
        <v>160</v>
      </c>
      <c r="R95" s="455" t="s">
        <v>160</v>
      </c>
      <c r="S95" s="455" t="s">
        <v>160</v>
      </c>
      <c r="T95" s="455" t="s">
        <v>160</v>
      </c>
      <c r="U95" s="455" t="s">
        <v>160</v>
      </c>
      <c r="V95" s="455" t="s">
        <v>160</v>
      </c>
      <c r="W95" s="640" t="s">
        <v>160</v>
      </c>
      <c r="X95" s="455" t="s">
        <v>160</v>
      </c>
      <c r="Y95" s="641" t="s">
        <v>160</v>
      </c>
      <c r="Z95" s="466">
        <f>Z91</f>
        <v>66660</v>
      </c>
      <c r="AA95" s="464" t="s">
        <v>160</v>
      </c>
      <c r="AB95" s="463">
        <v>46676</v>
      </c>
      <c r="AC95" s="454">
        <v>43333</v>
      </c>
      <c r="AD95" s="464">
        <v>3333</v>
      </c>
      <c r="AE95" s="463">
        <v>3333</v>
      </c>
      <c r="AF95" s="454">
        <v>25000</v>
      </c>
      <c r="AG95" s="464" t="s">
        <v>160</v>
      </c>
      <c r="AH95" s="454" t="s">
        <v>160</v>
      </c>
      <c r="AI95" s="464">
        <f>+AI94</f>
        <v>25000</v>
      </c>
      <c r="AJ95" s="454" t="s">
        <v>160</v>
      </c>
      <c r="AK95" s="464" t="s">
        <v>160</v>
      </c>
      <c r="AL95" s="454" t="s">
        <v>160</v>
      </c>
      <c r="AM95" s="454" t="s">
        <v>160</v>
      </c>
      <c r="AN95" s="464" t="s">
        <v>160</v>
      </c>
      <c r="AO95" s="464" t="s">
        <v>160</v>
      </c>
      <c r="AP95" s="464"/>
      <c r="AQ95" s="464"/>
      <c r="AR95" s="464"/>
      <c r="AS95" s="464"/>
      <c r="AT95" s="464"/>
      <c r="AU95" s="464"/>
      <c r="AV95" s="464"/>
      <c r="AW95" s="464"/>
      <c r="AX95" s="464"/>
      <c r="AY95" s="464"/>
      <c r="AZ95" s="464"/>
      <c r="BA95" s="464"/>
      <c r="BB95" s="464"/>
      <c r="BC95" s="464" t="s">
        <v>160</v>
      </c>
      <c r="BD95" s="464" t="s">
        <v>160</v>
      </c>
      <c r="BE95" s="455">
        <f t="shared" si="54"/>
        <v>213335</v>
      </c>
      <c r="BF95" s="925">
        <v>1.5599999999999999E-2</v>
      </c>
      <c r="BG95" s="925">
        <v>1.5599999999999999E-2</v>
      </c>
      <c r="BH95"/>
      <c r="BI95"/>
    </row>
    <row r="96" spans="2:61" hidden="1" outlineLevel="1" x14ac:dyDescent="0.2">
      <c r="B96" s="222" t="s">
        <v>623</v>
      </c>
      <c r="C96" s="455" t="s">
        <v>160</v>
      </c>
      <c r="D96" s="455" t="s">
        <v>160</v>
      </c>
      <c r="E96" s="455" t="s">
        <v>160</v>
      </c>
      <c r="F96" s="455" t="s">
        <v>160</v>
      </c>
      <c r="G96" s="455" t="s">
        <v>160</v>
      </c>
      <c r="H96" s="455" t="s">
        <v>160</v>
      </c>
      <c r="I96" s="455" t="s">
        <v>160</v>
      </c>
      <c r="J96" s="455" t="s">
        <v>160</v>
      </c>
      <c r="K96" s="454" t="s">
        <v>160</v>
      </c>
      <c r="L96" s="454" t="s">
        <v>160</v>
      </c>
      <c r="M96" s="454" t="s">
        <v>160</v>
      </c>
      <c r="N96" s="454" t="s">
        <v>160</v>
      </c>
      <c r="O96" s="454" t="s">
        <v>160</v>
      </c>
      <c r="P96" s="454" t="s">
        <v>160</v>
      </c>
      <c r="Q96" s="454" t="s">
        <v>160</v>
      </c>
      <c r="R96" s="454" t="s">
        <v>160</v>
      </c>
      <c r="S96" s="455" t="s">
        <v>160</v>
      </c>
      <c r="T96" s="455" t="s">
        <v>160</v>
      </c>
      <c r="U96" s="455" t="s">
        <v>160</v>
      </c>
      <c r="V96" s="455" t="s">
        <v>160</v>
      </c>
      <c r="W96" s="463" t="s">
        <v>160</v>
      </c>
      <c r="X96" s="454" t="s">
        <v>160</v>
      </c>
      <c r="Y96" s="464" t="s">
        <v>160</v>
      </c>
      <c r="Z96" s="463" t="s">
        <v>160</v>
      </c>
      <c r="AA96" s="464" t="str">
        <f>+AA95</f>
        <v>-</v>
      </c>
      <c r="AB96" s="466">
        <f>+AB95</f>
        <v>46676</v>
      </c>
      <c r="AC96" s="454">
        <f>+AC95</f>
        <v>43333</v>
      </c>
      <c r="AD96" s="464">
        <v>3333</v>
      </c>
      <c r="AE96" s="463">
        <v>3333</v>
      </c>
      <c r="AF96" s="454">
        <v>25000</v>
      </c>
      <c r="AG96" s="464" t="s">
        <v>160</v>
      </c>
      <c r="AH96" s="454" t="s">
        <v>160</v>
      </c>
      <c r="AI96" s="464">
        <f>+AI95</f>
        <v>25000</v>
      </c>
      <c r="AJ96" s="454" t="s">
        <v>160</v>
      </c>
      <c r="AK96" s="464" t="s">
        <v>160</v>
      </c>
      <c r="AL96" s="454" t="s">
        <v>160</v>
      </c>
      <c r="AM96" s="454" t="s">
        <v>160</v>
      </c>
      <c r="AN96" s="464" t="s">
        <v>160</v>
      </c>
      <c r="AO96" s="464" t="s">
        <v>160</v>
      </c>
      <c r="AP96" s="464"/>
      <c r="AQ96" s="464"/>
      <c r="AR96" s="464"/>
      <c r="AS96" s="464"/>
      <c r="AT96" s="464"/>
      <c r="AU96" s="464"/>
      <c r="AV96" s="464"/>
      <c r="AW96" s="464"/>
      <c r="AX96" s="464"/>
      <c r="AY96" s="464"/>
      <c r="AZ96" s="464"/>
      <c r="BA96" s="464"/>
      <c r="BB96" s="464"/>
      <c r="BC96" s="464" t="s">
        <v>160</v>
      </c>
      <c r="BD96" s="464" t="s">
        <v>160</v>
      </c>
      <c r="BE96" s="455">
        <f t="shared" si="54"/>
        <v>146675</v>
      </c>
      <c r="BF96" s="925">
        <v>1.72E-2</v>
      </c>
      <c r="BG96" s="925">
        <v>1.72E-2</v>
      </c>
      <c r="BH96"/>
      <c r="BI96"/>
    </row>
    <row r="97" spans="2:61" hidden="1" outlineLevel="1" x14ac:dyDescent="0.2">
      <c r="B97" s="222" t="s">
        <v>624</v>
      </c>
      <c r="C97" s="455" t="s">
        <v>160</v>
      </c>
      <c r="D97" s="454" t="s">
        <v>160</v>
      </c>
      <c r="E97" s="454" t="s">
        <v>160</v>
      </c>
      <c r="F97" s="454" t="s">
        <v>160</v>
      </c>
      <c r="G97" s="454" t="s">
        <v>160</v>
      </c>
      <c r="H97" s="454" t="s">
        <v>160</v>
      </c>
      <c r="I97" s="454" t="s">
        <v>160</v>
      </c>
      <c r="J97" s="454" t="s">
        <v>160</v>
      </c>
      <c r="K97" s="454" t="s">
        <v>160</v>
      </c>
      <c r="L97" s="454" t="s">
        <v>160</v>
      </c>
      <c r="M97" s="454" t="s">
        <v>160</v>
      </c>
      <c r="N97" s="454" t="s">
        <v>160</v>
      </c>
      <c r="O97" s="454" t="s">
        <v>160</v>
      </c>
      <c r="P97" s="454" t="s">
        <v>160</v>
      </c>
      <c r="Q97" s="454" t="s">
        <v>160</v>
      </c>
      <c r="R97" s="454" t="s">
        <v>160</v>
      </c>
      <c r="S97" s="455" t="s">
        <v>160</v>
      </c>
      <c r="T97" s="455" t="s">
        <v>160</v>
      </c>
      <c r="U97" s="454" t="s">
        <v>160</v>
      </c>
      <c r="V97" s="455" t="s">
        <v>160</v>
      </c>
      <c r="W97" s="463" t="s">
        <v>160</v>
      </c>
      <c r="X97" s="454" t="s">
        <v>160</v>
      </c>
      <c r="Y97" s="464" t="s">
        <v>160</v>
      </c>
      <c r="Z97" s="463" t="s">
        <v>160</v>
      </c>
      <c r="AA97" s="464" t="s">
        <v>160</v>
      </c>
      <c r="AB97" s="466">
        <f>+AB96</f>
        <v>46676</v>
      </c>
      <c r="AC97" s="456">
        <f>+AC96</f>
        <v>43333</v>
      </c>
      <c r="AD97" s="464">
        <v>3333</v>
      </c>
      <c r="AE97" s="463">
        <v>3333</v>
      </c>
      <c r="AF97" s="454">
        <v>25000</v>
      </c>
      <c r="AG97" s="464" t="s">
        <v>160</v>
      </c>
      <c r="AH97" s="454" t="s">
        <v>160</v>
      </c>
      <c r="AI97" s="464">
        <f>+AI96</f>
        <v>25000</v>
      </c>
      <c r="AJ97" s="454" t="s">
        <v>160</v>
      </c>
      <c r="AK97" s="464" t="s">
        <v>160</v>
      </c>
      <c r="AL97" s="454" t="s">
        <v>160</v>
      </c>
      <c r="AM97" s="454" t="s">
        <v>160</v>
      </c>
      <c r="AN97" s="464" t="s">
        <v>160</v>
      </c>
      <c r="AO97" s="464" t="s">
        <v>160</v>
      </c>
      <c r="AP97" s="464"/>
      <c r="AQ97" s="464"/>
      <c r="AR97" s="464"/>
      <c r="AS97" s="464"/>
      <c r="AT97" s="464"/>
      <c r="AU97" s="464"/>
      <c r="AV97" s="464"/>
      <c r="AW97" s="464"/>
      <c r="AX97" s="464"/>
      <c r="AY97" s="464"/>
      <c r="AZ97" s="464"/>
      <c r="BA97" s="464"/>
      <c r="BB97" s="464"/>
      <c r="BC97" s="464" t="s">
        <v>160</v>
      </c>
      <c r="BD97" s="464" t="s">
        <v>160</v>
      </c>
      <c r="BE97" s="455">
        <f t="shared" si="54"/>
        <v>146675</v>
      </c>
      <c r="BF97" s="925">
        <v>1.72E-2</v>
      </c>
      <c r="BG97" s="925">
        <v>1.72E-2</v>
      </c>
      <c r="BH97"/>
      <c r="BI97"/>
    </row>
    <row r="98" spans="2:61" hidden="1" outlineLevel="1" x14ac:dyDescent="0.2">
      <c r="B98" s="222" t="s">
        <v>625</v>
      </c>
      <c r="C98" s="455" t="s">
        <v>160</v>
      </c>
      <c r="D98" s="454" t="s">
        <v>160</v>
      </c>
      <c r="E98" s="454" t="s">
        <v>160</v>
      </c>
      <c r="F98" s="454" t="s">
        <v>160</v>
      </c>
      <c r="G98" s="454" t="s">
        <v>160</v>
      </c>
      <c r="H98" s="454" t="s">
        <v>160</v>
      </c>
      <c r="I98" s="454" t="s">
        <v>160</v>
      </c>
      <c r="J98" s="454" t="s">
        <v>160</v>
      </c>
      <c r="K98" s="454" t="s">
        <v>160</v>
      </c>
      <c r="L98" s="454" t="s">
        <v>160</v>
      </c>
      <c r="M98" s="454" t="s">
        <v>160</v>
      </c>
      <c r="N98" s="454" t="s">
        <v>160</v>
      </c>
      <c r="O98" s="454" t="s">
        <v>160</v>
      </c>
      <c r="P98" s="454" t="s">
        <v>160</v>
      </c>
      <c r="Q98" s="454" t="s">
        <v>160</v>
      </c>
      <c r="R98" s="454" t="s">
        <v>160</v>
      </c>
      <c r="S98" s="455" t="s">
        <v>160</v>
      </c>
      <c r="T98" s="455" t="s">
        <v>160</v>
      </c>
      <c r="U98" s="454" t="s">
        <v>160</v>
      </c>
      <c r="V98" s="455" t="s">
        <v>160</v>
      </c>
      <c r="W98" s="463" t="s">
        <v>160</v>
      </c>
      <c r="X98" s="454" t="s">
        <v>160</v>
      </c>
      <c r="Y98" s="454" t="s">
        <v>160</v>
      </c>
      <c r="Z98" s="463" t="s">
        <v>160</v>
      </c>
      <c r="AA98" s="464" t="s">
        <v>160</v>
      </c>
      <c r="AB98" s="466">
        <f>AB97</f>
        <v>46676</v>
      </c>
      <c r="AC98" s="456">
        <v>3333</v>
      </c>
      <c r="AD98" s="464">
        <v>3333</v>
      </c>
      <c r="AE98" s="463">
        <v>3333</v>
      </c>
      <c r="AF98" s="454">
        <f>AF97</f>
        <v>25000</v>
      </c>
      <c r="AG98" s="464">
        <v>50000</v>
      </c>
      <c r="AH98" s="454" t="s">
        <v>160</v>
      </c>
      <c r="AI98" s="464">
        <f>AI97</f>
        <v>25000</v>
      </c>
      <c r="AJ98" s="454" t="s">
        <v>160</v>
      </c>
      <c r="AK98" s="464" t="s">
        <v>160</v>
      </c>
      <c r="AL98" s="454" t="s">
        <v>160</v>
      </c>
      <c r="AM98" s="454" t="s">
        <v>160</v>
      </c>
      <c r="AN98" s="464" t="s">
        <v>160</v>
      </c>
      <c r="AO98" s="464" t="s">
        <v>160</v>
      </c>
      <c r="AP98" s="464"/>
      <c r="AQ98" s="464"/>
      <c r="AR98" s="464"/>
      <c r="AS98" s="464"/>
      <c r="AT98" s="464"/>
      <c r="AU98" s="464"/>
      <c r="AV98" s="464"/>
      <c r="AW98" s="464"/>
      <c r="AX98" s="464"/>
      <c r="AY98" s="464"/>
      <c r="AZ98" s="464"/>
      <c r="BA98" s="464"/>
      <c r="BB98" s="464"/>
      <c r="BC98" s="464" t="s">
        <v>160</v>
      </c>
      <c r="BD98" s="464" t="s">
        <v>160</v>
      </c>
      <c r="BE98" s="455">
        <f t="shared" si="54"/>
        <v>156675</v>
      </c>
      <c r="BF98" s="925">
        <v>1.38E-2</v>
      </c>
      <c r="BG98" s="925">
        <v>1.38E-2</v>
      </c>
      <c r="BH98"/>
      <c r="BI98"/>
    </row>
    <row r="99" spans="2:61" hidden="1" outlineLevel="1" x14ac:dyDescent="0.2">
      <c r="B99" s="222" t="s">
        <v>626</v>
      </c>
      <c r="C99" s="455" t="s">
        <v>160</v>
      </c>
      <c r="D99" s="454" t="s">
        <v>160</v>
      </c>
      <c r="E99" s="454" t="s">
        <v>160</v>
      </c>
      <c r="F99" s="454" t="s">
        <v>160</v>
      </c>
      <c r="G99" s="454" t="s">
        <v>160</v>
      </c>
      <c r="H99" s="454" t="s">
        <v>160</v>
      </c>
      <c r="I99" s="454" t="s">
        <v>160</v>
      </c>
      <c r="J99" s="454" t="s">
        <v>160</v>
      </c>
      <c r="K99" s="454" t="s">
        <v>160</v>
      </c>
      <c r="L99" s="454" t="s">
        <v>160</v>
      </c>
      <c r="M99" s="454" t="s">
        <v>160</v>
      </c>
      <c r="N99" s="454" t="s">
        <v>160</v>
      </c>
      <c r="O99" s="454" t="s">
        <v>160</v>
      </c>
      <c r="P99" s="454" t="s">
        <v>160</v>
      </c>
      <c r="Q99" s="454" t="s">
        <v>160</v>
      </c>
      <c r="R99" s="454" t="s">
        <v>160</v>
      </c>
      <c r="S99" s="455" t="s">
        <v>160</v>
      </c>
      <c r="T99" s="455" t="s">
        <v>160</v>
      </c>
      <c r="U99" s="454" t="s">
        <v>160</v>
      </c>
      <c r="V99" s="455" t="s">
        <v>160</v>
      </c>
      <c r="W99" s="463" t="s">
        <v>160</v>
      </c>
      <c r="X99" s="454" t="s">
        <v>160</v>
      </c>
      <c r="Y99" s="464" t="s">
        <v>160</v>
      </c>
      <c r="Z99" s="463" t="s">
        <v>160</v>
      </c>
      <c r="AA99" s="464" t="s">
        <v>160</v>
      </c>
      <c r="AB99" s="466">
        <v>46676</v>
      </c>
      <c r="AC99" s="456">
        <v>3333</v>
      </c>
      <c r="AD99" s="464">
        <v>3333</v>
      </c>
      <c r="AE99" s="463">
        <v>3333</v>
      </c>
      <c r="AF99" s="454">
        <v>25000</v>
      </c>
      <c r="AG99" s="464">
        <v>50000</v>
      </c>
      <c r="AH99" s="454" t="s">
        <v>160</v>
      </c>
      <c r="AI99" s="464">
        <v>25000</v>
      </c>
      <c r="AJ99" s="454" t="s">
        <v>160</v>
      </c>
      <c r="AK99" s="464" t="s">
        <v>160</v>
      </c>
      <c r="AL99" s="454" t="s">
        <v>160</v>
      </c>
      <c r="AM99" s="454" t="s">
        <v>160</v>
      </c>
      <c r="AN99" s="464" t="s">
        <v>160</v>
      </c>
      <c r="AO99" s="464" t="s">
        <v>160</v>
      </c>
      <c r="AP99" s="464"/>
      <c r="AQ99" s="464"/>
      <c r="AR99" s="464"/>
      <c r="AS99" s="464"/>
      <c r="AT99" s="464"/>
      <c r="AU99" s="464"/>
      <c r="AV99" s="464"/>
      <c r="AW99" s="464"/>
      <c r="AX99" s="464"/>
      <c r="AY99" s="464"/>
      <c r="AZ99" s="464"/>
      <c r="BA99" s="464"/>
      <c r="BB99" s="464"/>
      <c r="BC99" s="464" t="s">
        <v>160</v>
      </c>
      <c r="BD99" s="464" t="s">
        <v>160</v>
      </c>
      <c r="BE99" s="455">
        <f t="shared" si="54"/>
        <v>156675</v>
      </c>
      <c r="BF99" s="925">
        <v>1.38E-2</v>
      </c>
      <c r="BG99" s="925">
        <v>1.38E-2</v>
      </c>
      <c r="BH99"/>
      <c r="BI99"/>
    </row>
    <row r="100" spans="2:61" hidden="1" outlineLevel="1" x14ac:dyDescent="0.2">
      <c r="B100" s="222" t="s">
        <v>798</v>
      </c>
      <c r="C100" s="455" t="s">
        <v>160</v>
      </c>
      <c r="D100" s="454" t="s">
        <v>160</v>
      </c>
      <c r="E100" s="454" t="s">
        <v>160</v>
      </c>
      <c r="F100" s="454" t="s">
        <v>160</v>
      </c>
      <c r="G100" s="454" t="s">
        <v>160</v>
      </c>
      <c r="H100" s="454" t="s">
        <v>160</v>
      </c>
      <c r="I100" s="454" t="s">
        <v>160</v>
      </c>
      <c r="J100" s="454" t="s">
        <v>160</v>
      </c>
      <c r="K100" s="454" t="s">
        <v>160</v>
      </c>
      <c r="L100" s="454" t="s">
        <v>160</v>
      </c>
      <c r="M100" s="454" t="s">
        <v>160</v>
      </c>
      <c r="N100" s="454" t="s">
        <v>160</v>
      </c>
      <c r="O100" s="454" t="s">
        <v>160</v>
      </c>
      <c r="P100" s="454" t="s">
        <v>160</v>
      </c>
      <c r="Q100" s="454" t="s">
        <v>160</v>
      </c>
      <c r="R100" s="454" t="s">
        <v>160</v>
      </c>
      <c r="S100" s="455" t="s">
        <v>160</v>
      </c>
      <c r="T100" s="455" t="s">
        <v>160</v>
      </c>
      <c r="U100" s="454" t="s">
        <v>160</v>
      </c>
      <c r="V100" s="455" t="s">
        <v>160</v>
      </c>
      <c r="W100" s="463" t="s">
        <v>160</v>
      </c>
      <c r="X100" s="454" t="s">
        <v>160</v>
      </c>
      <c r="Y100" s="454" t="s">
        <v>160</v>
      </c>
      <c r="Z100" s="463" t="s">
        <v>160</v>
      </c>
      <c r="AA100" s="464" t="s">
        <v>160</v>
      </c>
      <c r="AB100" s="466" t="s">
        <v>160</v>
      </c>
      <c r="AC100" s="456">
        <v>3333</v>
      </c>
      <c r="AD100" s="467">
        <v>3333</v>
      </c>
      <c r="AE100" s="463">
        <v>3333</v>
      </c>
      <c r="AF100" s="454">
        <f t="shared" ref="AF100:AI102" si="55">+AF98</f>
        <v>25000</v>
      </c>
      <c r="AG100" s="464">
        <f t="shared" si="55"/>
        <v>50000</v>
      </c>
      <c r="AH100" s="454" t="s">
        <v>160</v>
      </c>
      <c r="AI100" s="464">
        <f t="shared" si="55"/>
        <v>25000</v>
      </c>
      <c r="AJ100" s="454">
        <v>10000</v>
      </c>
      <c r="AK100" s="464" t="s">
        <v>160</v>
      </c>
      <c r="AL100" s="454">
        <v>10000</v>
      </c>
      <c r="AM100" s="454" t="s">
        <v>160</v>
      </c>
      <c r="AN100" s="464" t="s">
        <v>160</v>
      </c>
      <c r="AO100" s="464">
        <v>10000</v>
      </c>
      <c r="AP100" s="464"/>
      <c r="AQ100" s="464"/>
      <c r="AR100" s="464"/>
      <c r="AS100" s="464"/>
      <c r="AT100" s="464"/>
      <c r="AU100" s="464"/>
      <c r="AV100" s="464"/>
      <c r="AW100" s="464"/>
      <c r="AX100" s="464"/>
      <c r="AY100" s="464"/>
      <c r="AZ100" s="464"/>
      <c r="BA100" s="464"/>
      <c r="BB100" s="464"/>
      <c r="BC100" s="464" t="s">
        <v>160</v>
      </c>
      <c r="BD100" s="464" t="s">
        <v>160</v>
      </c>
      <c r="BE100" s="455">
        <f t="shared" ref="BE100:BE105" si="56">+SUM(W100:AO100)</f>
        <v>139999</v>
      </c>
      <c r="BF100" s="925">
        <v>1.47E-2</v>
      </c>
      <c r="BG100" s="925">
        <v>1.47E-2</v>
      </c>
      <c r="BH100"/>
      <c r="BI100"/>
    </row>
    <row r="101" spans="2:61" hidden="1" outlineLevel="1" x14ac:dyDescent="0.2">
      <c r="B101" s="222" t="s">
        <v>799</v>
      </c>
      <c r="C101" s="455" t="s">
        <v>160</v>
      </c>
      <c r="D101" s="454" t="s">
        <v>160</v>
      </c>
      <c r="E101" s="454" t="s">
        <v>160</v>
      </c>
      <c r="F101" s="454" t="s">
        <v>160</v>
      </c>
      <c r="G101" s="454" t="s">
        <v>160</v>
      </c>
      <c r="H101" s="454" t="s">
        <v>160</v>
      </c>
      <c r="I101" s="454" t="s">
        <v>160</v>
      </c>
      <c r="J101" s="454" t="s">
        <v>160</v>
      </c>
      <c r="K101" s="454" t="s">
        <v>160</v>
      </c>
      <c r="L101" s="454" t="s">
        <v>160</v>
      </c>
      <c r="M101" s="454" t="s">
        <v>160</v>
      </c>
      <c r="N101" s="454" t="s">
        <v>160</v>
      </c>
      <c r="O101" s="454" t="s">
        <v>160</v>
      </c>
      <c r="P101" s="454" t="s">
        <v>160</v>
      </c>
      <c r="Q101" s="454" t="s">
        <v>160</v>
      </c>
      <c r="R101" s="454" t="s">
        <v>160</v>
      </c>
      <c r="S101" s="455" t="s">
        <v>160</v>
      </c>
      <c r="T101" s="455" t="s">
        <v>160</v>
      </c>
      <c r="U101" s="454" t="s">
        <v>160</v>
      </c>
      <c r="V101" s="455" t="s">
        <v>160</v>
      </c>
      <c r="W101" s="463" t="s">
        <v>160</v>
      </c>
      <c r="X101" s="454" t="s">
        <v>160</v>
      </c>
      <c r="Y101" s="454" t="s">
        <v>160</v>
      </c>
      <c r="Z101" s="463" t="s">
        <v>160</v>
      </c>
      <c r="AA101" s="464" t="s">
        <v>160</v>
      </c>
      <c r="AB101" s="466" t="s">
        <v>160</v>
      </c>
      <c r="AC101" s="456" t="s">
        <v>160</v>
      </c>
      <c r="AD101" s="467">
        <v>3333</v>
      </c>
      <c r="AE101" s="466">
        <v>3333</v>
      </c>
      <c r="AF101" s="456">
        <f t="shared" si="55"/>
        <v>25000</v>
      </c>
      <c r="AG101" s="464">
        <f t="shared" si="55"/>
        <v>50000</v>
      </c>
      <c r="AH101" s="454" t="s">
        <v>160</v>
      </c>
      <c r="AI101" s="464">
        <f t="shared" si="55"/>
        <v>25000</v>
      </c>
      <c r="AJ101" s="454">
        <v>10000</v>
      </c>
      <c r="AK101" s="464" t="s">
        <v>160</v>
      </c>
      <c r="AL101" s="454">
        <v>10000</v>
      </c>
      <c r="AM101" s="454" t="s">
        <v>160</v>
      </c>
      <c r="AN101" s="464" t="s">
        <v>160</v>
      </c>
      <c r="AO101" s="464">
        <v>10000</v>
      </c>
      <c r="AP101" s="464"/>
      <c r="AQ101" s="464"/>
      <c r="AR101" s="464"/>
      <c r="AS101" s="464"/>
      <c r="AT101" s="464"/>
      <c r="AU101" s="464"/>
      <c r="AV101" s="464"/>
      <c r="AW101" s="464"/>
      <c r="AX101" s="464"/>
      <c r="AY101" s="464"/>
      <c r="AZ101" s="464"/>
      <c r="BA101" s="464"/>
      <c r="BB101" s="464"/>
      <c r="BC101" s="464" t="s">
        <v>160</v>
      </c>
      <c r="BD101" s="464" t="s">
        <v>160</v>
      </c>
      <c r="BE101" s="455">
        <f t="shared" si="56"/>
        <v>136666</v>
      </c>
      <c r="BF101" s="925">
        <v>1.47E-2</v>
      </c>
      <c r="BG101" s="925">
        <v>1.47E-2</v>
      </c>
      <c r="BH101"/>
      <c r="BI101"/>
    </row>
    <row r="102" spans="2:61" hidden="1" outlineLevel="1" x14ac:dyDescent="0.2">
      <c r="B102" s="222" t="s">
        <v>800</v>
      </c>
      <c r="C102" s="455" t="s">
        <v>160</v>
      </c>
      <c r="D102" s="454" t="s">
        <v>160</v>
      </c>
      <c r="E102" s="454" t="s">
        <v>160</v>
      </c>
      <c r="F102" s="454" t="s">
        <v>160</v>
      </c>
      <c r="G102" s="454" t="s">
        <v>160</v>
      </c>
      <c r="H102" s="454" t="s">
        <v>160</v>
      </c>
      <c r="I102" s="454" t="s">
        <v>160</v>
      </c>
      <c r="J102" s="454" t="s">
        <v>160</v>
      </c>
      <c r="K102" s="454" t="s">
        <v>160</v>
      </c>
      <c r="L102" s="454" t="s">
        <v>160</v>
      </c>
      <c r="M102" s="454" t="s">
        <v>160</v>
      </c>
      <c r="N102" s="454" t="s">
        <v>160</v>
      </c>
      <c r="O102" s="454" t="s">
        <v>160</v>
      </c>
      <c r="P102" s="454" t="s">
        <v>160</v>
      </c>
      <c r="Q102" s="454" t="s">
        <v>160</v>
      </c>
      <c r="R102" s="454" t="s">
        <v>160</v>
      </c>
      <c r="S102" s="455" t="s">
        <v>160</v>
      </c>
      <c r="T102" s="455" t="s">
        <v>160</v>
      </c>
      <c r="U102" s="454" t="s">
        <v>160</v>
      </c>
      <c r="V102" s="455" t="s">
        <v>160</v>
      </c>
      <c r="W102" s="463" t="s">
        <v>160</v>
      </c>
      <c r="X102" s="454" t="s">
        <v>160</v>
      </c>
      <c r="Y102" s="454" t="s">
        <v>160</v>
      </c>
      <c r="Z102" s="463" t="s">
        <v>160</v>
      </c>
      <c r="AA102" s="464" t="s">
        <v>160</v>
      </c>
      <c r="AB102" s="463" t="s">
        <v>160</v>
      </c>
      <c r="AC102" s="454" t="s">
        <v>160</v>
      </c>
      <c r="AD102" s="467">
        <v>3333</v>
      </c>
      <c r="AE102" s="466">
        <v>3333</v>
      </c>
      <c r="AF102" s="456">
        <f t="shared" si="55"/>
        <v>25000</v>
      </c>
      <c r="AG102" s="464">
        <f t="shared" si="55"/>
        <v>50000</v>
      </c>
      <c r="AH102" s="454" t="s">
        <v>160</v>
      </c>
      <c r="AI102" s="464">
        <f t="shared" si="55"/>
        <v>25000</v>
      </c>
      <c r="AJ102" s="454">
        <v>10000</v>
      </c>
      <c r="AK102" s="464" t="s">
        <v>160</v>
      </c>
      <c r="AL102" s="454">
        <v>10000</v>
      </c>
      <c r="AM102" s="454" t="s">
        <v>160</v>
      </c>
      <c r="AN102" s="464" t="s">
        <v>160</v>
      </c>
      <c r="AO102" s="464">
        <v>10000</v>
      </c>
      <c r="AP102" s="464"/>
      <c r="AQ102" s="464"/>
      <c r="AR102" s="464"/>
      <c r="AS102" s="464"/>
      <c r="AT102" s="464"/>
      <c r="AU102" s="464"/>
      <c r="AV102" s="464"/>
      <c r="AW102" s="464"/>
      <c r="AX102" s="464"/>
      <c r="AY102" s="464"/>
      <c r="AZ102" s="464"/>
      <c r="BA102" s="464"/>
      <c r="BB102" s="464"/>
      <c r="BC102" s="464" t="s">
        <v>160</v>
      </c>
      <c r="BD102" s="464" t="s">
        <v>160</v>
      </c>
      <c r="BE102" s="455">
        <f t="shared" si="56"/>
        <v>136666</v>
      </c>
      <c r="BF102" s="925">
        <v>1.44E-2</v>
      </c>
      <c r="BG102" s="925">
        <v>1.44E-2</v>
      </c>
      <c r="BH102"/>
      <c r="BI102"/>
    </row>
    <row r="103" spans="2:61" hidden="1" outlineLevel="1" x14ac:dyDescent="0.2">
      <c r="B103" s="222" t="s">
        <v>801</v>
      </c>
      <c r="C103" s="455" t="s">
        <v>160</v>
      </c>
      <c r="D103" s="454" t="s">
        <v>160</v>
      </c>
      <c r="E103" s="454" t="s">
        <v>160</v>
      </c>
      <c r="F103" s="454" t="s">
        <v>160</v>
      </c>
      <c r="G103" s="454" t="s">
        <v>160</v>
      </c>
      <c r="H103" s="454" t="s">
        <v>160</v>
      </c>
      <c r="I103" s="454" t="s">
        <v>160</v>
      </c>
      <c r="J103" s="454" t="s">
        <v>160</v>
      </c>
      <c r="K103" s="454" t="s">
        <v>160</v>
      </c>
      <c r="L103" s="454" t="s">
        <v>160</v>
      </c>
      <c r="M103" s="454" t="s">
        <v>160</v>
      </c>
      <c r="N103" s="454" t="s">
        <v>160</v>
      </c>
      <c r="O103" s="454" t="s">
        <v>160</v>
      </c>
      <c r="P103" s="454" t="s">
        <v>160</v>
      </c>
      <c r="Q103" s="454" t="s">
        <v>160</v>
      </c>
      <c r="R103" s="454" t="s">
        <v>160</v>
      </c>
      <c r="S103" s="455" t="s">
        <v>160</v>
      </c>
      <c r="T103" s="455" t="s">
        <v>160</v>
      </c>
      <c r="U103" s="454" t="s">
        <v>160</v>
      </c>
      <c r="V103" s="455" t="s">
        <v>160</v>
      </c>
      <c r="W103" s="463" t="s">
        <v>160</v>
      </c>
      <c r="X103" s="454" t="s">
        <v>160</v>
      </c>
      <c r="Y103" s="454" t="s">
        <v>160</v>
      </c>
      <c r="Z103" s="463" t="s">
        <v>160</v>
      </c>
      <c r="AA103" s="464" t="s">
        <v>160</v>
      </c>
      <c r="AB103" s="463" t="s">
        <v>160</v>
      </c>
      <c r="AC103" s="454" t="s">
        <v>160</v>
      </c>
      <c r="AD103" s="464" t="s">
        <v>160</v>
      </c>
      <c r="AE103" s="466">
        <v>3333</v>
      </c>
      <c r="AF103" s="456">
        <v>25000</v>
      </c>
      <c r="AG103" s="464">
        <v>50000</v>
      </c>
      <c r="AH103" s="454" t="s">
        <v>160</v>
      </c>
      <c r="AI103" s="464">
        <v>25000</v>
      </c>
      <c r="AJ103" s="463">
        <v>10000</v>
      </c>
      <c r="AK103" s="464" t="s">
        <v>160</v>
      </c>
      <c r="AL103" s="463">
        <v>10000</v>
      </c>
      <c r="AM103" s="454" t="s">
        <v>160</v>
      </c>
      <c r="AN103" s="464" t="s">
        <v>160</v>
      </c>
      <c r="AO103" s="808">
        <v>10000</v>
      </c>
      <c r="AP103" s="808"/>
      <c r="AQ103" s="808"/>
      <c r="AR103" s="808"/>
      <c r="AS103" s="808"/>
      <c r="AT103" s="808"/>
      <c r="AU103" s="808"/>
      <c r="AV103" s="808"/>
      <c r="AW103" s="808"/>
      <c r="AX103" s="808"/>
      <c r="AY103" s="808"/>
      <c r="AZ103" s="808"/>
      <c r="BA103" s="808"/>
      <c r="BB103" s="808"/>
      <c r="BC103" s="808" t="s">
        <v>160</v>
      </c>
      <c r="BD103" s="808" t="s">
        <v>160</v>
      </c>
      <c r="BE103" s="455">
        <f t="shared" si="56"/>
        <v>133333</v>
      </c>
      <c r="BF103" s="925">
        <v>1.41E-2</v>
      </c>
      <c r="BG103" s="925">
        <v>1.41E-2</v>
      </c>
      <c r="BH103"/>
      <c r="BI103"/>
    </row>
    <row r="104" spans="2:61" hidden="1" outlineLevel="1" x14ac:dyDescent="0.2">
      <c r="B104" s="222" t="s">
        <v>913</v>
      </c>
      <c r="C104" s="455" t="s">
        <v>160</v>
      </c>
      <c r="D104" s="454" t="s">
        <v>160</v>
      </c>
      <c r="E104" s="454" t="s">
        <v>160</v>
      </c>
      <c r="F104" s="454" t="s">
        <v>160</v>
      </c>
      <c r="G104" s="454" t="s">
        <v>160</v>
      </c>
      <c r="H104" s="454" t="s">
        <v>160</v>
      </c>
      <c r="I104" s="454" t="s">
        <v>160</v>
      </c>
      <c r="J104" s="454" t="s">
        <v>160</v>
      </c>
      <c r="K104" s="454" t="s">
        <v>160</v>
      </c>
      <c r="L104" s="454" t="s">
        <v>160</v>
      </c>
      <c r="M104" s="454" t="s">
        <v>160</v>
      </c>
      <c r="N104" s="454" t="s">
        <v>160</v>
      </c>
      <c r="O104" s="454" t="s">
        <v>160</v>
      </c>
      <c r="P104" s="454" t="s">
        <v>160</v>
      </c>
      <c r="Q104" s="454" t="s">
        <v>160</v>
      </c>
      <c r="R104" s="454" t="s">
        <v>160</v>
      </c>
      <c r="S104" s="455" t="s">
        <v>160</v>
      </c>
      <c r="T104" s="455" t="s">
        <v>160</v>
      </c>
      <c r="U104" s="454" t="s">
        <v>160</v>
      </c>
      <c r="V104" s="455" t="s">
        <v>160</v>
      </c>
      <c r="W104" s="463" t="s">
        <v>160</v>
      </c>
      <c r="X104" s="454" t="s">
        <v>160</v>
      </c>
      <c r="Y104" s="454" t="s">
        <v>160</v>
      </c>
      <c r="Z104" s="463" t="s">
        <v>160</v>
      </c>
      <c r="AA104" s="464" t="s">
        <v>160</v>
      </c>
      <c r="AB104" s="463" t="s">
        <v>160</v>
      </c>
      <c r="AC104" s="454" t="s">
        <v>160</v>
      </c>
      <c r="AD104" s="464" t="s">
        <v>160</v>
      </c>
      <c r="AE104" s="466">
        <v>3333</v>
      </c>
      <c r="AF104" s="456">
        <v>25000</v>
      </c>
      <c r="AG104" s="464">
        <v>50000</v>
      </c>
      <c r="AH104" s="454" t="s">
        <v>160</v>
      </c>
      <c r="AI104" s="464">
        <v>25000</v>
      </c>
      <c r="AJ104" s="454">
        <v>10000</v>
      </c>
      <c r="AK104" s="464" t="s">
        <v>160</v>
      </c>
      <c r="AL104" s="454">
        <v>10000</v>
      </c>
      <c r="AM104" s="454" t="s">
        <v>160</v>
      </c>
      <c r="AN104" s="464" t="s">
        <v>160</v>
      </c>
      <c r="AO104" s="464">
        <v>10000</v>
      </c>
      <c r="AP104" s="464"/>
      <c r="AQ104" s="464"/>
      <c r="AR104" s="464"/>
      <c r="AS104" s="464"/>
      <c r="AT104" s="464"/>
      <c r="AU104" s="464"/>
      <c r="AV104" s="464"/>
      <c r="AW104" s="464"/>
      <c r="AX104" s="464"/>
      <c r="AY104" s="464"/>
      <c r="AZ104" s="464"/>
      <c r="BA104" s="464"/>
      <c r="BB104" s="464"/>
      <c r="BC104" s="464" t="s">
        <v>160</v>
      </c>
      <c r="BD104" s="464" t="s">
        <v>160</v>
      </c>
      <c r="BE104" s="455">
        <f t="shared" si="56"/>
        <v>133333</v>
      </c>
      <c r="BF104" s="925">
        <f>+BF103</f>
        <v>1.41E-2</v>
      </c>
      <c r="BG104" s="925">
        <f>+BG103</f>
        <v>1.41E-2</v>
      </c>
      <c r="BH104"/>
      <c r="BI104"/>
    </row>
    <row r="105" spans="2:61" hidden="1" outlineLevel="1" x14ac:dyDescent="0.2">
      <c r="B105" s="222" t="s">
        <v>914</v>
      </c>
      <c r="C105" s="455" t="s">
        <v>160</v>
      </c>
      <c r="D105" s="454" t="s">
        <v>160</v>
      </c>
      <c r="E105" s="454" t="s">
        <v>160</v>
      </c>
      <c r="F105" s="454" t="s">
        <v>160</v>
      </c>
      <c r="G105" s="454" t="s">
        <v>160</v>
      </c>
      <c r="H105" s="454" t="s">
        <v>160</v>
      </c>
      <c r="I105" s="454" t="s">
        <v>160</v>
      </c>
      <c r="J105" s="454" t="s">
        <v>160</v>
      </c>
      <c r="K105" s="454" t="s">
        <v>160</v>
      </c>
      <c r="L105" s="454" t="s">
        <v>160</v>
      </c>
      <c r="M105" s="454" t="s">
        <v>160</v>
      </c>
      <c r="N105" s="454" t="s">
        <v>160</v>
      </c>
      <c r="O105" s="454" t="s">
        <v>160</v>
      </c>
      <c r="P105" s="454" t="s">
        <v>160</v>
      </c>
      <c r="Q105" s="454" t="s">
        <v>160</v>
      </c>
      <c r="R105" s="454" t="s">
        <v>160</v>
      </c>
      <c r="S105" s="455" t="s">
        <v>160</v>
      </c>
      <c r="T105" s="455" t="s">
        <v>160</v>
      </c>
      <c r="U105" s="454" t="s">
        <v>160</v>
      </c>
      <c r="V105" s="454" t="s">
        <v>160</v>
      </c>
      <c r="W105" s="463" t="s">
        <v>160</v>
      </c>
      <c r="X105" s="454" t="s">
        <v>160</v>
      </c>
      <c r="Y105" s="454" t="s">
        <v>160</v>
      </c>
      <c r="Z105" s="463" t="s">
        <v>160</v>
      </c>
      <c r="AA105" s="464" t="s">
        <v>160</v>
      </c>
      <c r="AB105" s="463" t="s">
        <v>160</v>
      </c>
      <c r="AC105" s="454" t="s">
        <v>160</v>
      </c>
      <c r="AD105" s="464" t="s">
        <v>160</v>
      </c>
      <c r="AE105" s="463" t="s">
        <v>160</v>
      </c>
      <c r="AF105" s="456">
        <v>25000</v>
      </c>
      <c r="AG105" s="456">
        <v>50000</v>
      </c>
      <c r="AH105" s="463">
        <v>40000</v>
      </c>
      <c r="AI105" s="464">
        <v>25000</v>
      </c>
      <c r="AJ105" s="454">
        <v>10000</v>
      </c>
      <c r="AK105" s="464">
        <v>50000</v>
      </c>
      <c r="AL105" s="454">
        <v>10000</v>
      </c>
      <c r="AM105" s="454" t="s">
        <v>160</v>
      </c>
      <c r="AN105" s="464" t="s">
        <v>160</v>
      </c>
      <c r="AO105" s="464">
        <v>10000</v>
      </c>
      <c r="AP105" s="464"/>
      <c r="AQ105" s="464"/>
      <c r="AR105" s="464"/>
      <c r="AS105" s="464"/>
      <c r="AT105" s="464"/>
      <c r="AU105" s="464"/>
      <c r="AV105" s="464"/>
      <c r="AW105" s="464"/>
      <c r="AX105" s="464"/>
      <c r="AY105" s="464"/>
      <c r="AZ105" s="464"/>
      <c r="BA105" s="464"/>
      <c r="BB105" s="464"/>
      <c r="BC105" s="464" t="s">
        <v>160</v>
      </c>
      <c r="BD105" s="464" t="s">
        <v>160</v>
      </c>
      <c r="BE105" s="455">
        <f t="shared" si="56"/>
        <v>220000</v>
      </c>
      <c r="BF105" s="925">
        <v>2.4E-2</v>
      </c>
      <c r="BG105" s="925">
        <v>2.4E-2</v>
      </c>
      <c r="BH105"/>
      <c r="BI105"/>
    </row>
    <row r="106" spans="2:61" hidden="1" outlineLevel="1" x14ac:dyDescent="0.2">
      <c r="B106" s="222" t="s">
        <v>923</v>
      </c>
      <c r="C106" s="455" t="s">
        <v>160</v>
      </c>
      <c r="D106" s="454" t="s">
        <v>160</v>
      </c>
      <c r="E106" s="454" t="s">
        <v>160</v>
      </c>
      <c r="F106" s="454" t="s">
        <v>160</v>
      </c>
      <c r="G106" s="454" t="s">
        <v>160</v>
      </c>
      <c r="H106" s="454" t="s">
        <v>160</v>
      </c>
      <c r="I106" s="454" t="s">
        <v>160</v>
      </c>
      <c r="J106" s="454" t="s">
        <v>160</v>
      </c>
      <c r="K106" s="454" t="s">
        <v>160</v>
      </c>
      <c r="L106" s="454" t="s">
        <v>160</v>
      </c>
      <c r="M106" s="454" t="s">
        <v>160</v>
      </c>
      <c r="N106" s="454" t="s">
        <v>160</v>
      </c>
      <c r="O106" s="454" t="s">
        <v>160</v>
      </c>
      <c r="P106" s="454" t="s">
        <v>160</v>
      </c>
      <c r="Q106" s="454" t="s">
        <v>160</v>
      </c>
      <c r="R106" s="454" t="s">
        <v>160</v>
      </c>
      <c r="S106" s="455" t="s">
        <v>160</v>
      </c>
      <c r="T106" s="455" t="s">
        <v>160</v>
      </c>
      <c r="U106" s="454" t="s">
        <v>160</v>
      </c>
      <c r="V106" s="454" t="s">
        <v>160</v>
      </c>
      <c r="W106" s="463" t="s">
        <v>160</v>
      </c>
      <c r="X106" s="454" t="s">
        <v>160</v>
      </c>
      <c r="Y106" s="454" t="s">
        <v>160</v>
      </c>
      <c r="Z106" s="463" t="s">
        <v>160</v>
      </c>
      <c r="AA106" s="464" t="s">
        <v>160</v>
      </c>
      <c r="AB106" s="463" t="s">
        <v>160</v>
      </c>
      <c r="AC106" s="454" t="s">
        <v>160</v>
      </c>
      <c r="AD106" s="464" t="s">
        <v>160</v>
      </c>
      <c r="AE106" s="463" t="s">
        <v>160</v>
      </c>
      <c r="AF106" s="454" t="s">
        <v>160</v>
      </c>
      <c r="AG106" s="454" t="s">
        <v>160</v>
      </c>
      <c r="AH106" s="466">
        <v>40000</v>
      </c>
      <c r="AI106" s="467">
        <v>25000</v>
      </c>
      <c r="AJ106" s="454">
        <v>10000</v>
      </c>
      <c r="AK106" s="464">
        <v>50000</v>
      </c>
      <c r="AL106" s="454">
        <v>10000</v>
      </c>
      <c r="AM106" s="454">
        <v>40000</v>
      </c>
      <c r="AN106" s="464">
        <v>5000</v>
      </c>
      <c r="AO106" s="464">
        <v>10000</v>
      </c>
      <c r="AP106" s="464"/>
      <c r="AQ106" s="464"/>
      <c r="AR106" s="464"/>
      <c r="AS106" s="464"/>
      <c r="AT106" s="464"/>
      <c r="AU106" s="464"/>
      <c r="AV106" s="464"/>
      <c r="AW106" s="464"/>
      <c r="AX106" s="464"/>
      <c r="AY106" s="464"/>
      <c r="AZ106" s="464"/>
      <c r="BA106" s="464"/>
      <c r="BB106" s="464"/>
      <c r="BC106" s="464" t="s">
        <v>160</v>
      </c>
      <c r="BD106" s="464" t="s">
        <v>160</v>
      </c>
      <c r="BE106" s="455">
        <v>190000</v>
      </c>
      <c r="BF106" s="925">
        <v>2.92E-2</v>
      </c>
      <c r="BG106" s="925">
        <v>2.92E-2</v>
      </c>
      <c r="BH106"/>
      <c r="BI106"/>
    </row>
    <row r="107" spans="2:61" hidden="1" outlineLevel="1" x14ac:dyDescent="0.2">
      <c r="B107" s="222" t="s">
        <v>924</v>
      </c>
      <c r="C107" s="455" t="s">
        <v>160</v>
      </c>
      <c r="D107" s="454" t="s">
        <v>160</v>
      </c>
      <c r="E107" s="454" t="s">
        <v>160</v>
      </c>
      <c r="F107" s="454" t="s">
        <v>160</v>
      </c>
      <c r="G107" s="454" t="s">
        <v>160</v>
      </c>
      <c r="H107" s="454" t="s">
        <v>160</v>
      </c>
      <c r="I107" s="454" t="s">
        <v>160</v>
      </c>
      <c r="J107" s="454" t="s">
        <v>160</v>
      </c>
      <c r="K107" s="454" t="s">
        <v>160</v>
      </c>
      <c r="L107" s="454" t="s">
        <v>160</v>
      </c>
      <c r="M107" s="454" t="s">
        <v>160</v>
      </c>
      <c r="N107" s="454" t="s">
        <v>160</v>
      </c>
      <c r="O107" s="454" t="s">
        <v>160</v>
      </c>
      <c r="P107" s="454" t="s">
        <v>160</v>
      </c>
      <c r="Q107" s="454" t="s">
        <v>160</v>
      </c>
      <c r="R107" s="454" t="s">
        <v>160</v>
      </c>
      <c r="S107" s="455" t="s">
        <v>160</v>
      </c>
      <c r="T107" s="455" t="s">
        <v>160</v>
      </c>
      <c r="U107" s="454" t="s">
        <v>160</v>
      </c>
      <c r="V107" s="454" t="s">
        <v>160</v>
      </c>
      <c r="W107" s="463" t="s">
        <v>160</v>
      </c>
      <c r="X107" s="454" t="s">
        <v>160</v>
      </c>
      <c r="Y107" s="454" t="s">
        <v>160</v>
      </c>
      <c r="Z107" s="463" t="s">
        <v>160</v>
      </c>
      <c r="AA107" s="464" t="s">
        <v>160</v>
      </c>
      <c r="AB107" s="463" t="s">
        <v>160</v>
      </c>
      <c r="AC107" s="454" t="s">
        <v>160</v>
      </c>
      <c r="AD107" s="464" t="s">
        <v>160</v>
      </c>
      <c r="AE107" s="463" t="s">
        <v>160</v>
      </c>
      <c r="AF107" s="454" t="s">
        <v>160</v>
      </c>
      <c r="AG107" s="454" t="s">
        <v>160</v>
      </c>
      <c r="AH107" s="466">
        <v>40000</v>
      </c>
      <c r="AI107" s="467">
        <v>25000</v>
      </c>
      <c r="AJ107" s="454">
        <v>10000</v>
      </c>
      <c r="AK107" s="464">
        <v>50000</v>
      </c>
      <c r="AL107" s="454">
        <v>10000</v>
      </c>
      <c r="AM107" s="454">
        <v>40000</v>
      </c>
      <c r="AN107" s="464">
        <v>5000</v>
      </c>
      <c r="AO107" s="464">
        <v>10000</v>
      </c>
      <c r="AP107" s="464"/>
      <c r="AQ107" s="464"/>
      <c r="AR107" s="464"/>
      <c r="AS107" s="464"/>
      <c r="AT107" s="464"/>
      <c r="AU107" s="464"/>
      <c r="AV107" s="464"/>
      <c r="AW107" s="464"/>
      <c r="AX107" s="464"/>
      <c r="AY107" s="464"/>
      <c r="AZ107" s="464"/>
      <c r="BA107" s="464"/>
      <c r="BB107" s="464"/>
      <c r="BC107" s="464" t="s">
        <v>160</v>
      </c>
      <c r="BD107" s="464" t="s">
        <v>160</v>
      </c>
      <c r="BE107" s="455">
        <f t="shared" ref="BE107:BE114" si="57">+SUM(W107:AO107)</f>
        <v>190000</v>
      </c>
      <c r="BF107" s="925">
        <v>2.92E-2</v>
      </c>
      <c r="BG107" s="925">
        <v>2.92E-2</v>
      </c>
      <c r="BH107"/>
      <c r="BI107"/>
    </row>
    <row r="108" spans="2:61" collapsed="1" x14ac:dyDescent="0.2">
      <c r="B108" s="222" t="s">
        <v>1049</v>
      </c>
      <c r="C108" s="455" t="s">
        <v>160</v>
      </c>
      <c r="D108" s="454" t="s">
        <v>160</v>
      </c>
      <c r="E108" s="454" t="s">
        <v>160</v>
      </c>
      <c r="F108" s="454" t="s">
        <v>160</v>
      </c>
      <c r="G108" s="454" t="s">
        <v>160</v>
      </c>
      <c r="H108" s="454" t="s">
        <v>160</v>
      </c>
      <c r="I108" s="454" t="s">
        <v>160</v>
      </c>
      <c r="J108" s="454" t="s">
        <v>160</v>
      </c>
      <c r="K108" s="454" t="s">
        <v>160</v>
      </c>
      <c r="L108" s="454" t="s">
        <v>160</v>
      </c>
      <c r="M108" s="454" t="s">
        <v>160</v>
      </c>
      <c r="N108" s="454" t="s">
        <v>160</v>
      </c>
      <c r="O108" s="454" t="s">
        <v>160</v>
      </c>
      <c r="P108" s="454" t="s">
        <v>160</v>
      </c>
      <c r="Q108" s="454" t="s">
        <v>160</v>
      </c>
      <c r="R108" s="454" t="s">
        <v>160</v>
      </c>
      <c r="S108" s="455" t="s">
        <v>160</v>
      </c>
      <c r="T108" s="455" t="s">
        <v>160</v>
      </c>
      <c r="U108" s="454" t="s">
        <v>160</v>
      </c>
      <c r="V108" s="454" t="s">
        <v>160</v>
      </c>
      <c r="W108" s="463" t="s">
        <v>160</v>
      </c>
      <c r="X108" s="454" t="s">
        <v>160</v>
      </c>
      <c r="Y108" s="454" t="s">
        <v>160</v>
      </c>
      <c r="Z108" s="463" t="s">
        <v>160</v>
      </c>
      <c r="AA108" s="464" t="s">
        <v>160</v>
      </c>
      <c r="AB108" s="463" t="s">
        <v>160</v>
      </c>
      <c r="AC108" s="454" t="s">
        <v>160</v>
      </c>
      <c r="AD108" s="464" t="s">
        <v>160</v>
      </c>
      <c r="AE108" s="463" t="s">
        <v>160</v>
      </c>
      <c r="AF108" s="454" t="s">
        <v>160</v>
      </c>
      <c r="AG108" s="454" t="s">
        <v>160</v>
      </c>
      <c r="AH108" s="466">
        <v>40000</v>
      </c>
      <c r="AI108" s="467">
        <v>25000</v>
      </c>
      <c r="AJ108" s="454">
        <v>10000</v>
      </c>
      <c r="AK108" s="464">
        <v>50000</v>
      </c>
      <c r="AL108" s="454">
        <v>10000</v>
      </c>
      <c r="AM108" s="454">
        <v>40000</v>
      </c>
      <c r="AN108" s="464">
        <v>5000</v>
      </c>
      <c r="AO108" s="464">
        <v>10000</v>
      </c>
      <c r="AP108" s="464" t="s">
        <v>160</v>
      </c>
      <c r="AQ108" s="464" t="s">
        <v>160</v>
      </c>
      <c r="AR108" s="464" t="s">
        <v>160</v>
      </c>
      <c r="AS108" s="464" t="s">
        <v>160</v>
      </c>
      <c r="AT108" s="464" t="s">
        <v>160</v>
      </c>
      <c r="AU108" s="464" t="s">
        <v>160</v>
      </c>
      <c r="AV108" s="464" t="s">
        <v>160</v>
      </c>
      <c r="AW108" s="464" t="s">
        <v>160</v>
      </c>
      <c r="AX108" s="464" t="s">
        <v>160</v>
      </c>
      <c r="AY108" s="464" t="s">
        <v>160</v>
      </c>
      <c r="AZ108" s="464" t="s">
        <v>160</v>
      </c>
      <c r="BA108" s="464" t="s">
        <v>160</v>
      </c>
      <c r="BB108" s="464" t="s">
        <v>160</v>
      </c>
      <c r="BC108" s="464" t="s">
        <v>160</v>
      </c>
      <c r="BD108" s="464" t="s">
        <v>160</v>
      </c>
      <c r="BE108" s="640">
        <f t="shared" si="57"/>
        <v>190000</v>
      </c>
      <c r="BF108" s="925">
        <v>2.92E-2</v>
      </c>
      <c r="BG108" s="925">
        <v>2.92E-2</v>
      </c>
      <c r="BH108"/>
      <c r="BI108"/>
    </row>
    <row r="109" spans="2:61" x14ac:dyDescent="0.2">
      <c r="B109" s="222" t="s">
        <v>1023</v>
      </c>
      <c r="C109" s="455" t="s">
        <v>160</v>
      </c>
      <c r="D109" s="454" t="s">
        <v>160</v>
      </c>
      <c r="E109" s="454" t="s">
        <v>160</v>
      </c>
      <c r="F109" s="454" t="s">
        <v>160</v>
      </c>
      <c r="G109" s="454" t="s">
        <v>160</v>
      </c>
      <c r="H109" s="454" t="s">
        <v>160</v>
      </c>
      <c r="I109" s="454" t="s">
        <v>160</v>
      </c>
      <c r="J109" s="454" t="s">
        <v>160</v>
      </c>
      <c r="K109" s="454" t="s">
        <v>160</v>
      </c>
      <c r="L109" s="454" t="s">
        <v>160</v>
      </c>
      <c r="M109" s="454" t="s">
        <v>160</v>
      </c>
      <c r="N109" s="454" t="s">
        <v>160</v>
      </c>
      <c r="O109" s="454" t="s">
        <v>160</v>
      </c>
      <c r="P109" s="454" t="s">
        <v>160</v>
      </c>
      <c r="Q109" s="454" t="s">
        <v>160</v>
      </c>
      <c r="R109" s="454" t="s">
        <v>160</v>
      </c>
      <c r="S109" s="455" t="s">
        <v>160</v>
      </c>
      <c r="T109" s="455" t="s">
        <v>160</v>
      </c>
      <c r="U109" s="454" t="s">
        <v>160</v>
      </c>
      <c r="V109" s="454" t="s">
        <v>160</v>
      </c>
      <c r="W109" s="463" t="s">
        <v>160</v>
      </c>
      <c r="X109" s="454" t="s">
        <v>160</v>
      </c>
      <c r="Y109" s="454" t="s">
        <v>160</v>
      </c>
      <c r="Z109" s="463" t="s">
        <v>160</v>
      </c>
      <c r="AA109" s="464" t="s">
        <v>160</v>
      </c>
      <c r="AB109" s="463" t="s">
        <v>160</v>
      </c>
      <c r="AC109" s="454" t="s">
        <v>160</v>
      </c>
      <c r="AD109" s="464" t="s">
        <v>160</v>
      </c>
      <c r="AE109" s="463" t="s">
        <v>160</v>
      </c>
      <c r="AF109" s="454" t="s">
        <v>160</v>
      </c>
      <c r="AG109" s="454" t="s">
        <v>160</v>
      </c>
      <c r="AH109" s="466" t="s">
        <v>160</v>
      </c>
      <c r="AI109" s="467">
        <v>25000</v>
      </c>
      <c r="AJ109" s="456">
        <f t="shared" ref="AJ109:AO109" si="58">+AJ108</f>
        <v>10000</v>
      </c>
      <c r="AK109" s="467">
        <f t="shared" si="58"/>
        <v>50000</v>
      </c>
      <c r="AL109" s="454">
        <f t="shared" si="58"/>
        <v>10000</v>
      </c>
      <c r="AM109" s="454">
        <f t="shared" si="58"/>
        <v>40000</v>
      </c>
      <c r="AN109" s="464">
        <f t="shared" si="58"/>
        <v>5000</v>
      </c>
      <c r="AO109" s="464">
        <f t="shared" si="58"/>
        <v>10000</v>
      </c>
      <c r="AP109" s="464" t="s">
        <v>160</v>
      </c>
      <c r="AQ109" s="464" t="s">
        <v>160</v>
      </c>
      <c r="AR109" s="464" t="s">
        <v>160</v>
      </c>
      <c r="AS109" s="464" t="s">
        <v>160</v>
      </c>
      <c r="AT109" s="464" t="s">
        <v>160</v>
      </c>
      <c r="AU109" s="464" t="s">
        <v>160</v>
      </c>
      <c r="AV109" s="464" t="s">
        <v>160</v>
      </c>
      <c r="AW109" s="464" t="s">
        <v>160</v>
      </c>
      <c r="AX109" s="464" t="s">
        <v>160</v>
      </c>
      <c r="AY109" s="464" t="s">
        <v>160</v>
      </c>
      <c r="AZ109" s="464" t="s">
        <v>160</v>
      </c>
      <c r="BA109" s="464" t="s">
        <v>160</v>
      </c>
      <c r="BB109" s="464" t="s">
        <v>160</v>
      </c>
      <c r="BC109" s="464" t="s">
        <v>160</v>
      </c>
      <c r="BD109" s="464" t="s">
        <v>160</v>
      </c>
      <c r="BE109" s="640">
        <f t="shared" si="57"/>
        <v>150000</v>
      </c>
      <c r="BF109" s="925">
        <v>2.63E-2</v>
      </c>
      <c r="BG109" s="925">
        <v>2.63E-2</v>
      </c>
      <c r="BH109"/>
      <c r="BI109"/>
    </row>
    <row r="110" spans="2:61" x14ac:dyDescent="0.2">
      <c r="B110" s="222" t="s">
        <v>1024</v>
      </c>
      <c r="C110" s="455" t="s">
        <v>160</v>
      </c>
      <c r="D110" s="454" t="s">
        <v>160</v>
      </c>
      <c r="E110" s="454" t="s">
        <v>160</v>
      </c>
      <c r="F110" s="454" t="s">
        <v>160</v>
      </c>
      <c r="G110" s="454" t="s">
        <v>160</v>
      </c>
      <c r="H110" s="454" t="s">
        <v>160</v>
      </c>
      <c r="I110" s="454" t="s">
        <v>160</v>
      </c>
      <c r="J110" s="454" t="s">
        <v>160</v>
      </c>
      <c r="K110" s="454" t="s">
        <v>160</v>
      </c>
      <c r="L110" s="454" t="s">
        <v>160</v>
      </c>
      <c r="M110" s="454" t="s">
        <v>160</v>
      </c>
      <c r="N110" s="454" t="s">
        <v>160</v>
      </c>
      <c r="O110" s="454" t="s">
        <v>160</v>
      </c>
      <c r="P110" s="454" t="s">
        <v>160</v>
      </c>
      <c r="Q110" s="454" t="s">
        <v>160</v>
      </c>
      <c r="R110" s="454" t="s">
        <v>160</v>
      </c>
      <c r="S110" s="455" t="s">
        <v>160</v>
      </c>
      <c r="T110" s="455" t="s">
        <v>160</v>
      </c>
      <c r="U110" s="454" t="s">
        <v>160</v>
      </c>
      <c r="V110" s="454" t="s">
        <v>160</v>
      </c>
      <c r="W110" s="463" t="s">
        <v>160</v>
      </c>
      <c r="X110" s="454" t="s">
        <v>160</v>
      </c>
      <c r="Y110" s="454" t="s">
        <v>160</v>
      </c>
      <c r="Z110" s="463" t="s">
        <v>160</v>
      </c>
      <c r="AA110" s="464" t="s">
        <v>160</v>
      </c>
      <c r="AB110" s="463" t="s">
        <v>160</v>
      </c>
      <c r="AC110" s="454" t="s">
        <v>160</v>
      </c>
      <c r="AD110" s="464" t="s">
        <v>160</v>
      </c>
      <c r="AE110" s="463" t="s">
        <v>160</v>
      </c>
      <c r="AF110" s="454" t="s">
        <v>160</v>
      </c>
      <c r="AG110" s="454" t="s">
        <v>160</v>
      </c>
      <c r="AH110" s="466" t="s">
        <v>160</v>
      </c>
      <c r="AI110" s="467" t="s">
        <v>160</v>
      </c>
      <c r="AJ110" s="456">
        <f t="shared" ref="AJ110:AO111" si="59">+AJ108</f>
        <v>10000</v>
      </c>
      <c r="AK110" s="467">
        <f t="shared" si="59"/>
        <v>50000</v>
      </c>
      <c r="AL110" s="454">
        <f t="shared" si="59"/>
        <v>10000</v>
      </c>
      <c r="AM110" s="454">
        <f t="shared" si="59"/>
        <v>40000</v>
      </c>
      <c r="AN110" s="464">
        <f t="shared" si="59"/>
        <v>5000</v>
      </c>
      <c r="AO110" s="464">
        <f t="shared" si="59"/>
        <v>10000</v>
      </c>
      <c r="AP110" s="464" t="s">
        <v>160</v>
      </c>
      <c r="AQ110" s="464" t="s">
        <v>160</v>
      </c>
      <c r="AR110" s="464" t="s">
        <v>160</v>
      </c>
      <c r="AS110" s="464" t="s">
        <v>160</v>
      </c>
      <c r="AT110" s="464" t="s">
        <v>160</v>
      </c>
      <c r="AU110" s="464" t="s">
        <v>160</v>
      </c>
      <c r="AV110" s="464" t="s">
        <v>160</v>
      </c>
      <c r="AW110" s="464" t="s">
        <v>160</v>
      </c>
      <c r="AX110" s="464" t="s">
        <v>160</v>
      </c>
      <c r="AY110" s="464" t="s">
        <v>160</v>
      </c>
      <c r="AZ110" s="464" t="s">
        <v>160</v>
      </c>
      <c r="BA110" s="464" t="s">
        <v>160</v>
      </c>
      <c r="BB110" s="464" t="s">
        <v>160</v>
      </c>
      <c r="BC110" s="464" t="s">
        <v>160</v>
      </c>
      <c r="BD110" s="464" t="s">
        <v>160</v>
      </c>
      <c r="BE110" s="640">
        <f t="shared" si="57"/>
        <v>125000</v>
      </c>
      <c r="BF110" s="925">
        <v>2.76E-2</v>
      </c>
      <c r="BG110" s="925">
        <v>2.76E-2</v>
      </c>
      <c r="BH110"/>
      <c r="BI110"/>
    </row>
    <row r="111" spans="2:61" x14ac:dyDescent="0.2">
      <c r="B111" s="222" t="s">
        <v>1050</v>
      </c>
      <c r="C111" s="455" t="s">
        <v>160</v>
      </c>
      <c r="D111" s="454" t="s">
        <v>160</v>
      </c>
      <c r="E111" s="454" t="s">
        <v>160</v>
      </c>
      <c r="F111" s="454" t="s">
        <v>160</v>
      </c>
      <c r="G111" s="454" t="s">
        <v>160</v>
      </c>
      <c r="H111" s="454" t="s">
        <v>160</v>
      </c>
      <c r="I111" s="454" t="s">
        <v>160</v>
      </c>
      <c r="J111" s="454" t="s">
        <v>160</v>
      </c>
      <c r="K111" s="454" t="s">
        <v>160</v>
      </c>
      <c r="L111" s="454" t="s">
        <v>160</v>
      </c>
      <c r="M111" s="454" t="s">
        <v>160</v>
      </c>
      <c r="N111" s="454" t="s">
        <v>160</v>
      </c>
      <c r="O111" s="454" t="s">
        <v>160</v>
      </c>
      <c r="P111" s="454" t="s">
        <v>160</v>
      </c>
      <c r="Q111" s="454" t="s">
        <v>160</v>
      </c>
      <c r="R111" s="454" t="s">
        <v>160</v>
      </c>
      <c r="S111" s="455" t="s">
        <v>160</v>
      </c>
      <c r="T111" s="455" t="s">
        <v>160</v>
      </c>
      <c r="U111" s="454" t="s">
        <v>160</v>
      </c>
      <c r="V111" s="454" t="s">
        <v>160</v>
      </c>
      <c r="W111" s="463" t="s">
        <v>160</v>
      </c>
      <c r="X111" s="454" t="s">
        <v>160</v>
      </c>
      <c r="Y111" s="454" t="s">
        <v>160</v>
      </c>
      <c r="Z111" s="463" t="s">
        <v>160</v>
      </c>
      <c r="AA111" s="464" t="s">
        <v>160</v>
      </c>
      <c r="AB111" s="463" t="s">
        <v>160</v>
      </c>
      <c r="AC111" s="454" t="s">
        <v>160</v>
      </c>
      <c r="AD111" s="464" t="s">
        <v>160</v>
      </c>
      <c r="AE111" s="463" t="s">
        <v>160</v>
      </c>
      <c r="AF111" s="454" t="s">
        <v>160</v>
      </c>
      <c r="AG111" s="454" t="s">
        <v>160</v>
      </c>
      <c r="AH111" s="466" t="s">
        <v>160</v>
      </c>
      <c r="AI111" s="467" t="s">
        <v>160</v>
      </c>
      <c r="AJ111" s="456">
        <f t="shared" si="59"/>
        <v>10000</v>
      </c>
      <c r="AK111" s="467">
        <f t="shared" si="59"/>
        <v>50000</v>
      </c>
      <c r="AL111" s="454">
        <f t="shared" si="59"/>
        <v>10000</v>
      </c>
      <c r="AM111" s="454">
        <f t="shared" si="59"/>
        <v>40000</v>
      </c>
      <c r="AN111" s="464">
        <f t="shared" si="59"/>
        <v>5000</v>
      </c>
      <c r="AO111" s="464">
        <f t="shared" si="59"/>
        <v>10000</v>
      </c>
      <c r="AP111" s="464" t="s">
        <v>160</v>
      </c>
      <c r="AQ111" s="464" t="s">
        <v>160</v>
      </c>
      <c r="AR111" s="464" t="s">
        <v>160</v>
      </c>
      <c r="AS111" s="464" t="s">
        <v>160</v>
      </c>
      <c r="AT111" s="464" t="s">
        <v>160</v>
      </c>
      <c r="AU111" s="464" t="s">
        <v>160</v>
      </c>
      <c r="AV111" s="464" t="s">
        <v>160</v>
      </c>
      <c r="AW111" s="464" t="s">
        <v>160</v>
      </c>
      <c r="AX111" s="464" t="s">
        <v>160</v>
      </c>
      <c r="AY111" s="464" t="s">
        <v>160</v>
      </c>
      <c r="AZ111" s="464" t="s">
        <v>160</v>
      </c>
      <c r="BA111" s="464" t="s">
        <v>160</v>
      </c>
      <c r="BB111" s="464" t="s">
        <v>160</v>
      </c>
      <c r="BC111" s="464" t="s">
        <v>160</v>
      </c>
      <c r="BD111" s="464" t="s">
        <v>160</v>
      </c>
      <c r="BE111" s="640">
        <f t="shared" si="57"/>
        <v>125000</v>
      </c>
      <c r="BF111" s="925">
        <v>2.76E-2</v>
      </c>
      <c r="BG111" s="925">
        <v>2.76E-2</v>
      </c>
      <c r="BH111"/>
      <c r="BI111"/>
    </row>
    <row r="112" spans="2:61" x14ac:dyDescent="0.2">
      <c r="B112" s="222" t="s">
        <v>1114</v>
      </c>
      <c r="C112" s="455" t="s">
        <v>160</v>
      </c>
      <c r="D112" s="456" t="s">
        <v>160</v>
      </c>
      <c r="E112" s="456" t="s">
        <v>160</v>
      </c>
      <c r="F112" s="456" t="s">
        <v>160</v>
      </c>
      <c r="G112" s="456" t="s">
        <v>160</v>
      </c>
      <c r="H112" s="456" t="s">
        <v>160</v>
      </c>
      <c r="I112" s="456" t="s">
        <v>160</v>
      </c>
      <c r="J112" s="456" t="s">
        <v>160</v>
      </c>
      <c r="K112" s="456" t="s">
        <v>160</v>
      </c>
      <c r="L112" s="456" t="s">
        <v>160</v>
      </c>
      <c r="M112" s="456" t="s">
        <v>160</v>
      </c>
      <c r="N112" s="456" t="s">
        <v>160</v>
      </c>
      <c r="O112" s="456" t="s">
        <v>160</v>
      </c>
      <c r="P112" s="456" t="s">
        <v>160</v>
      </c>
      <c r="Q112" s="456" t="s">
        <v>160</v>
      </c>
      <c r="R112" s="456" t="s">
        <v>160</v>
      </c>
      <c r="S112" s="456" t="s">
        <v>160</v>
      </c>
      <c r="T112" s="456" t="s">
        <v>160</v>
      </c>
      <c r="U112" s="456" t="s">
        <v>160</v>
      </c>
      <c r="V112" s="456" t="s">
        <v>160</v>
      </c>
      <c r="W112" s="466" t="s">
        <v>160</v>
      </c>
      <c r="X112" s="456" t="s">
        <v>160</v>
      </c>
      <c r="Y112" s="456" t="s">
        <v>160</v>
      </c>
      <c r="Z112" s="466" t="s">
        <v>160</v>
      </c>
      <c r="AA112" s="467" t="s">
        <v>160</v>
      </c>
      <c r="AB112" s="466" t="s">
        <v>160</v>
      </c>
      <c r="AC112" s="456" t="s">
        <v>160</v>
      </c>
      <c r="AD112" s="467" t="s">
        <v>160</v>
      </c>
      <c r="AE112" s="466" t="s">
        <v>160</v>
      </c>
      <c r="AF112" s="456" t="s">
        <v>160</v>
      </c>
      <c r="AG112" s="456" t="s">
        <v>160</v>
      </c>
      <c r="AH112" s="466" t="s">
        <v>160</v>
      </c>
      <c r="AI112" s="467" t="s">
        <v>160</v>
      </c>
      <c r="AJ112" s="456" t="s">
        <v>160</v>
      </c>
      <c r="AK112" s="467">
        <f>+AK111</f>
        <v>50000</v>
      </c>
      <c r="AL112" s="456">
        <f>AL111</f>
        <v>10000</v>
      </c>
      <c r="AM112" s="454">
        <f>AM111</f>
        <v>40000</v>
      </c>
      <c r="AN112" s="464">
        <f>AN111</f>
        <v>5000</v>
      </c>
      <c r="AO112" s="464">
        <f>AO111</f>
        <v>10000</v>
      </c>
      <c r="AP112" s="464" t="s">
        <v>160</v>
      </c>
      <c r="AQ112" s="464" t="s">
        <v>160</v>
      </c>
      <c r="AR112" s="464" t="s">
        <v>160</v>
      </c>
      <c r="AS112" s="464" t="s">
        <v>160</v>
      </c>
      <c r="AT112" s="464" t="s">
        <v>160</v>
      </c>
      <c r="AU112" s="464" t="s">
        <v>160</v>
      </c>
      <c r="AV112" s="464" t="s">
        <v>160</v>
      </c>
      <c r="AW112" s="464" t="s">
        <v>160</v>
      </c>
      <c r="AX112" s="464" t="s">
        <v>160</v>
      </c>
      <c r="AY112" s="464" t="s">
        <v>160</v>
      </c>
      <c r="AZ112" s="464" t="s">
        <v>160</v>
      </c>
      <c r="BA112" s="464" t="s">
        <v>160</v>
      </c>
      <c r="BB112" s="464" t="s">
        <v>160</v>
      </c>
      <c r="BC112" s="464" t="s">
        <v>160</v>
      </c>
      <c r="BD112" s="464" t="s">
        <v>160</v>
      </c>
      <c r="BE112" s="640">
        <f t="shared" si="57"/>
        <v>115000</v>
      </c>
      <c r="BF112" s="925">
        <v>2.9000000000000001E-2</v>
      </c>
      <c r="BG112" s="925">
        <v>2.9000000000000001E-2</v>
      </c>
      <c r="BH112"/>
      <c r="BI112"/>
    </row>
    <row r="113" spans="2:61" x14ac:dyDescent="0.2">
      <c r="B113" s="222" t="s">
        <v>1119</v>
      </c>
      <c r="C113" s="455" t="s">
        <v>160</v>
      </c>
      <c r="D113" s="456" t="s">
        <v>160</v>
      </c>
      <c r="E113" s="456" t="s">
        <v>160</v>
      </c>
      <c r="F113" s="456" t="s">
        <v>160</v>
      </c>
      <c r="G113" s="456" t="s">
        <v>160</v>
      </c>
      <c r="H113" s="456" t="s">
        <v>160</v>
      </c>
      <c r="I113" s="456" t="s">
        <v>160</v>
      </c>
      <c r="J113" s="456" t="s">
        <v>160</v>
      </c>
      <c r="K113" s="456" t="s">
        <v>160</v>
      </c>
      <c r="L113" s="456" t="s">
        <v>160</v>
      </c>
      <c r="M113" s="456" t="s">
        <v>160</v>
      </c>
      <c r="N113" s="456" t="s">
        <v>160</v>
      </c>
      <c r="O113" s="456" t="s">
        <v>160</v>
      </c>
      <c r="P113" s="456" t="s">
        <v>160</v>
      </c>
      <c r="Q113" s="456" t="s">
        <v>160</v>
      </c>
      <c r="R113" s="456" t="s">
        <v>160</v>
      </c>
      <c r="S113" s="456" t="s">
        <v>160</v>
      </c>
      <c r="T113" s="456" t="s">
        <v>160</v>
      </c>
      <c r="U113" s="456" t="s">
        <v>160</v>
      </c>
      <c r="V113" s="456" t="s">
        <v>160</v>
      </c>
      <c r="W113" s="466" t="s">
        <v>160</v>
      </c>
      <c r="X113" s="456" t="s">
        <v>160</v>
      </c>
      <c r="Y113" s="467" t="s">
        <v>160</v>
      </c>
      <c r="Z113" s="456" t="s">
        <v>160</v>
      </c>
      <c r="AA113" s="456" t="s">
        <v>160</v>
      </c>
      <c r="AB113" s="466" t="s">
        <v>160</v>
      </c>
      <c r="AC113" s="456" t="s">
        <v>160</v>
      </c>
      <c r="AD113" s="467" t="s">
        <v>160</v>
      </c>
      <c r="AE113" s="456" t="s">
        <v>160</v>
      </c>
      <c r="AF113" s="456" t="s">
        <v>160</v>
      </c>
      <c r="AG113" s="456" t="s">
        <v>160</v>
      </c>
      <c r="AH113" s="466" t="s">
        <v>160</v>
      </c>
      <c r="AI113" s="467" t="s">
        <v>160</v>
      </c>
      <c r="AJ113" s="456" t="s">
        <v>160</v>
      </c>
      <c r="AK113" s="467" t="s">
        <v>160</v>
      </c>
      <c r="AL113" s="466">
        <f t="shared" ref="AL113:AO114" si="60">AL112</f>
        <v>10000</v>
      </c>
      <c r="AM113" s="454">
        <f t="shared" si="60"/>
        <v>40000</v>
      </c>
      <c r="AN113" s="464">
        <f t="shared" si="60"/>
        <v>5000</v>
      </c>
      <c r="AO113" s="464">
        <f t="shared" si="60"/>
        <v>10000</v>
      </c>
      <c r="AP113" s="464" t="s">
        <v>160</v>
      </c>
      <c r="AQ113" s="464" t="s">
        <v>160</v>
      </c>
      <c r="AR113" s="464" t="s">
        <v>160</v>
      </c>
      <c r="AS113" s="464" t="s">
        <v>160</v>
      </c>
      <c r="AT113" s="464" t="s">
        <v>160</v>
      </c>
      <c r="AU113" s="464" t="s">
        <v>160</v>
      </c>
      <c r="AV113" s="464" t="s">
        <v>160</v>
      </c>
      <c r="AW113" s="464" t="s">
        <v>160</v>
      </c>
      <c r="AX113" s="464" t="s">
        <v>160</v>
      </c>
      <c r="AY113" s="464" t="s">
        <v>160</v>
      </c>
      <c r="AZ113" s="464" t="s">
        <v>160</v>
      </c>
      <c r="BA113" s="464" t="s">
        <v>160</v>
      </c>
      <c r="BB113" s="464" t="s">
        <v>160</v>
      </c>
      <c r="BC113" s="464" t="s">
        <v>160</v>
      </c>
      <c r="BD113" s="464" t="s">
        <v>160</v>
      </c>
      <c r="BE113" s="640">
        <f t="shared" si="57"/>
        <v>65000</v>
      </c>
      <c r="BF113" s="925">
        <v>2.2100000000000002E-2</v>
      </c>
      <c r="BG113" s="925">
        <v>2.2100000000000002E-2</v>
      </c>
      <c r="BH113"/>
      <c r="BI113"/>
    </row>
    <row r="114" spans="2:61" x14ac:dyDescent="0.2">
      <c r="B114" s="222" t="s">
        <v>1121</v>
      </c>
      <c r="C114" s="455" t="s">
        <v>160</v>
      </c>
      <c r="D114" s="456" t="s">
        <v>160</v>
      </c>
      <c r="E114" s="456" t="s">
        <v>160</v>
      </c>
      <c r="F114" s="456" t="s">
        <v>160</v>
      </c>
      <c r="G114" s="456" t="s">
        <v>160</v>
      </c>
      <c r="H114" s="456" t="s">
        <v>160</v>
      </c>
      <c r="I114" s="456" t="s">
        <v>160</v>
      </c>
      <c r="J114" s="456" t="s">
        <v>160</v>
      </c>
      <c r="K114" s="456" t="s">
        <v>160</v>
      </c>
      <c r="L114" s="456" t="s">
        <v>160</v>
      </c>
      <c r="M114" s="456" t="s">
        <v>160</v>
      </c>
      <c r="N114" s="456" t="s">
        <v>160</v>
      </c>
      <c r="O114" s="456" t="s">
        <v>160</v>
      </c>
      <c r="P114" s="456" t="s">
        <v>160</v>
      </c>
      <c r="Q114" s="456" t="s">
        <v>160</v>
      </c>
      <c r="R114" s="456" t="s">
        <v>160</v>
      </c>
      <c r="S114" s="456" t="s">
        <v>160</v>
      </c>
      <c r="T114" s="456" t="s">
        <v>160</v>
      </c>
      <c r="U114" s="456" t="s">
        <v>160</v>
      </c>
      <c r="V114" s="456" t="s">
        <v>160</v>
      </c>
      <c r="W114" s="466" t="s">
        <v>160</v>
      </c>
      <c r="X114" s="456" t="s">
        <v>160</v>
      </c>
      <c r="Y114" s="467" t="s">
        <v>160</v>
      </c>
      <c r="Z114" s="456" t="s">
        <v>160</v>
      </c>
      <c r="AA114" s="456" t="s">
        <v>160</v>
      </c>
      <c r="AB114" s="466" t="s">
        <v>160</v>
      </c>
      <c r="AC114" s="456" t="s">
        <v>160</v>
      </c>
      <c r="AD114" s="467" t="s">
        <v>160</v>
      </c>
      <c r="AE114" s="456" t="s">
        <v>160</v>
      </c>
      <c r="AF114" s="456" t="s">
        <v>160</v>
      </c>
      <c r="AG114" s="456" t="s">
        <v>160</v>
      </c>
      <c r="AH114" s="466" t="s">
        <v>160</v>
      </c>
      <c r="AI114" s="467" t="s">
        <v>160</v>
      </c>
      <c r="AJ114" s="456" t="s">
        <v>160</v>
      </c>
      <c r="AK114" s="467" t="s">
        <v>160</v>
      </c>
      <c r="AL114" s="466">
        <f t="shared" si="60"/>
        <v>10000</v>
      </c>
      <c r="AM114" s="454">
        <f t="shared" si="60"/>
        <v>40000</v>
      </c>
      <c r="AN114" s="464">
        <f t="shared" si="60"/>
        <v>5000</v>
      </c>
      <c r="AO114" s="464">
        <f t="shared" si="60"/>
        <v>10000</v>
      </c>
      <c r="AP114" s="464" t="s">
        <v>160</v>
      </c>
      <c r="AQ114" s="464" t="s">
        <v>160</v>
      </c>
      <c r="AR114" s="464" t="s">
        <v>160</v>
      </c>
      <c r="AS114" s="464" t="s">
        <v>160</v>
      </c>
      <c r="AT114" s="464" t="s">
        <v>160</v>
      </c>
      <c r="AU114" s="464" t="s">
        <v>160</v>
      </c>
      <c r="AV114" s="464" t="s">
        <v>160</v>
      </c>
      <c r="AW114" s="464" t="s">
        <v>160</v>
      </c>
      <c r="AX114" s="464" t="s">
        <v>160</v>
      </c>
      <c r="AY114" s="464" t="s">
        <v>160</v>
      </c>
      <c r="AZ114" s="464" t="s">
        <v>160</v>
      </c>
      <c r="BA114" s="464" t="s">
        <v>160</v>
      </c>
      <c r="BB114" s="464" t="s">
        <v>160</v>
      </c>
      <c r="BC114" s="464" t="s">
        <v>160</v>
      </c>
      <c r="BD114" s="464" t="s">
        <v>160</v>
      </c>
      <c r="BE114" s="640">
        <f t="shared" si="57"/>
        <v>65000</v>
      </c>
      <c r="BF114" s="925">
        <v>2.2100000000000002E-2</v>
      </c>
      <c r="BG114" s="925">
        <v>2.2100000000000002E-2</v>
      </c>
      <c r="BH114"/>
      <c r="BI114"/>
    </row>
    <row r="115" spans="2:61" x14ac:dyDescent="0.2">
      <c r="B115" s="222" t="s">
        <v>1123</v>
      </c>
      <c r="C115" s="455" t="s">
        <v>160</v>
      </c>
      <c r="D115" s="456" t="s">
        <v>160</v>
      </c>
      <c r="E115" s="456" t="s">
        <v>160</v>
      </c>
      <c r="F115" s="456" t="s">
        <v>160</v>
      </c>
      <c r="G115" s="456" t="s">
        <v>160</v>
      </c>
      <c r="H115" s="456" t="s">
        <v>160</v>
      </c>
      <c r="I115" s="456" t="s">
        <v>160</v>
      </c>
      <c r="J115" s="456" t="s">
        <v>160</v>
      </c>
      <c r="K115" s="456" t="s">
        <v>160</v>
      </c>
      <c r="L115" s="456" t="s">
        <v>160</v>
      </c>
      <c r="M115" s="456" t="s">
        <v>160</v>
      </c>
      <c r="N115" s="456" t="s">
        <v>160</v>
      </c>
      <c r="O115" s="456" t="s">
        <v>160</v>
      </c>
      <c r="P115" s="456" t="s">
        <v>160</v>
      </c>
      <c r="Q115" s="456" t="s">
        <v>160</v>
      </c>
      <c r="R115" s="456" t="s">
        <v>160</v>
      </c>
      <c r="S115" s="456" t="s">
        <v>160</v>
      </c>
      <c r="T115" s="456" t="s">
        <v>160</v>
      </c>
      <c r="U115" s="456" t="s">
        <v>160</v>
      </c>
      <c r="V115" s="456" t="s">
        <v>160</v>
      </c>
      <c r="W115" s="466" t="s">
        <v>160</v>
      </c>
      <c r="X115" s="456" t="s">
        <v>160</v>
      </c>
      <c r="Y115" s="467" t="s">
        <v>160</v>
      </c>
      <c r="Z115" s="456" t="s">
        <v>160</v>
      </c>
      <c r="AA115" s="456" t="s">
        <v>160</v>
      </c>
      <c r="AB115" s="466" t="s">
        <v>160</v>
      </c>
      <c r="AC115" s="456" t="s">
        <v>160</v>
      </c>
      <c r="AD115" s="467" t="s">
        <v>160</v>
      </c>
      <c r="AE115" s="456" t="s">
        <v>160</v>
      </c>
      <c r="AF115" s="456" t="s">
        <v>160</v>
      </c>
      <c r="AG115" s="456" t="s">
        <v>160</v>
      </c>
      <c r="AH115" s="466" t="s">
        <v>160</v>
      </c>
      <c r="AI115" s="467" t="s">
        <v>160</v>
      </c>
      <c r="AJ115" s="456" t="s">
        <v>160</v>
      </c>
      <c r="AK115" s="467" t="s">
        <v>160</v>
      </c>
      <c r="AL115" s="466">
        <f t="shared" ref="AL115:AO116" si="61">AL113</f>
        <v>10000</v>
      </c>
      <c r="AM115" s="456">
        <f t="shared" si="61"/>
        <v>40000</v>
      </c>
      <c r="AN115" s="467">
        <f t="shared" si="61"/>
        <v>5000</v>
      </c>
      <c r="AO115" s="464">
        <f t="shared" si="61"/>
        <v>10000</v>
      </c>
      <c r="AP115" s="464">
        <v>4071.0479999999998</v>
      </c>
      <c r="AQ115" s="464" t="s">
        <v>160</v>
      </c>
      <c r="AR115" s="464" t="s">
        <v>160</v>
      </c>
      <c r="AS115" s="464" t="s">
        <v>160</v>
      </c>
      <c r="AT115" s="464" t="s">
        <v>160</v>
      </c>
      <c r="AU115" s="464" t="s">
        <v>160</v>
      </c>
      <c r="AV115" s="464" t="s">
        <v>160</v>
      </c>
      <c r="AW115" s="464">
        <v>4071.0479999999998</v>
      </c>
      <c r="AX115" s="464">
        <v>4071.0479999999998</v>
      </c>
      <c r="AY115" s="464">
        <v>4071.0479999999998</v>
      </c>
      <c r="AZ115" s="464">
        <v>4071.0479999999998</v>
      </c>
      <c r="BA115" s="464">
        <v>4071.0479999999998</v>
      </c>
      <c r="BB115" s="464">
        <v>4071.0479999999998</v>
      </c>
      <c r="BC115" s="464">
        <v>4071.0479999999998</v>
      </c>
      <c r="BD115" s="464" t="s">
        <v>160</v>
      </c>
      <c r="BE115" s="640">
        <f t="shared" ref="BE115:BE125" si="62">+SUM(W115:BD115)</f>
        <v>97568.383999999962</v>
      </c>
      <c r="BF115" s="925">
        <v>1.9699999999999999E-2</v>
      </c>
      <c r="BG115" s="925">
        <v>1.9699999999999999E-2</v>
      </c>
      <c r="BH115"/>
      <c r="BI115"/>
    </row>
    <row r="116" spans="2:61" x14ac:dyDescent="0.2">
      <c r="B116" s="222" t="s">
        <v>1176</v>
      </c>
      <c r="C116" s="455" t="s">
        <v>160</v>
      </c>
      <c r="D116" s="456" t="s">
        <v>160</v>
      </c>
      <c r="E116" s="456" t="s">
        <v>160</v>
      </c>
      <c r="F116" s="456" t="s">
        <v>160</v>
      </c>
      <c r="G116" s="456" t="s">
        <v>160</v>
      </c>
      <c r="H116" s="456" t="s">
        <v>160</v>
      </c>
      <c r="I116" s="456" t="s">
        <v>160</v>
      </c>
      <c r="J116" s="456" t="s">
        <v>160</v>
      </c>
      <c r="K116" s="456" t="s">
        <v>160</v>
      </c>
      <c r="L116" s="456" t="s">
        <v>160</v>
      </c>
      <c r="M116" s="456" t="s">
        <v>160</v>
      </c>
      <c r="N116" s="456" t="s">
        <v>160</v>
      </c>
      <c r="O116" s="456" t="s">
        <v>160</v>
      </c>
      <c r="P116" s="456" t="s">
        <v>160</v>
      </c>
      <c r="Q116" s="456" t="s">
        <v>160</v>
      </c>
      <c r="R116" s="456" t="s">
        <v>160</v>
      </c>
      <c r="S116" s="456" t="s">
        <v>160</v>
      </c>
      <c r="T116" s="456" t="s">
        <v>160</v>
      </c>
      <c r="U116" s="456" t="s">
        <v>160</v>
      </c>
      <c r="V116" s="456" t="s">
        <v>160</v>
      </c>
      <c r="W116" s="466" t="s">
        <v>160</v>
      </c>
      <c r="X116" s="456" t="s">
        <v>160</v>
      </c>
      <c r="Y116" s="467" t="s">
        <v>160</v>
      </c>
      <c r="Z116" s="456" t="s">
        <v>160</v>
      </c>
      <c r="AA116" s="456" t="s">
        <v>160</v>
      </c>
      <c r="AB116" s="466" t="s">
        <v>160</v>
      </c>
      <c r="AC116" s="456" t="s">
        <v>160</v>
      </c>
      <c r="AD116" s="467" t="s">
        <v>160</v>
      </c>
      <c r="AE116" s="456" t="s">
        <v>160</v>
      </c>
      <c r="AF116" s="456" t="s">
        <v>160</v>
      </c>
      <c r="AG116" s="456" t="s">
        <v>160</v>
      </c>
      <c r="AH116" s="466" t="s">
        <v>160</v>
      </c>
      <c r="AI116" s="467" t="s">
        <v>160</v>
      </c>
      <c r="AJ116" s="456" t="s">
        <v>160</v>
      </c>
      <c r="AK116" s="467" t="s">
        <v>160</v>
      </c>
      <c r="AL116" s="466" t="s">
        <v>160</v>
      </c>
      <c r="AM116" s="456">
        <f t="shared" si="61"/>
        <v>40000</v>
      </c>
      <c r="AN116" s="467">
        <f t="shared" si="61"/>
        <v>5000</v>
      </c>
      <c r="AO116" s="464">
        <f t="shared" si="61"/>
        <v>10000</v>
      </c>
      <c r="AP116" s="464">
        <v>4071.0479999999998</v>
      </c>
      <c r="AQ116" s="464" t="s">
        <v>160</v>
      </c>
      <c r="AR116" s="464" t="s">
        <v>160</v>
      </c>
      <c r="AS116" s="464" t="s">
        <v>160</v>
      </c>
      <c r="AT116" s="464" t="s">
        <v>160</v>
      </c>
      <c r="AU116" s="464" t="s">
        <v>160</v>
      </c>
      <c r="AV116" s="464" t="s">
        <v>160</v>
      </c>
      <c r="AW116" s="464">
        <v>4071.0479999999998</v>
      </c>
      <c r="AX116" s="464">
        <v>4071.0479999999998</v>
      </c>
      <c r="AY116" s="464">
        <v>4071.0479999999998</v>
      </c>
      <c r="AZ116" s="464">
        <v>4071.0479999999998</v>
      </c>
      <c r="BA116" s="464">
        <v>4071.0479999999998</v>
      </c>
      <c r="BB116" s="464">
        <v>4071.0479999999998</v>
      </c>
      <c r="BC116" s="464">
        <v>4071.0479999999998</v>
      </c>
      <c r="BD116" s="464" t="s">
        <v>160</v>
      </c>
      <c r="BE116" s="640">
        <f t="shared" si="62"/>
        <v>87568.383999999976</v>
      </c>
      <c r="BF116" s="925">
        <v>2.07E-2</v>
      </c>
      <c r="BG116" s="925">
        <v>2.07E-2</v>
      </c>
      <c r="BH116"/>
      <c r="BI116"/>
    </row>
    <row r="117" spans="2:61" x14ac:dyDescent="0.2">
      <c r="B117" s="222" t="s">
        <v>1177</v>
      </c>
      <c r="C117" s="455" t="s">
        <v>160</v>
      </c>
      <c r="D117" s="456" t="s">
        <v>160</v>
      </c>
      <c r="E117" s="456" t="s">
        <v>160</v>
      </c>
      <c r="F117" s="456" t="s">
        <v>160</v>
      </c>
      <c r="G117" s="456" t="s">
        <v>160</v>
      </c>
      <c r="H117" s="456" t="s">
        <v>160</v>
      </c>
      <c r="I117" s="456" t="s">
        <v>160</v>
      </c>
      <c r="J117" s="456" t="s">
        <v>160</v>
      </c>
      <c r="K117" s="456" t="s">
        <v>160</v>
      </c>
      <c r="L117" s="456" t="s">
        <v>160</v>
      </c>
      <c r="M117" s="456" t="s">
        <v>160</v>
      </c>
      <c r="N117" s="456" t="s">
        <v>160</v>
      </c>
      <c r="O117" s="456" t="s">
        <v>160</v>
      </c>
      <c r="P117" s="456" t="s">
        <v>160</v>
      </c>
      <c r="Q117" s="456" t="s">
        <v>160</v>
      </c>
      <c r="R117" s="456" t="s">
        <v>160</v>
      </c>
      <c r="S117" s="456" t="s">
        <v>160</v>
      </c>
      <c r="T117" s="456" t="s">
        <v>160</v>
      </c>
      <c r="U117" s="456" t="s">
        <v>160</v>
      </c>
      <c r="V117" s="456" t="s">
        <v>160</v>
      </c>
      <c r="W117" s="466" t="s">
        <v>160</v>
      </c>
      <c r="X117" s="456" t="s">
        <v>160</v>
      </c>
      <c r="Y117" s="467" t="s">
        <v>160</v>
      </c>
      <c r="Z117" s="456" t="s">
        <v>160</v>
      </c>
      <c r="AA117" s="456" t="s">
        <v>160</v>
      </c>
      <c r="AB117" s="466" t="s">
        <v>160</v>
      </c>
      <c r="AC117" s="456" t="s">
        <v>160</v>
      </c>
      <c r="AD117" s="467" t="s">
        <v>160</v>
      </c>
      <c r="AE117" s="456" t="s">
        <v>160</v>
      </c>
      <c r="AF117" s="456" t="s">
        <v>160</v>
      </c>
      <c r="AG117" s="456" t="s">
        <v>160</v>
      </c>
      <c r="AH117" s="466" t="s">
        <v>160</v>
      </c>
      <c r="AI117" s="467" t="s">
        <v>160</v>
      </c>
      <c r="AJ117" s="456" t="s">
        <v>160</v>
      </c>
      <c r="AK117" s="467" t="s">
        <v>160</v>
      </c>
      <c r="AL117" s="466" t="s">
        <v>160</v>
      </c>
      <c r="AM117" s="456">
        <f>AM114</f>
        <v>40000</v>
      </c>
      <c r="AN117" s="467">
        <f>AN114</f>
        <v>5000</v>
      </c>
      <c r="AO117" s="467">
        <f>AO114</f>
        <v>10000</v>
      </c>
      <c r="AP117" s="1116">
        <v>4071.0479999999998</v>
      </c>
      <c r="AQ117" s="464" t="s">
        <v>160</v>
      </c>
      <c r="AR117" s="464" t="s">
        <v>160</v>
      </c>
      <c r="AS117" s="464" t="s">
        <v>160</v>
      </c>
      <c r="AT117" s="464" t="s">
        <v>160</v>
      </c>
      <c r="AU117" s="464" t="s">
        <v>160</v>
      </c>
      <c r="AV117" s="464" t="s">
        <v>160</v>
      </c>
      <c r="AW117" s="1116">
        <v>4071.0479999999998</v>
      </c>
      <c r="AX117" s="1116">
        <v>4071.0479999999998</v>
      </c>
      <c r="AY117" s="1116">
        <v>4071.0479999999998</v>
      </c>
      <c r="AZ117" s="1116">
        <v>4071.0479999999998</v>
      </c>
      <c r="BA117" s="1116">
        <v>4071.0479999999998</v>
      </c>
      <c r="BB117" s="1116">
        <v>4071.0479999999998</v>
      </c>
      <c r="BC117" s="1116">
        <v>4071.0479999999998</v>
      </c>
      <c r="BD117" s="1116" t="s">
        <v>160</v>
      </c>
      <c r="BE117" s="640">
        <f t="shared" si="62"/>
        <v>87568.383999999976</v>
      </c>
      <c r="BF117" s="925">
        <v>2.07E-2</v>
      </c>
      <c r="BG117" s="925">
        <v>2.07E-2</v>
      </c>
      <c r="BH117"/>
      <c r="BI117"/>
    </row>
    <row r="118" spans="2:61" x14ac:dyDescent="0.2">
      <c r="B118" s="222" t="s">
        <v>1179</v>
      </c>
      <c r="C118" s="455" t="s">
        <v>160</v>
      </c>
      <c r="D118" s="456" t="s">
        <v>160</v>
      </c>
      <c r="E118" s="456" t="s">
        <v>160</v>
      </c>
      <c r="F118" s="456" t="s">
        <v>160</v>
      </c>
      <c r="G118" s="456" t="s">
        <v>160</v>
      </c>
      <c r="H118" s="456" t="s">
        <v>160</v>
      </c>
      <c r="I118" s="456" t="s">
        <v>160</v>
      </c>
      <c r="J118" s="456" t="s">
        <v>160</v>
      </c>
      <c r="K118" s="456" t="s">
        <v>160</v>
      </c>
      <c r="L118" s="456" t="s">
        <v>160</v>
      </c>
      <c r="M118" s="456" t="s">
        <v>160</v>
      </c>
      <c r="N118" s="456" t="s">
        <v>160</v>
      </c>
      <c r="O118" s="456" t="s">
        <v>160</v>
      </c>
      <c r="P118" s="456" t="s">
        <v>160</v>
      </c>
      <c r="Q118" s="456" t="s">
        <v>160</v>
      </c>
      <c r="R118" s="456" t="s">
        <v>160</v>
      </c>
      <c r="S118" s="456" t="s">
        <v>160</v>
      </c>
      <c r="T118" s="456" t="s">
        <v>160</v>
      </c>
      <c r="U118" s="456" t="s">
        <v>160</v>
      </c>
      <c r="V118" s="456" t="s">
        <v>160</v>
      </c>
      <c r="W118" s="466" t="s">
        <v>160</v>
      </c>
      <c r="X118" s="456" t="s">
        <v>160</v>
      </c>
      <c r="Y118" s="467" t="s">
        <v>160</v>
      </c>
      <c r="Z118" s="456" t="s">
        <v>160</v>
      </c>
      <c r="AA118" s="456" t="s">
        <v>160</v>
      </c>
      <c r="AB118" s="466" t="s">
        <v>160</v>
      </c>
      <c r="AC118" s="456" t="s">
        <v>160</v>
      </c>
      <c r="AD118" s="467" t="s">
        <v>160</v>
      </c>
      <c r="AE118" s="456" t="s">
        <v>160</v>
      </c>
      <c r="AF118" s="456" t="s">
        <v>160</v>
      </c>
      <c r="AG118" s="456" t="s">
        <v>160</v>
      </c>
      <c r="AH118" s="466" t="s">
        <v>160</v>
      </c>
      <c r="AI118" s="467" t="s">
        <v>160</v>
      </c>
      <c r="AJ118" s="456" t="s">
        <v>160</v>
      </c>
      <c r="AK118" s="467" t="s">
        <v>160</v>
      </c>
      <c r="AL118" s="466" t="s">
        <v>160</v>
      </c>
      <c r="AM118" s="456" t="s">
        <v>160</v>
      </c>
      <c r="AN118" s="467" t="s">
        <v>160</v>
      </c>
      <c r="AO118" s="467">
        <f>AO115</f>
        <v>10000</v>
      </c>
      <c r="AP118" s="1116">
        <v>26571.047999999999</v>
      </c>
      <c r="AQ118" s="464" t="s">
        <v>160</v>
      </c>
      <c r="AR118" s="464" t="s">
        <v>160</v>
      </c>
      <c r="AS118" s="464" t="s">
        <v>160</v>
      </c>
      <c r="AT118" s="464" t="s">
        <v>160</v>
      </c>
      <c r="AU118" s="464" t="s">
        <v>160</v>
      </c>
      <c r="AV118" s="464" t="s">
        <v>160</v>
      </c>
      <c r="AW118" s="1116">
        <v>26690.78</v>
      </c>
      <c r="AX118" s="1116">
        <v>4549.9780000000001</v>
      </c>
      <c r="AY118" s="1116">
        <v>4549.9780000000001</v>
      </c>
      <c r="AZ118" s="1116">
        <v>4549.9780000000001</v>
      </c>
      <c r="BA118" s="1116">
        <v>4549.9780000000001</v>
      </c>
      <c r="BB118" s="1116">
        <v>4549.9780000000001</v>
      </c>
      <c r="BC118" s="1116">
        <v>4549.9780000000001</v>
      </c>
      <c r="BD118" s="1116">
        <v>3272.6880000000001</v>
      </c>
      <c r="BE118" s="640">
        <f t="shared" si="62"/>
        <v>93834.384000000005</v>
      </c>
      <c r="BF118" s="925">
        <v>1.55E-2</v>
      </c>
      <c r="BG118" s="925">
        <v>1.55E-2</v>
      </c>
      <c r="BH118"/>
      <c r="BI118"/>
    </row>
    <row r="119" spans="2:61" x14ac:dyDescent="0.2">
      <c r="B119" s="222" t="s">
        <v>1181</v>
      </c>
      <c r="C119" s="455" t="s">
        <v>160</v>
      </c>
      <c r="D119" s="456" t="s">
        <v>160</v>
      </c>
      <c r="E119" s="456" t="s">
        <v>160</v>
      </c>
      <c r="F119" s="456" t="s">
        <v>160</v>
      </c>
      <c r="G119" s="456" t="s">
        <v>160</v>
      </c>
      <c r="H119" s="456" t="s">
        <v>160</v>
      </c>
      <c r="I119" s="456" t="s">
        <v>160</v>
      </c>
      <c r="J119" s="456" t="s">
        <v>160</v>
      </c>
      <c r="K119" s="456" t="s">
        <v>160</v>
      </c>
      <c r="L119" s="456" t="s">
        <v>160</v>
      </c>
      <c r="M119" s="456" t="s">
        <v>160</v>
      </c>
      <c r="N119" s="456" t="s">
        <v>160</v>
      </c>
      <c r="O119" s="456" t="s">
        <v>160</v>
      </c>
      <c r="P119" s="456" t="s">
        <v>160</v>
      </c>
      <c r="Q119" s="456" t="s">
        <v>160</v>
      </c>
      <c r="R119" s="456" t="s">
        <v>160</v>
      </c>
      <c r="S119" s="456" t="s">
        <v>160</v>
      </c>
      <c r="T119" s="456" t="s">
        <v>160</v>
      </c>
      <c r="U119" s="456" t="s">
        <v>160</v>
      </c>
      <c r="V119" s="456" t="s">
        <v>160</v>
      </c>
      <c r="W119" s="466" t="s">
        <v>160</v>
      </c>
      <c r="X119" s="456" t="s">
        <v>160</v>
      </c>
      <c r="Y119" s="467" t="s">
        <v>160</v>
      </c>
      <c r="Z119" s="456" t="s">
        <v>160</v>
      </c>
      <c r="AA119" s="456" t="s">
        <v>160</v>
      </c>
      <c r="AB119" s="466" t="s">
        <v>160</v>
      </c>
      <c r="AC119" s="456" t="s">
        <v>160</v>
      </c>
      <c r="AD119" s="467" t="s">
        <v>160</v>
      </c>
      <c r="AE119" s="456" t="s">
        <v>160</v>
      </c>
      <c r="AF119" s="456" t="s">
        <v>160</v>
      </c>
      <c r="AG119" s="456" t="s">
        <v>160</v>
      </c>
      <c r="AH119" s="466" t="s">
        <v>160</v>
      </c>
      <c r="AI119" s="467" t="s">
        <v>160</v>
      </c>
      <c r="AJ119" s="456" t="s">
        <v>160</v>
      </c>
      <c r="AK119" s="467" t="s">
        <v>160</v>
      </c>
      <c r="AL119" s="466" t="s">
        <v>160</v>
      </c>
      <c r="AM119" s="456" t="s">
        <v>160</v>
      </c>
      <c r="AN119" s="467" t="s">
        <v>160</v>
      </c>
      <c r="AO119" s="467">
        <f>AO116</f>
        <v>10000</v>
      </c>
      <c r="AP119" s="1116">
        <v>26571.047999999999</v>
      </c>
      <c r="AQ119" s="464" t="s">
        <v>160</v>
      </c>
      <c r="AR119" s="464" t="s">
        <v>160</v>
      </c>
      <c r="AS119" s="464" t="s">
        <v>160</v>
      </c>
      <c r="AT119" s="464" t="s">
        <v>160</v>
      </c>
      <c r="AU119" s="464" t="s">
        <v>160</v>
      </c>
      <c r="AV119" s="464" t="s">
        <v>160</v>
      </c>
      <c r="AW119" s="1116">
        <v>26722.66</v>
      </c>
      <c r="AX119" s="1116">
        <v>4932.5249999999996</v>
      </c>
      <c r="AY119" s="1116">
        <v>4932.5249999999996</v>
      </c>
      <c r="AZ119" s="1116">
        <v>4932.5249999999996</v>
      </c>
      <c r="BA119" s="1116">
        <v>4932.5249999999996</v>
      </c>
      <c r="BB119" s="1116">
        <v>4932.5249999999996</v>
      </c>
      <c r="BC119" s="1116">
        <v>4932.5249999999996</v>
      </c>
      <c r="BD119" s="1116">
        <v>5950.5219999999999</v>
      </c>
      <c r="BE119" s="640">
        <f t="shared" si="62"/>
        <v>98839.379999999961</v>
      </c>
      <c r="BF119" s="925">
        <v>1.55E-2</v>
      </c>
      <c r="BG119" s="925">
        <v>1.55E-2</v>
      </c>
      <c r="BH119"/>
      <c r="BI119"/>
    </row>
    <row r="120" spans="2:61" x14ac:dyDescent="0.2">
      <c r="B120" s="222" t="s">
        <v>1243</v>
      </c>
      <c r="C120" s="455" t="s">
        <v>160</v>
      </c>
      <c r="D120" s="456" t="s">
        <v>160</v>
      </c>
      <c r="E120" s="456" t="s">
        <v>160</v>
      </c>
      <c r="F120" s="456" t="s">
        <v>160</v>
      </c>
      <c r="G120" s="456" t="s">
        <v>160</v>
      </c>
      <c r="H120" s="456" t="s">
        <v>160</v>
      </c>
      <c r="I120" s="456" t="s">
        <v>160</v>
      </c>
      <c r="J120" s="456" t="s">
        <v>160</v>
      </c>
      <c r="K120" s="456" t="s">
        <v>160</v>
      </c>
      <c r="L120" s="456" t="s">
        <v>160</v>
      </c>
      <c r="M120" s="456" t="s">
        <v>160</v>
      </c>
      <c r="N120" s="456" t="s">
        <v>160</v>
      </c>
      <c r="O120" s="456" t="s">
        <v>160</v>
      </c>
      <c r="P120" s="456" t="s">
        <v>160</v>
      </c>
      <c r="Q120" s="456" t="s">
        <v>160</v>
      </c>
      <c r="R120" s="456" t="s">
        <v>160</v>
      </c>
      <c r="S120" s="456" t="s">
        <v>160</v>
      </c>
      <c r="T120" s="456" t="s">
        <v>160</v>
      </c>
      <c r="U120" s="456" t="s">
        <v>160</v>
      </c>
      <c r="V120" s="456" t="s">
        <v>160</v>
      </c>
      <c r="W120" s="466" t="s">
        <v>160</v>
      </c>
      <c r="X120" s="456" t="s">
        <v>160</v>
      </c>
      <c r="Y120" s="467" t="s">
        <v>160</v>
      </c>
      <c r="Z120" s="456" t="s">
        <v>160</v>
      </c>
      <c r="AA120" s="456" t="s">
        <v>160</v>
      </c>
      <c r="AB120" s="466" t="s">
        <v>160</v>
      </c>
      <c r="AC120" s="456" t="s">
        <v>160</v>
      </c>
      <c r="AD120" s="467" t="s">
        <v>160</v>
      </c>
      <c r="AE120" s="456" t="s">
        <v>160</v>
      </c>
      <c r="AF120" s="456" t="s">
        <v>160</v>
      </c>
      <c r="AG120" s="456" t="s">
        <v>160</v>
      </c>
      <c r="AH120" s="466" t="s">
        <v>160</v>
      </c>
      <c r="AI120" s="467" t="s">
        <v>160</v>
      </c>
      <c r="AJ120" s="456" t="s">
        <v>160</v>
      </c>
      <c r="AK120" s="467" t="s">
        <v>160</v>
      </c>
      <c r="AL120" s="466" t="s">
        <v>160</v>
      </c>
      <c r="AM120" s="456" t="s">
        <v>160</v>
      </c>
      <c r="AN120" s="467" t="s">
        <v>160</v>
      </c>
      <c r="AO120" s="467">
        <f>AO117</f>
        <v>10000</v>
      </c>
      <c r="AP120" s="1116">
        <v>26571.047639999997</v>
      </c>
      <c r="AQ120" s="464" t="s">
        <v>160</v>
      </c>
      <c r="AR120" s="464" t="s">
        <v>160</v>
      </c>
      <c r="AS120" s="464" t="s">
        <v>160</v>
      </c>
      <c r="AT120" s="464" t="s">
        <v>160</v>
      </c>
      <c r="AU120" s="464" t="s">
        <v>160</v>
      </c>
      <c r="AV120" s="464" t="s">
        <v>160</v>
      </c>
      <c r="AW120" s="1116">
        <v>27338.284110000001</v>
      </c>
      <c r="AX120" s="1116">
        <v>5671.2753599999969</v>
      </c>
      <c r="AY120" s="1116">
        <v>5671.2753599999969</v>
      </c>
      <c r="AZ120" s="1116">
        <v>5671.2753599999969</v>
      </c>
      <c r="BA120" s="1116">
        <v>5671.2753599999969</v>
      </c>
      <c r="BB120" s="1116">
        <v>5671.2753599999969</v>
      </c>
      <c r="BC120" s="1116">
        <v>5671.2753599999969</v>
      </c>
      <c r="BD120" s="1116">
        <v>6812.4</v>
      </c>
      <c r="BE120" s="640">
        <f t="shared" si="62"/>
        <v>104749.38390999999</v>
      </c>
      <c r="BF120" s="925">
        <v>1.55E-2</v>
      </c>
      <c r="BG120" s="925">
        <v>1.55E-2</v>
      </c>
      <c r="BH120"/>
      <c r="BI120"/>
    </row>
    <row r="121" spans="2:61" x14ac:dyDescent="0.2">
      <c r="B121" s="222" t="s">
        <v>1250</v>
      </c>
      <c r="C121" s="455" t="s">
        <v>160</v>
      </c>
      <c r="D121" s="456" t="s">
        <v>160</v>
      </c>
      <c r="E121" s="456" t="s">
        <v>160</v>
      </c>
      <c r="F121" s="456" t="s">
        <v>160</v>
      </c>
      <c r="G121" s="456" t="s">
        <v>160</v>
      </c>
      <c r="H121" s="456" t="s">
        <v>160</v>
      </c>
      <c r="I121" s="456" t="s">
        <v>160</v>
      </c>
      <c r="J121" s="456" t="s">
        <v>160</v>
      </c>
      <c r="K121" s="456" t="s">
        <v>160</v>
      </c>
      <c r="L121" s="456" t="s">
        <v>160</v>
      </c>
      <c r="M121" s="456" t="s">
        <v>160</v>
      </c>
      <c r="N121" s="456" t="s">
        <v>160</v>
      </c>
      <c r="O121" s="456" t="s">
        <v>160</v>
      </c>
      <c r="P121" s="456" t="s">
        <v>160</v>
      </c>
      <c r="Q121" s="456" t="s">
        <v>160</v>
      </c>
      <c r="R121" s="456" t="s">
        <v>160</v>
      </c>
      <c r="S121" s="456" t="s">
        <v>160</v>
      </c>
      <c r="T121" s="456" t="s">
        <v>160</v>
      </c>
      <c r="U121" s="456" t="s">
        <v>160</v>
      </c>
      <c r="V121" s="456" t="s">
        <v>160</v>
      </c>
      <c r="W121" s="466" t="s">
        <v>160</v>
      </c>
      <c r="X121" s="456" t="s">
        <v>160</v>
      </c>
      <c r="Y121" s="467" t="s">
        <v>160</v>
      </c>
      <c r="Z121" s="456" t="s">
        <v>160</v>
      </c>
      <c r="AA121" s="456" t="s">
        <v>160</v>
      </c>
      <c r="AB121" s="466" t="s">
        <v>160</v>
      </c>
      <c r="AC121" s="456" t="s">
        <v>160</v>
      </c>
      <c r="AD121" s="467" t="s">
        <v>160</v>
      </c>
      <c r="AE121" s="456" t="s">
        <v>160</v>
      </c>
      <c r="AF121" s="456" t="s">
        <v>160</v>
      </c>
      <c r="AG121" s="456" t="s">
        <v>160</v>
      </c>
      <c r="AH121" s="466" t="s">
        <v>160</v>
      </c>
      <c r="AI121" s="467" t="s">
        <v>160</v>
      </c>
      <c r="AJ121" s="456" t="s">
        <v>160</v>
      </c>
      <c r="AK121" s="467" t="s">
        <v>160</v>
      </c>
      <c r="AL121" s="466" t="s">
        <v>160</v>
      </c>
      <c r="AM121" s="456" t="s">
        <v>160</v>
      </c>
      <c r="AN121" s="467" t="s">
        <v>160</v>
      </c>
      <c r="AO121" s="467" t="s">
        <v>160</v>
      </c>
      <c r="AP121" s="1116">
        <v>26571.047639999997</v>
      </c>
      <c r="AQ121" s="464" t="s">
        <v>160</v>
      </c>
      <c r="AR121" s="464" t="s">
        <v>160</v>
      </c>
      <c r="AS121" s="464" t="s">
        <v>160</v>
      </c>
      <c r="AT121" s="464" t="s">
        <v>160</v>
      </c>
      <c r="AU121" s="464" t="s">
        <v>160</v>
      </c>
      <c r="AV121" s="464" t="s">
        <v>160</v>
      </c>
      <c r="AW121" s="1116">
        <v>27331.937509999996</v>
      </c>
      <c r="AX121" s="1116">
        <v>6052.8505499999965</v>
      </c>
      <c r="AY121" s="1116">
        <v>6330.8441999999959</v>
      </c>
      <c r="AZ121" s="1116">
        <v>6330.8441999999959</v>
      </c>
      <c r="BA121" s="1116">
        <v>6330.8441999999959</v>
      </c>
      <c r="BB121" s="1116">
        <v>6330.8441999999959</v>
      </c>
      <c r="BC121" s="1116">
        <v>6330.84</v>
      </c>
      <c r="BD121" s="1116">
        <v>11868.3</v>
      </c>
      <c r="BE121" s="640">
        <f t="shared" si="62"/>
        <v>103478.35249999996</v>
      </c>
      <c r="BF121" s="925">
        <v>1.6E-2</v>
      </c>
      <c r="BG121" s="925">
        <v>1.6E-2</v>
      </c>
      <c r="BH121"/>
      <c r="BI121"/>
    </row>
    <row r="122" spans="2:61" x14ac:dyDescent="0.2">
      <c r="B122" s="222" t="s">
        <v>1251</v>
      </c>
      <c r="C122" s="455" t="s">
        <v>160</v>
      </c>
      <c r="D122" s="456" t="s">
        <v>160</v>
      </c>
      <c r="E122" s="456" t="s">
        <v>160</v>
      </c>
      <c r="F122" s="456" t="s">
        <v>160</v>
      </c>
      <c r="G122" s="456" t="s">
        <v>160</v>
      </c>
      <c r="H122" s="456" t="s">
        <v>160</v>
      </c>
      <c r="I122" s="456" t="s">
        <v>160</v>
      </c>
      <c r="J122" s="456" t="s">
        <v>160</v>
      </c>
      <c r="K122" s="456" t="s">
        <v>160</v>
      </c>
      <c r="L122" s="456" t="s">
        <v>160</v>
      </c>
      <c r="M122" s="456" t="s">
        <v>160</v>
      </c>
      <c r="N122" s="456" t="s">
        <v>160</v>
      </c>
      <c r="O122" s="456" t="s">
        <v>160</v>
      </c>
      <c r="P122" s="456" t="s">
        <v>160</v>
      </c>
      <c r="Q122" s="456" t="s">
        <v>160</v>
      </c>
      <c r="R122" s="456" t="s">
        <v>160</v>
      </c>
      <c r="S122" s="456" t="s">
        <v>160</v>
      </c>
      <c r="T122" s="456" t="s">
        <v>160</v>
      </c>
      <c r="U122" s="456" t="s">
        <v>160</v>
      </c>
      <c r="V122" s="456" t="s">
        <v>160</v>
      </c>
      <c r="W122" s="466" t="s">
        <v>160</v>
      </c>
      <c r="X122" s="456" t="s">
        <v>160</v>
      </c>
      <c r="Y122" s="467" t="s">
        <v>160</v>
      </c>
      <c r="Z122" s="456" t="s">
        <v>160</v>
      </c>
      <c r="AA122" s="456" t="s">
        <v>160</v>
      </c>
      <c r="AB122" s="466" t="s">
        <v>160</v>
      </c>
      <c r="AC122" s="456" t="s">
        <v>160</v>
      </c>
      <c r="AD122" s="467" t="s">
        <v>160</v>
      </c>
      <c r="AE122" s="456" t="s">
        <v>160</v>
      </c>
      <c r="AF122" s="456" t="s">
        <v>160</v>
      </c>
      <c r="AG122" s="456" t="s">
        <v>160</v>
      </c>
      <c r="AH122" s="466" t="s">
        <v>160</v>
      </c>
      <c r="AI122" s="467" t="s">
        <v>160</v>
      </c>
      <c r="AJ122" s="456" t="s">
        <v>160</v>
      </c>
      <c r="AK122" s="467" t="s">
        <v>160</v>
      </c>
      <c r="AL122" s="466" t="s">
        <v>160</v>
      </c>
      <c r="AM122" s="456" t="s">
        <v>160</v>
      </c>
      <c r="AN122" s="467" t="s">
        <v>160</v>
      </c>
      <c r="AO122" s="467" t="s">
        <v>160</v>
      </c>
      <c r="AP122" s="1116">
        <v>26571.047639999997</v>
      </c>
      <c r="AQ122" s="464" t="s">
        <v>160</v>
      </c>
      <c r="AR122" s="464" t="s">
        <v>160</v>
      </c>
      <c r="AS122" s="464" t="s">
        <v>160</v>
      </c>
      <c r="AT122" s="464" t="s">
        <v>160</v>
      </c>
      <c r="AU122" s="464" t="s">
        <v>160</v>
      </c>
      <c r="AV122" s="464" t="s">
        <v>160</v>
      </c>
      <c r="AW122" s="1116">
        <v>27331.937509999996</v>
      </c>
      <c r="AX122" s="1116">
        <v>6052.8505499999965</v>
      </c>
      <c r="AY122" s="1116">
        <v>6330.8441999999959</v>
      </c>
      <c r="AZ122" s="1116">
        <v>6330.8441999999959</v>
      </c>
      <c r="BA122" s="1116">
        <v>6330.8441999999959</v>
      </c>
      <c r="BB122" s="1116">
        <v>6330.8441999999959</v>
      </c>
      <c r="BC122" s="1116">
        <v>6330.84</v>
      </c>
      <c r="BD122" s="1116">
        <v>11868.3</v>
      </c>
      <c r="BE122" s="640">
        <f t="shared" si="62"/>
        <v>103478.35249999996</v>
      </c>
      <c r="BF122" s="925">
        <v>1.6E-2</v>
      </c>
      <c r="BG122" s="925">
        <v>1.6E-2</v>
      </c>
      <c r="BH122"/>
      <c r="BI122"/>
    </row>
    <row r="123" spans="2:61" x14ac:dyDescent="0.2">
      <c r="B123" s="222" t="s">
        <v>1252</v>
      </c>
      <c r="C123" s="455" t="s">
        <v>160</v>
      </c>
      <c r="D123" s="456" t="s">
        <v>160</v>
      </c>
      <c r="E123" s="456" t="s">
        <v>160</v>
      </c>
      <c r="F123" s="456" t="s">
        <v>160</v>
      </c>
      <c r="G123" s="456" t="s">
        <v>160</v>
      </c>
      <c r="H123" s="456" t="s">
        <v>160</v>
      </c>
      <c r="I123" s="456" t="s">
        <v>160</v>
      </c>
      <c r="J123" s="456" t="s">
        <v>160</v>
      </c>
      <c r="K123" s="456" t="s">
        <v>160</v>
      </c>
      <c r="L123" s="456" t="s">
        <v>160</v>
      </c>
      <c r="M123" s="456" t="s">
        <v>160</v>
      </c>
      <c r="N123" s="456" t="s">
        <v>160</v>
      </c>
      <c r="O123" s="456" t="s">
        <v>160</v>
      </c>
      <c r="P123" s="456" t="s">
        <v>160</v>
      </c>
      <c r="Q123" s="456" t="s">
        <v>160</v>
      </c>
      <c r="R123" s="456" t="s">
        <v>160</v>
      </c>
      <c r="S123" s="456" t="s">
        <v>160</v>
      </c>
      <c r="T123" s="456" t="s">
        <v>160</v>
      </c>
      <c r="U123" s="456" t="s">
        <v>160</v>
      </c>
      <c r="V123" s="456" t="s">
        <v>160</v>
      </c>
      <c r="W123" s="466" t="s">
        <v>160</v>
      </c>
      <c r="X123" s="456" t="s">
        <v>160</v>
      </c>
      <c r="Y123" s="467" t="s">
        <v>160</v>
      </c>
      <c r="Z123" s="456" t="s">
        <v>160</v>
      </c>
      <c r="AA123" s="456" t="s">
        <v>160</v>
      </c>
      <c r="AB123" s="466" t="s">
        <v>160</v>
      </c>
      <c r="AC123" s="456" t="s">
        <v>160</v>
      </c>
      <c r="AD123" s="467" t="s">
        <v>160</v>
      </c>
      <c r="AE123" s="456" t="s">
        <v>160</v>
      </c>
      <c r="AF123" s="456" t="s">
        <v>160</v>
      </c>
      <c r="AG123" s="456" t="s">
        <v>160</v>
      </c>
      <c r="AH123" s="466" t="s">
        <v>160</v>
      </c>
      <c r="AI123" s="467" t="s">
        <v>160</v>
      </c>
      <c r="AJ123" s="456" t="s">
        <v>160</v>
      </c>
      <c r="AK123" s="467" t="s">
        <v>160</v>
      </c>
      <c r="AL123" s="466" t="s">
        <v>160</v>
      </c>
      <c r="AM123" s="456" t="s">
        <v>160</v>
      </c>
      <c r="AN123" s="467" t="s">
        <v>160</v>
      </c>
      <c r="AO123" s="467" t="s">
        <v>160</v>
      </c>
      <c r="AP123" s="1185">
        <v>26571.047639999997</v>
      </c>
      <c r="AQ123" s="464" t="s">
        <v>160</v>
      </c>
      <c r="AR123" s="464" t="s">
        <v>160</v>
      </c>
      <c r="AS123" s="464" t="s">
        <v>160</v>
      </c>
      <c r="AT123" s="464" t="s">
        <v>160</v>
      </c>
      <c r="AU123" s="464" t="s">
        <v>160</v>
      </c>
      <c r="AV123" s="464" t="s">
        <v>160</v>
      </c>
      <c r="AW123" s="1116">
        <v>27331.937509999996</v>
      </c>
      <c r="AX123" s="1116">
        <v>6052.8505499999965</v>
      </c>
      <c r="AY123" s="1116">
        <v>6330.8441999999959</v>
      </c>
      <c r="AZ123" s="1116">
        <v>6330.8441999999959</v>
      </c>
      <c r="BA123" s="1116">
        <v>6330.8441999999959</v>
      </c>
      <c r="BB123" s="1116">
        <v>6330.8441999999959</v>
      </c>
      <c r="BC123" s="1116">
        <v>6330.84</v>
      </c>
      <c r="BD123" s="1116">
        <v>11868.3</v>
      </c>
      <c r="BE123" s="640">
        <f t="shared" si="62"/>
        <v>103478.35249999996</v>
      </c>
      <c r="BF123" s="925">
        <v>1.6E-2</v>
      </c>
      <c r="BG123" s="925">
        <v>1.6E-2</v>
      </c>
      <c r="BH123"/>
      <c r="BI123"/>
    </row>
    <row r="124" spans="2:61" x14ac:dyDescent="0.2">
      <c r="B124" s="222" t="s">
        <v>1311</v>
      </c>
      <c r="C124" s="455" t="s">
        <v>160</v>
      </c>
      <c r="D124" s="456" t="s">
        <v>160</v>
      </c>
      <c r="E124" s="456" t="s">
        <v>160</v>
      </c>
      <c r="F124" s="456" t="s">
        <v>160</v>
      </c>
      <c r="G124" s="456" t="s">
        <v>160</v>
      </c>
      <c r="H124" s="456" t="s">
        <v>160</v>
      </c>
      <c r="I124" s="456" t="s">
        <v>160</v>
      </c>
      <c r="J124" s="456" t="s">
        <v>160</v>
      </c>
      <c r="K124" s="456" t="s">
        <v>160</v>
      </c>
      <c r="L124" s="456" t="s">
        <v>160</v>
      </c>
      <c r="M124" s="456" t="s">
        <v>160</v>
      </c>
      <c r="N124" s="456" t="s">
        <v>160</v>
      </c>
      <c r="O124" s="456" t="s">
        <v>160</v>
      </c>
      <c r="P124" s="456" t="s">
        <v>160</v>
      </c>
      <c r="Q124" s="456" t="s">
        <v>160</v>
      </c>
      <c r="R124" s="456" t="s">
        <v>160</v>
      </c>
      <c r="S124" s="456" t="s">
        <v>160</v>
      </c>
      <c r="T124" s="456" t="s">
        <v>160</v>
      </c>
      <c r="U124" s="456" t="s">
        <v>160</v>
      </c>
      <c r="V124" s="456" t="s">
        <v>160</v>
      </c>
      <c r="W124" s="466" t="s">
        <v>160</v>
      </c>
      <c r="X124" s="456" t="s">
        <v>160</v>
      </c>
      <c r="Y124" s="467" t="s">
        <v>160</v>
      </c>
      <c r="Z124" s="456" t="s">
        <v>160</v>
      </c>
      <c r="AA124" s="456" t="s">
        <v>160</v>
      </c>
      <c r="AB124" s="466" t="s">
        <v>160</v>
      </c>
      <c r="AC124" s="456" t="s">
        <v>160</v>
      </c>
      <c r="AD124" s="467" t="s">
        <v>160</v>
      </c>
      <c r="AE124" s="456" t="s">
        <v>160</v>
      </c>
      <c r="AF124" s="456" t="s">
        <v>160</v>
      </c>
      <c r="AG124" s="456" t="s">
        <v>160</v>
      </c>
      <c r="AH124" s="466" t="s">
        <v>160</v>
      </c>
      <c r="AI124" s="467" t="s">
        <v>160</v>
      </c>
      <c r="AJ124" s="456" t="s">
        <v>160</v>
      </c>
      <c r="AK124" s="467" t="s">
        <v>160</v>
      </c>
      <c r="AL124" s="466" t="s">
        <v>160</v>
      </c>
      <c r="AM124" s="456" t="s">
        <v>160</v>
      </c>
      <c r="AN124" s="467" t="s">
        <v>160</v>
      </c>
      <c r="AO124" s="467" t="s">
        <v>160</v>
      </c>
      <c r="AP124" s="467">
        <v>26571.047639999997</v>
      </c>
      <c r="AQ124" s="464" t="s">
        <v>160</v>
      </c>
      <c r="AR124" s="464" t="s">
        <v>160</v>
      </c>
      <c r="AS124" s="464" t="s">
        <v>160</v>
      </c>
      <c r="AT124" s="464" t="s">
        <v>160</v>
      </c>
      <c r="AU124" s="464" t="s">
        <v>160</v>
      </c>
      <c r="AV124" s="464" t="s">
        <v>160</v>
      </c>
      <c r="AW124" s="1116">
        <v>27245.610149999997</v>
      </c>
      <c r="AX124" s="1116">
        <v>6623.9301899999982</v>
      </c>
      <c r="AY124" s="1116">
        <v>7163.4615599999979</v>
      </c>
      <c r="AZ124" s="1116">
        <v>7163.4615599999979</v>
      </c>
      <c r="BA124" s="1116">
        <v>7163.4615599999979</v>
      </c>
      <c r="BB124" s="1116">
        <v>7163.4615599999979</v>
      </c>
      <c r="BC124" s="1116">
        <v>7163.4615599999979</v>
      </c>
      <c r="BD124" s="1116">
        <v>13742.104499999999</v>
      </c>
      <c r="BE124" s="640">
        <f t="shared" si="62"/>
        <v>110000.00027999998</v>
      </c>
      <c r="BF124" s="925">
        <v>1.6E-2</v>
      </c>
      <c r="BG124" s="925">
        <v>1.6E-2</v>
      </c>
      <c r="BH124"/>
      <c r="BI124"/>
    </row>
    <row r="125" spans="2:61" x14ac:dyDescent="0.2">
      <c r="B125" s="222" t="s">
        <v>1313</v>
      </c>
      <c r="C125" s="455" t="s">
        <v>160</v>
      </c>
      <c r="D125" s="456" t="s">
        <v>160</v>
      </c>
      <c r="E125" s="456" t="s">
        <v>160</v>
      </c>
      <c r="F125" s="456" t="s">
        <v>160</v>
      </c>
      <c r="G125" s="456" t="s">
        <v>160</v>
      </c>
      <c r="H125" s="456" t="s">
        <v>160</v>
      </c>
      <c r="I125" s="456" t="s">
        <v>160</v>
      </c>
      <c r="J125" s="456" t="s">
        <v>160</v>
      </c>
      <c r="K125" s="456" t="s">
        <v>160</v>
      </c>
      <c r="L125" s="456" t="s">
        <v>160</v>
      </c>
      <c r="M125" s="456" t="s">
        <v>160</v>
      </c>
      <c r="N125" s="456" t="s">
        <v>160</v>
      </c>
      <c r="O125" s="456" t="s">
        <v>160</v>
      </c>
      <c r="P125" s="456" t="s">
        <v>160</v>
      </c>
      <c r="Q125" s="456" t="s">
        <v>160</v>
      </c>
      <c r="R125" s="456" t="s">
        <v>160</v>
      </c>
      <c r="S125" s="456" t="s">
        <v>160</v>
      </c>
      <c r="T125" s="456" t="s">
        <v>160</v>
      </c>
      <c r="U125" s="456" t="s">
        <v>160</v>
      </c>
      <c r="V125" s="456" t="s">
        <v>160</v>
      </c>
      <c r="W125" s="466" t="s">
        <v>160</v>
      </c>
      <c r="X125" s="456" t="s">
        <v>160</v>
      </c>
      <c r="Y125" s="467" t="s">
        <v>160</v>
      </c>
      <c r="Z125" s="456" t="s">
        <v>160</v>
      </c>
      <c r="AA125" s="456" t="s">
        <v>160</v>
      </c>
      <c r="AB125" s="466" t="s">
        <v>160</v>
      </c>
      <c r="AC125" s="456" t="s">
        <v>160</v>
      </c>
      <c r="AD125" s="467" t="s">
        <v>160</v>
      </c>
      <c r="AE125" s="456" t="s">
        <v>160</v>
      </c>
      <c r="AF125" s="456" t="s">
        <v>160</v>
      </c>
      <c r="AG125" s="456" t="s">
        <v>160</v>
      </c>
      <c r="AH125" s="466" t="s">
        <v>160</v>
      </c>
      <c r="AI125" s="467" t="s">
        <v>160</v>
      </c>
      <c r="AJ125" s="456" t="s">
        <v>160</v>
      </c>
      <c r="AK125" s="467" t="s">
        <v>160</v>
      </c>
      <c r="AL125" s="466" t="s">
        <v>160</v>
      </c>
      <c r="AM125" s="456" t="s">
        <v>160</v>
      </c>
      <c r="AN125" s="467" t="s">
        <v>160</v>
      </c>
      <c r="AO125" s="467" t="s">
        <v>160</v>
      </c>
      <c r="AP125" s="1185">
        <v>26571.047639999997</v>
      </c>
      <c r="AQ125" s="464" t="s">
        <v>160</v>
      </c>
      <c r="AR125" s="464" t="s">
        <v>160</v>
      </c>
      <c r="AS125" s="464" t="s">
        <v>160</v>
      </c>
      <c r="AT125" s="464" t="s">
        <v>160</v>
      </c>
      <c r="AU125" s="464" t="s">
        <v>160</v>
      </c>
      <c r="AV125" s="464" t="s">
        <v>160</v>
      </c>
      <c r="AW125" s="1116">
        <v>27245.610149999997</v>
      </c>
      <c r="AX125" s="1116">
        <v>6623.9301899999982</v>
      </c>
      <c r="AY125" s="1116">
        <v>7163.4615599999979</v>
      </c>
      <c r="AZ125" s="1116">
        <v>7163.4615599999979</v>
      </c>
      <c r="BA125" s="1116">
        <v>7163.4615599999979</v>
      </c>
      <c r="BB125" s="1116">
        <v>7163.4615599999979</v>
      </c>
      <c r="BC125" s="1116">
        <v>7163.4615599999979</v>
      </c>
      <c r="BD125" s="1116">
        <v>13742.104499999998</v>
      </c>
      <c r="BE125" s="640">
        <f t="shared" si="62"/>
        <v>110000.00027999998</v>
      </c>
      <c r="BF125" s="925">
        <v>1.6E-2</v>
      </c>
      <c r="BG125" s="925">
        <v>1.6E-2</v>
      </c>
      <c r="BH125"/>
      <c r="BI125"/>
    </row>
    <row r="126" spans="2:61" x14ac:dyDescent="0.2">
      <c r="B126" s="222" t="s">
        <v>1315</v>
      </c>
      <c r="C126" s="455" t="s">
        <v>160</v>
      </c>
      <c r="D126" s="456" t="s">
        <v>160</v>
      </c>
      <c r="E126" s="456" t="s">
        <v>160</v>
      </c>
      <c r="F126" s="456" t="s">
        <v>160</v>
      </c>
      <c r="G126" s="456" t="s">
        <v>160</v>
      </c>
      <c r="H126" s="456" t="s">
        <v>160</v>
      </c>
      <c r="I126" s="456" t="s">
        <v>160</v>
      </c>
      <c r="J126" s="456" t="s">
        <v>160</v>
      </c>
      <c r="K126" s="456" t="s">
        <v>160</v>
      </c>
      <c r="L126" s="456" t="s">
        <v>160</v>
      </c>
      <c r="M126" s="456" t="s">
        <v>160</v>
      </c>
      <c r="N126" s="456" t="s">
        <v>160</v>
      </c>
      <c r="O126" s="456" t="s">
        <v>160</v>
      </c>
      <c r="P126" s="456" t="s">
        <v>160</v>
      </c>
      <c r="Q126" s="456" t="s">
        <v>160</v>
      </c>
      <c r="R126" s="456" t="s">
        <v>160</v>
      </c>
      <c r="S126" s="456" t="s">
        <v>160</v>
      </c>
      <c r="T126" s="456" t="s">
        <v>160</v>
      </c>
      <c r="U126" s="456" t="s">
        <v>160</v>
      </c>
      <c r="V126" s="456" t="s">
        <v>160</v>
      </c>
      <c r="W126" s="466" t="s">
        <v>160</v>
      </c>
      <c r="X126" s="456" t="s">
        <v>160</v>
      </c>
      <c r="Y126" s="467" t="s">
        <v>160</v>
      </c>
      <c r="Z126" s="456" t="s">
        <v>160</v>
      </c>
      <c r="AA126" s="456" t="s">
        <v>160</v>
      </c>
      <c r="AB126" s="466" t="s">
        <v>160</v>
      </c>
      <c r="AC126" s="456" t="s">
        <v>160</v>
      </c>
      <c r="AD126" s="467" t="s">
        <v>160</v>
      </c>
      <c r="AE126" s="456" t="s">
        <v>160</v>
      </c>
      <c r="AF126" s="456" t="s">
        <v>160</v>
      </c>
      <c r="AG126" s="456" t="s">
        <v>160</v>
      </c>
      <c r="AH126" s="466" t="s">
        <v>160</v>
      </c>
      <c r="AI126" s="467" t="s">
        <v>160</v>
      </c>
      <c r="AJ126" s="456" t="s">
        <v>160</v>
      </c>
      <c r="AK126" s="467" t="s">
        <v>160</v>
      </c>
      <c r="AL126" s="466" t="s">
        <v>160</v>
      </c>
      <c r="AM126" s="456" t="s">
        <v>160</v>
      </c>
      <c r="AN126" s="467" t="s">
        <v>160</v>
      </c>
      <c r="AO126" s="467" t="s">
        <v>160</v>
      </c>
      <c r="AP126" s="1185" t="s">
        <v>160</v>
      </c>
      <c r="AQ126" s="467">
        <v>1018</v>
      </c>
      <c r="AR126" s="467">
        <v>1018</v>
      </c>
      <c r="AS126" s="467">
        <v>1202</v>
      </c>
      <c r="AT126" s="467">
        <v>23702</v>
      </c>
      <c r="AU126" s="464">
        <v>1323</v>
      </c>
      <c r="AV126" s="464" t="s">
        <v>160</v>
      </c>
      <c r="AW126" s="1116">
        <v>27245.610149999997</v>
      </c>
      <c r="AX126" s="1116">
        <v>6623.9301899999982</v>
      </c>
      <c r="AY126" s="1116">
        <v>7163.4615599999979</v>
      </c>
      <c r="AZ126" s="1116">
        <v>7163.4615599999979</v>
      </c>
      <c r="BA126" s="1116">
        <v>7163.4615599999979</v>
      </c>
      <c r="BB126" s="1116">
        <v>7163.4615599999979</v>
      </c>
      <c r="BC126" s="1116">
        <v>7163.4615599999979</v>
      </c>
      <c r="BD126" s="1116">
        <v>13742.104499999998</v>
      </c>
      <c r="BE126" s="640">
        <f>+SUM(W126:AQ126,AW126:BD126)</f>
        <v>84446.952639999974</v>
      </c>
      <c r="BF126" s="925">
        <v>1.5849648217983868E-2</v>
      </c>
      <c r="BG126" s="925">
        <v>1.5849648217983868E-2</v>
      </c>
      <c r="BH126"/>
      <c r="BI126"/>
    </row>
    <row r="127" spans="2:61" x14ac:dyDescent="0.2">
      <c r="B127" s="222" t="s">
        <v>1317</v>
      </c>
      <c r="C127" s="455"/>
      <c r="D127" s="456"/>
      <c r="E127" s="456"/>
      <c r="F127" s="456"/>
      <c r="G127" s="456"/>
      <c r="H127" s="456"/>
      <c r="I127" s="456"/>
      <c r="J127" s="456"/>
      <c r="K127" s="456"/>
      <c r="L127" s="456"/>
      <c r="M127" s="456"/>
      <c r="N127" s="456"/>
      <c r="O127" s="456"/>
      <c r="P127" s="456"/>
      <c r="Q127" s="456"/>
      <c r="R127" s="456"/>
      <c r="S127" s="456"/>
      <c r="T127" s="456"/>
      <c r="U127" s="456"/>
      <c r="V127" s="456"/>
      <c r="W127" s="456"/>
      <c r="X127" s="456"/>
      <c r="Y127" s="456"/>
      <c r="Z127" s="456"/>
      <c r="AA127" s="456"/>
      <c r="AB127" s="456"/>
      <c r="AC127" s="456"/>
      <c r="AD127" s="456"/>
      <c r="AE127" s="456"/>
      <c r="AF127" s="456"/>
      <c r="AG127" s="456"/>
      <c r="AH127" s="456"/>
      <c r="AI127" s="456"/>
      <c r="AJ127" s="456"/>
      <c r="AK127" s="456"/>
      <c r="AL127" s="456"/>
      <c r="AM127" s="456"/>
      <c r="AN127" s="456"/>
      <c r="AO127" s="456"/>
      <c r="AP127" s="1185" t="s">
        <v>160</v>
      </c>
      <c r="AQ127" s="456" t="s">
        <v>160</v>
      </c>
      <c r="AR127" s="467">
        <v>1018</v>
      </c>
      <c r="AS127" s="467">
        <v>1202</v>
      </c>
      <c r="AT127" s="467">
        <v>23702</v>
      </c>
      <c r="AU127" s="467">
        <v>1323</v>
      </c>
      <c r="AV127" s="464">
        <v>1419</v>
      </c>
      <c r="AW127" s="1116">
        <v>27245.610149999997</v>
      </c>
      <c r="AX127" s="1116">
        <v>46623.930189999999</v>
      </c>
      <c r="AY127" s="1116">
        <v>7163.4615599999979</v>
      </c>
      <c r="AZ127" s="1116">
        <v>7163.4615599999979</v>
      </c>
      <c r="BA127" s="1116">
        <v>7163.4615599999979</v>
      </c>
      <c r="BB127" s="1116">
        <v>7163.4615599999979</v>
      </c>
      <c r="BC127" s="1116">
        <v>7163.4615599999979</v>
      </c>
      <c r="BD127" s="1116">
        <v>13742.104499999998</v>
      </c>
      <c r="BE127" s="640">
        <f>SUM(AW127:BD127)</f>
        <v>123428.95263999997</v>
      </c>
      <c r="BF127" s="925">
        <v>1.3367481898224428E-2</v>
      </c>
      <c r="BG127" s="925">
        <v>1.3367481898224428E-2</v>
      </c>
      <c r="BH127"/>
      <c r="BI127"/>
    </row>
    <row r="128" spans="2:61" x14ac:dyDescent="0.2">
      <c r="B128" s="222" t="s">
        <v>1344</v>
      </c>
      <c r="C128" s="455"/>
      <c r="D128" s="456"/>
      <c r="E128" s="456"/>
      <c r="F128" s="456"/>
      <c r="G128" s="456"/>
      <c r="H128" s="456"/>
      <c r="I128" s="456"/>
      <c r="J128" s="456"/>
      <c r="K128" s="456"/>
      <c r="L128" s="456"/>
      <c r="M128" s="456"/>
      <c r="N128" s="456"/>
      <c r="O128" s="456"/>
      <c r="P128" s="456"/>
      <c r="Q128" s="456"/>
      <c r="R128" s="456"/>
      <c r="S128" s="456"/>
      <c r="T128" s="456"/>
      <c r="U128" s="456"/>
      <c r="V128" s="456"/>
      <c r="W128" s="456"/>
      <c r="X128" s="456"/>
      <c r="Y128" s="456"/>
      <c r="Z128" s="456"/>
      <c r="AA128" s="456"/>
      <c r="AB128" s="456"/>
      <c r="AC128" s="456"/>
      <c r="AD128" s="456"/>
      <c r="AE128" s="456"/>
      <c r="AF128" s="456"/>
      <c r="AG128" s="456"/>
      <c r="AH128" s="456"/>
      <c r="AI128" s="456"/>
      <c r="AJ128" s="456"/>
      <c r="AK128" s="456"/>
      <c r="AL128" s="456"/>
      <c r="AM128" s="456"/>
      <c r="AN128" s="456"/>
      <c r="AO128" s="456"/>
      <c r="AP128" s="1185" t="s">
        <v>160</v>
      </c>
      <c r="AQ128" s="456" t="s">
        <v>160</v>
      </c>
      <c r="AR128" s="467">
        <v>1018</v>
      </c>
      <c r="AS128" s="467">
        <v>1202</v>
      </c>
      <c r="AT128" s="467">
        <v>23702</v>
      </c>
      <c r="AU128" s="467">
        <v>1323</v>
      </c>
      <c r="AV128" s="464">
        <v>1080</v>
      </c>
      <c r="AW128" s="1116">
        <v>27245.610149999997</v>
      </c>
      <c r="AX128" s="1116">
        <v>46623.930189999999</v>
      </c>
      <c r="AY128" s="1116">
        <v>7163.4615599999979</v>
      </c>
      <c r="AZ128" s="1116">
        <v>7163.4615599999979</v>
      </c>
      <c r="BA128" s="1116">
        <v>7163.4615599999979</v>
      </c>
      <c r="BB128" s="1116">
        <v>7163.4615599999979</v>
      </c>
      <c r="BC128" s="1116">
        <v>7163.4615599999979</v>
      </c>
      <c r="BD128" s="1116">
        <v>13742.104499999998</v>
      </c>
      <c r="BE128" s="640">
        <f>SUM(AW128:BD128)</f>
        <v>123428.95263999997</v>
      </c>
      <c r="BF128" s="925">
        <v>1.3367481898224428E-2</v>
      </c>
      <c r="BG128" s="925">
        <v>1.3367481898224428E-2</v>
      </c>
      <c r="BH128"/>
      <c r="BI128"/>
    </row>
    <row r="129" spans="2:59" s="907" customFormat="1" x14ac:dyDescent="0.2">
      <c r="B129" s="457" t="s">
        <v>629</v>
      </c>
      <c r="C129" s="457"/>
      <c r="D129" s="457"/>
      <c r="E129" s="457"/>
      <c r="F129" s="457"/>
      <c r="G129" s="457"/>
      <c r="H129" s="457"/>
      <c r="I129" s="457"/>
      <c r="J129" s="457"/>
      <c r="K129" s="457"/>
      <c r="L129" s="457"/>
      <c r="M129" s="457"/>
      <c r="N129" s="457"/>
      <c r="O129" s="457"/>
      <c r="AA129" s="909"/>
      <c r="AB129" s="909"/>
      <c r="AC129" s="909"/>
      <c r="AD129" s="909"/>
      <c r="AE129" s="909"/>
      <c r="AF129" s="909"/>
      <c r="AG129" s="909"/>
      <c r="AH129" s="909"/>
      <c r="AP129" s="1001"/>
      <c r="AQ129" s="1001"/>
    </row>
    <row r="130" spans="2:59" s="907" customFormat="1" x14ac:dyDescent="0.2">
      <c r="B130" s="457"/>
      <c r="C130" s="457"/>
      <c r="D130" s="457"/>
      <c r="E130" s="457"/>
      <c r="F130" s="457"/>
      <c r="G130" s="457"/>
      <c r="H130" s="457"/>
      <c r="I130" s="457"/>
      <c r="J130" s="457"/>
      <c r="K130" s="457"/>
      <c r="L130" s="457"/>
      <c r="M130" s="457"/>
      <c r="N130" s="457"/>
      <c r="O130" s="457"/>
      <c r="AA130" s="909"/>
      <c r="AB130" s="909"/>
      <c r="AC130" s="909"/>
      <c r="AD130" s="909"/>
      <c r="AE130" s="909"/>
      <c r="AF130" s="909"/>
      <c r="AG130" s="909"/>
      <c r="AH130" s="909"/>
      <c r="AP130" s="1001"/>
      <c r="AQ130" s="1001"/>
    </row>
    <row r="131" spans="2:59" s="907" customFormat="1" x14ac:dyDescent="0.2">
      <c r="B131" s="127" t="s">
        <v>1168</v>
      </c>
      <c r="C131" s="141" t="str">
        <f t="shared" ref="C131:BG131" si="63">+C$3</f>
        <v>1T12</v>
      </c>
      <c r="D131" s="141" t="str">
        <f t="shared" si="63"/>
        <v>2T12</v>
      </c>
      <c r="E131" s="141" t="str">
        <f t="shared" si="63"/>
        <v>3T12</v>
      </c>
      <c r="F131" s="141" t="str">
        <f t="shared" si="63"/>
        <v>4T12</v>
      </c>
      <c r="G131" s="141" t="str">
        <f t="shared" si="63"/>
        <v>1T13</v>
      </c>
      <c r="H131" s="141" t="str">
        <f t="shared" si="63"/>
        <v>2T13</v>
      </c>
      <c r="I131" s="141" t="str">
        <f t="shared" si="63"/>
        <v>3T13</v>
      </c>
      <c r="J131" s="141" t="str">
        <f t="shared" si="63"/>
        <v>4T13</v>
      </c>
      <c r="K131" s="141" t="str">
        <f t="shared" si="63"/>
        <v>1T14</v>
      </c>
      <c r="L131" s="141" t="str">
        <f t="shared" si="63"/>
        <v>2T14</v>
      </c>
      <c r="M131" s="141" t="str">
        <f t="shared" si="63"/>
        <v>3T14</v>
      </c>
      <c r="N131" s="141" t="str">
        <f t="shared" si="63"/>
        <v>4T14</v>
      </c>
      <c r="O131" s="141" t="str">
        <f t="shared" si="63"/>
        <v>1T15</v>
      </c>
      <c r="P131" s="141" t="str">
        <f t="shared" si="63"/>
        <v>2T15</v>
      </c>
      <c r="Q131" s="141" t="str">
        <f t="shared" si="63"/>
        <v>3T15</v>
      </c>
      <c r="R131" s="141" t="str">
        <f t="shared" si="63"/>
        <v>4T15</v>
      </c>
      <c r="S131" s="141" t="str">
        <f t="shared" si="63"/>
        <v>1T16</v>
      </c>
      <c r="T131" s="141" t="str">
        <f t="shared" si="63"/>
        <v>2T16</v>
      </c>
      <c r="U131" s="141" t="str">
        <f t="shared" si="63"/>
        <v>3T16</v>
      </c>
      <c r="V131" s="141" t="str">
        <f t="shared" si="63"/>
        <v>4T16</v>
      </c>
      <c r="W131" s="141" t="str">
        <f t="shared" si="63"/>
        <v>1T17</v>
      </c>
      <c r="X131" s="141" t="str">
        <f t="shared" si="63"/>
        <v>2T17</v>
      </c>
      <c r="Y131" s="141" t="str">
        <f t="shared" si="63"/>
        <v>3T17</v>
      </c>
      <c r="Z131" s="141" t="str">
        <f t="shared" si="63"/>
        <v>4T17</v>
      </c>
      <c r="AA131" s="141" t="str">
        <f t="shared" si="63"/>
        <v>1T18</v>
      </c>
      <c r="AB131" s="141" t="str">
        <f t="shared" si="63"/>
        <v>2T18</v>
      </c>
      <c r="AC131" s="141" t="str">
        <f t="shared" si="63"/>
        <v>3T18</v>
      </c>
      <c r="AD131" s="141" t="str">
        <f t="shared" si="63"/>
        <v>4T18</v>
      </c>
      <c r="AE131" s="141" t="str">
        <f t="shared" si="63"/>
        <v>1T19</v>
      </c>
      <c r="AF131" s="141" t="str">
        <f t="shared" si="63"/>
        <v>2T19</v>
      </c>
      <c r="AG131" s="141" t="str">
        <f t="shared" si="63"/>
        <v>3T19</v>
      </c>
      <c r="AH131" s="141" t="str">
        <f t="shared" si="63"/>
        <v>4T19</v>
      </c>
      <c r="AI131" s="141" t="str">
        <f t="shared" si="63"/>
        <v>1T20</v>
      </c>
      <c r="AJ131" s="141" t="str">
        <f t="shared" si="63"/>
        <v>2T20</v>
      </c>
      <c r="AK131" s="141" t="str">
        <f t="shared" si="63"/>
        <v>3T20</v>
      </c>
      <c r="AL131" s="141" t="str">
        <f t="shared" si="63"/>
        <v>4T20</v>
      </c>
      <c r="AM131" s="141" t="str">
        <f t="shared" si="63"/>
        <v>1T21</v>
      </c>
      <c r="AN131" s="141" t="str">
        <f t="shared" si="63"/>
        <v>2T21</v>
      </c>
      <c r="AO131" s="141" t="str">
        <f t="shared" si="63"/>
        <v>3T21</v>
      </c>
      <c r="AP131" s="141" t="str">
        <f t="shared" si="63"/>
        <v>4T21</v>
      </c>
      <c r="AQ131" s="141" t="str">
        <f t="shared" si="63"/>
        <v>1T22</v>
      </c>
      <c r="AR131" s="141" t="str">
        <f t="shared" si="63"/>
        <v>2T22</v>
      </c>
      <c r="AS131" s="141" t="str">
        <f t="shared" si="63"/>
        <v>3T22</v>
      </c>
      <c r="AT131" s="141" t="str">
        <f t="shared" si="63"/>
        <v>4T22</v>
      </c>
      <c r="AU131" s="141" t="str">
        <f t="shared" si="63"/>
        <v>1T23</v>
      </c>
      <c r="AV131" s="141" t="str">
        <f t="shared" si="63"/>
        <v>2T23</v>
      </c>
      <c r="AW131" s="141" t="str">
        <f t="shared" si="63"/>
        <v>3T23</v>
      </c>
      <c r="AX131" s="141" t="str">
        <f t="shared" si="63"/>
        <v>4T23</v>
      </c>
      <c r="AY131" s="141" t="str">
        <f t="shared" si="63"/>
        <v>1T24</v>
      </c>
      <c r="AZ131" s="141" t="str">
        <f t="shared" si="63"/>
        <v>2T24</v>
      </c>
      <c r="BA131" s="141" t="str">
        <f t="shared" si="63"/>
        <v>3T24</v>
      </c>
      <c r="BB131" s="141" t="str">
        <f t="shared" si="63"/>
        <v>4T24</v>
      </c>
      <c r="BC131" s="141" t="str">
        <f t="shared" si="63"/>
        <v>1T25</v>
      </c>
      <c r="BD131" s="141" t="str">
        <f t="shared" si="63"/>
        <v>2T25</v>
      </c>
      <c r="BE131" s="141" t="str">
        <f t="shared" si="63"/>
        <v>3T25</v>
      </c>
      <c r="BF131" s="141" t="str">
        <f t="shared" si="63"/>
        <v>4T25</v>
      </c>
      <c r="BG131" s="141" t="str">
        <f t="shared" si="63"/>
        <v>1T26</v>
      </c>
    </row>
    <row r="132" spans="2:59" s="907" customFormat="1" x14ac:dyDescent="0.2">
      <c r="B132" s="612" t="s">
        <v>1169</v>
      </c>
      <c r="C132" s="121">
        <f t="shared" ref="C132:AH132" si="64">C27</f>
        <v>0</v>
      </c>
      <c r="D132" s="121">
        <f t="shared" si="64"/>
        <v>0</v>
      </c>
      <c r="E132" s="121">
        <f t="shared" si="64"/>
        <v>0</v>
      </c>
      <c r="F132" s="121">
        <f t="shared" si="64"/>
        <v>0</v>
      </c>
      <c r="G132" s="121">
        <f t="shared" si="64"/>
        <v>87.551639999999992</v>
      </c>
      <c r="H132" s="121">
        <f t="shared" si="64"/>
        <v>83.31113999999998</v>
      </c>
      <c r="I132" s="121">
        <f t="shared" si="64"/>
        <v>77.612700000000004</v>
      </c>
      <c r="J132" s="121">
        <f t="shared" si="64"/>
        <v>73.092359999999985</v>
      </c>
      <c r="K132" s="121">
        <f t="shared" si="64"/>
        <v>73.423019999999994</v>
      </c>
      <c r="L132" s="121">
        <f t="shared" si="64"/>
        <v>73.507499999999979</v>
      </c>
      <c r="M132" s="121">
        <f t="shared" si="64"/>
        <v>70.394279999999981</v>
      </c>
      <c r="N132" s="121">
        <f t="shared" si="64"/>
        <v>85.672619999999995</v>
      </c>
      <c r="O132" s="121">
        <f t="shared" si="64"/>
        <v>90.095279999999974</v>
      </c>
      <c r="P132" s="121">
        <f t="shared" si="64"/>
        <v>74.806379999999947</v>
      </c>
      <c r="Q132" s="121">
        <f t="shared" si="64"/>
        <v>61.772690766599922</v>
      </c>
      <c r="R132" s="121">
        <f t="shared" si="64"/>
        <v>27.894110448599903</v>
      </c>
      <c r="S132" s="121">
        <f t="shared" si="64"/>
        <v>20.944597225199935</v>
      </c>
      <c r="T132" s="121">
        <f t="shared" si="64"/>
        <v>21.603436370999962</v>
      </c>
      <c r="U132" s="121">
        <f t="shared" si="64"/>
        <v>23.076146425199983</v>
      </c>
      <c r="V132" s="121">
        <f t="shared" si="64"/>
        <v>38.851514083800019</v>
      </c>
      <c r="W132" s="121">
        <f t="shared" si="64"/>
        <v>43.376547475799995</v>
      </c>
      <c r="X132" s="121">
        <f t="shared" si="64"/>
        <v>46.985338553999959</v>
      </c>
      <c r="Y132" s="121">
        <f t="shared" si="64"/>
        <v>53.469496139400007</v>
      </c>
      <c r="Z132" s="121">
        <f t="shared" si="64"/>
        <v>72.251454481799954</v>
      </c>
      <c r="AA132" s="121">
        <f t="shared" si="64"/>
        <v>77.65219994399996</v>
      </c>
      <c r="AB132" s="121">
        <f t="shared" si="64"/>
        <v>92.921281714799932</v>
      </c>
      <c r="AC132" s="121">
        <f t="shared" si="64"/>
        <v>104.63650094039987</v>
      </c>
      <c r="AD132" s="121">
        <f t="shared" si="64"/>
        <v>101.00922138779993</v>
      </c>
      <c r="AE132" s="121">
        <f t="shared" si="64"/>
        <v>112.94308180319992</v>
      </c>
      <c r="AF132" s="121">
        <f t="shared" si="64"/>
        <v>119.25605507639999</v>
      </c>
      <c r="AG132" s="121">
        <f t="shared" si="64"/>
        <v>155.15342575920013</v>
      </c>
      <c r="AH132" s="121">
        <f t="shared" si="64"/>
        <v>158.14545451980013</v>
      </c>
      <c r="AI132" s="121">
        <f t="shared" ref="AI132:BA132" si="65">AI27</f>
        <v>148.98818916960008</v>
      </c>
      <c r="AJ132" s="121">
        <f t="shared" si="65"/>
        <v>112.69500509520005</v>
      </c>
      <c r="AK132" s="121">
        <f t="shared" si="65"/>
        <v>74.439846175199946</v>
      </c>
      <c r="AL132" s="121">
        <f t="shared" si="65"/>
        <v>65.955643789199968</v>
      </c>
      <c r="AM132" s="121">
        <f t="shared" si="65"/>
        <v>68.253609586799953</v>
      </c>
      <c r="AN132" s="121">
        <f t="shared" si="65"/>
        <v>92.939059811399943</v>
      </c>
      <c r="AO132" s="121">
        <f t="shared" si="65"/>
        <v>80.804265616799952</v>
      </c>
      <c r="AP132" s="121">
        <f t="shared" si="65"/>
        <v>77.989585621199907</v>
      </c>
      <c r="AQ132" s="121">
        <f t="shared" si="65"/>
        <v>72.29344714019993</v>
      </c>
      <c r="AR132" s="121">
        <f t="shared" si="65"/>
        <v>77.073679016399893</v>
      </c>
      <c r="AS132" s="121">
        <f t="shared" si="65"/>
        <v>106.77793911179991</v>
      </c>
      <c r="AT132" s="121">
        <f t="shared" si="65"/>
        <v>125.80228589939992</v>
      </c>
      <c r="AU132" s="121">
        <f t="shared" si="65"/>
        <v>138.10310451959981</v>
      </c>
      <c r="AV132" s="121">
        <f t="shared" si="65"/>
        <v>144.15103251119996</v>
      </c>
      <c r="AW132" s="121">
        <f t="shared" si="65"/>
        <v>141.99605980560003</v>
      </c>
      <c r="AX132" s="121">
        <f t="shared" si="65"/>
        <v>138.78692293620017</v>
      </c>
      <c r="AY132" s="121">
        <f t="shared" si="65"/>
        <v>141.58626548880017</v>
      </c>
      <c r="AZ132" s="121">
        <f t="shared" si="65"/>
        <v>159.15413270460004</v>
      </c>
      <c r="BA132" s="121">
        <f t="shared" si="65"/>
        <v>189.68530963140009</v>
      </c>
      <c r="BB132" s="121">
        <f t="shared" ref="BB132:BG132" si="66">BB27</f>
        <v>224.02333969619986</v>
      </c>
      <c r="BC132" s="121">
        <f t="shared" si="66"/>
        <v>230.20982073539994</v>
      </c>
      <c r="BD132" s="121">
        <f t="shared" si="66"/>
        <v>235.75639936199974</v>
      </c>
      <c r="BE132" s="121">
        <f t="shared" si="66"/>
        <v>228.83474770859971</v>
      </c>
      <c r="BF132" s="121">
        <f t="shared" si="66"/>
        <v>198.04822316399967</v>
      </c>
      <c r="BG132" s="121">
        <f t="shared" si="66"/>
        <v>200.46270340799984</v>
      </c>
    </row>
    <row r="133" spans="2:59" s="907" customFormat="1" x14ac:dyDescent="0.2">
      <c r="B133" s="613" t="s">
        <v>1170</v>
      </c>
      <c r="C133" s="861">
        <f>SUM(Consolidado!A15:C24)/1000*(1-34%)</f>
        <v>0</v>
      </c>
      <c r="D133" s="861">
        <f>SUM(Consolidado!A15:D24)/1000*(1-34%)</f>
        <v>0</v>
      </c>
      <c r="E133" s="861">
        <f>SUM(Consolidado!B15:E24)/1000*(1-34%)</f>
        <v>0</v>
      </c>
      <c r="F133" s="861">
        <f>SUM(Consolidado!C15:F24)/1000*(1-34%)</f>
        <v>0</v>
      </c>
      <c r="G133" s="861">
        <f>SUM(Consolidado!D15:G24)/1000*(1-34%)</f>
        <v>0</v>
      </c>
      <c r="H133" s="861">
        <f>SUM(Consolidado!E15:H24)/1000*(1-34%)</f>
        <v>0</v>
      </c>
      <c r="I133" s="861">
        <f>SUM(Consolidado!F15:I24)/1000*(1-34%)</f>
        <v>0</v>
      </c>
      <c r="J133" s="861">
        <f>SUM(Consolidado!G15:J24)/1000*(1-34%)</f>
        <v>0</v>
      </c>
      <c r="K133" s="861">
        <f>SUM(Consolidado!H15:K24)/1000*(1-34%)</f>
        <v>5.6779799999999989</v>
      </c>
      <c r="L133" s="861">
        <f>SUM(Consolidado!I15:L24)/1000*(1-34%)</f>
        <v>5.6779799999999989</v>
      </c>
      <c r="M133" s="861">
        <f>SUM(Consolidado!J15:M24)/1000*(1-34%)</f>
        <v>5.6779799999999989</v>
      </c>
      <c r="N133" s="861">
        <f>SUM(Consolidado!K15:N24)/1000*(1-34%)</f>
        <v>5.6779799999999989</v>
      </c>
      <c r="O133" s="861">
        <f>SUM(Consolidado!L15:O24)/1000*(1-34%)</f>
        <v>0</v>
      </c>
      <c r="P133" s="861">
        <f>SUM(Consolidado!M15:P24)/1000*(1-34%)</f>
        <v>0</v>
      </c>
      <c r="Q133" s="861">
        <f>SUM(Consolidado!N15:Q24)/1000*(1-34%)</f>
        <v>0</v>
      </c>
      <c r="R133" s="861">
        <f>SUM(Consolidado!O15:R24)/1000*(1-34%)</f>
        <v>4.4201312627999991</v>
      </c>
      <c r="S133" s="861">
        <f>SUM(Consolidado!P15:S24)/1000*(1-34%)</f>
        <v>4.4201312627999991</v>
      </c>
      <c r="T133" s="861">
        <f>SUM(Consolidado!Q15:T24)/1000*(1-34%)</f>
        <v>4.4201312627999991</v>
      </c>
      <c r="U133" s="861">
        <f>SUM(Consolidado!R15:U24)/1000*(1-34%)</f>
        <v>4.4201312627999991</v>
      </c>
      <c r="V133" s="861">
        <f>SUM(Consolidado!S15:V24)/1000*(1-34%)</f>
        <v>0</v>
      </c>
      <c r="W133" s="861">
        <f>SUM(Consolidado!T15:W24)/1000*(1-34%)</f>
        <v>0</v>
      </c>
      <c r="X133" s="861">
        <f>SUM(Consolidado!U15:X24)/1000*(1-34%)</f>
        <v>9.8999999999999986</v>
      </c>
      <c r="Y133" s="861">
        <f>SUM(Consolidado!V15:Y24)/1000*(1-34%)</f>
        <v>13.683779999999999</v>
      </c>
      <c r="Z133" s="861">
        <f>SUM(Consolidado!W15:Z24)/1000*(1-34%)</f>
        <v>-1.8258270425999645</v>
      </c>
      <c r="AA133" s="861">
        <f>SUM(Consolidado!X15:AA24)/1000*(1-34%)</f>
        <v>-1.8258270425999645</v>
      </c>
      <c r="AB133" s="861">
        <f>SUM(Consolidado!Y15:AB24)/1000*(1-34%)</f>
        <v>-11.725827042599963</v>
      </c>
      <c r="AC133" s="861">
        <f>SUM(Consolidado!Z15:AC24)/1000*(1-34%)</f>
        <v>-12.043445488799964</v>
      </c>
      <c r="AD133" s="861">
        <f>SUM(Consolidado!AA15:AD24)/1000*(1-34%)</f>
        <v>11.967647523121949</v>
      </c>
      <c r="AE133" s="861">
        <f>SUM(Consolidado!AB15:AE24)/1000*(1-34%)</f>
        <v>11.967647523121949</v>
      </c>
      <c r="AF133" s="861">
        <f>SUM(Consolidado!AC15:AF24)/1000*(1-34%)</f>
        <v>11.967647523121949</v>
      </c>
      <c r="AG133" s="861">
        <f>SUM(Consolidado!AD15:AG24)/1000*(1-34%)</f>
        <v>-24.756867196078041</v>
      </c>
      <c r="AH133" s="861">
        <f>SUM(Consolidado!AE15:AH24)/1000*(1-34%)</f>
        <v>-31.770713165399993</v>
      </c>
      <c r="AI133" s="861">
        <f>SUM(Consolidado!AF15:AI24)/1000*(1-34%)</f>
        <v>-29.581493165399994</v>
      </c>
      <c r="AJ133" s="861">
        <f>SUM(Consolidado!AG15:AJ24)/1000*(1-34%)</f>
        <v>-29.581493165399994</v>
      </c>
      <c r="AK133" s="861">
        <f>SUM(Consolidado!AH15:AK24)/1000*(1-34%)</f>
        <v>3.6768599999999996</v>
      </c>
      <c r="AL133" s="861">
        <f>SUM(Consolidado!AI15:AL24)/1000*(1-34%)</f>
        <v>5.6345995200000001</v>
      </c>
      <c r="AM133" s="861">
        <f>SUM(Consolidado!AJ15:AM24)/1000*(1-34%)</f>
        <v>3.4453795199999995</v>
      </c>
      <c r="AN133" s="861">
        <f>SUM(Consolidado!AK15:AN24)/1000*(1-34%)</f>
        <v>-0.33821158139999991</v>
      </c>
      <c r="AO133" s="861">
        <f>SUM(Consolidado!AL15:AO24)/1000*(1-34%)</f>
        <v>0.42672841860000005</v>
      </c>
      <c r="AP133" s="861">
        <f>SUM(Consolidado!AM15:AP24)/1000*(1-34%)</f>
        <v>-4.7287111013999992</v>
      </c>
      <c r="AQ133" s="861">
        <f>SUM(Consolidado!AN15:AQ24)/1000*(1-34%)</f>
        <v>-4.7287111013999992</v>
      </c>
      <c r="AR133" s="861">
        <f>SUM(Consolidado!AO15:AR24)/1000*(1-34%)</f>
        <v>-0.94511999999999985</v>
      </c>
      <c r="AS133" s="861">
        <f>SUM(Consolidado!AP15:AS24)/1000*(1-34%)</f>
        <v>2.6756531999999997</v>
      </c>
      <c r="AT133" s="861">
        <f>SUM(Consolidado!AQ15:AT24)/1000*(1-34%)</f>
        <v>0.78292317975124348</v>
      </c>
      <c r="AU133" s="861">
        <f>SUM(Consolidado!AR15:AU24)/1000*(1-34%)</f>
        <v>0.78292317975124348</v>
      </c>
      <c r="AV133" s="861">
        <f>SUM(Consolidado!AS15:AV24)/1000*(1-34%)</f>
        <v>0.78292317975124348</v>
      </c>
      <c r="AW133" s="861">
        <f>SUM(Consolidado!AT15:AW24)/1000*(1-34%)</f>
        <v>-3.6027900202487566</v>
      </c>
      <c r="AX133" s="861">
        <f>SUM(Consolidado!AU15:AX24)/1000*(1-34%)</f>
        <v>0</v>
      </c>
      <c r="AY133" s="861">
        <f>SUM(Consolidado!AV15:BD24)/1000*(1-34%)</f>
        <v>0</v>
      </c>
      <c r="AZ133" s="861">
        <f>SUM(Consolidado!AW15:BH24)/1000*(1-34%)</f>
        <v>0</v>
      </c>
      <c r="BA133" s="861">
        <f>SUM(Consolidado!AX15:BI24)/1000*(1-34%)</f>
        <v>0</v>
      </c>
      <c r="BB133" s="861">
        <f>SUM(Consolidado!AY15:BJ24)/1000*(1-34%)</f>
        <v>0</v>
      </c>
      <c r="BC133" s="861">
        <f>SUM(Consolidado!AZ15:BK24)/1000*(1-34%)</f>
        <v>0</v>
      </c>
      <c r="BD133" s="861">
        <f>SUM(Consolidado!BA15:BL24)/1000*(1-34%)</f>
        <v>0</v>
      </c>
      <c r="BE133" s="861">
        <f>SUM(Consolidado!BB15:BM24)/1000*(1-34%)</f>
        <v>0</v>
      </c>
      <c r="BF133" s="861">
        <f>SUM(Consolidado!BC15:BN24)/1000*(1-34%)</f>
        <v>0</v>
      </c>
      <c r="BG133" s="861">
        <f>SUM(Consolidado!BD15:BO24)/1000*(1-34%)</f>
        <v>0</v>
      </c>
    </row>
    <row r="134" spans="2:59" s="907" customFormat="1" x14ac:dyDescent="0.2">
      <c r="B134" s="612" t="s">
        <v>1171</v>
      </c>
      <c r="C134" s="121">
        <f t="shared" ref="C134:AS134" si="67">SUM(C132:C133)</f>
        <v>0</v>
      </c>
      <c r="D134" s="121">
        <f t="shared" si="67"/>
        <v>0</v>
      </c>
      <c r="E134" s="121">
        <f t="shared" si="67"/>
        <v>0</v>
      </c>
      <c r="F134" s="121">
        <f t="shared" si="67"/>
        <v>0</v>
      </c>
      <c r="G134" s="121">
        <f t="shared" si="67"/>
        <v>87.551639999999992</v>
      </c>
      <c r="H134" s="121">
        <f t="shared" si="67"/>
        <v>83.31113999999998</v>
      </c>
      <c r="I134" s="121">
        <f t="shared" si="67"/>
        <v>77.612700000000004</v>
      </c>
      <c r="J134" s="121">
        <f t="shared" si="67"/>
        <v>73.092359999999985</v>
      </c>
      <c r="K134" s="121">
        <f t="shared" si="67"/>
        <v>79.100999999999999</v>
      </c>
      <c r="L134" s="121">
        <f t="shared" si="67"/>
        <v>79.185479999999984</v>
      </c>
      <c r="M134" s="121">
        <f t="shared" si="67"/>
        <v>76.072259999999986</v>
      </c>
      <c r="N134" s="121">
        <f t="shared" si="67"/>
        <v>91.3506</v>
      </c>
      <c r="O134" s="121">
        <f t="shared" si="67"/>
        <v>90.095279999999974</v>
      </c>
      <c r="P134" s="121">
        <f t="shared" si="67"/>
        <v>74.806379999999947</v>
      </c>
      <c r="Q134" s="121">
        <f t="shared" si="67"/>
        <v>61.772690766599922</v>
      </c>
      <c r="R134" s="121">
        <f t="shared" si="67"/>
        <v>32.314241711399902</v>
      </c>
      <c r="S134" s="121">
        <f t="shared" si="67"/>
        <v>25.364728487999933</v>
      </c>
      <c r="T134" s="121">
        <f t="shared" si="67"/>
        <v>26.02356763379996</v>
      </c>
      <c r="U134" s="121">
        <f t="shared" si="67"/>
        <v>27.496277687999982</v>
      </c>
      <c r="V134" s="121">
        <f t="shared" si="67"/>
        <v>38.851514083800019</v>
      </c>
      <c r="W134" s="121">
        <f t="shared" si="67"/>
        <v>43.376547475799995</v>
      </c>
      <c r="X134" s="121">
        <f t="shared" si="67"/>
        <v>56.885338553999958</v>
      </c>
      <c r="Y134" s="121">
        <f t="shared" si="67"/>
        <v>67.153276139400006</v>
      </c>
      <c r="Z134" s="121">
        <f t="shared" si="67"/>
        <v>70.425627439199985</v>
      </c>
      <c r="AA134" s="121">
        <f t="shared" si="67"/>
        <v>75.826372901399992</v>
      </c>
      <c r="AB134" s="121">
        <f t="shared" si="67"/>
        <v>81.195454672199972</v>
      </c>
      <c r="AC134" s="121">
        <f t="shared" si="67"/>
        <v>92.593055451599909</v>
      </c>
      <c r="AD134" s="121">
        <f t="shared" si="67"/>
        <v>112.97686891092188</v>
      </c>
      <c r="AE134" s="121">
        <f t="shared" si="67"/>
        <v>124.91072932632187</v>
      </c>
      <c r="AF134" s="121">
        <f t="shared" si="67"/>
        <v>131.22370259952194</v>
      </c>
      <c r="AG134" s="121">
        <f t="shared" si="67"/>
        <v>130.39655856312208</v>
      </c>
      <c r="AH134" s="121">
        <f t="shared" si="67"/>
        <v>126.37474135440013</v>
      </c>
      <c r="AI134" s="121">
        <f t="shared" si="67"/>
        <v>119.40669600420009</v>
      </c>
      <c r="AJ134" s="121">
        <f t="shared" si="67"/>
        <v>83.113511929800055</v>
      </c>
      <c r="AK134" s="121">
        <f t="shared" si="67"/>
        <v>78.116706175199951</v>
      </c>
      <c r="AL134" s="121">
        <f t="shared" si="67"/>
        <v>71.590243309199963</v>
      </c>
      <c r="AM134" s="121">
        <f t="shared" si="67"/>
        <v>71.698989106799957</v>
      </c>
      <c r="AN134" s="121">
        <f t="shared" si="67"/>
        <v>92.60084822999994</v>
      </c>
      <c r="AO134" s="121">
        <f t="shared" si="67"/>
        <v>81.230994035399959</v>
      </c>
      <c r="AP134" s="121">
        <f t="shared" si="67"/>
        <v>73.260874519799913</v>
      </c>
      <c r="AQ134" s="121">
        <f t="shared" si="67"/>
        <v>67.564736038799936</v>
      </c>
      <c r="AR134" s="121">
        <f t="shared" si="67"/>
        <v>76.12855901639989</v>
      </c>
      <c r="AS134" s="121">
        <f t="shared" si="67"/>
        <v>109.45359231179991</v>
      </c>
      <c r="AT134" s="121">
        <f t="shared" ref="AT134:AY134" si="68">SUM(AT132:AT133)</f>
        <v>126.58520907915116</v>
      </c>
      <c r="AU134" s="121">
        <f t="shared" si="68"/>
        <v>138.88602769935105</v>
      </c>
      <c r="AV134" s="121">
        <f t="shared" si="68"/>
        <v>144.93395569095119</v>
      </c>
      <c r="AW134" s="121">
        <f t="shared" si="68"/>
        <v>138.39326978535126</v>
      </c>
      <c r="AX134" s="121">
        <f t="shared" si="68"/>
        <v>138.78692293620017</v>
      </c>
      <c r="AY134" s="121">
        <f t="shared" si="68"/>
        <v>141.58626548880017</v>
      </c>
      <c r="AZ134" s="121">
        <f t="shared" ref="AZ134:BG134" si="69">SUM(AZ132:AZ133)</f>
        <v>159.15413270460004</v>
      </c>
      <c r="BA134" s="121">
        <f t="shared" si="69"/>
        <v>189.68530963140009</v>
      </c>
      <c r="BB134" s="121">
        <f t="shared" si="69"/>
        <v>224.02333969619986</v>
      </c>
      <c r="BC134" s="121">
        <f t="shared" si="69"/>
        <v>230.20982073539994</v>
      </c>
      <c r="BD134" s="121">
        <f t="shared" si="69"/>
        <v>235.75639936199974</v>
      </c>
      <c r="BE134" s="121">
        <f t="shared" si="69"/>
        <v>228.83474770859971</v>
      </c>
      <c r="BF134" s="121">
        <f t="shared" si="69"/>
        <v>198.04822316399967</v>
      </c>
      <c r="BG134" s="121">
        <f t="shared" si="69"/>
        <v>200.46270340799984</v>
      </c>
    </row>
    <row r="135" spans="2:59" s="907" customFormat="1" x14ac:dyDescent="0.2">
      <c r="B135" s="612" t="s">
        <v>1175</v>
      </c>
      <c r="C135" s="121">
        <f t="shared" ref="C135:AS135" si="70">C136+C137-C138</f>
        <v>0</v>
      </c>
      <c r="D135" s="121">
        <f t="shared" si="70"/>
        <v>0</v>
      </c>
      <c r="E135" s="121">
        <f t="shared" si="70"/>
        <v>0</v>
      </c>
      <c r="F135" s="121">
        <f t="shared" si="70"/>
        <v>0</v>
      </c>
      <c r="G135" s="121">
        <f t="shared" si="70"/>
        <v>483.69200000000001</v>
      </c>
      <c r="H135" s="121">
        <f t="shared" si="70"/>
        <v>499.10599999999999</v>
      </c>
      <c r="I135" s="121">
        <f t="shared" si="70"/>
        <v>514.66250000000002</v>
      </c>
      <c r="J135" s="121">
        <f t="shared" si="70"/>
        <v>520.1690000000001</v>
      </c>
      <c r="K135" s="121">
        <f t="shared" si="70"/>
        <v>524.31124999999997</v>
      </c>
      <c r="L135" s="121">
        <f t="shared" si="70"/>
        <v>503.66325000000006</v>
      </c>
      <c r="M135" s="121">
        <f t="shared" si="70"/>
        <v>491.84750000000008</v>
      </c>
      <c r="N135" s="121">
        <f t="shared" si="70"/>
        <v>478.30574999999999</v>
      </c>
      <c r="O135" s="121">
        <f t="shared" si="70"/>
        <v>447.45925000000011</v>
      </c>
      <c r="P135" s="121">
        <f t="shared" si="70"/>
        <v>445.24125000000004</v>
      </c>
      <c r="Q135" s="121">
        <f t="shared" si="70"/>
        <v>414.31200000000001</v>
      </c>
      <c r="R135" s="121">
        <f t="shared" si="70"/>
        <v>386.26925000000006</v>
      </c>
      <c r="S135" s="121">
        <f t="shared" si="70"/>
        <v>365.87800000000004</v>
      </c>
      <c r="T135" s="121">
        <f t="shared" si="70"/>
        <v>336.21974999999998</v>
      </c>
      <c r="U135" s="121">
        <f t="shared" si="70"/>
        <v>320.70000000000005</v>
      </c>
      <c r="V135" s="121">
        <f t="shared" si="70"/>
        <v>310.29875000000004</v>
      </c>
      <c r="W135" s="121">
        <f t="shared" si="70"/>
        <v>311.30200000000002</v>
      </c>
      <c r="X135" s="121">
        <f t="shared" si="70"/>
        <v>313.00889967750004</v>
      </c>
      <c r="Y135" s="121">
        <f t="shared" si="70"/>
        <v>315.74179935500001</v>
      </c>
      <c r="Z135" s="121">
        <f t="shared" si="70"/>
        <v>328.37104935499997</v>
      </c>
      <c r="AA135" s="121">
        <f t="shared" si="70"/>
        <v>329.05529935499999</v>
      </c>
      <c r="AB135" s="121">
        <f t="shared" si="70"/>
        <v>330.96114967749998</v>
      </c>
      <c r="AC135" s="121">
        <f t="shared" si="70"/>
        <v>340.19150000000002</v>
      </c>
      <c r="AD135" s="121">
        <f t="shared" si="70"/>
        <v>349.94024999999999</v>
      </c>
      <c r="AE135" s="121">
        <f t="shared" si="70"/>
        <v>367.67149999999992</v>
      </c>
      <c r="AF135" s="121">
        <f t="shared" si="70"/>
        <v>380.60200000000009</v>
      </c>
      <c r="AG135" s="121">
        <f t="shared" si="70"/>
        <v>404.61599999999999</v>
      </c>
      <c r="AH135" s="121">
        <f t="shared" si="70"/>
        <v>426.05324999999993</v>
      </c>
      <c r="AI135" s="121">
        <f t="shared" si="70"/>
        <v>440.29649999999992</v>
      </c>
      <c r="AJ135" s="121">
        <f t="shared" si="70"/>
        <v>435.2639999999999</v>
      </c>
      <c r="AK135" s="121">
        <f t="shared" si="70"/>
        <v>425.23149999999998</v>
      </c>
      <c r="AL135" s="121">
        <f t="shared" si="70"/>
        <v>403.46199999999999</v>
      </c>
      <c r="AM135" s="121">
        <f t="shared" si="70"/>
        <v>386.43224999999995</v>
      </c>
      <c r="AN135" s="121">
        <f t="shared" si="70"/>
        <v>395.62124999999992</v>
      </c>
      <c r="AO135" s="121">
        <f t="shared" si="70"/>
        <v>397.94425000000001</v>
      </c>
      <c r="AP135" s="121">
        <f t="shared" si="70"/>
        <v>424.04549999999995</v>
      </c>
      <c r="AQ135" s="121">
        <f t="shared" si="70"/>
        <v>442.44475</v>
      </c>
      <c r="AR135" s="121">
        <f t="shared" si="70"/>
        <v>465.42549999999994</v>
      </c>
      <c r="AS135" s="121">
        <f t="shared" si="70"/>
        <v>488.09550000000002</v>
      </c>
      <c r="AT135" s="121">
        <f t="shared" ref="AT135:AY135" si="71">AT136+AT137-AT138</f>
        <v>491.88</v>
      </c>
      <c r="AU135" s="121">
        <f t="shared" si="71"/>
        <v>502.12350000000004</v>
      </c>
      <c r="AV135" s="121">
        <f t="shared" si="71"/>
        <v>501.85099999999989</v>
      </c>
      <c r="AW135" s="121">
        <f t="shared" si="71"/>
        <v>499.63599999999985</v>
      </c>
      <c r="AX135" s="121">
        <f t="shared" si="71"/>
        <v>506.28599999999994</v>
      </c>
      <c r="AY135" s="121">
        <f t="shared" si="71"/>
        <v>513.96399999999994</v>
      </c>
      <c r="AZ135" s="121">
        <f t="shared" ref="AZ135:BG135" si="72">AZ136+AZ137-AZ138</f>
        <v>528.01974999999993</v>
      </c>
      <c r="BA135" s="121">
        <f t="shared" si="72"/>
        <v>547.23249999999996</v>
      </c>
      <c r="BB135" s="121">
        <f t="shared" si="72"/>
        <v>567.6925</v>
      </c>
      <c r="BC135" s="121">
        <f t="shared" si="72"/>
        <v>581.78174999999999</v>
      </c>
      <c r="BD135" s="121">
        <f t="shared" si="72"/>
        <v>601.53740000000005</v>
      </c>
      <c r="BE135" s="121">
        <f t="shared" si="72"/>
        <v>612.74800000000005</v>
      </c>
      <c r="BF135" s="121">
        <f t="shared" si="72"/>
        <v>625.52064999999993</v>
      </c>
      <c r="BG135" s="121">
        <f t="shared" si="72"/>
        <v>659.77025000000003</v>
      </c>
    </row>
    <row r="136" spans="2:59" s="907" customFormat="1" x14ac:dyDescent="0.2">
      <c r="B136" s="613" t="s">
        <v>711</v>
      </c>
      <c r="C136" s="118">
        <f t="shared" ref="C136:AH136" si="73">C29</f>
        <v>0</v>
      </c>
      <c r="D136" s="118">
        <f t="shared" si="73"/>
        <v>0</v>
      </c>
      <c r="E136" s="118">
        <f t="shared" si="73"/>
        <v>0</v>
      </c>
      <c r="F136" s="118">
        <f t="shared" si="73"/>
        <v>0</v>
      </c>
      <c r="G136" s="118">
        <f t="shared" si="73"/>
        <v>226.7955</v>
      </c>
      <c r="H136" s="118">
        <f t="shared" si="73"/>
        <v>239.9735</v>
      </c>
      <c r="I136" s="118">
        <f t="shared" si="73"/>
        <v>255.72475</v>
      </c>
      <c r="J136" s="118">
        <f t="shared" si="73"/>
        <v>266.86225000000002</v>
      </c>
      <c r="K136" s="118">
        <f t="shared" si="73"/>
        <v>277.32799999999997</v>
      </c>
      <c r="L136" s="118">
        <f t="shared" si="73"/>
        <v>266.69125000000003</v>
      </c>
      <c r="M136" s="118">
        <f t="shared" si="73"/>
        <v>273.41075000000001</v>
      </c>
      <c r="N136" s="118">
        <f t="shared" si="73"/>
        <v>269.72975000000002</v>
      </c>
      <c r="O136" s="118">
        <f t="shared" si="73"/>
        <v>247.17025000000001</v>
      </c>
      <c r="P136" s="118">
        <f t="shared" si="73"/>
        <v>246.27275</v>
      </c>
      <c r="Q136" s="118">
        <f t="shared" si="73"/>
        <v>209.7345</v>
      </c>
      <c r="R136" s="118">
        <f t="shared" si="73"/>
        <v>180.87524999999999</v>
      </c>
      <c r="S136" s="118">
        <f t="shared" si="73"/>
        <v>162.24600000000001</v>
      </c>
      <c r="T136" s="118">
        <f t="shared" si="73"/>
        <v>134.84800000000001</v>
      </c>
      <c r="U136" s="118">
        <f t="shared" si="73"/>
        <v>120.6005</v>
      </c>
      <c r="V136" s="118">
        <f t="shared" si="73"/>
        <v>107.77075000000001</v>
      </c>
      <c r="W136" s="118">
        <f t="shared" si="73"/>
        <v>104.33750000000001</v>
      </c>
      <c r="X136" s="118">
        <f t="shared" si="73"/>
        <v>96.198499999999996</v>
      </c>
      <c r="Y136" s="118">
        <f t="shared" si="73"/>
        <v>89.911749999999998</v>
      </c>
      <c r="Z136" s="118">
        <f t="shared" si="73"/>
        <v>83.767499999999998</v>
      </c>
      <c r="AA136" s="118">
        <f t="shared" si="73"/>
        <v>67.083500000000001</v>
      </c>
      <c r="AB136" s="118">
        <f t="shared" si="73"/>
        <v>58.734250000000003</v>
      </c>
      <c r="AC136" s="118">
        <f t="shared" si="73"/>
        <v>55.304499999999997</v>
      </c>
      <c r="AD136" s="118">
        <f t="shared" si="73"/>
        <v>55.53</v>
      </c>
      <c r="AE136" s="118">
        <f t="shared" si="73"/>
        <v>57.03725</v>
      </c>
      <c r="AF136" s="118">
        <f t="shared" si="73"/>
        <v>50.649250000000002</v>
      </c>
      <c r="AG136" s="118">
        <f t="shared" si="73"/>
        <v>42.41</v>
      </c>
      <c r="AH136" s="118">
        <f t="shared" si="73"/>
        <v>41.170499999999997</v>
      </c>
      <c r="AI136" s="118">
        <f t="shared" ref="AI136:BA136" si="74">AI29</f>
        <v>34.382249999999999</v>
      </c>
      <c r="AJ136" s="118">
        <f t="shared" si="74"/>
        <v>10.787750000000001</v>
      </c>
      <c r="AK136" s="118">
        <f t="shared" si="74"/>
        <v>-9.7977500000000006</v>
      </c>
      <c r="AL136" s="118">
        <f t="shared" si="74"/>
        <v>-43.963250000000002</v>
      </c>
      <c r="AM136" s="118">
        <f t="shared" si="74"/>
        <v>-73.438000000000002</v>
      </c>
      <c r="AN136" s="118">
        <f t="shared" si="74"/>
        <v>-80.865499999999997</v>
      </c>
      <c r="AO136" s="118">
        <f t="shared" si="74"/>
        <v>-90.714250000000007</v>
      </c>
      <c r="AP136" s="118">
        <f t="shared" si="74"/>
        <v>-78.630750000000006</v>
      </c>
      <c r="AQ136" s="118">
        <f t="shared" si="74"/>
        <v>-73.864249999999998</v>
      </c>
      <c r="AR136" s="118">
        <f t="shared" si="74"/>
        <v>-63.638249999999999</v>
      </c>
      <c r="AS136" s="118">
        <f t="shared" si="74"/>
        <v>-57.904499999999999</v>
      </c>
      <c r="AT136" s="118">
        <f t="shared" si="74"/>
        <v>-75.483750000000001</v>
      </c>
      <c r="AU136" s="118">
        <f t="shared" si="74"/>
        <v>-90.59075</v>
      </c>
      <c r="AV136" s="118">
        <f t="shared" si="74"/>
        <v>-114.2055</v>
      </c>
      <c r="AW136" s="118">
        <f t="shared" si="74"/>
        <v>-137.209</v>
      </c>
      <c r="AX136" s="118">
        <f t="shared" si="74"/>
        <v>-147.80425</v>
      </c>
      <c r="AY136" s="118">
        <f t="shared" si="74"/>
        <v>-158.02850000000001</v>
      </c>
      <c r="AZ136" s="118">
        <f t="shared" si="74"/>
        <v>-165.79474999999999</v>
      </c>
      <c r="BA136" s="118">
        <f t="shared" si="74"/>
        <v>-164.70050000000001</v>
      </c>
      <c r="BB136" s="118">
        <f t="shared" ref="BB136:BG138" si="75">BB29</f>
        <v>-165.80025000000001</v>
      </c>
      <c r="BC136" s="118">
        <f t="shared" si="75"/>
        <v>-174.8835</v>
      </c>
      <c r="BD136" s="118">
        <f t="shared" si="75"/>
        <v>-189.661</v>
      </c>
      <c r="BE136" s="118">
        <f t="shared" si="75"/>
        <v>-190.01050000000001</v>
      </c>
      <c r="BF136" s="118">
        <f t="shared" si="75"/>
        <v>-153.15325000000001</v>
      </c>
      <c r="BG136" s="118">
        <f t="shared" si="75"/>
        <v>-110.67149999999999</v>
      </c>
    </row>
    <row r="137" spans="2:59" s="907" customFormat="1" x14ac:dyDescent="0.2">
      <c r="B137" s="613" t="s">
        <v>709</v>
      </c>
      <c r="C137" s="118">
        <f t="shared" ref="C137:AH137" si="76">C30</f>
        <v>0</v>
      </c>
      <c r="D137" s="118">
        <f t="shared" si="76"/>
        <v>0</v>
      </c>
      <c r="E137" s="118">
        <f t="shared" si="76"/>
        <v>0</v>
      </c>
      <c r="F137" s="118">
        <f t="shared" si="76"/>
        <v>0</v>
      </c>
      <c r="G137" s="118">
        <f t="shared" si="76"/>
        <v>420.82049999999998</v>
      </c>
      <c r="H137" s="118">
        <f t="shared" si="76"/>
        <v>423.05650000000003</v>
      </c>
      <c r="I137" s="118">
        <f t="shared" si="76"/>
        <v>422.86174999999997</v>
      </c>
      <c r="J137" s="118">
        <f t="shared" si="76"/>
        <v>417.23075</v>
      </c>
      <c r="K137" s="118">
        <f t="shared" si="76"/>
        <v>410.90724999999998</v>
      </c>
      <c r="L137" s="118">
        <f t="shared" si="76"/>
        <v>400.89600000000002</v>
      </c>
      <c r="M137" s="118">
        <f t="shared" si="76"/>
        <v>382.36075</v>
      </c>
      <c r="N137" s="118">
        <f t="shared" si="76"/>
        <v>372.5</v>
      </c>
      <c r="O137" s="118">
        <f t="shared" si="76"/>
        <v>364.21300000000002</v>
      </c>
      <c r="P137" s="118">
        <f t="shared" si="76"/>
        <v>362.89249999999998</v>
      </c>
      <c r="Q137" s="118">
        <f t="shared" si="76"/>
        <v>368.50150000000002</v>
      </c>
      <c r="R137" s="118">
        <f t="shared" si="76"/>
        <v>369.31799999999998</v>
      </c>
      <c r="S137" s="118">
        <f t="shared" si="76"/>
        <v>367.55599999999998</v>
      </c>
      <c r="T137" s="118">
        <f t="shared" si="76"/>
        <v>365.29575</v>
      </c>
      <c r="U137" s="118">
        <f t="shared" si="76"/>
        <v>364.02350000000001</v>
      </c>
      <c r="V137" s="118">
        <f t="shared" si="76"/>
        <v>366.452</v>
      </c>
      <c r="W137" s="118">
        <f t="shared" si="76"/>
        <v>370.88850000000002</v>
      </c>
      <c r="X137" s="118">
        <f t="shared" si="76"/>
        <v>380.39325000000002</v>
      </c>
      <c r="Y137" s="118">
        <f t="shared" si="76"/>
        <v>389.07175000000001</v>
      </c>
      <c r="Z137" s="118">
        <f t="shared" si="76"/>
        <v>407.50400000000002</v>
      </c>
      <c r="AA137" s="118">
        <f t="shared" si="76"/>
        <v>428.07249999999999</v>
      </c>
      <c r="AB137" s="118">
        <f t="shared" si="76"/>
        <v>441.86900000000003</v>
      </c>
      <c r="AC137" s="118">
        <f t="shared" si="76"/>
        <v>458.07049999999998</v>
      </c>
      <c r="AD137" s="118">
        <f t="shared" si="76"/>
        <v>466.96199999999999</v>
      </c>
      <c r="AE137" s="118">
        <f t="shared" si="76"/>
        <v>479.01274999999998</v>
      </c>
      <c r="AF137" s="118">
        <f t="shared" si="76"/>
        <v>494.15800000000002</v>
      </c>
      <c r="AG137" s="118">
        <f t="shared" si="76"/>
        <v>522.23800000000006</v>
      </c>
      <c r="AH137" s="118">
        <f t="shared" si="76"/>
        <v>544.91475000000003</v>
      </c>
      <c r="AI137" s="118">
        <f t="shared" ref="AI137:BA137" si="77">AI30</f>
        <v>565.94624999999996</v>
      </c>
      <c r="AJ137" s="118">
        <f t="shared" si="77"/>
        <v>584.50824999999998</v>
      </c>
      <c r="AK137" s="118">
        <f t="shared" si="77"/>
        <v>595.06124999999997</v>
      </c>
      <c r="AL137" s="118">
        <f t="shared" si="77"/>
        <v>607.45725000000004</v>
      </c>
      <c r="AM137" s="118">
        <f t="shared" si="77"/>
        <v>619.90224999999998</v>
      </c>
      <c r="AN137" s="118">
        <f t="shared" si="77"/>
        <v>636.51874999999995</v>
      </c>
      <c r="AO137" s="118">
        <f t="shared" si="77"/>
        <v>648.69050000000004</v>
      </c>
      <c r="AP137" s="118">
        <f t="shared" si="77"/>
        <v>662.70825000000002</v>
      </c>
      <c r="AQ137" s="118">
        <f t="shared" si="77"/>
        <v>676.34100000000001</v>
      </c>
      <c r="AR137" s="118">
        <f t="shared" si="77"/>
        <v>689.09574999999995</v>
      </c>
      <c r="AS137" s="118">
        <f t="shared" si="77"/>
        <v>706.03200000000004</v>
      </c>
      <c r="AT137" s="118">
        <f t="shared" si="77"/>
        <v>727.39575000000002</v>
      </c>
      <c r="AU137" s="118">
        <f t="shared" si="77"/>
        <v>752.74625000000003</v>
      </c>
      <c r="AV137" s="118">
        <f t="shared" si="77"/>
        <v>776.08849999999995</v>
      </c>
      <c r="AW137" s="118">
        <f t="shared" si="77"/>
        <v>796.87699999999995</v>
      </c>
      <c r="AX137" s="118">
        <f t="shared" si="77"/>
        <v>814.12225000000001</v>
      </c>
      <c r="AY137" s="118">
        <f t="shared" si="77"/>
        <v>832.02449999999999</v>
      </c>
      <c r="AZ137" s="118">
        <f t="shared" si="77"/>
        <v>853.84649999999999</v>
      </c>
      <c r="BA137" s="118">
        <f t="shared" si="77"/>
        <v>871.96500000000003</v>
      </c>
      <c r="BB137" s="118">
        <f t="shared" si="75"/>
        <v>893.52475000000004</v>
      </c>
      <c r="BC137" s="118">
        <f t="shared" si="75"/>
        <v>916.69725000000005</v>
      </c>
      <c r="BD137" s="118">
        <f t="shared" si="75"/>
        <v>951.23040000000003</v>
      </c>
      <c r="BE137" s="118">
        <f t="shared" si="75"/>
        <v>966.03625</v>
      </c>
      <c r="BF137" s="118">
        <f t="shared" si="75"/>
        <v>945.19740000000002</v>
      </c>
      <c r="BG137" s="118">
        <f t="shared" si="75"/>
        <v>940.21100000000001</v>
      </c>
    </row>
    <row r="138" spans="2:59" s="907" customFormat="1" x14ac:dyDescent="0.2">
      <c r="B138" s="613" t="s">
        <v>710</v>
      </c>
      <c r="C138" s="118">
        <f t="shared" ref="C138:AH138" si="78">C31</f>
        <v>0</v>
      </c>
      <c r="D138" s="118">
        <f t="shared" si="78"/>
        <v>0</v>
      </c>
      <c r="E138" s="118">
        <f t="shared" si="78"/>
        <v>0</v>
      </c>
      <c r="F138" s="118">
        <f t="shared" si="78"/>
        <v>0</v>
      </c>
      <c r="G138" s="118">
        <f t="shared" si="78"/>
        <v>163.92400000000001</v>
      </c>
      <c r="H138" s="118">
        <f t="shared" si="78"/>
        <v>163.92400000000001</v>
      </c>
      <c r="I138" s="118">
        <f t="shared" si="78"/>
        <v>163.92400000000001</v>
      </c>
      <c r="J138" s="118">
        <f t="shared" si="78"/>
        <v>163.92400000000001</v>
      </c>
      <c r="K138" s="118">
        <f t="shared" si="78"/>
        <v>163.92400000000001</v>
      </c>
      <c r="L138" s="118">
        <f t="shared" si="78"/>
        <v>163.92400000000001</v>
      </c>
      <c r="M138" s="118">
        <f t="shared" si="78"/>
        <v>163.92400000000001</v>
      </c>
      <c r="N138" s="118">
        <f t="shared" si="78"/>
        <v>163.92400000000001</v>
      </c>
      <c r="O138" s="118">
        <f t="shared" si="78"/>
        <v>163.92400000000001</v>
      </c>
      <c r="P138" s="118">
        <f t="shared" si="78"/>
        <v>163.92400000000001</v>
      </c>
      <c r="Q138" s="118">
        <f t="shared" si="78"/>
        <v>163.92400000000001</v>
      </c>
      <c r="R138" s="118">
        <f t="shared" si="78"/>
        <v>163.92400000000001</v>
      </c>
      <c r="S138" s="118">
        <f t="shared" si="78"/>
        <v>163.92400000000001</v>
      </c>
      <c r="T138" s="118">
        <f t="shared" si="78"/>
        <v>163.92400000000001</v>
      </c>
      <c r="U138" s="118">
        <f t="shared" si="78"/>
        <v>163.92400000000001</v>
      </c>
      <c r="V138" s="118">
        <f t="shared" si="78"/>
        <v>163.92400000000001</v>
      </c>
      <c r="W138" s="118">
        <f t="shared" si="78"/>
        <v>163.92400000000001</v>
      </c>
      <c r="X138" s="118">
        <f t="shared" si="78"/>
        <v>163.58285032249998</v>
      </c>
      <c r="Y138" s="118">
        <f t="shared" si="78"/>
        <v>163.24170064500001</v>
      </c>
      <c r="Z138" s="118">
        <f t="shared" si="78"/>
        <v>162.90045064500001</v>
      </c>
      <c r="AA138" s="118">
        <f t="shared" si="78"/>
        <v>166.10070064500002</v>
      </c>
      <c r="AB138" s="118">
        <f t="shared" si="78"/>
        <v>169.6421003225</v>
      </c>
      <c r="AC138" s="118">
        <f t="shared" si="78"/>
        <v>173.18350000000001</v>
      </c>
      <c r="AD138" s="118">
        <f t="shared" si="78"/>
        <v>172.55175</v>
      </c>
      <c r="AE138" s="118">
        <f t="shared" si="78"/>
        <v>168.3785</v>
      </c>
      <c r="AF138" s="118">
        <f t="shared" si="78"/>
        <v>164.20525000000001</v>
      </c>
      <c r="AG138" s="118">
        <f t="shared" si="78"/>
        <v>160.03200000000001</v>
      </c>
      <c r="AH138" s="118">
        <f t="shared" si="78"/>
        <v>160.03200000000001</v>
      </c>
      <c r="AI138" s="118">
        <f t="shared" ref="AI138:BA138" si="79">AI31</f>
        <v>160.03200000000001</v>
      </c>
      <c r="AJ138" s="118">
        <f t="shared" si="79"/>
        <v>160.03200000000001</v>
      </c>
      <c r="AK138" s="118">
        <f t="shared" si="79"/>
        <v>160.03200000000001</v>
      </c>
      <c r="AL138" s="118">
        <f t="shared" si="79"/>
        <v>160.03200000000001</v>
      </c>
      <c r="AM138" s="118">
        <f t="shared" si="79"/>
        <v>160.03200000000001</v>
      </c>
      <c r="AN138" s="118">
        <f t="shared" si="79"/>
        <v>160.03200000000001</v>
      </c>
      <c r="AO138" s="118">
        <f t="shared" si="79"/>
        <v>160.03200000000001</v>
      </c>
      <c r="AP138" s="118">
        <f t="shared" si="79"/>
        <v>160.03200000000001</v>
      </c>
      <c r="AQ138" s="118">
        <f t="shared" si="79"/>
        <v>160.03200000000001</v>
      </c>
      <c r="AR138" s="118">
        <f t="shared" si="79"/>
        <v>160.03200000000001</v>
      </c>
      <c r="AS138" s="118">
        <f t="shared" si="79"/>
        <v>160.03200000000001</v>
      </c>
      <c r="AT138" s="118">
        <f t="shared" si="79"/>
        <v>160.03200000000001</v>
      </c>
      <c r="AU138" s="118">
        <f t="shared" si="79"/>
        <v>160.03200000000001</v>
      </c>
      <c r="AV138" s="118">
        <f t="shared" si="79"/>
        <v>160.03200000000001</v>
      </c>
      <c r="AW138" s="118">
        <f t="shared" si="79"/>
        <v>160.03200000000001</v>
      </c>
      <c r="AX138" s="118">
        <f t="shared" si="79"/>
        <v>160.03200000000001</v>
      </c>
      <c r="AY138" s="118">
        <f t="shared" si="79"/>
        <v>160.03200000000001</v>
      </c>
      <c r="AZ138" s="118">
        <f t="shared" si="79"/>
        <v>160.03200000000001</v>
      </c>
      <c r="BA138" s="118">
        <f t="shared" si="79"/>
        <v>160.03200000000001</v>
      </c>
      <c r="BB138" s="118">
        <f t="shared" si="75"/>
        <v>160.03200000000001</v>
      </c>
      <c r="BC138" s="118">
        <f t="shared" si="75"/>
        <v>160.03200000000001</v>
      </c>
      <c r="BD138" s="118">
        <f t="shared" si="75"/>
        <v>160.03200000000001</v>
      </c>
      <c r="BE138" s="118">
        <f t="shared" si="75"/>
        <v>163.27775</v>
      </c>
      <c r="BF138" s="118">
        <f t="shared" si="75"/>
        <v>166.52350000000001</v>
      </c>
      <c r="BG138" s="118">
        <f t="shared" si="75"/>
        <v>169.76925</v>
      </c>
    </row>
    <row r="139" spans="2:59" s="907" customFormat="1" x14ac:dyDescent="0.2">
      <c r="B139" s="612" t="s">
        <v>1172</v>
      </c>
      <c r="C139" s="121">
        <f t="shared" ref="C139:AS139" si="80">C134-(C135*17%)</f>
        <v>0</v>
      </c>
      <c r="D139" s="121">
        <f t="shared" si="80"/>
        <v>0</v>
      </c>
      <c r="E139" s="121">
        <f t="shared" si="80"/>
        <v>0</v>
      </c>
      <c r="F139" s="121">
        <f t="shared" si="80"/>
        <v>0</v>
      </c>
      <c r="G139" s="121">
        <f t="shared" si="80"/>
        <v>5.3239999999999839</v>
      </c>
      <c r="H139" s="121">
        <f t="shared" si="80"/>
        <v>-1.5368800000000249</v>
      </c>
      <c r="I139" s="121">
        <f t="shared" si="80"/>
        <v>-9.8799250000000001</v>
      </c>
      <c r="J139" s="121">
        <f t="shared" si="80"/>
        <v>-15.336370000000031</v>
      </c>
      <c r="K139" s="121">
        <f t="shared" si="80"/>
        <v>-10.031912500000004</v>
      </c>
      <c r="L139" s="121">
        <f t="shared" si="80"/>
        <v>-6.4372725000000344</v>
      </c>
      <c r="M139" s="121">
        <f t="shared" si="80"/>
        <v>-7.5418150000000281</v>
      </c>
      <c r="N139" s="121">
        <f t="shared" si="80"/>
        <v>10.038622500000002</v>
      </c>
      <c r="O139" s="121">
        <f t="shared" si="80"/>
        <v>14.027207499999946</v>
      </c>
      <c r="P139" s="121">
        <f t="shared" si="80"/>
        <v>-0.8846325000000661</v>
      </c>
      <c r="Q139" s="121">
        <f t="shared" si="80"/>
        <v>-8.6603492334000833</v>
      </c>
      <c r="R139" s="121">
        <f t="shared" si="80"/>
        <v>-33.351530788600115</v>
      </c>
      <c r="S139" s="121">
        <f t="shared" si="80"/>
        <v>-36.834531512000076</v>
      </c>
      <c r="T139" s="121">
        <f t="shared" si="80"/>
        <v>-31.133789866200043</v>
      </c>
      <c r="U139" s="121">
        <f t="shared" si="80"/>
        <v>-27.022722312000031</v>
      </c>
      <c r="V139" s="121">
        <f t="shared" si="80"/>
        <v>-13.899273416199989</v>
      </c>
      <c r="W139" s="121">
        <f t="shared" si="80"/>
        <v>-9.5447925242000125</v>
      </c>
      <c r="X139" s="121">
        <f t="shared" si="80"/>
        <v>3.6738256088249486</v>
      </c>
      <c r="Y139" s="121">
        <f t="shared" si="80"/>
        <v>13.477170249049998</v>
      </c>
      <c r="Z139" s="121">
        <f t="shared" si="80"/>
        <v>14.602549048849987</v>
      </c>
      <c r="AA139" s="121">
        <f t="shared" si="80"/>
        <v>19.886972011049991</v>
      </c>
      <c r="AB139" s="121">
        <f t="shared" si="80"/>
        <v>24.932059227024972</v>
      </c>
      <c r="AC139" s="121">
        <f t="shared" si="80"/>
        <v>34.760500451599903</v>
      </c>
      <c r="AD139" s="121">
        <f t="shared" si="80"/>
        <v>53.487026410921878</v>
      </c>
      <c r="AE139" s="121">
        <f t="shared" si="80"/>
        <v>62.406574326321881</v>
      </c>
      <c r="AF139" s="121">
        <f t="shared" si="80"/>
        <v>66.521362599521922</v>
      </c>
      <c r="AG139" s="121">
        <f t="shared" si="80"/>
        <v>61.611838563122078</v>
      </c>
      <c r="AH139" s="121">
        <f t="shared" si="80"/>
        <v>53.945688854400132</v>
      </c>
      <c r="AI139" s="121">
        <f t="shared" si="80"/>
        <v>44.556291004200091</v>
      </c>
      <c r="AJ139" s="121">
        <f t="shared" si="80"/>
        <v>9.118631929800074</v>
      </c>
      <c r="AK139" s="121">
        <f t="shared" si="80"/>
        <v>5.8273511751999507</v>
      </c>
      <c r="AL139" s="121">
        <f t="shared" si="80"/>
        <v>3.0017033091999537</v>
      </c>
      <c r="AM139" s="121">
        <f t="shared" si="80"/>
        <v>6.0055066067999547</v>
      </c>
      <c r="AN139" s="121">
        <f t="shared" si="80"/>
        <v>25.345235729999956</v>
      </c>
      <c r="AO139" s="121">
        <f t="shared" si="80"/>
        <v>13.580471535399951</v>
      </c>
      <c r="AP139" s="121">
        <f t="shared" si="80"/>
        <v>1.1731395197999177</v>
      </c>
      <c r="AQ139" s="121">
        <f t="shared" si="80"/>
        <v>-7.6508714612000688</v>
      </c>
      <c r="AR139" s="121">
        <f t="shared" si="80"/>
        <v>-2.9937759836001021</v>
      </c>
      <c r="AS139" s="121">
        <f t="shared" si="80"/>
        <v>26.477357311799906</v>
      </c>
      <c r="AT139" s="121">
        <f t="shared" ref="AT139:AY139" si="81">AT134-(AT135*17%)</f>
        <v>42.96560907915115</v>
      </c>
      <c r="AU139" s="121">
        <f t="shared" si="81"/>
        <v>53.52503269935103</v>
      </c>
      <c r="AV139" s="121">
        <f t="shared" si="81"/>
        <v>59.619285690951202</v>
      </c>
      <c r="AW139" s="121">
        <f t="shared" si="81"/>
        <v>53.455149785351281</v>
      </c>
      <c r="AX139" s="121">
        <f t="shared" si="81"/>
        <v>52.718302936200175</v>
      </c>
      <c r="AY139" s="121">
        <f t="shared" si="81"/>
        <v>54.212385488800166</v>
      </c>
      <c r="AZ139" s="121">
        <f t="shared" ref="AZ139:BG139" si="82">AZ134-(AZ135*17%)</f>
        <v>69.390775204600047</v>
      </c>
      <c r="BA139" s="121">
        <f t="shared" si="82"/>
        <v>96.655784631400081</v>
      </c>
      <c r="BB139" s="121">
        <f t="shared" si="82"/>
        <v>127.51561469619985</v>
      </c>
      <c r="BC139" s="121">
        <f t="shared" si="82"/>
        <v>131.30692323539995</v>
      </c>
      <c r="BD139" s="121">
        <f t="shared" si="82"/>
        <v>133.49504136199971</v>
      </c>
      <c r="BE139" s="121">
        <f t="shared" si="82"/>
        <v>124.6675877085997</v>
      </c>
      <c r="BF139" s="121">
        <f t="shared" si="82"/>
        <v>91.709712663999667</v>
      </c>
      <c r="BG139" s="121">
        <f t="shared" si="82"/>
        <v>88.301760907999821</v>
      </c>
    </row>
    <row r="140" spans="2:59" s="907" customFormat="1" x14ac:dyDescent="0.2">
      <c r="B140" s="612" t="s">
        <v>1173</v>
      </c>
      <c r="C140" s="121">
        <f t="shared" ref="C140:AS140" si="83">C134-(C135*12%)</f>
        <v>0</v>
      </c>
      <c r="D140" s="121">
        <f t="shared" si="83"/>
        <v>0</v>
      </c>
      <c r="E140" s="121">
        <f t="shared" si="83"/>
        <v>0</v>
      </c>
      <c r="F140" s="121">
        <f t="shared" si="83"/>
        <v>0</v>
      </c>
      <c r="G140" s="121">
        <f t="shared" si="83"/>
        <v>29.508599999999994</v>
      </c>
      <c r="H140" s="121">
        <f t="shared" si="83"/>
        <v>23.418419999999983</v>
      </c>
      <c r="I140" s="121">
        <f t="shared" si="83"/>
        <v>15.853200000000001</v>
      </c>
      <c r="J140" s="121">
        <f t="shared" si="83"/>
        <v>10.672079999999973</v>
      </c>
      <c r="K140" s="121">
        <f t="shared" si="83"/>
        <v>16.183650000000007</v>
      </c>
      <c r="L140" s="121">
        <f t="shared" si="83"/>
        <v>18.745889999999982</v>
      </c>
      <c r="M140" s="121">
        <f t="shared" si="83"/>
        <v>17.050559999999976</v>
      </c>
      <c r="N140" s="121">
        <f t="shared" si="83"/>
        <v>33.95391</v>
      </c>
      <c r="O140" s="121">
        <f t="shared" si="83"/>
        <v>36.40016999999996</v>
      </c>
      <c r="P140" s="121">
        <f t="shared" si="83"/>
        <v>21.377429999999947</v>
      </c>
      <c r="Q140" s="121">
        <f t="shared" si="83"/>
        <v>12.055250766599926</v>
      </c>
      <c r="R140" s="121">
        <f t="shared" si="83"/>
        <v>-14.038068288600101</v>
      </c>
      <c r="S140" s="121">
        <f t="shared" si="83"/>
        <v>-18.540631512000068</v>
      </c>
      <c r="T140" s="121">
        <f t="shared" si="83"/>
        <v>-14.322802366200033</v>
      </c>
      <c r="U140" s="121">
        <f t="shared" si="83"/>
        <v>-10.98772231200002</v>
      </c>
      <c r="V140" s="121">
        <f t="shared" si="83"/>
        <v>1.6156640838000129</v>
      </c>
      <c r="W140" s="121">
        <f t="shared" si="83"/>
        <v>6.0203074757999957</v>
      </c>
      <c r="X140" s="121">
        <f t="shared" si="83"/>
        <v>19.324270592699953</v>
      </c>
      <c r="Y140" s="121">
        <f t="shared" si="83"/>
        <v>29.264260216800004</v>
      </c>
      <c r="Z140" s="121">
        <f t="shared" si="83"/>
        <v>31.021101516599991</v>
      </c>
      <c r="AA140" s="121">
        <f t="shared" si="83"/>
        <v>36.339736978799998</v>
      </c>
      <c r="AB140" s="121">
        <f t="shared" si="83"/>
        <v>41.480116710899978</v>
      </c>
      <c r="AC140" s="121">
        <f t="shared" si="83"/>
        <v>51.770075451599908</v>
      </c>
      <c r="AD140" s="121">
        <f t="shared" si="83"/>
        <v>70.984038910921882</v>
      </c>
      <c r="AE140" s="121">
        <f t="shared" si="83"/>
        <v>80.790149326321881</v>
      </c>
      <c r="AF140" s="121">
        <f t="shared" si="83"/>
        <v>85.551462599521926</v>
      </c>
      <c r="AG140" s="121">
        <f t="shared" si="83"/>
        <v>81.84263856312208</v>
      </c>
      <c r="AH140" s="121">
        <f t="shared" si="83"/>
        <v>75.248351354400143</v>
      </c>
      <c r="AI140" s="121">
        <f t="shared" si="83"/>
        <v>66.571116004200093</v>
      </c>
      <c r="AJ140" s="121">
        <f t="shared" si="83"/>
        <v>30.881831929800072</v>
      </c>
      <c r="AK140" s="121">
        <f t="shared" si="83"/>
        <v>27.088926175199958</v>
      </c>
      <c r="AL140" s="121">
        <f t="shared" si="83"/>
        <v>23.174803309199966</v>
      </c>
      <c r="AM140" s="121">
        <f t="shared" si="83"/>
        <v>25.327119106799962</v>
      </c>
      <c r="AN140" s="121">
        <f t="shared" si="83"/>
        <v>45.126298229999954</v>
      </c>
      <c r="AO140" s="121">
        <f t="shared" si="83"/>
        <v>33.47768403539996</v>
      </c>
      <c r="AP140" s="121">
        <f t="shared" si="83"/>
        <v>22.375414519799918</v>
      </c>
      <c r="AQ140" s="121">
        <f t="shared" si="83"/>
        <v>14.471366038799935</v>
      </c>
      <c r="AR140" s="121">
        <f t="shared" si="83"/>
        <v>20.277499016399901</v>
      </c>
      <c r="AS140" s="121">
        <f t="shared" si="83"/>
        <v>50.882132311799907</v>
      </c>
      <c r="AT140" s="121">
        <f t="shared" ref="AT140:AY140" si="84">AT134-(AT135*12%)</f>
        <v>67.559609079151159</v>
      </c>
      <c r="AU140" s="121">
        <f t="shared" si="84"/>
        <v>78.631207699351052</v>
      </c>
      <c r="AV140" s="121">
        <f t="shared" si="84"/>
        <v>84.711835690951204</v>
      </c>
      <c r="AW140" s="121">
        <f t="shared" si="84"/>
        <v>78.436949785351288</v>
      </c>
      <c r="AX140" s="121">
        <f t="shared" si="84"/>
        <v>78.032602936200178</v>
      </c>
      <c r="AY140" s="121">
        <f t="shared" si="84"/>
        <v>79.910585488800166</v>
      </c>
      <c r="AZ140" s="121">
        <f t="shared" ref="AZ140:BG140" si="85">AZ134-(AZ135*12%)</f>
        <v>95.791762704600046</v>
      </c>
      <c r="BA140" s="121">
        <f t="shared" si="85"/>
        <v>124.0174096314001</v>
      </c>
      <c r="BB140" s="121">
        <f t="shared" si="85"/>
        <v>155.90023969619986</v>
      </c>
      <c r="BC140" s="121">
        <f t="shared" si="85"/>
        <v>160.39601073539995</v>
      </c>
      <c r="BD140" s="121">
        <f t="shared" si="85"/>
        <v>163.57191136199975</v>
      </c>
      <c r="BE140" s="121">
        <f t="shared" si="85"/>
        <v>155.3049877085997</v>
      </c>
      <c r="BF140" s="121">
        <f t="shared" si="85"/>
        <v>122.98574516399968</v>
      </c>
      <c r="BG140" s="121">
        <f t="shared" si="85"/>
        <v>121.29027340799983</v>
      </c>
    </row>
    <row r="141" spans="2:59" s="907" customFormat="1" ht="22.5" customHeight="1" x14ac:dyDescent="0.2">
      <c r="B141" s="1097" t="s">
        <v>1174</v>
      </c>
      <c r="C141" s="457"/>
      <c r="D141" s="457"/>
      <c r="E141" s="457"/>
      <c r="F141" s="457"/>
      <c r="G141" s="457"/>
      <c r="H141" s="457"/>
      <c r="I141" s="457"/>
      <c r="J141" s="457"/>
      <c r="K141" s="457"/>
      <c r="L141" s="457"/>
      <c r="M141" s="457"/>
      <c r="N141" s="457"/>
      <c r="O141" s="457"/>
      <c r="AA141" s="909"/>
      <c r="AB141" s="909"/>
      <c r="AC141" s="909"/>
      <c r="AD141" s="909"/>
      <c r="AE141" s="909"/>
      <c r="AF141" s="909"/>
      <c r="AG141" s="909"/>
      <c r="AH141" s="909"/>
      <c r="AP141" s="1001"/>
      <c r="AQ141" s="1001"/>
      <c r="AR141" s="2"/>
      <c r="AS141" s="2"/>
      <c r="AT141" s="2"/>
      <c r="AU141" s="2"/>
      <c r="AV141" s="2"/>
      <c r="AW141" s="2"/>
      <c r="AX141" s="2"/>
      <c r="AY141" s="2"/>
      <c r="AZ141" s="2"/>
      <c r="BA141" s="2"/>
      <c r="BB141" s="2"/>
      <c r="BC141" s="2"/>
      <c r="BD141" s="2"/>
      <c r="BE141" s="2"/>
      <c r="BF141" s="2"/>
      <c r="BG141" s="2"/>
    </row>
    <row r="142" spans="2:59" s="907" customFormat="1" x14ac:dyDescent="0.2">
      <c r="B142" s="457"/>
      <c r="C142" s="457"/>
      <c r="D142" s="457"/>
      <c r="E142" s="457"/>
      <c r="F142" s="457"/>
      <c r="G142" s="457"/>
      <c r="H142" s="457"/>
      <c r="I142" s="457"/>
      <c r="J142" s="457"/>
      <c r="K142" s="457"/>
      <c r="L142" s="457"/>
      <c r="M142" s="457"/>
      <c r="N142" s="457"/>
      <c r="O142" s="457"/>
      <c r="AA142" s="909"/>
      <c r="AB142" s="909"/>
      <c r="AC142" s="909"/>
      <c r="AD142" s="909"/>
      <c r="AE142" s="909"/>
      <c r="AF142" s="909"/>
      <c r="AG142" s="909"/>
      <c r="AH142" s="909"/>
      <c r="AP142" s="1001"/>
      <c r="AQ142" s="1001"/>
      <c r="AR142" s="2"/>
      <c r="AS142" s="2"/>
      <c r="AT142" s="2"/>
      <c r="AU142" s="2"/>
    </row>
    <row r="143" spans="2:59" s="907" customFormat="1" x14ac:dyDescent="0.2">
      <c r="B143" s="457"/>
      <c r="C143" s="457"/>
      <c r="D143" s="457"/>
      <c r="E143" s="457"/>
      <c r="F143" s="457"/>
      <c r="G143" s="457"/>
      <c r="H143" s="457"/>
      <c r="I143" s="457"/>
      <c r="J143" s="457"/>
      <c r="K143" s="457"/>
      <c r="L143" s="457"/>
      <c r="M143" s="457"/>
      <c r="N143" s="457"/>
      <c r="O143" s="457"/>
      <c r="AA143" s="909"/>
      <c r="AB143" s="909"/>
      <c r="AC143" s="909"/>
      <c r="AD143" s="909"/>
      <c r="AE143" s="909"/>
      <c r="AF143" s="909"/>
      <c r="AG143" s="909"/>
      <c r="AH143" s="909"/>
      <c r="AP143" s="1001"/>
      <c r="AQ143" s="1001"/>
      <c r="AR143" s="2"/>
      <c r="AS143" s="2"/>
      <c r="AT143" s="2"/>
      <c r="AU143" s="2"/>
      <c r="AW143" s="267"/>
      <c r="AX143" s="267"/>
      <c r="AY143" s="267"/>
      <c r="AZ143" s="267"/>
      <c r="BA143" s="267"/>
      <c r="BB143" s="267"/>
      <c r="BC143" s="267"/>
      <c r="BD143" s="267"/>
      <c r="BE143" s="267"/>
      <c r="BF143" s="267"/>
      <c r="BG143" s="267"/>
    </row>
    <row r="144" spans="2:59" s="907" customFormat="1" x14ac:dyDescent="0.2">
      <c r="B144" s="457"/>
      <c r="C144" s="457"/>
      <c r="D144" s="457"/>
      <c r="E144" s="457"/>
      <c r="F144" s="457"/>
      <c r="G144" s="457"/>
      <c r="H144" s="457"/>
      <c r="I144" s="457"/>
      <c r="J144" s="457"/>
      <c r="K144" s="457"/>
      <c r="L144" s="457"/>
      <c r="M144" s="457"/>
      <c r="N144" s="457"/>
      <c r="O144" s="457"/>
      <c r="AA144" s="909"/>
      <c r="AB144" s="909"/>
      <c r="AC144" s="909"/>
      <c r="AD144" s="909"/>
      <c r="AE144" s="909"/>
      <c r="AF144" s="909"/>
      <c r="AG144" s="909"/>
      <c r="AH144" s="909"/>
      <c r="AP144" s="1001"/>
      <c r="AQ144" s="1001"/>
      <c r="AR144" s="2"/>
      <c r="AS144" s="2"/>
      <c r="AT144" s="2"/>
      <c r="AU144" s="2"/>
      <c r="AW144" s="267"/>
      <c r="AX144" s="267"/>
      <c r="AY144" s="267"/>
      <c r="AZ144" s="267"/>
      <c r="BA144" s="267"/>
      <c r="BB144" s="267"/>
      <c r="BC144" s="267"/>
      <c r="BD144" s="267"/>
      <c r="BE144" s="267"/>
      <c r="BF144" s="267"/>
      <c r="BG144" s="267"/>
    </row>
    <row r="145" spans="2:61" s="907" customFormat="1" x14ac:dyDescent="0.2">
      <c r="B145" s="457"/>
      <c r="C145" s="457"/>
      <c r="D145" s="457"/>
      <c r="E145" s="457"/>
      <c r="F145" s="457"/>
      <c r="G145" s="457"/>
      <c r="H145" s="457"/>
      <c r="I145" s="457"/>
      <c r="J145" s="457"/>
      <c r="K145" s="457"/>
      <c r="L145" s="457"/>
      <c r="M145" s="457"/>
      <c r="N145" s="457"/>
      <c r="O145" s="457"/>
      <c r="AA145" s="909"/>
      <c r="AB145" s="909"/>
      <c r="AC145" s="909"/>
      <c r="AD145" s="909"/>
      <c r="AE145" s="909"/>
      <c r="AF145" s="909"/>
      <c r="AG145" s="909"/>
      <c r="AH145" s="909"/>
      <c r="AP145" s="1001"/>
      <c r="AQ145" s="1001"/>
      <c r="AR145" s="2"/>
      <c r="AS145" s="2"/>
      <c r="AT145" s="2"/>
      <c r="AU145" s="2"/>
      <c r="AW145" s="267"/>
      <c r="AX145" s="267"/>
      <c r="AY145" s="267"/>
      <c r="AZ145" s="267"/>
      <c r="BA145" s="267"/>
      <c r="BB145" s="267"/>
      <c r="BC145" s="267"/>
      <c r="BD145" s="267"/>
      <c r="BE145" s="267"/>
      <c r="BF145" s="267"/>
      <c r="BG145" s="267"/>
      <c r="BH145" s="267"/>
    </row>
    <row r="146" spans="2:61" s="907" customFormat="1" x14ac:dyDescent="0.2">
      <c r="B146" s="457"/>
      <c r="C146" s="457"/>
      <c r="D146" s="457"/>
      <c r="E146" s="457"/>
      <c r="F146" s="457"/>
      <c r="G146" s="457"/>
      <c r="H146" s="457"/>
      <c r="I146" s="457"/>
      <c r="J146" s="457"/>
      <c r="K146" s="457"/>
      <c r="L146" s="457"/>
      <c r="M146" s="457"/>
      <c r="N146" s="457"/>
      <c r="O146" s="457"/>
      <c r="AA146" s="909"/>
      <c r="AB146" s="909"/>
      <c r="AC146" s="909"/>
      <c r="AD146" s="909"/>
      <c r="AE146" s="909"/>
      <c r="AF146" s="909"/>
      <c r="AG146" s="909"/>
      <c r="AH146" s="909"/>
      <c r="AP146" s="1001"/>
      <c r="AQ146" s="1001"/>
      <c r="AR146" s="267"/>
      <c r="AS146" s="267"/>
      <c r="AT146" s="267"/>
      <c r="AU146" s="267"/>
      <c r="AV146" s="267"/>
      <c r="AW146" s="267"/>
      <c r="AX146" s="267"/>
      <c r="AY146" s="267"/>
      <c r="AZ146" s="267"/>
      <c r="BA146" s="267"/>
      <c r="BB146" s="267"/>
      <c r="BC146" s="267"/>
      <c r="BD146" s="267"/>
      <c r="BE146" s="267"/>
      <c r="BF146" s="267"/>
      <c r="BG146" s="267"/>
      <c r="BH146" s="267"/>
    </row>
    <row r="147" spans="2:61" s="907" customFormat="1" x14ac:dyDescent="0.2">
      <c r="B147" s="908"/>
      <c r="C147" s="457"/>
      <c r="D147" s="457"/>
      <c r="E147" s="457"/>
      <c r="F147" s="457"/>
      <c r="G147" s="457"/>
      <c r="H147" s="457"/>
      <c r="I147" s="457"/>
      <c r="J147" s="457"/>
      <c r="K147" s="457"/>
      <c r="L147" s="457"/>
      <c r="M147" s="457"/>
      <c r="N147" s="457"/>
      <c r="O147" s="457"/>
      <c r="AA147" s="910"/>
      <c r="AB147" s="910"/>
      <c r="AC147" s="910"/>
      <c r="AD147" s="910"/>
      <c r="AE147" s="910"/>
      <c r="AF147" s="910"/>
      <c r="AG147" s="910"/>
      <c r="AH147" s="910"/>
      <c r="AR147" s="267"/>
      <c r="AS147" s="267"/>
      <c r="AT147" s="267"/>
      <c r="AU147" s="267"/>
      <c r="AV147" s="267"/>
      <c r="AW147" s="267"/>
      <c r="AX147" s="267"/>
      <c r="AY147" s="267"/>
      <c r="AZ147" s="267"/>
      <c r="BA147" s="267"/>
      <c r="BB147" s="267"/>
      <c r="BC147" s="267"/>
      <c r="BD147" s="267"/>
      <c r="BE147" s="267"/>
      <c r="BF147" s="267"/>
      <c r="BG147" s="267"/>
      <c r="BH147" s="267"/>
    </row>
    <row r="148" spans="2:61" s="457" customFormat="1" x14ac:dyDescent="0.2">
      <c r="B148" s="1155"/>
      <c r="C148" s="547"/>
      <c r="D148" s="547"/>
      <c r="E148" s="547"/>
      <c r="F148" s="547"/>
      <c r="G148" s="547"/>
      <c r="H148" s="547"/>
      <c r="I148" s="547"/>
      <c r="J148" s="547"/>
      <c r="K148" s="547"/>
      <c r="L148" s="547"/>
      <c r="M148" s="547"/>
      <c r="N148" s="547"/>
      <c r="O148" s="547"/>
      <c r="P148" s="547"/>
      <c r="Q148" s="547"/>
      <c r="R148" s="964"/>
      <c r="S148" s="547"/>
      <c r="T148" s="547"/>
      <c r="U148" s="547"/>
      <c r="V148" s="964"/>
      <c r="W148" s="547"/>
      <c r="X148" s="547"/>
      <c r="Y148" s="547"/>
      <c r="Z148" s="547"/>
      <c r="AA148" s="547" t="s">
        <v>885</v>
      </c>
      <c r="AB148" s="547" t="s">
        <v>885</v>
      </c>
      <c r="AC148" s="547"/>
      <c r="AD148" s="547"/>
      <c r="AE148" s="547" t="s">
        <v>884</v>
      </c>
      <c r="AF148" s="547" t="s">
        <v>884</v>
      </c>
      <c r="AG148" s="547"/>
      <c r="AH148" s="547"/>
      <c r="AI148" s="547" t="s">
        <v>928</v>
      </c>
      <c r="AJ148" s="547" t="s">
        <v>928</v>
      </c>
      <c r="AK148" s="547"/>
      <c r="AL148" s="547"/>
      <c r="AM148" s="547" t="s">
        <v>1074</v>
      </c>
      <c r="AN148" s="547" t="s">
        <v>1074</v>
      </c>
      <c r="AO148" s="547"/>
      <c r="AP148" s="547"/>
      <c r="AQ148" s="547" t="s">
        <v>1141</v>
      </c>
      <c r="AR148" s="547" t="s">
        <v>1141</v>
      </c>
      <c r="AS148" s="547"/>
      <c r="AT148" s="547"/>
      <c r="AU148" s="547" t="s">
        <v>1213</v>
      </c>
      <c r="AV148" s="547" t="s">
        <v>1213</v>
      </c>
      <c r="AW148" s="547"/>
      <c r="AX148" s="547"/>
      <c r="AY148" s="547" t="s">
        <v>1263</v>
      </c>
      <c r="AZ148" s="547" t="s">
        <v>1263</v>
      </c>
      <c r="BA148" s="547"/>
      <c r="BB148" s="547"/>
      <c r="BC148" s="330" t="s">
        <v>1325</v>
      </c>
      <c r="BD148" s="330" t="s">
        <v>1325</v>
      </c>
      <c r="BE148" s="330"/>
      <c r="BF148" s="330"/>
      <c r="BG148" s="330" t="s">
        <v>1377</v>
      </c>
      <c r="BH148" s="547"/>
    </row>
    <row r="149" spans="2:61" s="457" customFormat="1" x14ac:dyDescent="0.2">
      <c r="B149" s="1155"/>
      <c r="C149" s="547"/>
      <c r="D149" s="547"/>
      <c r="E149" s="547"/>
      <c r="F149" s="547"/>
      <c r="G149" s="547"/>
      <c r="H149" s="547"/>
      <c r="I149" s="547"/>
      <c r="J149" s="547"/>
      <c r="K149" s="547"/>
      <c r="L149" s="547"/>
      <c r="M149" s="547"/>
      <c r="N149" s="547"/>
      <c r="O149" s="824" t="e">
        <f>P149</f>
        <v>#REF!</v>
      </c>
      <c r="P149" s="824" t="e">
        <f>Q149</f>
        <v>#REF!</v>
      </c>
      <c r="Q149" s="824" t="e">
        <f>R149</f>
        <v>#REF!</v>
      </c>
      <c r="R149" s="824" t="e">
        <f>S149-1</f>
        <v>#REF!</v>
      </c>
      <c r="S149" s="824" t="e">
        <f>T149</f>
        <v>#REF!</v>
      </c>
      <c r="T149" s="824" t="e">
        <f>U149</f>
        <v>#REF!</v>
      </c>
      <c r="U149" s="824" t="e">
        <f>V149</f>
        <v>#REF!</v>
      </c>
      <c r="V149" s="824" t="e">
        <f>W149-1</f>
        <v>#REF!</v>
      </c>
      <c r="W149" s="824" t="e">
        <f>X149</f>
        <v>#REF!</v>
      </c>
      <c r="X149" s="824" t="e">
        <f>Z149</f>
        <v>#REF!</v>
      </c>
      <c r="Y149" s="824"/>
      <c r="Z149" s="824" t="e">
        <f>#REF!</f>
        <v>#REF!</v>
      </c>
      <c r="AA149" s="547" t="s">
        <v>926</v>
      </c>
      <c r="AB149" s="547" t="s">
        <v>926</v>
      </c>
      <c r="AC149" s="547" t="s">
        <v>926</v>
      </c>
      <c r="AD149" s="547"/>
      <c r="AE149" s="547" t="s">
        <v>925</v>
      </c>
      <c r="AF149" s="547" t="s">
        <v>925</v>
      </c>
      <c r="AG149" s="547" t="s">
        <v>925</v>
      </c>
      <c r="AH149" s="547"/>
      <c r="AI149" s="547" t="s">
        <v>927</v>
      </c>
      <c r="AJ149" s="547" t="s">
        <v>927</v>
      </c>
      <c r="AK149" s="547" t="s">
        <v>927</v>
      </c>
      <c r="AL149" s="547"/>
      <c r="AM149" s="547" t="s">
        <v>1075</v>
      </c>
      <c r="AN149" s="547" t="s">
        <v>1075</v>
      </c>
      <c r="AO149" s="547" t="s">
        <v>1075</v>
      </c>
      <c r="AP149" s="547" t="s">
        <v>1075</v>
      </c>
      <c r="AQ149" s="547" t="s">
        <v>1126</v>
      </c>
      <c r="AR149" s="547" t="s">
        <v>1126</v>
      </c>
      <c r="AS149" s="547" t="s">
        <v>1126</v>
      </c>
      <c r="AT149" s="547"/>
      <c r="AU149" s="547" t="s">
        <v>1209</v>
      </c>
      <c r="AV149" s="547" t="s">
        <v>1209</v>
      </c>
      <c r="AW149" s="547" t="s">
        <v>1209</v>
      </c>
      <c r="AX149" s="547"/>
      <c r="AY149" s="547" t="s">
        <v>1260</v>
      </c>
      <c r="AZ149" s="547" t="s">
        <v>1260</v>
      </c>
      <c r="BA149" s="547" t="s">
        <v>1260</v>
      </c>
      <c r="BB149" s="547"/>
      <c r="BC149" s="544" t="s">
        <v>1324</v>
      </c>
      <c r="BD149" s="544" t="s">
        <v>1324</v>
      </c>
      <c r="BE149" s="544" t="s">
        <v>1324</v>
      </c>
      <c r="BF149" s="544"/>
      <c r="BG149" s="544" t="s">
        <v>1378</v>
      </c>
      <c r="BH149" s="547"/>
    </row>
    <row r="150" spans="2:61" s="457" customFormat="1" x14ac:dyDescent="0.2">
      <c r="C150" s="547"/>
      <c r="D150" s="547"/>
      <c r="E150" s="547"/>
      <c r="F150" s="547"/>
      <c r="G150" s="547"/>
      <c r="H150" s="547"/>
      <c r="I150" s="547"/>
      <c r="J150" s="547"/>
      <c r="K150" s="547"/>
      <c r="L150" s="547"/>
      <c r="M150" s="547"/>
      <c r="N150" s="547"/>
      <c r="O150" s="547"/>
      <c r="P150" s="547"/>
      <c r="Q150" s="547"/>
      <c r="R150" s="547"/>
      <c r="S150" s="547"/>
      <c r="T150" s="547"/>
      <c r="U150" s="547"/>
      <c r="V150" s="547"/>
      <c r="W150" s="547"/>
      <c r="X150" s="547"/>
      <c r="Y150" s="547"/>
      <c r="Z150" s="547"/>
      <c r="AA150" s="824">
        <f>AB150</f>
        <v>2018</v>
      </c>
      <c r="AB150" s="824">
        <f>AC150</f>
        <v>2018</v>
      </c>
      <c r="AC150" s="824">
        <f>AD150</f>
        <v>2018</v>
      </c>
      <c r="AD150" s="824">
        <f>AE150-1</f>
        <v>2018</v>
      </c>
      <c r="AE150" s="1059">
        <v>2019</v>
      </c>
      <c r="AF150" s="1059">
        <v>2019</v>
      </c>
      <c r="AG150" s="1059">
        <v>2019</v>
      </c>
      <c r="AH150" s="1059">
        <v>2019</v>
      </c>
      <c r="AI150" s="1059">
        <v>2020</v>
      </c>
      <c r="AJ150" s="1059">
        <v>2020</v>
      </c>
      <c r="AK150" s="1059">
        <v>2020</v>
      </c>
      <c r="AL150" s="1059">
        <v>2020</v>
      </c>
      <c r="AM150" s="1059">
        <v>2021</v>
      </c>
      <c r="AN150" s="1059">
        <v>2021</v>
      </c>
      <c r="AO150" s="1059">
        <v>2021</v>
      </c>
      <c r="AP150" s="1059">
        <v>2021</v>
      </c>
      <c r="AQ150" s="1059">
        <v>2022</v>
      </c>
      <c r="AR150" s="1059">
        <v>2022</v>
      </c>
      <c r="AS150" s="1059">
        <v>2022</v>
      </c>
      <c r="AT150" s="1059">
        <v>2022</v>
      </c>
      <c r="AU150" s="1059">
        <v>2023</v>
      </c>
      <c r="AV150" s="1059">
        <v>2023</v>
      </c>
      <c r="AW150" s="1059">
        <v>2023</v>
      </c>
      <c r="AX150" s="1059">
        <v>2023</v>
      </c>
      <c r="AY150" s="1059">
        <v>2024</v>
      </c>
      <c r="AZ150" s="1059">
        <v>2024</v>
      </c>
      <c r="BA150" s="1059">
        <v>2024</v>
      </c>
      <c r="BB150" s="1059">
        <v>2024</v>
      </c>
      <c r="BC150" s="1093">
        <v>2025</v>
      </c>
      <c r="BD150" s="1093">
        <v>2025</v>
      </c>
      <c r="BE150" s="1093">
        <v>2025</v>
      </c>
      <c r="BF150" s="1093">
        <v>2025</v>
      </c>
      <c r="BG150" s="1093">
        <v>2026</v>
      </c>
      <c r="BH150" s="1059"/>
      <c r="BI150" s="1200"/>
    </row>
    <row r="151" spans="2:61" s="907" customFormat="1" x14ac:dyDescent="0.2">
      <c r="C151" s="457"/>
      <c r="D151" s="457"/>
      <c r="E151" s="457"/>
      <c r="F151" s="457"/>
      <c r="G151" s="457"/>
      <c r="H151" s="457"/>
      <c r="I151" s="457"/>
      <c r="J151" s="457"/>
      <c r="K151" s="457"/>
      <c r="L151" s="457"/>
      <c r="M151" s="457"/>
      <c r="N151" s="457"/>
      <c r="O151" s="457"/>
      <c r="Z151" s="267"/>
      <c r="AA151" s="267"/>
      <c r="AB151" s="267"/>
      <c r="AC151" s="267"/>
      <c r="AD151" s="267"/>
      <c r="AE151" s="267" t="s">
        <v>925</v>
      </c>
      <c r="AF151" s="267" t="s">
        <v>925</v>
      </c>
      <c r="AG151" s="267" t="s">
        <v>925</v>
      </c>
      <c r="AH151" s="267"/>
      <c r="AI151" s="267" t="s">
        <v>927</v>
      </c>
      <c r="AJ151" s="267" t="s">
        <v>927</v>
      </c>
      <c r="AK151" s="267" t="s">
        <v>927</v>
      </c>
      <c r="AL151" s="267" t="s">
        <v>927</v>
      </c>
      <c r="AM151" s="267" t="s">
        <v>927</v>
      </c>
      <c r="AN151" s="267"/>
      <c r="AR151" s="267"/>
      <c r="AS151" s="267"/>
      <c r="AT151" s="267"/>
      <c r="AU151" s="267"/>
      <c r="AV151" s="267"/>
      <c r="AW151" s="267"/>
      <c r="AX151" s="267"/>
      <c r="AY151" s="267"/>
      <c r="AZ151" s="267"/>
      <c r="BA151" s="267"/>
      <c r="BB151" s="267"/>
      <c r="BC151" s="267"/>
      <c r="BD151" s="267"/>
      <c r="BE151" s="267"/>
      <c r="BF151" s="267"/>
      <c r="BG151" s="267"/>
      <c r="BH151" s="267"/>
    </row>
    <row r="152" spans="2:61" x14ac:dyDescent="0.2">
      <c r="B152" s="1060"/>
      <c r="C152" s="547"/>
      <c r="D152" s="547"/>
      <c r="E152" s="547"/>
      <c r="F152" s="547"/>
      <c r="G152" s="547"/>
      <c r="H152" s="547"/>
      <c r="I152" s="547"/>
      <c r="J152" s="547"/>
      <c r="K152" s="547"/>
      <c r="L152" s="547"/>
      <c r="M152" s="547"/>
      <c r="N152" s="547"/>
      <c r="O152" s="824"/>
      <c r="P152" s="824"/>
      <c r="Q152" s="824"/>
      <c r="R152" s="824">
        <f>V152-1</f>
        <v>2015</v>
      </c>
      <c r="S152" s="824"/>
      <c r="T152" s="824"/>
      <c r="U152" s="824"/>
      <c r="V152" s="824">
        <f>Z152-1</f>
        <v>2016</v>
      </c>
      <c r="W152" s="824"/>
      <c r="X152" s="824"/>
      <c r="Y152" s="824"/>
      <c r="Z152" s="824">
        <f>AD152-1</f>
        <v>2017</v>
      </c>
      <c r="AA152" s="824"/>
      <c r="AB152" s="824"/>
      <c r="AC152" s="824"/>
      <c r="AD152" s="824">
        <f>AH152-1</f>
        <v>2018</v>
      </c>
      <c r="AE152" s="825"/>
      <c r="AF152" s="825"/>
      <c r="AG152" s="825"/>
      <c r="AH152" s="825">
        <v>2019</v>
      </c>
      <c r="AI152" s="825"/>
      <c r="AJ152" s="825"/>
      <c r="AK152" s="825"/>
      <c r="AL152" s="825"/>
      <c r="AM152" s="825"/>
      <c r="AN152" s="267"/>
      <c r="AO152" s="267"/>
      <c r="AP152" s="267"/>
      <c r="AQ152" s="267"/>
      <c r="AV152" s="907"/>
      <c r="AW152" s="267"/>
      <c r="AX152" s="267"/>
      <c r="AY152" s="267"/>
      <c r="AZ152" s="267"/>
      <c r="BA152" s="267"/>
      <c r="BB152" s="267"/>
      <c r="BC152" s="267"/>
      <c r="BD152" s="267"/>
      <c r="BE152" s="267"/>
      <c r="BF152" s="267"/>
      <c r="BG152" s="267"/>
      <c r="BH152" s="267"/>
    </row>
    <row r="153" spans="2:61" x14ac:dyDescent="0.2">
      <c r="B153" s="267"/>
      <c r="C153" s="547"/>
      <c r="D153" s="547"/>
      <c r="E153" s="547"/>
      <c r="F153" s="547"/>
      <c r="G153" s="547"/>
      <c r="H153" s="547"/>
      <c r="I153" s="547"/>
      <c r="J153" s="547"/>
      <c r="K153" s="547"/>
      <c r="L153" s="547"/>
      <c r="M153" s="547"/>
      <c r="N153" s="547"/>
      <c r="O153" s="547"/>
      <c r="P153" s="267"/>
      <c r="Q153" s="267"/>
      <c r="R153" s="267"/>
      <c r="S153" s="267"/>
      <c r="T153" s="267"/>
      <c r="U153" s="267"/>
      <c r="V153" s="267"/>
      <c r="W153" s="267"/>
      <c r="X153" s="267"/>
      <c r="Y153" s="267"/>
      <c r="Z153" s="267"/>
      <c r="AA153" s="1061"/>
      <c r="AB153" s="267"/>
      <c r="AC153" s="267"/>
      <c r="AD153" s="267"/>
      <c r="AE153" s="267"/>
      <c r="AF153" s="267"/>
      <c r="AG153" s="267"/>
      <c r="AH153" s="267"/>
      <c r="AI153" s="267"/>
      <c r="AJ153" s="267"/>
      <c r="AK153" s="267"/>
      <c r="AL153" s="267"/>
      <c r="AM153" s="267"/>
      <c r="AN153" s="267"/>
      <c r="AO153" s="267"/>
      <c r="AP153" s="267"/>
      <c r="AQ153" s="267"/>
      <c r="AV153" s="907"/>
      <c r="AW153" s="267"/>
      <c r="AX153" s="267"/>
      <c r="AY153" s="267"/>
      <c r="AZ153" s="267"/>
      <c r="BA153" s="267"/>
      <c r="BB153" s="267"/>
      <c r="BC153" s="267"/>
      <c r="BD153" s="267"/>
      <c r="BE153" s="267"/>
      <c r="BF153" s="267"/>
      <c r="BG153" s="267"/>
      <c r="BH153" s="267"/>
    </row>
    <row r="154" spans="2:61" x14ac:dyDescent="0.2">
      <c r="AA154" s="1019"/>
      <c r="AV154" s="907"/>
      <c r="AW154" s="267"/>
      <c r="AX154" s="267"/>
      <c r="AY154" s="267"/>
      <c r="AZ154" s="267"/>
      <c r="BA154" s="267"/>
      <c r="BB154" s="267"/>
      <c r="BC154" s="267"/>
      <c r="BD154" s="267"/>
      <c r="BE154" s="267"/>
      <c r="BF154" s="267"/>
      <c r="BG154" s="267"/>
      <c r="BH154" s="267"/>
    </row>
    <row r="155" spans="2:61" x14ac:dyDescent="0.2">
      <c r="AV155" s="907"/>
      <c r="AW155" s="267"/>
      <c r="AX155" s="267"/>
      <c r="AY155" s="267"/>
      <c r="AZ155" s="267"/>
      <c r="BA155" s="267"/>
      <c r="BB155" s="267"/>
      <c r="BC155" s="267"/>
      <c r="BD155" s="267"/>
      <c r="BE155" s="267"/>
      <c r="BF155" s="267"/>
      <c r="BG155" s="267"/>
    </row>
    <row r="156" spans="2:61" x14ac:dyDescent="0.2">
      <c r="AV156" s="907"/>
      <c r="AW156" s="267"/>
      <c r="AX156" s="267"/>
      <c r="AY156" s="267"/>
      <c r="AZ156" s="267"/>
      <c r="BA156" s="267"/>
      <c r="BB156" s="267"/>
      <c r="BC156" s="267"/>
      <c r="BD156" s="267"/>
      <c r="BE156" s="267"/>
      <c r="BF156" s="267"/>
      <c r="BG156" s="267"/>
    </row>
    <row r="157" spans="2:61" x14ac:dyDescent="0.2">
      <c r="AV157" s="907"/>
      <c r="AW157" s="267"/>
      <c r="AX157" s="267"/>
      <c r="AY157" s="267"/>
      <c r="AZ157" s="267"/>
      <c r="BA157" s="267"/>
      <c r="BB157" s="267"/>
      <c r="BC157" s="267"/>
      <c r="BD157" s="267"/>
      <c r="BE157" s="267"/>
      <c r="BF157" s="267"/>
      <c r="BG157" s="267"/>
    </row>
    <row r="158" spans="2:61" x14ac:dyDescent="0.2">
      <c r="AX158" s="907"/>
      <c r="AY158" s="907"/>
      <c r="AZ158" s="907"/>
      <c r="BA158" s="907"/>
      <c r="BB158" s="907"/>
      <c r="BC158" s="907"/>
      <c r="BD158" s="907"/>
      <c r="BE158" s="907"/>
      <c r="BF158" s="907"/>
      <c r="BG158" s="907"/>
    </row>
    <row r="159" spans="2:61" x14ac:dyDescent="0.2">
      <c r="AX159" s="907"/>
      <c r="AY159" s="907"/>
      <c r="AZ159" s="907"/>
      <c r="BA159" s="907"/>
      <c r="BB159" s="907"/>
      <c r="BC159" s="907"/>
      <c r="BD159" s="907"/>
      <c r="BE159" s="907"/>
      <c r="BF159" s="907"/>
      <c r="BG159" s="907"/>
    </row>
    <row r="160" spans="2:61" x14ac:dyDescent="0.2">
      <c r="AX160" s="907"/>
      <c r="AY160" s="907"/>
      <c r="AZ160" s="907"/>
      <c r="BA160" s="907"/>
      <c r="BB160" s="907"/>
      <c r="BC160" s="907"/>
      <c r="BD160" s="907"/>
      <c r="BE160" s="907"/>
      <c r="BF160" s="907"/>
      <c r="BG160" s="907"/>
    </row>
    <row r="161" spans="50:59" x14ac:dyDescent="0.2">
      <c r="AX161" s="907"/>
      <c r="AY161" s="907"/>
      <c r="AZ161" s="907"/>
      <c r="BA161" s="907"/>
      <c r="BB161" s="907"/>
      <c r="BC161" s="907"/>
      <c r="BD161" s="907"/>
      <c r="BE161" s="907"/>
      <c r="BF161" s="907"/>
      <c r="BG161" s="907"/>
    </row>
    <row r="162" spans="50:59" x14ac:dyDescent="0.2">
      <c r="AX162" s="907"/>
      <c r="AY162" s="907"/>
      <c r="AZ162" s="907"/>
      <c r="BA162" s="907"/>
      <c r="BB162" s="907"/>
      <c r="BC162" s="907"/>
      <c r="BD162" s="907"/>
      <c r="BE162" s="907"/>
      <c r="BF162" s="907"/>
      <c r="BG162" s="907"/>
    </row>
    <row r="163" spans="50:59" x14ac:dyDescent="0.2">
      <c r="AX163" s="907"/>
      <c r="AY163" s="907"/>
      <c r="AZ163" s="907"/>
      <c r="BA163" s="907"/>
      <c r="BB163" s="907"/>
      <c r="BC163" s="907"/>
      <c r="BD163" s="907"/>
      <c r="BE163" s="907"/>
      <c r="BF163" s="907"/>
      <c r="BG163" s="907"/>
    </row>
  </sheetData>
  <sheetProtection formatCells="0" formatColumns="0" formatRows="0" insertColumns="0" insertRows="0" insertHyperlinks="0" deleteColumns="0" deleteRows="0" selectLockedCells="1" selectUnlockedCells="1"/>
  <mergeCells count="3">
    <mergeCell ref="J10:K10"/>
    <mergeCell ref="J22:K22"/>
    <mergeCell ref="J55:K55"/>
  </mergeCells>
  <phoneticPr fontId="181" type="noConversion"/>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2">
    <tabColor rgb="FFFAB766"/>
    <pageSetUpPr autoPageBreaks="0"/>
  </sheetPr>
  <dimension ref="A1:BD113"/>
  <sheetViews>
    <sheetView showGridLines="0" zoomScaleNormal="100" workbookViewId="0">
      <selection activeCell="J7" sqref="J7"/>
    </sheetView>
  </sheetViews>
  <sheetFormatPr defaultColWidth="9.140625" defaultRowHeight="12.75" x14ac:dyDescent="0.2"/>
  <cols>
    <col min="1" max="1" width="1.42578125" style="2" customWidth="1"/>
    <col min="2" max="2" width="26.42578125" style="2" bestFit="1" customWidth="1"/>
    <col min="3" max="3" width="9.5703125" style="38" bestFit="1" customWidth="1"/>
    <col min="4" max="5" width="10.85546875" style="38" customWidth="1"/>
    <col min="6" max="6" width="13" style="38" customWidth="1"/>
    <col min="7" max="12" width="10.85546875" style="38" customWidth="1"/>
    <col min="13" max="13" width="19.5703125" style="38" bestFit="1" customWidth="1"/>
    <col min="14" max="14" width="17.5703125" style="38" customWidth="1"/>
    <col min="15" max="16" width="10.85546875" style="38" customWidth="1"/>
    <col min="17" max="17" width="10.85546875" style="2" customWidth="1"/>
    <col min="18" max="18" width="9.140625" style="2"/>
    <col min="19" max="19" width="10.85546875" style="2" bestFit="1" customWidth="1"/>
    <col min="20" max="20" width="11" style="2" bestFit="1" customWidth="1"/>
    <col min="21" max="21" width="11" style="547" customWidth="1"/>
    <col min="22" max="22" width="11" style="267" bestFit="1" customWidth="1"/>
    <col min="23" max="23" width="11" style="2" bestFit="1" customWidth="1"/>
    <col min="24" max="24" width="12.140625" style="2" bestFit="1" customWidth="1"/>
    <col min="25" max="25" width="14" style="2" bestFit="1" customWidth="1"/>
    <col min="26" max="30" width="11" style="2" bestFit="1" customWidth="1"/>
    <col min="31" max="31" width="9.140625" style="2"/>
    <col min="32" max="36" width="11" style="2" bestFit="1" customWidth="1"/>
    <col min="37" max="37" width="9.140625" style="2"/>
    <col min="38" max="42" width="11" style="2" bestFit="1" customWidth="1"/>
    <col min="43" max="43" width="9.140625" style="2"/>
    <col min="44" max="46" width="11" style="2" bestFit="1" customWidth="1"/>
    <col min="47" max="47" width="9.140625" style="2"/>
    <col min="48" max="51" width="11" style="2" bestFit="1" customWidth="1"/>
    <col min="52" max="52" width="9.140625" style="2"/>
    <col min="53" max="56" width="11" style="2" bestFit="1" customWidth="1"/>
    <col min="57" max="16384" width="9.140625" style="2"/>
  </cols>
  <sheetData>
    <row r="1" spans="1:56" s="574" customFormat="1" ht="12.75" customHeight="1" x14ac:dyDescent="0.2">
      <c r="A1" s="573"/>
      <c r="C1" s="771"/>
      <c r="D1" s="771"/>
      <c r="E1" s="771"/>
      <c r="F1" s="771"/>
      <c r="G1" s="771"/>
      <c r="H1" s="771"/>
      <c r="I1" s="771"/>
      <c r="J1" s="771"/>
      <c r="K1" s="771"/>
      <c r="L1" s="573"/>
      <c r="M1" s="573"/>
      <c r="N1" s="575"/>
      <c r="O1" s="573"/>
      <c r="P1" s="575"/>
      <c r="Q1" s="573"/>
      <c r="R1" s="575"/>
      <c r="S1" s="575"/>
      <c r="T1" s="573"/>
      <c r="U1" s="575"/>
      <c r="V1" s="573"/>
      <c r="W1" s="573"/>
      <c r="X1" s="573"/>
      <c r="Y1" s="575"/>
      <c r="Z1" s="573"/>
      <c r="AA1" s="573"/>
      <c r="AB1" s="573"/>
      <c r="AC1" s="573"/>
      <c r="AD1" s="573"/>
      <c r="AE1" s="575"/>
      <c r="AF1" s="573"/>
      <c r="AG1" s="573"/>
      <c r="AH1" s="573"/>
      <c r="AI1" s="573"/>
      <c r="AJ1" s="573"/>
      <c r="AK1" s="575"/>
      <c r="AL1" s="573"/>
      <c r="AM1" s="573"/>
      <c r="AN1" s="573"/>
      <c r="AO1" s="573"/>
      <c r="AP1" s="573"/>
      <c r="AQ1" s="575"/>
      <c r="AR1" s="573"/>
      <c r="AS1" s="573"/>
      <c r="AT1" s="573"/>
      <c r="AU1" s="575"/>
      <c r="AV1" s="573"/>
      <c r="AW1" s="573"/>
      <c r="AX1" s="573"/>
      <c r="AY1" s="573"/>
      <c r="AZ1" s="575"/>
      <c r="BA1" s="573"/>
      <c r="BB1" s="573"/>
      <c r="BC1" s="573"/>
      <c r="BD1" s="573"/>
    </row>
    <row r="2" spans="1:56" s="574" customFormat="1" ht="12.75" customHeight="1" x14ac:dyDescent="0.2">
      <c r="C2" s="771"/>
      <c r="D2" s="771"/>
      <c r="E2" s="771"/>
      <c r="F2" s="771"/>
      <c r="G2" s="771"/>
      <c r="H2" s="771"/>
      <c r="I2" s="771"/>
      <c r="J2" s="771"/>
      <c r="K2" s="771"/>
      <c r="L2" s="576"/>
      <c r="M2" s="576"/>
      <c r="N2" s="576"/>
      <c r="O2" s="576"/>
      <c r="P2" s="576"/>
      <c r="Q2" s="576"/>
      <c r="R2" s="576"/>
      <c r="S2" s="576"/>
      <c r="T2" s="576"/>
      <c r="U2" s="576"/>
      <c r="V2" s="576"/>
      <c r="W2" s="576"/>
      <c r="X2" s="576"/>
      <c r="Y2" s="576"/>
      <c r="Z2" s="576"/>
      <c r="AA2" s="576"/>
      <c r="AB2" s="576"/>
      <c r="AC2" s="576"/>
      <c r="AD2" s="576"/>
      <c r="AE2" s="576"/>
      <c r="AF2" s="576"/>
      <c r="AG2" s="576"/>
      <c r="AH2" s="576"/>
      <c r="AI2" s="576"/>
      <c r="AJ2" s="576"/>
      <c r="AK2" s="576"/>
      <c r="AL2" s="576"/>
      <c r="AM2" s="576"/>
      <c r="AN2" s="576"/>
      <c r="AO2" s="576"/>
      <c r="AP2" s="576"/>
      <c r="AQ2" s="576"/>
      <c r="AR2" s="576"/>
      <c r="AS2" s="576"/>
      <c r="AT2" s="576"/>
      <c r="AU2" s="576"/>
      <c r="AV2" s="576"/>
      <c r="AW2" s="576"/>
      <c r="AX2" s="576"/>
      <c r="AY2" s="576"/>
      <c r="AZ2" s="576"/>
      <c r="BA2" s="576"/>
      <c r="BB2" s="576"/>
      <c r="BC2" s="576"/>
      <c r="BD2" s="576"/>
    </row>
    <row r="3" spans="1:56" x14ac:dyDescent="0.2">
      <c r="A3" s="10"/>
      <c r="B3" s="10"/>
      <c r="C3" s="768"/>
      <c r="D3" s="768"/>
      <c r="E3" s="768"/>
      <c r="F3" s="768"/>
      <c r="G3" s="768"/>
      <c r="H3" s="768"/>
      <c r="I3" s="12"/>
      <c r="J3" s="768"/>
      <c r="K3" s="12"/>
      <c r="L3" s="12"/>
      <c r="M3" s="12"/>
      <c r="N3" s="12"/>
      <c r="O3" s="12"/>
      <c r="P3" s="12"/>
      <c r="U3" s="12"/>
      <c r="V3" s="2"/>
    </row>
    <row r="4" spans="1:56" customFormat="1" ht="13.5" thickBot="1" x14ac:dyDescent="0.25">
      <c r="H4" s="245"/>
      <c r="U4" s="760"/>
    </row>
    <row r="5" spans="1:56" customFormat="1" ht="39" thickBot="1" x14ac:dyDescent="0.25">
      <c r="B5" s="291" t="s">
        <v>560</v>
      </c>
      <c r="C5" s="292" t="s">
        <v>880</v>
      </c>
      <c r="D5" s="292" t="s">
        <v>887</v>
      </c>
      <c r="E5" s="292" t="s">
        <v>881</v>
      </c>
      <c r="F5" s="292" t="s">
        <v>882</v>
      </c>
      <c r="G5" s="292" t="s">
        <v>879</v>
      </c>
      <c r="H5" s="293" t="s">
        <v>561</v>
      </c>
      <c r="I5" s="291" t="s">
        <v>562</v>
      </c>
      <c r="J5" s="292" t="s">
        <v>1240</v>
      </c>
      <c r="K5" s="294" t="s">
        <v>888</v>
      </c>
      <c r="L5" s="1118"/>
      <c r="U5" s="604"/>
      <c r="V5" s="544"/>
    </row>
    <row r="6" spans="1:56" customFormat="1" ht="13.5" thickBot="1" x14ac:dyDescent="0.25">
      <c r="B6" s="1033">
        <v>2025</v>
      </c>
      <c r="C6" s="1034" t="s">
        <v>918</v>
      </c>
      <c r="D6" s="295"/>
      <c r="E6" s="295">
        <f>SUM(E7:E11)</f>
        <v>3.8399937298457707</v>
      </c>
      <c r="F6" s="295"/>
      <c r="G6" s="295"/>
      <c r="H6" s="1035">
        <f>SUM(H7:H11)</f>
        <v>253200.63103999998</v>
      </c>
      <c r="I6" s="1036"/>
      <c r="J6" s="1180">
        <f>(1+J8)*(1+J9)*(1+J11)*(1+J10)*(1+J7)-1</f>
        <v>0.10653341434251007</v>
      </c>
      <c r="K6" s="779">
        <f>+H6/(SUM(Consolidado!BC50:BF50)-DMPL!I380)</f>
        <v>1.0969885290121213</v>
      </c>
      <c r="L6" s="1118"/>
      <c r="U6" s="604"/>
      <c r="V6" s="544"/>
    </row>
    <row r="7" spans="1:56" customFormat="1" ht="13.5" thickBot="1" x14ac:dyDescent="0.25">
      <c r="B7" s="297" t="s">
        <v>563</v>
      </c>
      <c r="C7" s="1084">
        <v>45988</v>
      </c>
      <c r="D7" s="1084">
        <v>45993</v>
      </c>
      <c r="E7" s="1085">
        <f>+H7/65937.772</f>
        <v>1.5199937298457704</v>
      </c>
      <c r="F7" s="1215" t="s">
        <v>1355</v>
      </c>
      <c r="G7" s="1084">
        <v>46020</v>
      </c>
      <c r="H7" s="1099">
        <v>100225</v>
      </c>
      <c r="I7" s="1151">
        <v>37.53</v>
      </c>
      <c r="J7" s="1205">
        <f>+E7/I7</f>
        <v>4.0500765516807098E-2</v>
      </c>
      <c r="K7" s="1214" t="s">
        <v>160</v>
      </c>
      <c r="L7" s="1118"/>
      <c r="U7" s="604"/>
      <c r="V7" s="544"/>
    </row>
    <row r="8" spans="1:56" customFormat="1" ht="13.5" thickBot="1" x14ac:dyDescent="0.25">
      <c r="B8" s="297" t="s">
        <v>563</v>
      </c>
      <c r="C8" s="1084">
        <v>45964</v>
      </c>
      <c r="D8" s="1084">
        <v>45968</v>
      </c>
      <c r="E8" s="1085">
        <f>+H8/65937.772</f>
        <v>0.79</v>
      </c>
      <c r="F8" s="1098" t="s">
        <v>1315</v>
      </c>
      <c r="G8" s="1084">
        <v>45979</v>
      </c>
      <c r="H8" s="1099">
        <v>52090.83988</v>
      </c>
      <c r="I8" s="1151">
        <v>36.549999999999997</v>
      </c>
      <c r="J8" s="1205">
        <f>+E8/I8</f>
        <v>2.1614227086183314E-2</v>
      </c>
      <c r="K8" s="1237">
        <f>+SUM(H8:H9)/(SUM(Consolidado!BE48:BE48))</f>
        <v>0.80058907767089349</v>
      </c>
      <c r="L8" s="1207"/>
      <c r="M8" s="142"/>
      <c r="U8" s="604"/>
      <c r="V8" s="544"/>
    </row>
    <row r="9" spans="1:56" customFormat="1" ht="13.5" thickBot="1" x14ac:dyDescent="0.25">
      <c r="B9" s="297" t="s">
        <v>565</v>
      </c>
      <c r="C9" s="1084">
        <v>45964</v>
      </c>
      <c r="D9" s="1084">
        <v>45968</v>
      </c>
      <c r="E9" s="1085">
        <f>+H9/65937.772</f>
        <v>0.18000000000000002</v>
      </c>
      <c r="F9" s="1098" t="s">
        <v>1315</v>
      </c>
      <c r="G9" s="1084">
        <v>45979</v>
      </c>
      <c r="H9" s="1099">
        <v>11868.79896</v>
      </c>
      <c r="I9" s="1151">
        <v>36.549999999999997</v>
      </c>
      <c r="J9" s="1205">
        <f>+E9/I9</f>
        <v>4.9247606019151855E-3</v>
      </c>
      <c r="K9" s="1238"/>
      <c r="L9" s="1118"/>
      <c r="U9" s="604"/>
      <c r="V9" s="544"/>
    </row>
    <row r="10" spans="1:56" customFormat="1" ht="13.5" thickBot="1" x14ac:dyDescent="0.25">
      <c r="B10" s="297" t="s">
        <v>563</v>
      </c>
      <c r="C10" s="1084">
        <v>45873</v>
      </c>
      <c r="D10" s="1084">
        <v>45876</v>
      </c>
      <c r="E10" s="1085">
        <f>+H10/65937.772</f>
        <v>1.21</v>
      </c>
      <c r="F10" s="1098" t="s">
        <v>1325</v>
      </c>
      <c r="G10" s="1084">
        <v>45888</v>
      </c>
      <c r="H10" s="1099">
        <v>79784.704119999995</v>
      </c>
      <c r="I10" s="1151">
        <v>37.770000000000003</v>
      </c>
      <c r="J10" s="1205">
        <f>+E10/I10</f>
        <v>3.2036007413290969E-2</v>
      </c>
      <c r="K10" s="1237">
        <f>+SUM(H10:H11)/(SUM(Consolidado!BC50:BD50))</f>
        <v>0.8030079210750275</v>
      </c>
      <c r="L10" s="1118"/>
      <c r="M10" s="142"/>
      <c r="U10" s="604"/>
      <c r="V10" s="544"/>
    </row>
    <row r="11" spans="1:56" customFormat="1" ht="13.5" thickBot="1" x14ac:dyDescent="0.25">
      <c r="B11" s="297" t="s">
        <v>565</v>
      </c>
      <c r="C11" s="1084">
        <v>45873</v>
      </c>
      <c r="D11" s="1084">
        <v>45876</v>
      </c>
      <c r="E11" s="1085">
        <f>+H11/65937.772</f>
        <v>0.14000000000000001</v>
      </c>
      <c r="F11" s="1098" t="s">
        <v>1325</v>
      </c>
      <c r="G11" s="1084">
        <v>45888</v>
      </c>
      <c r="H11" s="1099">
        <v>9231.2880800000003</v>
      </c>
      <c r="I11" s="1151">
        <v>37.770000000000003</v>
      </c>
      <c r="J11" s="1205">
        <f>+E11/I11</f>
        <v>3.7066454858353192E-3</v>
      </c>
      <c r="K11" s="1238"/>
      <c r="L11" s="1118"/>
      <c r="U11" s="604"/>
      <c r="V11" s="544"/>
    </row>
    <row r="12" spans="1:56" customFormat="1" ht="13.5" thickBot="1" x14ac:dyDescent="0.25">
      <c r="B12" s="1033">
        <v>2024</v>
      </c>
      <c r="C12" s="1034" t="s">
        <v>918</v>
      </c>
      <c r="D12" s="295"/>
      <c r="E12" s="295">
        <f>SUM(E13:E18)</f>
        <v>2.58</v>
      </c>
      <c r="F12" s="295"/>
      <c r="G12" s="295"/>
      <c r="H12" s="1035">
        <f>SUM(H13:H18)</f>
        <v>170119.45176000003</v>
      </c>
      <c r="I12" s="1036"/>
      <c r="J12" s="1180">
        <f>(1+J18)*(1+J17)*(1+J16)*(1+J15)*(1+J14)*(1+J13)-1</f>
        <v>9.5681859974321215E-2</v>
      </c>
      <c r="K12" s="779">
        <f>+H12/(SUM(Consolidado!AY50:BB50)-DMPL!I380)</f>
        <v>0.66022393682557057</v>
      </c>
      <c r="L12" s="1118"/>
      <c r="U12" s="604"/>
      <c r="V12" s="544"/>
    </row>
    <row r="13" spans="1:56" customFormat="1" ht="13.5" thickBot="1" x14ac:dyDescent="0.25">
      <c r="B13" s="297" t="s">
        <v>563</v>
      </c>
      <c r="C13" s="322">
        <v>45756</v>
      </c>
      <c r="D13" s="322">
        <v>45756</v>
      </c>
      <c r="E13" s="1085">
        <v>0.44</v>
      </c>
      <c r="F13" s="1098">
        <v>2024</v>
      </c>
      <c r="G13" s="1084">
        <v>45770</v>
      </c>
      <c r="H13" s="1099">
        <v>29012.61968</v>
      </c>
      <c r="I13" s="1151">
        <v>34.85</v>
      </c>
      <c r="J13" s="773">
        <f t="shared" ref="J13:J18" si="0">+E13/I13</f>
        <v>1.2625538020086082E-2</v>
      </c>
      <c r="K13" s="1239" t="s">
        <v>160</v>
      </c>
      <c r="L13" s="1118"/>
      <c r="U13" s="604"/>
      <c r="V13" s="544"/>
    </row>
    <row r="14" spans="1:56" customFormat="1" ht="13.5" thickBot="1" x14ac:dyDescent="0.25">
      <c r="B14" s="297" t="s">
        <v>565</v>
      </c>
      <c r="C14" s="322">
        <v>45756</v>
      </c>
      <c r="D14" s="322">
        <v>45756</v>
      </c>
      <c r="E14" s="1085">
        <v>0.15000000000000002</v>
      </c>
      <c r="F14" s="1098">
        <v>2024</v>
      </c>
      <c r="G14" s="1084">
        <v>45770</v>
      </c>
      <c r="H14" s="1099">
        <v>9890.6658000000007</v>
      </c>
      <c r="I14" s="1151">
        <v>34.85</v>
      </c>
      <c r="J14" s="773">
        <f t="shared" si="0"/>
        <v>4.3041606886657108E-3</v>
      </c>
      <c r="K14" s="1240"/>
      <c r="L14" s="1118"/>
      <c r="U14" s="604"/>
      <c r="V14" s="544"/>
    </row>
    <row r="15" spans="1:56" customFormat="1" ht="13.5" thickBot="1" x14ac:dyDescent="0.25">
      <c r="B15" s="297" t="s">
        <v>563</v>
      </c>
      <c r="C15" s="322">
        <v>45600</v>
      </c>
      <c r="D15" s="322">
        <v>45603</v>
      </c>
      <c r="E15" s="1085">
        <v>0.57999999999999996</v>
      </c>
      <c r="F15" s="1098" t="s">
        <v>1251</v>
      </c>
      <c r="G15" s="1084">
        <v>45615</v>
      </c>
      <c r="H15" s="1099">
        <v>38243.907759999995</v>
      </c>
      <c r="I15" s="1151">
        <v>30.4</v>
      </c>
      <c r="J15" s="773">
        <f t="shared" si="0"/>
        <v>1.9078947368421053E-2</v>
      </c>
      <c r="K15" s="1241">
        <f>+SUM(H15:H16)/DRE!BG30</f>
        <v>0.59689000056149022</v>
      </c>
      <c r="L15" s="1207"/>
      <c r="M15" s="142"/>
      <c r="U15" s="604"/>
      <c r="V15" s="544"/>
    </row>
    <row r="16" spans="1:56" customFormat="1" ht="13.5" thickBot="1" x14ac:dyDescent="0.25">
      <c r="B16" s="297" t="s">
        <v>565</v>
      </c>
      <c r="C16" s="322">
        <v>45600</v>
      </c>
      <c r="D16" s="322">
        <v>45603</v>
      </c>
      <c r="E16" s="1085">
        <v>0.19</v>
      </c>
      <c r="F16" s="1098" t="s">
        <v>1251</v>
      </c>
      <c r="G16" s="1084">
        <v>45615</v>
      </c>
      <c r="H16" s="1099">
        <v>12528.17668</v>
      </c>
      <c r="I16" s="1151">
        <v>30.4</v>
      </c>
      <c r="J16" s="773">
        <f t="shared" si="0"/>
        <v>6.2500000000000003E-3</v>
      </c>
      <c r="K16" s="1243"/>
      <c r="L16" s="1118"/>
      <c r="U16" s="604"/>
      <c r="V16" s="544"/>
    </row>
    <row r="17" spans="2:22" customFormat="1" ht="13.5" thickBot="1" x14ac:dyDescent="0.25">
      <c r="B17" s="297" t="s">
        <v>563</v>
      </c>
      <c r="C17" s="322">
        <v>45509</v>
      </c>
      <c r="D17" s="322">
        <v>45512</v>
      </c>
      <c r="E17" s="1085">
        <v>1.1200000000000001</v>
      </c>
      <c r="F17" s="1098" t="s">
        <v>1259</v>
      </c>
      <c r="G17" s="1084">
        <v>45525</v>
      </c>
      <c r="H17" s="1099">
        <v>73850.304640000002</v>
      </c>
      <c r="I17" s="1151">
        <v>24.18</v>
      </c>
      <c r="J17" s="773">
        <f t="shared" si="0"/>
        <v>4.6319272125723746E-2</v>
      </c>
      <c r="K17" s="1241">
        <f>+SUM(H17:H18)/SUM(DRE!BD30:BE30)</f>
        <v>0.80015881674178435</v>
      </c>
      <c r="L17" s="1203"/>
      <c r="M17" s="142"/>
      <c r="U17" s="604"/>
      <c r="V17" s="544"/>
    </row>
    <row r="18" spans="2:22" customFormat="1" ht="13.5" thickBot="1" x14ac:dyDescent="0.25">
      <c r="B18" s="297" t="s">
        <v>565</v>
      </c>
      <c r="C18" s="322">
        <v>45509</v>
      </c>
      <c r="D18" s="322">
        <v>45512</v>
      </c>
      <c r="E18" s="1085">
        <v>0.1</v>
      </c>
      <c r="F18" s="1098" t="s">
        <v>1259</v>
      </c>
      <c r="G18" s="1084">
        <v>45525</v>
      </c>
      <c r="H18" s="1099">
        <v>6593.7772000000004</v>
      </c>
      <c r="I18" s="1151">
        <v>24.18</v>
      </c>
      <c r="J18" s="773">
        <f t="shared" si="0"/>
        <v>4.1356492969396195E-3</v>
      </c>
      <c r="K18" s="1243"/>
      <c r="L18" s="1118"/>
      <c r="U18" s="604"/>
      <c r="V18" s="544"/>
    </row>
    <row r="19" spans="2:22" s="142" customFormat="1" ht="13.5" thickBot="1" x14ac:dyDescent="0.25">
      <c r="B19" s="1033">
        <v>2023</v>
      </c>
      <c r="C19" s="1034" t="s">
        <v>918</v>
      </c>
      <c r="D19" s="295"/>
      <c r="E19" s="295">
        <f>SUM(E20:E25)</f>
        <v>1.83</v>
      </c>
      <c r="F19" s="295"/>
      <c r="G19" s="295"/>
      <c r="H19" s="1035">
        <f>SUM(H20:H25)</f>
        <v>120666.12276</v>
      </c>
      <c r="I19" s="1036"/>
      <c r="J19" s="772">
        <f>(1+J25)*(1+J24)*(1+J23)*(1+J22)*(1+J21)*(1+J20)-1</f>
        <v>7.463775370321013E-2</v>
      </c>
      <c r="K19" s="779">
        <f>+H19/(SUM(DRE!AZ30:BC30)-DMPL!H271-DMPL!H281-DMPL!H291-DMPL!H301-DMPL!I303)</f>
        <v>0.82059518303396994</v>
      </c>
      <c r="U19" s="1037"/>
      <c r="V19" s="548"/>
    </row>
    <row r="20" spans="2:22" s="142" customFormat="1" ht="13.5" thickBot="1" x14ac:dyDescent="0.25">
      <c r="B20" s="297" t="s">
        <v>563</v>
      </c>
      <c r="C20" s="322">
        <v>45393</v>
      </c>
      <c r="D20" s="322">
        <v>45393</v>
      </c>
      <c r="E20" s="1085">
        <v>0.54</v>
      </c>
      <c r="F20" s="1098">
        <v>2023</v>
      </c>
      <c r="G20" s="1084">
        <v>45405</v>
      </c>
      <c r="H20" s="1099">
        <v>35606.39688</v>
      </c>
      <c r="I20" s="299">
        <v>27</v>
      </c>
      <c r="J20" s="773">
        <f t="shared" ref="J20:J25" si="1">+E20/I20</f>
        <v>0.02</v>
      </c>
      <c r="K20" s="1239" t="s">
        <v>160</v>
      </c>
      <c r="U20" s="1037"/>
      <c r="V20" s="548"/>
    </row>
    <row r="21" spans="2:22" s="142" customFormat="1" ht="13.5" thickBot="1" x14ac:dyDescent="0.25">
      <c r="B21" s="297" t="s">
        <v>565</v>
      </c>
      <c r="C21" s="322">
        <v>45393</v>
      </c>
      <c r="D21" s="322">
        <v>45393</v>
      </c>
      <c r="E21" s="1085">
        <v>0.18</v>
      </c>
      <c r="F21" s="1098">
        <v>2023</v>
      </c>
      <c r="G21" s="1084">
        <v>45405</v>
      </c>
      <c r="H21" s="1099">
        <v>11868.798959999998</v>
      </c>
      <c r="I21" s="299">
        <v>27</v>
      </c>
      <c r="J21" s="773">
        <f t="shared" si="1"/>
        <v>6.6666666666666662E-3</v>
      </c>
      <c r="K21" s="1240"/>
      <c r="L21" s="1207"/>
      <c r="U21" s="1037"/>
      <c r="V21" s="548"/>
    </row>
    <row r="22" spans="2:22" s="142" customFormat="1" ht="13.5" thickBot="1" x14ac:dyDescent="0.25">
      <c r="B22" s="297" t="s">
        <v>563</v>
      </c>
      <c r="C22" s="322">
        <v>45236</v>
      </c>
      <c r="D22" s="1084">
        <v>45240</v>
      </c>
      <c r="E22" s="1085">
        <v>0.4</v>
      </c>
      <c r="F22" s="1098" t="s">
        <v>1179</v>
      </c>
      <c r="G22" s="1084">
        <v>45253</v>
      </c>
      <c r="H22" s="1099">
        <v>26375.108800000002</v>
      </c>
      <c r="I22" s="299">
        <v>24</v>
      </c>
      <c r="J22" s="773">
        <f t="shared" si="1"/>
        <v>1.6666666666666666E-2</v>
      </c>
      <c r="K22" s="1241">
        <f>+SUM(H22:H23)/(DRE!BB30-DMPL!H291)</f>
        <v>0.72409913434394679</v>
      </c>
      <c r="L22" s="1096"/>
      <c r="U22" s="1037"/>
      <c r="V22" s="548"/>
    </row>
    <row r="23" spans="2:22" s="142" customFormat="1" ht="13.5" thickBot="1" x14ac:dyDescent="0.25">
      <c r="B23" s="297" t="s">
        <v>565</v>
      </c>
      <c r="C23" s="322">
        <v>45236</v>
      </c>
      <c r="D23" s="1084">
        <v>45240</v>
      </c>
      <c r="E23" s="1085">
        <v>0.14000000000000001</v>
      </c>
      <c r="F23" s="1098" t="s">
        <v>1179</v>
      </c>
      <c r="G23" s="1084">
        <v>45253</v>
      </c>
      <c r="H23" s="1099">
        <v>9231.2880800000003</v>
      </c>
      <c r="I23" s="299">
        <v>24</v>
      </c>
      <c r="J23" s="773">
        <f t="shared" si="1"/>
        <v>5.8333333333333336E-3</v>
      </c>
      <c r="K23" s="1243"/>
      <c r="L23" s="1096"/>
      <c r="U23" s="1037"/>
      <c r="V23" s="548"/>
    </row>
    <row r="24" spans="2:22" customFormat="1" ht="13.5" thickBot="1" x14ac:dyDescent="0.25">
      <c r="B24" s="297" t="s">
        <v>563</v>
      </c>
      <c r="C24" s="322">
        <v>45141</v>
      </c>
      <c r="D24" s="1084">
        <v>45147</v>
      </c>
      <c r="E24" s="1085">
        <v>0.43</v>
      </c>
      <c r="F24" s="1098" t="s">
        <v>1208</v>
      </c>
      <c r="G24" s="1084">
        <v>45155</v>
      </c>
      <c r="H24" s="1099">
        <v>28353.241959999999</v>
      </c>
      <c r="I24" s="299">
        <v>24.4</v>
      </c>
      <c r="J24" s="773">
        <f t="shared" si="1"/>
        <v>1.7622950819672131E-2</v>
      </c>
      <c r="K24" s="1241">
        <f>+SUM(H24:H25)/(SUM(DRE!AZ30:BA30)-SUM(DMPL!H271,DMPL!H281))</f>
        <v>0.59255442997118613</v>
      </c>
      <c r="L24" s="1096"/>
      <c r="M24" s="1003"/>
      <c r="U24" s="575"/>
      <c r="V24" s="544"/>
    </row>
    <row r="25" spans="2:22" customFormat="1" ht="13.5" thickBot="1" x14ac:dyDescent="0.25">
      <c r="B25" s="297" t="s">
        <v>565</v>
      </c>
      <c r="C25" s="322">
        <v>45141</v>
      </c>
      <c r="D25" s="1084">
        <v>45147</v>
      </c>
      <c r="E25" s="1085">
        <v>0.14000000000000001</v>
      </c>
      <c r="F25" s="1098" t="s">
        <v>1208</v>
      </c>
      <c r="G25" s="1084">
        <v>45155</v>
      </c>
      <c r="H25" s="1099">
        <v>9231.2880800000003</v>
      </c>
      <c r="I25" s="299">
        <v>24.4</v>
      </c>
      <c r="J25" s="773">
        <f t="shared" si="1"/>
        <v>5.7377049180327875E-3</v>
      </c>
      <c r="K25" s="1242"/>
      <c r="L25" s="1152"/>
      <c r="U25" s="575"/>
      <c r="V25" s="544"/>
    </row>
    <row r="26" spans="2:22" s="142" customFormat="1" ht="13.5" thickBot="1" x14ac:dyDescent="0.25">
      <c r="B26" s="1033">
        <v>2022</v>
      </c>
      <c r="C26" s="1034" t="s">
        <v>918</v>
      </c>
      <c r="D26" s="295"/>
      <c r="E26" s="295">
        <f>SUM(E27:E32)</f>
        <v>1.3829172728999999</v>
      </c>
      <c r="F26" s="295"/>
      <c r="G26" s="295"/>
      <c r="H26" s="1035">
        <f>SUM(H27:H32)</f>
        <v>91186.483841500012</v>
      </c>
      <c r="I26" s="1036"/>
      <c r="J26" s="772">
        <f>(1+J32)*(1+J31)*(1+J30)*(1+J29)*(1+J28)*(1+J27)-1</f>
        <v>8.2856159206552205E-2</v>
      </c>
      <c r="K26" s="779">
        <f>+H26/(SUM(DRE!AV30:AY30)-DMPL!H249-DMPL!H245-DMPL!H255-DMPL!H261-DMPL!I263)</f>
        <v>0.70125262096660579</v>
      </c>
      <c r="U26" s="1037"/>
      <c r="V26" s="548"/>
    </row>
    <row r="27" spans="2:22" customFormat="1" ht="13.5" thickBot="1" x14ac:dyDescent="0.25">
      <c r="B27" s="297" t="s">
        <v>563</v>
      </c>
      <c r="C27" s="322">
        <v>45028</v>
      </c>
      <c r="D27" s="1084">
        <v>45028</v>
      </c>
      <c r="E27" s="1085">
        <v>0.45</v>
      </c>
      <c r="F27" s="1098">
        <v>2022</v>
      </c>
      <c r="G27" s="1084">
        <v>45040</v>
      </c>
      <c r="H27" s="1099">
        <v>29671.997400000004</v>
      </c>
      <c r="I27" s="299">
        <v>18</v>
      </c>
      <c r="J27" s="773">
        <f t="shared" ref="J27:J32" si="2">+E27/I27</f>
        <v>2.5000000000000001E-2</v>
      </c>
      <c r="K27" s="780" t="s">
        <v>160</v>
      </c>
      <c r="L27" s="1096"/>
      <c r="M27" s="1003"/>
      <c r="U27" s="575"/>
      <c r="V27" s="544"/>
    </row>
    <row r="28" spans="2:22" customFormat="1" ht="13.5" thickBot="1" x14ac:dyDescent="0.25">
      <c r="B28" s="297" t="s">
        <v>565</v>
      </c>
      <c r="C28" s="322">
        <v>45028</v>
      </c>
      <c r="D28" s="1084">
        <v>45028</v>
      </c>
      <c r="E28" s="1085">
        <v>0.15</v>
      </c>
      <c r="F28" s="1098">
        <v>2022</v>
      </c>
      <c r="G28" s="1084">
        <v>45040</v>
      </c>
      <c r="H28" s="1099">
        <v>9890.6657999999989</v>
      </c>
      <c r="I28" s="299">
        <v>18</v>
      </c>
      <c r="J28" s="773">
        <f t="shared" si="2"/>
        <v>8.3333333333333332E-3</v>
      </c>
      <c r="K28" s="780" t="s">
        <v>160</v>
      </c>
      <c r="L28" s="1207"/>
      <c r="U28" s="575"/>
      <c r="V28" s="544"/>
    </row>
    <row r="29" spans="2:22" customFormat="1" ht="13.5" thickBot="1" x14ac:dyDescent="0.25">
      <c r="B29" s="297" t="s">
        <v>563</v>
      </c>
      <c r="C29" s="322">
        <v>44868</v>
      </c>
      <c r="D29" s="1084">
        <v>44873</v>
      </c>
      <c r="E29" s="1085">
        <v>0.31</v>
      </c>
      <c r="F29" s="1085" t="s">
        <v>1121</v>
      </c>
      <c r="G29" s="1084">
        <v>44886</v>
      </c>
      <c r="H29" s="1025">
        <v>20440.709320000002</v>
      </c>
      <c r="I29" s="299">
        <v>21.2</v>
      </c>
      <c r="J29" s="773">
        <f t="shared" si="2"/>
        <v>1.4622641509433962E-2</v>
      </c>
      <c r="K29" s="780" t="s">
        <v>160</v>
      </c>
      <c r="L29" s="1119"/>
      <c r="M29" s="1003"/>
      <c r="U29" s="575"/>
      <c r="V29" s="544"/>
    </row>
    <row r="30" spans="2:22" customFormat="1" ht="13.5" thickBot="1" x14ac:dyDescent="0.25">
      <c r="B30" s="297" t="s">
        <v>565</v>
      </c>
      <c r="C30" s="322">
        <v>44868</v>
      </c>
      <c r="D30" s="1084">
        <v>44873</v>
      </c>
      <c r="E30" s="1085">
        <v>0.1</v>
      </c>
      <c r="F30" s="1085" t="s">
        <v>1121</v>
      </c>
      <c r="G30" s="1084">
        <v>44886</v>
      </c>
      <c r="H30" s="1025">
        <v>6593.7772000000004</v>
      </c>
      <c r="I30" s="299">
        <v>21.2</v>
      </c>
      <c r="J30" s="773">
        <f t="shared" si="2"/>
        <v>4.7169811320754724E-3</v>
      </c>
      <c r="K30" s="780" t="s">
        <v>160</v>
      </c>
      <c r="U30" s="575"/>
      <c r="V30" s="544"/>
    </row>
    <row r="31" spans="2:22" customFormat="1" ht="13.5" thickBot="1" x14ac:dyDescent="0.25">
      <c r="B31" s="297" t="s">
        <v>563</v>
      </c>
      <c r="C31" s="322">
        <v>44776</v>
      </c>
      <c r="D31" s="322">
        <v>44781</v>
      </c>
      <c r="E31" s="298">
        <v>0.27968795470000002</v>
      </c>
      <c r="F31" s="298" t="s">
        <v>1134</v>
      </c>
      <c r="G31" s="322">
        <v>44791</v>
      </c>
      <c r="H31" s="1025">
        <v>18442.000591125005</v>
      </c>
      <c r="I31" s="299">
        <v>13.5</v>
      </c>
      <c r="J31" s="773">
        <f t="shared" si="2"/>
        <v>2.0717626274074075E-2</v>
      </c>
      <c r="K31" s="780" t="s">
        <v>160</v>
      </c>
      <c r="L31" s="834"/>
      <c r="M31" s="1003"/>
      <c r="U31" s="575"/>
      <c r="V31" s="544"/>
    </row>
    <row r="32" spans="2:22" customFormat="1" ht="13.5" thickBot="1" x14ac:dyDescent="0.25">
      <c r="B32" s="297" t="s">
        <v>565</v>
      </c>
      <c r="C32" s="322">
        <v>44776</v>
      </c>
      <c r="D32" s="322">
        <v>44781</v>
      </c>
      <c r="E32" s="298">
        <v>9.3229318199999994E-2</v>
      </c>
      <c r="F32" s="298" t="s">
        <v>1134</v>
      </c>
      <c r="G32" s="322">
        <v>44791</v>
      </c>
      <c r="H32" s="1025">
        <v>6147.3335303750036</v>
      </c>
      <c r="I32" s="299">
        <v>13.5</v>
      </c>
      <c r="J32" s="773">
        <f t="shared" si="2"/>
        <v>6.9058754222222221E-3</v>
      </c>
      <c r="K32" s="780" t="s">
        <v>160</v>
      </c>
      <c r="U32" s="575"/>
      <c r="V32" s="544"/>
    </row>
    <row r="33" spans="2:22" s="142" customFormat="1" ht="13.5" thickBot="1" x14ac:dyDescent="0.25">
      <c r="B33" s="1033">
        <v>2021</v>
      </c>
      <c r="C33" s="1034" t="s">
        <v>918</v>
      </c>
      <c r="D33" s="295"/>
      <c r="E33" s="295">
        <f>SUM(E34:E39)</f>
        <v>0.93441733748207756</v>
      </c>
      <c r="F33" s="295"/>
      <c r="G33" s="295"/>
      <c r="H33" s="1035">
        <f>SUM(H34:H39)</f>
        <v>61613.397350454012</v>
      </c>
      <c r="I33" s="1036"/>
      <c r="J33" s="772">
        <f>+(1+J36)*(1+J37)*(1+J38)*(1+J39)*(1+J35)*(1+J34)-1</f>
        <v>5.8030245214607756E-2</v>
      </c>
      <c r="K33" s="779">
        <f>H33/(SUM(DRE!AR28:AU28)-SUM(DMPL!I240,DMPL!H234,DMPL!H228,DMPL!H222,DMPL!H217))</f>
        <v>0.7090504272751571</v>
      </c>
      <c r="U33" s="1037"/>
      <c r="V33" s="548"/>
    </row>
    <row r="34" spans="2:22" customFormat="1" ht="13.5" thickBot="1" x14ac:dyDescent="0.25">
      <c r="B34" s="297" t="s">
        <v>563</v>
      </c>
      <c r="C34" s="322">
        <v>44633</v>
      </c>
      <c r="D34" s="322">
        <v>44633</v>
      </c>
      <c r="E34" s="298">
        <v>0.25408205109999998</v>
      </c>
      <c r="F34" s="769">
        <v>2021</v>
      </c>
      <c r="G34" s="322">
        <v>44678</v>
      </c>
      <c r="H34" s="1025">
        <v>16753.604352111015</v>
      </c>
      <c r="I34" s="299">
        <v>14.48</v>
      </c>
      <c r="J34" s="773">
        <f t="shared" ref="J34:J39" si="3">+E34/I34</f>
        <v>1.7547102976519336E-2</v>
      </c>
      <c r="K34" s="780" t="s">
        <v>160</v>
      </c>
      <c r="L34" s="834"/>
      <c r="M34" s="1003"/>
      <c r="U34" s="575"/>
      <c r="V34" s="544"/>
    </row>
    <row r="35" spans="2:22" customFormat="1" ht="13.5" thickBot="1" x14ac:dyDescent="0.25">
      <c r="B35" s="297" t="s">
        <v>565</v>
      </c>
      <c r="C35" s="322">
        <v>44633</v>
      </c>
      <c r="D35" s="322">
        <v>44633</v>
      </c>
      <c r="E35" s="298">
        <v>8.4694016999999996E-2</v>
      </c>
      <c r="F35" s="769">
        <v>2021</v>
      </c>
      <c r="G35" s="322">
        <v>44678</v>
      </c>
      <c r="H35" s="1025">
        <v>5584.534784037005</v>
      </c>
      <c r="I35" s="299">
        <v>14.48</v>
      </c>
      <c r="J35" s="773">
        <f t="shared" si="3"/>
        <v>5.8490343232044193E-3</v>
      </c>
      <c r="K35" s="780" t="s">
        <v>160</v>
      </c>
      <c r="L35" s="1207"/>
      <c r="M35" s="1030"/>
      <c r="U35" s="575"/>
      <c r="V35" s="544"/>
    </row>
    <row r="36" spans="2:22" customFormat="1" ht="13.5" thickBot="1" x14ac:dyDescent="0.25">
      <c r="B36" s="297" t="s">
        <v>563</v>
      </c>
      <c r="C36" s="322">
        <v>44504</v>
      </c>
      <c r="D36" s="322">
        <v>44509</v>
      </c>
      <c r="E36" s="298">
        <v>0.19470983950000001</v>
      </c>
      <c r="F36" s="298" t="s">
        <v>1024</v>
      </c>
      <c r="G36" s="322">
        <v>44519</v>
      </c>
      <c r="H36" s="1025">
        <v>12838.733003107593</v>
      </c>
      <c r="I36" s="299">
        <v>15</v>
      </c>
      <c r="J36" s="773">
        <f t="shared" si="3"/>
        <v>1.2980655966666668E-2</v>
      </c>
      <c r="K36" s="780" t="s">
        <v>160</v>
      </c>
      <c r="L36" s="1002"/>
      <c r="M36" s="1030"/>
      <c r="U36" s="575"/>
      <c r="V36" s="544"/>
    </row>
    <row r="37" spans="2:22" customFormat="1" ht="13.5" thickBot="1" x14ac:dyDescent="0.25">
      <c r="B37" s="297" t="s">
        <v>565</v>
      </c>
      <c r="C37" s="322">
        <v>44504</v>
      </c>
      <c r="D37" s="322">
        <v>44509</v>
      </c>
      <c r="E37" s="298">
        <v>6.4903279899999999E-2</v>
      </c>
      <c r="F37" s="298" t="s">
        <v>1024</v>
      </c>
      <c r="G37" s="322">
        <v>44519</v>
      </c>
      <c r="H37" s="1025">
        <v>4279.5776720983831</v>
      </c>
      <c r="I37" s="299">
        <v>15</v>
      </c>
      <c r="J37" s="773">
        <f t="shared" si="3"/>
        <v>4.3268853266666667E-3</v>
      </c>
      <c r="K37" s="780" t="s">
        <v>160</v>
      </c>
      <c r="L37" s="977"/>
      <c r="M37" s="1030"/>
      <c r="U37" s="575"/>
      <c r="V37" s="544"/>
    </row>
    <row r="38" spans="2:22" customFormat="1" ht="13.5" thickBot="1" x14ac:dyDescent="0.25">
      <c r="B38" s="297" t="s">
        <v>563</v>
      </c>
      <c r="C38" s="322">
        <v>44412</v>
      </c>
      <c r="D38" s="322">
        <v>44417</v>
      </c>
      <c r="E38" s="298">
        <v>0.25202111248655812</v>
      </c>
      <c r="F38" s="298" t="s">
        <v>1074</v>
      </c>
      <c r="G38" s="322">
        <v>44427</v>
      </c>
      <c r="H38" s="1025">
        <v>16617.710654325001</v>
      </c>
      <c r="I38" s="299">
        <v>20.94</v>
      </c>
      <c r="J38" s="773">
        <f t="shared" si="3"/>
        <v>1.2035392191335153E-2</v>
      </c>
      <c r="K38" s="780" t="s">
        <v>160</v>
      </c>
      <c r="L38" s="834"/>
      <c r="M38" s="1030"/>
      <c r="U38" s="575"/>
      <c r="V38" s="544"/>
    </row>
    <row r="39" spans="2:22" customFormat="1" ht="13.5" thickBot="1" x14ac:dyDescent="0.25">
      <c r="B39" s="297" t="s">
        <v>565</v>
      </c>
      <c r="C39" s="322">
        <v>44412</v>
      </c>
      <c r="D39" s="322">
        <v>44417</v>
      </c>
      <c r="E39" s="298">
        <v>8.4007037495519382E-2</v>
      </c>
      <c r="F39" s="298" t="s">
        <v>1074</v>
      </c>
      <c r="G39" s="322">
        <v>44427</v>
      </c>
      <c r="H39" s="1025">
        <v>5539.2368847750104</v>
      </c>
      <c r="I39" s="299">
        <v>20.94</v>
      </c>
      <c r="J39" s="773">
        <f t="shared" si="3"/>
        <v>4.0117973971117177E-3</v>
      </c>
      <c r="K39" s="780" t="s">
        <v>160</v>
      </c>
      <c r="U39" s="575"/>
      <c r="V39" s="544"/>
    </row>
    <row r="40" spans="2:22" s="142" customFormat="1" ht="13.5" thickBot="1" x14ac:dyDescent="0.25">
      <c r="B40" s="1033">
        <v>2020</v>
      </c>
      <c r="C40" s="1034" t="s">
        <v>918</v>
      </c>
      <c r="D40" s="295"/>
      <c r="E40" s="295">
        <f>SUM(E41:E44)</f>
        <v>0.53038320168749375</v>
      </c>
      <c r="F40" s="295"/>
      <c r="G40" s="295"/>
      <c r="H40" s="1035">
        <f>SUM(H41:H44)</f>
        <v>34972.286625499997</v>
      </c>
      <c r="I40" s="1036"/>
      <c r="J40" s="772">
        <f>+(1+J41)*(1+J42)*(1+J44)*(1+J43)-1</f>
        <v>2.3874745773391215E-2</v>
      </c>
      <c r="K40" s="779">
        <f>H40/(SUM(DRE!AN30:AQ30)-SUM(DMPL!H178,DMPL!H188,DMPL!H198,DMPL!H210,DMPL!I212))</f>
        <v>0.63113124625359629</v>
      </c>
      <c r="U40" s="1037"/>
      <c r="V40" s="548"/>
    </row>
    <row r="41" spans="2:22" customFormat="1" ht="13.5" thickBot="1" x14ac:dyDescent="0.25">
      <c r="B41" s="297" t="s">
        <v>563</v>
      </c>
      <c r="C41" s="322">
        <v>44299</v>
      </c>
      <c r="D41" s="322">
        <v>44299</v>
      </c>
      <c r="E41" s="298">
        <v>0.14264701321914552</v>
      </c>
      <c r="F41" s="769">
        <v>2020</v>
      </c>
      <c r="G41" s="322">
        <v>44313</v>
      </c>
      <c r="H41" s="1025">
        <v>9405.8262341249992</v>
      </c>
      <c r="I41" s="299">
        <v>21.38</v>
      </c>
      <c r="J41" s="773">
        <f>+E41/I41</f>
        <v>6.6719837801284161E-3</v>
      </c>
      <c r="K41" s="780" t="s">
        <v>160</v>
      </c>
      <c r="L41" s="834"/>
      <c r="U41" s="575"/>
      <c r="V41" s="544"/>
    </row>
    <row r="42" spans="2:22" customFormat="1" ht="13.5" thickBot="1" x14ac:dyDescent="0.25">
      <c r="B42" s="297" t="s">
        <v>565</v>
      </c>
      <c r="C42" s="322">
        <v>44299</v>
      </c>
      <c r="D42" s="322">
        <v>44299</v>
      </c>
      <c r="E42" s="298">
        <v>4.7549004406381781E-2</v>
      </c>
      <c r="F42" s="769">
        <v>2020</v>
      </c>
      <c r="G42" s="322">
        <v>44313</v>
      </c>
      <c r="H42" s="1025">
        <v>3135.2754113750002</v>
      </c>
      <c r="I42" s="299">
        <v>21.38</v>
      </c>
      <c r="J42" s="773">
        <f>+E42/I42</f>
        <v>2.223994593376136E-3</v>
      </c>
      <c r="K42" s="780" t="s">
        <v>160</v>
      </c>
      <c r="L42" s="1207"/>
      <c r="U42" s="575"/>
      <c r="V42" s="544"/>
    </row>
    <row r="43" spans="2:22" customFormat="1" ht="13.5" thickBot="1" x14ac:dyDescent="0.25">
      <c r="B43" s="297" t="s">
        <v>563</v>
      </c>
      <c r="C43" s="322">
        <v>44141</v>
      </c>
      <c r="D43" s="322">
        <v>44146</v>
      </c>
      <c r="E43" s="298">
        <v>0.25514038804647488</v>
      </c>
      <c r="F43" s="298" t="s">
        <v>1025</v>
      </c>
      <c r="G43" s="322">
        <v>44159</v>
      </c>
      <c r="H43" s="1025">
        <v>16823.388735</v>
      </c>
      <c r="I43" s="299">
        <v>23</v>
      </c>
      <c r="J43" s="773">
        <f>+E43/I43</f>
        <v>1.1093060349846733E-2</v>
      </c>
      <c r="K43" s="780" t="s">
        <v>160</v>
      </c>
      <c r="L43" s="834"/>
      <c r="U43" s="575"/>
      <c r="V43" s="544"/>
    </row>
    <row r="44" spans="2:22" customFormat="1" ht="13.5" thickBot="1" x14ac:dyDescent="0.25">
      <c r="B44" s="297" t="s">
        <v>565</v>
      </c>
      <c r="C44" s="322">
        <v>44141</v>
      </c>
      <c r="D44" s="322">
        <v>44146</v>
      </c>
      <c r="E44" s="298">
        <v>8.504679601549163E-2</v>
      </c>
      <c r="F44" s="298" t="s">
        <v>1025</v>
      </c>
      <c r="G44" s="322">
        <v>44159</v>
      </c>
      <c r="H44" s="1025">
        <v>5607.7962450000005</v>
      </c>
      <c r="I44" s="299">
        <v>23</v>
      </c>
      <c r="J44" s="773">
        <f>+E44/I44</f>
        <v>3.6976867832822446E-3</v>
      </c>
      <c r="K44" s="780" t="s">
        <v>160</v>
      </c>
      <c r="U44" s="575"/>
      <c r="V44" s="544"/>
    </row>
    <row r="45" spans="2:22" s="142" customFormat="1" ht="13.5" thickBot="1" x14ac:dyDescent="0.25">
      <c r="B45" s="1033">
        <v>2019</v>
      </c>
      <c r="C45" s="1034" t="s">
        <v>918</v>
      </c>
      <c r="D45" s="295"/>
      <c r="E45" s="295">
        <f>SUM(E46:E49)</f>
        <v>1.1407508168180807</v>
      </c>
      <c r="F45" s="295"/>
      <c r="G45" s="295"/>
      <c r="H45" s="1035">
        <v>75263.667872909704</v>
      </c>
      <c r="I45" s="1036"/>
      <c r="J45" s="772">
        <f>+(1+J46)*(1+J47)*(1+J49)*(1+J48)-1</f>
        <v>3.7116854063646398E-2</v>
      </c>
      <c r="K45" s="779">
        <f>H45/(SUM(DRE!AJ28:AM28)-SUM(DMPL!H169,DMPL!H159,DMPL!H147,DMPL!H135))</f>
        <v>0.42706846109878793</v>
      </c>
      <c r="U45" s="1037"/>
      <c r="V45" s="548"/>
    </row>
    <row r="46" spans="2:22" customFormat="1" ht="13.5" thickBot="1" x14ac:dyDescent="0.25">
      <c r="B46" s="297" t="s">
        <v>563</v>
      </c>
      <c r="C46" s="322">
        <v>43776</v>
      </c>
      <c r="D46" s="322">
        <v>43781</v>
      </c>
      <c r="E46" s="298">
        <f>H46/66002.915</f>
        <v>0.51924924487702251</v>
      </c>
      <c r="F46" s="298" t="s">
        <v>883</v>
      </c>
      <c r="G46" s="322">
        <v>43795</v>
      </c>
      <c r="H46" s="1025">
        <v>34271.963773432297</v>
      </c>
      <c r="I46" s="299">
        <v>30.5</v>
      </c>
      <c r="J46" s="773">
        <f>+E46/I46</f>
        <v>1.7024565405804017E-2</v>
      </c>
      <c r="K46" s="780" t="s">
        <v>160</v>
      </c>
      <c r="L46" s="834"/>
      <c r="U46" s="575"/>
      <c r="V46" s="544"/>
    </row>
    <row r="47" spans="2:22" customFormat="1" ht="13.5" thickBot="1" x14ac:dyDescent="0.25">
      <c r="B47" s="297" t="s">
        <v>565</v>
      </c>
      <c r="C47" s="322">
        <v>43776</v>
      </c>
      <c r="D47" s="322">
        <v>43781</v>
      </c>
      <c r="E47" s="298">
        <f>H47/66002.915</f>
        <v>0.17308308162567418</v>
      </c>
      <c r="F47" s="298" t="s">
        <v>883</v>
      </c>
      <c r="G47" s="322">
        <v>43795</v>
      </c>
      <c r="H47" s="1025">
        <v>11423.987924477433</v>
      </c>
      <c r="I47" s="299">
        <v>30.5</v>
      </c>
      <c r="J47" s="773">
        <f>+E47/I47</f>
        <v>5.6748551352680055E-3</v>
      </c>
      <c r="K47" s="780" t="s">
        <v>160</v>
      </c>
      <c r="U47" s="575"/>
      <c r="V47" s="544"/>
    </row>
    <row r="48" spans="2:22" customFormat="1" ht="13.5" thickBot="1" x14ac:dyDescent="0.25">
      <c r="B48" s="297" t="s">
        <v>563</v>
      </c>
      <c r="C48" s="322">
        <v>43706</v>
      </c>
      <c r="D48" s="322">
        <v>43712</v>
      </c>
      <c r="E48" s="298">
        <v>0.33631386773653804</v>
      </c>
      <c r="F48" s="298" t="s">
        <v>884</v>
      </c>
      <c r="G48" s="322">
        <v>43724</v>
      </c>
      <c r="H48" s="1025">
        <v>22175.787131250003</v>
      </c>
      <c r="I48" s="299">
        <v>32.11</v>
      </c>
      <c r="J48" s="773">
        <f>+E48/I48</f>
        <v>1.0473804663236937E-2</v>
      </c>
      <c r="K48" s="780" t="s">
        <v>160</v>
      </c>
      <c r="U48" s="575"/>
      <c r="V48" s="544"/>
    </row>
    <row r="49" spans="2:22" customFormat="1" ht="13.5" thickBot="1" x14ac:dyDescent="0.25">
      <c r="B49" s="297" t="s">
        <v>565</v>
      </c>
      <c r="C49" s="322">
        <v>43706</v>
      </c>
      <c r="D49" s="322">
        <v>43712</v>
      </c>
      <c r="E49" s="298">
        <v>0.11210462257884601</v>
      </c>
      <c r="F49" s="298" t="s">
        <v>884</v>
      </c>
      <c r="G49" s="322">
        <v>43724</v>
      </c>
      <c r="H49" s="1025">
        <v>7391.9290437500003</v>
      </c>
      <c r="I49" s="299">
        <v>32.11</v>
      </c>
      <c r="J49" s="773">
        <f>+E49/I49</f>
        <v>3.491268221078979E-3</v>
      </c>
      <c r="K49" s="780" t="s">
        <v>160</v>
      </c>
      <c r="N49" s="819"/>
      <c r="U49" s="575"/>
      <c r="V49" s="544"/>
    </row>
    <row r="50" spans="2:22" s="142" customFormat="1" ht="13.5" thickBot="1" x14ac:dyDescent="0.25">
      <c r="B50" s="1033">
        <v>2018</v>
      </c>
      <c r="C50" s="1038" t="s">
        <v>918</v>
      </c>
      <c r="D50" s="786"/>
      <c r="E50" s="295">
        <f>SUM(E51:E56)</f>
        <v>0.98501053387123905</v>
      </c>
      <c r="F50" s="295"/>
      <c r="G50" s="786"/>
      <c r="H50" s="1035">
        <f>SUM(H51:H56)</f>
        <v>64949.399999999994</v>
      </c>
      <c r="I50" s="1036"/>
      <c r="J50" s="772">
        <f>+(1+J53)*(1+J54)*(1+J55)*(1+J56)*(1+J52)*(1+J51)-1</f>
        <v>4.3428823432162256E-2</v>
      </c>
      <c r="K50" s="779">
        <f>H50/(SUM(DRE!AF28:AI28)-SUM(DMPL!H123,DMPL!H111,DMPL!H100,DMPL!H90))</f>
        <v>0.68916576941998764</v>
      </c>
      <c r="M50" s="1096"/>
      <c r="U50" s="1037"/>
      <c r="V50" s="548"/>
    </row>
    <row r="51" spans="2:22" customFormat="1" ht="13.5" thickBot="1" x14ac:dyDescent="0.25">
      <c r="B51" s="297" t="s">
        <v>563</v>
      </c>
      <c r="C51" s="322">
        <v>43579</v>
      </c>
      <c r="D51" s="322">
        <v>43579</v>
      </c>
      <c r="E51" s="298">
        <v>0.3219582058368608</v>
      </c>
      <c r="F51" s="769">
        <v>2018</v>
      </c>
      <c r="G51" s="322">
        <v>43592</v>
      </c>
      <c r="H51" s="1025">
        <v>21229.206769999997</v>
      </c>
      <c r="I51" s="299">
        <v>29.02</v>
      </c>
      <c r="J51" s="773">
        <f t="shared" ref="J51:J56" si="4">+E51/I51</f>
        <v>1.1094355817948339E-2</v>
      </c>
      <c r="K51" s="780" t="s">
        <v>160</v>
      </c>
      <c r="M51" s="818"/>
      <c r="U51" s="575"/>
      <c r="V51" s="544"/>
    </row>
    <row r="52" spans="2:22" customFormat="1" ht="13.5" thickBot="1" x14ac:dyDescent="0.25">
      <c r="B52" s="297" t="s">
        <v>565</v>
      </c>
      <c r="C52" s="322">
        <v>43579</v>
      </c>
      <c r="D52" s="322">
        <v>43579</v>
      </c>
      <c r="E52" s="298">
        <v>0.10731940199617299</v>
      </c>
      <c r="F52" s="769">
        <v>2018</v>
      </c>
      <c r="G52" s="322">
        <v>43592</v>
      </c>
      <c r="H52" s="1025">
        <v>7076.4022599999989</v>
      </c>
      <c r="I52" s="299">
        <v>29.02</v>
      </c>
      <c r="J52" s="773">
        <f t="shared" si="4"/>
        <v>3.6981186077247757E-3</v>
      </c>
      <c r="K52" s="780" t="s">
        <v>160</v>
      </c>
      <c r="U52" s="575"/>
      <c r="V52" s="544"/>
    </row>
    <row r="53" spans="2:22" customFormat="1" ht="13.5" thickBot="1" x14ac:dyDescent="0.25">
      <c r="B53" s="297" t="s">
        <v>563</v>
      </c>
      <c r="C53" s="322">
        <v>43412</v>
      </c>
      <c r="D53" s="322">
        <v>43417</v>
      </c>
      <c r="E53" s="298">
        <v>0.17690879603120388</v>
      </c>
      <c r="F53" s="322" t="s">
        <v>886</v>
      </c>
      <c r="G53" s="322">
        <v>43430</v>
      </c>
      <c r="H53" s="1025">
        <v>11664.97186</v>
      </c>
      <c r="I53" s="299">
        <v>21.82</v>
      </c>
      <c r="J53" s="773">
        <f t="shared" si="4"/>
        <v>8.1076441810817544E-3</v>
      </c>
      <c r="K53" s="780" t="s">
        <v>160</v>
      </c>
      <c r="U53" s="575"/>
      <c r="V53" s="544"/>
    </row>
    <row r="54" spans="2:22" customFormat="1" ht="13.5" thickBot="1" x14ac:dyDescent="0.25">
      <c r="B54" s="297" t="s">
        <v>565</v>
      </c>
      <c r="C54" s="322">
        <v>43412</v>
      </c>
      <c r="D54" s="322">
        <v>43417</v>
      </c>
      <c r="E54" s="298">
        <v>5.8969598677067955E-2</v>
      </c>
      <c r="F54" s="322" t="s">
        <v>886</v>
      </c>
      <c r="G54" s="322">
        <v>43430</v>
      </c>
      <c r="H54" s="1025">
        <v>3888.32395</v>
      </c>
      <c r="I54" s="299">
        <v>21.82</v>
      </c>
      <c r="J54" s="773">
        <f t="shared" si="4"/>
        <v>2.7025480603605845E-3</v>
      </c>
      <c r="K54" s="780" t="s">
        <v>160</v>
      </c>
      <c r="U54" s="575"/>
      <c r="V54" s="544"/>
    </row>
    <row r="55" spans="2:22" customFormat="1" ht="13.5" thickBot="1" x14ac:dyDescent="0.25">
      <c r="B55" s="297" t="s">
        <v>563</v>
      </c>
      <c r="C55" s="322">
        <v>43319</v>
      </c>
      <c r="D55" s="322">
        <v>43322</v>
      </c>
      <c r="E55" s="298">
        <v>0.23989089849745004</v>
      </c>
      <c r="F55" s="322" t="s">
        <v>885</v>
      </c>
      <c r="G55" s="322">
        <v>43334</v>
      </c>
      <c r="H55" s="1025">
        <v>15817.871370000001</v>
      </c>
      <c r="I55" s="299">
        <v>18.7</v>
      </c>
      <c r="J55" s="773">
        <f t="shared" si="4"/>
        <v>1.2828390293981286E-2</v>
      </c>
      <c r="K55" s="780" t="s">
        <v>160</v>
      </c>
      <c r="U55" s="575"/>
      <c r="V55" s="544"/>
    </row>
    <row r="56" spans="2:22" customFormat="1" ht="13.5" thickBot="1" x14ac:dyDescent="0.25">
      <c r="B56" s="297" t="s">
        <v>565</v>
      </c>
      <c r="C56" s="322">
        <v>43319</v>
      </c>
      <c r="D56" s="322">
        <v>43322</v>
      </c>
      <c r="E56" s="298">
        <v>7.9963632832483339E-2</v>
      </c>
      <c r="F56" s="322" t="s">
        <v>885</v>
      </c>
      <c r="G56" s="322">
        <v>43334</v>
      </c>
      <c r="H56" s="1025">
        <v>5272.6237899999996</v>
      </c>
      <c r="I56" s="299">
        <v>18.7</v>
      </c>
      <c r="J56" s="773">
        <f t="shared" si="4"/>
        <v>4.2761300979937619E-3</v>
      </c>
      <c r="K56" s="780" t="s">
        <v>160</v>
      </c>
      <c r="U56" s="575"/>
      <c r="V56" s="544"/>
    </row>
    <row r="57" spans="2:22" s="142" customFormat="1" ht="13.5" thickBot="1" x14ac:dyDescent="0.25">
      <c r="B57" s="1033">
        <v>2017</v>
      </c>
      <c r="C57" s="1038" t="s">
        <v>918</v>
      </c>
      <c r="D57" s="786" t="s">
        <v>160</v>
      </c>
      <c r="E57" s="295">
        <f>+SUM(E58:E62)</f>
        <v>0.92519832862065488</v>
      </c>
      <c r="F57" s="295" t="s">
        <v>160</v>
      </c>
      <c r="G57" s="786" t="s">
        <v>160</v>
      </c>
      <c r="H57" s="1035">
        <f>SUM(H58:H62)</f>
        <v>61249.19999999999</v>
      </c>
      <c r="I57" s="1036"/>
      <c r="J57" s="772">
        <f>SUM(J58:J62)</f>
        <v>4.8503154015015842E-2</v>
      </c>
      <c r="K57" s="779">
        <f>+H57/(SUM(Consolidado!W48:Z48)-DMPL!I83)</f>
        <v>0.60000519915948858</v>
      </c>
      <c r="U57" s="1037"/>
      <c r="V57" s="548"/>
    </row>
    <row r="58" spans="2:22" customFormat="1" ht="13.5" thickBot="1" x14ac:dyDescent="0.25">
      <c r="B58" s="297" t="s">
        <v>563</v>
      </c>
      <c r="C58" s="322">
        <v>43210</v>
      </c>
      <c r="D58" s="322" t="s">
        <v>160</v>
      </c>
      <c r="E58" s="298">
        <v>0.41501539709288326</v>
      </c>
      <c r="F58" s="298" t="s">
        <v>160</v>
      </c>
      <c r="G58" s="322" t="s">
        <v>160</v>
      </c>
      <c r="H58" s="1025">
        <v>27365.190629999997</v>
      </c>
      <c r="I58" s="299">
        <v>22</v>
      </c>
      <c r="J58" s="773">
        <f>+E58/I58</f>
        <v>1.8864336231494694E-2</v>
      </c>
      <c r="K58" s="780" t="s">
        <v>160</v>
      </c>
      <c r="U58" s="575"/>
      <c r="V58" s="544"/>
    </row>
    <row r="59" spans="2:22" customFormat="1" ht="13.5" thickBot="1" x14ac:dyDescent="0.25">
      <c r="B59" s="297" t="s">
        <v>565</v>
      </c>
      <c r="C59" s="322">
        <v>43210</v>
      </c>
      <c r="D59" s="322" t="s">
        <v>160</v>
      </c>
      <c r="E59" s="298">
        <v>0.17426416273209835</v>
      </c>
      <c r="F59" s="298" t="s">
        <v>160</v>
      </c>
      <c r="G59" s="322" t="s">
        <v>160</v>
      </c>
      <c r="H59" s="1025">
        <v>11490.590629999999</v>
      </c>
      <c r="I59" s="299">
        <v>22</v>
      </c>
      <c r="J59" s="773">
        <f>+E59/I59</f>
        <v>7.9210983060044714E-3</v>
      </c>
      <c r="K59" s="780" t="s">
        <v>160</v>
      </c>
      <c r="U59" s="575"/>
      <c r="V59" s="544"/>
    </row>
    <row r="60" spans="2:22" customFormat="1" ht="13.5" thickBot="1" x14ac:dyDescent="0.25">
      <c r="B60" s="297" t="s">
        <v>565</v>
      </c>
      <c r="C60" s="322">
        <v>43045</v>
      </c>
      <c r="D60" s="322" t="s">
        <v>160</v>
      </c>
      <c r="E60" s="298">
        <v>5.7959384397836655E-2</v>
      </c>
      <c r="F60" s="298" t="s">
        <v>160</v>
      </c>
      <c r="G60" s="322" t="s">
        <v>160</v>
      </c>
      <c r="H60" s="1025">
        <f>7643.41874/2</f>
        <v>3821.70937</v>
      </c>
      <c r="I60" s="299">
        <v>18.149999999999999</v>
      </c>
      <c r="J60" s="773">
        <f>+E60/I60</f>
        <v>3.1933545122775019E-3</v>
      </c>
      <c r="K60" s="780" t="s">
        <v>160</v>
      </c>
      <c r="U60" s="573">
        <v>43045</v>
      </c>
      <c r="V60" s="544"/>
    </row>
    <row r="61" spans="2:22" customFormat="1" ht="13.5" thickBot="1" x14ac:dyDescent="0.25">
      <c r="B61" s="297" t="s">
        <v>563</v>
      </c>
      <c r="C61" s="322">
        <v>43045</v>
      </c>
      <c r="D61" s="322" t="s">
        <v>160</v>
      </c>
      <c r="E61" s="298">
        <v>5.7959384397836655E-2</v>
      </c>
      <c r="F61" s="298" t="s">
        <v>160</v>
      </c>
      <c r="G61" s="322" t="s">
        <v>160</v>
      </c>
      <c r="H61" s="1025">
        <f>7643.41874/2</f>
        <v>3821.70937</v>
      </c>
      <c r="I61" s="299">
        <v>18.149999999999999</v>
      </c>
      <c r="J61" s="773">
        <f>+E61/I61</f>
        <v>3.1933545122775019E-3</v>
      </c>
      <c r="K61" s="780" t="s">
        <v>160</v>
      </c>
      <c r="U61" s="573">
        <v>43045</v>
      </c>
      <c r="V61" s="544"/>
    </row>
    <row r="62" spans="2:22" customFormat="1" ht="13.5" thickBot="1" x14ac:dyDescent="0.25">
      <c r="B62" s="297" t="s">
        <v>563</v>
      </c>
      <c r="C62" s="322">
        <v>42951</v>
      </c>
      <c r="D62" s="322" t="s">
        <v>160</v>
      </c>
      <c r="E62" s="298">
        <v>0.22</v>
      </c>
      <c r="F62" s="298" t="s">
        <v>160</v>
      </c>
      <c r="G62" s="322" t="s">
        <v>160</v>
      </c>
      <c r="H62" s="1025">
        <v>14750</v>
      </c>
      <c r="I62" s="299">
        <v>14.35</v>
      </c>
      <c r="J62" s="773">
        <f>+E62/I62</f>
        <v>1.5331010452961672E-2</v>
      </c>
      <c r="K62" s="780" t="s">
        <v>160</v>
      </c>
      <c r="U62" s="573">
        <v>42951</v>
      </c>
      <c r="V62" s="544"/>
    </row>
    <row r="63" spans="2:22" customFormat="1" ht="13.5" thickBot="1" x14ac:dyDescent="0.25">
      <c r="B63" s="565">
        <v>2016</v>
      </c>
      <c r="C63" s="566" t="s">
        <v>918</v>
      </c>
      <c r="D63" s="770" t="s">
        <v>160</v>
      </c>
      <c r="E63" s="295">
        <f>+E64</f>
        <v>0.12120676791320506</v>
      </c>
      <c r="F63" s="770" t="s">
        <v>160</v>
      </c>
      <c r="G63" s="770" t="s">
        <v>160</v>
      </c>
      <c r="H63" s="1026">
        <f>+H64</f>
        <v>8000</v>
      </c>
      <c r="I63" s="301"/>
      <c r="J63" s="774">
        <f>+J64</f>
        <v>9.294997539356217E-3</v>
      </c>
      <c r="K63" s="785" t="s">
        <v>160</v>
      </c>
      <c r="U63" s="575"/>
      <c r="V63" s="544"/>
    </row>
    <row r="64" spans="2:22" customFormat="1" ht="13.5" thickBot="1" x14ac:dyDescent="0.25">
      <c r="B64" s="297" t="s">
        <v>563</v>
      </c>
      <c r="C64" s="322">
        <v>42853</v>
      </c>
      <c r="D64" s="298" t="s">
        <v>160</v>
      </c>
      <c r="E64" s="298">
        <f>+H64/66002.915</f>
        <v>0.12120676791320506</v>
      </c>
      <c r="F64" s="298" t="s">
        <v>160</v>
      </c>
      <c r="G64" s="298" t="s">
        <v>160</v>
      </c>
      <c r="H64" s="1025">
        <v>8000</v>
      </c>
      <c r="I64" s="299">
        <v>13.04</v>
      </c>
      <c r="J64" s="773">
        <f>+E64/I64</f>
        <v>9.294997539356217E-3</v>
      </c>
      <c r="K64" s="780" t="s">
        <v>160</v>
      </c>
      <c r="U64" s="573">
        <v>42853</v>
      </c>
      <c r="V64" s="544"/>
    </row>
    <row r="65" spans="2:22" customFormat="1" ht="13.5" thickBot="1" x14ac:dyDescent="0.25">
      <c r="B65" s="565">
        <v>2015</v>
      </c>
      <c r="C65" s="566" t="s">
        <v>918</v>
      </c>
      <c r="D65" s="770" t="s">
        <v>160</v>
      </c>
      <c r="E65" s="295">
        <f>+E66</f>
        <v>7.5829136000000005E-2</v>
      </c>
      <c r="F65" s="770" t="s">
        <v>160</v>
      </c>
      <c r="G65" s="770" t="s">
        <v>160</v>
      </c>
      <c r="H65" s="1026">
        <f>+H66</f>
        <v>5000</v>
      </c>
      <c r="I65" s="296"/>
      <c r="J65" s="774">
        <f>+J66</f>
        <v>1.4443644952380954E-2</v>
      </c>
      <c r="K65" s="785" t="s">
        <v>160</v>
      </c>
      <c r="U65" s="575"/>
      <c r="V65" s="544"/>
    </row>
    <row r="66" spans="2:22" s="142" customFormat="1" ht="13.5" thickBot="1" x14ac:dyDescent="0.25">
      <c r="B66" s="1039" t="s">
        <v>563</v>
      </c>
      <c r="C66" s="1040">
        <v>42247</v>
      </c>
      <c r="D66" s="1041" t="s">
        <v>160</v>
      </c>
      <c r="E66" s="1041">
        <v>7.5829136000000005E-2</v>
      </c>
      <c r="F66" s="1041" t="s">
        <v>160</v>
      </c>
      <c r="G66" s="1041" t="s">
        <v>160</v>
      </c>
      <c r="H66" s="1042">
        <v>5000</v>
      </c>
      <c r="I66" s="1043">
        <v>5.25</v>
      </c>
      <c r="J66" s="1044">
        <f>+E66/I66</f>
        <v>1.4443644952380954E-2</v>
      </c>
      <c r="K66" s="1045" t="s">
        <v>160</v>
      </c>
      <c r="U66" s="1046">
        <v>42247</v>
      </c>
      <c r="V66" s="548"/>
    </row>
    <row r="67" spans="2:22" customFormat="1" ht="13.5" thickBot="1" x14ac:dyDescent="0.25">
      <c r="B67" s="565">
        <v>2014</v>
      </c>
      <c r="C67" s="566" t="s">
        <v>918</v>
      </c>
      <c r="D67" s="300" t="s">
        <v>160</v>
      </c>
      <c r="E67" s="300">
        <v>0</v>
      </c>
      <c r="F67" s="300" t="s">
        <v>160</v>
      </c>
      <c r="G67" s="300" t="s">
        <v>160</v>
      </c>
      <c r="H67" s="1024">
        <v>0</v>
      </c>
      <c r="I67" s="301"/>
      <c r="J67" s="775">
        <v>0</v>
      </c>
      <c r="K67" s="781" t="s">
        <v>160</v>
      </c>
      <c r="U67" s="575"/>
      <c r="V67" s="544"/>
    </row>
    <row r="68" spans="2:22" s="142" customFormat="1" ht="13.5" thickBot="1" x14ac:dyDescent="0.25">
      <c r="B68" s="1033">
        <v>2013</v>
      </c>
      <c r="C68" s="1034" t="s">
        <v>918</v>
      </c>
      <c r="D68" s="1047" t="s">
        <v>160</v>
      </c>
      <c r="E68" s="1047">
        <f>+SUM(E69:E73)</f>
        <v>0.71252089766017623</v>
      </c>
      <c r="F68" s="1047" t="s">
        <v>160</v>
      </c>
      <c r="G68" s="1047" t="s">
        <v>160</v>
      </c>
      <c r="H68" s="1035">
        <f>SUM(H69:H73)</f>
        <v>46982</v>
      </c>
      <c r="I68" s="1036"/>
      <c r="J68" s="1048">
        <v>3.3724554791290516E-2</v>
      </c>
      <c r="K68" s="1049" t="s">
        <v>160</v>
      </c>
      <c r="U68" s="1037"/>
      <c r="V68" s="548"/>
    </row>
    <row r="69" spans="2:22" customFormat="1" ht="13.5" thickBot="1" x14ac:dyDescent="0.25">
      <c r="B69" s="297" t="s">
        <v>563</v>
      </c>
      <c r="C69" s="322">
        <v>41758</v>
      </c>
      <c r="D69" s="298" t="s">
        <v>160</v>
      </c>
      <c r="E69" s="298">
        <v>0.25754607966017629</v>
      </c>
      <c r="F69" s="298" t="s">
        <v>160</v>
      </c>
      <c r="G69" s="298" t="s">
        <v>160</v>
      </c>
      <c r="H69" s="1025">
        <v>16982</v>
      </c>
      <c r="I69" s="299">
        <v>19.100000000000001</v>
      </c>
      <c r="J69" s="773">
        <v>1.3484087940323365E-2</v>
      </c>
      <c r="K69" s="780" t="s">
        <v>160</v>
      </c>
      <c r="U69" s="573">
        <v>41758</v>
      </c>
      <c r="V69" s="544"/>
    </row>
    <row r="70" spans="2:22" customFormat="1" ht="13.5" thickBot="1" x14ac:dyDescent="0.25">
      <c r="B70" s="297" t="s">
        <v>564</v>
      </c>
      <c r="C70" s="322">
        <v>41590</v>
      </c>
      <c r="D70" s="298" t="s">
        <v>160</v>
      </c>
      <c r="E70" s="298">
        <v>0.15165827300000001</v>
      </c>
      <c r="F70" s="298" t="s">
        <v>160</v>
      </c>
      <c r="G70" s="298" t="s">
        <v>160</v>
      </c>
      <c r="H70" s="1025">
        <v>10000</v>
      </c>
      <c r="I70" s="299">
        <v>21.28</v>
      </c>
      <c r="J70" s="773">
        <v>7.1267985432330828E-3</v>
      </c>
      <c r="K70" s="780" t="s">
        <v>160</v>
      </c>
      <c r="U70" s="573">
        <v>41590</v>
      </c>
      <c r="V70" s="544"/>
    </row>
    <row r="71" spans="2:22" customFormat="1" ht="13.5" thickBot="1" x14ac:dyDescent="0.25">
      <c r="B71" s="302" t="s">
        <v>565</v>
      </c>
      <c r="C71" s="322">
        <v>41590</v>
      </c>
      <c r="D71" s="298" t="s">
        <v>160</v>
      </c>
      <c r="E71" s="298">
        <v>7.5829136000000005E-2</v>
      </c>
      <c r="F71" s="298" t="s">
        <v>160</v>
      </c>
      <c r="G71" s="298" t="s">
        <v>160</v>
      </c>
      <c r="H71" s="1025">
        <v>5000</v>
      </c>
      <c r="I71" s="299">
        <v>21.28</v>
      </c>
      <c r="J71" s="773">
        <v>3.5633992481203009E-3</v>
      </c>
      <c r="K71" s="780" t="s">
        <v>160</v>
      </c>
      <c r="U71" s="573">
        <v>41590</v>
      </c>
      <c r="V71" s="544"/>
    </row>
    <row r="72" spans="2:22" customFormat="1" ht="13.5" thickBot="1" x14ac:dyDescent="0.25">
      <c r="B72" s="297" t="s">
        <v>564</v>
      </c>
      <c r="C72" s="322">
        <v>41502</v>
      </c>
      <c r="D72" s="298" t="s">
        <v>160</v>
      </c>
      <c r="E72" s="298">
        <v>0.13649244499999999</v>
      </c>
      <c r="F72" s="298" t="s">
        <v>160</v>
      </c>
      <c r="G72" s="298" t="s">
        <v>160</v>
      </c>
      <c r="H72" s="1025">
        <v>9000</v>
      </c>
      <c r="I72" s="299">
        <v>23.82</v>
      </c>
      <c r="J72" s="773">
        <v>5.7301614189756503E-3</v>
      </c>
      <c r="K72" s="780" t="s">
        <v>160</v>
      </c>
      <c r="U72" s="573">
        <v>41502</v>
      </c>
      <c r="V72" s="544"/>
    </row>
    <row r="73" spans="2:22" customFormat="1" ht="13.5" thickBot="1" x14ac:dyDescent="0.25">
      <c r="B73" s="302" t="s">
        <v>565</v>
      </c>
      <c r="C73" s="322">
        <v>41502</v>
      </c>
      <c r="D73" s="298" t="s">
        <v>160</v>
      </c>
      <c r="E73" s="298">
        <v>9.0994963999999998E-2</v>
      </c>
      <c r="F73" s="298" t="s">
        <v>160</v>
      </c>
      <c r="G73" s="298" t="s">
        <v>160</v>
      </c>
      <c r="H73" s="1025">
        <v>6000</v>
      </c>
      <c r="I73" s="299">
        <v>23.82</v>
      </c>
      <c r="J73" s="773">
        <v>3.820107640638119E-3</v>
      </c>
      <c r="K73" s="780" t="s">
        <v>160</v>
      </c>
      <c r="U73" s="573">
        <v>41502</v>
      </c>
      <c r="V73" s="544"/>
    </row>
    <row r="74" spans="2:22" s="142" customFormat="1" ht="13.5" thickBot="1" x14ac:dyDescent="0.25">
      <c r="B74" s="1033">
        <v>2012</v>
      </c>
      <c r="C74" s="1034" t="s">
        <v>918</v>
      </c>
      <c r="D74" s="1047" t="s">
        <v>160</v>
      </c>
      <c r="E74" s="1047">
        <f>+SUM(E75:E79)</f>
        <v>0.97061294599999992</v>
      </c>
      <c r="F74" s="1047" t="s">
        <v>160</v>
      </c>
      <c r="G74" s="1047" t="s">
        <v>160</v>
      </c>
      <c r="H74" s="1035">
        <f>SUM(H75:H79)</f>
        <v>64016.809766571561</v>
      </c>
      <c r="I74" s="1036"/>
      <c r="J74" s="1048">
        <v>3.228322430648245E-2</v>
      </c>
      <c r="K74" s="1049" t="s">
        <v>160</v>
      </c>
      <c r="U74" s="1037"/>
      <c r="V74" s="548"/>
    </row>
    <row r="75" spans="2:22" customFormat="1" ht="13.5" thickBot="1" x14ac:dyDescent="0.25">
      <c r="B75" s="297" t="s">
        <v>564</v>
      </c>
      <c r="C75" s="322">
        <v>41394</v>
      </c>
      <c r="D75" s="298" t="s">
        <v>160</v>
      </c>
      <c r="E75" s="298">
        <v>0.45497481899999997</v>
      </c>
      <c r="F75" s="298" t="s">
        <v>160</v>
      </c>
      <c r="G75" s="298" t="s">
        <v>160</v>
      </c>
      <c r="H75" s="1025">
        <v>30000</v>
      </c>
      <c r="I75" s="299">
        <v>27.01</v>
      </c>
      <c r="J75" s="773">
        <v>1.6844680451684559E-2</v>
      </c>
      <c r="K75" s="780" t="s">
        <v>160</v>
      </c>
      <c r="U75" s="573">
        <v>41394</v>
      </c>
      <c r="V75" s="544"/>
    </row>
    <row r="76" spans="2:22" customFormat="1" ht="13.5" thickBot="1" x14ac:dyDescent="0.25">
      <c r="B76" s="297" t="s">
        <v>564</v>
      </c>
      <c r="C76" s="322">
        <v>41221</v>
      </c>
      <c r="D76" s="298" t="s">
        <v>160</v>
      </c>
      <c r="E76" s="298">
        <v>0.121326618</v>
      </c>
      <c r="F76" s="298" t="s">
        <v>160</v>
      </c>
      <c r="G76" s="298" t="s">
        <v>160</v>
      </c>
      <c r="H76" s="1025">
        <v>8000</v>
      </c>
      <c r="I76" s="299">
        <v>34.35</v>
      </c>
      <c r="J76" s="773">
        <v>3.5320703930131004E-3</v>
      </c>
      <c r="K76" s="780" t="s">
        <v>160</v>
      </c>
      <c r="U76" s="573">
        <v>41221</v>
      </c>
      <c r="V76" s="544"/>
    </row>
    <row r="77" spans="2:22" customFormat="1" ht="13.5" thickBot="1" x14ac:dyDescent="0.25">
      <c r="B77" s="297" t="s">
        <v>565</v>
      </c>
      <c r="C77" s="322">
        <v>41221</v>
      </c>
      <c r="D77" s="298" t="s">
        <v>160</v>
      </c>
      <c r="E77" s="298">
        <v>0.13649244499999999</v>
      </c>
      <c r="F77" s="298" t="s">
        <v>160</v>
      </c>
      <c r="G77" s="298" t="s">
        <v>160</v>
      </c>
      <c r="H77" s="1025">
        <v>9000</v>
      </c>
      <c r="I77" s="299">
        <v>34.35</v>
      </c>
      <c r="J77" s="773">
        <v>3.9735791848617167E-3</v>
      </c>
      <c r="K77" s="780" t="s">
        <v>160</v>
      </c>
      <c r="U77" s="573">
        <v>41221</v>
      </c>
      <c r="V77" s="544"/>
    </row>
    <row r="78" spans="2:22" customFormat="1" ht="13.5" thickBot="1" x14ac:dyDescent="0.25">
      <c r="B78" s="297" t="s">
        <v>564</v>
      </c>
      <c r="C78" s="322">
        <v>41138</v>
      </c>
      <c r="D78" s="298" t="s">
        <v>160</v>
      </c>
      <c r="E78" s="298">
        <v>0.15165827300000001</v>
      </c>
      <c r="F78" s="298" t="s">
        <v>160</v>
      </c>
      <c r="G78" s="298" t="s">
        <v>160</v>
      </c>
      <c r="H78" s="1025">
        <f>(E78*66002915)/1000</f>
        <v>10009.888101865796</v>
      </c>
      <c r="I78" s="299">
        <v>32.5</v>
      </c>
      <c r="J78" s="773">
        <v>4.6664084000000005E-3</v>
      </c>
      <c r="K78" s="780" t="s">
        <v>160</v>
      </c>
      <c r="U78" s="573">
        <v>41138</v>
      </c>
      <c r="V78" s="544"/>
    </row>
    <row r="79" spans="2:22" customFormat="1" ht="13.5" thickBot="1" x14ac:dyDescent="0.25">
      <c r="B79" s="302" t="s">
        <v>565</v>
      </c>
      <c r="C79" s="322">
        <v>41138</v>
      </c>
      <c r="D79" s="298" t="s">
        <v>160</v>
      </c>
      <c r="E79" s="298">
        <v>0.106160791</v>
      </c>
      <c r="F79" s="298" t="s">
        <v>160</v>
      </c>
      <c r="G79" s="298" t="s">
        <v>160</v>
      </c>
      <c r="H79" s="1025">
        <f>(E79*66002915)/1000</f>
        <v>7006.9216647057656</v>
      </c>
      <c r="I79" s="299">
        <v>32.5</v>
      </c>
      <c r="J79" s="773">
        <v>3.2664858769230771E-3</v>
      </c>
      <c r="K79" s="780" t="s">
        <v>160</v>
      </c>
      <c r="U79" s="573">
        <v>41138</v>
      </c>
      <c r="V79" s="544"/>
    </row>
    <row r="80" spans="2:22" s="142" customFormat="1" ht="13.5" thickBot="1" x14ac:dyDescent="0.25">
      <c r="B80" s="1033">
        <v>2011</v>
      </c>
      <c r="C80" s="1034" t="s">
        <v>918</v>
      </c>
      <c r="D80" s="1047" t="s">
        <v>160</v>
      </c>
      <c r="E80" s="1047">
        <f>SUM(E81:E85)</f>
        <v>1.0009447819999999</v>
      </c>
      <c r="F80" s="1047" t="s">
        <v>160</v>
      </c>
      <c r="G80" s="1047" t="s">
        <v>160</v>
      </c>
      <c r="H80" s="1035">
        <f>SUM(H81:H85)</f>
        <v>66065.273366039532</v>
      </c>
      <c r="I80" s="1036"/>
      <c r="J80" s="1048">
        <v>4.1651064127491179E-2</v>
      </c>
      <c r="K80" s="1049" t="s">
        <v>160</v>
      </c>
      <c r="U80" s="1037"/>
      <c r="V80" s="548"/>
    </row>
    <row r="81" spans="2:22" customFormat="1" ht="13.5" thickBot="1" x14ac:dyDescent="0.25">
      <c r="B81" s="297" t="s">
        <v>564</v>
      </c>
      <c r="C81" s="322">
        <v>41009</v>
      </c>
      <c r="D81" s="298" t="s">
        <v>160</v>
      </c>
      <c r="E81" s="298">
        <v>0.45497500000000002</v>
      </c>
      <c r="F81" s="298" t="s">
        <v>160</v>
      </c>
      <c r="G81" s="298" t="s">
        <v>160</v>
      </c>
      <c r="H81" s="1025">
        <f>(E81*66002915)/1000</f>
        <v>30029.676252125002</v>
      </c>
      <c r="I81" s="299">
        <v>29.64</v>
      </c>
      <c r="J81" s="773">
        <v>1.5350033738191634E-2</v>
      </c>
      <c r="K81" s="780" t="s">
        <v>160</v>
      </c>
      <c r="U81" s="573">
        <v>41009</v>
      </c>
      <c r="V81" s="544"/>
    </row>
    <row r="82" spans="2:22" customFormat="1" ht="13.5" thickBot="1" x14ac:dyDescent="0.25">
      <c r="B82" s="297" t="s">
        <v>564</v>
      </c>
      <c r="C82" s="322">
        <v>40855</v>
      </c>
      <c r="D82" s="298" t="s">
        <v>160</v>
      </c>
      <c r="E82" s="298">
        <v>0.15165827300000001</v>
      </c>
      <c r="F82" s="298" t="s">
        <v>160</v>
      </c>
      <c r="G82" s="298" t="s">
        <v>160</v>
      </c>
      <c r="H82" s="1025">
        <f>(E82*66002915)/1000</f>
        <v>10009.888101865796</v>
      </c>
      <c r="I82" s="299">
        <v>22.666989999999998</v>
      </c>
      <c r="J82" s="773">
        <v>6.6907107207441318E-3</v>
      </c>
      <c r="K82" s="780" t="s">
        <v>160</v>
      </c>
      <c r="U82" s="573">
        <v>40855</v>
      </c>
      <c r="V82" s="544"/>
    </row>
    <row r="83" spans="2:22" customFormat="1" ht="13.5" thickBot="1" x14ac:dyDescent="0.25">
      <c r="B83" s="302" t="s">
        <v>565</v>
      </c>
      <c r="C83" s="322">
        <v>40855</v>
      </c>
      <c r="D83" s="303" t="s">
        <v>160</v>
      </c>
      <c r="E83" s="303">
        <v>0.121326618</v>
      </c>
      <c r="F83" s="303" t="s">
        <v>160</v>
      </c>
      <c r="G83" s="303" t="s">
        <v>160</v>
      </c>
      <c r="H83" s="1027">
        <f>(E83*66002915)/1000</f>
        <v>8007.9104550914699</v>
      </c>
      <c r="I83" s="299">
        <v>22.666989999999998</v>
      </c>
      <c r="J83" s="776">
        <v>5.352568558948498E-3</v>
      </c>
      <c r="K83" s="782" t="s">
        <v>160</v>
      </c>
      <c r="U83" s="573">
        <v>40855</v>
      </c>
      <c r="V83" s="544"/>
    </row>
    <row r="84" spans="2:22" customFormat="1" ht="13.5" thickBot="1" x14ac:dyDescent="0.25">
      <c r="B84" s="302" t="s">
        <v>564</v>
      </c>
      <c r="C84" s="322">
        <v>40766</v>
      </c>
      <c r="D84" s="303" t="s">
        <v>160</v>
      </c>
      <c r="E84" s="303">
        <v>0.15165827300000001</v>
      </c>
      <c r="F84" s="303" t="s">
        <v>160</v>
      </c>
      <c r="G84" s="303" t="s">
        <v>160</v>
      </c>
      <c r="H84" s="1027">
        <f>(E84*66002915)/1000</f>
        <v>10009.888101865796</v>
      </c>
      <c r="I84" s="299">
        <v>19.146419999999999</v>
      </c>
      <c r="J84" s="776">
        <v>7.9209728502769722E-3</v>
      </c>
      <c r="K84" s="782" t="s">
        <v>160</v>
      </c>
      <c r="U84" s="573">
        <v>40766</v>
      </c>
      <c r="V84" s="544"/>
    </row>
    <row r="85" spans="2:22" customFormat="1" ht="13.5" thickBot="1" x14ac:dyDescent="0.25">
      <c r="B85" s="304" t="s">
        <v>565</v>
      </c>
      <c r="C85" s="322">
        <v>40766</v>
      </c>
      <c r="D85" s="305" t="s">
        <v>160</v>
      </c>
      <c r="E85" s="305">
        <v>0.121326618</v>
      </c>
      <c r="F85" s="305" t="s">
        <v>160</v>
      </c>
      <c r="G85" s="305" t="s">
        <v>160</v>
      </c>
      <c r="H85" s="1028">
        <f>(E85*66002915)/1000</f>
        <v>8007.9104550914699</v>
      </c>
      <c r="I85" s="306">
        <v>19.146419999999999</v>
      </c>
      <c r="J85" s="777">
        <v>6.3367782593299424E-3</v>
      </c>
      <c r="K85" s="783" t="s">
        <v>160</v>
      </c>
      <c r="U85" s="573">
        <v>40766</v>
      </c>
      <c r="V85" s="544"/>
    </row>
    <row r="86" spans="2:22" s="142" customFormat="1" ht="13.5" thickBot="1" x14ac:dyDescent="0.25">
      <c r="B86" s="1033">
        <v>2010</v>
      </c>
      <c r="C86" s="1034" t="s">
        <v>918</v>
      </c>
      <c r="D86" s="1047" t="s">
        <v>160</v>
      </c>
      <c r="E86" s="1047">
        <f>SUM(E87:E91)</f>
        <v>0.94786420400000004</v>
      </c>
      <c r="F86" s="1047" t="s">
        <v>160</v>
      </c>
      <c r="G86" s="1047" t="s">
        <v>160</v>
      </c>
      <c r="H86" s="1035">
        <f>SUM(H87:H91)</f>
        <v>62561.800488154659</v>
      </c>
      <c r="I86" s="1036"/>
      <c r="J86" s="1048">
        <v>4.7072267578705425E-2</v>
      </c>
      <c r="K86" s="1049" t="s">
        <v>160</v>
      </c>
      <c r="U86" s="1037"/>
      <c r="V86" s="548"/>
    </row>
    <row r="87" spans="2:22" customFormat="1" ht="13.5" thickBot="1" x14ac:dyDescent="0.25">
      <c r="B87" s="307" t="s">
        <v>564</v>
      </c>
      <c r="C87" s="322">
        <v>40637</v>
      </c>
      <c r="D87" s="308" t="s">
        <v>160</v>
      </c>
      <c r="E87" s="308">
        <v>0.45497481899999997</v>
      </c>
      <c r="F87" s="308" t="s">
        <v>160</v>
      </c>
      <c r="G87" s="308" t="s">
        <v>160</v>
      </c>
      <c r="H87" s="1029">
        <f>(E87*66002915)/1000</f>
        <v>30029.664305597384</v>
      </c>
      <c r="I87" s="309">
        <v>25.426259999999999</v>
      </c>
      <c r="J87" s="778">
        <v>1.7893894697843884E-2</v>
      </c>
      <c r="K87" s="784" t="s">
        <v>160</v>
      </c>
      <c r="U87" s="573">
        <v>40637</v>
      </c>
      <c r="V87" s="544"/>
    </row>
    <row r="88" spans="2:22" customFormat="1" ht="13.5" thickBot="1" x14ac:dyDescent="0.25">
      <c r="B88" s="302" t="s">
        <v>565</v>
      </c>
      <c r="C88" s="322">
        <v>40486</v>
      </c>
      <c r="D88" s="303" t="s">
        <v>160</v>
      </c>
      <c r="E88" s="303">
        <v>0.113743704</v>
      </c>
      <c r="F88" s="303" t="s">
        <v>160</v>
      </c>
      <c r="G88" s="303" t="s">
        <v>160</v>
      </c>
      <c r="H88" s="1027">
        <f>(E88*66002915)/1000</f>
        <v>7507.41602689716</v>
      </c>
      <c r="I88" s="310">
        <v>21.499569999999999</v>
      </c>
      <c r="J88" s="776">
        <v>5.2905106474222512E-3</v>
      </c>
      <c r="K88" s="782" t="s">
        <v>160</v>
      </c>
      <c r="U88" s="573">
        <v>40486</v>
      </c>
      <c r="V88" s="544"/>
    </row>
    <row r="89" spans="2:22" customFormat="1" ht="13.5" thickBot="1" x14ac:dyDescent="0.25">
      <c r="B89" s="302" t="s">
        <v>564</v>
      </c>
      <c r="C89" s="322">
        <v>40486</v>
      </c>
      <c r="D89" s="303" t="s">
        <v>160</v>
      </c>
      <c r="E89" s="303">
        <v>0.13649244499999999</v>
      </c>
      <c r="F89" s="303" t="s">
        <v>160</v>
      </c>
      <c r="G89" s="303" t="s">
        <v>160</v>
      </c>
      <c r="H89" s="1027">
        <f>(E89*66002915)/1000</f>
        <v>9008.8992454771742</v>
      </c>
      <c r="I89" s="310">
        <v>21.499569999999999</v>
      </c>
      <c r="J89" s="776">
        <v>6.3486127862092123E-3</v>
      </c>
      <c r="K89" s="782" t="s">
        <v>160</v>
      </c>
      <c r="U89" s="573">
        <v>40486</v>
      </c>
      <c r="V89" s="544"/>
    </row>
    <row r="90" spans="2:22" customFormat="1" ht="13.5" thickBot="1" x14ac:dyDescent="0.25">
      <c r="B90" s="302" t="s">
        <v>564</v>
      </c>
      <c r="C90" s="322">
        <v>40394</v>
      </c>
      <c r="D90" s="303" t="s">
        <v>160</v>
      </c>
      <c r="E90" s="303">
        <v>0.106160791</v>
      </c>
      <c r="F90" s="303" t="s">
        <v>160</v>
      </c>
      <c r="G90" s="303" t="s">
        <v>160</v>
      </c>
      <c r="H90" s="1027">
        <f>(E90*66002915)/1000</f>
        <v>7006.9216647057656</v>
      </c>
      <c r="I90" s="310">
        <v>13.83487</v>
      </c>
      <c r="J90" s="776">
        <v>7.673421651233441E-3</v>
      </c>
      <c r="K90" s="782" t="s">
        <v>160</v>
      </c>
      <c r="U90" s="573">
        <v>40394</v>
      </c>
      <c r="V90" s="544"/>
    </row>
    <row r="91" spans="2:22" customFormat="1" ht="13.5" thickBot="1" x14ac:dyDescent="0.25">
      <c r="B91" s="304" t="s">
        <v>565</v>
      </c>
      <c r="C91" s="322">
        <v>40394</v>
      </c>
      <c r="D91" s="305" t="s">
        <v>160</v>
      </c>
      <c r="E91" s="305">
        <v>0.13649244499999999</v>
      </c>
      <c r="F91" s="305" t="s">
        <v>160</v>
      </c>
      <c r="G91" s="305" t="s">
        <v>160</v>
      </c>
      <c r="H91" s="1028">
        <f>(E91*66002915)/1000</f>
        <v>9008.8992454771742</v>
      </c>
      <c r="I91" s="306">
        <v>13.83487</v>
      </c>
      <c r="J91" s="777">
        <v>9.8658277959966373E-3</v>
      </c>
      <c r="K91" s="783" t="s">
        <v>160</v>
      </c>
      <c r="U91" s="573">
        <v>40394</v>
      </c>
      <c r="V91" s="544"/>
    </row>
    <row r="92" spans="2:22" s="142" customFormat="1" ht="13.5" thickBot="1" x14ac:dyDescent="0.25">
      <c r="B92" s="1033">
        <v>2009</v>
      </c>
      <c r="C92" s="1034" t="s">
        <v>918</v>
      </c>
      <c r="D92" s="1047" t="s">
        <v>160</v>
      </c>
      <c r="E92" s="1047">
        <f>SUM(E93:E95)</f>
        <v>0.90994963800000006</v>
      </c>
      <c r="F92" s="1047" t="s">
        <v>160</v>
      </c>
      <c r="G92" s="1047" t="s">
        <v>160</v>
      </c>
      <c r="H92" s="1035">
        <f>SUM(H93:H95)</f>
        <v>60059.328611194775</v>
      </c>
      <c r="I92" s="1036"/>
      <c r="J92" s="1048">
        <v>7.4373183260360909E-2</v>
      </c>
      <c r="K92" s="1049" t="s">
        <v>160</v>
      </c>
      <c r="U92" s="1037"/>
      <c r="V92" s="548"/>
    </row>
    <row r="93" spans="2:22" customFormat="1" ht="13.5" thickBot="1" x14ac:dyDescent="0.25">
      <c r="B93" s="307" t="s">
        <v>564</v>
      </c>
      <c r="C93" s="322">
        <v>40288</v>
      </c>
      <c r="D93" s="308" t="s">
        <v>160</v>
      </c>
      <c r="E93" s="308">
        <v>0.45497481899999997</v>
      </c>
      <c r="F93" s="308" t="s">
        <v>160</v>
      </c>
      <c r="G93" s="308" t="s">
        <v>160</v>
      </c>
      <c r="H93" s="1029">
        <f>(E93*66002915)/1000</f>
        <v>30029.664305597384</v>
      </c>
      <c r="I93" s="309">
        <v>14.230840000000001</v>
      </c>
      <c r="J93" s="778">
        <v>3.1971044506157044E-2</v>
      </c>
      <c r="K93" s="784" t="s">
        <v>160</v>
      </c>
      <c r="U93" s="573">
        <v>40288</v>
      </c>
      <c r="V93" s="544"/>
    </row>
    <row r="94" spans="2:22" customFormat="1" ht="13.5" thickBot="1" x14ac:dyDescent="0.25">
      <c r="B94" s="302" t="s">
        <v>564</v>
      </c>
      <c r="C94" s="322">
        <v>40114</v>
      </c>
      <c r="D94" s="303" t="s">
        <v>160</v>
      </c>
      <c r="E94" s="303">
        <v>0.15165827300000001</v>
      </c>
      <c r="F94" s="303" t="s">
        <v>160</v>
      </c>
      <c r="G94" s="303" t="s">
        <v>160</v>
      </c>
      <c r="H94" s="1027">
        <f>(E94*66002915)/1000</f>
        <v>10009.888101865796</v>
      </c>
      <c r="I94" s="310">
        <v>10.90006</v>
      </c>
      <c r="J94" s="776">
        <v>1.3913526439304005E-2</v>
      </c>
      <c r="K94" s="782" t="s">
        <v>160</v>
      </c>
      <c r="U94" s="573">
        <v>40114</v>
      </c>
      <c r="V94" s="544"/>
    </row>
    <row r="95" spans="2:22" customFormat="1" ht="13.5" thickBot="1" x14ac:dyDescent="0.25">
      <c r="B95" s="304" t="s">
        <v>564</v>
      </c>
      <c r="C95" s="322">
        <v>40038</v>
      </c>
      <c r="D95" s="305" t="s">
        <v>160</v>
      </c>
      <c r="E95" s="305">
        <v>0.30331654600000002</v>
      </c>
      <c r="F95" s="305" t="s">
        <v>160</v>
      </c>
      <c r="G95" s="305" t="s">
        <v>160</v>
      </c>
      <c r="H95" s="1028">
        <f>(E95*66002915)/1000</f>
        <v>20019.776203731592</v>
      </c>
      <c r="I95" s="306">
        <v>10.646940000000001</v>
      </c>
      <c r="J95" s="777">
        <v>2.8488612314899867E-2</v>
      </c>
      <c r="K95" s="783" t="s">
        <v>160</v>
      </c>
      <c r="U95" s="573">
        <v>40038</v>
      </c>
      <c r="V95" s="544"/>
    </row>
    <row r="96" spans="2:22" s="142" customFormat="1" ht="13.5" thickBot="1" x14ac:dyDescent="0.25">
      <c r="B96" s="1033">
        <v>2008</v>
      </c>
      <c r="C96" s="1034" t="s">
        <v>918</v>
      </c>
      <c r="D96" s="1047" t="s">
        <v>160</v>
      </c>
      <c r="E96" s="1047">
        <f>SUM(E97:E100)</f>
        <v>0.81750044099999997</v>
      </c>
      <c r="F96" s="1047" t="s">
        <v>160</v>
      </c>
      <c r="G96" s="1047" t="s">
        <v>160</v>
      </c>
      <c r="H96" s="1035">
        <f>SUM(H97:H100)</f>
        <v>53957.412119785513</v>
      </c>
      <c r="I96" s="1036"/>
      <c r="J96" s="1048">
        <v>0.14050388619135468</v>
      </c>
      <c r="K96" s="1049" t="s">
        <v>160</v>
      </c>
      <c r="U96" s="1037"/>
      <c r="V96" s="548"/>
    </row>
    <row r="97" spans="2:22" customFormat="1" ht="13.5" thickBot="1" x14ac:dyDescent="0.25">
      <c r="B97" s="307" t="s">
        <v>564</v>
      </c>
      <c r="C97" s="322">
        <v>39933</v>
      </c>
      <c r="D97" s="308" t="s">
        <v>160</v>
      </c>
      <c r="E97" s="308">
        <v>0.18679222600000001</v>
      </c>
      <c r="F97" s="308" t="s">
        <v>160</v>
      </c>
      <c r="G97" s="308" t="s">
        <v>160</v>
      </c>
      <c r="H97" s="1029">
        <f>(E97*66002915)/1000</f>
        <v>12328.831415338789</v>
      </c>
      <c r="I97" s="309">
        <v>5.6700999999999997</v>
      </c>
      <c r="J97" s="778">
        <v>3.2943374190931379E-2</v>
      </c>
      <c r="K97" s="784" t="s">
        <v>160</v>
      </c>
      <c r="U97" s="573">
        <v>39933</v>
      </c>
      <c r="V97" s="544"/>
    </row>
    <row r="98" spans="2:22" customFormat="1" ht="13.5" thickBot="1" x14ac:dyDescent="0.25">
      <c r="B98" s="302" t="s">
        <v>564</v>
      </c>
      <c r="C98" s="322">
        <v>39881</v>
      </c>
      <c r="D98" s="303" t="s">
        <v>160</v>
      </c>
      <c r="E98" s="303">
        <v>0.18196177999999999</v>
      </c>
      <c r="F98" s="303" t="s">
        <v>160</v>
      </c>
      <c r="G98" s="303" t="s">
        <v>160</v>
      </c>
      <c r="H98" s="1027">
        <f>(E98*66002915)/1000</f>
        <v>12010.007898588699</v>
      </c>
      <c r="I98" s="310">
        <v>4.8221550000000004</v>
      </c>
      <c r="J98" s="776">
        <v>3.7734535700324846E-2</v>
      </c>
      <c r="K98" s="782" t="s">
        <v>160</v>
      </c>
      <c r="U98" s="573">
        <v>39881</v>
      </c>
      <c r="V98" s="544"/>
    </row>
    <row r="99" spans="2:22" customFormat="1" ht="13.5" thickBot="1" x14ac:dyDescent="0.25">
      <c r="B99" s="302" t="s">
        <v>564</v>
      </c>
      <c r="C99" s="322">
        <v>39734</v>
      </c>
      <c r="D99" s="303" t="s">
        <v>160</v>
      </c>
      <c r="E99" s="303">
        <v>0.22726268899999999</v>
      </c>
      <c r="F99" s="303" t="s">
        <v>160</v>
      </c>
      <c r="G99" s="303" t="s">
        <v>160</v>
      </c>
      <c r="H99" s="1027">
        <f>(E99*66002915)/1000</f>
        <v>14999.999944738434</v>
      </c>
      <c r="I99" s="310">
        <v>4.743188</v>
      </c>
      <c r="J99" s="776">
        <v>4.7913489619218125E-2</v>
      </c>
      <c r="K99" s="782" t="s">
        <v>160</v>
      </c>
      <c r="U99" s="573">
        <v>39734</v>
      </c>
      <c r="V99" s="544"/>
    </row>
    <row r="100" spans="2:22" customFormat="1" ht="13.5" thickBot="1" x14ac:dyDescent="0.25">
      <c r="B100" s="304" t="s">
        <v>564</v>
      </c>
      <c r="C100" s="322">
        <v>39687</v>
      </c>
      <c r="D100" s="305" t="s">
        <v>160</v>
      </c>
      <c r="E100" s="305">
        <v>0.22148374600000001</v>
      </c>
      <c r="F100" s="305" t="s">
        <v>160</v>
      </c>
      <c r="G100" s="305" t="s">
        <v>160</v>
      </c>
      <c r="H100" s="1028">
        <f>(E100*66002915)/1000</f>
        <v>14618.57286111959</v>
      </c>
      <c r="I100" s="306">
        <v>10.10765</v>
      </c>
      <c r="J100" s="777">
        <v>2.1912486680880326E-2</v>
      </c>
      <c r="K100" s="783" t="s">
        <v>160</v>
      </c>
      <c r="U100" s="573">
        <v>39687</v>
      </c>
      <c r="V100" s="544"/>
    </row>
    <row r="101" spans="2:22" s="142" customFormat="1" ht="13.5" thickBot="1" x14ac:dyDescent="0.25">
      <c r="B101" s="1033">
        <v>2007</v>
      </c>
      <c r="C101" s="1034" t="s">
        <v>918</v>
      </c>
      <c r="D101" s="1047" t="s">
        <v>160</v>
      </c>
      <c r="E101" s="1047">
        <f>SUM(E102:E105)</f>
        <v>0.61692552099999998</v>
      </c>
      <c r="F101" s="1047" t="s">
        <v>160</v>
      </c>
      <c r="G101" s="1047" t="s">
        <v>160</v>
      </c>
      <c r="H101" s="1035">
        <f>SUM(H102:H105)</f>
        <v>40718.882723893716</v>
      </c>
      <c r="I101" s="1036"/>
      <c r="J101" s="1048">
        <v>3.9360405218608084E-2</v>
      </c>
      <c r="K101" s="1049" t="s">
        <v>160</v>
      </c>
      <c r="U101" s="1037"/>
      <c r="V101" s="548"/>
    </row>
    <row r="102" spans="2:22" customFormat="1" ht="13.5" thickBot="1" x14ac:dyDescent="0.25">
      <c r="B102" s="307" t="s">
        <v>564</v>
      </c>
      <c r="C102" s="322">
        <v>39561</v>
      </c>
      <c r="D102" s="308" t="s">
        <v>160</v>
      </c>
      <c r="E102" s="308">
        <v>8.9336303000000006E-2</v>
      </c>
      <c r="F102" s="308" t="s">
        <v>160</v>
      </c>
      <c r="G102" s="308" t="s">
        <v>160</v>
      </c>
      <c r="H102" s="1029">
        <f>(E102*66002915)/1000</f>
        <v>5896.4564133232452</v>
      </c>
      <c r="I102" s="309">
        <v>12.94295</v>
      </c>
      <c r="J102" s="778">
        <v>6.9023138465342145E-3</v>
      </c>
      <c r="K102" s="784" t="s">
        <v>160</v>
      </c>
      <c r="U102" s="573">
        <v>39561</v>
      </c>
      <c r="V102" s="544"/>
    </row>
    <row r="103" spans="2:22" customFormat="1" ht="13.5" thickBot="1" x14ac:dyDescent="0.25">
      <c r="B103" s="302" t="s">
        <v>564</v>
      </c>
      <c r="C103" s="322">
        <v>39524</v>
      </c>
      <c r="D103" s="303" t="s">
        <v>160</v>
      </c>
      <c r="E103" s="303">
        <v>0.30877103</v>
      </c>
      <c r="F103" s="303" t="s">
        <v>160</v>
      </c>
      <c r="G103" s="303" t="s">
        <v>160</v>
      </c>
      <c r="H103" s="1027">
        <f>(E103*66002915)/1000</f>
        <v>20379.788047552451</v>
      </c>
      <c r="I103" s="310">
        <v>13.31301</v>
      </c>
      <c r="J103" s="776">
        <v>2.3193179453782426E-2</v>
      </c>
      <c r="K103" s="782" t="s">
        <v>160</v>
      </c>
      <c r="U103" s="573">
        <v>39524</v>
      </c>
      <c r="V103" s="544"/>
    </row>
    <row r="104" spans="2:22" customFormat="1" ht="13.5" thickBot="1" x14ac:dyDescent="0.25">
      <c r="B104" s="302" t="s">
        <v>564</v>
      </c>
      <c r="C104" s="322">
        <v>39395</v>
      </c>
      <c r="D104" s="303" t="s">
        <v>160</v>
      </c>
      <c r="E104" s="303">
        <v>0.109409094</v>
      </c>
      <c r="F104" s="303" t="s">
        <v>160</v>
      </c>
      <c r="G104" s="303" t="s">
        <v>160</v>
      </c>
      <c r="H104" s="1027">
        <f>(E104*66002915)/1000</f>
        <v>7221.3191315090098</v>
      </c>
      <c r="I104" s="310">
        <v>22.609860000000001</v>
      </c>
      <c r="J104" s="776">
        <v>4.838999180003768E-3</v>
      </c>
      <c r="K104" s="782" t="s">
        <v>160</v>
      </c>
      <c r="U104" s="573">
        <v>39395</v>
      </c>
      <c r="V104" s="544"/>
    </row>
    <row r="105" spans="2:22" customFormat="1" ht="13.5" thickBot="1" x14ac:dyDescent="0.25">
      <c r="B105" s="304" t="s">
        <v>564</v>
      </c>
      <c r="C105" s="323">
        <v>39304</v>
      </c>
      <c r="D105" s="305" t="s">
        <v>160</v>
      </c>
      <c r="E105" s="305">
        <v>0.109409094</v>
      </c>
      <c r="F105" s="305" t="s">
        <v>160</v>
      </c>
      <c r="G105" s="305" t="s">
        <v>160</v>
      </c>
      <c r="H105" s="1028">
        <f>(E105*66002915)/1000</f>
        <v>7221.3191315090098</v>
      </c>
      <c r="I105" s="306">
        <v>24.720120000000001</v>
      </c>
      <c r="J105" s="777">
        <v>4.4259127382876781E-3</v>
      </c>
      <c r="K105" s="783" t="s">
        <v>160</v>
      </c>
      <c r="U105" s="573">
        <v>39304</v>
      </c>
      <c r="V105" s="544"/>
    </row>
    <row r="106" spans="2:22" customFormat="1" x14ac:dyDescent="0.2">
      <c r="H106" s="245"/>
      <c r="U106" s="544"/>
      <c r="V106" s="544"/>
    </row>
    <row r="107" spans="2:22" customFormat="1" x14ac:dyDescent="0.2">
      <c r="H107" s="245"/>
      <c r="U107" s="544"/>
      <c r="V107" s="544"/>
    </row>
    <row r="108" spans="2:22" customFormat="1" x14ac:dyDescent="0.2">
      <c r="H108" s="245"/>
      <c r="U108" s="544"/>
      <c r="V108" s="544"/>
    </row>
    <row r="109" spans="2:22" customFormat="1" x14ac:dyDescent="0.2">
      <c r="H109" s="245"/>
      <c r="U109" s="544"/>
      <c r="V109" s="544"/>
    </row>
    <row r="110" spans="2:22" customFormat="1" x14ac:dyDescent="0.2">
      <c r="H110" s="245"/>
      <c r="U110" s="544"/>
      <c r="V110" s="544"/>
    </row>
    <row r="111" spans="2:22" customFormat="1" x14ac:dyDescent="0.2">
      <c r="H111" s="245"/>
      <c r="U111" s="544"/>
      <c r="V111" s="544"/>
    </row>
    <row r="112" spans="2:22" customFormat="1" x14ac:dyDescent="0.2">
      <c r="H112" s="245"/>
      <c r="U112" s="544"/>
      <c r="V112" s="544"/>
    </row>
    <row r="113" spans="21:21" x14ac:dyDescent="0.2">
      <c r="U113" s="544"/>
    </row>
  </sheetData>
  <sheetProtection formatCells="0" formatColumns="0" formatRows="0" insertColumns="0" insertRows="0" insertHyperlinks="0" deleteColumns="0" deleteRows="0" selectLockedCells="1" selectUnlockedCells="1"/>
  <mergeCells count="8">
    <mergeCell ref="K8:K9"/>
    <mergeCell ref="K10:K11"/>
    <mergeCell ref="K13:K14"/>
    <mergeCell ref="K24:K25"/>
    <mergeCell ref="K22:K23"/>
    <mergeCell ref="K17:K18"/>
    <mergeCell ref="K20:K21"/>
    <mergeCell ref="K15:K16"/>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
    <tabColor theme="0" tint="-0.499984740745262"/>
    <pageSetUpPr autoPageBreaks="0"/>
  </sheetPr>
  <dimension ref="A1:DQ323"/>
  <sheetViews>
    <sheetView showGridLines="0" zoomScaleNormal="100" workbookViewId="0">
      <pane xSplit="2" ySplit="4" topLeftCell="C5" activePane="bottomRight" state="frozen"/>
      <selection activeCell="G3" sqref="G3"/>
      <selection pane="topRight" activeCell="G3" sqref="G3"/>
      <selection pane="bottomLeft" activeCell="G3" sqref="G3"/>
      <selection pane="bottomRight" activeCell="E2" sqref="E2"/>
    </sheetView>
  </sheetViews>
  <sheetFormatPr defaultColWidth="9.140625" defaultRowHeight="15" outlineLevelCol="1" x14ac:dyDescent="0.25"/>
  <cols>
    <col min="1" max="1" width="2.85546875" style="262" customWidth="1"/>
    <col min="2" max="2" width="26.140625" style="262" customWidth="1"/>
    <col min="3" max="12" width="9.140625" style="262" customWidth="1" outlineLevel="1"/>
    <col min="13" max="16" width="9.85546875" style="262" customWidth="1" outlineLevel="1"/>
    <col min="17" max="23" width="9.85546875" style="340" customWidth="1" outlineLevel="1"/>
    <col min="24" max="45" width="9.140625" style="262" customWidth="1" outlineLevel="1"/>
    <col min="46" max="105" width="9.140625" style="262" customWidth="1"/>
    <col min="106" max="110" width="9.140625" style="262"/>
    <col min="111" max="115" width="9.140625" style="761"/>
    <col min="116" max="16384" width="9.140625" style="262"/>
  </cols>
  <sheetData>
    <row r="1" spans="2:121" s="571" customFormat="1" x14ac:dyDescent="0.25">
      <c r="C1" s="1064"/>
      <c r="D1" s="1064"/>
      <c r="E1" s="1064"/>
      <c r="F1" s="1064"/>
      <c r="G1" s="1064"/>
      <c r="H1" s="1064"/>
      <c r="I1" s="1064"/>
      <c r="J1" s="1064"/>
      <c r="K1" s="1064"/>
      <c r="L1" s="1064"/>
      <c r="M1" s="1064"/>
      <c r="N1" s="1064"/>
      <c r="O1" s="1064"/>
      <c r="P1" s="1064"/>
      <c r="Q1" s="1065"/>
      <c r="R1" s="1065"/>
      <c r="S1" s="1065"/>
      <c r="T1" s="1065"/>
      <c r="U1" s="1065"/>
      <c r="V1" s="1065"/>
      <c r="W1" s="1065"/>
      <c r="X1" s="1064"/>
      <c r="Y1" s="1064"/>
      <c r="Z1" s="1064"/>
      <c r="AA1" s="1064"/>
      <c r="AB1" s="1064"/>
      <c r="AC1" s="1064"/>
      <c r="AD1" s="1064"/>
      <c r="AE1" s="1064"/>
      <c r="AF1" s="1064"/>
      <c r="AG1" s="1064"/>
      <c r="AH1" s="1064"/>
      <c r="AI1" s="1064"/>
      <c r="AJ1" s="1064"/>
      <c r="AK1" s="1064"/>
      <c r="AL1" s="1064"/>
      <c r="AM1" s="1064"/>
      <c r="AN1" s="1064"/>
      <c r="AO1" s="1066"/>
      <c r="AP1" s="1066"/>
      <c r="AQ1" s="1066"/>
      <c r="AR1" s="1066"/>
      <c r="AS1" s="1066"/>
      <c r="AT1" s="1066"/>
      <c r="AU1" s="1066"/>
      <c r="AV1" s="1067"/>
      <c r="AW1" s="1066"/>
      <c r="AX1" s="1066"/>
      <c r="AY1" s="1066"/>
      <c r="AZ1" s="1066"/>
      <c r="BA1" s="1066"/>
      <c r="BB1" s="1066"/>
      <c r="BC1" s="1066"/>
      <c r="BD1" s="1066"/>
      <c r="BE1" s="1066"/>
      <c r="BF1" s="1066"/>
      <c r="BG1" s="1066"/>
      <c r="BH1" s="1066"/>
      <c r="BI1" s="1066"/>
      <c r="BJ1" s="1066"/>
      <c r="BK1" s="1066"/>
      <c r="BL1" s="1066"/>
      <c r="BM1" s="1066"/>
      <c r="BN1" s="1066"/>
      <c r="BO1" s="1066"/>
      <c r="BP1" s="1066"/>
      <c r="BQ1" s="1066"/>
      <c r="BR1" s="1066"/>
      <c r="BS1" s="1066"/>
      <c r="BT1" s="1066"/>
      <c r="BU1" s="1066"/>
      <c r="BV1" s="1066"/>
      <c r="BW1" s="1066"/>
      <c r="BX1" s="1066"/>
      <c r="BY1" s="1066"/>
      <c r="BZ1" s="1066"/>
      <c r="CA1" s="1066"/>
      <c r="CB1" s="1066"/>
      <c r="CC1" s="1066"/>
      <c r="CD1" s="1066"/>
      <c r="CE1" s="1066"/>
      <c r="CF1" s="1066"/>
      <c r="CG1" s="1066"/>
      <c r="CH1" s="1066"/>
      <c r="CI1" s="1066"/>
      <c r="CJ1" s="1066"/>
      <c r="CK1" s="1066"/>
      <c r="CL1" s="1066"/>
      <c r="CM1" s="1066"/>
      <c r="CN1" s="1066"/>
      <c r="CO1" s="1066"/>
      <c r="CP1" s="1066"/>
      <c r="CQ1" s="1066"/>
      <c r="CR1" s="1066"/>
      <c r="CS1" s="1066"/>
      <c r="CT1" s="1066"/>
      <c r="CU1" s="1066"/>
      <c r="CV1" s="1066"/>
      <c r="CW1" s="1066"/>
      <c r="CX1" s="1066"/>
      <c r="CY1" s="1066"/>
      <c r="CZ1" s="1066"/>
      <c r="DA1" s="1066"/>
      <c r="DB1" s="1066"/>
      <c r="DC1" s="1066"/>
      <c r="DD1" s="1066"/>
      <c r="DE1" s="1066"/>
      <c r="DG1" s="761"/>
      <c r="DH1" s="761"/>
      <c r="DI1" s="761"/>
      <c r="DJ1" s="761"/>
      <c r="DK1" s="761"/>
    </row>
    <row r="2" spans="2:121" s="571" customFormat="1" ht="15" customHeight="1" x14ac:dyDescent="0.25">
      <c r="Q2" s="572"/>
      <c r="R2" s="572"/>
      <c r="S2" s="572"/>
      <c r="T2" s="572"/>
      <c r="U2" s="572"/>
      <c r="V2" s="572"/>
      <c r="W2" s="572"/>
      <c r="AP2" s="804"/>
      <c r="AQ2" s="803"/>
      <c r="AR2" s="803"/>
      <c r="AS2" s="803"/>
      <c r="AT2" s="803"/>
      <c r="AU2" s="803"/>
      <c r="AV2" s="911"/>
      <c r="AW2" s="805"/>
      <c r="AX2" s="805"/>
      <c r="AY2" s="805"/>
      <c r="AZ2" s="805"/>
      <c r="BA2" s="805"/>
      <c r="BB2" s="805"/>
      <c r="BC2" s="805"/>
      <c r="BD2" s="805"/>
      <c r="BE2" s="805"/>
      <c r="BF2" s="805"/>
      <c r="BG2" s="805"/>
      <c r="BH2" s="805"/>
      <c r="BI2" s="805"/>
      <c r="BJ2" s="805"/>
      <c r="BK2" s="805"/>
      <c r="BL2" s="805"/>
      <c r="BM2" s="805"/>
      <c r="BN2" s="805"/>
      <c r="BO2" s="805"/>
      <c r="BP2" s="805"/>
      <c r="BQ2" s="805"/>
      <c r="BR2" s="805"/>
      <c r="BS2" s="805"/>
      <c r="BT2" s="805"/>
      <c r="BU2" s="803"/>
      <c r="BV2" s="805"/>
      <c r="BW2" s="805"/>
      <c r="BX2" s="805"/>
      <c r="BY2" s="805"/>
      <c r="BZ2" s="805"/>
      <c r="CA2" s="805"/>
      <c r="CB2" s="805"/>
      <c r="CC2" s="805"/>
      <c r="CD2" s="805"/>
      <c r="CE2" s="805"/>
      <c r="CF2" s="805"/>
      <c r="CG2" s="805"/>
      <c r="CH2" s="805"/>
      <c r="CI2" s="805"/>
      <c r="CJ2" s="805"/>
      <c r="CK2" s="805"/>
      <c r="CL2" s="805"/>
      <c r="CM2" s="805"/>
      <c r="CN2" s="805"/>
      <c r="CO2" s="805"/>
      <c r="CP2" s="805"/>
      <c r="CQ2" s="805"/>
      <c r="CR2" s="805"/>
      <c r="CS2" s="805"/>
      <c r="CT2" s="805"/>
      <c r="CU2" s="805"/>
      <c r="CV2" s="805"/>
      <c r="CW2" s="805"/>
      <c r="CX2" s="805"/>
      <c r="CY2" s="805"/>
      <c r="CZ2" s="805"/>
      <c r="DA2" s="805"/>
      <c r="DB2" s="805"/>
      <c r="DC2" s="805"/>
      <c r="DD2" s="805"/>
      <c r="DE2" s="805"/>
      <c r="DG2" s="761"/>
      <c r="DH2" s="761"/>
      <c r="DI2" s="761"/>
      <c r="DJ2" s="761"/>
      <c r="DK2" s="761"/>
    </row>
    <row r="3" spans="2:121" x14ac:dyDescent="0.25">
      <c r="AP3" s="804"/>
      <c r="AQ3" s="803"/>
      <c r="AR3" s="803"/>
      <c r="AS3" s="803"/>
      <c r="AT3" s="803"/>
      <c r="AU3" s="803"/>
      <c r="AV3" s="912"/>
      <c r="AW3" s="787" t="s">
        <v>1029</v>
      </c>
      <c r="AX3" s="787"/>
      <c r="AY3" s="787"/>
      <c r="AZ3" s="787"/>
      <c r="BA3" s="787"/>
      <c r="BB3" s="787"/>
      <c r="BC3" s="787"/>
      <c r="BD3" s="787"/>
      <c r="BE3" s="787"/>
      <c r="BF3" s="787"/>
      <c r="BG3" s="787"/>
      <c r="BH3" s="787"/>
      <c r="BI3" s="787"/>
      <c r="BJ3" s="787"/>
      <c r="BK3" s="787"/>
      <c r="BL3" s="787"/>
      <c r="BM3" s="787"/>
      <c r="BN3" s="805"/>
      <c r="BO3" s="805"/>
      <c r="BP3" s="805"/>
      <c r="BQ3" s="805"/>
      <c r="BR3" s="805"/>
      <c r="BS3" s="805"/>
      <c r="BT3" s="805"/>
      <c r="BU3" s="805"/>
      <c r="BV3" s="571"/>
      <c r="BW3" s="571"/>
      <c r="BX3" s="571"/>
      <c r="BY3" s="571"/>
      <c r="BZ3" s="571"/>
      <c r="CA3" s="571"/>
      <c r="CB3" s="571"/>
      <c r="CC3" s="571"/>
      <c r="CD3" s="571"/>
      <c r="CE3" s="571"/>
      <c r="CF3" s="571"/>
      <c r="CG3" s="571"/>
      <c r="CH3" s="571"/>
      <c r="CI3" s="571"/>
      <c r="CJ3" s="571"/>
      <c r="CK3" s="571"/>
      <c r="CL3" s="571"/>
      <c r="CM3" s="571"/>
      <c r="CN3" s="571"/>
      <c r="CO3" s="571"/>
      <c r="CP3" s="571"/>
      <c r="CQ3" s="571"/>
      <c r="CR3" s="571"/>
      <c r="CS3" s="571"/>
      <c r="CT3" s="571"/>
      <c r="CU3" s="571"/>
      <c r="CV3" s="571"/>
      <c r="CW3" s="571"/>
      <c r="CX3" s="571"/>
      <c r="CY3" s="571"/>
      <c r="CZ3" s="571"/>
      <c r="DA3" s="571"/>
      <c r="DB3" s="571"/>
      <c r="DC3" s="571"/>
      <c r="DD3" s="571"/>
      <c r="DE3" s="571"/>
    </row>
    <row r="4" spans="2:121" x14ac:dyDescent="0.25">
      <c r="C4" s="263">
        <v>42522</v>
      </c>
      <c r="D4" s="263">
        <v>42552</v>
      </c>
      <c r="E4" s="263">
        <v>42583</v>
      </c>
      <c r="F4" s="263">
        <v>42614</v>
      </c>
      <c r="G4" s="263">
        <v>42644</v>
      </c>
      <c r="H4" s="263">
        <v>42675</v>
      </c>
      <c r="I4" s="263">
        <v>42705</v>
      </c>
      <c r="J4" s="263">
        <v>42736</v>
      </c>
      <c r="K4" s="263">
        <v>42767</v>
      </c>
      <c r="L4" s="263">
        <v>42795</v>
      </c>
      <c r="M4" s="263">
        <v>42826</v>
      </c>
      <c r="N4" s="263">
        <v>42856</v>
      </c>
      <c r="O4" s="263">
        <v>42887</v>
      </c>
      <c r="P4" s="263">
        <v>42917</v>
      </c>
      <c r="Q4" s="263">
        <v>42948</v>
      </c>
      <c r="R4" s="263">
        <v>42979</v>
      </c>
      <c r="S4" s="263">
        <v>43009</v>
      </c>
      <c r="T4" s="263">
        <v>43040</v>
      </c>
      <c r="U4" s="263">
        <v>43070</v>
      </c>
      <c r="V4" s="263">
        <v>43101</v>
      </c>
      <c r="W4" s="263">
        <v>43132</v>
      </c>
      <c r="X4" s="263">
        <v>43160</v>
      </c>
      <c r="Y4" s="263">
        <v>43191</v>
      </c>
      <c r="Z4" s="263">
        <v>43221</v>
      </c>
      <c r="AA4" s="263">
        <v>43252</v>
      </c>
      <c r="AB4" s="263">
        <v>43283</v>
      </c>
      <c r="AC4" s="263">
        <v>43314</v>
      </c>
      <c r="AD4" s="263">
        <v>43345</v>
      </c>
      <c r="AE4" s="263">
        <v>43376</v>
      </c>
      <c r="AF4" s="263">
        <v>43407</v>
      </c>
      <c r="AG4" s="263">
        <v>43437</v>
      </c>
      <c r="AH4" s="263">
        <v>43468</v>
      </c>
      <c r="AI4" s="263">
        <v>43499</v>
      </c>
      <c r="AJ4" s="263">
        <v>43527</v>
      </c>
      <c r="AK4" s="263">
        <v>43558</v>
      </c>
      <c r="AL4" s="263">
        <v>43587</v>
      </c>
      <c r="AM4" s="263">
        <v>43618</v>
      </c>
      <c r="AN4" s="263">
        <v>43647</v>
      </c>
      <c r="AO4" s="263">
        <v>43678</v>
      </c>
      <c r="AP4" s="263">
        <v>43709</v>
      </c>
      <c r="AQ4" s="263">
        <v>43739</v>
      </c>
      <c r="AR4" s="263">
        <v>43770</v>
      </c>
      <c r="AS4" s="263">
        <v>43800</v>
      </c>
      <c r="AT4" s="263">
        <v>43831</v>
      </c>
      <c r="AU4" s="263">
        <v>43862</v>
      </c>
      <c r="AV4" s="914">
        <v>43891</v>
      </c>
      <c r="AW4" s="263">
        <v>43922</v>
      </c>
      <c r="AX4" s="263">
        <v>43952</v>
      </c>
      <c r="AY4" s="263">
        <v>43983</v>
      </c>
      <c r="AZ4" s="263">
        <v>44013</v>
      </c>
      <c r="BA4" s="263">
        <v>44044</v>
      </c>
      <c r="BB4" s="263">
        <v>44075</v>
      </c>
      <c r="BC4" s="263">
        <v>44105</v>
      </c>
      <c r="BD4" s="263">
        <v>44136</v>
      </c>
      <c r="BE4" s="263">
        <v>44166</v>
      </c>
      <c r="BF4" s="263">
        <v>44197</v>
      </c>
      <c r="BG4" s="263">
        <v>44228</v>
      </c>
      <c r="BH4" s="263">
        <v>44256</v>
      </c>
      <c r="BI4" s="263">
        <v>44287</v>
      </c>
      <c r="BJ4" s="263">
        <v>44317</v>
      </c>
      <c r="BK4" s="263">
        <v>44348</v>
      </c>
      <c r="BL4" s="263">
        <v>44378</v>
      </c>
      <c r="BM4" s="263">
        <v>44409</v>
      </c>
      <c r="BN4" s="263">
        <v>44440</v>
      </c>
      <c r="BO4" s="263">
        <v>44470</v>
      </c>
      <c r="BP4" s="263">
        <v>44501</v>
      </c>
      <c r="BQ4" s="263">
        <v>44531</v>
      </c>
      <c r="BR4" s="263">
        <v>44562</v>
      </c>
      <c r="BS4" s="263">
        <v>44593</v>
      </c>
      <c r="BT4" s="263">
        <v>44622</v>
      </c>
      <c r="BU4" s="263">
        <v>44654</v>
      </c>
      <c r="BV4" s="263">
        <v>44685</v>
      </c>
      <c r="BW4" s="263">
        <v>44716</v>
      </c>
      <c r="BX4" s="263">
        <v>44746</v>
      </c>
      <c r="BY4" s="263">
        <v>44774</v>
      </c>
      <c r="BZ4" s="263">
        <v>44805</v>
      </c>
      <c r="CA4" s="263">
        <v>44835</v>
      </c>
      <c r="CB4" s="263">
        <v>44866</v>
      </c>
      <c r="CC4" s="263">
        <v>44896</v>
      </c>
      <c r="CD4" s="263">
        <v>44927</v>
      </c>
      <c r="CE4" s="263">
        <v>44958</v>
      </c>
      <c r="CF4" s="263">
        <v>44986</v>
      </c>
      <c r="CG4" s="263">
        <v>45017</v>
      </c>
      <c r="CH4" s="263">
        <v>45047</v>
      </c>
      <c r="CI4" s="263">
        <v>45078</v>
      </c>
      <c r="CJ4" s="263">
        <v>45108</v>
      </c>
      <c r="CK4" s="263">
        <v>45139</v>
      </c>
      <c r="CL4" s="263">
        <v>45170</v>
      </c>
      <c r="CM4" s="263">
        <v>45200</v>
      </c>
      <c r="CN4" s="263">
        <v>45231</v>
      </c>
      <c r="CO4" s="263">
        <v>45261</v>
      </c>
      <c r="CP4" s="263">
        <v>45292</v>
      </c>
      <c r="CQ4" s="263">
        <v>45323</v>
      </c>
      <c r="CR4" s="263">
        <v>45352</v>
      </c>
      <c r="CS4" s="263">
        <v>45383</v>
      </c>
      <c r="CT4" s="263">
        <v>45413</v>
      </c>
      <c r="CU4" s="263">
        <v>45444</v>
      </c>
      <c r="CV4" s="263">
        <v>45474</v>
      </c>
      <c r="CW4" s="263">
        <v>45505</v>
      </c>
      <c r="CX4" s="263">
        <v>45536</v>
      </c>
      <c r="CY4" s="263">
        <v>45566</v>
      </c>
      <c r="CZ4" s="263">
        <v>45597</v>
      </c>
      <c r="DA4" s="263">
        <v>45627</v>
      </c>
      <c r="DB4" s="263">
        <v>45658</v>
      </c>
      <c r="DC4" s="263">
        <v>45689</v>
      </c>
      <c r="DD4" s="263">
        <v>45717</v>
      </c>
      <c r="DE4" s="263">
        <v>45748</v>
      </c>
      <c r="DF4" s="263">
        <v>45778</v>
      </c>
      <c r="DG4" s="263">
        <v>45809</v>
      </c>
      <c r="DH4" s="263">
        <v>45839</v>
      </c>
      <c r="DI4" s="263">
        <v>45870</v>
      </c>
      <c r="DJ4" s="263">
        <v>45901</v>
      </c>
      <c r="DK4" s="263">
        <v>45931</v>
      </c>
      <c r="DL4" s="263">
        <v>45962</v>
      </c>
      <c r="DM4" s="263">
        <v>45992</v>
      </c>
      <c r="DN4" s="263">
        <v>46023</v>
      </c>
      <c r="DO4" s="263">
        <v>46054</v>
      </c>
      <c r="DP4" s="263">
        <v>46082</v>
      </c>
      <c r="DQ4" s="263">
        <v>46113</v>
      </c>
    </row>
    <row r="5" spans="2:121" x14ac:dyDescent="0.25">
      <c r="X5" s="340"/>
      <c r="Y5" s="340"/>
      <c r="Z5" s="340"/>
      <c r="AA5" s="340"/>
      <c r="AB5" s="340"/>
      <c r="AC5" s="340"/>
      <c r="AD5" s="340"/>
      <c r="AE5" s="340"/>
      <c r="AF5" s="340"/>
      <c r="AG5" s="340"/>
      <c r="AH5" s="340"/>
      <c r="AI5" s="340"/>
      <c r="AJ5" s="340"/>
      <c r="AK5" s="340"/>
      <c r="AL5" s="340"/>
      <c r="AM5" s="340"/>
      <c r="AN5" s="340"/>
      <c r="AO5" s="340"/>
      <c r="AP5" s="340"/>
      <c r="AQ5" s="340"/>
      <c r="AR5" s="340"/>
      <c r="AS5" s="340"/>
      <c r="AV5" s="913"/>
      <c r="DL5" s="761"/>
      <c r="DM5" s="761"/>
    </row>
    <row r="6" spans="2:121" x14ac:dyDescent="0.25">
      <c r="B6" s="113" t="s">
        <v>1373</v>
      </c>
      <c r="C6" s="263">
        <f>C$4</f>
        <v>42522</v>
      </c>
      <c r="D6" s="263">
        <f t="shared" ref="D6:BO6" si="0">D$4</f>
        <v>42552</v>
      </c>
      <c r="E6" s="263">
        <f t="shared" si="0"/>
        <v>42583</v>
      </c>
      <c r="F6" s="263">
        <f t="shared" si="0"/>
        <v>42614</v>
      </c>
      <c r="G6" s="263">
        <f t="shared" si="0"/>
        <v>42644</v>
      </c>
      <c r="H6" s="263">
        <f t="shared" si="0"/>
        <v>42675</v>
      </c>
      <c r="I6" s="263">
        <f t="shared" si="0"/>
        <v>42705</v>
      </c>
      <c r="J6" s="263">
        <f t="shared" si="0"/>
        <v>42736</v>
      </c>
      <c r="K6" s="263">
        <f t="shared" si="0"/>
        <v>42767</v>
      </c>
      <c r="L6" s="263">
        <f t="shared" si="0"/>
        <v>42795</v>
      </c>
      <c r="M6" s="263">
        <f t="shared" si="0"/>
        <v>42826</v>
      </c>
      <c r="N6" s="263">
        <f t="shared" si="0"/>
        <v>42856</v>
      </c>
      <c r="O6" s="263">
        <f t="shared" si="0"/>
        <v>42887</v>
      </c>
      <c r="P6" s="263">
        <f t="shared" si="0"/>
        <v>42917</v>
      </c>
      <c r="Q6" s="263">
        <f t="shared" si="0"/>
        <v>42948</v>
      </c>
      <c r="R6" s="263">
        <f t="shared" si="0"/>
        <v>42979</v>
      </c>
      <c r="S6" s="263">
        <f t="shared" si="0"/>
        <v>43009</v>
      </c>
      <c r="T6" s="263">
        <f t="shared" si="0"/>
        <v>43040</v>
      </c>
      <c r="U6" s="263">
        <f t="shared" si="0"/>
        <v>43070</v>
      </c>
      <c r="V6" s="263">
        <f t="shared" si="0"/>
        <v>43101</v>
      </c>
      <c r="W6" s="263">
        <f t="shared" si="0"/>
        <v>43132</v>
      </c>
      <c r="X6" s="263">
        <f t="shared" si="0"/>
        <v>43160</v>
      </c>
      <c r="Y6" s="263">
        <f t="shared" si="0"/>
        <v>43191</v>
      </c>
      <c r="Z6" s="263">
        <f t="shared" si="0"/>
        <v>43221</v>
      </c>
      <c r="AA6" s="263">
        <f t="shared" si="0"/>
        <v>43252</v>
      </c>
      <c r="AB6" s="263">
        <f t="shared" si="0"/>
        <v>43283</v>
      </c>
      <c r="AC6" s="263">
        <f t="shared" si="0"/>
        <v>43314</v>
      </c>
      <c r="AD6" s="263">
        <f t="shared" si="0"/>
        <v>43345</v>
      </c>
      <c r="AE6" s="263">
        <f t="shared" si="0"/>
        <v>43376</v>
      </c>
      <c r="AF6" s="263">
        <f t="shared" si="0"/>
        <v>43407</v>
      </c>
      <c r="AG6" s="263">
        <f t="shared" si="0"/>
        <v>43437</v>
      </c>
      <c r="AH6" s="263">
        <f t="shared" si="0"/>
        <v>43468</v>
      </c>
      <c r="AI6" s="263">
        <f t="shared" si="0"/>
        <v>43499</v>
      </c>
      <c r="AJ6" s="263">
        <f t="shared" si="0"/>
        <v>43527</v>
      </c>
      <c r="AK6" s="263">
        <f t="shared" si="0"/>
        <v>43558</v>
      </c>
      <c r="AL6" s="263">
        <f t="shared" si="0"/>
        <v>43587</v>
      </c>
      <c r="AM6" s="263">
        <f t="shared" si="0"/>
        <v>43618</v>
      </c>
      <c r="AN6" s="263">
        <f t="shared" si="0"/>
        <v>43647</v>
      </c>
      <c r="AO6" s="263">
        <f t="shared" si="0"/>
        <v>43678</v>
      </c>
      <c r="AP6" s="263">
        <f t="shared" si="0"/>
        <v>43709</v>
      </c>
      <c r="AQ6" s="263">
        <f t="shared" si="0"/>
        <v>43739</v>
      </c>
      <c r="AR6" s="263">
        <f t="shared" si="0"/>
        <v>43770</v>
      </c>
      <c r="AS6" s="263">
        <f t="shared" si="0"/>
        <v>43800</v>
      </c>
      <c r="AT6" s="263">
        <f t="shared" si="0"/>
        <v>43831</v>
      </c>
      <c r="AU6" s="263">
        <f t="shared" si="0"/>
        <v>43862</v>
      </c>
      <c r="AV6" s="263">
        <f t="shared" si="0"/>
        <v>43891</v>
      </c>
      <c r="AW6" s="263">
        <f t="shared" si="0"/>
        <v>43922</v>
      </c>
      <c r="AX6" s="263">
        <f t="shared" si="0"/>
        <v>43952</v>
      </c>
      <c r="AY6" s="263">
        <f t="shared" si="0"/>
        <v>43983</v>
      </c>
      <c r="AZ6" s="263">
        <f t="shared" si="0"/>
        <v>44013</v>
      </c>
      <c r="BA6" s="263">
        <f t="shared" si="0"/>
        <v>44044</v>
      </c>
      <c r="BB6" s="263">
        <f t="shared" si="0"/>
        <v>44075</v>
      </c>
      <c r="BC6" s="263">
        <f t="shared" si="0"/>
        <v>44105</v>
      </c>
      <c r="BD6" s="263">
        <f t="shared" si="0"/>
        <v>44136</v>
      </c>
      <c r="BE6" s="263">
        <f t="shared" si="0"/>
        <v>44166</v>
      </c>
      <c r="BF6" s="263">
        <f t="shared" si="0"/>
        <v>44197</v>
      </c>
      <c r="BG6" s="263">
        <f t="shared" si="0"/>
        <v>44228</v>
      </c>
      <c r="BH6" s="263">
        <f t="shared" si="0"/>
        <v>44256</v>
      </c>
      <c r="BI6" s="263">
        <f t="shared" si="0"/>
        <v>44287</v>
      </c>
      <c r="BJ6" s="263">
        <f t="shared" si="0"/>
        <v>44317</v>
      </c>
      <c r="BK6" s="263">
        <f t="shared" si="0"/>
        <v>44348</v>
      </c>
      <c r="BL6" s="263">
        <f t="shared" si="0"/>
        <v>44378</v>
      </c>
      <c r="BM6" s="263">
        <f t="shared" si="0"/>
        <v>44409</v>
      </c>
      <c r="BN6" s="263">
        <f t="shared" si="0"/>
        <v>44440</v>
      </c>
      <c r="BO6" s="263">
        <f t="shared" si="0"/>
        <v>44470</v>
      </c>
      <c r="BP6" s="263">
        <f t="shared" ref="BP6:DQ6" si="1">BP$4</f>
        <v>44501</v>
      </c>
      <c r="BQ6" s="263">
        <f t="shared" si="1"/>
        <v>44531</v>
      </c>
      <c r="BR6" s="263">
        <f t="shared" si="1"/>
        <v>44562</v>
      </c>
      <c r="BS6" s="263">
        <f t="shared" si="1"/>
        <v>44593</v>
      </c>
      <c r="BT6" s="263">
        <f t="shared" si="1"/>
        <v>44622</v>
      </c>
      <c r="BU6" s="263">
        <f t="shared" si="1"/>
        <v>44654</v>
      </c>
      <c r="BV6" s="263">
        <f t="shared" si="1"/>
        <v>44685</v>
      </c>
      <c r="BW6" s="263">
        <f t="shared" si="1"/>
        <v>44716</v>
      </c>
      <c r="BX6" s="263">
        <f t="shared" si="1"/>
        <v>44746</v>
      </c>
      <c r="BY6" s="263">
        <f t="shared" si="1"/>
        <v>44774</v>
      </c>
      <c r="BZ6" s="263">
        <f t="shared" si="1"/>
        <v>44805</v>
      </c>
      <c r="CA6" s="263">
        <f t="shared" si="1"/>
        <v>44835</v>
      </c>
      <c r="CB6" s="263">
        <f t="shared" si="1"/>
        <v>44866</v>
      </c>
      <c r="CC6" s="263">
        <f t="shared" si="1"/>
        <v>44896</v>
      </c>
      <c r="CD6" s="263">
        <f t="shared" si="1"/>
        <v>44927</v>
      </c>
      <c r="CE6" s="263">
        <f t="shared" si="1"/>
        <v>44958</v>
      </c>
      <c r="CF6" s="263">
        <f t="shared" si="1"/>
        <v>44986</v>
      </c>
      <c r="CG6" s="263">
        <f t="shared" si="1"/>
        <v>45017</v>
      </c>
      <c r="CH6" s="263">
        <f t="shared" si="1"/>
        <v>45047</v>
      </c>
      <c r="CI6" s="263">
        <f t="shared" si="1"/>
        <v>45078</v>
      </c>
      <c r="CJ6" s="263">
        <f t="shared" si="1"/>
        <v>45108</v>
      </c>
      <c r="CK6" s="263">
        <f t="shared" si="1"/>
        <v>45139</v>
      </c>
      <c r="CL6" s="263">
        <f t="shared" si="1"/>
        <v>45170</v>
      </c>
      <c r="CM6" s="263">
        <f t="shared" si="1"/>
        <v>45200</v>
      </c>
      <c r="CN6" s="263">
        <f t="shared" si="1"/>
        <v>45231</v>
      </c>
      <c r="CO6" s="263">
        <f t="shared" si="1"/>
        <v>45261</v>
      </c>
      <c r="CP6" s="263">
        <f t="shared" si="1"/>
        <v>45292</v>
      </c>
      <c r="CQ6" s="263">
        <f t="shared" si="1"/>
        <v>45323</v>
      </c>
      <c r="CR6" s="263">
        <f t="shared" si="1"/>
        <v>45352</v>
      </c>
      <c r="CS6" s="263">
        <f t="shared" si="1"/>
        <v>45383</v>
      </c>
      <c r="CT6" s="263">
        <f t="shared" si="1"/>
        <v>45413</v>
      </c>
      <c r="CU6" s="263">
        <f t="shared" si="1"/>
        <v>45444</v>
      </c>
      <c r="CV6" s="263">
        <f t="shared" si="1"/>
        <v>45474</v>
      </c>
      <c r="CW6" s="263">
        <f t="shared" si="1"/>
        <v>45505</v>
      </c>
      <c r="CX6" s="263">
        <f t="shared" si="1"/>
        <v>45536</v>
      </c>
      <c r="CY6" s="263">
        <f t="shared" si="1"/>
        <v>45566</v>
      </c>
      <c r="CZ6" s="263">
        <f t="shared" si="1"/>
        <v>45597</v>
      </c>
      <c r="DA6" s="263">
        <f t="shared" si="1"/>
        <v>45627</v>
      </c>
      <c r="DB6" s="263">
        <f t="shared" si="1"/>
        <v>45658</v>
      </c>
      <c r="DC6" s="263">
        <f t="shared" si="1"/>
        <v>45689</v>
      </c>
      <c r="DD6" s="263">
        <f t="shared" si="1"/>
        <v>45717</v>
      </c>
      <c r="DE6" s="263">
        <f t="shared" si="1"/>
        <v>45748</v>
      </c>
      <c r="DF6" s="263">
        <f t="shared" si="1"/>
        <v>45778</v>
      </c>
      <c r="DG6" s="263">
        <f t="shared" si="1"/>
        <v>45809</v>
      </c>
      <c r="DH6" s="263">
        <v>45839</v>
      </c>
      <c r="DI6" s="263">
        <f t="shared" si="1"/>
        <v>45870</v>
      </c>
      <c r="DJ6" s="263">
        <f t="shared" si="1"/>
        <v>45901</v>
      </c>
      <c r="DK6" s="263">
        <f t="shared" si="1"/>
        <v>45931</v>
      </c>
      <c r="DL6" s="263">
        <f t="shared" si="1"/>
        <v>45962</v>
      </c>
      <c r="DM6" s="263">
        <f t="shared" si="1"/>
        <v>45992</v>
      </c>
      <c r="DN6" s="263">
        <f t="shared" si="1"/>
        <v>46023</v>
      </c>
      <c r="DO6" s="263">
        <f t="shared" si="1"/>
        <v>46054</v>
      </c>
      <c r="DP6" s="263">
        <f t="shared" si="1"/>
        <v>46082</v>
      </c>
      <c r="DQ6" s="263">
        <f t="shared" si="1"/>
        <v>46113</v>
      </c>
    </row>
    <row r="7" spans="2:121" x14ac:dyDescent="0.25">
      <c r="B7" s="117" t="s">
        <v>542</v>
      </c>
      <c r="C7" s="352" t="s">
        <v>160</v>
      </c>
      <c r="D7" s="352" t="s">
        <v>160</v>
      </c>
      <c r="E7" s="352" t="s">
        <v>160</v>
      </c>
      <c r="F7" s="352" t="s">
        <v>160</v>
      </c>
      <c r="G7" s="352" t="s">
        <v>160</v>
      </c>
      <c r="H7" s="352" t="s">
        <v>160</v>
      </c>
      <c r="I7" s="352" t="s">
        <v>160</v>
      </c>
      <c r="J7" s="352" t="s">
        <v>160</v>
      </c>
      <c r="K7" s="352" t="s">
        <v>160</v>
      </c>
      <c r="L7" s="352" t="s">
        <v>160</v>
      </c>
      <c r="M7" s="352" t="s">
        <v>160</v>
      </c>
      <c r="N7" s="352" t="s">
        <v>160</v>
      </c>
      <c r="O7" s="352" t="s">
        <v>160</v>
      </c>
      <c r="P7" s="352" t="s">
        <v>160</v>
      </c>
      <c r="Q7" s="352" t="s">
        <v>160</v>
      </c>
      <c r="R7" s="352" t="s">
        <v>160</v>
      </c>
      <c r="S7" s="352" t="s">
        <v>160</v>
      </c>
      <c r="T7" s="352" t="s">
        <v>160</v>
      </c>
      <c r="U7" s="590" t="s">
        <v>160</v>
      </c>
      <c r="V7" s="590" t="s">
        <v>160</v>
      </c>
      <c r="W7" s="590" t="s">
        <v>160</v>
      </c>
      <c r="X7" s="590" t="s">
        <v>160</v>
      </c>
      <c r="Y7" s="590" t="s">
        <v>160</v>
      </c>
      <c r="Z7" s="590" t="s">
        <v>160</v>
      </c>
      <c r="AA7" s="590" t="s">
        <v>160</v>
      </c>
      <c r="AB7" s="590" t="s">
        <v>160</v>
      </c>
      <c r="AC7" s="590" t="s">
        <v>160</v>
      </c>
      <c r="AD7" s="590" t="s">
        <v>160</v>
      </c>
      <c r="AE7" s="590" t="s">
        <v>160</v>
      </c>
      <c r="AF7" s="590" t="s">
        <v>160</v>
      </c>
      <c r="AG7" s="590" t="s">
        <v>160</v>
      </c>
      <c r="AH7" s="590" t="s">
        <v>160</v>
      </c>
      <c r="AI7" s="590" t="s">
        <v>160</v>
      </c>
      <c r="AJ7" s="590" t="s">
        <v>160</v>
      </c>
      <c r="AK7" s="590" t="s">
        <v>160</v>
      </c>
      <c r="AL7" s="590" t="s">
        <v>160</v>
      </c>
      <c r="AM7" s="590" t="s">
        <v>160</v>
      </c>
      <c r="AN7" s="590" t="s">
        <v>160</v>
      </c>
      <c r="AO7" s="590" t="s">
        <v>160</v>
      </c>
      <c r="AP7" s="590" t="s">
        <v>160</v>
      </c>
      <c r="AQ7" s="590" t="s">
        <v>160</v>
      </c>
      <c r="AR7" s="590" t="s">
        <v>160</v>
      </c>
      <c r="AS7" s="590" t="s">
        <v>160</v>
      </c>
      <c r="AT7" s="590" t="s">
        <v>160</v>
      </c>
      <c r="AU7" s="590" t="s">
        <v>160</v>
      </c>
      <c r="AV7" s="590" t="s">
        <v>160</v>
      </c>
      <c r="AW7" s="1000" t="s">
        <v>160</v>
      </c>
      <c r="AX7" s="590" t="s">
        <v>160</v>
      </c>
      <c r="AY7" s="590" t="s">
        <v>160</v>
      </c>
      <c r="AZ7" s="590" t="s">
        <v>160</v>
      </c>
      <c r="BA7" s="590" t="s">
        <v>160</v>
      </c>
      <c r="BB7" s="590" t="s">
        <v>160</v>
      </c>
      <c r="BC7" s="590" t="s">
        <v>160</v>
      </c>
      <c r="BD7" s="590" t="s">
        <v>160</v>
      </c>
      <c r="BE7" s="590" t="s">
        <v>160</v>
      </c>
      <c r="BF7" s="590" t="s">
        <v>160</v>
      </c>
      <c r="BG7" s="590" t="s">
        <v>160</v>
      </c>
      <c r="BH7" s="590" t="s">
        <v>160</v>
      </c>
      <c r="BI7" s="590" t="s">
        <v>160</v>
      </c>
      <c r="BJ7" s="590" t="s">
        <v>160</v>
      </c>
      <c r="BK7" s="590" t="s">
        <v>160</v>
      </c>
      <c r="BL7" s="590" t="s">
        <v>160</v>
      </c>
      <c r="BM7" s="590" t="s">
        <v>160</v>
      </c>
      <c r="BN7" s="590" t="s">
        <v>160</v>
      </c>
      <c r="BO7" s="590" t="s">
        <v>160</v>
      </c>
      <c r="BP7" s="590" t="s">
        <v>160</v>
      </c>
      <c r="BQ7" s="590" t="s">
        <v>160</v>
      </c>
      <c r="BR7" s="590" t="s">
        <v>160</v>
      </c>
      <c r="BS7" s="590" t="s">
        <v>160</v>
      </c>
      <c r="BT7" s="590" t="s">
        <v>160</v>
      </c>
      <c r="BU7" s="590" t="s">
        <v>160</v>
      </c>
      <c r="BV7" s="590" t="s">
        <v>160</v>
      </c>
      <c r="BW7" s="590" t="s">
        <v>160</v>
      </c>
      <c r="BX7" s="590" t="s">
        <v>160</v>
      </c>
      <c r="BY7" s="590" t="s">
        <v>160</v>
      </c>
      <c r="BZ7" s="590" t="s">
        <v>160</v>
      </c>
      <c r="CA7" s="590" t="s">
        <v>160</v>
      </c>
      <c r="CB7" s="590" t="s">
        <v>160</v>
      </c>
      <c r="CC7" s="590" t="s">
        <v>160</v>
      </c>
      <c r="CD7" s="590" t="s">
        <v>160</v>
      </c>
      <c r="CE7" s="590" t="s">
        <v>160</v>
      </c>
      <c r="CF7" s="590" t="s">
        <v>160</v>
      </c>
      <c r="CG7" s="590" t="s">
        <v>160</v>
      </c>
      <c r="CH7" s="590" t="s">
        <v>160</v>
      </c>
      <c r="CI7" s="590" t="s">
        <v>160</v>
      </c>
      <c r="CJ7" s="590" t="s">
        <v>160</v>
      </c>
      <c r="CK7" s="590" t="s">
        <v>160</v>
      </c>
      <c r="CL7" s="590" t="s">
        <v>160</v>
      </c>
      <c r="CM7" s="590" t="s">
        <v>160</v>
      </c>
      <c r="CN7" s="590" t="s">
        <v>160</v>
      </c>
      <c r="CO7" s="590" t="s">
        <v>160</v>
      </c>
      <c r="CP7" s="590" t="s">
        <v>160</v>
      </c>
      <c r="CQ7" s="590" t="s">
        <v>160</v>
      </c>
      <c r="CR7" s="590" t="s">
        <v>160</v>
      </c>
      <c r="CS7" s="590" t="s">
        <v>160</v>
      </c>
      <c r="CT7" s="590" t="s">
        <v>160</v>
      </c>
      <c r="CU7" s="590" t="s">
        <v>160</v>
      </c>
      <c r="CV7" s="590" t="s">
        <v>160</v>
      </c>
      <c r="CW7" s="590" t="s">
        <v>160</v>
      </c>
      <c r="CX7" s="590" t="s">
        <v>160</v>
      </c>
      <c r="CY7" s="590" t="s">
        <v>160</v>
      </c>
      <c r="CZ7" s="590" t="s">
        <v>160</v>
      </c>
      <c r="DA7" s="590" t="s">
        <v>160</v>
      </c>
      <c r="DB7" s="590" t="s">
        <v>160</v>
      </c>
      <c r="DC7" s="590" t="s">
        <v>160</v>
      </c>
      <c r="DD7" s="590" t="s">
        <v>160</v>
      </c>
      <c r="DE7" s="590" t="s">
        <v>160</v>
      </c>
      <c r="DF7" s="590" t="s">
        <v>160</v>
      </c>
      <c r="DG7" s="590" t="s">
        <v>160</v>
      </c>
      <c r="DH7" s="590" t="s">
        <v>160</v>
      </c>
      <c r="DI7" s="590" t="s">
        <v>160</v>
      </c>
      <c r="DJ7" s="590" t="s">
        <v>160</v>
      </c>
      <c r="DK7" s="590" t="s">
        <v>160</v>
      </c>
      <c r="DL7" s="590">
        <v>45.7</v>
      </c>
      <c r="DM7" s="590">
        <v>45.7</v>
      </c>
      <c r="DN7" s="590">
        <v>45.7</v>
      </c>
      <c r="DO7" s="590">
        <v>45.7</v>
      </c>
      <c r="DP7" s="590">
        <v>45.7</v>
      </c>
      <c r="DQ7" s="590">
        <v>45.7</v>
      </c>
    </row>
    <row r="8" spans="2:121" x14ac:dyDescent="0.25">
      <c r="B8" s="117" t="s">
        <v>547</v>
      </c>
      <c r="C8" s="352" t="s">
        <v>160</v>
      </c>
      <c r="D8" s="352" t="s">
        <v>160</v>
      </c>
      <c r="E8" s="352" t="s">
        <v>160</v>
      </c>
      <c r="F8" s="352" t="s">
        <v>160</v>
      </c>
      <c r="G8" s="352" t="s">
        <v>160</v>
      </c>
      <c r="H8" s="352" t="s">
        <v>160</v>
      </c>
      <c r="I8" s="352" t="s">
        <v>160</v>
      </c>
      <c r="J8" s="352" t="s">
        <v>160</v>
      </c>
      <c r="K8" s="352" t="s">
        <v>160</v>
      </c>
      <c r="L8" s="352" t="s">
        <v>160</v>
      </c>
      <c r="M8" s="352" t="s">
        <v>160</v>
      </c>
      <c r="N8" s="352" t="s">
        <v>160</v>
      </c>
      <c r="O8" s="352" t="s">
        <v>160</v>
      </c>
      <c r="P8" s="352" t="s">
        <v>160</v>
      </c>
      <c r="Q8" s="352" t="s">
        <v>160</v>
      </c>
      <c r="R8" s="352" t="s">
        <v>160</v>
      </c>
      <c r="S8" s="352" t="s">
        <v>160</v>
      </c>
      <c r="T8" s="352" t="s">
        <v>160</v>
      </c>
      <c r="U8" s="352" t="s">
        <v>160</v>
      </c>
      <c r="V8" s="590" t="s">
        <v>160</v>
      </c>
      <c r="W8" s="590" t="s">
        <v>160</v>
      </c>
      <c r="X8" s="590" t="s">
        <v>160</v>
      </c>
      <c r="Y8" s="590" t="s">
        <v>160</v>
      </c>
      <c r="Z8" s="590" t="s">
        <v>160</v>
      </c>
      <c r="AA8" s="590" t="s">
        <v>160</v>
      </c>
      <c r="AB8" s="590" t="s">
        <v>160</v>
      </c>
      <c r="AC8" s="590" t="s">
        <v>160</v>
      </c>
      <c r="AD8" s="590" t="s">
        <v>160</v>
      </c>
      <c r="AE8" s="590" t="s">
        <v>160</v>
      </c>
      <c r="AF8" s="590" t="s">
        <v>160</v>
      </c>
      <c r="AG8" s="590" t="s">
        <v>160</v>
      </c>
      <c r="AH8" s="590" t="s">
        <v>160</v>
      </c>
      <c r="AI8" s="590" t="s">
        <v>160</v>
      </c>
      <c r="AJ8" s="590" t="s">
        <v>160</v>
      </c>
      <c r="AK8" s="590" t="s">
        <v>160</v>
      </c>
      <c r="AL8" s="590" t="s">
        <v>160</v>
      </c>
      <c r="AM8" s="590" t="s">
        <v>160</v>
      </c>
      <c r="AN8" s="590" t="s">
        <v>160</v>
      </c>
      <c r="AO8" s="590" t="s">
        <v>160</v>
      </c>
      <c r="AP8" s="590" t="s">
        <v>160</v>
      </c>
      <c r="AQ8" s="590" t="s">
        <v>160</v>
      </c>
      <c r="AR8" s="590" t="s">
        <v>160</v>
      </c>
      <c r="AS8" s="590" t="s">
        <v>160</v>
      </c>
      <c r="AT8" s="590" t="s">
        <v>160</v>
      </c>
      <c r="AU8" s="590" t="s">
        <v>160</v>
      </c>
      <c r="AV8" s="590" t="s">
        <v>160</v>
      </c>
      <c r="AW8" s="1000" t="s">
        <v>160</v>
      </c>
      <c r="AX8" s="590" t="s">
        <v>160</v>
      </c>
      <c r="AY8" s="590" t="s">
        <v>160</v>
      </c>
      <c r="AZ8" s="590" t="s">
        <v>160</v>
      </c>
      <c r="BA8" s="590" t="s">
        <v>160</v>
      </c>
      <c r="BB8" s="590" t="s">
        <v>160</v>
      </c>
      <c r="BC8" s="590" t="s">
        <v>160</v>
      </c>
      <c r="BD8" s="590" t="s">
        <v>160</v>
      </c>
      <c r="BE8" s="590" t="s">
        <v>160</v>
      </c>
      <c r="BF8" s="590" t="s">
        <v>160</v>
      </c>
      <c r="BG8" s="590" t="s">
        <v>160</v>
      </c>
      <c r="BH8" s="590" t="s">
        <v>160</v>
      </c>
      <c r="BI8" s="590" t="s">
        <v>160</v>
      </c>
      <c r="BJ8" s="590" t="s">
        <v>160</v>
      </c>
      <c r="BK8" s="590" t="s">
        <v>160</v>
      </c>
      <c r="BL8" s="590" t="s">
        <v>160</v>
      </c>
      <c r="BM8" s="590" t="s">
        <v>160</v>
      </c>
      <c r="BN8" s="590" t="s">
        <v>160</v>
      </c>
      <c r="BO8" s="590" t="s">
        <v>160</v>
      </c>
      <c r="BP8" s="590" t="s">
        <v>160</v>
      </c>
      <c r="BQ8" s="590" t="s">
        <v>160</v>
      </c>
      <c r="BR8" s="590" t="s">
        <v>160</v>
      </c>
      <c r="BS8" s="590" t="s">
        <v>160</v>
      </c>
      <c r="BT8" s="590" t="s">
        <v>160</v>
      </c>
      <c r="BU8" s="590" t="s">
        <v>160</v>
      </c>
      <c r="BV8" s="590" t="s">
        <v>160</v>
      </c>
      <c r="BW8" s="590" t="s">
        <v>160</v>
      </c>
      <c r="BX8" s="590" t="s">
        <v>160</v>
      </c>
      <c r="BY8" s="590" t="s">
        <v>160</v>
      </c>
      <c r="BZ8" s="590" t="s">
        <v>160</v>
      </c>
      <c r="CA8" s="590" t="s">
        <v>160</v>
      </c>
      <c r="CB8" s="590" t="s">
        <v>160</v>
      </c>
      <c r="CC8" s="590" t="s">
        <v>160</v>
      </c>
      <c r="CD8" s="590" t="s">
        <v>160</v>
      </c>
      <c r="CE8" s="590" t="s">
        <v>160</v>
      </c>
      <c r="CF8" s="590" t="s">
        <v>160</v>
      </c>
      <c r="CG8" s="590" t="s">
        <v>160</v>
      </c>
      <c r="CH8" s="590" t="s">
        <v>160</v>
      </c>
      <c r="CI8" s="590" t="s">
        <v>160</v>
      </c>
      <c r="CJ8" s="590" t="s">
        <v>160</v>
      </c>
      <c r="CK8" s="590" t="s">
        <v>160</v>
      </c>
      <c r="CL8" s="590" t="s">
        <v>160</v>
      </c>
      <c r="CM8" s="590" t="s">
        <v>160</v>
      </c>
      <c r="CN8" s="590" t="s">
        <v>160</v>
      </c>
      <c r="CO8" s="590" t="s">
        <v>160</v>
      </c>
      <c r="CP8" s="590" t="s">
        <v>160</v>
      </c>
      <c r="CQ8" s="590" t="s">
        <v>160</v>
      </c>
      <c r="CR8" s="590" t="s">
        <v>160</v>
      </c>
      <c r="CS8" s="590" t="s">
        <v>160</v>
      </c>
      <c r="CT8" s="590" t="s">
        <v>160</v>
      </c>
      <c r="CU8" s="590" t="s">
        <v>160</v>
      </c>
      <c r="CV8" s="590" t="s">
        <v>160</v>
      </c>
      <c r="CW8" s="590" t="s">
        <v>160</v>
      </c>
      <c r="CX8" s="590" t="s">
        <v>160</v>
      </c>
      <c r="CY8" s="590" t="s">
        <v>160</v>
      </c>
      <c r="CZ8" s="590" t="s">
        <v>160</v>
      </c>
      <c r="DA8" s="590" t="s">
        <v>160</v>
      </c>
      <c r="DB8" s="590" t="s">
        <v>160</v>
      </c>
      <c r="DC8" s="590" t="s">
        <v>160</v>
      </c>
      <c r="DD8" s="590" t="s">
        <v>160</v>
      </c>
      <c r="DE8" s="590" t="s">
        <v>160</v>
      </c>
      <c r="DF8" s="590" t="s">
        <v>160</v>
      </c>
      <c r="DG8" s="590" t="s">
        <v>160</v>
      </c>
      <c r="DH8" s="590" t="s">
        <v>160</v>
      </c>
      <c r="DI8" s="590" t="s">
        <v>160</v>
      </c>
      <c r="DJ8" s="590" t="s">
        <v>160</v>
      </c>
      <c r="DK8" s="590" t="s">
        <v>160</v>
      </c>
      <c r="DL8" s="590">
        <v>43.5</v>
      </c>
      <c r="DM8" s="590">
        <v>43.5</v>
      </c>
      <c r="DN8" s="590">
        <v>43.5</v>
      </c>
      <c r="DO8" s="590">
        <v>43.5</v>
      </c>
      <c r="DP8" s="590">
        <v>43.5</v>
      </c>
      <c r="DQ8" s="590">
        <v>43.5</v>
      </c>
    </row>
    <row r="9" spans="2:121" customFormat="1" ht="12.75" x14ac:dyDescent="0.2">
      <c r="B9" s="278" t="s">
        <v>557</v>
      </c>
      <c r="C9" s="279" t="str">
        <f t="shared" ref="C9:AH9" si="2">IFERROR(AVERAGE(C7:C8),"-")</f>
        <v>-</v>
      </c>
      <c r="D9" s="279" t="str">
        <f t="shared" si="2"/>
        <v>-</v>
      </c>
      <c r="E9" s="279" t="str">
        <f t="shared" si="2"/>
        <v>-</v>
      </c>
      <c r="F9" s="279" t="str">
        <f t="shared" si="2"/>
        <v>-</v>
      </c>
      <c r="G9" s="279" t="str">
        <f t="shared" si="2"/>
        <v>-</v>
      </c>
      <c r="H9" s="279" t="str">
        <f t="shared" si="2"/>
        <v>-</v>
      </c>
      <c r="I9" s="279" t="str">
        <f t="shared" si="2"/>
        <v>-</v>
      </c>
      <c r="J9" s="279" t="str">
        <f t="shared" si="2"/>
        <v>-</v>
      </c>
      <c r="K9" s="279" t="str">
        <f t="shared" si="2"/>
        <v>-</v>
      </c>
      <c r="L9" s="279" t="str">
        <f t="shared" si="2"/>
        <v>-</v>
      </c>
      <c r="M9" s="279" t="str">
        <f t="shared" si="2"/>
        <v>-</v>
      </c>
      <c r="N9" s="279" t="str">
        <f t="shared" si="2"/>
        <v>-</v>
      </c>
      <c r="O9" s="279" t="str">
        <f t="shared" si="2"/>
        <v>-</v>
      </c>
      <c r="P9" s="279" t="str">
        <f t="shared" si="2"/>
        <v>-</v>
      </c>
      <c r="Q9" s="279" t="str">
        <f t="shared" si="2"/>
        <v>-</v>
      </c>
      <c r="R9" s="279" t="str">
        <f t="shared" si="2"/>
        <v>-</v>
      </c>
      <c r="S9" s="279" t="str">
        <f t="shared" si="2"/>
        <v>-</v>
      </c>
      <c r="T9" s="279" t="str">
        <f t="shared" si="2"/>
        <v>-</v>
      </c>
      <c r="U9" s="279" t="str">
        <f t="shared" si="2"/>
        <v>-</v>
      </c>
      <c r="V9" s="279" t="str">
        <f t="shared" si="2"/>
        <v>-</v>
      </c>
      <c r="W9" s="279" t="str">
        <f t="shared" si="2"/>
        <v>-</v>
      </c>
      <c r="X9" s="279" t="str">
        <f t="shared" si="2"/>
        <v>-</v>
      </c>
      <c r="Y9" s="279" t="str">
        <f t="shared" si="2"/>
        <v>-</v>
      </c>
      <c r="Z9" s="279" t="str">
        <f t="shared" si="2"/>
        <v>-</v>
      </c>
      <c r="AA9" s="279" t="str">
        <f t="shared" si="2"/>
        <v>-</v>
      </c>
      <c r="AB9" s="279" t="str">
        <f t="shared" si="2"/>
        <v>-</v>
      </c>
      <c r="AC9" s="279" t="str">
        <f t="shared" si="2"/>
        <v>-</v>
      </c>
      <c r="AD9" s="279" t="str">
        <f t="shared" si="2"/>
        <v>-</v>
      </c>
      <c r="AE9" s="279" t="str">
        <f t="shared" si="2"/>
        <v>-</v>
      </c>
      <c r="AF9" s="279" t="str">
        <f t="shared" si="2"/>
        <v>-</v>
      </c>
      <c r="AG9" s="279" t="str">
        <f t="shared" si="2"/>
        <v>-</v>
      </c>
      <c r="AH9" s="279" t="str">
        <f t="shared" si="2"/>
        <v>-</v>
      </c>
      <c r="AI9" s="279" t="str">
        <f t="shared" ref="AI9:BN9" si="3">IFERROR(AVERAGE(AI7:AI8),"-")</f>
        <v>-</v>
      </c>
      <c r="AJ9" s="279" t="str">
        <f t="shared" si="3"/>
        <v>-</v>
      </c>
      <c r="AK9" s="279" t="str">
        <f t="shared" si="3"/>
        <v>-</v>
      </c>
      <c r="AL9" s="279" t="str">
        <f t="shared" si="3"/>
        <v>-</v>
      </c>
      <c r="AM9" s="279" t="str">
        <f t="shared" si="3"/>
        <v>-</v>
      </c>
      <c r="AN9" s="279" t="str">
        <f t="shared" si="3"/>
        <v>-</v>
      </c>
      <c r="AO9" s="279" t="str">
        <f t="shared" si="3"/>
        <v>-</v>
      </c>
      <c r="AP9" s="279" t="str">
        <f t="shared" si="3"/>
        <v>-</v>
      </c>
      <c r="AQ9" s="279" t="str">
        <f t="shared" si="3"/>
        <v>-</v>
      </c>
      <c r="AR9" s="279" t="str">
        <f t="shared" si="3"/>
        <v>-</v>
      </c>
      <c r="AS9" s="279" t="str">
        <f t="shared" si="3"/>
        <v>-</v>
      </c>
      <c r="AT9" s="279" t="str">
        <f t="shared" si="3"/>
        <v>-</v>
      </c>
      <c r="AU9" s="279" t="str">
        <f t="shared" si="3"/>
        <v>-</v>
      </c>
      <c r="AV9" s="279" t="str">
        <f t="shared" si="3"/>
        <v>-</v>
      </c>
      <c r="AW9" s="279" t="str">
        <f t="shared" si="3"/>
        <v>-</v>
      </c>
      <c r="AX9" s="279" t="str">
        <f t="shared" si="3"/>
        <v>-</v>
      </c>
      <c r="AY9" s="279" t="str">
        <f t="shared" si="3"/>
        <v>-</v>
      </c>
      <c r="AZ9" s="279" t="str">
        <f t="shared" si="3"/>
        <v>-</v>
      </c>
      <c r="BA9" s="279" t="str">
        <f t="shared" si="3"/>
        <v>-</v>
      </c>
      <c r="BB9" s="279" t="str">
        <f t="shared" si="3"/>
        <v>-</v>
      </c>
      <c r="BC9" s="279" t="str">
        <f t="shared" si="3"/>
        <v>-</v>
      </c>
      <c r="BD9" s="279" t="str">
        <f t="shared" si="3"/>
        <v>-</v>
      </c>
      <c r="BE9" s="279" t="str">
        <f t="shared" si="3"/>
        <v>-</v>
      </c>
      <c r="BF9" s="279" t="str">
        <f t="shared" si="3"/>
        <v>-</v>
      </c>
      <c r="BG9" s="279" t="str">
        <f t="shared" si="3"/>
        <v>-</v>
      </c>
      <c r="BH9" s="279" t="str">
        <f t="shared" si="3"/>
        <v>-</v>
      </c>
      <c r="BI9" s="279" t="str">
        <f t="shared" si="3"/>
        <v>-</v>
      </c>
      <c r="BJ9" s="279" t="str">
        <f t="shared" si="3"/>
        <v>-</v>
      </c>
      <c r="BK9" s="279" t="str">
        <f t="shared" si="3"/>
        <v>-</v>
      </c>
      <c r="BL9" s="279" t="str">
        <f t="shared" si="3"/>
        <v>-</v>
      </c>
      <c r="BM9" s="279" t="str">
        <f t="shared" si="3"/>
        <v>-</v>
      </c>
      <c r="BN9" s="279" t="str">
        <f t="shared" si="3"/>
        <v>-</v>
      </c>
      <c r="BO9" s="279" t="str">
        <f t="shared" ref="BO9:CT9" si="4">IFERROR(AVERAGE(BO7:BO8),"-")</f>
        <v>-</v>
      </c>
      <c r="BP9" s="279" t="str">
        <f t="shared" si="4"/>
        <v>-</v>
      </c>
      <c r="BQ9" s="279" t="str">
        <f t="shared" si="4"/>
        <v>-</v>
      </c>
      <c r="BR9" s="279" t="str">
        <f t="shared" si="4"/>
        <v>-</v>
      </c>
      <c r="BS9" s="279" t="str">
        <f t="shared" si="4"/>
        <v>-</v>
      </c>
      <c r="BT9" s="279" t="str">
        <f t="shared" si="4"/>
        <v>-</v>
      </c>
      <c r="BU9" s="279" t="str">
        <f t="shared" si="4"/>
        <v>-</v>
      </c>
      <c r="BV9" s="279" t="str">
        <f t="shared" si="4"/>
        <v>-</v>
      </c>
      <c r="BW9" s="279" t="str">
        <f t="shared" si="4"/>
        <v>-</v>
      </c>
      <c r="BX9" s="279" t="str">
        <f t="shared" si="4"/>
        <v>-</v>
      </c>
      <c r="BY9" s="279" t="str">
        <f t="shared" si="4"/>
        <v>-</v>
      </c>
      <c r="BZ9" s="798" t="str">
        <f t="shared" si="4"/>
        <v>-</v>
      </c>
      <c r="CA9" s="798" t="str">
        <f t="shared" si="4"/>
        <v>-</v>
      </c>
      <c r="CB9" s="798" t="str">
        <f t="shared" si="4"/>
        <v>-</v>
      </c>
      <c r="CC9" s="798" t="str">
        <f t="shared" si="4"/>
        <v>-</v>
      </c>
      <c r="CD9" s="798" t="str">
        <f t="shared" si="4"/>
        <v>-</v>
      </c>
      <c r="CE9" s="798" t="str">
        <f t="shared" si="4"/>
        <v>-</v>
      </c>
      <c r="CF9" s="798" t="str">
        <f t="shared" si="4"/>
        <v>-</v>
      </c>
      <c r="CG9" s="798" t="str">
        <f t="shared" si="4"/>
        <v>-</v>
      </c>
      <c r="CH9" s="798" t="str">
        <f t="shared" si="4"/>
        <v>-</v>
      </c>
      <c r="CI9" s="798" t="str">
        <f t="shared" si="4"/>
        <v>-</v>
      </c>
      <c r="CJ9" s="798" t="str">
        <f t="shared" si="4"/>
        <v>-</v>
      </c>
      <c r="CK9" s="798" t="str">
        <f t="shared" si="4"/>
        <v>-</v>
      </c>
      <c r="CL9" s="798" t="str">
        <f t="shared" si="4"/>
        <v>-</v>
      </c>
      <c r="CM9" s="798" t="str">
        <f t="shared" si="4"/>
        <v>-</v>
      </c>
      <c r="CN9" s="798" t="str">
        <f t="shared" si="4"/>
        <v>-</v>
      </c>
      <c r="CO9" s="798" t="str">
        <f t="shared" si="4"/>
        <v>-</v>
      </c>
      <c r="CP9" s="798" t="str">
        <f t="shared" si="4"/>
        <v>-</v>
      </c>
      <c r="CQ9" s="798" t="str">
        <f t="shared" si="4"/>
        <v>-</v>
      </c>
      <c r="CR9" s="798" t="str">
        <f t="shared" si="4"/>
        <v>-</v>
      </c>
      <c r="CS9" s="798" t="str">
        <f t="shared" si="4"/>
        <v>-</v>
      </c>
      <c r="CT9" s="798" t="str">
        <f t="shared" si="4"/>
        <v>-</v>
      </c>
      <c r="CU9" s="798" t="str">
        <f>IFERROR(AVERAGE(CU7:CU8),"-")</f>
        <v>-</v>
      </c>
      <c r="CV9" s="798" t="str">
        <f>IFERROR(AVERAGE(CV7:CV8),"-")</f>
        <v>-</v>
      </c>
      <c r="CW9" s="798" t="str">
        <f>IFERROR(AVERAGE(CW7:CW8),"-")</f>
        <v>-</v>
      </c>
      <c r="CX9" s="798" t="str">
        <f>IFERROR(AVERAGE(CX7:CX8),"-")</f>
        <v>-</v>
      </c>
      <c r="CY9" s="798" t="str">
        <f t="shared" ref="CY9:DK9" si="5">IFERROR(AVERAGE(CY7:CY8),"-")</f>
        <v>-</v>
      </c>
      <c r="CZ9" s="798" t="str">
        <f t="shared" si="5"/>
        <v>-</v>
      </c>
      <c r="DA9" s="798" t="str">
        <f t="shared" si="5"/>
        <v>-</v>
      </c>
      <c r="DB9" s="798" t="str">
        <f t="shared" si="5"/>
        <v>-</v>
      </c>
      <c r="DC9" s="798" t="str">
        <f t="shared" si="5"/>
        <v>-</v>
      </c>
      <c r="DD9" s="798" t="str">
        <f t="shared" si="5"/>
        <v>-</v>
      </c>
      <c r="DE9" s="798" t="str">
        <f t="shared" si="5"/>
        <v>-</v>
      </c>
      <c r="DF9" s="798" t="str">
        <f t="shared" si="5"/>
        <v>-</v>
      </c>
      <c r="DG9" s="798" t="str">
        <f t="shared" si="5"/>
        <v>-</v>
      </c>
      <c r="DH9" s="798" t="str">
        <f t="shared" si="5"/>
        <v>-</v>
      </c>
      <c r="DI9" s="798" t="str">
        <f t="shared" si="5"/>
        <v>-</v>
      </c>
      <c r="DJ9" s="798" t="str">
        <f t="shared" si="5"/>
        <v>-</v>
      </c>
      <c r="DK9" s="798" t="str">
        <f t="shared" si="5"/>
        <v>-</v>
      </c>
      <c r="DL9" s="798">
        <f t="shared" ref="DL9:DQ9" si="6">IFERROR(AVERAGE(DL7:DL8),"-")</f>
        <v>44.6</v>
      </c>
      <c r="DM9" s="798">
        <f t="shared" si="6"/>
        <v>44.6</v>
      </c>
      <c r="DN9" s="798">
        <f t="shared" si="6"/>
        <v>44.6</v>
      </c>
      <c r="DO9" s="798">
        <f t="shared" si="6"/>
        <v>44.6</v>
      </c>
      <c r="DP9" s="798">
        <f t="shared" si="6"/>
        <v>44.6</v>
      </c>
      <c r="DQ9" s="798">
        <f t="shared" si="6"/>
        <v>44.6</v>
      </c>
    </row>
    <row r="10" spans="2:121" x14ac:dyDescent="0.25">
      <c r="X10" s="340"/>
      <c r="Y10" s="340"/>
      <c r="Z10" s="340"/>
      <c r="AA10" s="340"/>
      <c r="AB10" s="340"/>
      <c r="AC10" s="340"/>
      <c r="AD10" s="340"/>
      <c r="AE10" s="340"/>
      <c r="AF10" s="340"/>
      <c r="AG10" s="340"/>
      <c r="AH10" s="340"/>
      <c r="AI10" s="340"/>
      <c r="AJ10" s="340"/>
      <c r="AK10" s="340"/>
      <c r="AL10" s="340"/>
      <c r="AM10" s="340"/>
      <c r="AN10" s="340"/>
      <c r="AO10" s="340"/>
      <c r="AP10" s="340"/>
      <c r="AQ10" s="340"/>
      <c r="AR10" s="340"/>
      <c r="AS10" s="340"/>
      <c r="AV10" s="913"/>
      <c r="DL10" s="761"/>
      <c r="DM10" s="761"/>
    </row>
    <row r="11" spans="2:121" x14ac:dyDescent="0.25">
      <c r="B11" s="113" t="s">
        <v>784</v>
      </c>
      <c r="C11" s="263">
        <f>C$4</f>
        <v>42522</v>
      </c>
      <c r="D11" s="263">
        <f t="shared" ref="D11:BO11" si="7">D$4</f>
        <v>42552</v>
      </c>
      <c r="E11" s="263">
        <f t="shared" si="7"/>
        <v>42583</v>
      </c>
      <c r="F11" s="263">
        <f t="shared" si="7"/>
        <v>42614</v>
      </c>
      <c r="G11" s="263">
        <f t="shared" si="7"/>
        <v>42644</v>
      </c>
      <c r="H11" s="263">
        <f t="shared" si="7"/>
        <v>42675</v>
      </c>
      <c r="I11" s="263">
        <f t="shared" si="7"/>
        <v>42705</v>
      </c>
      <c r="J11" s="263">
        <f t="shared" si="7"/>
        <v>42736</v>
      </c>
      <c r="K11" s="263">
        <f t="shared" si="7"/>
        <v>42767</v>
      </c>
      <c r="L11" s="263">
        <f t="shared" si="7"/>
        <v>42795</v>
      </c>
      <c r="M11" s="263">
        <f t="shared" si="7"/>
        <v>42826</v>
      </c>
      <c r="N11" s="263">
        <f t="shared" si="7"/>
        <v>42856</v>
      </c>
      <c r="O11" s="263">
        <f t="shared" si="7"/>
        <v>42887</v>
      </c>
      <c r="P11" s="263">
        <f t="shared" si="7"/>
        <v>42917</v>
      </c>
      <c r="Q11" s="263">
        <f t="shared" si="7"/>
        <v>42948</v>
      </c>
      <c r="R11" s="263">
        <f t="shared" si="7"/>
        <v>42979</v>
      </c>
      <c r="S11" s="263">
        <f t="shared" si="7"/>
        <v>43009</v>
      </c>
      <c r="T11" s="263">
        <f t="shared" si="7"/>
        <v>43040</v>
      </c>
      <c r="U11" s="263">
        <f t="shared" si="7"/>
        <v>43070</v>
      </c>
      <c r="V11" s="263">
        <f t="shared" si="7"/>
        <v>43101</v>
      </c>
      <c r="W11" s="263">
        <f t="shared" si="7"/>
        <v>43132</v>
      </c>
      <c r="X11" s="263">
        <f t="shared" si="7"/>
        <v>43160</v>
      </c>
      <c r="Y11" s="263">
        <f t="shared" si="7"/>
        <v>43191</v>
      </c>
      <c r="Z11" s="263">
        <f t="shared" si="7"/>
        <v>43221</v>
      </c>
      <c r="AA11" s="263">
        <f t="shared" si="7"/>
        <v>43252</v>
      </c>
      <c r="AB11" s="263">
        <f t="shared" si="7"/>
        <v>43283</v>
      </c>
      <c r="AC11" s="263">
        <f t="shared" si="7"/>
        <v>43314</v>
      </c>
      <c r="AD11" s="263">
        <f t="shared" si="7"/>
        <v>43345</v>
      </c>
      <c r="AE11" s="263">
        <f t="shared" si="7"/>
        <v>43376</v>
      </c>
      <c r="AF11" s="263">
        <f t="shared" si="7"/>
        <v>43407</v>
      </c>
      <c r="AG11" s="263">
        <f t="shared" si="7"/>
        <v>43437</v>
      </c>
      <c r="AH11" s="263">
        <f t="shared" si="7"/>
        <v>43468</v>
      </c>
      <c r="AI11" s="263">
        <f t="shared" si="7"/>
        <v>43499</v>
      </c>
      <c r="AJ11" s="263">
        <f t="shared" si="7"/>
        <v>43527</v>
      </c>
      <c r="AK11" s="263">
        <f t="shared" si="7"/>
        <v>43558</v>
      </c>
      <c r="AL11" s="263">
        <f t="shared" si="7"/>
        <v>43587</v>
      </c>
      <c r="AM11" s="263">
        <f t="shared" si="7"/>
        <v>43618</v>
      </c>
      <c r="AN11" s="263">
        <f t="shared" si="7"/>
        <v>43647</v>
      </c>
      <c r="AO11" s="263">
        <f t="shared" si="7"/>
        <v>43678</v>
      </c>
      <c r="AP11" s="263">
        <f t="shared" si="7"/>
        <v>43709</v>
      </c>
      <c r="AQ11" s="263">
        <f t="shared" si="7"/>
        <v>43739</v>
      </c>
      <c r="AR11" s="263">
        <f t="shared" si="7"/>
        <v>43770</v>
      </c>
      <c r="AS11" s="263">
        <f t="shared" si="7"/>
        <v>43800</v>
      </c>
      <c r="AT11" s="263">
        <f t="shared" si="7"/>
        <v>43831</v>
      </c>
      <c r="AU11" s="263">
        <f t="shared" si="7"/>
        <v>43862</v>
      </c>
      <c r="AV11" s="263">
        <f t="shared" si="7"/>
        <v>43891</v>
      </c>
      <c r="AW11" s="263">
        <f t="shared" si="7"/>
        <v>43922</v>
      </c>
      <c r="AX11" s="263">
        <f t="shared" si="7"/>
        <v>43952</v>
      </c>
      <c r="AY11" s="263">
        <f t="shared" si="7"/>
        <v>43983</v>
      </c>
      <c r="AZ11" s="263">
        <f t="shared" si="7"/>
        <v>44013</v>
      </c>
      <c r="BA11" s="263">
        <f t="shared" si="7"/>
        <v>44044</v>
      </c>
      <c r="BB11" s="263">
        <f t="shared" si="7"/>
        <v>44075</v>
      </c>
      <c r="BC11" s="263">
        <f t="shared" si="7"/>
        <v>44105</v>
      </c>
      <c r="BD11" s="263">
        <f t="shared" si="7"/>
        <v>44136</v>
      </c>
      <c r="BE11" s="263">
        <f t="shared" si="7"/>
        <v>44166</v>
      </c>
      <c r="BF11" s="263">
        <f t="shared" si="7"/>
        <v>44197</v>
      </c>
      <c r="BG11" s="263">
        <f t="shared" si="7"/>
        <v>44228</v>
      </c>
      <c r="BH11" s="263">
        <f t="shared" si="7"/>
        <v>44256</v>
      </c>
      <c r="BI11" s="263">
        <f t="shared" si="7"/>
        <v>44287</v>
      </c>
      <c r="BJ11" s="263">
        <f t="shared" si="7"/>
        <v>44317</v>
      </c>
      <c r="BK11" s="263">
        <f t="shared" si="7"/>
        <v>44348</v>
      </c>
      <c r="BL11" s="263">
        <f t="shared" si="7"/>
        <v>44378</v>
      </c>
      <c r="BM11" s="263">
        <f t="shared" si="7"/>
        <v>44409</v>
      </c>
      <c r="BN11" s="263">
        <f t="shared" si="7"/>
        <v>44440</v>
      </c>
      <c r="BO11" s="263">
        <f t="shared" si="7"/>
        <v>44470</v>
      </c>
      <c r="BP11" s="263">
        <f t="shared" ref="BP11:DQ11" si="8">BP$4</f>
        <v>44501</v>
      </c>
      <c r="BQ11" s="263">
        <f t="shared" si="8"/>
        <v>44531</v>
      </c>
      <c r="BR11" s="263">
        <f t="shared" si="8"/>
        <v>44562</v>
      </c>
      <c r="BS11" s="263">
        <f t="shared" si="8"/>
        <v>44593</v>
      </c>
      <c r="BT11" s="263">
        <f t="shared" si="8"/>
        <v>44622</v>
      </c>
      <c r="BU11" s="263">
        <f t="shared" si="8"/>
        <v>44654</v>
      </c>
      <c r="BV11" s="263">
        <f t="shared" si="8"/>
        <v>44685</v>
      </c>
      <c r="BW11" s="263">
        <f t="shared" si="8"/>
        <v>44716</v>
      </c>
      <c r="BX11" s="263">
        <f t="shared" si="8"/>
        <v>44746</v>
      </c>
      <c r="BY11" s="263">
        <f t="shared" si="8"/>
        <v>44774</v>
      </c>
      <c r="BZ11" s="263">
        <f t="shared" si="8"/>
        <v>44805</v>
      </c>
      <c r="CA11" s="263">
        <f t="shared" si="8"/>
        <v>44835</v>
      </c>
      <c r="CB11" s="263">
        <f t="shared" si="8"/>
        <v>44866</v>
      </c>
      <c r="CC11" s="263">
        <f t="shared" si="8"/>
        <v>44896</v>
      </c>
      <c r="CD11" s="263">
        <f t="shared" si="8"/>
        <v>44927</v>
      </c>
      <c r="CE11" s="263">
        <f t="shared" si="8"/>
        <v>44958</v>
      </c>
      <c r="CF11" s="263">
        <f t="shared" si="8"/>
        <v>44986</v>
      </c>
      <c r="CG11" s="263">
        <f t="shared" si="8"/>
        <v>45017</v>
      </c>
      <c r="CH11" s="263">
        <f t="shared" si="8"/>
        <v>45047</v>
      </c>
      <c r="CI11" s="263">
        <f t="shared" si="8"/>
        <v>45078</v>
      </c>
      <c r="CJ11" s="263">
        <f t="shared" si="8"/>
        <v>45108</v>
      </c>
      <c r="CK11" s="263">
        <f t="shared" si="8"/>
        <v>45139</v>
      </c>
      <c r="CL11" s="263">
        <f t="shared" si="8"/>
        <v>45170</v>
      </c>
      <c r="CM11" s="263">
        <f t="shared" si="8"/>
        <v>45200</v>
      </c>
      <c r="CN11" s="263">
        <f t="shared" si="8"/>
        <v>45231</v>
      </c>
      <c r="CO11" s="263">
        <f t="shared" si="8"/>
        <v>45261</v>
      </c>
      <c r="CP11" s="263">
        <f t="shared" si="8"/>
        <v>45292</v>
      </c>
      <c r="CQ11" s="263">
        <f t="shared" si="8"/>
        <v>45323</v>
      </c>
      <c r="CR11" s="263">
        <f t="shared" si="8"/>
        <v>45352</v>
      </c>
      <c r="CS11" s="263">
        <f t="shared" si="8"/>
        <v>45383</v>
      </c>
      <c r="CT11" s="263">
        <f t="shared" si="8"/>
        <v>45413</v>
      </c>
      <c r="CU11" s="263">
        <f t="shared" si="8"/>
        <v>45444</v>
      </c>
      <c r="CV11" s="263">
        <f t="shared" si="8"/>
        <v>45474</v>
      </c>
      <c r="CW11" s="263">
        <f t="shared" si="8"/>
        <v>45505</v>
      </c>
      <c r="CX11" s="263">
        <f t="shared" si="8"/>
        <v>45536</v>
      </c>
      <c r="CY11" s="263">
        <f t="shared" si="8"/>
        <v>45566</v>
      </c>
      <c r="CZ11" s="263">
        <f t="shared" si="8"/>
        <v>45597</v>
      </c>
      <c r="DA11" s="263">
        <f t="shared" si="8"/>
        <v>45627</v>
      </c>
      <c r="DB11" s="263">
        <f t="shared" si="8"/>
        <v>45658</v>
      </c>
      <c r="DC11" s="263">
        <f t="shared" si="8"/>
        <v>45689</v>
      </c>
      <c r="DD11" s="263">
        <f t="shared" si="8"/>
        <v>45717</v>
      </c>
      <c r="DE11" s="263">
        <f t="shared" si="8"/>
        <v>45748</v>
      </c>
      <c r="DF11" s="263">
        <f t="shared" si="8"/>
        <v>45778</v>
      </c>
      <c r="DG11" s="263">
        <f t="shared" si="8"/>
        <v>45809</v>
      </c>
      <c r="DH11" s="263">
        <v>45839</v>
      </c>
      <c r="DI11" s="263">
        <f t="shared" si="8"/>
        <v>45870</v>
      </c>
      <c r="DJ11" s="263">
        <f t="shared" si="8"/>
        <v>45901</v>
      </c>
      <c r="DK11" s="263">
        <f t="shared" si="8"/>
        <v>45931</v>
      </c>
      <c r="DL11" s="263">
        <f t="shared" si="8"/>
        <v>45962</v>
      </c>
      <c r="DM11" s="263">
        <f t="shared" si="8"/>
        <v>45992</v>
      </c>
      <c r="DN11" s="263">
        <f t="shared" si="8"/>
        <v>46023</v>
      </c>
      <c r="DO11" s="263">
        <f t="shared" si="8"/>
        <v>46054</v>
      </c>
      <c r="DP11" s="263">
        <f t="shared" si="8"/>
        <v>46082</v>
      </c>
      <c r="DQ11" s="263">
        <f t="shared" si="8"/>
        <v>46113</v>
      </c>
    </row>
    <row r="12" spans="2:121" x14ac:dyDescent="0.25">
      <c r="B12" s="117" t="s">
        <v>542</v>
      </c>
      <c r="C12" s="264" t="s">
        <v>160</v>
      </c>
      <c r="D12" s="264" t="s">
        <v>160</v>
      </c>
      <c r="E12" s="264" t="s">
        <v>160</v>
      </c>
      <c r="F12" s="264" t="s">
        <v>160</v>
      </c>
      <c r="G12" s="264" t="s">
        <v>160</v>
      </c>
      <c r="H12" s="264" t="s">
        <v>160</v>
      </c>
      <c r="I12" s="264" t="s">
        <v>160</v>
      </c>
      <c r="J12" s="264" t="s">
        <v>160</v>
      </c>
      <c r="K12" s="264" t="s">
        <v>160</v>
      </c>
      <c r="L12" s="264" t="s">
        <v>160</v>
      </c>
      <c r="M12" s="264" t="s">
        <v>160</v>
      </c>
      <c r="N12" s="264" t="s">
        <v>160</v>
      </c>
      <c r="O12" s="264" t="s">
        <v>160</v>
      </c>
      <c r="P12" s="264" t="s">
        <v>160</v>
      </c>
      <c r="Q12" s="264" t="s">
        <v>160</v>
      </c>
      <c r="R12" s="264" t="s">
        <v>160</v>
      </c>
      <c r="S12" s="264" t="s">
        <v>160</v>
      </c>
      <c r="T12" s="264" t="s">
        <v>160</v>
      </c>
      <c r="U12" s="675" t="s">
        <v>160</v>
      </c>
      <c r="V12" s="675" t="s">
        <v>160</v>
      </c>
      <c r="W12" s="675" t="s">
        <v>160</v>
      </c>
      <c r="X12" s="675" t="s">
        <v>160</v>
      </c>
      <c r="Y12" s="675" t="s">
        <v>160</v>
      </c>
      <c r="Z12" s="675" t="s">
        <v>160</v>
      </c>
      <c r="AA12" s="675" t="s">
        <v>160</v>
      </c>
      <c r="AB12" s="675" t="s">
        <v>160</v>
      </c>
      <c r="AC12" s="675" t="s">
        <v>160</v>
      </c>
      <c r="AD12" s="675" t="s">
        <v>160</v>
      </c>
      <c r="AE12" s="675" t="s">
        <v>160</v>
      </c>
      <c r="AF12" s="681" t="s">
        <v>785</v>
      </c>
      <c r="AG12" s="681" t="s">
        <v>785</v>
      </c>
      <c r="AH12" s="681" t="s">
        <v>785</v>
      </c>
      <c r="AI12" s="681" t="s">
        <v>785</v>
      </c>
      <c r="AJ12" s="681" t="s">
        <v>785</v>
      </c>
      <c r="AK12" s="681" t="s">
        <v>785</v>
      </c>
      <c r="AL12" s="681" t="s">
        <v>785</v>
      </c>
      <c r="AM12" s="681" t="s">
        <v>785</v>
      </c>
      <c r="AN12" s="681" t="s">
        <v>785</v>
      </c>
      <c r="AO12" s="681" t="s">
        <v>785</v>
      </c>
      <c r="AP12" s="681" t="s">
        <v>785</v>
      </c>
      <c r="AQ12" s="681" t="s">
        <v>785</v>
      </c>
      <c r="AR12" s="681" t="s">
        <v>785</v>
      </c>
      <c r="AS12" s="681" t="s">
        <v>785</v>
      </c>
      <c r="AT12" s="799" t="s">
        <v>785</v>
      </c>
      <c r="AU12" s="799" t="s">
        <v>785</v>
      </c>
      <c r="AV12" s="915" t="s">
        <v>785</v>
      </c>
      <c r="AW12" s="799" t="s">
        <v>785</v>
      </c>
      <c r="AX12" s="799" t="s">
        <v>785</v>
      </c>
      <c r="AY12" s="799" t="s">
        <v>785</v>
      </c>
      <c r="AZ12" s="799" t="s">
        <v>785</v>
      </c>
      <c r="BA12" s="799" t="s">
        <v>785</v>
      </c>
      <c r="BB12" s="799" t="s">
        <v>785</v>
      </c>
      <c r="BC12" s="799" t="s">
        <v>785</v>
      </c>
      <c r="BD12" s="799" t="s">
        <v>785</v>
      </c>
      <c r="BE12" s="933" t="s">
        <v>1044</v>
      </c>
      <c r="BF12" s="799" t="s">
        <v>1044</v>
      </c>
      <c r="BG12" s="799" t="s">
        <v>1044</v>
      </c>
      <c r="BH12" s="799" t="s">
        <v>1044</v>
      </c>
      <c r="BI12" s="799" t="s">
        <v>1044</v>
      </c>
      <c r="BJ12" s="799" t="s">
        <v>1044</v>
      </c>
      <c r="BK12" s="799" t="s">
        <v>1044</v>
      </c>
      <c r="BL12" s="799" t="s">
        <v>1044</v>
      </c>
      <c r="BM12" s="799" t="s">
        <v>1044</v>
      </c>
      <c r="BN12" s="799" t="s">
        <v>1044</v>
      </c>
      <c r="BO12" s="799" t="s">
        <v>1044</v>
      </c>
      <c r="BP12" s="799" t="s">
        <v>1044</v>
      </c>
      <c r="BQ12" s="799" t="s">
        <v>1044</v>
      </c>
      <c r="BR12" s="799" t="s">
        <v>1044</v>
      </c>
      <c r="BS12" s="799" t="s">
        <v>1044</v>
      </c>
      <c r="BT12" s="799" t="s">
        <v>788</v>
      </c>
      <c r="BU12" s="799" t="s">
        <v>788</v>
      </c>
      <c r="BV12" s="799" t="s">
        <v>788</v>
      </c>
      <c r="BW12" s="799" t="s">
        <v>788</v>
      </c>
      <c r="BX12" s="799" t="s">
        <v>788</v>
      </c>
      <c r="BY12" s="799" t="s">
        <v>788</v>
      </c>
      <c r="BZ12" s="799" t="s">
        <v>788</v>
      </c>
      <c r="CA12" s="799" t="s">
        <v>788</v>
      </c>
      <c r="CB12" s="799" t="s">
        <v>788</v>
      </c>
      <c r="CC12" s="799" t="s">
        <v>788</v>
      </c>
      <c r="CD12" s="799" t="s">
        <v>788</v>
      </c>
      <c r="CE12" s="799" t="s">
        <v>788</v>
      </c>
      <c r="CF12" s="799" t="s">
        <v>788</v>
      </c>
      <c r="CG12" s="799" t="s">
        <v>788</v>
      </c>
      <c r="CH12" s="799" t="s">
        <v>788</v>
      </c>
      <c r="CI12" s="799" t="s">
        <v>788</v>
      </c>
      <c r="CJ12" s="799" t="s">
        <v>788</v>
      </c>
      <c r="CK12" s="799" t="s">
        <v>788</v>
      </c>
      <c r="CL12" s="799" t="s">
        <v>788</v>
      </c>
      <c r="CM12" s="799" t="s">
        <v>788</v>
      </c>
      <c r="CN12" s="799" t="s">
        <v>788</v>
      </c>
      <c r="CO12" s="799" t="s">
        <v>788</v>
      </c>
      <c r="CP12" s="799" t="s">
        <v>788</v>
      </c>
      <c r="CQ12" s="799" t="s">
        <v>788</v>
      </c>
      <c r="CR12" s="799" t="s">
        <v>788</v>
      </c>
      <c r="CS12" s="799" t="s">
        <v>788</v>
      </c>
      <c r="CT12" s="799" t="s">
        <v>788</v>
      </c>
      <c r="CU12" s="799" t="s">
        <v>788</v>
      </c>
      <c r="CV12" s="799" t="s">
        <v>788</v>
      </c>
      <c r="CW12" s="799" t="s">
        <v>788</v>
      </c>
      <c r="CX12" s="799" t="s">
        <v>788</v>
      </c>
      <c r="CY12" s="799" t="s">
        <v>788</v>
      </c>
      <c r="CZ12" s="799" t="s">
        <v>788</v>
      </c>
      <c r="DA12" s="799" t="s">
        <v>788</v>
      </c>
      <c r="DB12" s="799" t="s">
        <v>788</v>
      </c>
      <c r="DC12" s="799" t="s">
        <v>788</v>
      </c>
      <c r="DD12" s="799" t="s">
        <v>788</v>
      </c>
      <c r="DE12" s="799" t="s">
        <v>788</v>
      </c>
      <c r="DF12" s="799" t="s">
        <v>788</v>
      </c>
      <c r="DG12" s="799" t="s">
        <v>788</v>
      </c>
      <c r="DH12" s="799" t="s">
        <v>788</v>
      </c>
      <c r="DI12" s="799" t="s">
        <v>788</v>
      </c>
      <c r="DJ12" s="799" t="s">
        <v>788</v>
      </c>
      <c r="DK12" s="799" t="s">
        <v>788</v>
      </c>
      <c r="DL12" s="799" t="s">
        <v>788</v>
      </c>
      <c r="DM12" s="799" t="s">
        <v>788</v>
      </c>
      <c r="DN12" s="799" t="s">
        <v>788</v>
      </c>
      <c r="DO12" s="799" t="s">
        <v>788</v>
      </c>
      <c r="DP12" s="799" t="s">
        <v>788</v>
      </c>
      <c r="DQ12" s="799" t="s">
        <v>788</v>
      </c>
    </row>
    <row r="13" spans="2:121" x14ac:dyDescent="0.25">
      <c r="B13" s="117" t="s">
        <v>546</v>
      </c>
      <c r="C13" s="264" t="s">
        <v>160</v>
      </c>
      <c r="D13" s="264" t="s">
        <v>160</v>
      </c>
      <c r="E13" s="264" t="s">
        <v>160</v>
      </c>
      <c r="F13" s="264" t="s">
        <v>160</v>
      </c>
      <c r="G13" s="264" t="s">
        <v>160</v>
      </c>
      <c r="H13" s="264" t="s">
        <v>160</v>
      </c>
      <c r="I13" s="264" t="s">
        <v>160</v>
      </c>
      <c r="J13" s="264" t="s">
        <v>160</v>
      </c>
      <c r="K13" s="264" t="s">
        <v>160</v>
      </c>
      <c r="L13" s="264" t="s">
        <v>160</v>
      </c>
      <c r="M13" s="264" t="s">
        <v>160</v>
      </c>
      <c r="N13" s="264" t="s">
        <v>160</v>
      </c>
      <c r="O13" s="264" t="s">
        <v>160</v>
      </c>
      <c r="P13" s="264" t="s">
        <v>160</v>
      </c>
      <c r="Q13" s="264" t="s">
        <v>160</v>
      </c>
      <c r="R13" s="264" t="s">
        <v>160</v>
      </c>
      <c r="S13" s="264" t="s">
        <v>160</v>
      </c>
      <c r="T13" s="264" t="s">
        <v>160</v>
      </c>
      <c r="U13" s="264" t="s">
        <v>160</v>
      </c>
      <c r="V13" s="264" t="s">
        <v>160</v>
      </c>
      <c r="W13" s="264" t="s">
        <v>160</v>
      </c>
      <c r="X13" s="264" t="s">
        <v>160</v>
      </c>
      <c r="Y13" s="264" t="s">
        <v>160</v>
      </c>
      <c r="Z13" s="675" t="s">
        <v>160</v>
      </c>
      <c r="AA13" s="264" t="s">
        <v>160</v>
      </c>
      <c r="AB13" s="264" t="s">
        <v>160</v>
      </c>
      <c r="AC13" s="264" t="s">
        <v>160</v>
      </c>
      <c r="AD13" s="264" t="s">
        <v>160</v>
      </c>
      <c r="AE13" s="264" t="s">
        <v>160</v>
      </c>
      <c r="AF13" s="681" t="s">
        <v>785</v>
      </c>
      <c r="AG13" s="681" t="s">
        <v>785</v>
      </c>
      <c r="AH13" s="681" t="s">
        <v>785</v>
      </c>
      <c r="AI13" s="681" t="s">
        <v>785</v>
      </c>
      <c r="AJ13" s="681" t="s">
        <v>785</v>
      </c>
      <c r="AK13" s="681" t="s">
        <v>785</v>
      </c>
      <c r="AL13" s="681" t="s">
        <v>785</v>
      </c>
      <c r="AM13" s="681" t="s">
        <v>785</v>
      </c>
      <c r="AN13" s="681" t="s">
        <v>785</v>
      </c>
      <c r="AO13" s="681" t="s">
        <v>785</v>
      </c>
      <c r="AP13" s="681" t="s">
        <v>785</v>
      </c>
      <c r="AQ13" s="681" t="s">
        <v>785</v>
      </c>
      <c r="AR13" s="681" t="s">
        <v>785</v>
      </c>
      <c r="AS13" s="681" t="s">
        <v>785</v>
      </c>
      <c r="AT13" s="799" t="s">
        <v>785</v>
      </c>
      <c r="AU13" s="799" t="s">
        <v>785</v>
      </c>
      <c r="AV13" s="915" t="s">
        <v>785</v>
      </c>
      <c r="AW13" s="799" t="s">
        <v>785</v>
      </c>
      <c r="AX13" s="799" t="s">
        <v>785</v>
      </c>
      <c r="AY13" s="799" t="s">
        <v>785</v>
      </c>
      <c r="AZ13" s="799" t="s">
        <v>785</v>
      </c>
      <c r="BA13" s="799" t="s">
        <v>785</v>
      </c>
      <c r="BB13" s="799" t="s">
        <v>785</v>
      </c>
      <c r="BC13" s="799" t="s">
        <v>785</v>
      </c>
      <c r="BD13" s="799" t="s">
        <v>785</v>
      </c>
      <c r="BE13" s="799" t="s">
        <v>785</v>
      </c>
      <c r="BF13" s="799" t="s">
        <v>785</v>
      </c>
      <c r="BG13" s="799" t="s">
        <v>785</v>
      </c>
      <c r="BH13" s="799" t="s">
        <v>785</v>
      </c>
      <c r="BI13" s="799" t="s">
        <v>785</v>
      </c>
      <c r="BJ13" s="799" t="s">
        <v>785</v>
      </c>
      <c r="BK13" s="799" t="s">
        <v>785</v>
      </c>
      <c r="BL13" s="799" t="s">
        <v>785</v>
      </c>
      <c r="BM13" s="799" t="s">
        <v>785</v>
      </c>
      <c r="BN13" s="799" t="s">
        <v>785</v>
      </c>
      <c r="BO13" s="799" t="s">
        <v>785</v>
      </c>
      <c r="BP13" s="799" t="s">
        <v>785</v>
      </c>
      <c r="BQ13" s="799" t="s">
        <v>785</v>
      </c>
      <c r="BR13" s="799" t="s">
        <v>785</v>
      </c>
      <c r="BS13" s="799" t="s">
        <v>785</v>
      </c>
      <c r="BT13" s="799" t="s">
        <v>785</v>
      </c>
      <c r="BU13" s="799" t="s">
        <v>785</v>
      </c>
      <c r="BV13" s="799" t="s">
        <v>785</v>
      </c>
      <c r="BW13" s="799" t="s">
        <v>785</v>
      </c>
      <c r="BX13" s="799" t="s">
        <v>785</v>
      </c>
      <c r="BY13" s="799" t="s">
        <v>785</v>
      </c>
      <c r="BZ13" s="799" t="s">
        <v>785</v>
      </c>
      <c r="CA13" s="799" t="s">
        <v>785</v>
      </c>
      <c r="CB13" s="799" t="s">
        <v>785</v>
      </c>
      <c r="CC13" s="799" t="s">
        <v>785</v>
      </c>
      <c r="CD13" s="799" t="s">
        <v>785</v>
      </c>
      <c r="CE13" s="799" t="s">
        <v>785</v>
      </c>
      <c r="CF13" s="799" t="s">
        <v>785</v>
      </c>
      <c r="CG13" s="799" t="s">
        <v>785</v>
      </c>
      <c r="CH13" s="799" t="s">
        <v>785</v>
      </c>
      <c r="CI13" s="799" t="s">
        <v>785</v>
      </c>
      <c r="CJ13" s="799" t="s">
        <v>785</v>
      </c>
      <c r="CK13" s="799" t="s">
        <v>785</v>
      </c>
      <c r="CL13" s="799" t="s">
        <v>785</v>
      </c>
      <c r="CM13" s="799" t="s">
        <v>785</v>
      </c>
      <c r="CN13" s="799" t="s">
        <v>785</v>
      </c>
      <c r="CO13" s="799" t="s">
        <v>785</v>
      </c>
      <c r="CP13" s="799" t="s">
        <v>785</v>
      </c>
      <c r="CQ13" s="799" t="s">
        <v>785</v>
      </c>
      <c r="CR13" s="799" t="s">
        <v>785</v>
      </c>
      <c r="CS13" s="799" t="s">
        <v>785</v>
      </c>
      <c r="CT13" s="799" t="s">
        <v>785</v>
      </c>
      <c r="CU13" s="799" t="s">
        <v>785</v>
      </c>
      <c r="CV13" s="933" t="s">
        <v>788</v>
      </c>
      <c r="CW13" s="799" t="s">
        <v>788</v>
      </c>
      <c r="CX13" s="799" t="s">
        <v>788</v>
      </c>
      <c r="CY13" s="799" t="s">
        <v>788</v>
      </c>
      <c r="CZ13" s="799" t="s">
        <v>160</v>
      </c>
      <c r="DA13" s="799" t="s">
        <v>160</v>
      </c>
      <c r="DB13" s="799" t="s">
        <v>160</v>
      </c>
      <c r="DC13" s="799" t="s">
        <v>160</v>
      </c>
      <c r="DD13" s="799" t="s">
        <v>160</v>
      </c>
      <c r="DE13" s="799" t="s">
        <v>160</v>
      </c>
      <c r="DF13" s="799" t="s">
        <v>160</v>
      </c>
      <c r="DG13" s="799" t="s">
        <v>160</v>
      </c>
      <c r="DH13" s="799" t="s">
        <v>160</v>
      </c>
      <c r="DI13" s="799" t="s">
        <v>160</v>
      </c>
      <c r="DJ13" s="799" t="s">
        <v>160</v>
      </c>
      <c r="DK13" s="799" t="s">
        <v>160</v>
      </c>
      <c r="DL13" s="799" t="s">
        <v>160</v>
      </c>
      <c r="DM13" s="799" t="s">
        <v>160</v>
      </c>
      <c r="DN13" s="799" t="s">
        <v>160</v>
      </c>
      <c r="DO13" s="799" t="s">
        <v>160</v>
      </c>
      <c r="DP13" s="799" t="s">
        <v>160</v>
      </c>
      <c r="DQ13" s="799" t="s">
        <v>160</v>
      </c>
    </row>
    <row r="14" spans="2:121" x14ac:dyDescent="0.25">
      <c r="B14" s="117" t="s">
        <v>574</v>
      </c>
      <c r="C14" s="264" t="s">
        <v>160</v>
      </c>
      <c r="D14" s="264" t="s">
        <v>160</v>
      </c>
      <c r="E14" s="264" t="s">
        <v>160</v>
      </c>
      <c r="F14" s="264" t="s">
        <v>160</v>
      </c>
      <c r="G14" s="264" t="s">
        <v>160</v>
      </c>
      <c r="H14" s="264" t="s">
        <v>160</v>
      </c>
      <c r="I14" s="264" t="s">
        <v>160</v>
      </c>
      <c r="J14" s="264" t="s">
        <v>160</v>
      </c>
      <c r="K14" s="264" t="s">
        <v>160</v>
      </c>
      <c r="L14" s="264" t="s">
        <v>160</v>
      </c>
      <c r="M14" s="264" t="s">
        <v>160</v>
      </c>
      <c r="N14" s="264" t="s">
        <v>160</v>
      </c>
      <c r="O14" s="264" t="s">
        <v>160</v>
      </c>
      <c r="P14" s="264" t="s">
        <v>160</v>
      </c>
      <c r="Q14" s="264" t="s">
        <v>160</v>
      </c>
      <c r="R14" s="264" t="s">
        <v>160</v>
      </c>
      <c r="S14" s="264" t="s">
        <v>160</v>
      </c>
      <c r="T14" s="264" t="s">
        <v>160</v>
      </c>
      <c r="U14" s="264" t="s">
        <v>160</v>
      </c>
      <c r="V14" s="264" t="s">
        <v>160</v>
      </c>
      <c r="W14" s="675" t="s">
        <v>160</v>
      </c>
      <c r="X14" s="675" t="s">
        <v>160</v>
      </c>
      <c r="Y14" s="675" t="s">
        <v>160</v>
      </c>
      <c r="Z14" s="675" t="s">
        <v>160</v>
      </c>
      <c r="AA14" s="675" t="s">
        <v>160</v>
      </c>
      <c r="AB14" s="675" t="s">
        <v>160</v>
      </c>
      <c r="AC14" s="675" t="s">
        <v>160</v>
      </c>
      <c r="AD14" s="675" t="s">
        <v>160</v>
      </c>
      <c r="AE14" s="675" t="s">
        <v>160</v>
      </c>
      <c r="AF14" s="681" t="s">
        <v>788</v>
      </c>
      <c r="AG14" s="681" t="s">
        <v>788</v>
      </c>
      <c r="AH14" s="681" t="s">
        <v>788</v>
      </c>
      <c r="AI14" s="681" t="s">
        <v>788</v>
      </c>
      <c r="AJ14" s="681" t="s">
        <v>788</v>
      </c>
      <c r="AK14" s="681" t="s">
        <v>787</v>
      </c>
      <c r="AL14" s="681" t="s">
        <v>787</v>
      </c>
      <c r="AM14" s="681" t="s">
        <v>787</v>
      </c>
      <c r="AN14" s="681" t="s">
        <v>160</v>
      </c>
      <c r="AO14" s="681" t="s">
        <v>160</v>
      </c>
      <c r="AP14" s="681" t="s">
        <v>160</v>
      </c>
      <c r="AQ14" s="681" t="s">
        <v>787</v>
      </c>
      <c r="AR14" s="681" t="s">
        <v>787</v>
      </c>
      <c r="AS14" s="681" t="s">
        <v>787</v>
      </c>
      <c r="AT14" s="799" t="s">
        <v>787</v>
      </c>
      <c r="AU14" s="799" t="s">
        <v>787</v>
      </c>
      <c r="AV14" s="915" t="s">
        <v>787</v>
      </c>
      <c r="AW14" s="799" t="s">
        <v>787</v>
      </c>
      <c r="AX14" s="799" t="s">
        <v>787</v>
      </c>
      <c r="AY14" s="799" t="s">
        <v>787</v>
      </c>
      <c r="AZ14" s="799" t="s">
        <v>787</v>
      </c>
      <c r="BA14" s="799" t="s">
        <v>787</v>
      </c>
      <c r="BB14" s="799" t="s">
        <v>787</v>
      </c>
      <c r="BC14" s="799" t="s">
        <v>787</v>
      </c>
      <c r="BD14" s="799" t="s">
        <v>787</v>
      </c>
      <c r="BE14" s="799" t="s">
        <v>787</v>
      </c>
      <c r="BF14" s="799" t="s">
        <v>787</v>
      </c>
      <c r="BG14" s="799" t="s">
        <v>787</v>
      </c>
      <c r="BH14" s="799" t="s">
        <v>787</v>
      </c>
      <c r="BI14" s="799" t="s">
        <v>787</v>
      </c>
      <c r="BJ14" s="799" t="s">
        <v>787</v>
      </c>
      <c r="BK14" s="799" t="s">
        <v>787</v>
      </c>
      <c r="BL14" s="799" t="s">
        <v>787</v>
      </c>
      <c r="BM14" s="799" t="s">
        <v>787</v>
      </c>
      <c r="BN14" s="799" t="s">
        <v>787</v>
      </c>
      <c r="BO14" s="799" t="s">
        <v>787</v>
      </c>
      <c r="BP14" s="933" t="s">
        <v>788</v>
      </c>
      <c r="BQ14" s="799" t="s">
        <v>788</v>
      </c>
      <c r="BR14" s="799" t="s">
        <v>788</v>
      </c>
      <c r="BS14" s="799" t="s">
        <v>788</v>
      </c>
      <c r="BT14" s="799" t="s">
        <v>788</v>
      </c>
      <c r="BU14" s="799" t="s">
        <v>788</v>
      </c>
      <c r="BV14" s="799" t="s">
        <v>788</v>
      </c>
      <c r="BW14" s="799" t="s">
        <v>788</v>
      </c>
      <c r="BX14" s="799" t="s">
        <v>788</v>
      </c>
      <c r="BY14" s="927" t="s">
        <v>787</v>
      </c>
      <c r="BZ14" s="799" t="s">
        <v>787</v>
      </c>
      <c r="CA14" s="799" t="s">
        <v>787</v>
      </c>
      <c r="CB14" s="799" t="s">
        <v>787</v>
      </c>
      <c r="CC14" s="799" t="s">
        <v>787</v>
      </c>
      <c r="CD14" s="799" t="s">
        <v>787</v>
      </c>
      <c r="CE14" s="799" t="s">
        <v>787</v>
      </c>
      <c r="CF14" s="799" t="s">
        <v>787</v>
      </c>
      <c r="CG14" s="799" t="s">
        <v>787</v>
      </c>
      <c r="CH14" s="799" t="s">
        <v>787</v>
      </c>
      <c r="CI14" s="799" t="s">
        <v>787</v>
      </c>
      <c r="CJ14" s="799" t="s">
        <v>160</v>
      </c>
      <c r="CK14" s="799" t="s">
        <v>160</v>
      </c>
      <c r="CL14" s="799" t="s">
        <v>160</v>
      </c>
      <c r="CM14" s="799" t="s">
        <v>160</v>
      </c>
      <c r="CN14" s="799" t="s">
        <v>160</v>
      </c>
      <c r="CO14" s="799" t="s">
        <v>160</v>
      </c>
      <c r="CP14" s="799" t="s">
        <v>160</v>
      </c>
      <c r="CQ14" s="799" t="s">
        <v>160</v>
      </c>
      <c r="CR14" s="799" t="s">
        <v>160</v>
      </c>
      <c r="CS14" s="799" t="s">
        <v>160</v>
      </c>
      <c r="CT14" s="799" t="s">
        <v>160</v>
      </c>
      <c r="CU14" s="799" t="s">
        <v>160</v>
      </c>
      <c r="CV14" s="799" t="s">
        <v>160</v>
      </c>
      <c r="CW14" s="799" t="s">
        <v>160</v>
      </c>
      <c r="CX14" s="799" t="s">
        <v>160</v>
      </c>
      <c r="CY14" s="799" t="s">
        <v>160</v>
      </c>
      <c r="CZ14" s="799" t="s">
        <v>160</v>
      </c>
      <c r="DA14" s="799" t="s">
        <v>160</v>
      </c>
      <c r="DB14" s="799" t="s">
        <v>160</v>
      </c>
      <c r="DC14" s="799" t="s">
        <v>160</v>
      </c>
      <c r="DD14" s="799" t="s">
        <v>160</v>
      </c>
      <c r="DE14" s="799" t="s">
        <v>160</v>
      </c>
      <c r="DF14" s="799" t="s">
        <v>160</v>
      </c>
      <c r="DG14" s="799" t="s">
        <v>160</v>
      </c>
      <c r="DH14" s="799" t="s">
        <v>160</v>
      </c>
      <c r="DI14" s="799" t="s">
        <v>160</v>
      </c>
      <c r="DJ14" s="799" t="s">
        <v>160</v>
      </c>
      <c r="DK14" s="799" t="s">
        <v>160</v>
      </c>
      <c r="DL14" s="799" t="s">
        <v>160</v>
      </c>
      <c r="DM14" s="799" t="s">
        <v>160</v>
      </c>
      <c r="DN14" s="799" t="s">
        <v>160</v>
      </c>
      <c r="DO14" s="799" t="s">
        <v>160</v>
      </c>
      <c r="DP14" s="799" t="s">
        <v>160</v>
      </c>
      <c r="DQ14" s="799" t="s">
        <v>160</v>
      </c>
    </row>
    <row r="15" spans="2:121" x14ac:dyDescent="0.25">
      <c r="B15" s="117" t="s">
        <v>547</v>
      </c>
      <c r="C15" s="264" t="s">
        <v>160</v>
      </c>
      <c r="D15" s="264" t="s">
        <v>160</v>
      </c>
      <c r="E15" s="264" t="s">
        <v>160</v>
      </c>
      <c r="F15" s="264" t="s">
        <v>160</v>
      </c>
      <c r="G15" s="264" t="s">
        <v>160</v>
      </c>
      <c r="H15" s="264" t="s">
        <v>160</v>
      </c>
      <c r="I15" s="264" t="s">
        <v>160</v>
      </c>
      <c r="J15" s="264" t="s">
        <v>160</v>
      </c>
      <c r="K15" s="264" t="s">
        <v>160</v>
      </c>
      <c r="L15" s="264" t="s">
        <v>160</v>
      </c>
      <c r="M15" s="264" t="s">
        <v>160</v>
      </c>
      <c r="N15" s="264" t="s">
        <v>160</v>
      </c>
      <c r="O15" s="264" t="s">
        <v>160</v>
      </c>
      <c r="P15" s="264" t="s">
        <v>160</v>
      </c>
      <c r="Q15" s="264" t="s">
        <v>160</v>
      </c>
      <c r="R15" s="264" t="s">
        <v>160</v>
      </c>
      <c r="S15" s="264" t="s">
        <v>160</v>
      </c>
      <c r="T15" s="264" t="s">
        <v>160</v>
      </c>
      <c r="U15" s="264" t="s">
        <v>160</v>
      </c>
      <c r="V15" s="675" t="s">
        <v>160</v>
      </c>
      <c r="W15" s="675" t="s">
        <v>160</v>
      </c>
      <c r="X15" s="675" t="s">
        <v>160</v>
      </c>
      <c r="Y15" s="675" t="s">
        <v>160</v>
      </c>
      <c r="Z15" s="675" t="s">
        <v>160</v>
      </c>
      <c r="AA15" s="675" t="s">
        <v>160</v>
      </c>
      <c r="AB15" s="675" t="s">
        <v>160</v>
      </c>
      <c r="AC15" s="675" t="s">
        <v>160</v>
      </c>
      <c r="AD15" s="675" t="s">
        <v>160</v>
      </c>
      <c r="AE15" s="675" t="s">
        <v>160</v>
      </c>
      <c r="AF15" s="681" t="s">
        <v>787</v>
      </c>
      <c r="AG15" s="681" t="s">
        <v>787</v>
      </c>
      <c r="AH15" s="681" t="s">
        <v>787</v>
      </c>
      <c r="AI15" s="681" t="s">
        <v>787</v>
      </c>
      <c r="AJ15" s="681" t="s">
        <v>787</v>
      </c>
      <c r="AK15" s="681" t="s">
        <v>787</v>
      </c>
      <c r="AL15" s="681" t="s">
        <v>787</v>
      </c>
      <c r="AM15" s="681" t="s">
        <v>787</v>
      </c>
      <c r="AN15" s="681" t="s">
        <v>787</v>
      </c>
      <c r="AO15" s="681" t="s">
        <v>787</v>
      </c>
      <c r="AP15" s="766" t="s">
        <v>862</v>
      </c>
      <c r="AQ15" s="681" t="s">
        <v>862</v>
      </c>
      <c r="AR15" s="681" t="s">
        <v>862</v>
      </c>
      <c r="AS15" s="681" t="s">
        <v>862</v>
      </c>
      <c r="AT15" s="799" t="s">
        <v>862</v>
      </c>
      <c r="AU15" s="799" t="s">
        <v>862</v>
      </c>
      <c r="AV15" s="915" t="s">
        <v>862</v>
      </c>
      <c r="AW15" s="799" t="s">
        <v>862</v>
      </c>
      <c r="AX15" s="799" t="s">
        <v>862</v>
      </c>
      <c r="AY15" s="799" t="s">
        <v>862</v>
      </c>
      <c r="AZ15" s="799" t="s">
        <v>862</v>
      </c>
      <c r="BA15" s="799" t="s">
        <v>862</v>
      </c>
      <c r="BB15" s="799" t="s">
        <v>862</v>
      </c>
      <c r="BC15" s="799" t="s">
        <v>862</v>
      </c>
      <c r="BD15" s="799" t="s">
        <v>862</v>
      </c>
      <c r="BE15" s="799" t="s">
        <v>862</v>
      </c>
      <c r="BF15" s="799" t="s">
        <v>862</v>
      </c>
      <c r="BG15" s="799" t="s">
        <v>862</v>
      </c>
      <c r="BH15" s="799" t="s">
        <v>862</v>
      </c>
      <c r="BI15" s="799" t="s">
        <v>862</v>
      </c>
      <c r="BJ15" s="799" t="s">
        <v>862</v>
      </c>
      <c r="BK15" s="799" t="s">
        <v>862</v>
      </c>
      <c r="BL15" s="799" t="s">
        <v>862</v>
      </c>
      <c r="BM15" s="799" t="s">
        <v>862</v>
      </c>
      <c r="BN15" s="799" t="s">
        <v>862</v>
      </c>
      <c r="BO15" s="799" t="s">
        <v>862</v>
      </c>
      <c r="BP15" s="799" t="s">
        <v>862</v>
      </c>
      <c r="BQ15" s="799" t="s">
        <v>862</v>
      </c>
      <c r="BR15" s="799" t="s">
        <v>862</v>
      </c>
      <c r="BS15" s="799" t="s">
        <v>862</v>
      </c>
      <c r="BT15" s="799" t="s">
        <v>862</v>
      </c>
      <c r="BU15" s="799" t="s">
        <v>862</v>
      </c>
      <c r="BV15" s="799" t="s">
        <v>862</v>
      </c>
      <c r="BW15" s="799" t="s">
        <v>862</v>
      </c>
      <c r="BX15" s="799" t="s">
        <v>862</v>
      </c>
      <c r="BY15" s="799" t="s">
        <v>787</v>
      </c>
      <c r="BZ15" s="799" t="s">
        <v>787</v>
      </c>
      <c r="CA15" s="799" t="s">
        <v>787</v>
      </c>
      <c r="CB15" s="799" t="s">
        <v>787</v>
      </c>
      <c r="CC15" s="799" t="s">
        <v>787</v>
      </c>
      <c r="CD15" s="799" t="s">
        <v>787</v>
      </c>
      <c r="CE15" s="933" t="s">
        <v>788</v>
      </c>
      <c r="CF15" s="799" t="s">
        <v>788</v>
      </c>
      <c r="CG15" s="799" t="s">
        <v>788</v>
      </c>
      <c r="CH15" s="799" t="s">
        <v>788</v>
      </c>
      <c r="CI15" s="799" t="s">
        <v>788</v>
      </c>
      <c r="CJ15" s="799" t="s">
        <v>788</v>
      </c>
      <c r="CK15" s="799" t="s">
        <v>788</v>
      </c>
      <c r="CL15" s="799" t="s">
        <v>788</v>
      </c>
      <c r="CM15" s="799" t="s">
        <v>788</v>
      </c>
      <c r="CN15" s="799" t="s">
        <v>788</v>
      </c>
      <c r="CO15" s="927" t="s">
        <v>787</v>
      </c>
      <c r="CP15" s="799" t="s">
        <v>787</v>
      </c>
      <c r="CQ15" s="799" t="s">
        <v>787</v>
      </c>
      <c r="CR15" s="799" t="s">
        <v>787</v>
      </c>
      <c r="CS15" s="799" t="s">
        <v>787</v>
      </c>
      <c r="CT15" s="799" t="s">
        <v>787</v>
      </c>
      <c r="CU15" s="799" t="s">
        <v>787</v>
      </c>
      <c r="CV15" s="799" t="s">
        <v>787</v>
      </c>
      <c r="CW15" s="799" t="s">
        <v>787</v>
      </c>
      <c r="CX15" s="799" t="s">
        <v>787</v>
      </c>
      <c r="CY15" s="799" t="s">
        <v>787</v>
      </c>
      <c r="CZ15" s="799" t="s">
        <v>787</v>
      </c>
      <c r="DA15" s="799" t="s">
        <v>787</v>
      </c>
      <c r="DB15" s="799" t="s">
        <v>787</v>
      </c>
      <c r="DC15" s="799" t="s">
        <v>787</v>
      </c>
      <c r="DD15" s="799" t="s">
        <v>787</v>
      </c>
      <c r="DE15" s="799" t="s">
        <v>787</v>
      </c>
      <c r="DF15" s="799" t="s">
        <v>787</v>
      </c>
      <c r="DG15" s="799" t="s">
        <v>787</v>
      </c>
      <c r="DH15" s="799" t="s">
        <v>787</v>
      </c>
      <c r="DI15" s="799" t="s">
        <v>787</v>
      </c>
      <c r="DJ15" s="799" t="s">
        <v>787</v>
      </c>
      <c r="DK15" s="799" t="s">
        <v>787</v>
      </c>
      <c r="DL15" s="799" t="s">
        <v>787</v>
      </c>
      <c r="DM15" s="799" t="s">
        <v>787</v>
      </c>
      <c r="DN15" s="799" t="s">
        <v>787</v>
      </c>
      <c r="DO15" s="799" t="s">
        <v>787</v>
      </c>
      <c r="DP15" s="799" t="s">
        <v>787</v>
      </c>
      <c r="DQ15" s="799" t="s">
        <v>787</v>
      </c>
    </row>
    <row r="16" spans="2:121" x14ac:dyDescent="0.25">
      <c r="B16" s="117" t="s">
        <v>1150</v>
      </c>
      <c r="C16" s="264" t="s">
        <v>160</v>
      </c>
      <c r="D16" s="264" t="s">
        <v>160</v>
      </c>
      <c r="E16" s="264" t="s">
        <v>160</v>
      </c>
      <c r="F16" s="264" t="s">
        <v>160</v>
      </c>
      <c r="G16" s="264" t="s">
        <v>160</v>
      </c>
      <c r="H16" s="264" t="s">
        <v>160</v>
      </c>
      <c r="I16" s="264" t="s">
        <v>160</v>
      </c>
      <c r="J16" s="264" t="s">
        <v>160</v>
      </c>
      <c r="K16" s="264" t="s">
        <v>160</v>
      </c>
      <c r="L16" s="264" t="s">
        <v>160</v>
      </c>
      <c r="M16" s="264" t="s">
        <v>160</v>
      </c>
      <c r="N16" s="264" t="s">
        <v>160</v>
      </c>
      <c r="O16" s="264" t="s">
        <v>160</v>
      </c>
      <c r="P16" s="264" t="s">
        <v>160</v>
      </c>
      <c r="Q16" s="264" t="s">
        <v>160</v>
      </c>
      <c r="R16" s="264" t="s">
        <v>160</v>
      </c>
      <c r="S16" s="264" t="s">
        <v>160</v>
      </c>
      <c r="T16" s="264" t="s">
        <v>160</v>
      </c>
      <c r="U16" s="264" t="s">
        <v>160</v>
      </c>
      <c r="V16" s="675" t="s">
        <v>160</v>
      </c>
      <c r="W16" s="675" t="s">
        <v>160</v>
      </c>
      <c r="X16" s="675" t="s">
        <v>160</v>
      </c>
      <c r="Y16" s="675" t="s">
        <v>160</v>
      </c>
      <c r="Z16" s="675" t="s">
        <v>160</v>
      </c>
      <c r="AA16" s="675" t="s">
        <v>160</v>
      </c>
      <c r="AB16" s="675" t="s">
        <v>160</v>
      </c>
      <c r="AC16" s="675" t="s">
        <v>160</v>
      </c>
      <c r="AD16" s="675" t="s">
        <v>160</v>
      </c>
      <c r="AE16" s="675" t="s">
        <v>160</v>
      </c>
      <c r="AF16" s="681" t="s">
        <v>785</v>
      </c>
      <c r="AG16" s="681" t="s">
        <v>785</v>
      </c>
      <c r="AH16" s="681" t="s">
        <v>785</v>
      </c>
      <c r="AI16" s="681" t="s">
        <v>785</v>
      </c>
      <c r="AJ16" s="681" t="s">
        <v>785</v>
      </c>
      <c r="AK16" s="681" t="s">
        <v>785</v>
      </c>
      <c r="AL16" s="681" t="s">
        <v>785</v>
      </c>
      <c r="AM16" s="681" t="s">
        <v>785</v>
      </c>
      <c r="AN16" s="681" t="s">
        <v>785</v>
      </c>
      <c r="AO16" s="681" t="s">
        <v>785</v>
      </c>
      <c r="AP16" s="681" t="s">
        <v>785</v>
      </c>
      <c r="AQ16" s="681" t="s">
        <v>785</v>
      </c>
      <c r="AR16" s="681" t="s">
        <v>785</v>
      </c>
      <c r="AS16" s="681" t="s">
        <v>785</v>
      </c>
      <c r="AT16" s="799" t="s">
        <v>785</v>
      </c>
      <c r="AU16" s="799" t="s">
        <v>785</v>
      </c>
      <c r="AV16" s="915" t="s">
        <v>785</v>
      </c>
      <c r="AW16" s="799" t="s">
        <v>785</v>
      </c>
      <c r="AX16" s="799" t="s">
        <v>785</v>
      </c>
      <c r="AY16" s="799" t="s">
        <v>787</v>
      </c>
      <c r="AZ16" s="799" t="s">
        <v>787</v>
      </c>
      <c r="BA16" s="799" t="s">
        <v>787</v>
      </c>
      <c r="BB16" s="799" t="s">
        <v>787</v>
      </c>
      <c r="BC16" s="799" t="s">
        <v>787</v>
      </c>
      <c r="BD16" s="927" t="s">
        <v>785</v>
      </c>
      <c r="BE16" s="799" t="s">
        <v>785</v>
      </c>
      <c r="BF16" s="799" t="s">
        <v>785</v>
      </c>
      <c r="BG16" s="799" t="s">
        <v>785</v>
      </c>
      <c r="BH16" s="799" t="s">
        <v>785</v>
      </c>
      <c r="BI16" s="799" t="s">
        <v>785</v>
      </c>
      <c r="BJ16" s="799" t="s">
        <v>785</v>
      </c>
      <c r="BK16" s="799" t="s">
        <v>785</v>
      </c>
      <c r="BL16" s="799" t="s">
        <v>785</v>
      </c>
      <c r="BM16" s="799" t="s">
        <v>785</v>
      </c>
      <c r="BN16" s="799" t="s">
        <v>785</v>
      </c>
      <c r="BO16" s="799" t="s">
        <v>785</v>
      </c>
      <c r="BP16" s="799" t="s">
        <v>785</v>
      </c>
      <c r="BQ16" s="799" t="s">
        <v>785</v>
      </c>
      <c r="BR16" s="799" t="s">
        <v>785</v>
      </c>
      <c r="BS16" s="799" t="s">
        <v>785</v>
      </c>
      <c r="BT16" s="933" t="s">
        <v>788</v>
      </c>
      <c r="BU16" s="799" t="s">
        <v>788</v>
      </c>
      <c r="BV16" s="799" t="s">
        <v>788</v>
      </c>
      <c r="BW16" s="799" t="s">
        <v>788</v>
      </c>
      <c r="BX16" s="799" t="s">
        <v>788</v>
      </c>
      <c r="BY16" s="799" t="s">
        <v>788</v>
      </c>
      <c r="BZ16" s="799" t="s">
        <v>788</v>
      </c>
      <c r="CA16" s="799" t="s">
        <v>788</v>
      </c>
      <c r="CB16" s="799" t="s">
        <v>862</v>
      </c>
      <c r="CC16" s="799" t="s">
        <v>862</v>
      </c>
      <c r="CD16" s="799" t="s">
        <v>862</v>
      </c>
      <c r="CE16" s="799" t="s">
        <v>862</v>
      </c>
      <c r="CF16" s="799" t="s">
        <v>862</v>
      </c>
      <c r="CG16" s="799" t="s">
        <v>862</v>
      </c>
      <c r="CH16" s="799" t="s">
        <v>862</v>
      </c>
      <c r="CI16" s="799" t="s">
        <v>160</v>
      </c>
      <c r="CJ16" s="799" t="s">
        <v>160</v>
      </c>
      <c r="CK16" s="799" t="s">
        <v>160</v>
      </c>
      <c r="CL16" s="799" t="s">
        <v>160</v>
      </c>
      <c r="CM16" s="799" t="s">
        <v>160</v>
      </c>
      <c r="CN16" s="799" t="s">
        <v>160</v>
      </c>
      <c r="CO16" s="799" t="s">
        <v>160</v>
      </c>
      <c r="CP16" s="799" t="s">
        <v>160</v>
      </c>
      <c r="CQ16" s="799" t="s">
        <v>160</v>
      </c>
      <c r="CR16" s="799" t="s">
        <v>160</v>
      </c>
      <c r="CS16" s="799" t="s">
        <v>160</v>
      </c>
      <c r="CT16" s="799" t="s">
        <v>160</v>
      </c>
      <c r="CU16" s="799" t="s">
        <v>160</v>
      </c>
      <c r="CV16" s="799" t="s">
        <v>160</v>
      </c>
      <c r="CW16" s="799" t="s">
        <v>160</v>
      </c>
      <c r="CX16" s="799" t="s">
        <v>160</v>
      </c>
      <c r="CY16" s="799" t="s">
        <v>160</v>
      </c>
      <c r="CZ16" s="799" t="s">
        <v>160</v>
      </c>
      <c r="DA16" s="799" t="s">
        <v>160</v>
      </c>
      <c r="DB16" s="799" t="s">
        <v>160</v>
      </c>
      <c r="DC16" s="799" t="s">
        <v>160</v>
      </c>
      <c r="DD16" s="799" t="s">
        <v>160</v>
      </c>
      <c r="DE16" s="799" t="s">
        <v>160</v>
      </c>
      <c r="DF16" s="799" t="s">
        <v>160</v>
      </c>
      <c r="DG16" s="799" t="s">
        <v>160</v>
      </c>
      <c r="DH16" s="799" t="s">
        <v>160</v>
      </c>
      <c r="DI16" s="799" t="s">
        <v>160</v>
      </c>
      <c r="DJ16" s="799" t="s">
        <v>160</v>
      </c>
      <c r="DK16" s="799" t="s">
        <v>160</v>
      </c>
      <c r="DL16" s="799" t="s">
        <v>160</v>
      </c>
      <c r="DM16" s="799" t="s">
        <v>160</v>
      </c>
      <c r="DN16" s="799" t="s">
        <v>160</v>
      </c>
      <c r="DO16" s="799" t="s">
        <v>160</v>
      </c>
      <c r="DP16" s="799" t="s">
        <v>160</v>
      </c>
      <c r="DQ16" s="799" t="s">
        <v>160</v>
      </c>
    </row>
    <row r="17" spans="1:121" x14ac:dyDescent="0.25">
      <c r="A17" s="992"/>
      <c r="B17" s="990"/>
      <c r="C17" s="991"/>
      <c r="D17" s="991"/>
      <c r="E17" s="991"/>
      <c r="F17" s="991"/>
      <c r="G17" s="991"/>
      <c r="H17" s="991"/>
      <c r="I17" s="991"/>
      <c r="J17" s="991"/>
      <c r="K17" s="991"/>
      <c r="L17" s="992"/>
      <c r="M17" s="992"/>
      <c r="N17" s="992"/>
      <c r="O17" s="992"/>
      <c r="P17" s="992"/>
      <c r="Q17" s="992"/>
      <c r="R17" s="992"/>
      <c r="S17" s="992"/>
      <c r="T17" s="992"/>
      <c r="U17" s="992"/>
      <c r="V17" s="993"/>
      <c r="W17" s="993"/>
      <c r="X17" s="993"/>
      <c r="Y17" s="993"/>
      <c r="Z17" s="993"/>
      <c r="AA17" s="993"/>
      <c r="AB17" s="993"/>
      <c r="AC17" s="993"/>
      <c r="AD17" s="993"/>
      <c r="AE17" s="993"/>
      <c r="AF17" s="993"/>
      <c r="AG17" s="993"/>
      <c r="AH17" s="993"/>
      <c r="AI17" s="993"/>
      <c r="AJ17" s="993"/>
      <c r="AK17" s="993"/>
      <c r="AL17" s="993"/>
      <c r="AM17" s="993"/>
      <c r="AN17" s="993"/>
      <c r="AO17" s="993"/>
      <c r="AP17" s="993"/>
      <c r="AQ17" s="993"/>
      <c r="AR17" s="993"/>
      <c r="AS17" s="993"/>
      <c r="AT17" s="992"/>
      <c r="AU17" s="992"/>
      <c r="AV17" s="994"/>
      <c r="AW17" s="995"/>
      <c r="AX17" s="995"/>
      <c r="AY17" s="995"/>
      <c r="AZ17" s="992"/>
      <c r="BA17" s="992"/>
      <c r="BB17" s="992"/>
      <c r="BC17" s="992"/>
      <c r="BD17" s="992"/>
      <c r="BE17" s="992"/>
      <c r="BF17" s="992"/>
      <c r="BG17" s="992"/>
      <c r="BH17" s="992"/>
      <c r="BI17" s="992"/>
      <c r="BJ17" s="992"/>
      <c r="BK17" s="992"/>
      <c r="BL17" s="992"/>
      <c r="BM17" s="992"/>
      <c r="BN17" s="992"/>
      <c r="BO17" s="992"/>
      <c r="BP17" s="992"/>
      <c r="BQ17" s="992"/>
      <c r="BR17" s="992"/>
      <c r="BS17" s="992"/>
      <c r="BT17" s="992"/>
      <c r="BU17" s="992"/>
      <c r="BV17" s="992"/>
      <c r="BW17" s="992"/>
      <c r="BX17" s="992"/>
      <c r="BY17" s="992"/>
      <c r="BZ17" s="992"/>
      <c r="CA17" s="992"/>
      <c r="CB17" s="992"/>
      <c r="CC17" s="992"/>
      <c r="CD17" s="992"/>
      <c r="CE17" s="992"/>
      <c r="CF17" s="992"/>
      <c r="CG17" s="992"/>
      <c r="CH17" s="992"/>
      <c r="CI17" s="992"/>
      <c r="CJ17" s="992"/>
      <c r="CK17" s="992"/>
      <c r="CL17" s="992"/>
      <c r="CM17" s="992"/>
      <c r="CN17" s="992"/>
      <c r="CO17" s="992"/>
      <c r="CP17" s="992"/>
      <c r="CQ17" s="992"/>
      <c r="CR17" s="992"/>
      <c r="CS17" s="992"/>
      <c r="CT17" s="992"/>
      <c r="CU17" s="992"/>
      <c r="CV17" s="992"/>
      <c r="CW17" s="992"/>
      <c r="CX17" s="992"/>
      <c r="CY17" s="992"/>
      <c r="CZ17" s="992"/>
      <c r="DA17" s="992"/>
      <c r="DB17" s="992"/>
      <c r="DC17" s="992"/>
      <c r="DD17" s="992"/>
      <c r="DE17" s="992"/>
      <c r="DF17" s="992"/>
      <c r="DG17" s="992"/>
      <c r="DH17" s="992"/>
      <c r="DI17" s="992"/>
      <c r="DJ17" s="992"/>
      <c r="DK17" s="992"/>
      <c r="DL17" s="992"/>
      <c r="DM17" s="992"/>
    </row>
    <row r="18" spans="1:121" x14ac:dyDescent="0.25">
      <c r="A18" s="992"/>
      <c r="B18" s="990"/>
      <c r="C18" s="991"/>
      <c r="D18" s="991"/>
      <c r="E18" s="991"/>
      <c r="F18" s="991"/>
      <c r="G18" s="991"/>
      <c r="H18" s="991"/>
      <c r="I18" s="991"/>
      <c r="J18" s="991"/>
      <c r="K18" s="991"/>
      <c r="L18" s="992"/>
      <c r="M18" s="992"/>
      <c r="N18" s="992"/>
      <c r="O18" s="992"/>
      <c r="P18" s="992"/>
      <c r="Q18" s="992"/>
      <c r="R18" s="992"/>
      <c r="S18" s="992"/>
      <c r="T18" s="992"/>
      <c r="U18" s="992"/>
      <c r="V18" s="993"/>
      <c r="W18" s="993"/>
      <c r="X18" s="993"/>
      <c r="Y18" s="993"/>
      <c r="Z18" s="993"/>
      <c r="AA18" s="993"/>
      <c r="AB18" s="993"/>
      <c r="AC18" s="993"/>
      <c r="AD18" s="993"/>
      <c r="AE18" s="993"/>
      <c r="AF18" s="993"/>
      <c r="AG18" s="993"/>
      <c r="AH18" s="993"/>
      <c r="AI18" s="993"/>
      <c r="AJ18" s="993"/>
      <c r="AK18" s="993"/>
      <c r="AL18" s="993"/>
      <c r="AM18" s="993"/>
      <c r="AN18" s="993"/>
      <c r="AO18" s="993"/>
      <c r="AP18" s="993"/>
      <c r="AQ18" s="993"/>
      <c r="AR18" s="993"/>
      <c r="AS18" s="993"/>
      <c r="AT18" s="992"/>
      <c r="AU18" s="992"/>
      <c r="AV18" s="994"/>
      <c r="AW18" s="995"/>
      <c r="AX18" s="995"/>
      <c r="AY18" s="995"/>
      <c r="AZ18" s="992"/>
      <c r="BA18" s="992"/>
      <c r="BB18" s="992"/>
      <c r="BC18" s="992"/>
      <c r="BD18" s="992"/>
      <c r="BE18" s="992"/>
      <c r="BF18" s="992"/>
      <c r="BG18" s="992"/>
      <c r="BH18" s="992"/>
      <c r="BI18" s="992"/>
      <c r="BJ18" s="992"/>
      <c r="BK18" s="992"/>
      <c r="BL18" s="992"/>
      <c r="BM18" s="992"/>
      <c r="BN18" s="992"/>
      <c r="BO18" s="992"/>
      <c r="BP18" s="992"/>
      <c r="BQ18" s="992"/>
      <c r="BR18" s="992"/>
      <c r="BS18" s="992"/>
      <c r="BT18" s="992"/>
      <c r="BU18" s="992"/>
      <c r="BV18" s="992"/>
      <c r="BW18" s="992"/>
      <c r="BX18" s="992"/>
      <c r="BY18" s="992"/>
      <c r="BZ18" s="992"/>
      <c r="CA18" s="992"/>
      <c r="CB18" s="992"/>
      <c r="CC18" s="992"/>
      <c r="CD18" s="992"/>
      <c r="CE18" s="992"/>
      <c r="CF18" s="992"/>
      <c r="CG18" s="992"/>
      <c r="CH18" s="992"/>
      <c r="CI18" s="992"/>
      <c r="CJ18" s="992"/>
      <c r="CK18" s="992"/>
      <c r="CL18" s="992"/>
      <c r="CM18" s="992"/>
      <c r="CN18" s="992"/>
      <c r="CO18" s="992"/>
      <c r="CP18" s="992"/>
      <c r="CQ18" s="992"/>
      <c r="CR18" s="992"/>
      <c r="CS18" s="992"/>
      <c r="CT18" s="992"/>
      <c r="CU18" s="992"/>
      <c r="CV18" s="992"/>
      <c r="CW18" s="992"/>
      <c r="CX18" s="992"/>
      <c r="CY18" s="992"/>
      <c r="CZ18" s="992"/>
      <c r="DA18" s="992"/>
      <c r="DB18" s="992"/>
      <c r="DC18" s="992"/>
      <c r="DD18" s="992"/>
      <c r="DE18" s="992"/>
      <c r="DF18" s="992"/>
      <c r="DG18" s="992"/>
      <c r="DH18" s="992"/>
      <c r="DI18" s="992"/>
      <c r="DJ18" s="992"/>
      <c r="DK18" s="992"/>
      <c r="DL18" s="992"/>
      <c r="DM18" s="992"/>
      <c r="DN18" s="992"/>
      <c r="DO18" s="992"/>
      <c r="DP18" s="992"/>
      <c r="DQ18" s="992"/>
    </row>
    <row r="19" spans="1:121" x14ac:dyDescent="0.25">
      <c r="B19" s="113" t="s">
        <v>1302</v>
      </c>
      <c r="C19" s="263">
        <f t="shared" ref="C19:BN19" si="9">C$11</f>
        <v>42522</v>
      </c>
      <c r="D19" s="263">
        <f t="shared" si="9"/>
        <v>42552</v>
      </c>
      <c r="E19" s="263">
        <f t="shared" si="9"/>
        <v>42583</v>
      </c>
      <c r="F19" s="263">
        <f t="shared" si="9"/>
        <v>42614</v>
      </c>
      <c r="G19" s="263">
        <f t="shared" si="9"/>
        <v>42644</v>
      </c>
      <c r="H19" s="263">
        <f t="shared" si="9"/>
        <v>42675</v>
      </c>
      <c r="I19" s="263">
        <f t="shared" si="9"/>
        <v>42705</v>
      </c>
      <c r="J19" s="263">
        <f t="shared" si="9"/>
        <v>42736</v>
      </c>
      <c r="K19" s="263">
        <f t="shared" si="9"/>
        <v>42767</v>
      </c>
      <c r="L19" s="263">
        <f t="shared" si="9"/>
        <v>42795</v>
      </c>
      <c r="M19" s="263">
        <f t="shared" si="9"/>
        <v>42826</v>
      </c>
      <c r="N19" s="263">
        <f t="shared" si="9"/>
        <v>42856</v>
      </c>
      <c r="O19" s="263">
        <f t="shared" si="9"/>
        <v>42887</v>
      </c>
      <c r="P19" s="263">
        <f t="shared" si="9"/>
        <v>42917</v>
      </c>
      <c r="Q19" s="263">
        <f t="shared" si="9"/>
        <v>42948</v>
      </c>
      <c r="R19" s="263">
        <f t="shared" si="9"/>
        <v>42979</v>
      </c>
      <c r="S19" s="263">
        <f t="shared" si="9"/>
        <v>43009</v>
      </c>
      <c r="T19" s="263">
        <f t="shared" si="9"/>
        <v>43040</v>
      </c>
      <c r="U19" s="263">
        <f t="shared" si="9"/>
        <v>43070</v>
      </c>
      <c r="V19" s="263">
        <f t="shared" si="9"/>
        <v>43101</v>
      </c>
      <c r="W19" s="263">
        <f t="shared" si="9"/>
        <v>43132</v>
      </c>
      <c r="X19" s="263">
        <f t="shared" si="9"/>
        <v>43160</v>
      </c>
      <c r="Y19" s="263">
        <f t="shared" si="9"/>
        <v>43191</v>
      </c>
      <c r="Z19" s="263">
        <f t="shared" si="9"/>
        <v>43221</v>
      </c>
      <c r="AA19" s="263">
        <f t="shared" si="9"/>
        <v>43252</v>
      </c>
      <c r="AB19" s="263">
        <f t="shared" si="9"/>
        <v>43283</v>
      </c>
      <c r="AC19" s="263">
        <f t="shared" si="9"/>
        <v>43314</v>
      </c>
      <c r="AD19" s="263">
        <f t="shared" si="9"/>
        <v>43345</v>
      </c>
      <c r="AE19" s="263">
        <f t="shared" si="9"/>
        <v>43376</v>
      </c>
      <c r="AF19" s="263">
        <f t="shared" si="9"/>
        <v>43407</v>
      </c>
      <c r="AG19" s="263">
        <f t="shared" si="9"/>
        <v>43437</v>
      </c>
      <c r="AH19" s="263">
        <f t="shared" si="9"/>
        <v>43468</v>
      </c>
      <c r="AI19" s="263">
        <f t="shared" si="9"/>
        <v>43499</v>
      </c>
      <c r="AJ19" s="263">
        <f t="shared" si="9"/>
        <v>43527</v>
      </c>
      <c r="AK19" s="263">
        <f t="shared" si="9"/>
        <v>43558</v>
      </c>
      <c r="AL19" s="263">
        <f t="shared" si="9"/>
        <v>43587</v>
      </c>
      <c r="AM19" s="263">
        <f t="shared" si="9"/>
        <v>43618</v>
      </c>
      <c r="AN19" s="263">
        <f t="shared" si="9"/>
        <v>43647</v>
      </c>
      <c r="AO19" s="263">
        <f t="shared" si="9"/>
        <v>43678</v>
      </c>
      <c r="AP19" s="263">
        <f t="shared" si="9"/>
        <v>43709</v>
      </c>
      <c r="AQ19" s="263">
        <f t="shared" si="9"/>
        <v>43739</v>
      </c>
      <c r="AR19" s="263">
        <f t="shared" si="9"/>
        <v>43770</v>
      </c>
      <c r="AS19" s="263">
        <f t="shared" si="9"/>
        <v>43800</v>
      </c>
      <c r="AT19" s="263">
        <f t="shared" si="9"/>
        <v>43831</v>
      </c>
      <c r="AU19" s="263">
        <f t="shared" si="9"/>
        <v>43862</v>
      </c>
      <c r="AV19" s="914">
        <f t="shared" si="9"/>
        <v>43891</v>
      </c>
      <c r="AW19" s="263">
        <f t="shared" si="9"/>
        <v>43922</v>
      </c>
      <c r="AX19" s="263">
        <f t="shared" si="9"/>
        <v>43952</v>
      </c>
      <c r="AY19" s="263">
        <f t="shared" si="9"/>
        <v>43983</v>
      </c>
      <c r="AZ19" s="263">
        <f t="shared" si="9"/>
        <v>44013</v>
      </c>
      <c r="BA19" s="263">
        <f t="shared" si="9"/>
        <v>44044</v>
      </c>
      <c r="BB19" s="263">
        <f t="shared" si="9"/>
        <v>44075</v>
      </c>
      <c r="BC19" s="263">
        <f t="shared" si="9"/>
        <v>44105</v>
      </c>
      <c r="BD19" s="263">
        <f t="shared" si="9"/>
        <v>44136</v>
      </c>
      <c r="BE19" s="263">
        <f t="shared" si="9"/>
        <v>44166</v>
      </c>
      <c r="BF19" s="263">
        <f t="shared" si="9"/>
        <v>44197</v>
      </c>
      <c r="BG19" s="263">
        <f t="shared" si="9"/>
        <v>44228</v>
      </c>
      <c r="BH19" s="263">
        <f t="shared" si="9"/>
        <v>44256</v>
      </c>
      <c r="BI19" s="263">
        <f t="shared" si="9"/>
        <v>44287</v>
      </c>
      <c r="BJ19" s="263">
        <f t="shared" si="9"/>
        <v>44317</v>
      </c>
      <c r="BK19" s="263">
        <f t="shared" si="9"/>
        <v>44348</v>
      </c>
      <c r="BL19" s="263">
        <f t="shared" si="9"/>
        <v>44378</v>
      </c>
      <c r="BM19" s="263">
        <f t="shared" si="9"/>
        <v>44409</v>
      </c>
      <c r="BN19" s="263">
        <f t="shared" si="9"/>
        <v>44440</v>
      </c>
      <c r="BO19" s="263">
        <f t="shared" ref="BO19:DQ19" si="10">BO$11</f>
        <v>44470</v>
      </c>
      <c r="BP19" s="263">
        <f t="shared" si="10"/>
        <v>44501</v>
      </c>
      <c r="BQ19" s="263">
        <f t="shared" si="10"/>
        <v>44531</v>
      </c>
      <c r="BR19" s="263">
        <f t="shared" si="10"/>
        <v>44562</v>
      </c>
      <c r="BS19" s="263">
        <f t="shared" si="10"/>
        <v>44593</v>
      </c>
      <c r="BT19" s="263">
        <f t="shared" si="10"/>
        <v>44622</v>
      </c>
      <c r="BU19" s="263">
        <f t="shared" si="10"/>
        <v>44654</v>
      </c>
      <c r="BV19" s="263">
        <f t="shared" si="10"/>
        <v>44685</v>
      </c>
      <c r="BW19" s="263">
        <f t="shared" si="10"/>
        <v>44716</v>
      </c>
      <c r="BX19" s="263">
        <f t="shared" si="10"/>
        <v>44746</v>
      </c>
      <c r="BY19" s="263">
        <f t="shared" si="10"/>
        <v>44774</v>
      </c>
      <c r="BZ19" s="263">
        <f t="shared" si="10"/>
        <v>44805</v>
      </c>
      <c r="CA19" s="263">
        <f t="shared" si="10"/>
        <v>44835</v>
      </c>
      <c r="CB19" s="263">
        <f t="shared" si="10"/>
        <v>44866</v>
      </c>
      <c r="CC19" s="263">
        <f t="shared" si="10"/>
        <v>44896</v>
      </c>
      <c r="CD19" s="263">
        <f t="shared" si="10"/>
        <v>44927</v>
      </c>
      <c r="CE19" s="263">
        <f t="shared" si="10"/>
        <v>44958</v>
      </c>
      <c r="CF19" s="263">
        <f t="shared" si="10"/>
        <v>44986</v>
      </c>
      <c r="CG19" s="263">
        <f t="shared" si="10"/>
        <v>45017</v>
      </c>
      <c r="CH19" s="263">
        <f t="shared" si="10"/>
        <v>45047</v>
      </c>
      <c r="CI19" s="263">
        <f t="shared" si="10"/>
        <v>45078</v>
      </c>
      <c r="CJ19" s="263">
        <f t="shared" si="10"/>
        <v>45108</v>
      </c>
      <c r="CK19" s="263">
        <f t="shared" si="10"/>
        <v>45139</v>
      </c>
      <c r="CL19" s="263">
        <f t="shared" si="10"/>
        <v>45170</v>
      </c>
      <c r="CM19" s="263">
        <f t="shared" si="10"/>
        <v>45200</v>
      </c>
      <c r="CN19" s="263">
        <f t="shared" si="10"/>
        <v>45231</v>
      </c>
      <c r="CO19" s="263">
        <f t="shared" si="10"/>
        <v>45261</v>
      </c>
      <c r="CP19" s="263">
        <f t="shared" si="10"/>
        <v>45292</v>
      </c>
      <c r="CQ19" s="263">
        <f t="shared" si="10"/>
        <v>45323</v>
      </c>
      <c r="CR19" s="263">
        <f t="shared" si="10"/>
        <v>45352</v>
      </c>
      <c r="CS19" s="263">
        <f t="shared" si="10"/>
        <v>45383</v>
      </c>
      <c r="CT19" s="263">
        <f t="shared" si="10"/>
        <v>45413</v>
      </c>
      <c r="CU19" s="263">
        <f t="shared" si="10"/>
        <v>45444</v>
      </c>
      <c r="CV19" s="263">
        <f t="shared" si="10"/>
        <v>45474</v>
      </c>
      <c r="CW19" s="263">
        <f t="shared" si="10"/>
        <v>45505</v>
      </c>
      <c r="CX19" s="263">
        <f t="shared" si="10"/>
        <v>45536</v>
      </c>
      <c r="CY19" s="263">
        <f t="shared" si="10"/>
        <v>45566</v>
      </c>
      <c r="CZ19" s="263">
        <f t="shared" si="10"/>
        <v>45597</v>
      </c>
      <c r="DA19" s="263">
        <f t="shared" si="10"/>
        <v>45627</v>
      </c>
      <c r="DB19" s="263">
        <f t="shared" si="10"/>
        <v>45658</v>
      </c>
      <c r="DC19" s="263">
        <f t="shared" si="10"/>
        <v>45689</v>
      </c>
      <c r="DD19" s="263">
        <f t="shared" si="10"/>
        <v>45717</v>
      </c>
      <c r="DE19" s="263">
        <f t="shared" si="10"/>
        <v>45748</v>
      </c>
      <c r="DF19" s="263">
        <f t="shared" si="10"/>
        <v>45778</v>
      </c>
      <c r="DG19" s="263">
        <f t="shared" si="10"/>
        <v>45809</v>
      </c>
      <c r="DH19" s="263">
        <v>45839</v>
      </c>
      <c r="DI19" s="263">
        <f t="shared" si="10"/>
        <v>45870</v>
      </c>
      <c r="DJ19" s="263">
        <f t="shared" si="10"/>
        <v>45901</v>
      </c>
      <c r="DK19" s="263">
        <f t="shared" si="10"/>
        <v>45931</v>
      </c>
      <c r="DL19" s="263">
        <f t="shared" si="10"/>
        <v>45962</v>
      </c>
      <c r="DM19" s="263">
        <f t="shared" si="10"/>
        <v>45992</v>
      </c>
      <c r="DN19" s="263">
        <f t="shared" si="10"/>
        <v>46023</v>
      </c>
      <c r="DO19" s="263">
        <f t="shared" si="10"/>
        <v>46054</v>
      </c>
      <c r="DP19" s="263">
        <f t="shared" si="10"/>
        <v>46082</v>
      </c>
      <c r="DQ19" s="263">
        <f t="shared" si="10"/>
        <v>46113</v>
      </c>
    </row>
    <row r="20" spans="1:121" x14ac:dyDescent="0.25">
      <c r="B20" s="117" t="s">
        <v>542</v>
      </c>
      <c r="C20" s="586" t="s">
        <v>160</v>
      </c>
      <c r="D20" s="586" t="s">
        <v>160</v>
      </c>
      <c r="E20" s="586" t="s">
        <v>160</v>
      </c>
      <c r="F20" s="586" t="s">
        <v>160</v>
      </c>
      <c r="G20" s="586" t="s">
        <v>160</v>
      </c>
      <c r="H20" s="586" t="s">
        <v>160</v>
      </c>
      <c r="I20" s="586" t="s">
        <v>160</v>
      </c>
      <c r="J20" s="585" t="s">
        <v>160</v>
      </c>
      <c r="K20" s="585" t="s">
        <v>160</v>
      </c>
      <c r="L20" s="585" t="s">
        <v>160</v>
      </c>
      <c r="M20" s="585" t="s">
        <v>160</v>
      </c>
      <c r="N20" s="585" t="s">
        <v>160</v>
      </c>
      <c r="O20" s="585" t="s">
        <v>160</v>
      </c>
      <c r="P20" s="585" t="s">
        <v>160</v>
      </c>
      <c r="Q20" s="585" t="s">
        <v>160</v>
      </c>
      <c r="R20" s="585" t="s">
        <v>160</v>
      </c>
      <c r="S20" s="585" t="s">
        <v>160</v>
      </c>
      <c r="T20" s="585" t="s">
        <v>160</v>
      </c>
      <c r="U20" s="585" t="s">
        <v>160</v>
      </c>
      <c r="V20" s="585" t="s">
        <v>160</v>
      </c>
      <c r="W20" s="585" t="s">
        <v>160</v>
      </c>
      <c r="X20" s="585" t="s">
        <v>160</v>
      </c>
      <c r="Y20" s="585" t="s">
        <v>160</v>
      </c>
      <c r="Z20" s="585" t="s">
        <v>160</v>
      </c>
      <c r="AA20" s="585" t="s">
        <v>160</v>
      </c>
      <c r="AB20" s="585" t="s">
        <v>160</v>
      </c>
      <c r="AC20" s="585" t="s">
        <v>160</v>
      </c>
      <c r="AD20" s="585" t="s">
        <v>160</v>
      </c>
      <c r="AE20" s="585" t="s">
        <v>160</v>
      </c>
      <c r="AF20" s="585" t="s">
        <v>160</v>
      </c>
      <c r="AG20" s="585" t="s">
        <v>160</v>
      </c>
      <c r="AH20" s="585" t="s">
        <v>160</v>
      </c>
      <c r="AI20" s="585" t="s">
        <v>160</v>
      </c>
      <c r="AJ20" s="585" t="s">
        <v>160</v>
      </c>
      <c r="AK20" s="585" t="s">
        <v>160</v>
      </c>
      <c r="AL20" s="585" t="s">
        <v>160</v>
      </c>
      <c r="AM20" s="585" t="s">
        <v>160</v>
      </c>
      <c r="AN20" s="585" t="s">
        <v>160</v>
      </c>
      <c r="AO20" s="585" t="s">
        <v>160</v>
      </c>
      <c r="AP20" s="585" t="s">
        <v>160</v>
      </c>
      <c r="AQ20" s="585" t="s">
        <v>160</v>
      </c>
      <c r="AR20" s="585" t="s">
        <v>160</v>
      </c>
      <c r="AS20" s="585" t="s">
        <v>160</v>
      </c>
      <c r="AT20" s="585" t="s">
        <v>160</v>
      </c>
      <c r="AU20" s="585" t="s">
        <v>160</v>
      </c>
      <c r="AV20" s="916" t="s">
        <v>160</v>
      </c>
      <c r="AW20" s="585" t="s">
        <v>160</v>
      </c>
      <c r="AX20" s="585" t="s">
        <v>160</v>
      </c>
      <c r="AY20" s="585" t="s">
        <v>160</v>
      </c>
      <c r="AZ20" s="585" t="s">
        <v>160</v>
      </c>
      <c r="BA20" s="585" t="s">
        <v>160</v>
      </c>
      <c r="BB20" s="585" t="s">
        <v>160</v>
      </c>
      <c r="BC20" s="585" t="s">
        <v>160</v>
      </c>
      <c r="BD20" s="585" t="s">
        <v>160</v>
      </c>
      <c r="BE20" s="585" t="s">
        <v>160</v>
      </c>
      <c r="BF20" s="585" t="s">
        <v>160</v>
      </c>
      <c r="BG20" s="585" t="s">
        <v>160</v>
      </c>
      <c r="BH20" s="585" t="s">
        <v>160</v>
      </c>
      <c r="BI20" s="585" t="s">
        <v>160</v>
      </c>
      <c r="BJ20" s="585" t="s">
        <v>160</v>
      </c>
      <c r="BK20" s="585" t="s">
        <v>160</v>
      </c>
      <c r="BL20" s="585" t="s">
        <v>160</v>
      </c>
      <c r="BM20" s="585" t="s">
        <v>160</v>
      </c>
      <c r="BN20" s="585" t="s">
        <v>160</v>
      </c>
      <c r="BO20" s="585" t="s">
        <v>160</v>
      </c>
      <c r="BP20" s="585" t="s">
        <v>160</v>
      </c>
      <c r="BQ20" s="585" t="s">
        <v>160</v>
      </c>
      <c r="BR20" s="585" t="s">
        <v>160</v>
      </c>
      <c r="BS20" s="585" t="s">
        <v>160</v>
      </c>
      <c r="BT20" s="585" t="s">
        <v>160</v>
      </c>
      <c r="BU20" s="585" t="s">
        <v>160</v>
      </c>
      <c r="BV20" s="585" t="s">
        <v>160</v>
      </c>
      <c r="BW20" s="585" t="s">
        <v>160</v>
      </c>
      <c r="BX20" s="585" t="s">
        <v>160</v>
      </c>
      <c r="BY20" s="585" t="s">
        <v>160</v>
      </c>
      <c r="BZ20" s="585" t="s">
        <v>160</v>
      </c>
      <c r="CA20" s="585" t="s">
        <v>160</v>
      </c>
      <c r="CB20" s="585" t="s">
        <v>160</v>
      </c>
      <c r="CC20" s="585" t="s">
        <v>160</v>
      </c>
      <c r="CD20" s="585" t="s">
        <v>160</v>
      </c>
      <c r="CE20" s="585" t="s">
        <v>160</v>
      </c>
      <c r="CF20" s="585" t="s">
        <v>160</v>
      </c>
      <c r="CG20" s="585" t="s">
        <v>160</v>
      </c>
      <c r="CH20" s="585" t="s">
        <v>160</v>
      </c>
      <c r="CI20" s="585" t="s">
        <v>160</v>
      </c>
      <c r="CJ20" s="585" t="s">
        <v>160</v>
      </c>
      <c r="CK20" s="585" t="s">
        <v>160</v>
      </c>
      <c r="CL20" s="585" t="s">
        <v>160</v>
      </c>
      <c r="CM20" s="585" t="s">
        <v>160</v>
      </c>
      <c r="CN20" s="585" t="s">
        <v>160</v>
      </c>
      <c r="CO20" s="585" t="s">
        <v>160</v>
      </c>
      <c r="CP20" s="585" t="s">
        <v>160</v>
      </c>
      <c r="CQ20" s="585" t="s">
        <v>160</v>
      </c>
      <c r="CR20" s="585" t="s">
        <v>160</v>
      </c>
      <c r="CS20" s="585" t="s">
        <v>160</v>
      </c>
      <c r="CT20" s="585" t="s">
        <v>160</v>
      </c>
      <c r="CU20" s="585" t="s">
        <v>160</v>
      </c>
      <c r="CV20" s="585" t="s">
        <v>160</v>
      </c>
      <c r="CW20" s="585" t="s">
        <v>160</v>
      </c>
      <c r="CX20" s="585" t="s">
        <v>160</v>
      </c>
      <c r="CY20" s="585" t="s">
        <v>160</v>
      </c>
      <c r="CZ20" s="585" t="s">
        <v>160</v>
      </c>
      <c r="DA20" s="585" t="s">
        <v>160</v>
      </c>
      <c r="DB20" s="585" t="s">
        <v>160</v>
      </c>
      <c r="DC20" s="585" t="s">
        <v>160</v>
      </c>
      <c r="DD20" s="585" t="s">
        <v>160</v>
      </c>
      <c r="DE20" s="585" t="s">
        <v>160</v>
      </c>
      <c r="DF20" s="679">
        <v>2464</v>
      </c>
      <c r="DG20" s="585">
        <v>2464</v>
      </c>
      <c r="DH20" s="585">
        <v>2464</v>
      </c>
      <c r="DI20" s="585">
        <v>2464</v>
      </c>
      <c r="DJ20" s="585">
        <v>2464</v>
      </c>
      <c r="DK20" s="585">
        <v>2464</v>
      </c>
      <c r="DL20" s="585">
        <v>2464</v>
      </c>
      <c r="DM20" s="679">
        <v>2375</v>
      </c>
      <c r="DN20" s="585">
        <v>2375</v>
      </c>
      <c r="DO20" s="585">
        <v>2375</v>
      </c>
      <c r="DP20" s="585">
        <v>2375</v>
      </c>
      <c r="DQ20" s="585">
        <v>2375</v>
      </c>
    </row>
    <row r="21" spans="1:121" x14ac:dyDescent="0.25">
      <c r="B21" s="117" t="s">
        <v>547</v>
      </c>
      <c r="C21" s="265" t="s">
        <v>160</v>
      </c>
      <c r="D21" s="265" t="s">
        <v>160</v>
      </c>
      <c r="E21" s="265" t="s">
        <v>160</v>
      </c>
      <c r="F21" s="265" t="s">
        <v>160</v>
      </c>
      <c r="G21" s="265" t="s">
        <v>160</v>
      </c>
      <c r="H21" s="265" t="s">
        <v>160</v>
      </c>
      <c r="I21" s="265" t="s">
        <v>160</v>
      </c>
      <c r="J21" s="337" t="s">
        <v>160</v>
      </c>
      <c r="K21" s="337" t="s">
        <v>160</v>
      </c>
      <c r="L21" s="337" t="s">
        <v>160</v>
      </c>
      <c r="M21" s="337" t="s">
        <v>160</v>
      </c>
      <c r="N21" s="337" t="s">
        <v>160</v>
      </c>
      <c r="O21" s="337" t="s">
        <v>160</v>
      </c>
      <c r="P21" s="337" t="s">
        <v>160</v>
      </c>
      <c r="Q21" s="337" t="s">
        <v>160</v>
      </c>
      <c r="R21" s="337" t="s">
        <v>160</v>
      </c>
      <c r="S21" s="337" t="s">
        <v>160</v>
      </c>
      <c r="T21" s="337" t="s">
        <v>160</v>
      </c>
      <c r="U21" s="337" t="s">
        <v>160</v>
      </c>
      <c r="V21" s="337" t="s">
        <v>160</v>
      </c>
      <c r="W21" s="337" t="s">
        <v>160</v>
      </c>
      <c r="X21" s="337" t="s">
        <v>160</v>
      </c>
      <c r="Y21" s="337" t="s">
        <v>160</v>
      </c>
      <c r="Z21" s="337" t="s">
        <v>160</v>
      </c>
      <c r="AA21" s="337" t="s">
        <v>160</v>
      </c>
      <c r="AB21" s="337" t="s">
        <v>160</v>
      </c>
      <c r="AC21" s="337" t="s">
        <v>160</v>
      </c>
      <c r="AD21" s="337" t="s">
        <v>160</v>
      </c>
      <c r="AE21" s="337" t="s">
        <v>160</v>
      </c>
      <c r="AF21" s="337" t="s">
        <v>160</v>
      </c>
      <c r="AG21" s="337" t="s">
        <v>160</v>
      </c>
      <c r="AH21" s="337" t="s">
        <v>160</v>
      </c>
      <c r="AI21" s="337" t="s">
        <v>160</v>
      </c>
      <c r="AJ21" s="337" t="s">
        <v>160</v>
      </c>
      <c r="AK21" s="337" t="s">
        <v>160</v>
      </c>
      <c r="AL21" s="337" t="s">
        <v>160</v>
      </c>
      <c r="AM21" s="337" t="s">
        <v>160</v>
      </c>
      <c r="AN21" s="337" t="s">
        <v>160</v>
      </c>
      <c r="AO21" s="337" t="s">
        <v>160</v>
      </c>
      <c r="AP21" s="337" t="s">
        <v>160</v>
      </c>
      <c r="AQ21" s="337" t="s">
        <v>160</v>
      </c>
      <c r="AR21" s="337" t="s">
        <v>160</v>
      </c>
      <c r="AS21" s="337" t="s">
        <v>160</v>
      </c>
      <c r="AT21" s="337" t="s">
        <v>160</v>
      </c>
      <c r="AU21" s="337" t="s">
        <v>160</v>
      </c>
      <c r="AV21" s="1158" t="s">
        <v>160</v>
      </c>
      <c r="AW21" s="337" t="s">
        <v>160</v>
      </c>
      <c r="AX21" s="337" t="s">
        <v>160</v>
      </c>
      <c r="AY21" s="337" t="s">
        <v>160</v>
      </c>
      <c r="AZ21" s="337" t="s">
        <v>160</v>
      </c>
      <c r="BA21" s="337" t="s">
        <v>160</v>
      </c>
      <c r="BB21" s="337" t="s">
        <v>160</v>
      </c>
      <c r="BC21" s="337" t="s">
        <v>160</v>
      </c>
      <c r="BD21" s="337" t="s">
        <v>160</v>
      </c>
      <c r="BE21" s="337" t="s">
        <v>160</v>
      </c>
      <c r="BF21" s="337" t="s">
        <v>160</v>
      </c>
      <c r="BG21" s="337" t="s">
        <v>160</v>
      </c>
      <c r="BH21" s="337" t="s">
        <v>160</v>
      </c>
      <c r="BI21" s="337" t="s">
        <v>160</v>
      </c>
      <c r="BJ21" s="337" t="s">
        <v>160</v>
      </c>
      <c r="BK21" s="337" t="s">
        <v>160</v>
      </c>
      <c r="BL21" s="337" t="s">
        <v>160</v>
      </c>
      <c r="BM21" s="337" t="s">
        <v>160</v>
      </c>
      <c r="BN21" s="337" t="s">
        <v>160</v>
      </c>
      <c r="BO21" s="337" t="s">
        <v>160</v>
      </c>
      <c r="BP21" s="337" t="s">
        <v>160</v>
      </c>
      <c r="BQ21" s="337" t="s">
        <v>160</v>
      </c>
      <c r="BR21" s="337" t="s">
        <v>160</v>
      </c>
      <c r="BS21" s="337" t="s">
        <v>160</v>
      </c>
      <c r="BT21" s="337" t="s">
        <v>160</v>
      </c>
      <c r="BU21" s="337" t="s">
        <v>160</v>
      </c>
      <c r="BV21" s="337" t="s">
        <v>160</v>
      </c>
      <c r="BW21" s="337" t="s">
        <v>160</v>
      </c>
      <c r="BX21" s="337" t="s">
        <v>160</v>
      </c>
      <c r="BY21" s="337" t="s">
        <v>160</v>
      </c>
      <c r="BZ21" s="337" t="s">
        <v>160</v>
      </c>
      <c r="CA21" s="337" t="s">
        <v>160</v>
      </c>
      <c r="CB21" s="337" t="s">
        <v>160</v>
      </c>
      <c r="CC21" s="337" t="s">
        <v>160</v>
      </c>
      <c r="CD21" s="337" t="s">
        <v>160</v>
      </c>
      <c r="CE21" s="337" t="s">
        <v>160</v>
      </c>
      <c r="CF21" s="337" t="s">
        <v>160</v>
      </c>
      <c r="CG21" s="337" t="s">
        <v>160</v>
      </c>
      <c r="CH21" s="337" t="s">
        <v>160</v>
      </c>
      <c r="CI21" s="337" t="s">
        <v>160</v>
      </c>
      <c r="CJ21" s="337" t="s">
        <v>160</v>
      </c>
      <c r="CK21" s="337" t="s">
        <v>160</v>
      </c>
      <c r="CL21" s="337" t="s">
        <v>160</v>
      </c>
      <c r="CM21" s="337" t="s">
        <v>160</v>
      </c>
      <c r="CN21" s="337" t="s">
        <v>160</v>
      </c>
      <c r="CO21" s="337" t="s">
        <v>160</v>
      </c>
      <c r="CP21" s="337" t="s">
        <v>160</v>
      </c>
      <c r="CQ21" s="337" t="s">
        <v>160</v>
      </c>
      <c r="CR21" s="337" t="s">
        <v>160</v>
      </c>
      <c r="CS21" s="337" t="s">
        <v>160</v>
      </c>
      <c r="CT21" s="337" t="s">
        <v>160</v>
      </c>
      <c r="CU21" s="337" t="s">
        <v>160</v>
      </c>
      <c r="CV21" s="337" t="s">
        <v>160</v>
      </c>
      <c r="CW21" s="337" t="s">
        <v>160</v>
      </c>
      <c r="CX21" s="337" t="s">
        <v>160</v>
      </c>
      <c r="CY21" s="337">
        <v>2159</v>
      </c>
      <c r="CZ21" s="337">
        <v>2159</v>
      </c>
      <c r="DA21" s="337">
        <v>2159</v>
      </c>
      <c r="DB21" s="679">
        <v>2423</v>
      </c>
      <c r="DC21" s="585">
        <v>2423</v>
      </c>
      <c r="DD21" s="585">
        <v>2423</v>
      </c>
      <c r="DE21" s="585">
        <v>2423</v>
      </c>
      <c r="DF21" s="585">
        <v>2423</v>
      </c>
      <c r="DG21" s="585">
        <v>2423</v>
      </c>
      <c r="DH21" s="585">
        <v>2423</v>
      </c>
      <c r="DI21" s="585">
        <v>2423</v>
      </c>
      <c r="DJ21" s="585">
        <v>2423</v>
      </c>
      <c r="DK21" s="585">
        <v>2423</v>
      </c>
      <c r="DL21" s="585">
        <v>2423</v>
      </c>
      <c r="DM21" s="679">
        <v>2346</v>
      </c>
      <c r="DN21" s="585">
        <v>2346</v>
      </c>
      <c r="DO21" s="585">
        <v>2346</v>
      </c>
      <c r="DP21" s="585">
        <v>2346</v>
      </c>
      <c r="DQ21" s="585">
        <v>2346</v>
      </c>
    </row>
    <row r="22" spans="1:121" x14ac:dyDescent="0.25">
      <c r="A22"/>
      <c r="B22" s="1072" t="s">
        <v>557</v>
      </c>
      <c r="C22" s="1079" t="str">
        <f t="shared" ref="C22:AH22" si="11">IFERROR(AVERAGE(C20:C21),"-")</f>
        <v>-</v>
      </c>
      <c r="D22" s="1079" t="str">
        <f t="shared" si="11"/>
        <v>-</v>
      </c>
      <c r="E22" s="1079" t="str">
        <f t="shared" si="11"/>
        <v>-</v>
      </c>
      <c r="F22" s="1079" t="str">
        <f t="shared" si="11"/>
        <v>-</v>
      </c>
      <c r="G22" s="1079" t="str">
        <f t="shared" si="11"/>
        <v>-</v>
      </c>
      <c r="H22" s="1079" t="str">
        <f t="shared" si="11"/>
        <v>-</v>
      </c>
      <c r="I22" s="1079" t="str">
        <f t="shared" si="11"/>
        <v>-</v>
      </c>
      <c r="J22" s="1079" t="str">
        <f t="shared" si="11"/>
        <v>-</v>
      </c>
      <c r="K22" s="1079" t="str">
        <f t="shared" si="11"/>
        <v>-</v>
      </c>
      <c r="L22" s="1079" t="str">
        <f t="shared" si="11"/>
        <v>-</v>
      </c>
      <c r="M22" s="1079" t="str">
        <f t="shared" si="11"/>
        <v>-</v>
      </c>
      <c r="N22" s="1079" t="str">
        <f t="shared" si="11"/>
        <v>-</v>
      </c>
      <c r="O22" s="1079" t="str">
        <f t="shared" si="11"/>
        <v>-</v>
      </c>
      <c r="P22" s="1079" t="str">
        <f t="shared" si="11"/>
        <v>-</v>
      </c>
      <c r="Q22" s="1079" t="str">
        <f t="shared" si="11"/>
        <v>-</v>
      </c>
      <c r="R22" s="1079" t="str">
        <f t="shared" si="11"/>
        <v>-</v>
      </c>
      <c r="S22" s="1079" t="str">
        <f t="shared" si="11"/>
        <v>-</v>
      </c>
      <c r="T22" s="1079" t="str">
        <f t="shared" si="11"/>
        <v>-</v>
      </c>
      <c r="U22" s="1079" t="str">
        <f t="shared" si="11"/>
        <v>-</v>
      </c>
      <c r="V22" s="1079" t="str">
        <f t="shared" si="11"/>
        <v>-</v>
      </c>
      <c r="W22" s="1079" t="str">
        <f t="shared" si="11"/>
        <v>-</v>
      </c>
      <c r="X22" s="1079" t="str">
        <f t="shared" si="11"/>
        <v>-</v>
      </c>
      <c r="Y22" s="1079" t="str">
        <f t="shared" si="11"/>
        <v>-</v>
      </c>
      <c r="Z22" s="1079" t="str">
        <f t="shared" si="11"/>
        <v>-</v>
      </c>
      <c r="AA22" s="1079" t="str">
        <f t="shared" si="11"/>
        <v>-</v>
      </c>
      <c r="AB22" s="1079" t="str">
        <f t="shared" si="11"/>
        <v>-</v>
      </c>
      <c r="AC22" s="1079" t="str">
        <f t="shared" si="11"/>
        <v>-</v>
      </c>
      <c r="AD22" s="1079" t="str">
        <f t="shared" si="11"/>
        <v>-</v>
      </c>
      <c r="AE22" s="1079" t="str">
        <f t="shared" si="11"/>
        <v>-</v>
      </c>
      <c r="AF22" s="1079" t="str">
        <f t="shared" si="11"/>
        <v>-</v>
      </c>
      <c r="AG22" s="1079" t="str">
        <f t="shared" si="11"/>
        <v>-</v>
      </c>
      <c r="AH22" s="1079" t="str">
        <f t="shared" si="11"/>
        <v>-</v>
      </c>
      <c r="AI22" s="1079" t="str">
        <f t="shared" ref="AI22:BN22" si="12">IFERROR(AVERAGE(AI20:AI21),"-")</f>
        <v>-</v>
      </c>
      <c r="AJ22" s="1079" t="str">
        <f t="shared" si="12"/>
        <v>-</v>
      </c>
      <c r="AK22" s="1079" t="str">
        <f t="shared" si="12"/>
        <v>-</v>
      </c>
      <c r="AL22" s="1079" t="str">
        <f t="shared" si="12"/>
        <v>-</v>
      </c>
      <c r="AM22" s="1079" t="str">
        <f t="shared" si="12"/>
        <v>-</v>
      </c>
      <c r="AN22" s="1079" t="str">
        <f t="shared" si="12"/>
        <v>-</v>
      </c>
      <c r="AO22" s="1079" t="str">
        <f t="shared" si="12"/>
        <v>-</v>
      </c>
      <c r="AP22" s="1079" t="str">
        <f t="shared" si="12"/>
        <v>-</v>
      </c>
      <c r="AQ22" s="1079" t="str">
        <f t="shared" si="12"/>
        <v>-</v>
      </c>
      <c r="AR22" s="1079" t="str">
        <f t="shared" si="12"/>
        <v>-</v>
      </c>
      <c r="AS22" s="1079" t="str">
        <f t="shared" si="12"/>
        <v>-</v>
      </c>
      <c r="AT22" s="1079" t="str">
        <f t="shared" si="12"/>
        <v>-</v>
      </c>
      <c r="AU22" s="1079" t="str">
        <f t="shared" si="12"/>
        <v>-</v>
      </c>
      <c r="AV22" s="1079" t="str">
        <f t="shared" si="12"/>
        <v>-</v>
      </c>
      <c r="AW22" s="1079" t="str">
        <f t="shared" si="12"/>
        <v>-</v>
      </c>
      <c r="AX22" s="1079" t="str">
        <f t="shared" si="12"/>
        <v>-</v>
      </c>
      <c r="AY22" s="1079" t="str">
        <f t="shared" si="12"/>
        <v>-</v>
      </c>
      <c r="AZ22" s="1079" t="str">
        <f t="shared" si="12"/>
        <v>-</v>
      </c>
      <c r="BA22" s="1079" t="str">
        <f t="shared" si="12"/>
        <v>-</v>
      </c>
      <c r="BB22" s="1079" t="str">
        <f t="shared" si="12"/>
        <v>-</v>
      </c>
      <c r="BC22" s="1079" t="str">
        <f t="shared" si="12"/>
        <v>-</v>
      </c>
      <c r="BD22" s="1079" t="str">
        <f t="shared" si="12"/>
        <v>-</v>
      </c>
      <c r="BE22" s="1079" t="str">
        <f t="shared" si="12"/>
        <v>-</v>
      </c>
      <c r="BF22" s="1079" t="str">
        <f t="shared" si="12"/>
        <v>-</v>
      </c>
      <c r="BG22" s="1079" t="str">
        <f t="shared" si="12"/>
        <v>-</v>
      </c>
      <c r="BH22" s="1079" t="str">
        <f t="shared" si="12"/>
        <v>-</v>
      </c>
      <c r="BI22" s="1079" t="str">
        <f t="shared" si="12"/>
        <v>-</v>
      </c>
      <c r="BJ22" s="1079" t="str">
        <f t="shared" si="12"/>
        <v>-</v>
      </c>
      <c r="BK22" s="1079" t="str">
        <f t="shared" si="12"/>
        <v>-</v>
      </c>
      <c r="BL22" s="1079" t="str">
        <f t="shared" si="12"/>
        <v>-</v>
      </c>
      <c r="BM22" s="1079" t="str">
        <f t="shared" si="12"/>
        <v>-</v>
      </c>
      <c r="BN22" s="1079" t="str">
        <f t="shared" si="12"/>
        <v>-</v>
      </c>
      <c r="BO22" s="1079" t="str">
        <f t="shared" ref="BO22:CT22" si="13">IFERROR(AVERAGE(BO20:BO21),"-")</f>
        <v>-</v>
      </c>
      <c r="BP22" s="1079" t="str">
        <f t="shared" si="13"/>
        <v>-</v>
      </c>
      <c r="BQ22" s="1079" t="str">
        <f t="shared" si="13"/>
        <v>-</v>
      </c>
      <c r="BR22" s="1079" t="str">
        <f t="shared" si="13"/>
        <v>-</v>
      </c>
      <c r="BS22" s="1079" t="str">
        <f t="shared" si="13"/>
        <v>-</v>
      </c>
      <c r="BT22" s="1079" t="str">
        <f t="shared" si="13"/>
        <v>-</v>
      </c>
      <c r="BU22" s="1079" t="str">
        <f t="shared" si="13"/>
        <v>-</v>
      </c>
      <c r="BV22" s="1079" t="str">
        <f t="shared" si="13"/>
        <v>-</v>
      </c>
      <c r="BW22" s="1079" t="str">
        <f t="shared" si="13"/>
        <v>-</v>
      </c>
      <c r="BX22" s="1079" t="str">
        <f t="shared" si="13"/>
        <v>-</v>
      </c>
      <c r="BY22" s="1079" t="str">
        <f t="shared" si="13"/>
        <v>-</v>
      </c>
      <c r="BZ22" s="1079" t="str">
        <f t="shared" si="13"/>
        <v>-</v>
      </c>
      <c r="CA22" s="1079" t="str">
        <f t="shared" si="13"/>
        <v>-</v>
      </c>
      <c r="CB22" s="1079" t="str">
        <f t="shared" si="13"/>
        <v>-</v>
      </c>
      <c r="CC22" s="1079" t="str">
        <f t="shared" si="13"/>
        <v>-</v>
      </c>
      <c r="CD22" s="1079" t="str">
        <f t="shared" si="13"/>
        <v>-</v>
      </c>
      <c r="CE22" s="1079" t="str">
        <f t="shared" si="13"/>
        <v>-</v>
      </c>
      <c r="CF22" s="1079" t="str">
        <f t="shared" si="13"/>
        <v>-</v>
      </c>
      <c r="CG22" s="1079" t="str">
        <f t="shared" si="13"/>
        <v>-</v>
      </c>
      <c r="CH22" s="1079" t="str">
        <f t="shared" si="13"/>
        <v>-</v>
      </c>
      <c r="CI22" s="1079" t="str">
        <f t="shared" si="13"/>
        <v>-</v>
      </c>
      <c r="CJ22" s="1079" t="str">
        <f t="shared" si="13"/>
        <v>-</v>
      </c>
      <c r="CK22" s="1079" t="str">
        <f t="shared" si="13"/>
        <v>-</v>
      </c>
      <c r="CL22" s="1079" t="str">
        <f t="shared" si="13"/>
        <v>-</v>
      </c>
      <c r="CM22" s="1079" t="str">
        <f t="shared" si="13"/>
        <v>-</v>
      </c>
      <c r="CN22" s="1079" t="str">
        <f t="shared" si="13"/>
        <v>-</v>
      </c>
      <c r="CO22" s="1079" t="str">
        <f t="shared" si="13"/>
        <v>-</v>
      </c>
      <c r="CP22" s="1079" t="str">
        <f t="shared" si="13"/>
        <v>-</v>
      </c>
      <c r="CQ22" s="1079" t="str">
        <f t="shared" si="13"/>
        <v>-</v>
      </c>
      <c r="CR22" s="1079" t="str">
        <f t="shared" si="13"/>
        <v>-</v>
      </c>
      <c r="CS22" s="1079" t="str">
        <f t="shared" si="13"/>
        <v>-</v>
      </c>
      <c r="CT22" s="1079" t="str">
        <f t="shared" si="13"/>
        <v>-</v>
      </c>
      <c r="CU22" s="1079" t="str">
        <f t="shared" ref="CU22:DG22" si="14">IFERROR(AVERAGE(CU20:CU21),"-")</f>
        <v>-</v>
      </c>
      <c r="CV22" s="1079" t="str">
        <f t="shared" si="14"/>
        <v>-</v>
      </c>
      <c r="CW22" s="1079" t="str">
        <f t="shared" si="14"/>
        <v>-</v>
      </c>
      <c r="CX22" s="1079" t="str">
        <f t="shared" si="14"/>
        <v>-</v>
      </c>
      <c r="CY22" s="1079">
        <f t="shared" si="14"/>
        <v>2159</v>
      </c>
      <c r="CZ22" s="1079">
        <f t="shared" si="14"/>
        <v>2159</v>
      </c>
      <c r="DA22" s="1079">
        <f t="shared" si="14"/>
        <v>2159</v>
      </c>
      <c r="DB22" s="1079">
        <f t="shared" si="14"/>
        <v>2423</v>
      </c>
      <c r="DC22" s="1079">
        <f t="shared" si="14"/>
        <v>2423</v>
      </c>
      <c r="DD22" s="1079">
        <f t="shared" si="14"/>
        <v>2423</v>
      </c>
      <c r="DE22" s="1079">
        <f t="shared" si="14"/>
        <v>2423</v>
      </c>
      <c r="DF22" s="1079">
        <f t="shared" si="14"/>
        <v>2443.5</v>
      </c>
      <c r="DG22" s="1079">
        <f t="shared" si="14"/>
        <v>2443.5</v>
      </c>
      <c r="DH22" s="1079">
        <v>2443.5</v>
      </c>
      <c r="DI22" s="1079">
        <f t="shared" ref="DI22:DP22" si="15">IFERROR(AVERAGE(DI20:DI21),"-")</f>
        <v>2443.5</v>
      </c>
      <c r="DJ22" s="1079">
        <f t="shared" si="15"/>
        <v>2443.5</v>
      </c>
      <c r="DK22" s="1079">
        <f t="shared" si="15"/>
        <v>2443.5</v>
      </c>
      <c r="DL22" s="1079">
        <f t="shared" si="15"/>
        <v>2443.5</v>
      </c>
      <c r="DM22" s="1079">
        <f t="shared" si="15"/>
        <v>2360.5</v>
      </c>
      <c r="DN22" s="1079">
        <f t="shared" si="15"/>
        <v>2360.5</v>
      </c>
      <c r="DO22" s="1079">
        <f t="shared" si="15"/>
        <v>2360.5</v>
      </c>
      <c r="DP22" s="1079">
        <f t="shared" si="15"/>
        <v>2360.5</v>
      </c>
      <c r="DQ22" s="1079">
        <f>IFERROR(AVERAGE(DQ20:DQ21),"-")</f>
        <v>2360.5</v>
      </c>
    </row>
    <row r="23" spans="1:121" customFormat="1" x14ac:dyDescent="0.25">
      <c r="A23" s="262"/>
      <c r="B23" s="262"/>
      <c r="C23" s="262"/>
      <c r="D23" s="262"/>
      <c r="E23" s="262"/>
      <c r="F23" s="262"/>
      <c r="G23" s="262"/>
      <c r="H23" s="262"/>
      <c r="I23" s="262"/>
      <c r="J23" s="262"/>
      <c r="K23" s="262"/>
      <c r="L23" s="262"/>
      <c r="M23" s="262"/>
      <c r="N23" s="262"/>
      <c r="O23" s="262"/>
      <c r="P23" s="262"/>
      <c r="Q23" s="340"/>
      <c r="R23" s="340"/>
      <c r="S23" s="340"/>
      <c r="T23" s="340"/>
      <c r="U23" s="340"/>
      <c r="V23" s="340"/>
      <c r="W23" s="340"/>
      <c r="X23" s="340"/>
      <c r="Y23" s="340"/>
      <c r="Z23" s="340"/>
      <c r="AA23" s="340"/>
      <c r="AB23" s="340"/>
      <c r="AC23" s="340"/>
      <c r="AD23" s="340"/>
      <c r="AE23" s="340"/>
      <c r="AF23" s="340"/>
      <c r="AG23" s="340"/>
      <c r="AH23" s="340"/>
      <c r="AI23" s="340"/>
      <c r="AJ23" s="340"/>
      <c r="AK23" s="340"/>
      <c r="AL23" s="340"/>
      <c r="AM23" s="340"/>
      <c r="AN23" s="340"/>
      <c r="AO23" s="340"/>
      <c r="AP23" s="340"/>
      <c r="AQ23" s="340"/>
      <c r="AR23" s="340"/>
      <c r="AS23" s="340"/>
      <c r="AV23" s="918"/>
      <c r="DG23" s="1150"/>
      <c r="DH23" s="1150"/>
      <c r="DI23" s="1150"/>
      <c r="DJ23" s="1150"/>
      <c r="DK23" s="1150"/>
      <c r="DL23" s="1150"/>
      <c r="DM23" s="1150"/>
      <c r="DN23" s="1150"/>
      <c r="DO23" s="1150"/>
      <c r="DP23" s="1150"/>
      <c r="DQ23" s="1150"/>
    </row>
    <row r="24" spans="1:121" customFormat="1" x14ac:dyDescent="0.25">
      <c r="A24" s="262"/>
      <c r="B24" s="113" t="s">
        <v>1303</v>
      </c>
      <c r="C24" s="263">
        <f t="shared" ref="C24:BN24" si="16">C$11</f>
        <v>42522</v>
      </c>
      <c r="D24" s="263">
        <f t="shared" si="16"/>
        <v>42552</v>
      </c>
      <c r="E24" s="263">
        <f t="shared" si="16"/>
        <v>42583</v>
      </c>
      <c r="F24" s="263">
        <f t="shared" si="16"/>
        <v>42614</v>
      </c>
      <c r="G24" s="263">
        <f t="shared" si="16"/>
        <v>42644</v>
      </c>
      <c r="H24" s="263">
        <f t="shared" si="16"/>
        <v>42675</v>
      </c>
      <c r="I24" s="263">
        <f t="shared" si="16"/>
        <v>42705</v>
      </c>
      <c r="J24" s="263">
        <f t="shared" si="16"/>
        <v>42736</v>
      </c>
      <c r="K24" s="263">
        <f t="shared" si="16"/>
        <v>42767</v>
      </c>
      <c r="L24" s="263">
        <f t="shared" si="16"/>
        <v>42795</v>
      </c>
      <c r="M24" s="263">
        <f t="shared" si="16"/>
        <v>42826</v>
      </c>
      <c r="N24" s="263">
        <f t="shared" si="16"/>
        <v>42856</v>
      </c>
      <c r="O24" s="263">
        <f t="shared" si="16"/>
        <v>42887</v>
      </c>
      <c r="P24" s="263">
        <f t="shared" si="16"/>
        <v>42917</v>
      </c>
      <c r="Q24" s="263">
        <f t="shared" si="16"/>
        <v>42948</v>
      </c>
      <c r="R24" s="263">
        <f t="shared" si="16"/>
        <v>42979</v>
      </c>
      <c r="S24" s="263">
        <f t="shared" si="16"/>
        <v>43009</v>
      </c>
      <c r="T24" s="263">
        <f t="shared" si="16"/>
        <v>43040</v>
      </c>
      <c r="U24" s="263">
        <f t="shared" si="16"/>
        <v>43070</v>
      </c>
      <c r="V24" s="263">
        <f t="shared" si="16"/>
        <v>43101</v>
      </c>
      <c r="W24" s="263">
        <f t="shared" si="16"/>
        <v>43132</v>
      </c>
      <c r="X24" s="263">
        <f t="shared" si="16"/>
        <v>43160</v>
      </c>
      <c r="Y24" s="263">
        <f t="shared" si="16"/>
        <v>43191</v>
      </c>
      <c r="Z24" s="263">
        <f t="shared" si="16"/>
        <v>43221</v>
      </c>
      <c r="AA24" s="263">
        <f t="shared" si="16"/>
        <v>43252</v>
      </c>
      <c r="AB24" s="263">
        <f t="shared" si="16"/>
        <v>43283</v>
      </c>
      <c r="AC24" s="263">
        <f t="shared" si="16"/>
        <v>43314</v>
      </c>
      <c r="AD24" s="263">
        <f t="shared" si="16"/>
        <v>43345</v>
      </c>
      <c r="AE24" s="263">
        <f t="shared" si="16"/>
        <v>43376</v>
      </c>
      <c r="AF24" s="263">
        <f t="shared" si="16"/>
        <v>43407</v>
      </c>
      <c r="AG24" s="263">
        <f t="shared" si="16"/>
        <v>43437</v>
      </c>
      <c r="AH24" s="263">
        <f t="shared" si="16"/>
        <v>43468</v>
      </c>
      <c r="AI24" s="263">
        <f t="shared" si="16"/>
        <v>43499</v>
      </c>
      <c r="AJ24" s="263">
        <f t="shared" si="16"/>
        <v>43527</v>
      </c>
      <c r="AK24" s="263">
        <f t="shared" si="16"/>
        <v>43558</v>
      </c>
      <c r="AL24" s="263">
        <f t="shared" si="16"/>
        <v>43587</v>
      </c>
      <c r="AM24" s="263">
        <f t="shared" si="16"/>
        <v>43618</v>
      </c>
      <c r="AN24" s="263">
        <f t="shared" si="16"/>
        <v>43647</v>
      </c>
      <c r="AO24" s="263">
        <f t="shared" si="16"/>
        <v>43678</v>
      </c>
      <c r="AP24" s="263">
        <f t="shared" si="16"/>
        <v>43709</v>
      </c>
      <c r="AQ24" s="263">
        <f t="shared" si="16"/>
        <v>43739</v>
      </c>
      <c r="AR24" s="263">
        <f t="shared" si="16"/>
        <v>43770</v>
      </c>
      <c r="AS24" s="263">
        <f t="shared" si="16"/>
        <v>43800</v>
      </c>
      <c r="AT24" s="263">
        <f t="shared" si="16"/>
        <v>43831</v>
      </c>
      <c r="AU24" s="263">
        <f t="shared" si="16"/>
        <v>43862</v>
      </c>
      <c r="AV24" s="914">
        <f t="shared" si="16"/>
        <v>43891</v>
      </c>
      <c r="AW24" s="263">
        <f t="shared" si="16"/>
        <v>43922</v>
      </c>
      <c r="AX24" s="263">
        <f t="shared" si="16"/>
        <v>43952</v>
      </c>
      <c r="AY24" s="263">
        <f t="shared" si="16"/>
        <v>43983</v>
      </c>
      <c r="AZ24" s="263">
        <f t="shared" si="16"/>
        <v>44013</v>
      </c>
      <c r="BA24" s="263">
        <f t="shared" si="16"/>
        <v>44044</v>
      </c>
      <c r="BB24" s="263">
        <f t="shared" si="16"/>
        <v>44075</v>
      </c>
      <c r="BC24" s="263">
        <f t="shared" si="16"/>
        <v>44105</v>
      </c>
      <c r="BD24" s="263">
        <f t="shared" si="16"/>
        <v>44136</v>
      </c>
      <c r="BE24" s="263">
        <f t="shared" si="16"/>
        <v>44166</v>
      </c>
      <c r="BF24" s="263">
        <f t="shared" si="16"/>
        <v>44197</v>
      </c>
      <c r="BG24" s="263">
        <f t="shared" si="16"/>
        <v>44228</v>
      </c>
      <c r="BH24" s="263">
        <f t="shared" si="16"/>
        <v>44256</v>
      </c>
      <c r="BI24" s="263">
        <f t="shared" si="16"/>
        <v>44287</v>
      </c>
      <c r="BJ24" s="263">
        <f t="shared" si="16"/>
        <v>44317</v>
      </c>
      <c r="BK24" s="263">
        <f t="shared" si="16"/>
        <v>44348</v>
      </c>
      <c r="BL24" s="263">
        <f t="shared" si="16"/>
        <v>44378</v>
      </c>
      <c r="BM24" s="263">
        <f t="shared" si="16"/>
        <v>44409</v>
      </c>
      <c r="BN24" s="263">
        <f t="shared" si="16"/>
        <v>44440</v>
      </c>
      <c r="BO24" s="263">
        <f t="shared" ref="BO24:DQ24" si="17">BO$11</f>
        <v>44470</v>
      </c>
      <c r="BP24" s="263">
        <f t="shared" si="17"/>
        <v>44501</v>
      </c>
      <c r="BQ24" s="263">
        <f t="shared" si="17"/>
        <v>44531</v>
      </c>
      <c r="BR24" s="263">
        <f t="shared" si="17"/>
        <v>44562</v>
      </c>
      <c r="BS24" s="263">
        <f t="shared" si="17"/>
        <v>44593</v>
      </c>
      <c r="BT24" s="263">
        <f t="shared" si="17"/>
        <v>44622</v>
      </c>
      <c r="BU24" s="263">
        <f t="shared" si="17"/>
        <v>44654</v>
      </c>
      <c r="BV24" s="263">
        <f t="shared" si="17"/>
        <v>44685</v>
      </c>
      <c r="BW24" s="263">
        <f t="shared" si="17"/>
        <v>44716</v>
      </c>
      <c r="BX24" s="263">
        <f t="shared" si="17"/>
        <v>44746</v>
      </c>
      <c r="BY24" s="263">
        <f t="shared" si="17"/>
        <v>44774</v>
      </c>
      <c r="BZ24" s="263">
        <f t="shared" si="17"/>
        <v>44805</v>
      </c>
      <c r="CA24" s="263">
        <f t="shared" si="17"/>
        <v>44835</v>
      </c>
      <c r="CB24" s="263">
        <f t="shared" si="17"/>
        <v>44866</v>
      </c>
      <c r="CC24" s="263">
        <f t="shared" si="17"/>
        <v>44896</v>
      </c>
      <c r="CD24" s="263">
        <f t="shared" si="17"/>
        <v>44927</v>
      </c>
      <c r="CE24" s="263">
        <f t="shared" si="17"/>
        <v>44958</v>
      </c>
      <c r="CF24" s="263">
        <f t="shared" si="17"/>
        <v>44986</v>
      </c>
      <c r="CG24" s="263">
        <f t="shared" si="17"/>
        <v>45017</v>
      </c>
      <c r="CH24" s="263">
        <f t="shared" si="17"/>
        <v>45047</v>
      </c>
      <c r="CI24" s="263">
        <f t="shared" si="17"/>
        <v>45078</v>
      </c>
      <c r="CJ24" s="263">
        <f t="shared" si="17"/>
        <v>45108</v>
      </c>
      <c r="CK24" s="263">
        <f t="shared" si="17"/>
        <v>45139</v>
      </c>
      <c r="CL24" s="263">
        <f t="shared" si="17"/>
        <v>45170</v>
      </c>
      <c r="CM24" s="263">
        <f t="shared" si="17"/>
        <v>45200</v>
      </c>
      <c r="CN24" s="263">
        <f t="shared" si="17"/>
        <v>45231</v>
      </c>
      <c r="CO24" s="263">
        <f t="shared" si="17"/>
        <v>45261</v>
      </c>
      <c r="CP24" s="263">
        <f t="shared" si="17"/>
        <v>45292</v>
      </c>
      <c r="CQ24" s="263">
        <f t="shared" si="17"/>
        <v>45323</v>
      </c>
      <c r="CR24" s="263">
        <f t="shared" si="17"/>
        <v>45352</v>
      </c>
      <c r="CS24" s="263">
        <f t="shared" si="17"/>
        <v>45383</v>
      </c>
      <c r="CT24" s="263">
        <f t="shared" si="17"/>
        <v>45413</v>
      </c>
      <c r="CU24" s="263">
        <f t="shared" si="17"/>
        <v>45444</v>
      </c>
      <c r="CV24" s="263">
        <f t="shared" si="17"/>
        <v>45474</v>
      </c>
      <c r="CW24" s="263">
        <f t="shared" si="17"/>
        <v>45505</v>
      </c>
      <c r="CX24" s="263">
        <f t="shared" si="17"/>
        <v>45536</v>
      </c>
      <c r="CY24" s="263">
        <f t="shared" si="17"/>
        <v>45566</v>
      </c>
      <c r="CZ24" s="263">
        <f t="shared" si="17"/>
        <v>45597</v>
      </c>
      <c r="DA24" s="263">
        <f t="shared" si="17"/>
        <v>45627</v>
      </c>
      <c r="DB24" s="263">
        <f t="shared" si="17"/>
        <v>45658</v>
      </c>
      <c r="DC24" s="263">
        <f t="shared" si="17"/>
        <v>45689</v>
      </c>
      <c r="DD24" s="263">
        <f t="shared" si="17"/>
        <v>45717</v>
      </c>
      <c r="DE24" s="263">
        <f t="shared" si="17"/>
        <v>45748</v>
      </c>
      <c r="DF24" s="263">
        <f t="shared" si="17"/>
        <v>45778</v>
      </c>
      <c r="DG24" s="263">
        <f t="shared" si="17"/>
        <v>45809</v>
      </c>
      <c r="DH24" s="263">
        <v>45839</v>
      </c>
      <c r="DI24" s="263">
        <f t="shared" si="17"/>
        <v>45870</v>
      </c>
      <c r="DJ24" s="263">
        <f t="shared" si="17"/>
        <v>45901</v>
      </c>
      <c r="DK24" s="263">
        <f t="shared" si="17"/>
        <v>45931</v>
      </c>
      <c r="DL24" s="263">
        <f t="shared" si="17"/>
        <v>45962</v>
      </c>
      <c r="DM24" s="263">
        <f t="shared" si="17"/>
        <v>45992</v>
      </c>
      <c r="DN24" s="263">
        <f t="shared" si="17"/>
        <v>46023</v>
      </c>
      <c r="DO24" s="263">
        <f t="shared" si="17"/>
        <v>46054</v>
      </c>
      <c r="DP24" s="263">
        <f t="shared" si="17"/>
        <v>46082</v>
      </c>
      <c r="DQ24" s="263">
        <f t="shared" si="17"/>
        <v>46113</v>
      </c>
    </row>
    <row r="25" spans="1:121" customFormat="1" x14ac:dyDescent="0.25">
      <c r="A25" s="262"/>
      <c r="B25" s="117" t="s">
        <v>542</v>
      </c>
      <c r="C25" s="264" t="s">
        <v>160</v>
      </c>
      <c r="D25" s="264" t="s">
        <v>160</v>
      </c>
      <c r="E25" s="264" t="s">
        <v>160</v>
      </c>
      <c r="F25" s="265" t="s">
        <v>160</v>
      </c>
      <c r="G25" s="265" t="s">
        <v>160</v>
      </c>
      <c r="H25" s="265" t="s">
        <v>160</v>
      </c>
      <c r="I25" s="265" t="s">
        <v>160</v>
      </c>
      <c r="J25" s="265" t="s">
        <v>160</v>
      </c>
      <c r="K25" s="265" t="s">
        <v>160</v>
      </c>
      <c r="L25" s="265" t="s">
        <v>160</v>
      </c>
      <c r="M25" s="265" t="s">
        <v>160</v>
      </c>
      <c r="N25" s="265" t="s">
        <v>160</v>
      </c>
      <c r="O25" s="265" t="s">
        <v>160</v>
      </c>
      <c r="P25" s="265" t="s">
        <v>160</v>
      </c>
      <c r="Q25" s="265" t="s">
        <v>160</v>
      </c>
      <c r="R25" s="265" t="s">
        <v>160</v>
      </c>
      <c r="S25" s="265" t="s">
        <v>160</v>
      </c>
      <c r="T25" s="265" t="s">
        <v>160</v>
      </c>
      <c r="U25" s="337" t="s">
        <v>160</v>
      </c>
      <c r="V25" s="337" t="s">
        <v>160</v>
      </c>
      <c r="W25" s="337" t="s">
        <v>160</v>
      </c>
      <c r="X25" s="337" t="s">
        <v>160</v>
      </c>
      <c r="Y25" s="337" t="s">
        <v>160</v>
      </c>
      <c r="Z25" s="337" t="s">
        <v>160</v>
      </c>
      <c r="AA25" s="337" t="s">
        <v>160</v>
      </c>
      <c r="AB25" s="337" t="s">
        <v>160</v>
      </c>
      <c r="AC25" s="337" t="s">
        <v>160</v>
      </c>
      <c r="AD25" s="337" t="s">
        <v>160</v>
      </c>
      <c r="AE25" s="337" t="s">
        <v>160</v>
      </c>
      <c r="AF25" s="337" t="s">
        <v>160</v>
      </c>
      <c r="AG25" s="337" t="s">
        <v>160</v>
      </c>
      <c r="AH25" s="337" t="s">
        <v>160</v>
      </c>
      <c r="AI25" s="337" t="s">
        <v>160</v>
      </c>
      <c r="AJ25" s="337" t="s">
        <v>160</v>
      </c>
      <c r="AK25" s="337" t="s">
        <v>160</v>
      </c>
      <c r="AL25" s="337" t="s">
        <v>160</v>
      </c>
      <c r="AM25" s="337" t="s">
        <v>160</v>
      </c>
      <c r="AN25" s="337" t="s">
        <v>160</v>
      </c>
      <c r="AO25" s="337" t="s">
        <v>160</v>
      </c>
      <c r="AP25" s="337" t="s">
        <v>160</v>
      </c>
      <c r="AQ25" s="337" t="s">
        <v>160</v>
      </c>
      <c r="AR25" s="337" t="s">
        <v>160</v>
      </c>
      <c r="AS25" s="337" t="s">
        <v>160</v>
      </c>
      <c r="AT25" s="337" t="s">
        <v>160</v>
      </c>
      <c r="AU25" s="337" t="s">
        <v>160</v>
      </c>
      <c r="AV25" s="1158" t="s">
        <v>160</v>
      </c>
      <c r="AW25" s="337" t="s">
        <v>160</v>
      </c>
      <c r="AX25" s="337" t="s">
        <v>160</v>
      </c>
      <c r="AY25" s="337" t="s">
        <v>160</v>
      </c>
      <c r="AZ25" s="337" t="s">
        <v>160</v>
      </c>
      <c r="BA25" s="337" t="s">
        <v>160</v>
      </c>
      <c r="BB25" s="337" t="s">
        <v>160</v>
      </c>
      <c r="BC25" s="337" t="s">
        <v>160</v>
      </c>
      <c r="BD25" s="337" t="s">
        <v>160</v>
      </c>
      <c r="BE25" s="337" t="s">
        <v>160</v>
      </c>
      <c r="BF25" s="337" t="s">
        <v>160</v>
      </c>
      <c r="BG25" s="337" t="s">
        <v>160</v>
      </c>
      <c r="BH25" s="337" t="s">
        <v>160</v>
      </c>
      <c r="BI25" s="337" t="s">
        <v>160</v>
      </c>
      <c r="BJ25" s="337" t="s">
        <v>160</v>
      </c>
      <c r="BK25" s="337" t="s">
        <v>160</v>
      </c>
      <c r="BL25" s="337" t="s">
        <v>160</v>
      </c>
      <c r="BM25" s="337" t="s">
        <v>160</v>
      </c>
      <c r="BN25" s="337" t="s">
        <v>160</v>
      </c>
      <c r="BO25" s="337" t="s">
        <v>160</v>
      </c>
      <c r="BP25" s="337" t="s">
        <v>160</v>
      </c>
      <c r="BQ25" s="337" t="s">
        <v>160</v>
      </c>
      <c r="BR25" s="337" t="s">
        <v>160</v>
      </c>
      <c r="BS25" s="337" t="s">
        <v>160</v>
      </c>
      <c r="BT25" s="337" t="s">
        <v>160</v>
      </c>
      <c r="BU25" s="337" t="s">
        <v>160</v>
      </c>
      <c r="BV25" s="337" t="s">
        <v>160</v>
      </c>
      <c r="BW25" s="337" t="s">
        <v>160</v>
      </c>
      <c r="BX25" s="337" t="s">
        <v>160</v>
      </c>
      <c r="BY25" s="337" t="s">
        <v>160</v>
      </c>
      <c r="BZ25" s="337" t="s">
        <v>160</v>
      </c>
      <c r="CA25" s="337" t="s">
        <v>160</v>
      </c>
      <c r="CB25" s="337" t="s">
        <v>160</v>
      </c>
      <c r="CC25" s="337" t="s">
        <v>160</v>
      </c>
      <c r="CD25" s="337" t="s">
        <v>160</v>
      </c>
      <c r="CE25" s="337" t="s">
        <v>160</v>
      </c>
      <c r="CF25" s="337" t="s">
        <v>160</v>
      </c>
      <c r="CG25" s="337" t="s">
        <v>160</v>
      </c>
      <c r="CH25" s="337" t="s">
        <v>160</v>
      </c>
      <c r="CI25" s="337" t="s">
        <v>160</v>
      </c>
      <c r="CJ25" s="337" t="s">
        <v>160</v>
      </c>
      <c r="CK25" s="337" t="s">
        <v>160</v>
      </c>
      <c r="CL25" s="337" t="s">
        <v>160</v>
      </c>
      <c r="CM25" s="337" t="s">
        <v>160</v>
      </c>
      <c r="CN25" s="337" t="s">
        <v>160</v>
      </c>
      <c r="CO25" s="337" t="s">
        <v>160</v>
      </c>
      <c r="CP25" s="337" t="s">
        <v>160</v>
      </c>
      <c r="CQ25" s="337" t="s">
        <v>160</v>
      </c>
      <c r="CR25" s="337" t="s">
        <v>160</v>
      </c>
      <c r="CS25" s="337" t="s">
        <v>160</v>
      </c>
      <c r="CT25" s="337" t="s">
        <v>160</v>
      </c>
      <c r="CU25" s="337" t="s">
        <v>160</v>
      </c>
      <c r="CV25" s="337" t="s">
        <v>160</v>
      </c>
      <c r="CW25" s="337" t="s">
        <v>160</v>
      </c>
      <c r="CX25" s="337" t="s">
        <v>160</v>
      </c>
      <c r="CY25" s="337" t="s">
        <v>160</v>
      </c>
      <c r="CZ25" s="337" t="s">
        <v>160</v>
      </c>
      <c r="DA25" s="337" t="s">
        <v>160</v>
      </c>
      <c r="DB25" s="337" t="s">
        <v>160</v>
      </c>
      <c r="DC25" s="337" t="s">
        <v>160</v>
      </c>
      <c r="DD25" s="337" t="s">
        <v>160</v>
      </c>
      <c r="DE25" s="337" t="s">
        <v>160</v>
      </c>
      <c r="DF25" s="679">
        <v>433</v>
      </c>
      <c r="DG25" s="585">
        <v>433</v>
      </c>
      <c r="DH25" s="585">
        <v>433</v>
      </c>
      <c r="DI25" s="585">
        <v>433</v>
      </c>
      <c r="DJ25" s="585">
        <v>433</v>
      </c>
      <c r="DK25" s="585">
        <v>433</v>
      </c>
      <c r="DL25" s="585">
        <v>433</v>
      </c>
      <c r="DM25" s="679">
        <v>417</v>
      </c>
      <c r="DN25" s="585">
        <v>417</v>
      </c>
      <c r="DO25" s="585">
        <v>417</v>
      </c>
      <c r="DP25" s="585">
        <v>417</v>
      </c>
      <c r="DQ25" s="585">
        <v>417</v>
      </c>
    </row>
    <row r="26" spans="1:121" x14ac:dyDescent="0.25">
      <c r="B26" s="117" t="s">
        <v>547</v>
      </c>
      <c r="C26" s="264" t="s">
        <v>160</v>
      </c>
      <c r="D26" s="264" t="s">
        <v>160</v>
      </c>
      <c r="E26" s="264" t="s">
        <v>160</v>
      </c>
      <c r="F26" s="264" t="s">
        <v>160</v>
      </c>
      <c r="G26" s="265" t="s">
        <v>160</v>
      </c>
      <c r="H26" s="265" t="s">
        <v>160</v>
      </c>
      <c r="I26" s="265" t="s">
        <v>160</v>
      </c>
      <c r="J26" s="265" t="s">
        <v>160</v>
      </c>
      <c r="K26" s="265" t="s">
        <v>160</v>
      </c>
      <c r="L26" s="265" t="s">
        <v>160</v>
      </c>
      <c r="M26" s="265" t="s">
        <v>160</v>
      </c>
      <c r="N26" s="265" t="s">
        <v>160</v>
      </c>
      <c r="O26" s="265" t="s">
        <v>160</v>
      </c>
      <c r="P26" s="265" t="s">
        <v>160</v>
      </c>
      <c r="Q26" s="265" t="s">
        <v>160</v>
      </c>
      <c r="R26" s="265" t="s">
        <v>160</v>
      </c>
      <c r="S26" s="265" t="s">
        <v>160</v>
      </c>
      <c r="T26" s="265" t="s">
        <v>160</v>
      </c>
      <c r="U26" s="265" t="s">
        <v>160</v>
      </c>
      <c r="V26" s="337" t="s">
        <v>160</v>
      </c>
      <c r="W26" s="265" t="s">
        <v>160</v>
      </c>
      <c r="X26" s="265" t="s">
        <v>160</v>
      </c>
      <c r="Y26" s="265" t="s">
        <v>160</v>
      </c>
      <c r="Z26" s="265" t="s">
        <v>160</v>
      </c>
      <c r="AA26" s="265" t="s">
        <v>160</v>
      </c>
      <c r="AB26" s="265" t="s">
        <v>160</v>
      </c>
      <c r="AC26" s="265" t="s">
        <v>160</v>
      </c>
      <c r="AD26" s="337" t="s">
        <v>160</v>
      </c>
      <c r="AE26" s="265" t="s">
        <v>160</v>
      </c>
      <c r="AF26" s="265" t="s">
        <v>160</v>
      </c>
      <c r="AG26" s="265" t="s">
        <v>160</v>
      </c>
      <c r="AH26" s="265" t="s">
        <v>160</v>
      </c>
      <c r="AI26" s="265" t="s">
        <v>160</v>
      </c>
      <c r="AJ26" s="337" t="s">
        <v>160</v>
      </c>
      <c r="AK26" s="337" t="s">
        <v>160</v>
      </c>
      <c r="AL26" s="337" t="s">
        <v>160</v>
      </c>
      <c r="AM26" s="337" t="s">
        <v>160</v>
      </c>
      <c r="AN26" s="337" t="s">
        <v>160</v>
      </c>
      <c r="AO26" s="337" t="s">
        <v>160</v>
      </c>
      <c r="AP26" s="337" t="s">
        <v>160</v>
      </c>
      <c r="AQ26" s="337" t="s">
        <v>160</v>
      </c>
      <c r="AR26" s="337" t="s">
        <v>160</v>
      </c>
      <c r="AS26" s="337" t="s">
        <v>160</v>
      </c>
      <c r="AT26" s="337" t="s">
        <v>160</v>
      </c>
      <c r="AU26" s="337" t="s">
        <v>160</v>
      </c>
      <c r="AV26" s="1158" t="s">
        <v>160</v>
      </c>
      <c r="AW26" s="337" t="s">
        <v>160</v>
      </c>
      <c r="AX26" s="337" t="s">
        <v>160</v>
      </c>
      <c r="AY26" s="337" t="s">
        <v>160</v>
      </c>
      <c r="AZ26" s="337" t="s">
        <v>160</v>
      </c>
      <c r="BA26" s="337" t="s">
        <v>160</v>
      </c>
      <c r="BB26" s="337" t="s">
        <v>160</v>
      </c>
      <c r="BC26" s="337" t="s">
        <v>160</v>
      </c>
      <c r="BD26" s="337" t="s">
        <v>160</v>
      </c>
      <c r="BE26" s="337" t="s">
        <v>160</v>
      </c>
      <c r="BF26" s="337" t="s">
        <v>160</v>
      </c>
      <c r="BG26" s="337" t="s">
        <v>160</v>
      </c>
      <c r="BH26" s="337" t="s">
        <v>160</v>
      </c>
      <c r="BI26" s="337" t="s">
        <v>160</v>
      </c>
      <c r="BJ26" s="337" t="s">
        <v>160</v>
      </c>
      <c r="BK26" s="337" t="s">
        <v>160</v>
      </c>
      <c r="BL26" s="337" t="s">
        <v>160</v>
      </c>
      <c r="BM26" s="337" t="s">
        <v>160</v>
      </c>
      <c r="BN26" s="337" t="s">
        <v>160</v>
      </c>
      <c r="BO26" s="337" t="s">
        <v>160</v>
      </c>
      <c r="BP26" s="337" t="s">
        <v>160</v>
      </c>
      <c r="BQ26" s="337" t="s">
        <v>160</v>
      </c>
      <c r="BR26" s="337" t="s">
        <v>160</v>
      </c>
      <c r="BS26" s="337" t="s">
        <v>160</v>
      </c>
      <c r="BT26" s="337" t="s">
        <v>160</v>
      </c>
      <c r="BU26" s="337" t="s">
        <v>160</v>
      </c>
      <c r="BV26" s="337" t="s">
        <v>160</v>
      </c>
      <c r="BW26" s="337" t="s">
        <v>160</v>
      </c>
      <c r="BX26" s="337" t="s">
        <v>160</v>
      </c>
      <c r="BY26" s="337" t="s">
        <v>160</v>
      </c>
      <c r="BZ26" s="337" t="s">
        <v>160</v>
      </c>
      <c r="CA26" s="337" t="s">
        <v>160</v>
      </c>
      <c r="CB26" s="337" t="s">
        <v>160</v>
      </c>
      <c r="CC26" s="337" t="s">
        <v>160</v>
      </c>
      <c r="CD26" s="337" t="s">
        <v>160</v>
      </c>
      <c r="CE26" s="337" t="s">
        <v>160</v>
      </c>
      <c r="CF26" s="337" t="s">
        <v>160</v>
      </c>
      <c r="CG26" s="337" t="s">
        <v>160</v>
      </c>
      <c r="CH26" s="337" t="s">
        <v>160</v>
      </c>
      <c r="CI26" s="337" t="s">
        <v>160</v>
      </c>
      <c r="CJ26" s="337" t="s">
        <v>160</v>
      </c>
      <c r="CK26" s="337" t="s">
        <v>160</v>
      </c>
      <c r="CL26" s="337" t="s">
        <v>160</v>
      </c>
      <c r="CM26" s="337" t="s">
        <v>160</v>
      </c>
      <c r="CN26" s="337" t="s">
        <v>160</v>
      </c>
      <c r="CO26" s="337" t="s">
        <v>160</v>
      </c>
      <c r="CP26" s="337" t="s">
        <v>160</v>
      </c>
      <c r="CQ26" s="337" t="s">
        <v>160</v>
      </c>
      <c r="CR26" s="337" t="s">
        <v>160</v>
      </c>
      <c r="CS26" s="337" t="s">
        <v>160</v>
      </c>
      <c r="CT26" s="337" t="s">
        <v>160</v>
      </c>
      <c r="CU26" s="337" t="s">
        <v>160</v>
      </c>
      <c r="CV26" s="337" t="s">
        <v>160</v>
      </c>
      <c r="CW26" s="337" t="s">
        <v>160</v>
      </c>
      <c r="CX26" s="337" t="s">
        <v>160</v>
      </c>
      <c r="CY26" s="337">
        <v>399</v>
      </c>
      <c r="CZ26" s="337">
        <v>399</v>
      </c>
      <c r="DA26" s="337">
        <v>399</v>
      </c>
      <c r="DB26" s="679">
        <v>476</v>
      </c>
      <c r="DC26" s="585">
        <v>476</v>
      </c>
      <c r="DD26" s="585">
        <v>476</v>
      </c>
      <c r="DE26" s="585">
        <v>476</v>
      </c>
      <c r="DF26" s="585">
        <v>476</v>
      </c>
      <c r="DG26" s="585">
        <v>476</v>
      </c>
      <c r="DH26" s="585">
        <v>476</v>
      </c>
      <c r="DI26" s="585">
        <v>476</v>
      </c>
      <c r="DJ26" s="585">
        <v>476</v>
      </c>
      <c r="DK26" s="585">
        <v>476</v>
      </c>
      <c r="DL26" s="585">
        <v>476</v>
      </c>
      <c r="DM26" s="679">
        <v>419</v>
      </c>
      <c r="DN26" s="585">
        <v>419</v>
      </c>
      <c r="DO26" s="585">
        <v>419</v>
      </c>
      <c r="DP26" s="585">
        <v>419</v>
      </c>
      <c r="DQ26" s="585">
        <v>419</v>
      </c>
    </row>
    <row r="27" spans="1:121" x14ac:dyDescent="0.25">
      <c r="A27"/>
      <c r="B27" s="1072" t="s">
        <v>557</v>
      </c>
      <c r="C27" s="1073" t="str">
        <f t="shared" ref="C27:K27" si="18">IFERROR(AVERAGE(C25:C26),"-")</f>
        <v>-</v>
      </c>
      <c r="D27" s="1073" t="str">
        <f t="shared" si="18"/>
        <v>-</v>
      </c>
      <c r="E27" s="1073" t="str">
        <f t="shared" si="18"/>
        <v>-</v>
      </c>
      <c r="F27" s="1073" t="str">
        <f t="shared" si="18"/>
        <v>-</v>
      </c>
      <c r="G27" s="1073" t="str">
        <f t="shared" si="18"/>
        <v>-</v>
      </c>
      <c r="H27" s="1073" t="str">
        <f t="shared" si="18"/>
        <v>-</v>
      </c>
      <c r="I27" s="1073" t="str">
        <f t="shared" si="18"/>
        <v>-</v>
      </c>
      <c r="J27" s="1073" t="str">
        <f t="shared" si="18"/>
        <v>-</v>
      </c>
      <c r="K27" s="1073" t="str">
        <f t="shared" si="18"/>
        <v>-</v>
      </c>
      <c r="L27" s="1075" t="s">
        <v>160</v>
      </c>
      <c r="M27" s="1075" t="s">
        <v>160</v>
      </c>
      <c r="N27" s="1075" t="s">
        <v>160</v>
      </c>
      <c r="O27" s="1075" t="s">
        <v>160</v>
      </c>
      <c r="P27" s="1075" t="s">
        <v>160</v>
      </c>
      <c r="Q27" s="1075" t="s">
        <v>160</v>
      </c>
      <c r="R27" s="1075" t="s">
        <v>160</v>
      </c>
      <c r="S27" s="1075" t="s">
        <v>160</v>
      </c>
      <c r="T27" s="1075" t="s">
        <v>160</v>
      </c>
      <c r="U27" s="1075" t="s">
        <v>160</v>
      </c>
      <c r="V27" s="1076" t="str">
        <f t="shared" ref="V27:BA27" si="19">IFERROR(AVERAGE(V25:V26),"-")</f>
        <v>-</v>
      </c>
      <c r="W27" s="1076" t="str">
        <f t="shared" si="19"/>
        <v>-</v>
      </c>
      <c r="X27" s="1076" t="str">
        <f t="shared" si="19"/>
        <v>-</v>
      </c>
      <c r="Y27" s="1076" t="str">
        <f t="shared" si="19"/>
        <v>-</v>
      </c>
      <c r="Z27" s="1076" t="str">
        <f t="shared" si="19"/>
        <v>-</v>
      </c>
      <c r="AA27" s="1076" t="str">
        <f t="shared" si="19"/>
        <v>-</v>
      </c>
      <c r="AB27" s="1076" t="str">
        <f t="shared" si="19"/>
        <v>-</v>
      </c>
      <c r="AC27" s="1076" t="str">
        <f t="shared" si="19"/>
        <v>-</v>
      </c>
      <c r="AD27" s="1076" t="str">
        <f t="shared" si="19"/>
        <v>-</v>
      </c>
      <c r="AE27" s="1076" t="str">
        <f t="shared" si="19"/>
        <v>-</v>
      </c>
      <c r="AF27" s="1076" t="str">
        <f t="shared" si="19"/>
        <v>-</v>
      </c>
      <c r="AG27" s="1076" t="str">
        <f t="shared" si="19"/>
        <v>-</v>
      </c>
      <c r="AH27" s="1076" t="str">
        <f t="shared" si="19"/>
        <v>-</v>
      </c>
      <c r="AI27" s="1076" t="str">
        <f t="shared" si="19"/>
        <v>-</v>
      </c>
      <c r="AJ27" s="1076" t="str">
        <f t="shared" si="19"/>
        <v>-</v>
      </c>
      <c r="AK27" s="1076" t="str">
        <f t="shared" si="19"/>
        <v>-</v>
      </c>
      <c r="AL27" s="1076" t="str">
        <f t="shared" si="19"/>
        <v>-</v>
      </c>
      <c r="AM27" s="1076" t="str">
        <f t="shared" si="19"/>
        <v>-</v>
      </c>
      <c r="AN27" s="1076" t="str">
        <f t="shared" si="19"/>
        <v>-</v>
      </c>
      <c r="AO27" s="1076" t="str">
        <f t="shared" si="19"/>
        <v>-</v>
      </c>
      <c r="AP27" s="1076" t="str">
        <f t="shared" si="19"/>
        <v>-</v>
      </c>
      <c r="AQ27" s="1076" t="str">
        <f t="shared" si="19"/>
        <v>-</v>
      </c>
      <c r="AR27" s="1076" t="str">
        <f t="shared" si="19"/>
        <v>-</v>
      </c>
      <c r="AS27" s="1075" t="str">
        <f t="shared" si="19"/>
        <v>-</v>
      </c>
      <c r="AT27" s="1075" t="str">
        <f t="shared" si="19"/>
        <v>-</v>
      </c>
      <c r="AU27" s="1075" t="str">
        <f t="shared" si="19"/>
        <v>-</v>
      </c>
      <c r="AV27" s="1075" t="str">
        <f t="shared" si="19"/>
        <v>-</v>
      </c>
      <c r="AW27" s="1075" t="str">
        <f t="shared" si="19"/>
        <v>-</v>
      </c>
      <c r="AX27" s="1075" t="str">
        <f t="shared" si="19"/>
        <v>-</v>
      </c>
      <c r="AY27" s="1075" t="str">
        <f t="shared" si="19"/>
        <v>-</v>
      </c>
      <c r="AZ27" s="1075" t="str">
        <f t="shared" si="19"/>
        <v>-</v>
      </c>
      <c r="BA27" s="1075" t="str">
        <f t="shared" si="19"/>
        <v>-</v>
      </c>
      <c r="BB27" s="1075" t="str">
        <f t="shared" ref="BB27:CG27" si="20">IFERROR(AVERAGE(BB25:BB26),"-")</f>
        <v>-</v>
      </c>
      <c r="BC27" s="1075" t="str">
        <f t="shared" si="20"/>
        <v>-</v>
      </c>
      <c r="BD27" s="1075" t="str">
        <f t="shared" si="20"/>
        <v>-</v>
      </c>
      <c r="BE27" s="1075" t="str">
        <f t="shared" si="20"/>
        <v>-</v>
      </c>
      <c r="BF27" s="1075" t="str">
        <f t="shared" si="20"/>
        <v>-</v>
      </c>
      <c r="BG27" s="1075" t="str">
        <f t="shared" si="20"/>
        <v>-</v>
      </c>
      <c r="BH27" s="1075" t="str">
        <f t="shared" si="20"/>
        <v>-</v>
      </c>
      <c r="BI27" s="1075" t="str">
        <f t="shared" si="20"/>
        <v>-</v>
      </c>
      <c r="BJ27" s="1075" t="str">
        <f t="shared" si="20"/>
        <v>-</v>
      </c>
      <c r="BK27" s="1075" t="str">
        <f t="shared" si="20"/>
        <v>-</v>
      </c>
      <c r="BL27" s="1075" t="str">
        <f t="shared" si="20"/>
        <v>-</v>
      </c>
      <c r="BM27" s="1075" t="str">
        <f t="shared" si="20"/>
        <v>-</v>
      </c>
      <c r="BN27" s="1075" t="str">
        <f t="shared" si="20"/>
        <v>-</v>
      </c>
      <c r="BO27" s="1075" t="str">
        <f t="shared" si="20"/>
        <v>-</v>
      </c>
      <c r="BP27" s="1075" t="str">
        <f t="shared" si="20"/>
        <v>-</v>
      </c>
      <c r="BQ27" s="1075" t="str">
        <f t="shared" si="20"/>
        <v>-</v>
      </c>
      <c r="BR27" s="1075" t="str">
        <f t="shared" si="20"/>
        <v>-</v>
      </c>
      <c r="BS27" s="1075" t="str">
        <f t="shared" si="20"/>
        <v>-</v>
      </c>
      <c r="BT27" s="1075" t="str">
        <f t="shared" si="20"/>
        <v>-</v>
      </c>
      <c r="BU27" s="1075" t="str">
        <f t="shared" si="20"/>
        <v>-</v>
      </c>
      <c r="BV27" s="1075" t="str">
        <f t="shared" si="20"/>
        <v>-</v>
      </c>
      <c r="BW27" s="1075" t="str">
        <f t="shared" si="20"/>
        <v>-</v>
      </c>
      <c r="BX27" s="1075" t="str">
        <f t="shared" si="20"/>
        <v>-</v>
      </c>
      <c r="BY27" s="1075" t="str">
        <f t="shared" si="20"/>
        <v>-</v>
      </c>
      <c r="BZ27" s="1075" t="str">
        <f t="shared" si="20"/>
        <v>-</v>
      </c>
      <c r="CA27" s="1075" t="str">
        <f t="shared" si="20"/>
        <v>-</v>
      </c>
      <c r="CB27" s="1075" t="str">
        <f t="shared" si="20"/>
        <v>-</v>
      </c>
      <c r="CC27" s="1075" t="str">
        <f t="shared" si="20"/>
        <v>-</v>
      </c>
      <c r="CD27" s="1075" t="str">
        <f t="shared" si="20"/>
        <v>-</v>
      </c>
      <c r="CE27" s="1075" t="str">
        <f t="shared" si="20"/>
        <v>-</v>
      </c>
      <c r="CF27" s="1075" t="str">
        <f t="shared" si="20"/>
        <v>-</v>
      </c>
      <c r="CG27" s="1075" t="str">
        <f t="shared" si="20"/>
        <v>-</v>
      </c>
      <c r="CH27" s="1075" t="str">
        <f t="shared" ref="CH27:DG27" si="21">IFERROR(AVERAGE(CH25:CH26),"-")</f>
        <v>-</v>
      </c>
      <c r="CI27" s="1075" t="str">
        <f t="shared" si="21"/>
        <v>-</v>
      </c>
      <c r="CJ27" s="1075" t="str">
        <f t="shared" si="21"/>
        <v>-</v>
      </c>
      <c r="CK27" s="1075" t="str">
        <f t="shared" si="21"/>
        <v>-</v>
      </c>
      <c r="CL27" s="1075" t="str">
        <f t="shared" si="21"/>
        <v>-</v>
      </c>
      <c r="CM27" s="1075" t="str">
        <f t="shared" si="21"/>
        <v>-</v>
      </c>
      <c r="CN27" s="1075" t="str">
        <f t="shared" si="21"/>
        <v>-</v>
      </c>
      <c r="CO27" s="1075" t="str">
        <f t="shared" si="21"/>
        <v>-</v>
      </c>
      <c r="CP27" s="1075" t="str">
        <f t="shared" si="21"/>
        <v>-</v>
      </c>
      <c r="CQ27" s="1075" t="str">
        <f t="shared" si="21"/>
        <v>-</v>
      </c>
      <c r="CR27" s="1075" t="str">
        <f t="shared" si="21"/>
        <v>-</v>
      </c>
      <c r="CS27" s="1075" t="str">
        <f t="shared" si="21"/>
        <v>-</v>
      </c>
      <c r="CT27" s="1075" t="str">
        <f t="shared" si="21"/>
        <v>-</v>
      </c>
      <c r="CU27" s="1075" t="str">
        <f t="shared" si="21"/>
        <v>-</v>
      </c>
      <c r="CV27" s="1075" t="str">
        <f t="shared" si="21"/>
        <v>-</v>
      </c>
      <c r="CW27" s="1075" t="str">
        <f t="shared" si="21"/>
        <v>-</v>
      </c>
      <c r="CX27" s="1075" t="str">
        <f t="shared" si="21"/>
        <v>-</v>
      </c>
      <c r="CY27" s="1075">
        <f t="shared" si="21"/>
        <v>399</v>
      </c>
      <c r="CZ27" s="1075">
        <f t="shared" si="21"/>
        <v>399</v>
      </c>
      <c r="DA27" s="1075">
        <f t="shared" si="21"/>
        <v>399</v>
      </c>
      <c r="DB27" s="1075">
        <f t="shared" si="21"/>
        <v>476</v>
      </c>
      <c r="DC27" s="1075">
        <f t="shared" si="21"/>
        <v>476</v>
      </c>
      <c r="DD27" s="1075">
        <f t="shared" si="21"/>
        <v>476</v>
      </c>
      <c r="DE27" s="1075">
        <f t="shared" si="21"/>
        <v>476</v>
      </c>
      <c r="DF27" s="1075">
        <f t="shared" si="21"/>
        <v>454.5</v>
      </c>
      <c r="DG27" s="1075">
        <f t="shared" si="21"/>
        <v>454.5</v>
      </c>
      <c r="DH27" s="1075">
        <v>454.5</v>
      </c>
      <c r="DI27" s="1075">
        <f t="shared" ref="DI27:DP27" si="22">IFERROR(AVERAGE(DI25:DI26),"-")</f>
        <v>454.5</v>
      </c>
      <c r="DJ27" s="1075">
        <f t="shared" si="22"/>
        <v>454.5</v>
      </c>
      <c r="DK27" s="1075">
        <f t="shared" si="22"/>
        <v>454.5</v>
      </c>
      <c r="DL27" s="1075">
        <f t="shared" si="22"/>
        <v>454.5</v>
      </c>
      <c r="DM27" s="1075">
        <f t="shared" si="22"/>
        <v>418</v>
      </c>
      <c r="DN27" s="1075">
        <f t="shared" si="22"/>
        <v>418</v>
      </c>
      <c r="DO27" s="1075">
        <f t="shared" si="22"/>
        <v>418</v>
      </c>
      <c r="DP27" s="1075">
        <f t="shared" si="22"/>
        <v>418</v>
      </c>
      <c r="DQ27" s="1075">
        <f>IFERROR(AVERAGE(DQ25:DQ26),"-")</f>
        <v>418</v>
      </c>
    </row>
    <row r="28" spans="1:121" x14ac:dyDescent="0.25">
      <c r="X28" s="340"/>
      <c r="Y28" s="340"/>
      <c r="Z28" s="340"/>
      <c r="AA28" s="340"/>
      <c r="AB28" s="340"/>
      <c r="AC28" s="340"/>
      <c r="AD28" s="340"/>
      <c r="AE28" s="340"/>
      <c r="AF28" s="340"/>
      <c r="AG28" s="340"/>
      <c r="AH28" s="340"/>
      <c r="AI28" s="340"/>
      <c r="AJ28" s="340"/>
      <c r="AK28" s="340"/>
      <c r="AL28" s="340"/>
      <c r="AM28" s="340"/>
      <c r="AN28" s="340"/>
      <c r="AO28" s="340"/>
      <c r="AP28" s="340"/>
      <c r="AQ28" s="340"/>
      <c r="AR28" s="340"/>
      <c r="AS28" s="340"/>
      <c r="AT28" s="801"/>
      <c r="AU28" s="801"/>
      <c r="AV28" s="922"/>
      <c r="AW28" s="801"/>
      <c r="AX28" s="801"/>
      <c r="AY28" s="801"/>
      <c r="AZ28" s="801"/>
      <c r="BA28" s="801"/>
      <c r="BB28" s="801"/>
      <c r="BC28" s="801"/>
      <c r="BD28" s="801"/>
      <c r="BE28" s="801"/>
      <c r="BF28" s="801"/>
      <c r="BG28" s="801"/>
      <c r="BH28" s="801"/>
      <c r="BI28" s="801"/>
      <c r="BJ28" s="801"/>
      <c r="BK28" s="801"/>
      <c r="BL28" s="801"/>
      <c r="BM28" s="801"/>
      <c r="BN28" s="801"/>
      <c r="BO28" s="801"/>
      <c r="BP28" s="801"/>
      <c r="BQ28" s="801"/>
      <c r="BR28" s="801"/>
      <c r="BS28" s="801"/>
      <c r="BT28" s="801"/>
      <c r="BU28" s="801"/>
      <c r="BV28" s="801"/>
      <c r="BW28" s="801"/>
      <c r="BX28" s="801"/>
      <c r="BY28" s="801"/>
      <c r="BZ28" s="801"/>
      <c r="CA28" s="801"/>
      <c r="CB28" s="801"/>
      <c r="CC28" s="801"/>
      <c r="CD28" s="801"/>
      <c r="CE28" s="801"/>
      <c r="CF28" s="801"/>
      <c r="CG28" s="801"/>
      <c r="CH28" s="801"/>
      <c r="CI28" s="801"/>
      <c r="CJ28" s="801"/>
      <c r="CK28" s="801"/>
      <c r="CL28" s="801"/>
      <c r="CM28" s="801"/>
      <c r="CN28" s="801"/>
      <c r="CO28" s="801"/>
      <c r="CP28" s="801"/>
      <c r="CQ28" s="801"/>
      <c r="CR28" s="801"/>
      <c r="CS28" s="801"/>
      <c r="CT28" s="801"/>
      <c r="CU28" s="801"/>
      <c r="CV28" s="801"/>
      <c r="CW28" s="801"/>
      <c r="CX28" s="801"/>
      <c r="CY28" s="801"/>
      <c r="CZ28" s="801"/>
      <c r="DA28" s="801"/>
      <c r="DB28" s="801"/>
      <c r="DC28" s="801"/>
      <c r="DD28" s="801"/>
      <c r="DE28" s="801"/>
      <c r="DF28" s="801"/>
      <c r="DG28" s="801"/>
      <c r="DH28" s="801"/>
      <c r="DI28" s="801"/>
      <c r="DJ28" s="801"/>
      <c r="DK28" s="801"/>
      <c r="DL28" s="801"/>
      <c r="DM28" s="801"/>
      <c r="DN28" s="801"/>
      <c r="DO28" s="801"/>
      <c r="DP28" s="801"/>
      <c r="DQ28" s="801"/>
    </row>
    <row r="29" spans="1:121" x14ac:dyDescent="0.25">
      <c r="B29" s="113" t="s">
        <v>1304</v>
      </c>
      <c r="C29" s="263">
        <f t="shared" ref="C29:BN29" si="23">C$11</f>
        <v>42522</v>
      </c>
      <c r="D29" s="263">
        <f t="shared" si="23"/>
        <v>42552</v>
      </c>
      <c r="E29" s="263">
        <f t="shared" si="23"/>
        <v>42583</v>
      </c>
      <c r="F29" s="263">
        <f t="shared" si="23"/>
        <v>42614</v>
      </c>
      <c r="G29" s="263">
        <f t="shared" si="23"/>
        <v>42644</v>
      </c>
      <c r="H29" s="263">
        <f t="shared" si="23"/>
        <v>42675</v>
      </c>
      <c r="I29" s="263">
        <f t="shared" si="23"/>
        <v>42705</v>
      </c>
      <c r="J29" s="263">
        <f t="shared" si="23"/>
        <v>42736</v>
      </c>
      <c r="K29" s="263">
        <f t="shared" si="23"/>
        <v>42767</v>
      </c>
      <c r="L29" s="263">
        <f t="shared" si="23"/>
        <v>42795</v>
      </c>
      <c r="M29" s="263">
        <f t="shared" si="23"/>
        <v>42826</v>
      </c>
      <c r="N29" s="263">
        <f t="shared" si="23"/>
        <v>42856</v>
      </c>
      <c r="O29" s="263">
        <f t="shared" si="23"/>
        <v>42887</v>
      </c>
      <c r="P29" s="263">
        <f t="shared" si="23"/>
        <v>42917</v>
      </c>
      <c r="Q29" s="263">
        <f t="shared" si="23"/>
        <v>42948</v>
      </c>
      <c r="R29" s="263">
        <f t="shared" si="23"/>
        <v>42979</v>
      </c>
      <c r="S29" s="263">
        <f t="shared" si="23"/>
        <v>43009</v>
      </c>
      <c r="T29" s="263">
        <f t="shared" si="23"/>
        <v>43040</v>
      </c>
      <c r="U29" s="263">
        <f t="shared" si="23"/>
        <v>43070</v>
      </c>
      <c r="V29" s="263">
        <f t="shared" si="23"/>
        <v>43101</v>
      </c>
      <c r="W29" s="263">
        <f t="shared" si="23"/>
        <v>43132</v>
      </c>
      <c r="X29" s="263">
        <f t="shared" si="23"/>
        <v>43160</v>
      </c>
      <c r="Y29" s="263">
        <f t="shared" si="23"/>
        <v>43191</v>
      </c>
      <c r="Z29" s="263">
        <f t="shared" si="23"/>
        <v>43221</v>
      </c>
      <c r="AA29" s="263">
        <f t="shared" si="23"/>
        <v>43252</v>
      </c>
      <c r="AB29" s="263">
        <f t="shared" si="23"/>
        <v>43283</v>
      </c>
      <c r="AC29" s="263">
        <f t="shared" si="23"/>
        <v>43314</v>
      </c>
      <c r="AD29" s="263">
        <f t="shared" si="23"/>
        <v>43345</v>
      </c>
      <c r="AE29" s="263">
        <f t="shared" si="23"/>
        <v>43376</v>
      </c>
      <c r="AF29" s="263">
        <f t="shared" si="23"/>
        <v>43407</v>
      </c>
      <c r="AG29" s="263">
        <f t="shared" si="23"/>
        <v>43437</v>
      </c>
      <c r="AH29" s="263">
        <f t="shared" si="23"/>
        <v>43468</v>
      </c>
      <c r="AI29" s="263">
        <f t="shared" si="23"/>
        <v>43499</v>
      </c>
      <c r="AJ29" s="263">
        <f t="shared" si="23"/>
        <v>43527</v>
      </c>
      <c r="AK29" s="263">
        <f t="shared" si="23"/>
        <v>43558</v>
      </c>
      <c r="AL29" s="263">
        <f t="shared" si="23"/>
        <v>43587</v>
      </c>
      <c r="AM29" s="263">
        <f t="shared" si="23"/>
        <v>43618</v>
      </c>
      <c r="AN29" s="263">
        <f t="shared" si="23"/>
        <v>43647</v>
      </c>
      <c r="AO29" s="263">
        <f t="shared" si="23"/>
        <v>43678</v>
      </c>
      <c r="AP29" s="263">
        <f t="shared" si="23"/>
        <v>43709</v>
      </c>
      <c r="AQ29" s="263">
        <f t="shared" si="23"/>
        <v>43739</v>
      </c>
      <c r="AR29" s="263">
        <f t="shared" si="23"/>
        <v>43770</v>
      </c>
      <c r="AS29" s="263">
        <f t="shared" si="23"/>
        <v>43800</v>
      </c>
      <c r="AT29" s="263">
        <f t="shared" si="23"/>
        <v>43831</v>
      </c>
      <c r="AU29" s="263">
        <f t="shared" si="23"/>
        <v>43862</v>
      </c>
      <c r="AV29" s="914">
        <f t="shared" si="23"/>
        <v>43891</v>
      </c>
      <c r="AW29" s="263">
        <f t="shared" si="23"/>
        <v>43922</v>
      </c>
      <c r="AX29" s="263">
        <f t="shared" si="23"/>
        <v>43952</v>
      </c>
      <c r="AY29" s="263">
        <f t="shared" si="23"/>
        <v>43983</v>
      </c>
      <c r="AZ29" s="263">
        <f t="shared" si="23"/>
        <v>44013</v>
      </c>
      <c r="BA29" s="263">
        <f t="shared" si="23"/>
        <v>44044</v>
      </c>
      <c r="BB29" s="263">
        <f t="shared" si="23"/>
        <v>44075</v>
      </c>
      <c r="BC29" s="263">
        <f t="shared" si="23"/>
        <v>44105</v>
      </c>
      <c r="BD29" s="263">
        <f t="shared" si="23"/>
        <v>44136</v>
      </c>
      <c r="BE29" s="263">
        <f t="shared" si="23"/>
        <v>44166</v>
      </c>
      <c r="BF29" s="263">
        <f t="shared" si="23"/>
        <v>44197</v>
      </c>
      <c r="BG29" s="263">
        <f t="shared" si="23"/>
        <v>44228</v>
      </c>
      <c r="BH29" s="263">
        <f t="shared" si="23"/>
        <v>44256</v>
      </c>
      <c r="BI29" s="263">
        <f t="shared" si="23"/>
        <v>44287</v>
      </c>
      <c r="BJ29" s="263">
        <f t="shared" si="23"/>
        <v>44317</v>
      </c>
      <c r="BK29" s="263">
        <f t="shared" si="23"/>
        <v>44348</v>
      </c>
      <c r="BL29" s="263">
        <f t="shared" si="23"/>
        <v>44378</v>
      </c>
      <c r="BM29" s="263">
        <f t="shared" si="23"/>
        <v>44409</v>
      </c>
      <c r="BN29" s="263">
        <f t="shared" si="23"/>
        <v>44440</v>
      </c>
      <c r="BO29" s="263">
        <f t="shared" ref="BO29:DQ29" si="24">BO$11</f>
        <v>44470</v>
      </c>
      <c r="BP29" s="263">
        <f t="shared" si="24"/>
        <v>44501</v>
      </c>
      <c r="BQ29" s="263">
        <f t="shared" si="24"/>
        <v>44531</v>
      </c>
      <c r="BR29" s="263">
        <f t="shared" si="24"/>
        <v>44562</v>
      </c>
      <c r="BS29" s="263">
        <f t="shared" si="24"/>
        <v>44593</v>
      </c>
      <c r="BT29" s="263">
        <f t="shared" si="24"/>
        <v>44622</v>
      </c>
      <c r="BU29" s="263">
        <f t="shared" si="24"/>
        <v>44654</v>
      </c>
      <c r="BV29" s="263">
        <f t="shared" si="24"/>
        <v>44685</v>
      </c>
      <c r="BW29" s="263">
        <f t="shared" si="24"/>
        <v>44716</v>
      </c>
      <c r="BX29" s="263">
        <f t="shared" si="24"/>
        <v>44746</v>
      </c>
      <c r="BY29" s="263">
        <f t="shared" si="24"/>
        <v>44774</v>
      </c>
      <c r="BZ29" s="263">
        <f t="shared" si="24"/>
        <v>44805</v>
      </c>
      <c r="CA29" s="263">
        <f t="shared" si="24"/>
        <v>44835</v>
      </c>
      <c r="CB29" s="263">
        <f t="shared" si="24"/>
        <v>44866</v>
      </c>
      <c r="CC29" s="263">
        <f t="shared" si="24"/>
        <v>44896</v>
      </c>
      <c r="CD29" s="263">
        <f t="shared" si="24"/>
        <v>44927</v>
      </c>
      <c r="CE29" s="263">
        <f t="shared" si="24"/>
        <v>44958</v>
      </c>
      <c r="CF29" s="263">
        <f t="shared" si="24"/>
        <v>44986</v>
      </c>
      <c r="CG29" s="263">
        <f t="shared" si="24"/>
        <v>45017</v>
      </c>
      <c r="CH29" s="263">
        <f t="shared" si="24"/>
        <v>45047</v>
      </c>
      <c r="CI29" s="263">
        <f t="shared" si="24"/>
        <v>45078</v>
      </c>
      <c r="CJ29" s="263">
        <f t="shared" si="24"/>
        <v>45108</v>
      </c>
      <c r="CK29" s="263">
        <f t="shared" si="24"/>
        <v>45139</v>
      </c>
      <c r="CL29" s="263">
        <f t="shared" si="24"/>
        <v>45170</v>
      </c>
      <c r="CM29" s="263">
        <f t="shared" si="24"/>
        <v>45200</v>
      </c>
      <c r="CN29" s="263">
        <f t="shared" si="24"/>
        <v>45231</v>
      </c>
      <c r="CO29" s="263">
        <f t="shared" si="24"/>
        <v>45261</v>
      </c>
      <c r="CP29" s="263">
        <f t="shared" si="24"/>
        <v>45292</v>
      </c>
      <c r="CQ29" s="263">
        <f t="shared" si="24"/>
        <v>45323</v>
      </c>
      <c r="CR29" s="263">
        <f t="shared" si="24"/>
        <v>45352</v>
      </c>
      <c r="CS29" s="263">
        <f t="shared" si="24"/>
        <v>45383</v>
      </c>
      <c r="CT29" s="263">
        <f t="shared" si="24"/>
        <v>45413</v>
      </c>
      <c r="CU29" s="263">
        <f t="shared" si="24"/>
        <v>45444</v>
      </c>
      <c r="CV29" s="263">
        <f t="shared" si="24"/>
        <v>45474</v>
      </c>
      <c r="CW29" s="263">
        <f t="shared" si="24"/>
        <v>45505</v>
      </c>
      <c r="CX29" s="263">
        <f t="shared" si="24"/>
        <v>45536</v>
      </c>
      <c r="CY29" s="263">
        <f t="shared" si="24"/>
        <v>45566</v>
      </c>
      <c r="CZ29" s="263">
        <f t="shared" si="24"/>
        <v>45597</v>
      </c>
      <c r="DA29" s="263">
        <f t="shared" si="24"/>
        <v>45627</v>
      </c>
      <c r="DB29" s="263">
        <f t="shared" si="24"/>
        <v>45658</v>
      </c>
      <c r="DC29" s="263">
        <f t="shared" si="24"/>
        <v>45689</v>
      </c>
      <c r="DD29" s="263">
        <f t="shared" si="24"/>
        <v>45717</v>
      </c>
      <c r="DE29" s="263">
        <f t="shared" si="24"/>
        <v>45748</v>
      </c>
      <c r="DF29" s="263">
        <f t="shared" si="24"/>
        <v>45778</v>
      </c>
      <c r="DG29" s="263">
        <f t="shared" si="24"/>
        <v>45809</v>
      </c>
      <c r="DH29" s="263">
        <v>45839</v>
      </c>
      <c r="DI29" s="263">
        <f t="shared" si="24"/>
        <v>45870</v>
      </c>
      <c r="DJ29" s="263">
        <f t="shared" si="24"/>
        <v>45901</v>
      </c>
      <c r="DK29" s="263">
        <f t="shared" si="24"/>
        <v>45931</v>
      </c>
      <c r="DL29" s="263">
        <f t="shared" si="24"/>
        <v>45962</v>
      </c>
      <c r="DM29" s="263">
        <f t="shared" si="24"/>
        <v>45992</v>
      </c>
      <c r="DN29" s="263">
        <f t="shared" si="24"/>
        <v>46023</v>
      </c>
      <c r="DO29" s="263">
        <f t="shared" si="24"/>
        <v>46054</v>
      </c>
      <c r="DP29" s="263">
        <f t="shared" si="24"/>
        <v>46082</v>
      </c>
      <c r="DQ29" s="263">
        <f t="shared" si="24"/>
        <v>46113</v>
      </c>
    </row>
    <row r="30" spans="1:121" customFormat="1" x14ac:dyDescent="0.25">
      <c r="A30" s="262"/>
      <c r="B30" s="117" t="s">
        <v>542</v>
      </c>
      <c r="C30" s="264" t="s">
        <v>160</v>
      </c>
      <c r="D30" s="264" t="s">
        <v>160</v>
      </c>
      <c r="E30" s="264" t="s">
        <v>160</v>
      </c>
      <c r="F30" s="265" t="s">
        <v>160</v>
      </c>
      <c r="G30" s="265" t="s">
        <v>160</v>
      </c>
      <c r="H30" s="265" t="s">
        <v>160</v>
      </c>
      <c r="I30" s="265" t="s">
        <v>160</v>
      </c>
      <c r="J30" s="265" t="s">
        <v>160</v>
      </c>
      <c r="K30" s="265" t="s">
        <v>160</v>
      </c>
      <c r="L30" s="586" t="s">
        <v>160</v>
      </c>
      <c r="M30" s="586" t="s">
        <v>160</v>
      </c>
      <c r="N30" s="586" t="s">
        <v>160</v>
      </c>
      <c r="O30" s="586" t="s">
        <v>160</v>
      </c>
      <c r="P30" s="586" t="s">
        <v>160</v>
      </c>
      <c r="Q30" s="586" t="s">
        <v>160</v>
      </c>
      <c r="R30" s="586" t="s">
        <v>160</v>
      </c>
      <c r="S30" s="586" t="s">
        <v>160</v>
      </c>
      <c r="T30" s="586" t="s">
        <v>160</v>
      </c>
      <c r="U30" s="585" t="s">
        <v>160</v>
      </c>
      <c r="V30" s="585" t="s">
        <v>160</v>
      </c>
      <c r="W30" s="585" t="s">
        <v>160</v>
      </c>
      <c r="X30" s="585" t="s">
        <v>160</v>
      </c>
      <c r="Y30" s="585" t="s">
        <v>160</v>
      </c>
      <c r="Z30" s="585" t="s">
        <v>160</v>
      </c>
      <c r="AA30" s="585" t="s">
        <v>160</v>
      </c>
      <c r="AB30" s="585" t="s">
        <v>160</v>
      </c>
      <c r="AC30" s="585" t="s">
        <v>160</v>
      </c>
      <c r="AD30" s="585" t="s">
        <v>160</v>
      </c>
      <c r="AE30" s="585" t="s">
        <v>160</v>
      </c>
      <c r="AF30" s="585" t="s">
        <v>160</v>
      </c>
      <c r="AG30" s="585" t="s">
        <v>160</v>
      </c>
      <c r="AH30" s="585" t="s">
        <v>160</v>
      </c>
      <c r="AI30" s="585" t="s">
        <v>160</v>
      </c>
      <c r="AJ30" s="347" t="s">
        <v>160</v>
      </c>
      <c r="AK30" s="347" t="s">
        <v>160</v>
      </c>
      <c r="AL30" s="347" t="s">
        <v>160</v>
      </c>
      <c r="AM30" s="347" t="s">
        <v>160</v>
      </c>
      <c r="AN30" s="347" t="s">
        <v>160</v>
      </c>
      <c r="AO30" s="347" t="s">
        <v>160</v>
      </c>
      <c r="AP30" s="347" t="s">
        <v>160</v>
      </c>
      <c r="AQ30" s="347" t="s">
        <v>160</v>
      </c>
      <c r="AR30" s="347" t="s">
        <v>160</v>
      </c>
      <c r="AS30" s="347" t="s">
        <v>160</v>
      </c>
      <c r="AT30" s="347" t="s">
        <v>160</v>
      </c>
      <c r="AU30" s="347" t="s">
        <v>160</v>
      </c>
      <c r="AV30" s="928" t="s">
        <v>160</v>
      </c>
      <c r="AW30" s="347" t="s">
        <v>160</v>
      </c>
      <c r="AX30" s="347" t="s">
        <v>160</v>
      </c>
      <c r="AY30" s="347" t="s">
        <v>160</v>
      </c>
      <c r="AZ30" s="347" t="s">
        <v>160</v>
      </c>
      <c r="BA30" s="347" t="s">
        <v>160</v>
      </c>
      <c r="BB30" s="347" t="s">
        <v>160</v>
      </c>
      <c r="BC30" s="347" t="s">
        <v>160</v>
      </c>
      <c r="BD30" s="347" t="s">
        <v>160</v>
      </c>
      <c r="BE30" s="347" t="s">
        <v>160</v>
      </c>
      <c r="BF30" s="585" t="s">
        <v>160</v>
      </c>
      <c r="BG30" s="585" t="s">
        <v>160</v>
      </c>
      <c r="BH30" s="585" t="s">
        <v>160</v>
      </c>
      <c r="BI30" s="585" t="s">
        <v>160</v>
      </c>
      <c r="BJ30" s="585" t="s">
        <v>160</v>
      </c>
      <c r="BK30" s="585" t="s">
        <v>160</v>
      </c>
      <c r="BL30" s="585" t="s">
        <v>160</v>
      </c>
      <c r="BM30" s="585" t="s">
        <v>160</v>
      </c>
      <c r="BN30" s="585" t="s">
        <v>160</v>
      </c>
      <c r="BO30" s="585" t="s">
        <v>160</v>
      </c>
      <c r="BP30" s="585" t="s">
        <v>160</v>
      </c>
      <c r="BQ30" s="585" t="s">
        <v>160</v>
      </c>
      <c r="BR30" s="585" t="s">
        <v>160</v>
      </c>
      <c r="BS30" s="585" t="s">
        <v>160</v>
      </c>
      <c r="BT30" s="585" t="s">
        <v>160</v>
      </c>
      <c r="BU30" s="585" t="s">
        <v>160</v>
      </c>
      <c r="BV30" s="585" t="s">
        <v>160</v>
      </c>
      <c r="BW30" s="585" t="s">
        <v>160</v>
      </c>
      <c r="BX30" s="585" t="s">
        <v>160</v>
      </c>
      <c r="BY30" s="585" t="s">
        <v>160</v>
      </c>
      <c r="BZ30" s="585" t="s">
        <v>160</v>
      </c>
      <c r="CA30" s="585" t="s">
        <v>160</v>
      </c>
      <c r="CB30" s="585" t="s">
        <v>160</v>
      </c>
      <c r="CC30" s="585" t="s">
        <v>160</v>
      </c>
      <c r="CD30" s="585" t="s">
        <v>160</v>
      </c>
      <c r="CE30" s="585" t="s">
        <v>160</v>
      </c>
      <c r="CF30" s="585" t="s">
        <v>160</v>
      </c>
      <c r="CG30" s="585" t="s">
        <v>160</v>
      </c>
      <c r="CH30" s="585" t="s">
        <v>160</v>
      </c>
      <c r="CI30" s="585" t="s">
        <v>160</v>
      </c>
      <c r="CJ30" s="585" t="s">
        <v>160</v>
      </c>
      <c r="CK30" s="585" t="s">
        <v>160</v>
      </c>
      <c r="CL30" s="585" t="s">
        <v>160</v>
      </c>
      <c r="CM30" s="585" t="s">
        <v>160</v>
      </c>
      <c r="CN30" s="585" t="s">
        <v>160</v>
      </c>
      <c r="CO30" s="585" t="s">
        <v>160</v>
      </c>
      <c r="CP30" s="585" t="s">
        <v>160</v>
      </c>
      <c r="CQ30" s="585" t="s">
        <v>160</v>
      </c>
      <c r="CR30" s="585" t="s">
        <v>160</v>
      </c>
      <c r="CS30" s="585" t="s">
        <v>160</v>
      </c>
      <c r="CT30" s="585" t="s">
        <v>160</v>
      </c>
      <c r="CU30" s="585" t="s">
        <v>160</v>
      </c>
      <c r="CV30" s="585" t="s">
        <v>160</v>
      </c>
      <c r="CW30" s="585" t="s">
        <v>160</v>
      </c>
      <c r="CX30" s="585" t="s">
        <v>160</v>
      </c>
      <c r="CY30" s="585" t="s">
        <v>160</v>
      </c>
      <c r="CZ30" s="585" t="s">
        <v>160</v>
      </c>
      <c r="DA30" s="585" t="s">
        <v>160</v>
      </c>
      <c r="DB30" s="585" t="s">
        <v>160</v>
      </c>
      <c r="DC30" s="585" t="s">
        <v>160</v>
      </c>
      <c r="DD30" s="585" t="s">
        <v>160</v>
      </c>
      <c r="DE30" s="585" t="s">
        <v>160</v>
      </c>
      <c r="DF30" s="679">
        <v>288</v>
      </c>
      <c r="DG30" s="585">
        <v>288</v>
      </c>
      <c r="DH30" s="585">
        <v>288</v>
      </c>
      <c r="DI30" s="585">
        <v>288</v>
      </c>
      <c r="DJ30" s="585">
        <v>288</v>
      </c>
      <c r="DK30" s="585">
        <v>288</v>
      </c>
      <c r="DL30" s="585">
        <v>288</v>
      </c>
      <c r="DM30" s="679">
        <v>274</v>
      </c>
      <c r="DN30" s="585">
        <v>274</v>
      </c>
      <c r="DO30" s="585">
        <v>274</v>
      </c>
      <c r="DP30" s="585">
        <v>274</v>
      </c>
      <c r="DQ30" s="585">
        <v>274</v>
      </c>
    </row>
    <row r="31" spans="1:121" x14ac:dyDescent="0.25">
      <c r="B31" s="117" t="s">
        <v>547</v>
      </c>
      <c r="C31" s="264" t="s">
        <v>160</v>
      </c>
      <c r="D31" s="264" t="s">
        <v>160</v>
      </c>
      <c r="E31" s="264" t="s">
        <v>160</v>
      </c>
      <c r="F31" s="264" t="s">
        <v>160</v>
      </c>
      <c r="G31" s="265" t="s">
        <v>160</v>
      </c>
      <c r="H31" s="265" t="s">
        <v>160</v>
      </c>
      <c r="I31" s="265" t="s">
        <v>160</v>
      </c>
      <c r="J31" s="265" t="s">
        <v>160</v>
      </c>
      <c r="K31" s="265" t="s">
        <v>160</v>
      </c>
      <c r="L31" s="586" t="s">
        <v>160</v>
      </c>
      <c r="M31" s="586" t="s">
        <v>160</v>
      </c>
      <c r="N31" s="586" t="s">
        <v>160</v>
      </c>
      <c r="O31" s="586" t="s">
        <v>160</v>
      </c>
      <c r="P31" s="586" t="s">
        <v>160</v>
      </c>
      <c r="Q31" s="585" t="s">
        <v>160</v>
      </c>
      <c r="R31" s="585" t="s">
        <v>160</v>
      </c>
      <c r="S31" s="585" t="s">
        <v>160</v>
      </c>
      <c r="T31" s="585" t="s">
        <v>160</v>
      </c>
      <c r="U31" s="585" t="s">
        <v>160</v>
      </c>
      <c r="V31" s="585" t="s">
        <v>160</v>
      </c>
      <c r="W31" s="585" t="s">
        <v>160</v>
      </c>
      <c r="X31" s="585" t="s">
        <v>160</v>
      </c>
      <c r="Y31" s="585" t="s">
        <v>160</v>
      </c>
      <c r="Z31" s="585" t="s">
        <v>160</v>
      </c>
      <c r="AA31" s="585" t="s">
        <v>160</v>
      </c>
      <c r="AB31" s="585" t="s">
        <v>160</v>
      </c>
      <c r="AC31" s="585" t="s">
        <v>160</v>
      </c>
      <c r="AD31" s="585" t="s">
        <v>160</v>
      </c>
      <c r="AE31" s="585" t="s">
        <v>160</v>
      </c>
      <c r="AF31" s="585" t="s">
        <v>160</v>
      </c>
      <c r="AG31" s="585" t="s">
        <v>160</v>
      </c>
      <c r="AH31" s="585" t="s">
        <v>160</v>
      </c>
      <c r="AI31" s="585" t="s">
        <v>160</v>
      </c>
      <c r="AJ31" s="347" t="s">
        <v>160</v>
      </c>
      <c r="AK31" s="347" t="s">
        <v>160</v>
      </c>
      <c r="AL31" s="347" t="s">
        <v>160</v>
      </c>
      <c r="AM31" s="347" t="s">
        <v>160</v>
      </c>
      <c r="AN31" s="347" t="s">
        <v>160</v>
      </c>
      <c r="AO31" s="347" t="s">
        <v>160</v>
      </c>
      <c r="AP31" s="347" t="s">
        <v>160</v>
      </c>
      <c r="AQ31" s="347" t="s">
        <v>160</v>
      </c>
      <c r="AR31" s="347" t="s">
        <v>160</v>
      </c>
      <c r="AS31" s="347" t="s">
        <v>160</v>
      </c>
      <c r="AT31" s="347" t="s">
        <v>160</v>
      </c>
      <c r="AU31" s="347" t="s">
        <v>160</v>
      </c>
      <c r="AV31" s="928" t="s">
        <v>160</v>
      </c>
      <c r="AW31" s="347" t="s">
        <v>160</v>
      </c>
      <c r="AX31" s="347" t="s">
        <v>160</v>
      </c>
      <c r="AY31" s="347" t="s">
        <v>160</v>
      </c>
      <c r="AZ31" s="347" t="s">
        <v>160</v>
      </c>
      <c r="BA31" s="347" t="s">
        <v>160</v>
      </c>
      <c r="BB31" s="347" t="s">
        <v>160</v>
      </c>
      <c r="BC31" s="347" t="s">
        <v>160</v>
      </c>
      <c r="BD31" s="347" t="s">
        <v>160</v>
      </c>
      <c r="BE31" s="347" t="s">
        <v>160</v>
      </c>
      <c r="BF31" s="347" t="s">
        <v>160</v>
      </c>
      <c r="BG31" s="347" t="s">
        <v>160</v>
      </c>
      <c r="BH31" s="347" t="s">
        <v>160</v>
      </c>
      <c r="BI31" s="347" t="s">
        <v>160</v>
      </c>
      <c r="BJ31" s="347" t="s">
        <v>160</v>
      </c>
      <c r="BK31" s="347" t="s">
        <v>160</v>
      </c>
      <c r="BL31" s="347" t="s">
        <v>160</v>
      </c>
      <c r="BM31" s="347" t="s">
        <v>160</v>
      </c>
      <c r="BN31" s="585" t="s">
        <v>160</v>
      </c>
      <c r="BO31" s="585" t="s">
        <v>160</v>
      </c>
      <c r="BP31" s="585" t="s">
        <v>160</v>
      </c>
      <c r="BQ31" s="585" t="s">
        <v>160</v>
      </c>
      <c r="BR31" s="585" t="s">
        <v>160</v>
      </c>
      <c r="BS31" s="585" t="s">
        <v>160</v>
      </c>
      <c r="BT31" s="585" t="s">
        <v>160</v>
      </c>
      <c r="BU31" s="585" t="s">
        <v>160</v>
      </c>
      <c r="BV31" s="585" t="s">
        <v>160</v>
      </c>
      <c r="BW31" s="585" t="s">
        <v>160</v>
      </c>
      <c r="BX31" s="585" t="s">
        <v>160</v>
      </c>
      <c r="BY31" s="585" t="s">
        <v>160</v>
      </c>
      <c r="BZ31" s="585" t="s">
        <v>160</v>
      </c>
      <c r="CA31" s="585" t="s">
        <v>160</v>
      </c>
      <c r="CB31" s="585" t="s">
        <v>160</v>
      </c>
      <c r="CC31" s="585" t="s">
        <v>160</v>
      </c>
      <c r="CD31" s="585" t="s">
        <v>160</v>
      </c>
      <c r="CE31" s="585" t="s">
        <v>160</v>
      </c>
      <c r="CF31" s="585" t="s">
        <v>160</v>
      </c>
      <c r="CG31" s="585" t="s">
        <v>160</v>
      </c>
      <c r="CH31" s="585" t="s">
        <v>160</v>
      </c>
      <c r="CI31" s="585" t="s">
        <v>160</v>
      </c>
      <c r="CJ31" s="585" t="s">
        <v>160</v>
      </c>
      <c r="CK31" s="585" t="s">
        <v>160</v>
      </c>
      <c r="CL31" s="585" t="s">
        <v>160</v>
      </c>
      <c r="CM31" s="585" t="s">
        <v>160</v>
      </c>
      <c r="CN31" s="585" t="s">
        <v>160</v>
      </c>
      <c r="CO31" s="585" t="s">
        <v>160</v>
      </c>
      <c r="CP31" s="585" t="s">
        <v>160</v>
      </c>
      <c r="CQ31" s="585" t="s">
        <v>160</v>
      </c>
      <c r="CR31" s="585" t="s">
        <v>160</v>
      </c>
      <c r="CS31" s="585" t="s">
        <v>160</v>
      </c>
      <c r="CT31" s="585" t="s">
        <v>160</v>
      </c>
      <c r="CU31" s="585" t="s">
        <v>160</v>
      </c>
      <c r="CV31" s="585" t="s">
        <v>160</v>
      </c>
      <c r="CW31" s="585" t="s">
        <v>160</v>
      </c>
      <c r="CX31" s="585" t="s">
        <v>160</v>
      </c>
      <c r="CY31" s="585">
        <v>285</v>
      </c>
      <c r="CZ31" s="585">
        <v>285</v>
      </c>
      <c r="DA31" s="585">
        <v>285</v>
      </c>
      <c r="DB31" s="679">
        <v>326</v>
      </c>
      <c r="DC31" s="585">
        <v>326</v>
      </c>
      <c r="DD31" s="585">
        <v>326</v>
      </c>
      <c r="DE31" s="585">
        <v>326</v>
      </c>
      <c r="DF31" s="585">
        <v>326</v>
      </c>
      <c r="DG31" s="585">
        <v>326</v>
      </c>
      <c r="DH31" s="585">
        <v>326</v>
      </c>
      <c r="DI31" s="585">
        <v>326</v>
      </c>
      <c r="DJ31" s="585">
        <v>326</v>
      </c>
      <c r="DK31" s="585">
        <v>326</v>
      </c>
      <c r="DL31" s="585">
        <v>326</v>
      </c>
      <c r="DM31" s="679">
        <v>267</v>
      </c>
      <c r="DN31" s="585">
        <v>267</v>
      </c>
      <c r="DO31" s="585">
        <v>267</v>
      </c>
      <c r="DP31" s="585">
        <v>267</v>
      </c>
      <c r="DQ31" s="585">
        <v>267</v>
      </c>
    </row>
    <row r="32" spans="1:121" x14ac:dyDescent="0.25">
      <c r="A32"/>
      <c r="B32" s="1072" t="s">
        <v>557</v>
      </c>
      <c r="C32" s="1075" t="str">
        <f t="shared" ref="C32:AH32" si="25">IFERROR(AVERAGE(C30:C31),"-")</f>
        <v>-</v>
      </c>
      <c r="D32" s="1075" t="str">
        <f t="shared" si="25"/>
        <v>-</v>
      </c>
      <c r="E32" s="1075" t="str">
        <f t="shared" si="25"/>
        <v>-</v>
      </c>
      <c r="F32" s="1075" t="str">
        <f t="shared" si="25"/>
        <v>-</v>
      </c>
      <c r="G32" s="1075" t="str">
        <f t="shared" si="25"/>
        <v>-</v>
      </c>
      <c r="H32" s="1075" t="str">
        <f t="shared" si="25"/>
        <v>-</v>
      </c>
      <c r="I32" s="1075" t="str">
        <f t="shared" si="25"/>
        <v>-</v>
      </c>
      <c r="J32" s="1075" t="str">
        <f t="shared" si="25"/>
        <v>-</v>
      </c>
      <c r="K32" s="1075" t="str">
        <f t="shared" si="25"/>
        <v>-</v>
      </c>
      <c r="L32" s="1075" t="str">
        <f t="shared" si="25"/>
        <v>-</v>
      </c>
      <c r="M32" s="1075" t="str">
        <f t="shared" si="25"/>
        <v>-</v>
      </c>
      <c r="N32" s="1075" t="str">
        <f t="shared" si="25"/>
        <v>-</v>
      </c>
      <c r="O32" s="1075" t="str">
        <f t="shared" si="25"/>
        <v>-</v>
      </c>
      <c r="P32" s="1075" t="str">
        <f t="shared" si="25"/>
        <v>-</v>
      </c>
      <c r="Q32" s="1075" t="str">
        <f t="shared" si="25"/>
        <v>-</v>
      </c>
      <c r="R32" s="1075" t="str">
        <f t="shared" si="25"/>
        <v>-</v>
      </c>
      <c r="S32" s="1075" t="str">
        <f t="shared" si="25"/>
        <v>-</v>
      </c>
      <c r="T32" s="1075" t="str">
        <f t="shared" si="25"/>
        <v>-</v>
      </c>
      <c r="U32" s="1075" t="str">
        <f t="shared" si="25"/>
        <v>-</v>
      </c>
      <c r="V32" s="1075" t="str">
        <f t="shared" si="25"/>
        <v>-</v>
      </c>
      <c r="W32" s="1075" t="str">
        <f t="shared" si="25"/>
        <v>-</v>
      </c>
      <c r="X32" s="1075" t="str">
        <f t="shared" si="25"/>
        <v>-</v>
      </c>
      <c r="Y32" s="1075" t="str">
        <f t="shared" si="25"/>
        <v>-</v>
      </c>
      <c r="Z32" s="1075" t="str">
        <f t="shared" si="25"/>
        <v>-</v>
      </c>
      <c r="AA32" s="1075" t="str">
        <f t="shared" si="25"/>
        <v>-</v>
      </c>
      <c r="AB32" s="1075" t="str">
        <f t="shared" si="25"/>
        <v>-</v>
      </c>
      <c r="AC32" s="1075" t="str">
        <f t="shared" si="25"/>
        <v>-</v>
      </c>
      <c r="AD32" s="1075" t="str">
        <f t="shared" si="25"/>
        <v>-</v>
      </c>
      <c r="AE32" s="1075" t="str">
        <f t="shared" si="25"/>
        <v>-</v>
      </c>
      <c r="AF32" s="1075" t="str">
        <f t="shared" si="25"/>
        <v>-</v>
      </c>
      <c r="AG32" s="1075" t="str">
        <f t="shared" si="25"/>
        <v>-</v>
      </c>
      <c r="AH32" s="1075" t="str">
        <f t="shared" si="25"/>
        <v>-</v>
      </c>
      <c r="AI32" s="1075" t="str">
        <f t="shared" ref="AI32:BN32" si="26">IFERROR(AVERAGE(AI30:AI31),"-")</f>
        <v>-</v>
      </c>
      <c r="AJ32" s="1075" t="str">
        <f t="shared" si="26"/>
        <v>-</v>
      </c>
      <c r="AK32" s="1075" t="str">
        <f t="shared" si="26"/>
        <v>-</v>
      </c>
      <c r="AL32" s="1075" t="str">
        <f t="shared" si="26"/>
        <v>-</v>
      </c>
      <c r="AM32" s="1075" t="str">
        <f t="shared" si="26"/>
        <v>-</v>
      </c>
      <c r="AN32" s="1075" t="str">
        <f t="shared" si="26"/>
        <v>-</v>
      </c>
      <c r="AO32" s="1075" t="str">
        <f t="shared" si="26"/>
        <v>-</v>
      </c>
      <c r="AP32" s="1075" t="str">
        <f t="shared" si="26"/>
        <v>-</v>
      </c>
      <c r="AQ32" s="1075" t="str">
        <f t="shared" si="26"/>
        <v>-</v>
      </c>
      <c r="AR32" s="1075" t="str">
        <f t="shared" si="26"/>
        <v>-</v>
      </c>
      <c r="AS32" s="1075" t="str">
        <f t="shared" si="26"/>
        <v>-</v>
      </c>
      <c r="AT32" s="1075" t="str">
        <f t="shared" si="26"/>
        <v>-</v>
      </c>
      <c r="AU32" s="1075" t="str">
        <f t="shared" si="26"/>
        <v>-</v>
      </c>
      <c r="AV32" s="1075" t="str">
        <f t="shared" si="26"/>
        <v>-</v>
      </c>
      <c r="AW32" s="1075" t="str">
        <f t="shared" si="26"/>
        <v>-</v>
      </c>
      <c r="AX32" s="1075" t="str">
        <f t="shared" si="26"/>
        <v>-</v>
      </c>
      <c r="AY32" s="1075" t="str">
        <f t="shared" si="26"/>
        <v>-</v>
      </c>
      <c r="AZ32" s="1075" t="str">
        <f t="shared" si="26"/>
        <v>-</v>
      </c>
      <c r="BA32" s="1075" t="str">
        <f t="shared" si="26"/>
        <v>-</v>
      </c>
      <c r="BB32" s="1075" t="str">
        <f t="shared" si="26"/>
        <v>-</v>
      </c>
      <c r="BC32" s="1075" t="str">
        <f t="shared" si="26"/>
        <v>-</v>
      </c>
      <c r="BD32" s="1075" t="str">
        <f t="shared" si="26"/>
        <v>-</v>
      </c>
      <c r="BE32" s="1075" t="str">
        <f t="shared" si="26"/>
        <v>-</v>
      </c>
      <c r="BF32" s="1075" t="str">
        <f t="shared" si="26"/>
        <v>-</v>
      </c>
      <c r="BG32" s="1075" t="str">
        <f t="shared" si="26"/>
        <v>-</v>
      </c>
      <c r="BH32" s="1075" t="str">
        <f t="shared" si="26"/>
        <v>-</v>
      </c>
      <c r="BI32" s="1075" t="str">
        <f t="shared" si="26"/>
        <v>-</v>
      </c>
      <c r="BJ32" s="1075" t="str">
        <f t="shared" si="26"/>
        <v>-</v>
      </c>
      <c r="BK32" s="1075" t="str">
        <f t="shared" si="26"/>
        <v>-</v>
      </c>
      <c r="BL32" s="1075" t="str">
        <f t="shared" si="26"/>
        <v>-</v>
      </c>
      <c r="BM32" s="1075" t="str">
        <f t="shared" si="26"/>
        <v>-</v>
      </c>
      <c r="BN32" s="1075" t="str">
        <f t="shared" si="26"/>
        <v>-</v>
      </c>
      <c r="BO32" s="1075" t="str">
        <f t="shared" ref="BO32:CT32" si="27">IFERROR(AVERAGE(BO30:BO31),"-")</f>
        <v>-</v>
      </c>
      <c r="BP32" s="1075" t="str">
        <f t="shared" si="27"/>
        <v>-</v>
      </c>
      <c r="BQ32" s="1075" t="str">
        <f t="shared" si="27"/>
        <v>-</v>
      </c>
      <c r="BR32" s="1075" t="str">
        <f t="shared" si="27"/>
        <v>-</v>
      </c>
      <c r="BS32" s="1075" t="str">
        <f t="shared" si="27"/>
        <v>-</v>
      </c>
      <c r="BT32" s="1075" t="str">
        <f t="shared" si="27"/>
        <v>-</v>
      </c>
      <c r="BU32" s="1075" t="str">
        <f t="shared" si="27"/>
        <v>-</v>
      </c>
      <c r="BV32" s="1075" t="str">
        <f t="shared" si="27"/>
        <v>-</v>
      </c>
      <c r="BW32" s="1075" t="str">
        <f t="shared" si="27"/>
        <v>-</v>
      </c>
      <c r="BX32" s="1075" t="str">
        <f t="shared" si="27"/>
        <v>-</v>
      </c>
      <c r="BY32" s="1075" t="str">
        <f t="shared" si="27"/>
        <v>-</v>
      </c>
      <c r="BZ32" s="1075" t="str">
        <f t="shared" si="27"/>
        <v>-</v>
      </c>
      <c r="CA32" s="1075" t="str">
        <f t="shared" si="27"/>
        <v>-</v>
      </c>
      <c r="CB32" s="1075" t="str">
        <f t="shared" si="27"/>
        <v>-</v>
      </c>
      <c r="CC32" s="1075" t="str">
        <f t="shared" si="27"/>
        <v>-</v>
      </c>
      <c r="CD32" s="1075" t="str">
        <f t="shared" si="27"/>
        <v>-</v>
      </c>
      <c r="CE32" s="1075" t="str">
        <f t="shared" si="27"/>
        <v>-</v>
      </c>
      <c r="CF32" s="1075" t="str">
        <f t="shared" si="27"/>
        <v>-</v>
      </c>
      <c r="CG32" s="1075" t="str">
        <f t="shared" si="27"/>
        <v>-</v>
      </c>
      <c r="CH32" s="1075" t="str">
        <f t="shared" si="27"/>
        <v>-</v>
      </c>
      <c r="CI32" s="1075" t="str">
        <f t="shared" si="27"/>
        <v>-</v>
      </c>
      <c r="CJ32" s="1075" t="str">
        <f t="shared" si="27"/>
        <v>-</v>
      </c>
      <c r="CK32" s="1075" t="str">
        <f t="shared" si="27"/>
        <v>-</v>
      </c>
      <c r="CL32" s="1075" t="str">
        <f t="shared" si="27"/>
        <v>-</v>
      </c>
      <c r="CM32" s="1075" t="str">
        <f t="shared" si="27"/>
        <v>-</v>
      </c>
      <c r="CN32" s="1075" t="str">
        <f t="shared" si="27"/>
        <v>-</v>
      </c>
      <c r="CO32" s="1075" t="str">
        <f t="shared" si="27"/>
        <v>-</v>
      </c>
      <c r="CP32" s="1075" t="str">
        <f t="shared" si="27"/>
        <v>-</v>
      </c>
      <c r="CQ32" s="1075" t="str">
        <f t="shared" si="27"/>
        <v>-</v>
      </c>
      <c r="CR32" s="1075" t="str">
        <f t="shared" si="27"/>
        <v>-</v>
      </c>
      <c r="CS32" s="1075" t="str">
        <f t="shared" si="27"/>
        <v>-</v>
      </c>
      <c r="CT32" s="1075" t="str">
        <f t="shared" si="27"/>
        <v>-</v>
      </c>
      <c r="CU32" s="1075" t="str">
        <f t="shared" ref="CU32:DG32" si="28">IFERROR(AVERAGE(CU30:CU31),"-")</f>
        <v>-</v>
      </c>
      <c r="CV32" s="1075" t="str">
        <f t="shared" si="28"/>
        <v>-</v>
      </c>
      <c r="CW32" s="1075" t="str">
        <f t="shared" si="28"/>
        <v>-</v>
      </c>
      <c r="CX32" s="1075" t="str">
        <f t="shared" si="28"/>
        <v>-</v>
      </c>
      <c r="CY32" s="1075">
        <f t="shared" si="28"/>
        <v>285</v>
      </c>
      <c r="CZ32" s="1075">
        <f t="shared" si="28"/>
        <v>285</v>
      </c>
      <c r="DA32" s="1075">
        <f t="shared" si="28"/>
        <v>285</v>
      </c>
      <c r="DB32" s="1075">
        <f t="shared" si="28"/>
        <v>326</v>
      </c>
      <c r="DC32" s="1075">
        <f t="shared" si="28"/>
        <v>326</v>
      </c>
      <c r="DD32" s="1075">
        <f t="shared" si="28"/>
        <v>326</v>
      </c>
      <c r="DE32" s="1075">
        <f t="shared" si="28"/>
        <v>326</v>
      </c>
      <c r="DF32" s="1075">
        <f t="shared" si="28"/>
        <v>307</v>
      </c>
      <c r="DG32" s="1075">
        <f t="shared" si="28"/>
        <v>307</v>
      </c>
      <c r="DH32" s="1075">
        <v>307</v>
      </c>
      <c r="DI32" s="1075">
        <f t="shared" ref="DI32:DP32" si="29">IFERROR(AVERAGE(DI30:DI31),"-")</f>
        <v>307</v>
      </c>
      <c r="DJ32" s="1075">
        <f t="shared" si="29"/>
        <v>307</v>
      </c>
      <c r="DK32" s="1075">
        <f t="shared" si="29"/>
        <v>307</v>
      </c>
      <c r="DL32" s="1075">
        <f t="shared" si="29"/>
        <v>307</v>
      </c>
      <c r="DM32" s="1075">
        <f t="shared" si="29"/>
        <v>270.5</v>
      </c>
      <c r="DN32" s="1075">
        <f t="shared" si="29"/>
        <v>270.5</v>
      </c>
      <c r="DO32" s="1075">
        <f t="shared" si="29"/>
        <v>270.5</v>
      </c>
      <c r="DP32" s="1075">
        <f t="shared" si="29"/>
        <v>270.5</v>
      </c>
      <c r="DQ32" s="1075">
        <f>IFERROR(AVERAGE(DQ30:DQ31),"-")</f>
        <v>270.5</v>
      </c>
    </row>
    <row r="33" spans="1:121" x14ac:dyDescent="0.25">
      <c r="A33" s="992"/>
      <c r="B33" s="990"/>
      <c r="C33" s="991"/>
      <c r="D33" s="991"/>
      <c r="E33" s="991"/>
      <c r="F33" s="991"/>
      <c r="G33" s="991"/>
      <c r="H33" s="991"/>
      <c r="I33" s="991"/>
      <c r="J33" s="991"/>
      <c r="K33" s="991"/>
      <c r="L33" s="992"/>
      <c r="M33" s="992"/>
      <c r="N33" s="992"/>
      <c r="O33" s="992"/>
      <c r="P33" s="992"/>
      <c r="Q33" s="992"/>
      <c r="R33" s="992"/>
      <c r="S33" s="992"/>
      <c r="T33" s="992"/>
      <c r="U33" s="992"/>
      <c r="V33" s="993"/>
      <c r="W33" s="993"/>
      <c r="X33" s="993"/>
      <c r="Y33" s="993"/>
      <c r="Z33" s="993"/>
      <c r="AA33" s="993"/>
      <c r="AB33" s="993"/>
      <c r="AC33" s="993"/>
      <c r="AD33" s="993"/>
      <c r="AE33" s="993"/>
      <c r="AF33" s="993"/>
      <c r="AG33" s="993"/>
      <c r="AH33" s="993"/>
      <c r="AI33" s="993"/>
      <c r="AJ33" s="993"/>
      <c r="AK33" s="993"/>
      <c r="AL33" s="993"/>
      <c r="AM33" s="993"/>
      <c r="AN33" s="993"/>
      <c r="AO33" s="993"/>
      <c r="AP33" s="993"/>
      <c r="AQ33" s="993"/>
      <c r="AR33" s="993"/>
      <c r="AS33" s="993"/>
      <c r="AT33" s="992"/>
      <c r="AU33" s="992"/>
      <c r="AV33" s="994"/>
      <c r="AW33" s="995"/>
      <c r="AX33" s="995"/>
      <c r="AY33" s="995"/>
      <c r="AZ33" s="992"/>
      <c r="BA33" s="992"/>
      <c r="BB33" s="992"/>
      <c r="BC33" s="992"/>
      <c r="BD33" s="992"/>
      <c r="BE33" s="992"/>
      <c r="BF33" s="992"/>
      <c r="BG33" s="992"/>
      <c r="BH33" s="992"/>
      <c r="BI33" s="992"/>
      <c r="BJ33" s="992"/>
      <c r="BK33" s="992"/>
      <c r="BL33" s="992"/>
      <c r="BM33" s="992"/>
      <c r="BN33" s="992"/>
      <c r="BO33" s="992"/>
      <c r="BP33" s="992"/>
      <c r="BQ33" s="992"/>
      <c r="BR33" s="992"/>
      <c r="BS33" s="992"/>
      <c r="BT33" s="992"/>
      <c r="BU33" s="992"/>
      <c r="BV33" s="992"/>
      <c r="BW33" s="992"/>
      <c r="BX33" s="992"/>
      <c r="BY33" s="992"/>
      <c r="BZ33" s="992"/>
      <c r="CA33" s="992"/>
      <c r="CB33" s="992"/>
      <c r="CC33" s="992"/>
      <c r="CD33" s="992"/>
      <c r="CE33" s="992"/>
      <c r="CF33" s="992"/>
      <c r="CG33" s="992"/>
      <c r="CH33" s="992"/>
      <c r="CI33" s="992"/>
      <c r="CJ33" s="992"/>
      <c r="CK33" s="992"/>
      <c r="CL33" s="992"/>
      <c r="CM33" s="992"/>
      <c r="CN33" s="992"/>
      <c r="CO33" s="992"/>
      <c r="CP33" s="992"/>
      <c r="CQ33" s="992"/>
      <c r="CR33" s="992"/>
      <c r="CS33" s="992"/>
      <c r="CT33" s="992"/>
      <c r="CU33" s="992"/>
      <c r="CV33" s="992"/>
      <c r="CW33" s="992"/>
      <c r="CX33" s="992"/>
      <c r="CY33" s="992"/>
      <c r="CZ33" s="992"/>
      <c r="DA33" s="992"/>
      <c r="DB33" s="992"/>
      <c r="DC33" s="992"/>
      <c r="DD33" s="992"/>
      <c r="DE33" s="992"/>
    </row>
    <row r="34" spans="1:121" x14ac:dyDescent="0.25">
      <c r="A34" s="992"/>
      <c r="B34" s="113" t="s">
        <v>1360</v>
      </c>
      <c r="C34" s="263">
        <f t="shared" ref="C34:BN34" si="30">C$11</f>
        <v>42522</v>
      </c>
      <c r="D34" s="263">
        <f t="shared" si="30"/>
        <v>42552</v>
      </c>
      <c r="E34" s="263">
        <f t="shared" si="30"/>
        <v>42583</v>
      </c>
      <c r="F34" s="263">
        <f t="shared" si="30"/>
        <v>42614</v>
      </c>
      <c r="G34" s="263">
        <f t="shared" si="30"/>
        <v>42644</v>
      </c>
      <c r="H34" s="263">
        <f t="shared" si="30"/>
        <v>42675</v>
      </c>
      <c r="I34" s="263">
        <f t="shared" si="30"/>
        <v>42705</v>
      </c>
      <c r="J34" s="263">
        <f t="shared" si="30"/>
        <v>42736</v>
      </c>
      <c r="K34" s="263">
        <f t="shared" si="30"/>
        <v>42767</v>
      </c>
      <c r="L34" s="263">
        <f t="shared" si="30"/>
        <v>42795</v>
      </c>
      <c r="M34" s="263">
        <f t="shared" si="30"/>
        <v>42826</v>
      </c>
      <c r="N34" s="263">
        <f t="shared" si="30"/>
        <v>42856</v>
      </c>
      <c r="O34" s="263">
        <f t="shared" si="30"/>
        <v>42887</v>
      </c>
      <c r="P34" s="263">
        <f t="shared" si="30"/>
        <v>42917</v>
      </c>
      <c r="Q34" s="263">
        <f t="shared" si="30"/>
        <v>42948</v>
      </c>
      <c r="R34" s="263">
        <f t="shared" si="30"/>
        <v>42979</v>
      </c>
      <c r="S34" s="263">
        <f t="shared" si="30"/>
        <v>43009</v>
      </c>
      <c r="T34" s="263">
        <f t="shared" si="30"/>
        <v>43040</v>
      </c>
      <c r="U34" s="263">
        <f t="shared" si="30"/>
        <v>43070</v>
      </c>
      <c r="V34" s="263">
        <f t="shared" si="30"/>
        <v>43101</v>
      </c>
      <c r="W34" s="263">
        <f t="shared" si="30"/>
        <v>43132</v>
      </c>
      <c r="X34" s="263">
        <f t="shared" si="30"/>
        <v>43160</v>
      </c>
      <c r="Y34" s="263">
        <f t="shared" si="30"/>
        <v>43191</v>
      </c>
      <c r="Z34" s="263">
        <f t="shared" si="30"/>
        <v>43221</v>
      </c>
      <c r="AA34" s="263">
        <f t="shared" si="30"/>
        <v>43252</v>
      </c>
      <c r="AB34" s="263">
        <f t="shared" si="30"/>
        <v>43283</v>
      </c>
      <c r="AC34" s="263">
        <f t="shared" si="30"/>
        <v>43314</v>
      </c>
      <c r="AD34" s="263">
        <f t="shared" si="30"/>
        <v>43345</v>
      </c>
      <c r="AE34" s="263">
        <f t="shared" si="30"/>
        <v>43376</v>
      </c>
      <c r="AF34" s="263">
        <f t="shared" si="30"/>
        <v>43407</v>
      </c>
      <c r="AG34" s="263">
        <f t="shared" si="30"/>
        <v>43437</v>
      </c>
      <c r="AH34" s="263">
        <f t="shared" si="30"/>
        <v>43468</v>
      </c>
      <c r="AI34" s="263">
        <f t="shared" si="30"/>
        <v>43499</v>
      </c>
      <c r="AJ34" s="263">
        <f t="shared" si="30"/>
        <v>43527</v>
      </c>
      <c r="AK34" s="263">
        <f t="shared" si="30"/>
        <v>43558</v>
      </c>
      <c r="AL34" s="263">
        <f t="shared" si="30"/>
        <v>43587</v>
      </c>
      <c r="AM34" s="263">
        <f t="shared" si="30"/>
        <v>43618</v>
      </c>
      <c r="AN34" s="263">
        <f t="shared" si="30"/>
        <v>43647</v>
      </c>
      <c r="AO34" s="263">
        <f t="shared" si="30"/>
        <v>43678</v>
      </c>
      <c r="AP34" s="263">
        <f t="shared" si="30"/>
        <v>43709</v>
      </c>
      <c r="AQ34" s="263">
        <f t="shared" si="30"/>
        <v>43739</v>
      </c>
      <c r="AR34" s="263">
        <f t="shared" si="30"/>
        <v>43770</v>
      </c>
      <c r="AS34" s="263">
        <f t="shared" si="30"/>
        <v>43800</v>
      </c>
      <c r="AT34" s="263">
        <f t="shared" si="30"/>
        <v>43831</v>
      </c>
      <c r="AU34" s="263">
        <f t="shared" si="30"/>
        <v>43862</v>
      </c>
      <c r="AV34" s="914">
        <f t="shared" si="30"/>
        <v>43891</v>
      </c>
      <c r="AW34" s="263">
        <f t="shared" si="30"/>
        <v>43922</v>
      </c>
      <c r="AX34" s="263">
        <f t="shared" si="30"/>
        <v>43952</v>
      </c>
      <c r="AY34" s="263">
        <f t="shared" si="30"/>
        <v>43983</v>
      </c>
      <c r="AZ34" s="263">
        <f t="shared" si="30"/>
        <v>44013</v>
      </c>
      <c r="BA34" s="263">
        <f t="shared" si="30"/>
        <v>44044</v>
      </c>
      <c r="BB34" s="263">
        <f t="shared" si="30"/>
        <v>44075</v>
      </c>
      <c r="BC34" s="263">
        <f t="shared" si="30"/>
        <v>44105</v>
      </c>
      <c r="BD34" s="263">
        <f t="shared" si="30"/>
        <v>44136</v>
      </c>
      <c r="BE34" s="263">
        <f t="shared" si="30"/>
        <v>44166</v>
      </c>
      <c r="BF34" s="263">
        <f t="shared" si="30"/>
        <v>44197</v>
      </c>
      <c r="BG34" s="263">
        <f t="shared" si="30"/>
        <v>44228</v>
      </c>
      <c r="BH34" s="263">
        <f t="shared" si="30"/>
        <v>44256</v>
      </c>
      <c r="BI34" s="263">
        <f t="shared" si="30"/>
        <v>44287</v>
      </c>
      <c r="BJ34" s="263">
        <f t="shared" si="30"/>
        <v>44317</v>
      </c>
      <c r="BK34" s="263">
        <f t="shared" si="30"/>
        <v>44348</v>
      </c>
      <c r="BL34" s="263">
        <f t="shared" si="30"/>
        <v>44378</v>
      </c>
      <c r="BM34" s="263">
        <f t="shared" si="30"/>
        <v>44409</v>
      </c>
      <c r="BN34" s="263">
        <f t="shared" si="30"/>
        <v>44440</v>
      </c>
      <c r="BO34" s="263">
        <f t="shared" ref="BO34:DQ34" si="31">BO$11</f>
        <v>44470</v>
      </c>
      <c r="BP34" s="263">
        <f t="shared" si="31"/>
        <v>44501</v>
      </c>
      <c r="BQ34" s="263">
        <f t="shared" si="31"/>
        <v>44531</v>
      </c>
      <c r="BR34" s="263">
        <f t="shared" si="31"/>
        <v>44562</v>
      </c>
      <c r="BS34" s="263">
        <f t="shared" si="31"/>
        <v>44593</v>
      </c>
      <c r="BT34" s="263">
        <f t="shared" si="31"/>
        <v>44622</v>
      </c>
      <c r="BU34" s="263">
        <f t="shared" si="31"/>
        <v>44654</v>
      </c>
      <c r="BV34" s="263">
        <f t="shared" si="31"/>
        <v>44685</v>
      </c>
      <c r="BW34" s="263">
        <f t="shared" si="31"/>
        <v>44716</v>
      </c>
      <c r="BX34" s="263">
        <f t="shared" si="31"/>
        <v>44746</v>
      </c>
      <c r="BY34" s="263">
        <f t="shared" si="31"/>
        <v>44774</v>
      </c>
      <c r="BZ34" s="263">
        <f t="shared" si="31"/>
        <v>44805</v>
      </c>
      <c r="CA34" s="263">
        <f t="shared" si="31"/>
        <v>44835</v>
      </c>
      <c r="CB34" s="263">
        <f t="shared" si="31"/>
        <v>44866</v>
      </c>
      <c r="CC34" s="263">
        <f t="shared" si="31"/>
        <v>44896</v>
      </c>
      <c r="CD34" s="263">
        <f t="shared" si="31"/>
        <v>44927</v>
      </c>
      <c r="CE34" s="263">
        <f t="shared" si="31"/>
        <v>44958</v>
      </c>
      <c r="CF34" s="263">
        <f t="shared" si="31"/>
        <v>44986</v>
      </c>
      <c r="CG34" s="263">
        <f t="shared" si="31"/>
        <v>45017</v>
      </c>
      <c r="CH34" s="263">
        <f t="shared" si="31"/>
        <v>45047</v>
      </c>
      <c r="CI34" s="263">
        <f t="shared" si="31"/>
        <v>45078</v>
      </c>
      <c r="CJ34" s="263">
        <f t="shared" si="31"/>
        <v>45108</v>
      </c>
      <c r="CK34" s="263">
        <f t="shared" si="31"/>
        <v>45139</v>
      </c>
      <c r="CL34" s="263">
        <f t="shared" si="31"/>
        <v>45170</v>
      </c>
      <c r="CM34" s="263">
        <f t="shared" si="31"/>
        <v>45200</v>
      </c>
      <c r="CN34" s="263">
        <f t="shared" si="31"/>
        <v>45231</v>
      </c>
      <c r="CO34" s="263">
        <f t="shared" si="31"/>
        <v>45261</v>
      </c>
      <c r="CP34" s="263">
        <f t="shared" si="31"/>
        <v>45292</v>
      </c>
      <c r="CQ34" s="263">
        <f t="shared" si="31"/>
        <v>45323</v>
      </c>
      <c r="CR34" s="263">
        <f t="shared" si="31"/>
        <v>45352</v>
      </c>
      <c r="CS34" s="263">
        <f t="shared" si="31"/>
        <v>45383</v>
      </c>
      <c r="CT34" s="263">
        <f t="shared" si="31"/>
        <v>45413</v>
      </c>
      <c r="CU34" s="263">
        <f t="shared" si="31"/>
        <v>45444</v>
      </c>
      <c r="CV34" s="263">
        <f t="shared" si="31"/>
        <v>45474</v>
      </c>
      <c r="CW34" s="263">
        <f t="shared" si="31"/>
        <v>45505</v>
      </c>
      <c r="CX34" s="263">
        <f t="shared" si="31"/>
        <v>45536</v>
      </c>
      <c r="CY34" s="263">
        <f t="shared" si="31"/>
        <v>45566</v>
      </c>
      <c r="CZ34" s="263">
        <f t="shared" si="31"/>
        <v>45597</v>
      </c>
      <c r="DA34" s="263">
        <f t="shared" si="31"/>
        <v>45627</v>
      </c>
      <c r="DB34" s="263">
        <f t="shared" si="31"/>
        <v>45658</v>
      </c>
      <c r="DC34" s="263">
        <f t="shared" si="31"/>
        <v>45689</v>
      </c>
      <c r="DD34" s="263">
        <f t="shared" si="31"/>
        <v>45717</v>
      </c>
      <c r="DE34" s="263">
        <f t="shared" si="31"/>
        <v>45748</v>
      </c>
      <c r="DF34" s="263">
        <f t="shared" si="31"/>
        <v>45778</v>
      </c>
      <c r="DG34" s="263">
        <f t="shared" si="31"/>
        <v>45809</v>
      </c>
      <c r="DH34" s="263">
        <v>45839</v>
      </c>
      <c r="DI34" s="263">
        <f t="shared" si="31"/>
        <v>45870</v>
      </c>
      <c r="DJ34" s="263">
        <f t="shared" si="31"/>
        <v>45901</v>
      </c>
      <c r="DK34" s="263">
        <f t="shared" si="31"/>
        <v>45931</v>
      </c>
      <c r="DL34" s="263">
        <f t="shared" si="31"/>
        <v>45962</v>
      </c>
      <c r="DM34" s="263">
        <f t="shared" si="31"/>
        <v>45992</v>
      </c>
      <c r="DN34" s="263">
        <f t="shared" si="31"/>
        <v>46023</v>
      </c>
      <c r="DO34" s="263">
        <f t="shared" si="31"/>
        <v>46054</v>
      </c>
      <c r="DP34" s="263">
        <f t="shared" si="31"/>
        <v>46082</v>
      </c>
      <c r="DQ34" s="263">
        <f t="shared" si="31"/>
        <v>46113</v>
      </c>
    </row>
    <row r="35" spans="1:121" x14ac:dyDescent="0.25">
      <c r="A35" s="992"/>
      <c r="B35" s="117" t="s">
        <v>542</v>
      </c>
      <c r="C35" s="586" t="s">
        <v>160</v>
      </c>
      <c r="D35" s="586" t="s">
        <v>160</v>
      </c>
      <c r="E35" s="586" t="s">
        <v>160</v>
      </c>
      <c r="F35" s="586" t="s">
        <v>160</v>
      </c>
      <c r="G35" s="586" t="s">
        <v>160</v>
      </c>
      <c r="H35" s="586" t="s">
        <v>160</v>
      </c>
      <c r="I35" s="586" t="s">
        <v>160</v>
      </c>
      <c r="J35" s="585" t="s">
        <v>160</v>
      </c>
      <c r="K35" s="585" t="s">
        <v>160</v>
      </c>
      <c r="L35" s="585" t="s">
        <v>160</v>
      </c>
      <c r="M35" s="585" t="s">
        <v>160</v>
      </c>
      <c r="N35" s="585" t="s">
        <v>160</v>
      </c>
      <c r="O35" s="585" t="s">
        <v>160</v>
      </c>
      <c r="P35" s="585" t="s">
        <v>160</v>
      </c>
      <c r="Q35" s="585" t="s">
        <v>160</v>
      </c>
      <c r="R35" s="585" t="s">
        <v>160</v>
      </c>
      <c r="S35" s="585" t="s">
        <v>160</v>
      </c>
      <c r="T35" s="585" t="s">
        <v>160</v>
      </c>
      <c r="U35" s="585" t="s">
        <v>160</v>
      </c>
      <c r="V35" s="585" t="s">
        <v>160</v>
      </c>
      <c r="W35" s="585" t="s">
        <v>160</v>
      </c>
      <c r="X35" s="585" t="s">
        <v>160</v>
      </c>
      <c r="Y35" s="585" t="s">
        <v>160</v>
      </c>
      <c r="Z35" s="585" t="s">
        <v>160</v>
      </c>
      <c r="AA35" s="585" t="s">
        <v>160</v>
      </c>
      <c r="AB35" s="585" t="s">
        <v>160</v>
      </c>
      <c r="AC35" s="585" t="s">
        <v>160</v>
      </c>
      <c r="AD35" s="585" t="s">
        <v>160</v>
      </c>
      <c r="AE35" s="585" t="s">
        <v>160</v>
      </c>
      <c r="AF35" s="585" t="s">
        <v>160</v>
      </c>
      <c r="AG35" s="585" t="s">
        <v>160</v>
      </c>
      <c r="AH35" s="585" t="s">
        <v>160</v>
      </c>
      <c r="AI35" s="585" t="s">
        <v>160</v>
      </c>
      <c r="AJ35" s="585" t="s">
        <v>160</v>
      </c>
      <c r="AK35" s="585" t="s">
        <v>160</v>
      </c>
      <c r="AL35" s="585" t="s">
        <v>160</v>
      </c>
      <c r="AM35" s="585" t="s">
        <v>160</v>
      </c>
      <c r="AN35" s="585" t="s">
        <v>160</v>
      </c>
      <c r="AO35" s="585" t="s">
        <v>160</v>
      </c>
      <c r="AP35" s="585" t="s">
        <v>160</v>
      </c>
      <c r="AQ35" s="585" t="s">
        <v>160</v>
      </c>
      <c r="AR35" s="585" t="s">
        <v>160</v>
      </c>
      <c r="AS35" s="585" t="s">
        <v>160</v>
      </c>
      <c r="AT35" s="585" t="s">
        <v>160</v>
      </c>
      <c r="AU35" s="585" t="s">
        <v>160</v>
      </c>
      <c r="AV35" s="916" t="s">
        <v>160</v>
      </c>
      <c r="AW35" s="585" t="s">
        <v>160</v>
      </c>
      <c r="AX35" s="585" t="s">
        <v>160</v>
      </c>
      <c r="AY35" s="585" t="s">
        <v>160</v>
      </c>
      <c r="AZ35" s="585" t="s">
        <v>160</v>
      </c>
      <c r="BA35" s="585" t="s">
        <v>160</v>
      </c>
      <c r="BB35" s="585" t="s">
        <v>160</v>
      </c>
      <c r="BC35" s="585" t="s">
        <v>160</v>
      </c>
      <c r="BD35" s="585" t="s">
        <v>160</v>
      </c>
      <c r="BE35" s="585" t="s">
        <v>160</v>
      </c>
      <c r="BF35" s="585" t="s">
        <v>160</v>
      </c>
      <c r="BG35" s="585" t="s">
        <v>160</v>
      </c>
      <c r="BH35" s="585" t="s">
        <v>160</v>
      </c>
      <c r="BI35" s="585" t="s">
        <v>160</v>
      </c>
      <c r="BJ35" s="585" t="s">
        <v>160</v>
      </c>
      <c r="BK35" s="585" t="s">
        <v>160</v>
      </c>
      <c r="BL35" s="585" t="s">
        <v>160</v>
      </c>
      <c r="BM35" s="585" t="s">
        <v>160</v>
      </c>
      <c r="BN35" s="585" t="s">
        <v>160</v>
      </c>
      <c r="BO35" s="585" t="s">
        <v>160</v>
      </c>
      <c r="BP35" s="585" t="s">
        <v>160</v>
      </c>
      <c r="BQ35" s="585" t="s">
        <v>160</v>
      </c>
      <c r="BR35" s="585" t="s">
        <v>160</v>
      </c>
      <c r="BS35" s="585" t="s">
        <v>160</v>
      </c>
      <c r="BT35" s="585" t="s">
        <v>160</v>
      </c>
      <c r="BU35" s="585" t="s">
        <v>160</v>
      </c>
      <c r="BV35" s="585" t="s">
        <v>160</v>
      </c>
      <c r="BW35" s="585" t="s">
        <v>160</v>
      </c>
      <c r="BX35" s="585" t="s">
        <v>160</v>
      </c>
      <c r="BY35" s="585" t="s">
        <v>160</v>
      </c>
      <c r="BZ35" s="585" t="s">
        <v>160</v>
      </c>
      <c r="CA35" s="585" t="s">
        <v>160</v>
      </c>
      <c r="CB35" s="585" t="s">
        <v>160</v>
      </c>
      <c r="CC35" s="585" t="s">
        <v>160</v>
      </c>
      <c r="CD35" s="585" t="s">
        <v>160</v>
      </c>
      <c r="CE35" s="585" t="s">
        <v>160</v>
      </c>
      <c r="CF35" s="585" t="s">
        <v>160</v>
      </c>
      <c r="CG35" s="585" t="s">
        <v>160</v>
      </c>
      <c r="CH35" s="585" t="s">
        <v>160</v>
      </c>
      <c r="CI35" s="585" t="s">
        <v>160</v>
      </c>
      <c r="CJ35" s="585" t="s">
        <v>160</v>
      </c>
      <c r="CK35" s="585" t="s">
        <v>160</v>
      </c>
      <c r="CL35" s="585" t="s">
        <v>160</v>
      </c>
      <c r="CM35" s="585" t="s">
        <v>160</v>
      </c>
      <c r="CN35" s="585" t="s">
        <v>160</v>
      </c>
      <c r="CO35" s="585" t="s">
        <v>160</v>
      </c>
      <c r="CP35" s="585" t="s">
        <v>160</v>
      </c>
      <c r="CQ35" s="585" t="s">
        <v>160</v>
      </c>
      <c r="CR35" s="585" t="s">
        <v>160</v>
      </c>
      <c r="CS35" s="585" t="s">
        <v>160</v>
      </c>
      <c r="CT35" s="585" t="s">
        <v>160</v>
      </c>
      <c r="CU35" s="585" t="s">
        <v>160</v>
      </c>
      <c r="CV35" s="585" t="s">
        <v>160</v>
      </c>
      <c r="CW35" s="585" t="s">
        <v>160</v>
      </c>
      <c r="CX35" s="585" t="s">
        <v>160</v>
      </c>
      <c r="CY35" s="585" t="s">
        <v>160</v>
      </c>
      <c r="CZ35" s="585" t="s">
        <v>160</v>
      </c>
      <c r="DA35" s="585" t="s">
        <v>160</v>
      </c>
      <c r="DB35" s="585" t="s">
        <v>160</v>
      </c>
      <c r="DC35" s="585" t="s">
        <v>160</v>
      </c>
      <c r="DD35" s="585" t="s">
        <v>160</v>
      </c>
      <c r="DE35" s="585" t="s">
        <v>160</v>
      </c>
      <c r="DF35" s="585" t="s">
        <v>160</v>
      </c>
      <c r="DG35" s="585" t="s">
        <v>160</v>
      </c>
      <c r="DH35" s="585" t="s">
        <v>160</v>
      </c>
      <c r="DI35" s="585" t="s">
        <v>160</v>
      </c>
      <c r="DJ35" s="585" t="s">
        <v>160</v>
      </c>
      <c r="DK35" s="585" t="s">
        <v>160</v>
      </c>
      <c r="DL35" s="585" t="s">
        <v>160</v>
      </c>
      <c r="DM35" s="585">
        <v>2820</v>
      </c>
      <c r="DN35" s="585">
        <v>2820</v>
      </c>
      <c r="DO35" s="585">
        <v>2820</v>
      </c>
      <c r="DP35" s="585">
        <v>2820</v>
      </c>
      <c r="DQ35" s="585">
        <v>2820</v>
      </c>
    </row>
    <row r="36" spans="1:121" x14ac:dyDescent="0.25">
      <c r="A36" s="992"/>
      <c r="B36" s="117" t="s">
        <v>547</v>
      </c>
      <c r="C36" s="265" t="s">
        <v>160</v>
      </c>
      <c r="D36" s="265" t="s">
        <v>160</v>
      </c>
      <c r="E36" s="265" t="s">
        <v>160</v>
      </c>
      <c r="F36" s="265" t="s">
        <v>160</v>
      </c>
      <c r="G36" s="265" t="s">
        <v>160</v>
      </c>
      <c r="H36" s="265" t="s">
        <v>160</v>
      </c>
      <c r="I36" s="265" t="s">
        <v>160</v>
      </c>
      <c r="J36" s="337" t="s">
        <v>160</v>
      </c>
      <c r="K36" s="337" t="s">
        <v>160</v>
      </c>
      <c r="L36" s="337" t="s">
        <v>160</v>
      </c>
      <c r="M36" s="337" t="s">
        <v>160</v>
      </c>
      <c r="N36" s="337" t="s">
        <v>160</v>
      </c>
      <c r="O36" s="337" t="s">
        <v>160</v>
      </c>
      <c r="P36" s="337" t="s">
        <v>160</v>
      </c>
      <c r="Q36" s="337" t="s">
        <v>160</v>
      </c>
      <c r="R36" s="337" t="s">
        <v>160</v>
      </c>
      <c r="S36" s="337" t="s">
        <v>160</v>
      </c>
      <c r="T36" s="337" t="s">
        <v>160</v>
      </c>
      <c r="U36" s="337" t="s">
        <v>160</v>
      </c>
      <c r="V36" s="337" t="s">
        <v>160</v>
      </c>
      <c r="W36" s="337" t="s">
        <v>160</v>
      </c>
      <c r="X36" s="337" t="s">
        <v>160</v>
      </c>
      <c r="Y36" s="337" t="s">
        <v>160</v>
      </c>
      <c r="Z36" s="337" t="s">
        <v>160</v>
      </c>
      <c r="AA36" s="337" t="s">
        <v>160</v>
      </c>
      <c r="AB36" s="337" t="s">
        <v>160</v>
      </c>
      <c r="AC36" s="337" t="s">
        <v>160</v>
      </c>
      <c r="AD36" s="337" t="s">
        <v>160</v>
      </c>
      <c r="AE36" s="337" t="s">
        <v>160</v>
      </c>
      <c r="AF36" s="337" t="s">
        <v>160</v>
      </c>
      <c r="AG36" s="337" t="s">
        <v>160</v>
      </c>
      <c r="AH36" s="337" t="s">
        <v>160</v>
      </c>
      <c r="AI36" s="337" t="s">
        <v>160</v>
      </c>
      <c r="AJ36" s="337" t="s">
        <v>160</v>
      </c>
      <c r="AK36" s="337" t="s">
        <v>160</v>
      </c>
      <c r="AL36" s="337" t="s">
        <v>160</v>
      </c>
      <c r="AM36" s="337" t="s">
        <v>160</v>
      </c>
      <c r="AN36" s="337" t="s">
        <v>160</v>
      </c>
      <c r="AO36" s="337" t="s">
        <v>160</v>
      </c>
      <c r="AP36" s="337" t="s">
        <v>160</v>
      </c>
      <c r="AQ36" s="337" t="s">
        <v>160</v>
      </c>
      <c r="AR36" s="337" t="s">
        <v>160</v>
      </c>
      <c r="AS36" s="337" t="s">
        <v>160</v>
      </c>
      <c r="AT36" s="337" t="s">
        <v>160</v>
      </c>
      <c r="AU36" s="337" t="s">
        <v>160</v>
      </c>
      <c r="AV36" s="1158" t="s">
        <v>160</v>
      </c>
      <c r="AW36" s="337" t="s">
        <v>160</v>
      </c>
      <c r="AX36" s="337" t="s">
        <v>160</v>
      </c>
      <c r="AY36" s="337" t="s">
        <v>160</v>
      </c>
      <c r="AZ36" s="337" t="s">
        <v>160</v>
      </c>
      <c r="BA36" s="337" t="s">
        <v>160</v>
      </c>
      <c r="BB36" s="337" t="s">
        <v>160</v>
      </c>
      <c r="BC36" s="337" t="s">
        <v>160</v>
      </c>
      <c r="BD36" s="337" t="s">
        <v>160</v>
      </c>
      <c r="BE36" s="337" t="s">
        <v>160</v>
      </c>
      <c r="BF36" s="337" t="s">
        <v>160</v>
      </c>
      <c r="BG36" s="337" t="s">
        <v>160</v>
      </c>
      <c r="BH36" s="337" t="s">
        <v>160</v>
      </c>
      <c r="BI36" s="337" t="s">
        <v>160</v>
      </c>
      <c r="BJ36" s="337" t="s">
        <v>160</v>
      </c>
      <c r="BK36" s="337" t="s">
        <v>160</v>
      </c>
      <c r="BL36" s="337" t="s">
        <v>160</v>
      </c>
      <c r="BM36" s="337" t="s">
        <v>160</v>
      </c>
      <c r="BN36" s="337" t="s">
        <v>160</v>
      </c>
      <c r="BO36" s="337" t="s">
        <v>160</v>
      </c>
      <c r="BP36" s="337" t="s">
        <v>160</v>
      </c>
      <c r="BQ36" s="337" t="s">
        <v>160</v>
      </c>
      <c r="BR36" s="337" t="s">
        <v>160</v>
      </c>
      <c r="BS36" s="337" t="s">
        <v>160</v>
      </c>
      <c r="BT36" s="337" t="s">
        <v>160</v>
      </c>
      <c r="BU36" s="337" t="s">
        <v>160</v>
      </c>
      <c r="BV36" s="337" t="s">
        <v>160</v>
      </c>
      <c r="BW36" s="337" t="s">
        <v>160</v>
      </c>
      <c r="BX36" s="337" t="s">
        <v>160</v>
      </c>
      <c r="BY36" s="337" t="s">
        <v>160</v>
      </c>
      <c r="BZ36" s="337" t="s">
        <v>160</v>
      </c>
      <c r="CA36" s="337" t="s">
        <v>160</v>
      </c>
      <c r="CB36" s="337" t="s">
        <v>160</v>
      </c>
      <c r="CC36" s="337" t="s">
        <v>160</v>
      </c>
      <c r="CD36" s="337" t="s">
        <v>160</v>
      </c>
      <c r="CE36" s="337" t="s">
        <v>160</v>
      </c>
      <c r="CF36" s="337" t="s">
        <v>160</v>
      </c>
      <c r="CG36" s="337" t="s">
        <v>160</v>
      </c>
      <c r="CH36" s="337" t="s">
        <v>160</v>
      </c>
      <c r="CI36" s="337" t="s">
        <v>160</v>
      </c>
      <c r="CJ36" s="337" t="s">
        <v>160</v>
      </c>
      <c r="CK36" s="337" t="s">
        <v>160</v>
      </c>
      <c r="CL36" s="337" t="s">
        <v>160</v>
      </c>
      <c r="CM36" s="337" t="s">
        <v>160</v>
      </c>
      <c r="CN36" s="337" t="s">
        <v>160</v>
      </c>
      <c r="CO36" s="337" t="s">
        <v>160</v>
      </c>
      <c r="CP36" s="337" t="s">
        <v>160</v>
      </c>
      <c r="CQ36" s="337" t="s">
        <v>160</v>
      </c>
      <c r="CR36" s="337" t="s">
        <v>160</v>
      </c>
      <c r="CS36" s="337" t="s">
        <v>160</v>
      </c>
      <c r="CT36" s="337" t="s">
        <v>160</v>
      </c>
      <c r="CU36" s="337" t="s">
        <v>160</v>
      </c>
      <c r="CV36" s="337" t="s">
        <v>160</v>
      </c>
      <c r="CW36" s="337" t="s">
        <v>160</v>
      </c>
      <c r="CX36" s="337" t="s">
        <v>160</v>
      </c>
      <c r="CY36" s="337" t="s">
        <v>160</v>
      </c>
      <c r="CZ36" s="337" t="s">
        <v>160</v>
      </c>
      <c r="DA36" s="337" t="s">
        <v>160</v>
      </c>
      <c r="DB36" s="337" t="s">
        <v>160</v>
      </c>
      <c r="DC36" s="337" t="s">
        <v>160</v>
      </c>
      <c r="DD36" s="337" t="s">
        <v>160</v>
      </c>
      <c r="DE36" s="337" t="s">
        <v>160</v>
      </c>
      <c r="DF36" s="337">
        <v>2267</v>
      </c>
      <c r="DG36" s="337">
        <v>2267</v>
      </c>
      <c r="DH36" s="337">
        <v>2267</v>
      </c>
      <c r="DI36" s="337">
        <v>2267</v>
      </c>
      <c r="DJ36" s="337">
        <v>2267</v>
      </c>
      <c r="DK36" s="337">
        <v>2267</v>
      </c>
      <c r="DL36" s="337">
        <v>2267</v>
      </c>
      <c r="DM36" s="337">
        <v>2461</v>
      </c>
      <c r="DN36" s="337">
        <v>2461</v>
      </c>
      <c r="DO36" s="337">
        <v>2461</v>
      </c>
      <c r="DP36" s="337">
        <v>2461</v>
      </c>
      <c r="DQ36" s="337">
        <v>2461</v>
      </c>
    </row>
    <row r="37" spans="1:121" x14ac:dyDescent="0.25">
      <c r="A37" s="992"/>
      <c r="B37" s="1072" t="s">
        <v>557</v>
      </c>
      <c r="C37" s="1079" t="str">
        <f t="shared" ref="C37:AH37" si="32">IFERROR(AVERAGE(C35:C36),"-")</f>
        <v>-</v>
      </c>
      <c r="D37" s="1079" t="str">
        <f t="shared" si="32"/>
        <v>-</v>
      </c>
      <c r="E37" s="1079" t="str">
        <f t="shared" si="32"/>
        <v>-</v>
      </c>
      <c r="F37" s="1079" t="str">
        <f t="shared" si="32"/>
        <v>-</v>
      </c>
      <c r="G37" s="1079" t="str">
        <f t="shared" si="32"/>
        <v>-</v>
      </c>
      <c r="H37" s="1079" t="str">
        <f t="shared" si="32"/>
        <v>-</v>
      </c>
      <c r="I37" s="1079" t="str">
        <f t="shared" si="32"/>
        <v>-</v>
      </c>
      <c r="J37" s="1079" t="str">
        <f t="shared" si="32"/>
        <v>-</v>
      </c>
      <c r="K37" s="1079" t="str">
        <f t="shared" si="32"/>
        <v>-</v>
      </c>
      <c r="L37" s="1079" t="str">
        <f t="shared" si="32"/>
        <v>-</v>
      </c>
      <c r="M37" s="1079" t="str">
        <f t="shared" si="32"/>
        <v>-</v>
      </c>
      <c r="N37" s="1079" t="str">
        <f t="shared" si="32"/>
        <v>-</v>
      </c>
      <c r="O37" s="1079" t="str">
        <f t="shared" si="32"/>
        <v>-</v>
      </c>
      <c r="P37" s="1079" t="str">
        <f t="shared" si="32"/>
        <v>-</v>
      </c>
      <c r="Q37" s="1079" t="str">
        <f t="shared" si="32"/>
        <v>-</v>
      </c>
      <c r="R37" s="1079" t="str">
        <f t="shared" si="32"/>
        <v>-</v>
      </c>
      <c r="S37" s="1079" t="str">
        <f t="shared" si="32"/>
        <v>-</v>
      </c>
      <c r="T37" s="1079" t="str">
        <f t="shared" si="32"/>
        <v>-</v>
      </c>
      <c r="U37" s="1079" t="str">
        <f t="shared" si="32"/>
        <v>-</v>
      </c>
      <c r="V37" s="1079" t="str">
        <f t="shared" si="32"/>
        <v>-</v>
      </c>
      <c r="W37" s="1079" t="str">
        <f t="shared" si="32"/>
        <v>-</v>
      </c>
      <c r="X37" s="1079" t="str">
        <f t="shared" si="32"/>
        <v>-</v>
      </c>
      <c r="Y37" s="1079" t="str">
        <f t="shared" si="32"/>
        <v>-</v>
      </c>
      <c r="Z37" s="1079" t="str">
        <f t="shared" si="32"/>
        <v>-</v>
      </c>
      <c r="AA37" s="1079" t="str">
        <f t="shared" si="32"/>
        <v>-</v>
      </c>
      <c r="AB37" s="1079" t="str">
        <f t="shared" si="32"/>
        <v>-</v>
      </c>
      <c r="AC37" s="1079" t="str">
        <f t="shared" si="32"/>
        <v>-</v>
      </c>
      <c r="AD37" s="1079" t="str">
        <f t="shared" si="32"/>
        <v>-</v>
      </c>
      <c r="AE37" s="1079" t="str">
        <f t="shared" si="32"/>
        <v>-</v>
      </c>
      <c r="AF37" s="1079" t="str">
        <f t="shared" si="32"/>
        <v>-</v>
      </c>
      <c r="AG37" s="1079" t="str">
        <f t="shared" si="32"/>
        <v>-</v>
      </c>
      <c r="AH37" s="1079" t="str">
        <f t="shared" si="32"/>
        <v>-</v>
      </c>
      <c r="AI37" s="1079" t="str">
        <f t="shared" ref="AI37:BN37" si="33">IFERROR(AVERAGE(AI35:AI36),"-")</f>
        <v>-</v>
      </c>
      <c r="AJ37" s="1079" t="str">
        <f t="shared" si="33"/>
        <v>-</v>
      </c>
      <c r="AK37" s="1079" t="str">
        <f t="shared" si="33"/>
        <v>-</v>
      </c>
      <c r="AL37" s="1079" t="str">
        <f t="shared" si="33"/>
        <v>-</v>
      </c>
      <c r="AM37" s="1079" t="str">
        <f t="shared" si="33"/>
        <v>-</v>
      </c>
      <c r="AN37" s="1079" t="str">
        <f t="shared" si="33"/>
        <v>-</v>
      </c>
      <c r="AO37" s="1079" t="str">
        <f t="shared" si="33"/>
        <v>-</v>
      </c>
      <c r="AP37" s="1079" t="str">
        <f t="shared" si="33"/>
        <v>-</v>
      </c>
      <c r="AQ37" s="1079" t="str">
        <f t="shared" si="33"/>
        <v>-</v>
      </c>
      <c r="AR37" s="1079" t="str">
        <f t="shared" si="33"/>
        <v>-</v>
      </c>
      <c r="AS37" s="1079" t="str">
        <f t="shared" si="33"/>
        <v>-</v>
      </c>
      <c r="AT37" s="1079" t="str">
        <f t="shared" si="33"/>
        <v>-</v>
      </c>
      <c r="AU37" s="1079" t="str">
        <f t="shared" si="33"/>
        <v>-</v>
      </c>
      <c r="AV37" s="1079" t="str">
        <f t="shared" si="33"/>
        <v>-</v>
      </c>
      <c r="AW37" s="1079" t="str">
        <f t="shared" si="33"/>
        <v>-</v>
      </c>
      <c r="AX37" s="1079" t="str">
        <f t="shared" si="33"/>
        <v>-</v>
      </c>
      <c r="AY37" s="1079" t="str">
        <f t="shared" si="33"/>
        <v>-</v>
      </c>
      <c r="AZ37" s="1079" t="str">
        <f t="shared" si="33"/>
        <v>-</v>
      </c>
      <c r="BA37" s="1079" t="str">
        <f t="shared" si="33"/>
        <v>-</v>
      </c>
      <c r="BB37" s="1079" t="str">
        <f t="shared" si="33"/>
        <v>-</v>
      </c>
      <c r="BC37" s="1079" t="str">
        <f t="shared" si="33"/>
        <v>-</v>
      </c>
      <c r="BD37" s="1079" t="str">
        <f t="shared" si="33"/>
        <v>-</v>
      </c>
      <c r="BE37" s="1079" t="str">
        <f t="shared" si="33"/>
        <v>-</v>
      </c>
      <c r="BF37" s="1079" t="str">
        <f t="shared" si="33"/>
        <v>-</v>
      </c>
      <c r="BG37" s="1079" t="str">
        <f t="shared" si="33"/>
        <v>-</v>
      </c>
      <c r="BH37" s="1079" t="str">
        <f t="shared" si="33"/>
        <v>-</v>
      </c>
      <c r="BI37" s="1079" t="str">
        <f t="shared" si="33"/>
        <v>-</v>
      </c>
      <c r="BJ37" s="1079" t="str">
        <f t="shared" si="33"/>
        <v>-</v>
      </c>
      <c r="BK37" s="1079" t="str">
        <f t="shared" si="33"/>
        <v>-</v>
      </c>
      <c r="BL37" s="1079" t="str">
        <f t="shared" si="33"/>
        <v>-</v>
      </c>
      <c r="BM37" s="1079" t="str">
        <f t="shared" si="33"/>
        <v>-</v>
      </c>
      <c r="BN37" s="1079" t="str">
        <f t="shared" si="33"/>
        <v>-</v>
      </c>
      <c r="BO37" s="1079" t="str">
        <f t="shared" ref="BO37:CT37" si="34">IFERROR(AVERAGE(BO35:BO36),"-")</f>
        <v>-</v>
      </c>
      <c r="BP37" s="1079" t="str">
        <f t="shared" si="34"/>
        <v>-</v>
      </c>
      <c r="BQ37" s="1079" t="str">
        <f t="shared" si="34"/>
        <v>-</v>
      </c>
      <c r="BR37" s="1079" t="str">
        <f t="shared" si="34"/>
        <v>-</v>
      </c>
      <c r="BS37" s="1079" t="str">
        <f t="shared" si="34"/>
        <v>-</v>
      </c>
      <c r="BT37" s="1079" t="str">
        <f t="shared" si="34"/>
        <v>-</v>
      </c>
      <c r="BU37" s="1079" t="str">
        <f t="shared" si="34"/>
        <v>-</v>
      </c>
      <c r="BV37" s="1079" t="str">
        <f t="shared" si="34"/>
        <v>-</v>
      </c>
      <c r="BW37" s="1079" t="str">
        <f t="shared" si="34"/>
        <v>-</v>
      </c>
      <c r="BX37" s="1079" t="str">
        <f t="shared" si="34"/>
        <v>-</v>
      </c>
      <c r="BY37" s="1079" t="str">
        <f t="shared" si="34"/>
        <v>-</v>
      </c>
      <c r="BZ37" s="1079" t="str">
        <f t="shared" si="34"/>
        <v>-</v>
      </c>
      <c r="CA37" s="1079" t="str">
        <f t="shared" si="34"/>
        <v>-</v>
      </c>
      <c r="CB37" s="1079" t="str">
        <f t="shared" si="34"/>
        <v>-</v>
      </c>
      <c r="CC37" s="1079" t="str">
        <f t="shared" si="34"/>
        <v>-</v>
      </c>
      <c r="CD37" s="1079" t="str">
        <f t="shared" si="34"/>
        <v>-</v>
      </c>
      <c r="CE37" s="1079" t="str">
        <f t="shared" si="34"/>
        <v>-</v>
      </c>
      <c r="CF37" s="1079" t="str">
        <f t="shared" si="34"/>
        <v>-</v>
      </c>
      <c r="CG37" s="1079" t="str">
        <f t="shared" si="34"/>
        <v>-</v>
      </c>
      <c r="CH37" s="1079" t="str">
        <f t="shared" si="34"/>
        <v>-</v>
      </c>
      <c r="CI37" s="1079" t="str">
        <f t="shared" si="34"/>
        <v>-</v>
      </c>
      <c r="CJ37" s="1079" t="str">
        <f t="shared" si="34"/>
        <v>-</v>
      </c>
      <c r="CK37" s="1079" t="str">
        <f t="shared" si="34"/>
        <v>-</v>
      </c>
      <c r="CL37" s="1079" t="str">
        <f t="shared" si="34"/>
        <v>-</v>
      </c>
      <c r="CM37" s="1079" t="str">
        <f t="shared" si="34"/>
        <v>-</v>
      </c>
      <c r="CN37" s="1079" t="str">
        <f t="shared" si="34"/>
        <v>-</v>
      </c>
      <c r="CO37" s="1079" t="str">
        <f t="shared" si="34"/>
        <v>-</v>
      </c>
      <c r="CP37" s="1079" t="str">
        <f t="shared" si="34"/>
        <v>-</v>
      </c>
      <c r="CQ37" s="1079" t="str">
        <f t="shared" si="34"/>
        <v>-</v>
      </c>
      <c r="CR37" s="1079" t="str">
        <f t="shared" si="34"/>
        <v>-</v>
      </c>
      <c r="CS37" s="1079" t="str">
        <f t="shared" si="34"/>
        <v>-</v>
      </c>
      <c r="CT37" s="1079" t="str">
        <f t="shared" si="34"/>
        <v>-</v>
      </c>
      <c r="CU37" s="1079" t="str">
        <f t="shared" ref="CU37:DP37" si="35">IFERROR(AVERAGE(CU35:CU36),"-")</f>
        <v>-</v>
      </c>
      <c r="CV37" s="1079" t="str">
        <f t="shared" si="35"/>
        <v>-</v>
      </c>
      <c r="CW37" s="1079" t="str">
        <f t="shared" si="35"/>
        <v>-</v>
      </c>
      <c r="CX37" s="1079" t="str">
        <f t="shared" si="35"/>
        <v>-</v>
      </c>
      <c r="CY37" s="1079" t="str">
        <f t="shared" si="35"/>
        <v>-</v>
      </c>
      <c r="CZ37" s="1079" t="str">
        <f t="shared" si="35"/>
        <v>-</v>
      </c>
      <c r="DA37" s="1079" t="str">
        <f t="shared" si="35"/>
        <v>-</v>
      </c>
      <c r="DB37" s="1079" t="str">
        <f t="shared" si="35"/>
        <v>-</v>
      </c>
      <c r="DC37" s="1079" t="str">
        <f t="shared" si="35"/>
        <v>-</v>
      </c>
      <c r="DD37" s="1079" t="str">
        <f t="shared" si="35"/>
        <v>-</v>
      </c>
      <c r="DE37" s="1079" t="str">
        <f t="shared" si="35"/>
        <v>-</v>
      </c>
      <c r="DF37" s="1079">
        <f t="shared" si="35"/>
        <v>2267</v>
      </c>
      <c r="DG37" s="1079">
        <f t="shared" si="35"/>
        <v>2267</v>
      </c>
      <c r="DH37" s="1079">
        <f t="shared" si="35"/>
        <v>2267</v>
      </c>
      <c r="DI37" s="1079">
        <f t="shared" si="35"/>
        <v>2267</v>
      </c>
      <c r="DJ37" s="1079">
        <f t="shared" si="35"/>
        <v>2267</v>
      </c>
      <c r="DK37" s="1079">
        <f t="shared" si="35"/>
        <v>2267</v>
      </c>
      <c r="DL37" s="1079">
        <f t="shared" si="35"/>
        <v>2267</v>
      </c>
      <c r="DM37" s="1079">
        <f t="shared" si="35"/>
        <v>2640.5</v>
      </c>
      <c r="DN37" s="1079">
        <f t="shared" si="35"/>
        <v>2640.5</v>
      </c>
      <c r="DO37" s="1079">
        <f t="shared" si="35"/>
        <v>2640.5</v>
      </c>
      <c r="DP37" s="1079">
        <f t="shared" si="35"/>
        <v>2640.5</v>
      </c>
      <c r="DQ37" s="1079">
        <f>IFERROR(AVERAGE(DQ35:DQ36),"-")</f>
        <v>2640.5</v>
      </c>
    </row>
    <row r="38" spans="1:121" x14ac:dyDescent="0.25">
      <c r="A38" s="992"/>
      <c r="X38" s="340"/>
      <c r="Y38" s="340"/>
      <c r="Z38" s="340"/>
      <c r="AA38" s="340"/>
      <c r="AB38" s="340"/>
      <c r="AC38" s="340"/>
      <c r="AD38" s="340"/>
      <c r="AE38" s="340"/>
      <c r="AF38" s="340"/>
      <c r="AG38" s="340"/>
      <c r="AH38" s="340"/>
      <c r="AI38" s="340"/>
      <c r="AJ38" s="340"/>
      <c r="AK38" s="340"/>
      <c r="AL38" s="340"/>
      <c r="AM38" s="340"/>
      <c r="AN38" s="340"/>
      <c r="AO38" s="340"/>
      <c r="AP38" s="340"/>
      <c r="AQ38" s="340"/>
      <c r="AR38" s="340"/>
      <c r="AS38" s="340"/>
      <c r="AT38"/>
      <c r="AU38"/>
      <c r="AV38" s="91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s="1150"/>
      <c r="DH38" s="1150"/>
      <c r="DI38" s="1150"/>
      <c r="DJ38" s="1150"/>
      <c r="DK38" s="1150"/>
      <c r="DL38" s="1150"/>
      <c r="DM38" s="1150"/>
      <c r="DN38" s="1150"/>
      <c r="DO38" s="1150"/>
      <c r="DP38" s="1150"/>
      <c r="DQ38" s="1150"/>
    </row>
    <row r="39" spans="1:121" x14ac:dyDescent="0.25">
      <c r="A39" s="992"/>
      <c r="B39" s="113" t="s">
        <v>1361</v>
      </c>
      <c r="C39" s="263">
        <f t="shared" ref="C39:BN39" si="36">C$11</f>
        <v>42522</v>
      </c>
      <c r="D39" s="263">
        <f t="shared" si="36"/>
        <v>42552</v>
      </c>
      <c r="E39" s="263">
        <f t="shared" si="36"/>
        <v>42583</v>
      </c>
      <c r="F39" s="263">
        <f t="shared" si="36"/>
        <v>42614</v>
      </c>
      <c r="G39" s="263">
        <f t="shared" si="36"/>
        <v>42644</v>
      </c>
      <c r="H39" s="263">
        <f t="shared" si="36"/>
        <v>42675</v>
      </c>
      <c r="I39" s="263">
        <f t="shared" si="36"/>
        <v>42705</v>
      </c>
      <c r="J39" s="263">
        <f t="shared" si="36"/>
        <v>42736</v>
      </c>
      <c r="K39" s="263">
        <f t="shared" si="36"/>
        <v>42767</v>
      </c>
      <c r="L39" s="263">
        <f t="shared" si="36"/>
        <v>42795</v>
      </c>
      <c r="M39" s="263">
        <f t="shared" si="36"/>
        <v>42826</v>
      </c>
      <c r="N39" s="263">
        <f t="shared" si="36"/>
        <v>42856</v>
      </c>
      <c r="O39" s="263">
        <f t="shared" si="36"/>
        <v>42887</v>
      </c>
      <c r="P39" s="263">
        <f t="shared" si="36"/>
        <v>42917</v>
      </c>
      <c r="Q39" s="263">
        <f t="shared" si="36"/>
        <v>42948</v>
      </c>
      <c r="R39" s="263">
        <f t="shared" si="36"/>
        <v>42979</v>
      </c>
      <c r="S39" s="263">
        <f t="shared" si="36"/>
        <v>43009</v>
      </c>
      <c r="T39" s="263">
        <f t="shared" si="36"/>
        <v>43040</v>
      </c>
      <c r="U39" s="263">
        <f t="shared" si="36"/>
        <v>43070</v>
      </c>
      <c r="V39" s="263">
        <f t="shared" si="36"/>
        <v>43101</v>
      </c>
      <c r="W39" s="263">
        <f t="shared" si="36"/>
        <v>43132</v>
      </c>
      <c r="X39" s="263">
        <f t="shared" si="36"/>
        <v>43160</v>
      </c>
      <c r="Y39" s="263">
        <f t="shared" si="36"/>
        <v>43191</v>
      </c>
      <c r="Z39" s="263">
        <f t="shared" si="36"/>
        <v>43221</v>
      </c>
      <c r="AA39" s="263">
        <f t="shared" si="36"/>
        <v>43252</v>
      </c>
      <c r="AB39" s="263">
        <f t="shared" si="36"/>
        <v>43283</v>
      </c>
      <c r="AC39" s="263">
        <f t="shared" si="36"/>
        <v>43314</v>
      </c>
      <c r="AD39" s="263">
        <f t="shared" si="36"/>
        <v>43345</v>
      </c>
      <c r="AE39" s="263">
        <f t="shared" si="36"/>
        <v>43376</v>
      </c>
      <c r="AF39" s="263">
        <f t="shared" si="36"/>
        <v>43407</v>
      </c>
      <c r="AG39" s="263">
        <f t="shared" si="36"/>
        <v>43437</v>
      </c>
      <c r="AH39" s="263">
        <f t="shared" si="36"/>
        <v>43468</v>
      </c>
      <c r="AI39" s="263">
        <f t="shared" si="36"/>
        <v>43499</v>
      </c>
      <c r="AJ39" s="263">
        <f t="shared" si="36"/>
        <v>43527</v>
      </c>
      <c r="AK39" s="263">
        <f t="shared" si="36"/>
        <v>43558</v>
      </c>
      <c r="AL39" s="263">
        <f t="shared" si="36"/>
        <v>43587</v>
      </c>
      <c r="AM39" s="263">
        <f t="shared" si="36"/>
        <v>43618</v>
      </c>
      <c r="AN39" s="263">
        <f t="shared" si="36"/>
        <v>43647</v>
      </c>
      <c r="AO39" s="263">
        <f t="shared" si="36"/>
        <v>43678</v>
      </c>
      <c r="AP39" s="263">
        <f t="shared" si="36"/>
        <v>43709</v>
      </c>
      <c r="AQ39" s="263">
        <f t="shared" si="36"/>
        <v>43739</v>
      </c>
      <c r="AR39" s="263">
        <f t="shared" si="36"/>
        <v>43770</v>
      </c>
      <c r="AS39" s="263">
        <f t="shared" si="36"/>
        <v>43800</v>
      </c>
      <c r="AT39" s="263">
        <f t="shared" si="36"/>
        <v>43831</v>
      </c>
      <c r="AU39" s="263">
        <f t="shared" si="36"/>
        <v>43862</v>
      </c>
      <c r="AV39" s="914">
        <f t="shared" si="36"/>
        <v>43891</v>
      </c>
      <c r="AW39" s="263">
        <f t="shared" si="36"/>
        <v>43922</v>
      </c>
      <c r="AX39" s="263">
        <f t="shared" si="36"/>
        <v>43952</v>
      </c>
      <c r="AY39" s="263">
        <f t="shared" si="36"/>
        <v>43983</v>
      </c>
      <c r="AZ39" s="263">
        <f t="shared" si="36"/>
        <v>44013</v>
      </c>
      <c r="BA39" s="263">
        <f t="shared" si="36"/>
        <v>44044</v>
      </c>
      <c r="BB39" s="263">
        <f t="shared" si="36"/>
        <v>44075</v>
      </c>
      <c r="BC39" s="263">
        <f t="shared" si="36"/>
        <v>44105</v>
      </c>
      <c r="BD39" s="263">
        <f t="shared" si="36"/>
        <v>44136</v>
      </c>
      <c r="BE39" s="263">
        <f t="shared" si="36"/>
        <v>44166</v>
      </c>
      <c r="BF39" s="263">
        <f t="shared" si="36"/>
        <v>44197</v>
      </c>
      <c r="BG39" s="263">
        <f t="shared" si="36"/>
        <v>44228</v>
      </c>
      <c r="BH39" s="263">
        <f t="shared" si="36"/>
        <v>44256</v>
      </c>
      <c r="BI39" s="263">
        <f t="shared" si="36"/>
        <v>44287</v>
      </c>
      <c r="BJ39" s="263">
        <f t="shared" si="36"/>
        <v>44317</v>
      </c>
      <c r="BK39" s="263">
        <f t="shared" si="36"/>
        <v>44348</v>
      </c>
      <c r="BL39" s="263">
        <f t="shared" si="36"/>
        <v>44378</v>
      </c>
      <c r="BM39" s="263">
        <f t="shared" si="36"/>
        <v>44409</v>
      </c>
      <c r="BN39" s="263">
        <f t="shared" si="36"/>
        <v>44440</v>
      </c>
      <c r="BO39" s="263">
        <f t="shared" ref="BO39:DQ39" si="37">BO$11</f>
        <v>44470</v>
      </c>
      <c r="BP39" s="263">
        <f t="shared" si="37"/>
        <v>44501</v>
      </c>
      <c r="BQ39" s="263">
        <f t="shared" si="37"/>
        <v>44531</v>
      </c>
      <c r="BR39" s="263">
        <f t="shared" si="37"/>
        <v>44562</v>
      </c>
      <c r="BS39" s="263">
        <f t="shared" si="37"/>
        <v>44593</v>
      </c>
      <c r="BT39" s="263">
        <f t="shared" si="37"/>
        <v>44622</v>
      </c>
      <c r="BU39" s="263">
        <f t="shared" si="37"/>
        <v>44654</v>
      </c>
      <c r="BV39" s="263">
        <f t="shared" si="37"/>
        <v>44685</v>
      </c>
      <c r="BW39" s="263">
        <f t="shared" si="37"/>
        <v>44716</v>
      </c>
      <c r="BX39" s="263">
        <f t="shared" si="37"/>
        <v>44746</v>
      </c>
      <c r="BY39" s="263">
        <f t="shared" si="37"/>
        <v>44774</v>
      </c>
      <c r="BZ39" s="263">
        <f t="shared" si="37"/>
        <v>44805</v>
      </c>
      <c r="CA39" s="263">
        <f t="shared" si="37"/>
        <v>44835</v>
      </c>
      <c r="CB39" s="263">
        <f t="shared" si="37"/>
        <v>44866</v>
      </c>
      <c r="CC39" s="263">
        <f t="shared" si="37"/>
        <v>44896</v>
      </c>
      <c r="CD39" s="263">
        <f t="shared" si="37"/>
        <v>44927</v>
      </c>
      <c r="CE39" s="263">
        <f t="shared" si="37"/>
        <v>44958</v>
      </c>
      <c r="CF39" s="263">
        <f t="shared" si="37"/>
        <v>44986</v>
      </c>
      <c r="CG39" s="263">
        <f t="shared" si="37"/>
        <v>45017</v>
      </c>
      <c r="CH39" s="263">
        <f t="shared" si="37"/>
        <v>45047</v>
      </c>
      <c r="CI39" s="263">
        <f t="shared" si="37"/>
        <v>45078</v>
      </c>
      <c r="CJ39" s="263">
        <f t="shared" si="37"/>
        <v>45108</v>
      </c>
      <c r="CK39" s="263">
        <f t="shared" si="37"/>
        <v>45139</v>
      </c>
      <c r="CL39" s="263">
        <f t="shared" si="37"/>
        <v>45170</v>
      </c>
      <c r="CM39" s="263">
        <f t="shared" si="37"/>
        <v>45200</v>
      </c>
      <c r="CN39" s="263">
        <f t="shared" si="37"/>
        <v>45231</v>
      </c>
      <c r="CO39" s="263">
        <f t="shared" si="37"/>
        <v>45261</v>
      </c>
      <c r="CP39" s="263">
        <f t="shared" si="37"/>
        <v>45292</v>
      </c>
      <c r="CQ39" s="263">
        <f t="shared" si="37"/>
        <v>45323</v>
      </c>
      <c r="CR39" s="263">
        <f t="shared" si="37"/>
        <v>45352</v>
      </c>
      <c r="CS39" s="263">
        <f t="shared" si="37"/>
        <v>45383</v>
      </c>
      <c r="CT39" s="263">
        <f t="shared" si="37"/>
        <v>45413</v>
      </c>
      <c r="CU39" s="263">
        <f t="shared" si="37"/>
        <v>45444</v>
      </c>
      <c r="CV39" s="263">
        <f t="shared" si="37"/>
        <v>45474</v>
      </c>
      <c r="CW39" s="263">
        <f t="shared" si="37"/>
        <v>45505</v>
      </c>
      <c r="CX39" s="263">
        <f t="shared" si="37"/>
        <v>45536</v>
      </c>
      <c r="CY39" s="263">
        <f t="shared" si="37"/>
        <v>45566</v>
      </c>
      <c r="CZ39" s="263">
        <f t="shared" si="37"/>
        <v>45597</v>
      </c>
      <c r="DA39" s="263">
        <f t="shared" si="37"/>
        <v>45627</v>
      </c>
      <c r="DB39" s="263">
        <f t="shared" si="37"/>
        <v>45658</v>
      </c>
      <c r="DC39" s="263">
        <f t="shared" si="37"/>
        <v>45689</v>
      </c>
      <c r="DD39" s="263">
        <f t="shared" si="37"/>
        <v>45717</v>
      </c>
      <c r="DE39" s="263">
        <f t="shared" si="37"/>
        <v>45748</v>
      </c>
      <c r="DF39" s="263">
        <f t="shared" si="37"/>
        <v>45778</v>
      </c>
      <c r="DG39" s="263">
        <f t="shared" si="37"/>
        <v>45809</v>
      </c>
      <c r="DH39" s="263">
        <v>45839</v>
      </c>
      <c r="DI39" s="263">
        <f t="shared" si="37"/>
        <v>45870</v>
      </c>
      <c r="DJ39" s="263">
        <f t="shared" si="37"/>
        <v>45901</v>
      </c>
      <c r="DK39" s="263">
        <f t="shared" si="37"/>
        <v>45931</v>
      </c>
      <c r="DL39" s="263">
        <f t="shared" si="37"/>
        <v>45962</v>
      </c>
      <c r="DM39" s="263">
        <f t="shared" si="37"/>
        <v>45992</v>
      </c>
      <c r="DN39" s="263">
        <f t="shared" si="37"/>
        <v>46023</v>
      </c>
      <c r="DO39" s="263">
        <f t="shared" si="37"/>
        <v>46054</v>
      </c>
      <c r="DP39" s="263">
        <f t="shared" si="37"/>
        <v>46082</v>
      </c>
      <c r="DQ39" s="263">
        <f t="shared" si="37"/>
        <v>46113</v>
      </c>
    </row>
    <row r="40" spans="1:121" x14ac:dyDescent="0.25">
      <c r="A40" s="992"/>
      <c r="B40" s="117" t="s">
        <v>542</v>
      </c>
      <c r="C40" s="264" t="s">
        <v>160</v>
      </c>
      <c r="D40" s="264" t="s">
        <v>160</v>
      </c>
      <c r="E40" s="264" t="s">
        <v>160</v>
      </c>
      <c r="F40" s="265" t="s">
        <v>160</v>
      </c>
      <c r="G40" s="265" t="s">
        <v>160</v>
      </c>
      <c r="H40" s="265" t="s">
        <v>160</v>
      </c>
      <c r="I40" s="265" t="s">
        <v>160</v>
      </c>
      <c r="J40" s="265" t="s">
        <v>160</v>
      </c>
      <c r="K40" s="265" t="s">
        <v>160</v>
      </c>
      <c r="L40" s="265" t="s">
        <v>160</v>
      </c>
      <c r="M40" s="265" t="s">
        <v>160</v>
      </c>
      <c r="N40" s="265" t="s">
        <v>160</v>
      </c>
      <c r="O40" s="265" t="s">
        <v>160</v>
      </c>
      <c r="P40" s="265" t="s">
        <v>160</v>
      </c>
      <c r="Q40" s="265" t="s">
        <v>160</v>
      </c>
      <c r="R40" s="265" t="s">
        <v>160</v>
      </c>
      <c r="S40" s="265" t="s">
        <v>160</v>
      </c>
      <c r="T40" s="265" t="s">
        <v>160</v>
      </c>
      <c r="U40" s="337" t="s">
        <v>160</v>
      </c>
      <c r="V40" s="337" t="s">
        <v>160</v>
      </c>
      <c r="W40" s="337" t="s">
        <v>160</v>
      </c>
      <c r="X40" s="337" t="s">
        <v>160</v>
      </c>
      <c r="Y40" s="337" t="s">
        <v>160</v>
      </c>
      <c r="Z40" s="337" t="s">
        <v>160</v>
      </c>
      <c r="AA40" s="337" t="s">
        <v>160</v>
      </c>
      <c r="AB40" s="337" t="s">
        <v>160</v>
      </c>
      <c r="AC40" s="337" t="s">
        <v>160</v>
      </c>
      <c r="AD40" s="337" t="s">
        <v>160</v>
      </c>
      <c r="AE40" s="337" t="s">
        <v>160</v>
      </c>
      <c r="AF40" s="337" t="s">
        <v>160</v>
      </c>
      <c r="AG40" s="337" t="s">
        <v>160</v>
      </c>
      <c r="AH40" s="337" t="s">
        <v>160</v>
      </c>
      <c r="AI40" s="337" t="s">
        <v>160</v>
      </c>
      <c r="AJ40" s="337" t="s">
        <v>160</v>
      </c>
      <c r="AK40" s="337" t="s">
        <v>160</v>
      </c>
      <c r="AL40" s="337" t="s">
        <v>160</v>
      </c>
      <c r="AM40" s="337" t="s">
        <v>160</v>
      </c>
      <c r="AN40" s="337" t="s">
        <v>160</v>
      </c>
      <c r="AO40" s="337" t="s">
        <v>160</v>
      </c>
      <c r="AP40" s="337" t="s">
        <v>160</v>
      </c>
      <c r="AQ40" s="337" t="s">
        <v>160</v>
      </c>
      <c r="AR40" s="337" t="s">
        <v>160</v>
      </c>
      <c r="AS40" s="337" t="s">
        <v>160</v>
      </c>
      <c r="AT40" s="337" t="s">
        <v>160</v>
      </c>
      <c r="AU40" s="337" t="s">
        <v>160</v>
      </c>
      <c r="AV40" s="1158" t="s">
        <v>160</v>
      </c>
      <c r="AW40" s="337" t="s">
        <v>160</v>
      </c>
      <c r="AX40" s="337" t="s">
        <v>160</v>
      </c>
      <c r="AY40" s="337" t="s">
        <v>160</v>
      </c>
      <c r="AZ40" s="337" t="s">
        <v>160</v>
      </c>
      <c r="BA40" s="337" t="s">
        <v>160</v>
      </c>
      <c r="BB40" s="337" t="s">
        <v>160</v>
      </c>
      <c r="BC40" s="337" t="s">
        <v>160</v>
      </c>
      <c r="BD40" s="337" t="s">
        <v>160</v>
      </c>
      <c r="BE40" s="337" t="s">
        <v>160</v>
      </c>
      <c r="BF40" s="337" t="s">
        <v>160</v>
      </c>
      <c r="BG40" s="337" t="s">
        <v>160</v>
      </c>
      <c r="BH40" s="337" t="s">
        <v>160</v>
      </c>
      <c r="BI40" s="337" t="s">
        <v>160</v>
      </c>
      <c r="BJ40" s="337" t="s">
        <v>160</v>
      </c>
      <c r="BK40" s="337" t="s">
        <v>160</v>
      </c>
      <c r="BL40" s="337" t="s">
        <v>160</v>
      </c>
      <c r="BM40" s="337" t="s">
        <v>160</v>
      </c>
      <c r="BN40" s="337" t="s">
        <v>160</v>
      </c>
      <c r="BO40" s="337" t="s">
        <v>160</v>
      </c>
      <c r="BP40" s="337" t="s">
        <v>160</v>
      </c>
      <c r="BQ40" s="337" t="s">
        <v>160</v>
      </c>
      <c r="BR40" s="337" t="s">
        <v>160</v>
      </c>
      <c r="BS40" s="337" t="s">
        <v>160</v>
      </c>
      <c r="BT40" s="337" t="s">
        <v>160</v>
      </c>
      <c r="BU40" s="337" t="s">
        <v>160</v>
      </c>
      <c r="BV40" s="337" t="s">
        <v>160</v>
      </c>
      <c r="BW40" s="337" t="s">
        <v>160</v>
      </c>
      <c r="BX40" s="337" t="s">
        <v>160</v>
      </c>
      <c r="BY40" s="337" t="s">
        <v>160</v>
      </c>
      <c r="BZ40" s="337" t="s">
        <v>160</v>
      </c>
      <c r="CA40" s="337" t="s">
        <v>160</v>
      </c>
      <c r="CB40" s="337" t="s">
        <v>160</v>
      </c>
      <c r="CC40" s="337" t="s">
        <v>160</v>
      </c>
      <c r="CD40" s="337" t="s">
        <v>160</v>
      </c>
      <c r="CE40" s="337" t="s">
        <v>160</v>
      </c>
      <c r="CF40" s="337" t="s">
        <v>160</v>
      </c>
      <c r="CG40" s="337" t="s">
        <v>160</v>
      </c>
      <c r="CH40" s="337" t="s">
        <v>160</v>
      </c>
      <c r="CI40" s="337" t="s">
        <v>160</v>
      </c>
      <c r="CJ40" s="337" t="s">
        <v>160</v>
      </c>
      <c r="CK40" s="337" t="s">
        <v>160</v>
      </c>
      <c r="CL40" s="337" t="s">
        <v>160</v>
      </c>
      <c r="CM40" s="337" t="s">
        <v>160</v>
      </c>
      <c r="CN40" s="337" t="s">
        <v>160</v>
      </c>
      <c r="CO40" s="337" t="s">
        <v>160</v>
      </c>
      <c r="CP40" s="337" t="s">
        <v>160</v>
      </c>
      <c r="CQ40" s="337" t="s">
        <v>160</v>
      </c>
      <c r="CR40" s="337" t="s">
        <v>160</v>
      </c>
      <c r="CS40" s="337" t="s">
        <v>160</v>
      </c>
      <c r="CT40" s="337" t="s">
        <v>160</v>
      </c>
      <c r="CU40" s="337" t="s">
        <v>160</v>
      </c>
      <c r="CV40" s="337" t="s">
        <v>160</v>
      </c>
      <c r="CW40" s="337" t="s">
        <v>160</v>
      </c>
      <c r="CX40" s="337" t="s">
        <v>160</v>
      </c>
      <c r="CY40" s="337" t="s">
        <v>160</v>
      </c>
      <c r="CZ40" s="337" t="s">
        <v>160</v>
      </c>
      <c r="DA40" s="337" t="s">
        <v>160</v>
      </c>
      <c r="DB40" s="337" t="s">
        <v>160</v>
      </c>
      <c r="DC40" s="337" t="s">
        <v>160</v>
      </c>
      <c r="DD40" s="337" t="s">
        <v>160</v>
      </c>
      <c r="DE40" s="337" t="s">
        <v>160</v>
      </c>
      <c r="DF40" s="337" t="s">
        <v>160</v>
      </c>
      <c r="DG40" s="337" t="s">
        <v>160</v>
      </c>
      <c r="DH40" s="337" t="s">
        <v>160</v>
      </c>
      <c r="DI40" s="337" t="s">
        <v>160</v>
      </c>
      <c r="DJ40" s="337" t="s">
        <v>160</v>
      </c>
      <c r="DK40" s="337" t="s">
        <v>160</v>
      </c>
      <c r="DL40" s="337" t="s">
        <v>160</v>
      </c>
      <c r="DM40" s="337">
        <v>501</v>
      </c>
      <c r="DN40" s="337">
        <v>501</v>
      </c>
      <c r="DO40" s="337">
        <v>501</v>
      </c>
      <c r="DP40" s="337">
        <v>501</v>
      </c>
      <c r="DQ40" s="337">
        <v>501</v>
      </c>
    </row>
    <row r="41" spans="1:121" x14ac:dyDescent="0.25">
      <c r="A41" s="992"/>
      <c r="B41" s="117" t="s">
        <v>547</v>
      </c>
      <c r="C41" s="264" t="s">
        <v>160</v>
      </c>
      <c r="D41" s="264" t="s">
        <v>160</v>
      </c>
      <c r="E41" s="264" t="s">
        <v>160</v>
      </c>
      <c r="F41" s="264" t="s">
        <v>160</v>
      </c>
      <c r="G41" s="265" t="s">
        <v>160</v>
      </c>
      <c r="H41" s="265" t="s">
        <v>160</v>
      </c>
      <c r="I41" s="265" t="s">
        <v>160</v>
      </c>
      <c r="J41" s="265" t="s">
        <v>160</v>
      </c>
      <c r="K41" s="265" t="s">
        <v>160</v>
      </c>
      <c r="L41" s="265" t="s">
        <v>160</v>
      </c>
      <c r="M41" s="265" t="s">
        <v>160</v>
      </c>
      <c r="N41" s="265" t="s">
        <v>160</v>
      </c>
      <c r="O41" s="265" t="s">
        <v>160</v>
      </c>
      <c r="P41" s="265" t="s">
        <v>160</v>
      </c>
      <c r="Q41" s="265" t="s">
        <v>160</v>
      </c>
      <c r="R41" s="265" t="s">
        <v>160</v>
      </c>
      <c r="S41" s="265" t="s">
        <v>160</v>
      </c>
      <c r="T41" s="265" t="s">
        <v>160</v>
      </c>
      <c r="U41" s="265" t="s">
        <v>160</v>
      </c>
      <c r="V41" s="337" t="s">
        <v>160</v>
      </c>
      <c r="W41" s="265" t="s">
        <v>160</v>
      </c>
      <c r="X41" s="265" t="s">
        <v>160</v>
      </c>
      <c r="Y41" s="265" t="s">
        <v>160</v>
      </c>
      <c r="Z41" s="265" t="s">
        <v>160</v>
      </c>
      <c r="AA41" s="265" t="s">
        <v>160</v>
      </c>
      <c r="AB41" s="265" t="s">
        <v>160</v>
      </c>
      <c r="AC41" s="265" t="s">
        <v>160</v>
      </c>
      <c r="AD41" s="337" t="s">
        <v>160</v>
      </c>
      <c r="AE41" s="265" t="s">
        <v>160</v>
      </c>
      <c r="AF41" s="265" t="s">
        <v>160</v>
      </c>
      <c r="AG41" s="265" t="s">
        <v>160</v>
      </c>
      <c r="AH41" s="265" t="s">
        <v>160</v>
      </c>
      <c r="AI41" s="265" t="s">
        <v>160</v>
      </c>
      <c r="AJ41" s="337" t="s">
        <v>160</v>
      </c>
      <c r="AK41" s="337" t="s">
        <v>160</v>
      </c>
      <c r="AL41" s="337" t="s">
        <v>160</v>
      </c>
      <c r="AM41" s="337" t="s">
        <v>160</v>
      </c>
      <c r="AN41" s="337" t="s">
        <v>160</v>
      </c>
      <c r="AO41" s="337" t="s">
        <v>160</v>
      </c>
      <c r="AP41" s="337" t="s">
        <v>160</v>
      </c>
      <c r="AQ41" s="337" t="s">
        <v>160</v>
      </c>
      <c r="AR41" s="337" t="s">
        <v>160</v>
      </c>
      <c r="AS41" s="337" t="s">
        <v>160</v>
      </c>
      <c r="AT41" s="337" t="s">
        <v>160</v>
      </c>
      <c r="AU41" s="337" t="s">
        <v>160</v>
      </c>
      <c r="AV41" s="1158" t="s">
        <v>160</v>
      </c>
      <c r="AW41" s="337" t="s">
        <v>160</v>
      </c>
      <c r="AX41" s="337" t="s">
        <v>160</v>
      </c>
      <c r="AY41" s="337" t="s">
        <v>160</v>
      </c>
      <c r="AZ41" s="337" t="s">
        <v>160</v>
      </c>
      <c r="BA41" s="337" t="s">
        <v>160</v>
      </c>
      <c r="BB41" s="337" t="s">
        <v>160</v>
      </c>
      <c r="BC41" s="337" t="s">
        <v>160</v>
      </c>
      <c r="BD41" s="337" t="s">
        <v>160</v>
      </c>
      <c r="BE41" s="337" t="s">
        <v>160</v>
      </c>
      <c r="BF41" s="337" t="s">
        <v>160</v>
      </c>
      <c r="BG41" s="337" t="s">
        <v>160</v>
      </c>
      <c r="BH41" s="337" t="s">
        <v>160</v>
      </c>
      <c r="BI41" s="337" t="s">
        <v>160</v>
      </c>
      <c r="BJ41" s="337" t="s">
        <v>160</v>
      </c>
      <c r="BK41" s="337" t="s">
        <v>160</v>
      </c>
      <c r="BL41" s="337" t="s">
        <v>160</v>
      </c>
      <c r="BM41" s="337" t="s">
        <v>160</v>
      </c>
      <c r="BN41" s="337" t="s">
        <v>160</v>
      </c>
      <c r="BO41" s="337" t="s">
        <v>160</v>
      </c>
      <c r="BP41" s="337" t="s">
        <v>160</v>
      </c>
      <c r="BQ41" s="337" t="s">
        <v>160</v>
      </c>
      <c r="BR41" s="337" t="s">
        <v>160</v>
      </c>
      <c r="BS41" s="337" t="s">
        <v>160</v>
      </c>
      <c r="BT41" s="337" t="s">
        <v>160</v>
      </c>
      <c r="BU41" s="337" t="s">
        <v>160</v>
      </c>
      <c r="BV41" s="337" t="s">
        <v>160</v>
      </c>
      <c r="BW41" s="337" t="s">
        <v>160</v>
      </c>
      <c r="BX41" s="337" t="s">
        <v>160</v>
      </c>
      <c r="BY41" s="337" t="s">
        <v>160</v>
      </c>
      <c r="BZ41" s="337" t="s">
        <v>160</v>
      </c>
      <c r="CA41" s="337" t="s">
        <v>160</v>
      </c>
      <c r="CB41" s="337" t="s">
        <v>160</v>
      </c>
      <c r="CC41" s="337" t="s">
        <v>160</v>
      </c>
      <c r="CD41" s="337" t="s">
        <v>160</v>
      </c>
      <c r="CE41" s="337" t="s">
        <v>160</v>
      </c>
      <c r="CF41" s="337" t="s">
        <v>160</v>
      </c>
      <c r="CG41" s="337" t="s">
        <v>160</v>
      </c>
      <c r="CH41" s="337" t="s">
        <v>160</v>
      </c>
      <c r="CI41" s="337" t="s">
        <v>160</v>
      </c>
      <c r="CJ41" s="337" t="s">
        <v>160</v>
      </c>
      <c r="CK41" s="337" t="s">
        <v>160</v>
      </c>
      <c r="CL41" s="337" t="s">
        <v>160</v>
      </c>
      <c r="CM41" s="337" t="s">
        <v>160</v>
      </c>
      <c r="CN41" s="337" t="s">
        <v>160</v>
      </c>
      <c r="CO41" s="337" t="s">
        <v>160</v>
      </c>
      <c r="CP41" s="337" t="s">
        <v>160</v>
      </c>
      <c r="CQ41" s="337" t="s">
        <v>160</v>
      </c>
      <c r="CR41" s="337" t="s">
        <v>160</v>
      </c>
      <c r="CS41" s="337" t="s">
        <v>160</v>
      </c>
      <c r="CT41" s="337" t="s">
        <v>160</v>
      </c>
      <c r="CU41" s="337" t="s">
        <v>160</v>
      </c>
      <c r="CV41" s="337" t="s">
        <v>160</v>
      </c>
      <c r="CW41" s="337" t="s">
        <v>160</v>
      </c>
      <c r="CX41" s="337" t="s">
        <v>160</v>
      </c>
      <c r="CY41" s="337" t="s">
        <v>160</v>
      </c>
      <c r="CZ41" s="337" t="s">
        <v>160</v>
      </c>
      <c r="DA41" s="337" t="s">
        <v>160</v>
      </c>
      <c r="DB41" s="337" t="s">
        <v>160</v>
      </c>
      <c r="DC41" s="337" t="s">
        <v>160</v>
      </c>
      <c r="DD41" s="337" t="s">
        <v>160</v>
      </c>
      <c r="DE41" s="337" t="s">
        <v>160</v>
      </c>
      <c r="DF41" s="337">
        <v>443</v>
      </c>
      <c r="DG41" s="337">
        <v>443</v>
      </c>
      <c r="DH41" s="337">
        <v>443</v>
      </c>
      <c r="DI41" s="337">
        <v>443</v>
      </c>
      <c r="DJ41" s="337">
        <v>443</v>
      </c>
      <c r="DK41" s="337">
        <v>443</v>
      </c>
      <c r="DL41" s="337">
        <v>443</v>
      </c>
      <c r="DM41" s="337">
        <v>436</v>
      </c>
      <c r="DN41" s="337">
        <v>436</v>
      </c>
      <c r="DO41" s="337">
        <v>436</v>
      </c>
      <c r="DP41" s="337">
        <v>436</v>
      </c>
      <c r="DQ41" s="337">
        <v>436</v>
      </c>
    </row>
    <row r="42" spans="1:121" x14ac:dyDescent="0.25">
      <c r="A42" s="992"/>
      <c r="B42" s="1072" t="s">
        <v>557</v>
      </c>
      <c r="C42" s="1073" t="str">
        <f t="shared" ref="C42:K42" si="38">IFERROR(AVERAGE(C40:C41),"-")</f>
        <v>-</v>
      </c>
      <c r="D42" s="1073" t="str">
        <f t="shared" si="38"/>
        <v>-</v>
      </c>
      <c r="E42" s="1073" t="str">
        <f t="shared" si="38"/>
        <v>-</v>
      </c>
      <c r="F42" s="1073" t="str">
        <f t="shared" si="38"/>
        <v>-</v>
      </c>
      <c r="G42" s="1073" t="str">
        <f t="shared" si="38"/>
        <v>-</v>
      </c>
      <c r="H42" s="1073" t="str">
        <f t="shared" si="38"/>
        <v>-</v>
      </c>
      <c r="I42" s="1073" t="str">
        <f t="shared" si="38"/>
        <v>-</v>
      </c>
      <c r="J42" s="1073" t="str">
        <f t="shared" si="38"/>
        <v>-</v>
      </c>
      <c r="K42" s="1073" t="str">
        <f t="shared" si="38"/>
        <v>-</v>
      </c>
      <c r="L42" s="1075" t="s">
        <v>160</v>
      </c>
      <c r="M42" s="1075" t="s">
        <v>160</v>
      </c>
      <c r="N42" s="1075" t="s">
        <v>160</v>
      </c>
      <c r="O42" s="1075" t="s">
        <v>160</v>
      </c>
      <c r="P42" s="1075" t="s">
        <v>160</v>
      </c>
      <c r="Q42" s="1075" t="s">
        <v>160</v>
      </c>
      <c r="R42" s="1075" t="s">
        <v>160</v>
      </c>
      <c r="S42" s="1075" t="s">
        <v>160</v>
      </c>
      <c r="T42" s="1075" t="s">
        <v>160</v>
      </c>
      <c r="U42" s="1075" t="s">
        <v>160</v>
      </c>
      <c r="V42" s="1076" t="str">
        <f t="shared" ref="V42:BA42" si="39">IFERROR(AVERAGE(V40:V41),"-")</f>
        <v>-</v>
      </c>
      <c r="W42" s="1076" t="str">
        <f t="shared" si="39"/>
        <v>-</v>
      </c>
      <c r="X42" s="1076" t="str">
        <f t="shared" si="39"/>
        <v>-</v>
      </c>
      <c r="Y42" s="1076" t="str">
        <f t="shared" si="39"/>
        <v>-</v>
      </c>
      <c r="Z42" s="1076" t="str">
        <f t="shared" si="39"/>
        <v>-</v>
      </c>
      <c r="AA42" s="1076" t="str">
        <f t="shared" si="39"/>
        <v>-</v>
      </c>
      <c r="AB42" s="1076" t="str">
        <f t="shared" si="39"/>
        <v>-</v>
      </c>
      <c r="AC42" s="1076" t="str">
        <f t="shared" si="39"/>
        <v>-</v>
      </c>
      <c r="AD42" s="1076" t="str">
        <f t="shared" si="39"/>
        <v>-</v>
      </c>
      <c r="AE42" s="1076" t="str">
        <f t="shared" si="39"/>
        <v>-</v>
      </c>
      <c r="AF42" s="1076" t="str">
        <f t="shared" si="39"/>
        <v>-</v>
      </c>
      <c r="AG42" s="1076" t="str">
        <f t="shared" si="39"/>
        <v>-</v>
      </c>
      <c r="AH42" s="1076" t="str">
        <f t="shared" si="39"/>
        <v>-</v>
      </c>
      <c r="AI42" s="1076" t="str">
        <f t="shared" si="39"/>
        <v>-</v>
      </c>
      <c r="AJ42" s="1076" t="str">
        <f t="shared" si="39"/>
        <v>-</v>
      </c>
      <c r="AK42" s="1076" t="str">
        <f t="shared" si="39"/>
        <v>-</v>
      </c>
      <c r="AL42" s="1076" t="str">
        <f t="shared" si="39"/>
        <v>-</v>
      </c>
      <c r="AM42" s="1076" t="str">
        <f t="shared" si="39"/>
        <v>-</v>
      </c>
      <c r="AN42" s="1076" t="str">
        <f t="shared" si="39"/>
        <v>-</v>
      </c>
      <c r="AO42" s="1076" t="str">
        <f t="shared" si="39"/>
        <v>-</v>
      </c>
      <c r="AP42" s="1076" t="str">
        <f t="shared" si="39"/>
        <v>-</v>
      </c>
      <c r="AQ42" s="1076" t="str">
        <f t="shared" si="39"/>
        <v>-</v>
      </c>
      <c r="AR42" s="1076" t="str">
        <f t="shared" si="39"/>
        <v>-</v>
      </c>
      <c r="AS42" s="1075" t="str">
        <f t="shared" si="39"/>
        <v>-</v>
      </c>
      <c r="AT42" s="1075" t="str">
        <f t="shared" si="39"/>
        <v>-</v>
      </c>
      <c r="AU42" s="1075" t="str">
        <f t="shared" si="39"/>
        <v>-</v>
      </c>
      <c r="AV42" s="1075" t="str">
        <f t="shared" si="39"/>
        <v>-</v>
      </c>
      <c r="AW42" s="1075" t="str">
        <f t="shared" si="39"/>
        <v>-</v>
      </c>
      <c r="AX42" s="1075" t="str">
        <f t="shared" si="39"/>
        <v>-</v>
      </c>
      <c r="AY42" s="1075" t="str">
        <f t="shared" si="39"/>
        <v>-</v>
      </c>
      <c r="AZ42" s="1075" t="str">
        <f t="shared" si="39"/>
        <v>-</v>
      </c>
      <c r="BA42" s="1075" t="str">
        <f t="shared" si="39"/>
        <v>-</v>
      </c>
      <c r="BB42" s="1075" t="str">
        <f t="shared" ref="BB42:CG42" si="40">IFERROR(AVERAGE(BB40:BB41),"-")</f>
        <v>-</v>
      </c>
      <c r="BC42" s="1075" t="str">
        <f t="shared" si="40"/>
        <v>-</v>
      </c>
      <c r="BD42" s="1075" t="str">
        <f t="shared" si="40"/>
        <v>-</v>
      </c>
      <c r="BE42" s="1075" t="str">
        <f t="shared" si="40"/>
        <v>-</v>
      </c>
      <c r="BF42" s="1075" t="str">
        <f t="shared" si="40"/>
        <v>-</v>
      </c>
      <c r="BG42" s="1075" t="str">
        <f t="shared" si="40"/>
        <v>-</v>
      </c>
      <c r="BH42" s="1075" t="str">
        <f t="shared" si="40"/>
        <v>-</v>
      </c>
      <c r="BI42" s="1075" t="str">
        <f t="shared" si="40"/>
        <v>-</v>
      </c>
      <c r="BJ42" s="1075" t="str">
        <f t="shared" si="40"/>
        <v>-</v>
      </c>
      <c r="BK42" s="1075" t="str">
        <f t="shared" si="40"/>
        <v>-</v>
      </c>
      <c r="BL42" s="1075" t="str">
        <f t="shared" si="40"/>
        <v>-</v>
      </c>
      <c r="BM42" s="1075" t="str">
        <f t="shared" si="40"/>
        <v>-</v>
      </c>
      <c r="BN42" s="1075" t="str">
        <f t="shared" si="40"/>
        <v>-</v>
      </c>
      <c r="BO42" s="1075" t="str">
        <f t="shared" si="40"/>
        <v>-</v>
      </c>
      <c r="BP42" s="1075" t="str">
        <f t="shared" si="40"/>
        <v>-</v>
      </c>
      <c r="BQ42" s="1075" t="str">
        <f t="shared" si="40"/>
        <v>-</v>
      </c>
      <c r="BR42" s="1075" t="str">
        <f t="shared" si="40"/>
        <v>-</v>
      </c>
      <c r="BS42" s="1075" t="str">
        <f t="shared" si="40"/>
        <v>-</v>
      </c>
      <c r="BT42" s="1075" t="str">
        <f t="shared" si="40"/>
        <v>-</v>
      </c>
      <c r="BU42" s="1075" t="str">
        <f t="shared" si="40"/>
        <v>-</v>
      </c>
      <c r="BV42" s="1075" t="str">
        <f t="shared" si="40"/>
        <v>-</v>
      </c>
      <c r="BW42" s="1075" t="str">
        <f t="shared" si="40"/>
        <v>-</v>
      </c>
      <c r="BX42" s="1075" t="str">
        <f t="shared" si="40"/>
        <v>-</v>
      </c>
      <c r="BY42" s="1075" t="str">
        <f t="shared" si="40"/>
        <v>-</v>
      </c>
      <c r="BZ42" s="1075" t="str">
        <f t="shared" si="40"/>
        <v>-</v>
      </c>
      <c r="CA42" s="1075" t="str">
        <f t="shared" si="40"/>
        <v>-</v>
      </c>
      <c r="CB42" s="1075" t="str">
        <f t="shared" si="40"/>
        <v>-</v>
      </c>
      <c r="CC42" s="1075" t="str">
        <f t="shared" si="40"/>
        <v>-</v>
      </c>
      <c r="CD42" s="1075" t="str">
        <f t="shared" si="40"/>
        <v>-</v>
      </c>
      <c r="CE42" s="1075" t="str">
        <f t="shared" si="40"/>
        <v>-</v>
      </c>
      <c r="CF42" s="1075" t="str">
        <f t="shared" si="40"/>
        <v>-</v>
      </c>
      <c r="CG42" s="1075" t="str">
        <f t="shared" si="40"/>
        <v>-</v>
      </c>
      <c r="CH42" s="1075" t="str">
        <f t="shared" ref="CH42:DM42" si="41">IFERROR(AVERAGE(CH40:CH41),"-")</f>
        <v>-</v>
      </c>
      <c r="CI42" s="1075" t="str">
        <f t="shared" si="41"/>
        <v>-</v>
      </c>
      <c r="CJ42" s="1075" t="str">
        <f t="shared" si="41"/>
        <v>-</v>
      </c>
      <c r="CK42" s="1075" t="str">
        <f t="shared" si="41"/>
        <v>-</v>
      </c>
      <c r="CL42" s="1075" t="str">
        <f t="shared" si="41"/>
        <v>-</v>
      </c>
      <c r="CM42" s="1075" t="str">
        <f t="shared" si="41"/>
        <v>-</v>
      </c>
      <c r="CN42" s="1075" t="str">
        <f t="shared" si="41"/>
        <v>-</v>
      </c>
      <c r="CO42" s="1075" t="str">
        <f t="shared" si="41"/>
        <v>-</v>
      </c>
      <c r="CP42" s="1075" t="str">
        <f t="shared" si="41"/>
        <v>-</v>
      </c>
      <c r="CQ42" s="1075" t="str">
        <f t="shared" si="41"/>
        <v>-</v>
      </c>
      <c r="CR42" s="1075" t="str">
        <f t="shared" si="41"/>
        <v>-</v>
      </c>
      <c r="CS42" s="1075" t="str">
        <f t="shared" si="41"/>
        <v>-</v>
      </c>
      <c r="CT42" s="1075" t="str">
        <f t="shared" si="41"/>
        <v>-</v>
      </c>
      <c r="CU42" s="1075" t="str">
        <f t="shared" si="41"/>
        <v>-</v>
      </c>
      <c r="CV42" s="1075" t="str">
        <f t="shared" si="41"/>
        <v>-</v>
      </c>
      <c r="CW42" s="1075" t="str">
        <f t="shared" si="41"/>
        <v>-</v>
      </c>
      <c r="CX42" s="1075" t="str">
        <f t="shared" si="41"/>
        <v>-</v>
      </c>
      <c r="CY42" s="1075" t="str">
        <f t="shared" si="41"/>
        <v>-</v>
      </c>
      <c r="CZ42" s="1075" t="str">
        <f t="shared" si="41"/>
        <v>-</v>
      </c>
      <c r="DA42" s="1075" t="str">
        <f t="shared" si="41"/>
        <v>-</v>
      </c>
      <c r="DB42" s="1075" t="str">
        <f t="shared" si="41"/>
        <v>-</v>
      </c>
      <c r="DC42" s="1075" t="str">
        <f t="shared" si="41"/>
        <v>-</v>
      </c>
      <c r="DD42" s="1075" t="str">
        <f t="shared" si="41"/>
        <v>-</v>
      </c>
      <c r="DE42" s="1075" t="str">
        <f t="shared" si="41"/>
        <v>-</v>
      </c>
      <c r="DF42" s="1075">
        <f t="shared" si="41"/>
        <v>443</v>
      </c>
      <c r="DG42" s="1075">
        <f t="shared" si="41"/>
        <v>443</v>
      </c>
      <c r="DH42" s="1075">
        <f t="shared" si="41"/>
        <v>443</v>
      </c>
      <c r="DI42" s="1075">
        <f t="shared" si="41"/>
        <v>443</v>
      </c>
      <c r="DJ42" s="1075">
        <f t="shared" si="41"/>
        <v>443</v>
      </c>
      <c r="DK42" s="1075">
        <f t="shared" si="41"/>
        <v>443</v>
      </c>
      <c r="DL42" s="1075">
        <f t="shared" si="41"/>
        <v>443</v>
      </c>
      <c r="DM42" s="1075">
        <f t="shared" si="41"/>
        <v>468.5</v>
      </c>
      <c r="DN42" s="1075">
        <f>IFERROR(AVERAGE(DN40:DN41),"-")</f>
        <v>468.5</v>
      </c>
      <c r="DO42" s="1075">
        <f>IFERROR(AVERAGE(DO40:DO41),"-")</f>
        <v>468.5</v>
      </c>
      <c r="DP42" s="1075">
        <f>IFERROR(AVERAGE(DP40:DP41),"-")</f>
        <v>468.5</v>
      </c>
      <c r="DQ42" s="1075">
        <f>IFERROR(AVERAGE(DQ40:DQ41),"-")</f>
        <v>468.5</v>
      </c>
    </row>
    <row r="43" spans="1:121" x14ac:dyDescent="0.25">
      <c r="A43" s="992"/>
      <c r="X43" s="340"/>
      <c r="Y43" s="340"/>
      <c r="Z43" s="340"/>
      <c r="AA43" s="340"/>
      <c r="AB43" s="340"/>
      <c r="AC43" s="340"/>
      <c r="AD43" s="340"/>
      <c r="AE43" s="340"/>
      <c r="AF43" s="340"/>
      <c r="AG43" s="340"/>
      <c r="AH43" s="340"/>
      <c r="AI43" s="340"/>
      <c r="AJ43" s="340"/>
      <c r="AK43" s="340"/>
      <c r="AL43" s="340"/>
      <c r="AM43" s="340"/>
      <c r="AN43" s="340"/>
      <c r="AO43" s="340"/>
      <c r="AP43" s="340"/>
      <c r="AQ43" s="340"/>
      <c r="AR43" s="340"/>
      <c r="AS43" s="340"/>
      <c r="AT43" s="801"/>
      <c r="AU43" s="801"/>
      <c r="AV43" s="922"/>
      <c r="AW43" s="801"/>
      <c r="AX43" s="801"/>
      <c r="AY43" s="801"/>
      <c r="AZ43" s="801"/>
      <c r="BA43" s="801"/>
      <c r="BB43" s="801"/>
      <c r="BC43" s="801"/>
      <c r="BD43" s="801"/>
      <c r="BE43" s="801"/>
      <c r="BF43" s="801"/>
      <c r="BG43" s="801"/>
      <c r="BH43" s="801"/>
      <c r="BI43" s="801"/>
      <c r="BJ43" s="801"/>
      <c r="BK43" s="801"/>
      <c r="BL43" s="801"/>
      <c r="BM43" s="801"/>
      <c r="BN43" s="801"/>
      <c r="BO43" s="801"/>
      <c r="BP43" s="801"/>
      <c r="BQ43" s="801"/>
      <c r="BR43" s="801"/>
      <c r="BS43" s="801"/>
      <c r="BT43" s="801"/>
      <c r="BU43" s="801"/>
      <c r="BV43" s="801"/>
      <c r="BW43" s="801"/>
      <c r="BX43" s="801"/>
      <c r="BY43" s="801"/>
      <c r="BZ43" s="801"/>
      <c r="CA43" s="801"/>
      <c r="CB43" s="801"/>
      <c r="CC43" s="801"/>
      <c r="CD43" s="801"/>
      <c r="CE43" s="801"/>
      <c r="CF43" s="801"/>
      <c r="CG43" s="801"/>
      <c r="CH43" s="801"/>
      <c r="CI43" s="801"/>
      <c r="CJ43" s="801"/>
      <c r="CK43" s="801"/>
      <c r="CL43" s="801"/>
      <c r="CM43" s="801"/>
      <c r="CN43" s="801"/>
      <c r="CO43" s="801"/>
      <c r="CP43" s="801"/>
      <c r="CQ43" s="801"/>
      <c r="CR43" s="801"/>
      <c r="CS43" s="801"/>
      <c r="CT43" s="801"/>
      <c r="CU43" s="801"/>
      <c r="CV43" s="801"/>
      <c r="CW43" s="801"/>
      <c r="CX43" s="801"/>
      <c r="CY43" s="801"/>
      <c r="CZ43" s="801"/>
      <c r="DA43" s="801"/>
      <c r="DB43" s="801"/>
      <c r="DC43" s="801"/>
      <c r="DD43" s="801"/>
      <c r="DE43" s="801"/>
      <c r="DF43" s="801"/>
      <c r="DG43" s="801"/>
      <c r="DH43" s="801"/>
      <c r="DI43" s="801"/>
      <c r="DJ43" s="801"/>
      <c r="DK43" s="801"/>
      <c r="DL43" s="801"/>
      <c r="DM43" s="801"/>
      <c r="DN43" s="801"/>
      <c r="DO43" s="801"/>
      <c r="DP43" s="801"/>
      <c r="DQ43" s="801"/>
    </row>
    <row r="44" spans="1:121" x14ac:dyDescent="0.25">
      <c r="A44" s="992"/>
      <c r="B44" s="113" t="s">
        <v>1362</v>
      </c>
      <c r="C44" s="263">
        <f t="shared" ref="C44:BN44" si="42">C$11</f>
        <v>42522</v>
      </c>
      <c r="D44" s="263">
        <f t="shared" si="42"/>
        <v>42552</v>
      </c>
      <c r="E44" s="263">
        <f t="shared" si="42"/>
        <v>42583</v>
      </c>
      <c r="F44" s="263">
        <f t="shared" si="42"/>
        <v>42614</v>
      </c>
      <c r="G44" s="263">
        <f t="shared" si="42"/>
        <v>42644</v>
      </c>
      <c r="H44" s="263">
        <f t="shared" si="42"/>
        <v>42675</v>
      </c>
      <c r="I44" s="263">
        <f t="shared" si="42"/>
        <v>42705</v>
      </c>
      <c r="J44" s="263">
        <f t="shared" si="42"/>
        <v>42736</v>
      </c>
      <c r="K44" s="263">
        <f t="shared" si="42"/>
        <v>42767</v>
      </c>
      <c r="L44" s="263">
        <f t="shared" si="42"/>
        <v>42795</v>
      </c>
      <c r="M44" s="263">
        <f t="shared" si="42"/>
        <v>42826</v>
      </c>
      <c r="N44" s="263">
        <f t="shared" si="42"/>
        <v>42856</v>
      </c>
      <c r="O44" s="263">
        <f t="shared" si="42"/>
        <v>42887</v>
      </c>
      <c r="P44" s="263">
        <f t="shared" si="42"/>
        <v>42917</v>
      </c>
      <c r="Q44" s="263">
        <f t="shared" si="42"/>
        <v>42948</v>
      </c>
      <c r="R44" s="263">
        <f t="shared" si="42"/>
        <v>42979</v>
      </c>
      <c r="S44" s="263">
        <f t="shared" si="42"/>
        <v>43009</v>
      </c>
      <c r="T44" s="263">
        <f t="shared" si="42"/>
        <v>43040</v>
      </c>
      <c r="U44" s="263">
        <f t="shared" si="42"/>
        <v>43070</v>
      </c>
      <c r="V44" s="263">
        <f t="shared" si="42"/>
        <v>43101</v>
      </c>
      <c r="W44" s="263">
        <f t="shared" si="42"/>
        <v>43132</v>
      </c>
      <c r="X44" s="263">
        <f t="shared" si="42"/>
        <v>43160</v>
      </c>
      <c r="Y44" s="263">
        <f t="shared" si="42"/>
        <v>43191</v>
      </c>
      <c r="Z44" s="263">
        <f t="shared" si="42"/>
        <v>43221</v>
      </c>
      <c r="AA44" s="263">
        <f t="shared" si="42"/>
        <v>43252</v>
      </c>
      <c r="AB44" s="263">
        <f t="shared" si="42"/>
        <v>43283</v>
      </c>
      <c r="AC44" s="263">
        <f t="shared" si="42"/>
        <v>43314</v>
      </c>
      <c r="AD44" s="263">
        <f t="shared" si="42"/>
        <v>43345</v>
      </c>
      <c r="AE44" s="263">
        <f t="shared" si="42"/>
        <v>43376</v>
      </c>
      <c r="AF44" s="263">
        <f t="shared" si="42"/>
        <v>43407</v>
      </c>
      <c r="AG44" s="263">
        <f t="shared" si="42"/>
        <v>43437</v>
      </c>
      <c r="AH44" s="263">
        <f t="shared" si="42"/>
        <v>43468</v>
      </c>
      <c r="AI44" s="263">
        <f t="shared" si="42"/>
        <v>43499</v>
      </c>
      <c r="AJ44" s="263">
        <f t="shared" si="42"/>
        <v>43527</v>
      </c>
      <c r="AK44" s="263">
        <f t="shared" si="42"/>
        <v>43558</v>
      </c>
      <c r="AL44" s="263">
        <f t="shared" si="42"/>
        <v>43587</v>
      </c>
      <c r="AM44" s="263">
        <f t="shared" si="42"/>
        <v>43618</v>
      </c>
      <c r="AN44" s="263">
        <f t="shared" si="42"/>
        <v>43647</v>
      </c>
      <c r="AO44" s="263">
        <f t="shared" si="42"/>
        <v>43678</v>
      </c>
      <c r="AP44" s="263">
        <f t="shared" si="42"/>
        <v>43709</v>
      </c>
      <c r="AQ44" s="263">
        <f t="shared" si="42"/>
        <v>43739</v>
      </c>
      <c r="AR44" s="263">
        <f t="shared" si="42"/>
        <v>43770</v>
      </c>
      <c r="AS44" s="263">
        <f t="shared" si="42"/>
        <v>43800</v>
      </c>
      <c r="AT44" s="263">
        <f t="shared" si="42"/>
        <v>43831</v>
      </c>
      <c r="AU44" s="263">
        <f t="shared" si="42"/>
        <v>43862</v>
      </c>
      <c r="AV44" s="914">
        <f t="shared" si="42"/>
        <v>43891</v>
      </c>
      <c r="AW44" s="263">
        <f t="shared" si="42"/>
        <v>43922</v>
      </c>
      <c r="AX44" s="263">
        <f t="shared" si="42"/>
        <v>43952</v>
      </c>
      <c r="AY44" s="263">
        <f t="shared" si="42"/>
        <v>43983</v>
      </c>
      <c r="AZ44" s="263">
        <f t="shared" si="42"/>
        <v>44013</v>
      </c>
      <c r="BA44" s="263">
        <f t="shared" si="42"/>
        <v>44044</v>
      </c>
      <c r="BB44" s="263">
        <f t="shared" si="42"/>
        <v>44075</v>
      </c>
      <c r="BC44" s="263">
        <f t="shared" si="42"/>
        <v>44105</v>
      </c>
      <c r="BD44" s="263">
        <f t="shared" si="42"/>
        <v>44136</v>
      </c>
      <c r="BE44" s="263">
        <f t="shared" si="42"/>
        <v>44166</v>
      </c>
      <c r="BF44" s="263">
        <f t="shared" si="42"/>
        <v>44197</v>
      </c>
      <c r="BG44" s="263">
        <f t="shared" si="42"/>
        <v>44228</v>
      </c>
      <c r="BH44" s="263">
        <f t="shared" si="42"/>
        <v>44256</v>
      </c>
      <c r="BI44" s="263">
        <f t="shared" si="42"/>
        <v>44287</v>
      </c>
      <c r="BJ44" s="263">
        <f t="shared" si="42"/>
        <v>44317</v>
      </c>
      <c r="BK44" s="263">
        <f t="shared" si="42"/>
        <v>44348</v>
      </c>
      <c r="BL44" s="263">
        <f t="shared" si="42"/>
        <v>44378</v>
      </c>
      <c r="BM44" s="263">
        <f t="shared" si="42"/>
        <v>44409</v>
      </c>
      <c r="BN44" s="263">
        <f t="shared" si="42"/>
        <v>44440</v>
      </c>
      <c r="BO44" s="263">
        <f t="shared" ref="BO44:DQ44" si="43">BO$11</f>
        <v>44470</v>
      </c>
      <c r="BP44" s="263">
        <f t="shared" si="43"/>
        <v>44501</v>
      </c>
      <c r="BQ44" s="263">
        <f t="shared" si="43"/>
        <v>44531</v>
      </c>
      <c r="BR44" s="263">
        <f t="shared" si="43"/>
        <v>44562</v>
      </c>
      <c r="BS44" s="263">
        <f t="shared" si="43"/>
        <v>44593</v>
      </c>
      <c r="BT44" s="263">
        <f t="shared" si="43"/>
        <v>44622</v>
      </c>
      <c r="BU44" s="263">
        <f t="shared" si="43"/>
        <v>44654</v>
      </c>
      <c r="BV44" s="263">
        <f t="shared" si="43"/>
        <v>44685</v>
      </c>
      <c r="BW44" s="263">
        <f t="shared" si="43"/>
        <v>44716</v>
      </c>
      <c r="BX44" s="263">
        <f t="shared" si="43"/>
        <v>44746</v>
      </c>
      <c r="BY44" s="263">
        <f t="shared" si="43"/>
        <v>44774</v>
      </c>
      <c r="BZ44" s="263">
        <f t="shared" si="43"/>
        <v>44805</v>
      </c>
      <c r="CA44" s="263">
        <f t="shared" si="43"/>
        <v>44835</v>
      </c>
      <c r="CB44" s="263">
        <f t="shared" si="43"/>
        <v>44866</v>
      </c>
      <c r="CC44" s="263">
        <f t="shared" si="43"/>
        <v>44896</v>
      </c>
      <c r="CD44" s="263">
        <f t="shared" si="43"/>
        <v>44927</v>
      </c>
      <c r="CE44" s="263">
        <f t="shared" si="43"/>
        <v>44958</v>
      </c>
      <c r="CF44" s="263">
        <f t="shared" si="43"/>
        <v>44986</v>
      </c>
      <c r="CG44" s="263">
        <f t="shared" si="43"/>
        <v>45017</v>
      </c>
      <c r="CH44" s="263">
        <f t="shared" si="43"/>
        <v>45047</v>
      </c>
      <c r="CI44" s="263">
        <f t="shared" si="43"/>
        <v>45078</v>
      </c>
      <c r="CJ44" s="263">
        <f t="shared" si="43"/>
        <v>45108</v>
      </c>
      <c r="CK44" s="263">
        <f t="shared" si="43"/>
        <v>45139</v>
      </c>
      <c r="CL44" s="263">
        <f t="shared" si="43"/>
        <v>45170</v>
      </c>
      <c r="CM44" s="263">
        <f t="shared" si="43"/>
        <v>45200</v>
      </c>
      <c r="CN44" s="263">
        <f t="shared" si="43"/>
        <v>45231</v>
      </c>
      <c r="CO44" s="263">
        <f t="shared" si="43"/>
        <v>45261</v>
      </c>
      <c r="CP44" s="263">
        <f t="shared" si="43"/>
        <v>45292</v>
      </c>
      <c r="CQ44" s="263">
        <f t="shared" si="43"/>
        <v>45323</v>
      </c>
      <c r="CR44" s="263">
        <f t="shared" si="43"/>
        <v>45352</v>
      </c>
      <c r="CS44" s="263">
        <f t="shared" si="43"/>
        <v>45383</v>
      </c>
      <c r="CT44" s="263">
        <f t="shared" si="43"/>
        <v>45413</v>
      </c>
      <c r="CU44" s="263">
        <f t="shared" si="43"/>
        <v>45444</v>
      </c>
      <c r="CV44" s="263">
        <f t="shared" si="43"/>
        <v>45474</v>
      </c>
      <c r="CW44" s="263">
        <f t="shared" si="43"/>
        <v>45505</v>
      </c>
      <c r="CX44" s="263">
        <f t="shared" si="43"/>
        <v>45536</v>
      </c>
      <c r="CY44" s="263">
        <f t="shared" si="43"/>
        <v>45566</v>
      </c>
      <c r="CZ44" s="263">
        <f t="shared" si="43"/>
        <v>45597</v>
      </c>
      <c r="DA44" s="263">
        <f t="shared" si="43"/>
        <v>45627</v>
      </c>
      <c r="DB44" s="263">
        <f t="shared" si="43"/>
        <v>45658</v>
      </c>
      <c r="DC44" s="263">
        <f t="shared" si="43"/>
        <v>45689</v>
      </c>
      <c r="DD44" s="263">
        <f t="shared" si="43"/>
        <v>45717</v>
      </c>
      <c r="DE44" s="263">
        <f t="shared" si="43"/>
        <v>45748</v>
      </c>
      <c r="DF44" s="263">
        <f t="shared" si="43"/>
        <v>45778</v>
      </c>
      <c r="DG44" s="263">
        <f t="shared" si="43"/>
        <v>45809</v>
      </c>
      <c r="DH44" s="263">
        <v>45839</v>
      </c>
      <c r="DI44" s="263">
        <f t="shared" si="43"/>
        <v>45870</v>
      </c>
      <c r="DJ44" s="263">
        <f t="shared" si="43"/>
        <v>45901</v>
      </c>
      <c r="DK44" s="263">
        <f t="shared" si="43"/>
        <v>45931</v>
      </c>
      <c r="DL44" s="263">
        <f t="shared" si="43"/>
        <v>45962</v>
      </c>
      <c r="DM44" s="263">
        <f t="shared" si="43"/>
        <v>45992</v>
      </c>
      <c r="DN44" s="263">
        <f t="shared" si="43"/>
        <v>46023</v>
      </c>
      <c r="DO44" s="263">
        <f t="shared" si="43"/>
        <v>46054</v>
      </c>
      <c r="DP44" s="263">
        <f t="shared" si="43"/>
        <v>46082</v>
      </c>
      <c r="DQ44" s="263">
        <f t="shared" si="43"/>
        <v>46113</v>
      </c>
    </row>
    <row r="45" spans="1:121" x14ac:dyDescent="0.25">
      <c r="A45" s="992"/>
      <c r="B45" s="117" t="s">
        <v>542</v>
      </c>
      <c r="C45" s="264" t="s">
        <v>160</v>
      </c>
      <c r="D45" s="264" t="s">
        <v>160</v>
      </c>
      <c r="E45" s="264" t="s">
        <v>160</v>
      </c>
      <c r="F45" s="265" t="s">
        <v>160</v>
      </c>
      <c r="G45" s="265" t="s">
        <v>160</v>
      </c>
      <c r="H45" s="265" t="s">
        <v>160</v>
      </c>
      <c r="I45" s="265" t="s">
        <v>160</v>
      </c>
      <c r="J45" s="265" t="s">
        <v>160</v>
      </c>
      <c r="K45" s="265" t="s">
        <v>160</v>
      </c>
      <c r="L45" s="586" t="s">
        <v>160</v>
      </c>
      <c r="M45" s="586" t="s">
        <v>160</v>
      </c>
      <c r="N45" s="586" t="s">
        <v>160</v>
      </c>
      <c r="O45" s="586" t="s">
        <v>160</v>
      </c>
      <c r="P45" s="586" t="s">
        <v>160</v>
      </c>
      <c r="Q45" s="586" t="s">
        <v>160</v>
      </c>
      <c r="R45" s="586" t="s">
        <v>160</v>
      </c>
      <c r="S45" s="586" t="s">
        <v>160</v>
      </c>
      <c r="T45" s="586" t="s">
        <v>160</v>
      </c>
      <c r="U45" s="585" t="s">
        <v>160</v>
      </c>
      <c r="V45" s="585" t="s">
        <v>160</v>
      </c>
      <c r="W45" s="585" t="s">
        <v>160</v>
      </c>
      <c r="X45" s="585" t="s">
        <v>160</v>
      </c>
      <c r="Y45" s="585" t="s">
        <v>160</v>
      </c>
      <c r="Z45" s="585" t="s">
        <v>160</v>
      </c>
      <c r="AA45" s="585" t="s">
        <v>160</v>
      </c>
      <c r="AB45" s="585" t="s">
        <v>160</v>
      </c>
      <c r="AC45" s="585" t="s">
        <v>160</v>
      </c>
      <c r="AD45" s="585" t="s">
        <v>160</v>
      </c>
      <c r="AE45" s="585" t="s">
        <v>160</v>
      </c>
      <c r="AF45" s="585" t="s">
        <v>160</v>
      </c>
      <c r="AG45" s="585" t="s">
        <v>160</v>
      </c>
      <c r="AH45" s="585" t="s">
        <v>160</v>
      </c>
      <c r="AI45" s="585" t="s">
        <v>160</v>
      </c>
      <c r="AJ45" s="347" t="s">
        <v>160</v>
      </c>
      <c r="AK45" s="347" t="s">
        <v>160</v>
      </c>
      <c r="AL45" s="347" t="s">
        <v>160</v>
      </c>
      <c r="AM45" s="347" t="s">
        <v>160</v>
      </c>
      <c r="AN45" s="347" t="s">
        <v>160</v>
      </c>
      <c r="AO45" s="347" t="s">
        <v>160</v>
      </c>
      <c r="AP45" s="347" t="s">
        <v>160</v>
      </c>
      <c r="AQ45" s="347" t="s">
        <v>160</v>
      </c>
      <c r="AR45" s="347" t="s">
        <v>160</v>
      </c>
      <c r="AS45" s="347" t="s">
        <v>160</v>
      </c>
      <c r="AT45" s="347" t="s">
        <v>160</v>
      </c>
      <c r="AU45" s="347" t="s">
        <v>160</v>
      </c>
      <c r="AV45" s="928" t="s">
        <v>160</v>
      </c>
      <c r="AW45" s="347" t="s">
        <v>160</v>
      </c>
      <c r="AX45" s="347" t="s">
        <v>160</v>
      </c>
      <c r="AY45" s="347" t="s">
        <v>160</v>
      </c>
      <c r="AZ45" s="347" t="s">
        <v>160</v>
      </c>
      <c r="BA45" s="347" t="s">
        <v>160</v>
      </c>
      <c r="BB45" s="347" t="s">
        <v>160</v>
      </c>
      <c r="BC45" s="347" t="s">
        <v>160</v>
      </c>
      <c r="BD45" s="347" t="s">
        <v>160</v>
      </c>
      <c r="BE45" s="347" t="s">
        <v>160</v>
      </c>
      <c r="BF45" s="585" t="s">
        <v>160</v>
      </c>
      <c r="BG45" s="585" t="s">
        <v>160</v>
      </c>
      <c r="BH45" s="585" t="s">
        <v>160</v>
      </c>
      <c r="BI45" s="585" t="s">
        <v>160</v>
      </c>
      <c r="BJ45" s="585" t="s">
        <v>160</v>
      </c>
      <c r="BK45" s="585" t="s">
        <v>160</v>
      </c>
      <c r="BL45" s="585" t="s">
        <v>160</v>
      </c>
      <c r="BM45" s="585" t="s">
        <v>160</v>
      </c>
      <c r="BN45" s="585" t="s">
        <v>160</v>
      </c>
      <c r="BO45" s="585" t="s">
        <v>160</v>
      </c>
      <c r="BP45" s="585" t="s">
        <v>160</v>
      </c>
      <c r="BQ45" s="585" t="s">
        <v>160</v>
      </c>
      <c r="BR45" s="585" t="s">
        <v>160</v>
      </c>
      <c r="BS45" s="585" t="s">
        <v>160</v>
      </c>
      <c r="BT45" s="585" t="s">
        <v>160</v>
      </c>
      <c r="BU45" s="585" t="s">
        <v>160</v>
      </c>
      <c r="BV45" s="585" t="s">
        <v>160</v>
      </c>
      <c r="BW45" s="585" t="s">
        <v>160</v>
      </c>
      <c r="BX45" s="585" t="s">
        <v>160</v>
      </c>
      <c r="BY45" s="585" t="s">
        <v>160</v>
      </c>
      <c r="BZ45" s="585" t="s">
        <v>160</v>
      </c>
      <c r="CA45" s="585" t="s">
        <v>160</v>
      </c>
      <c r="CB45" s="585" t="s">
        <v>160</v>
      </c>
      <c r="CC45" s="585" t="s">
        <v>160</v>
      </c>
      <c r="CD45" s="585" t="s">
        <v>160</v>
      </c>
      <c r="CE45" s="585" t="s">
        <v>160</v>
      </c>
      <c r="CF45" s="585" t="s">
        <v>160</v>
      </c>
      <c r="CG45" s="585" t="s">
        <v>160</v>
      </c>
      <c r="CH45" s="585" t="s">
        <v>160</v>
      </c>
      <c r="CI45" s="585" t="s">
        <v>160</v>
      </c>
      <c r="CJ45" s="585" t="s">
        <v>160</v>
      </c>
      <c r="CK45" s="585" t="s">
        <v>160</v>
      </c>
      <c r="CL45" s="585" t="s">
        <v>160</v>
      </c>
      <c r="CM45" s="585" t="s">
        <v>160</v>
      </c>
      <c r="CN45" s="585" t="s">
        <v>160</v>
      </c>
      <c r="CO45" s="585" t="s">
        <v>160</v>
      </c>
      <c r="CP45" s="585" t="s">
        <v>160</v>
      </c>
      <c r="CQ45" s="585" t="s">
        <v>160</v>
      </c>
      <c r="CR45" s="585" t="s">
        <v>160</v>
      </c>
      <c r="CS45" s="585" t="s">
        <v>160</v>
      </c>
      <c r="CT45" s="585" t="s">
        <v>160</v>
      </c>
      <c r="CU45" s="585" t="s">
        <v>160</v>
      </c>
      <c r="CV45" s="585" t="s">
        <v>160</v>
      </c>
      <c r="CW45" s="585" t="s">
        <v>160</v>
      </c>
      <c r="CX45" s="585" t="s">
        <v>160</v>
      </c>
      <c r="CY45" s="585" t="s">
        <v>160</v>
      </c>
      <c r="CZ45" s="585" t="s">
        <v>160</v>
      </c>
      <c r="DA45" s="585" t="s">
        <v>160</v>
      </c>
      <c r="DB45" s="585" t="s">
        <v>160</v>
      </c>
      <c r="DC45" s="585" t="s">
        <v>160</v>
      </c>
      <c r="DD45" s="585" t="s">
        <v>160</v>
      </c>
      <c r="DE45" s="585" t="s">
        <v>160</v>
      </c>
      <c r="DF45" s="585" t="s">
        <v>160</v>
      </c>
      <c r="DG45" s="585" t="s">
        <v>160</v>
      </c>
      <c r="DH45" s="585" t="s">
        <v>160</v>
      </c>
      <c r="DI45" s="585" t="s">
        <v>160</v>
      </c>
      <c r="DJ45" s="585" t="s">
        <v>160</v>
      </c>
      <c r="DK45" s="585" t="s">
        <v>160</v>
      </c>
      <c r="DL45" s="585" t="s">
        <v>160</v>
      </c>
      <c r="DM45" s="585">
        <v>335</v>
      </c>
      <c r="DN45" s="585">
        <v>335</v>
      </c>
      <c r="DO45" s="585">
        <v>335</v>
      </c>
      <c r="DP45" s="585">
        <v>335</v>
      </c>
      <c r="DQ45" s="585">
        <v>335</v>
      </c>
    </row>
    <row r="46" spans="1:121" x14ac:dyDescent="0.25">
      <c r="A46" s="992"/>
      <c r="B46" s="117" t="s">
        <v>547</v>
      </c>
      <c r="C46" s="264" t="s">
        <v>160</v>
      </c>
      <c r="D46" s="264" t="s">
        <v>160</v>
      </c>
      <c r="E46" s="264" t="s">
        <v>160</v>
      </c>
      <c r="F46" s="264" t="s">
        <v>160</v>
      </c>
      <c r="G46" s="265" t="s">
        <v>160</v>
      </c>
      <c r="H46" s="265" t="s">
        <v>160</v>
      </c>
      <c r="I46" s="265" t="s">
        <v>160</v>
      </c>
      <c r="J46" s="265" t="s">
        <v>160</v>
      </c>
      <c r="K46" s="265" t="s">
        <v>160</v>
      </c>
      <c r="L46" s="586" t="s">
        <v>160</v>
      </c>
      <c r="M46" s="586" t="s">
        <v>160</v>
      </c>
      <c r="N46" s="586" t="s">
        <v>160</v>
      </c>
      <c r="O46" s="586" t="s">
        <v>160</v>
      </c>
      <c r="P46" s="586" t="s">
        <v>160</v>
      </c>
      <c r="Q46" s="585" t="s">
        <v>160</v>
      </c>
      <c r="R46" s="585" t="s">
        <v>160</v>
      </c>
      <c r="S46" s="585" t="s">
        <v>160</v>
      </c>
      <c r="T46" s="585" t="s">
        <v>160</v>
      </c>
      <c r="U46" s="585" t="s">
        <v>160</v>
      </c>
      <c r="V46" s="585" t="s">
        <v>160</v>
      </c>
      <c r="W46" s="585" t="s">
        <v>160</v>
      </c>
      <c r="X46" s="585" t="s">
        <v>160</v>
      </c>
      <c r="Y46" s="585" t="s">
        <v>160</v>
      </c>
      <c r="Z46" s="585" t="s">
        <v>160</v>
      </c>
      <c r="AA46" s="585" t="s">
        <v>160</v>
      </c>
      <c r="AB46" s="585" t="s">
        <v>160</v>
      </c>
      <c r="AC46" s="585" t="s">
        <v>160</v>
      </c>
      <c r="AD46" s="585" t="s">
        <v>160</v>
      </c>
      <c r="AE46" s="585" t="s">
        <v>160</v>
      </c>
      <c r="AF46" s="585" t="s">
        <v>160</v>
      </c>
      <c r="AG46" s="585" t="s">
        <v>160</v>
      </c>
      <c r="AH46" s="585" t="s">
        <v>160</v>
      </c>
      <c r="AI46" s="585" t="s">
        <v>160</v>
      </c>
      <c r="AJ46" s="347" t="s">
        <v>160</v>
      </c>
      <c r="AK46" s="347" t="s">
        <v>160</v>
      </c>
      <c r="AL46" s="347" t="s">
        <v>160</v>
      </c>
      <c r="AM46" s="347" t="s">
        <v>160</v>
      </c>
      <c r="AN46" s="347" t="s">
        <v>160</v>
      </c>
      <c r="AO46" s="347" t="s">
        <v>160</v>
      </c>
      <c r="AP46" s="347" t="s">
        <v>160</v>
      </c>
      <c r="AQ46" s="347" t="s">
        <v>160</v>
      </c>
      <c r="AR46" s="347" t="s">
        <v>160</v>
      </c>
      <c r="AS46" s="347" t="s">
        <v>160</v>
      </c>
      <c r="AT46" s="347" t="s">
        <v>160</v>
      </c>
      <c r="AU46" s="347" t="s">
        <v>160</v>
      </c>
      <c r="AV46" s="928" t="s">
        <v>160</v>
      </c>
      <c r="AW46" s="347" t="s">
        <v>160</v>
      </c>
      <c r="AX46" s="347" t="s">
        <v>160</v>
      </c>
      <c r="AY46" s="347" t="s">
        <v>160</v>
      </c>
      <c r="AZ46" s="347" t="s">
        <v>160</v>
      </c>
      <c r="BA46" s="347" t="s">
        <v>160</v>
      </c>
      <c r="BB46" s="347" t="s">
        <v>160</v>
      </c>
      <c r="BC46" s="347" t="s">
        <v>160</v>
      </c>
      <c r="BD46" s="347" t="s">
        <v>160</v>
      </c>
      <c r="BE46" s="347" t="s">
        <v>160</v>
      </c>
      <c r="BF46" s="347" t="s">
        <v>160</v>
      </c>
      <c r="BG46" s="347" t="s">
        <v>160</v>
      </c>
      <c r="BH46" s="347" t="s">
        <v>160</v>
      </c>
      <c r="BI46" s="347" t="s">
        <v>160</v>
      </c>
      <c r="BJ46" s="347" t="s">
        <v>160</v>
      </c>
      <c r="BK46" s="347" t="s">
        <v>160</v>
      </c>
      <c r="BL46" s="347" t="s">
        <v>160</v>
      </c>
      <c r="BM46" s="347" t="s">
        <v>160</v>
      </c>
      <c r="BN46" s="585" t="s">
        <v>160</v>
      </c>
      <c r="BO46" s="585" t="s">
        <v>160</v>
      </c>
      <c r="BP46" s="585" t="s">
        <v>160</v>
      </c>
      <c r="BQ46" s="585" t="s">
        <v>160</v>
      </c>
      <c r="BR46" s="585" t="s">
        <v>160</v>
      </c>
      <c r="BS46" s="585" t="s">
        <v>160</v>
      </c>
      <c r="BT46" s="585" t="s">
        <v>160</v>
      </c>
      <c r="BU46" s="585" t="s">
        <v>160</v>
      </c>
      <c r="BV46" s="585" t="s">
        <v>160</v>
      </c>
      <c r="BW46" s="585" t="s">
        <v>160</v>
      </c>
      <c r="BX46" s="585" t="s">
        <v>160</v>
      </c>
      <c r="BY46" s="585" t="s">
        <v>160</v>
      </c>
      <c r="BZ46" s="585" t="s">
        <v>160</v>
      </c>
      <c r="CA46" s="585" t="s">
        <v>160</v>
      </c>
      <c r="CB46" s="585" t="s">
        <v>160</v>
      </c>
      <c r="CC46" s="585" t="s">
        <v>160</v>
      </c>
      <c r="CD46" s="585" t="s">
        <v>160</v>
      </c>
      <c r="CE46" s="585" t="s">
        <v>160</v>
      </c>
      <c r="CF46" s="585" t="s">
        <v>160</v>
      </c>
      <c r="CG46" s="585" t="s">
        <v>160</v>
      </c>
      <c r="CH46" s="585" t="s">
        <v>160</v>
      </c>
      <c r="CI46" s="585" t="s">
        <v>160</v>
      </c>
      <c r="CJ46" s="585" t="s">
        <v>160</v>
      </c>
      <c r="CK46" s="585" t="s">
        <v>160</v>
      </c>
      <c r="CL46" s="585" t="s">
        <v>160</v>
      </c>
      <c r="CM46" s="585" t="s">
        <v>160</v>
      </c>
      <c r="CN46" s="585" t="s">
        <v>160</v>
      </c>
      <c r="CO46" s="585" t="s">
        <v>160</v>
      </c>
      <c r="CP46" s="585" t="s">
        <v>160</v>
      </c>
      <c r="CQ46" s="585" t="s">
        <v>160</v>
      </c>
      <c r="CR46" s="585" t="s">
        <v>160</v>
      </c>
      <c r="CS46" s="585" t="s">
        <v>160</v>
      </c>
      <c r="CT46" s="585" t="s">
        <v>160</v>
      </c>
      <c r="CU46" s="585" t="s">
        <v>160</v>
      </c>
      <c r="CV46" s="585" t="s">
        <v>160</v>
      </c>
      <c r="CW46" s="585" t="s">
        <v>160</v>
      </c>
      <c r="CX46" s="585" t="s">
        <v>160</v>
      </c>
      <c r="CY46" s="585" t="s">
        <v>160</v>
      </c>
      <c r="CZ46" s="585" t="s">
        <v>160</v>
      </c>
      <c r="DA46" s="585" t="s">
        <v>160</v>
      </c>
      <c r="DB46" s="585" t="s">
        <v>160</v>
      </c>
      <c r="DC46" s="585" t="s">
        <v>160</v>
      </c>
      <c r="DD46" s="585" t="s">
        <v>160</v>
      </c>
      <c r="DE46" s="585" t="s">
        <v>160</v>
      </c>
      <c r="DF46" s="585">
        <v>326</v>
      </c>
      <c r="DG46" s="585">
        <v>326</v>
      </c>
      <c r="DH46" s="585">
        <v>326</v>
      </c>
      <c r="DI46" s="585">
        <v>326</v>
      </c>
      <c r="DJ46" s="585">
        <v>326</v>
      </c>
      <c r="DK46" s="585">
        <v>326</v>
      </c>
      <c r="DL46" s="585">
        <v>326</v>
      </c>
      <c r="DM46" s="585">
        <v>280</v>
      </c>
      <c r="DN46" s="585">
        <v>280</v>
      </c>
      <c r="DO46" s="585">
        <v>280</v>
      </c>
      <c r="DP46" s="585">
        <v>280</v>
      </c>
      <c r="DQ46" s="585">
        <v>280</v>
      </c>
    </row>
    <row r="47" spans="1:121" x14ac:dyDescent="0.25">
      <c r="A47" s="992"/>
      <c r="B47" s="1072" t="s">
        <v>557</v>
      </c>
      <c r="C47" s="1075" t="str">
        <f t="shared" ref="C47:AH47" si="44">IFERROR(AVERAGE(C45:C46),"-")</f>
        <v>-</v>
      </c>
      <c r="D47" s="1075" t="str">
        <f t="shared" si="44"/>
        <v>-</v>
      </c>
      <c r="E47" s="1075" t="str">
        <f t="shared" si="44"/>
        <v>-</v>
      </c>
      <c r="F47" s="1075" t="str">
        <f t="shared" si="44"/>
        <v>-</v>
      </c>
      <c r="G47" s="1075" t="str">
        <f t="shared" si="44"/>
        <v>-</v>
      </c>
      <c r="H47" s="1075" t="str">
        <f t="shared" si="44"/>
        <v>-</v>
      </c>
      <c r="I47" s="1075" t="str">
        <f t="shared" si="44"/>
        <v>-</v>
      </c>
      <c r="J47" s="1075" t="str">
        <f t="shared" si="44"/>
        <v>-</v>
      </c>
      <c r="K47" s="1075" t="str">
        <f t="shared" si="44"/>
        <v>-</v>
      </c>
      <c r="L47" s="1075" t="str">
        <f t="shared" si="44"/>
        <v>-</v>
      </c>
      <c r="M47" s="1075" t="str">
        <f t="shared" si="44"/>
        <v>-</v>
      </c>
      <c r="N47" s="1075" t="str">
        <f t="shared" si="44"/>
        <v>-</v>
      </c>
      <c r="O47" s="1075" t="str">
        <f t="shared" si="44"/>
        <v>-</v>
      </c>
      <c r="P47" s="1075" t="str">
        <f t="shared" si="44"/>
        <v>-</v>
      </c>
      <c r="Q47" s="1075" t="str">
        <f t="shared" si="44"/>
        <v>-</v>
      </c>
      <c r="R47" s="1075" t="str">
        <f t="shared" si="44"/>
        <v>-</v>
      </c>
      <c r="S47" s="1075" t="str">
        <f t="shared" si="44"/>
        <v>-</v>
      </c>
      <c r="T47" s="1075" t="str">
        <f t="shared" si="44"/>
        <v>-</v>
      </c>
      <c r="U47" s="1075" t="str">
        <f t="shared" si="44"/>
        <v>-</v>
      </c>
      <c r="V47" s="1075" t="str">
        <f t="shared" si="44"/>
        <v>-</v>
      </c>
      <c r="W47" s="1075" t="str">
        <f t="shared" si="44"/>
        <v>-</v>
      </c>
      <c r="X47" s="1075" t="str">
        <f t="shared" si="44"/>
        <v>-</v>
      </c>
      <c r="Y47" s="1075" t="str">
        <f t="shared" si="44"/>
        <v>-</v>
      </c>
      <c r="Z47" s="1075" t="str">
        <f t="shared" si="44"/>
        <v>-</v>
      </c>
      <c r="AA47" s="1075" t="str">
        <f t="shared" si="44"/>
        <v>-</v>
      </c>
      <c r="AB47" s="1075" t="str">
        <f t="shared" si="44"/>
        <v>-</v>
      </c>
      <c r="AC47" s="1075" t="str">
        <f t="shared" si="44"/>
        <v>-</v>
      </c>
      <c r="AD47" s="1075" t="str">
        <f t="shared" si="44"/>
        <v>-</v>
      </c>
      <c r="AE47" s="1075" t="str">
        <f t="shared" si="44"/>
        <v>-</v>
      </c>
      <c r="AF47" s="1075" t="str">
        <f t="shared" si="44"/>
        <v>-</v>
      </c>
      <c r="AG47" s="1075" t="str">
        <f t="shared" si="44"/>
        <v>-</v>
      </c>
      <c r="AH47" s="1075" t="str">
        <f t="shared" si="44"/>
        <v>-</v>
      </c>
      <c r="AI47" s="1075" t="str">
        <f t="shared" ref="AI47:BN47" si="45">IFERROR(AVERAGE(AI45:AI46),"-")</f>
        <v>-</v>
      </c>
      <c r="AJ47" s="1075" t="str">
        <f t="shared" si="45"/>
        <v>-</v>
      </c>
      <c r="AK47" s="1075" t="str">
        <f t="shared" si="45"/>
        <v>-</v>
      </c>
      <c r="AL47" s="1075" t="str">
        <f t="shared" si="45"/>
        <v>-</v>
      </c>
      <c r="AM47" s="1075" t="str">
        <f t="shared" si="45"/>
        <v>-</v>
      </c>
      <c r="AN47" s="1075" t="str">
        <f t="shared" si="45"/>
        <v>-</v>
      </c>
      <c r="AO47" s="1075" t="str">
        <f t="shared" si="45"/>
        <v>-</v>
      </c>
      <c r="AP47" s="1075" t="str">
        <f t="shared" si="45"/>
        <v>-</v>
      </c>
      <c r="AQ47" s="1075" t="str">
        <f t="shared" si="45"/>
        <v>-</v>
      </c>
      <c r="AR47" s="1075" t="str">
        <f t="shared" si="45"/>
        <v>-</v>
      </c>
      <c r="AS47" s="1075" t="str">
        <f t="shared" si="45"/>
        <v>-</v>
      </c>
      <c r="AT47" s="1075" t="str">
        <f t="shared" si="45"/>
        <v>-</v>
      </c>
      <c r="AU47" s="1075" t="str">
        <f t="shared" si="45"/>
        <v>-</v>
      </c>
      <c r="AV47" s="1075" t="str">
        <f t="shared" si="45"/>
        <v>-</v>
      </c>
      <c r="AW47" s="1075" t="str">
        <f t="shared" si="45"/>
        <v>-</v>
      </c>
      <c r="AX47" s="1075" t="str">
        <f t="shared" si="45"/>
        <v>-</v>
      </c>
      <c r="AY47" s="1075" t="str">
        <f t="shared" si="45"/>
        <v>-</v>
      </c>
      <c r="AZ47" s="1075" t="str">
        <f t="shared" si="45"/>
        <v>-</v>
      </c>
      <c r="BA47" s="1075" t="str">
        <f t="shared" si="45"/>
        <v>-</v>
      </c>
      <c r="BB47" s="1075" t="str">
        <f t="shared" si="45"/>
        <v>-</v>
      </c>
      <c r="BC47" s="1075" t="str">
        <f t="shared" si="45"/>
        <v>-</v>
      </c>
      <c r="BD47" s="1075" t="str">
        <f t="shared" si="45"/>
        <v>-</v>
      </c>
      <c r="BE47" s="1075" t="str">
        <f t="shared" si="45"/>
        <v>-</v>
      </c>
      <c r="BF47" s="1075" t="str">
        <f t="shared" si="45"/>
        <v>-</v>
      </c>
      <c r="BG47" s="1075" t="str">
        <f t="shared" si="45"/>
        <v>-</v>
      </c>
      <c r="BH47" s="1075" t="str">
        <f t="shared" si="45"/>
        <v>-</v>
      </c>
      <c r="BI47" s="1075" t="str">
        <f t="shared" si="45"/>
        <v>-</v>
      </c>
      <c r="BJ47" s="1075" t="str">
        <f t="shared" si="45"/>
        <v>-</v>
      </c>
      <c r="BK47" s="1075" t="str">
        <f t="shared" si="45"/>
        <v>-</v>
      </c>
      <c r="BL47" s="1075" t="str">
        <f t="shared" si="45"/>
        <v>-</v>
      </c>
      <c r="BM47" s="1075" t="str">
        <f t="shared" si="45"/>
        <v>-</v>
      </c>
      <c r="BN47" s="1075" t="str">
        <f t="shared" si="45"/>
        <v>-</v>
      </c>
      <c r="BO47" s="1075" t="str">
        <f t="shared" ref="BO47:CT47" si="46">IFERROR(AVERAGE(BO45:BO46),"-")</f>
        <v>-</v>
      </c>
      <c r="BP47" s="1075" t="str">
        <f t="shared" si="46"/>
        <v>-</v>
      </c>
      <c r="BQ47" s="1075" t="str">
        <f t="shared" si="46"/>
        <v>-</v>
      </c>
      <c r="BR47" s="1075" t="str">
        <f t="shared" si="46"/>
        <v>-</v>
      </c>
      <c r="BS47" s="1075" t="str">
        <f t="shared" si="46"/>
        <v>-</v>
      </c>
      <c r="BT47" s="1075" t="str">
        <f t="shared" si="46"/>
        <v>-</v>
      </c>
      <c r="BU47" s="1075" t="str">
        <f t="shared" si="46"/>
        <v>-</v>
      </c>
      <c r="BV47" s="1075" t="str">
        <f t="shared" si="46"/>
        <v>-</v>
      </c>
      <c r="BW47" s="1075" t="str">
        <f t="shared" si="46"/>
        <v>-</v>
      </c>
      <c r="BX47" s="1075" t="str">
        <f t="shared" si="46"/>
        <v>-</v>
      </c>
      <c r="BY47" s="1075" t="str">
        <f t="shared" si="46"/>
        <v>-</v>
      </c>
      <c r="BZ47" s="1075" t="str">
        <f t="shared" si="46"/>
        <v>-</v>
      </c>
      <c r="CA47" s="1075" t="str">
        <f t="shared" si="46"/>
        <v>-</v>
      </c>
      <c r="CB47" s="1075" t="str">
        <f t="shared" si="46"/>
        <v>-</v>
      </c>
      <c r="CC47" s="1075" t="str">
        <f t="shared" si="46"/>
        <v>-</v>
      </c>
      <c r="CD47" s="1075" t="str">
        <f t="shared" si="46"/>
        <v>-</v>
      </c>
      <c r="CE47" s="1075" t="str">
        <f t="shared" si="46"/>
        <v>-</v>
      </c>
      <c r="CF47" s="1075" t="str">
        <f t="shared" si="46"/>
        <v>-</v>
      </c>
      <c r="CG47" s="1075" t="str">
        <f t="shared" si="46"/>
        <v>-</v>
      </c>
      <c r="CH47" s="1075" t="str">
        <f t="shared" si="46"/>
        <v>-</v>
      </c>
      <c r="CI47" s="1075" t="str">
        <f t="shared" si="46"/>
        <v>-</v>
      </c>
      <c r="CJ47" s="1075" t="str">
        <f t="shared" si="46"/>
        <v>-</v>
      </c>
      <c r="CK47" s="1075" t="str">
        <f t="shared" si="46"/>
        <v>-</v>
      </c>
      <c r="CL47" s="1075" t="str">
        <f t="shared" si="46"/>
        <v>-</v>
      </c>
      <c r="CM47" s="1075" t="str">
        <f t="shared" si="46"/>
        <v>-</v>
      </c>
      <c r="CN47" s="1075" t="str">
        <f t="shared" si="46"/>
        <v>-</v>
      </c>
      <c r="CO47" s="1075" t="str">
        <f t="shared" si="46"/>
        <v>-</v>
      </c>
      <c r="CP47" s="1075" t="str">
        <f t="shared" si="46"/>
        <v>-</v>
      </c>
      <c r="CQ47" s="1075" t="str">
        <f t="shared" si="46"/>
        <v>-</v>
      </c>
      <c r="CR47" s="1075" t="str">
        <f t="shared" si="46"/>
        <v>-</v>
      </c>
      <c r="CS47" s="1075" t="str">
        <f t="shared" si="46"/>
        <v>-</v>
      </c>
      <c r="CT47" s="1075" t="str">
        <f t="shared" si="46"/>
        <v>-</v>
      </c>
      <c r="CU47" s="1075" t="str">
        <f t="shared" ref="CU47:DG47" si="47">IFERROR(AVERAGE(CU45:CU46),"-")</f>
        <v>-</v>
      </c>
      <c r="CV47" s="1075" t="str">
        <f t="shared" si="47"/>
        <v>-</v>
      </c>
      <c r="CW47" s="1075" t="str">
        <f t="shared" si="47"/>
        <v>-</v>
      </c>
      <c r="CX47" s="1075" t="str">
        <f t="shared" si="47"/>
        <v>-</v>
      </c>
      <c r="CY47" s="1075" t="str">
        <f t="shared" si="47"/>
        <v>-</v>
      </c>
      <c r="CZ47" s="1075" t="str">
        <f t="shared" si="47"/>
        <v>-</v>
      </c>
      <c r="DA47" s="1075" t="str">
        <f t="shared" si="47"/>
        <v>-</v>
      </c>
      <c r="DB47" s="1075" t="str">
        <f t="shared" si="47"/>
        <v>-</v>
      </c>
      <c r="DC47" s="1075" t="str">
        <f t="shared" si="47"/>
        <v>-</v>
      </c>
      <c r="DD47" s="1075" t="str">
        <f t="shared" si="47"/>
        <v>-</v>
      </c>
      <c r="DE47" s="1075" t="str">
        <f t="shared" si="47"/>
        <v>-</v>
      </c>
      <c r="DF47" s="1075">
        <f t="shared" si="47"/>
        <v>326</v>
      </c>
      <c r="DG47" s="1075">
        <f t="shared" si="47"/>
        <v>326</v>
      </c>
      <c r="DH47" s="1075">
        <v>307</v>
      </c>
      <c r="DI47" s="1075">
        <f t="shared" ref="DI47:DP47" si="48">IFERROR(AVERAGE(DI45:DI46),"-")</f>
        <v>326</v>
      </c>
      <c r="DJ47" s="1075">
        <f t="shared" si="48"/>
        <v>326</v>
      </c>
      <c r="DK47" s="1075">
        <f t="shared" si="48"/>
        <v>326</v>
      </c>
      <c r="DL47" s="1075">
        <f t="shared" si="48"/>
        <v>326</v>
      </c>
      <c r="DM47" s="1075">
        <f t="shared" si="48"/>
        <v>307.5</v>
      </c>
      <c r="DN47" s="1075">
        <f t="shared" si="48"/>
        <v>307.5</v>
      </c>
      <c r="DO47" s="1075">
        <f t="shared" si="48"/>
        <v>307.5</v>
      </c>
      <c r="DP47" s="1075">
        <f t="shared" si="48"/>
        <v>307.5</v>
      </c>
      <c r="DQ47" s="1075">
        <f>IFERROR(AVERAGE(DQ45:DQ46),"-")</f>
        <v>307.5</v>
      </c>
    </row>
    <row r="48" spans="1:121" x14ac:dyDescent="0.25">
      <c r="A48" s="992"/>
      <c r="B48" s="990"/>
      <c r="C48" s="991"/>
      <c r="D48" s="991"/>
      <c r="E48" s="991"/>
      <c r="F48" s="991"/>
      <c r="G48" s="991"/>
      <c r="H48" s="991"/>
      <c r="I48" s="991"/>
      <c r="J48" s="991"/>
      <c r="K48" s="991"/>
      <c r="L48" s="992"/>
      <c r="M48" s="992"/>
      <c r="N48" s="992"/>
      <c r="O48" s="992"/>
      <c r="P48" s="992"/>
      <c r="Q48" s="992"/>
      <c r="R48" s="992"/>
      <c r="S48" s="992"/>
      <c r="T48" s="992"/>
      <c r="U48" s="992"/>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2"/>
      <c r="AU48" s="992"/>
      <c r="AV48" s="992"/>
      <c r="AW48" s="995"/>
      <c r="AX48" s="995"/>
      <c r="AY48" s="995"/>
      <c r="AZ48" s="992"/>
      <c r="BA48" s="992"/>
      <c r="BB48" s="992"/>
      <c r="BC48" s="992"/>
      <c r="BD48" s="992"/>
      <c r="BE48" s="992"/>
      <c r="BF48" s="992"/>
      <c r="BG48" s="992"/>
      <c r="BH48" s="992"/>
      <c r="BI48" s="992"/>
      <c r="BJ48" s="992"/>
      <c r="BK48" s="992"/>
      <c r="BL48" s="992"/>
      <c r="BM48" s="992"/>
      <c r="BN48" s="992"/>
      <c r="BO48" s="992"/>
      <c r="BP48" s="992"/>
      <c r="BQ48" s="992"/>
      <c r="BR48" s="992"/>
      <c r="BS48" s="992"/>
      <c r="BT48" s="992"/>
      <c r="BU48" s="992"/>
      <c r="BV48" s="992"/>
      <c r="BW48" s="992"/>
      <c r="BX48" s="992"/>
      <c r="BY48" s="992"/>
      <c r="BZ48" s="992"/>
      <c r="CA48" s="992"/>
      <c r="CB48" s="992"/>
      <c r="CC48" s="992"/>
      <c r="CD48" s="992"/>
      <c r="CE48" s="992"/>
      <c r="CF48" s="992"/>
      <c r="CG48" s="992"/>
      <c r="CH48" s="992"/>
      <c r="CI48" s="992"/>
      <c r="CJ48" s="992"/>
      <c r="CK48" s="992"/>
      <c r="CL48" s="992"/>
      <c r="CM48" s="992"/>
      <c r="CN48" s="992"/>
      <c r="CO48" s="992"/>
      <c r="CP48" s="992"/>
      <c r="CQ48" s="992"/>
      <c r="CR48" s="992"/>
      <c r="CS48" s="992"/>
      <c r="CT48" s="992"/>
      <c r="CU48" s="992"/>
      <c r="CV48" s="992"/>
      <c r="CW48" s="992"/>
      <c r="CX48" s="992"/>
      <c r="CY48" s="992"/>
      <c r="CZ48" s="992"/>
      <c r="DA48" s="992"/>
      <c r="DB48" s="992"/>
      <c r="DC48" s="992"/>
      <c r="DD48" s="992"/>
      <c r="DE48" s="992"/>
    </row>
    <row r="49" spans="2:115" x14ac:dyDescent="0.25">
      <c r="B49" s="113" t="s">
        <v>590</v>
      </c>
      <c r="C49" s="263">
        <f t="shared" ref="C49:AS49" si="49">+C$117</f>
        <v>42522</v>
      </c>
      <c r="D49" s="263">
        <f t="shared" si="49"/>
        <v>42552</v>
      </c>
      <c r="E49" s="263">
        <f t="shared" si="49"/>
        <v>42583</v>
      </c>
      <c r="F49" s="263">
        <f t="shared" si="49"/>
        <v>42614</v>
      </c>
      <c r="G49" s="263">
        <f t="shared" si="49"/>
        <v>42644</v>
      </c>
      <c r="H49" s="263">
        <f t="shared" si="49"/>
        <v>42675</v>
      </c>
      <c r="I49" s="263">
        <f t="shared" si="49"/>
        <v>42705</v>
      </c>
      <c r="J49" s="263">
        <f t="shared" si="49"/>
        <v>42736</v>
      </c>
      <c r="K49" s="263">
        <f t="shared" si="49"/>
        <v>42767</v>
      </c>
      <c r="L49" s="263">
        <f t="shared" si="49"/>
        <v>42795</v>
      </c>
      <c r="M49" s="263">
        <f t="shared" si="49"/>
        <v>42826</v>
      </c>
      <c r="N49" s="263">
        <f t="shared" si="49"/>
        <v>42856</v>
      </c>
      <c r="O49" s="263">
        <f t="shared" si="49"/>
        <v>42887</v>
      </c>
      <c r="P49" s="263">
        <f t="shared" si="49"/>
        <v>42917</v>
      </c>
      <c r="Q49" s="263">
        <f t="shared" si="49"/>
        <v>42948</v>
      </c>
      <c r="R49" s="344">
        <f t="shared" si="49"/>
        <v>42979</v>
      </c>
      <c r="S49" s="263">
        <f t="shared" si="49"/>
        <v>43009</v>
      </c>
      <c r="T49" s="263">
        <f t="shared" si="49"/>
        <v>43040</v>
      </c>
      <c r="U49" s="263">
        <f t="shared" si="49"/>
        <v>43070</v>
      </c>
      <c r="V49" s="263">
        <f t="shared" si="49"/>
        <v>43101</v>
      </c>
      <c r="W49" s="263">
        <f t="shared" si="49"/>
        <v>43132</v>
      </c>
      <c r="X49" s="263">
        <f t="shared" si="49"/>
        <v>43160</v>
      </c>
      <c r="Y49" s="263">
        <f t="shared" si="49"/>
        <v>43191</v>
      </c>
      <c r="Z49" s="263">
        <f t="shared" si="49"/>
        <v>43221</v>
      </c>
      <c r="AA49" s="263">
        <f t="shared" si="49"/>
        <v>43252</v>
      </c>
      <c r="AB49" s="263">
        <f t="shared" si="49"/>
        <v>43283</v>
      </c>
      <c r="AC49" s="263">
        <f t="shared" si="49"/>
        <v>43314</v>
      </c>
      <c r="AD49" s="263">
        <f t="shared" si="49"/>
        <v>43345</v>
      </c>
      <c r="AE49" s="263">
        <f t="shared" si="49"/>
        <v>43376</v>
      </c>
      <c r="AF49" s="263">
        <f t="shared" si="49"/>
        <v>43407</v>
      </c>
      <c r="AG49" s="263">
        <f t="shared" si="49"/>
        <v>43437</v>
      </c>
      <c r="AH49" s="263">
        <f t="shared" si="49"/>
        <v>43468</v>
      </c>
      <c r="AI49" s="263">
        <f t="shared" si="49"/>
        <v>43499</v>
      </c>
      <c r="AJ49" s="263">
        <f t="shared" si="49"/>
        <v>43527</v>
      </c>
      <c r="AK49" s="263">
        <f t="shared" si="49"/>
        <v>43558</v>
      </c>
      <c r="AL49" s="263">
        <f t="shared" si="49"/>
        <v>43587</v>
      </c>
      <c r="AM49" s="263">
        <f t="shared" si="49"/>
        <v>43618</v>
      </c>
      <c r="AN49" s="263">
        <f t="shared" si="49"/>
        <v>43647</v>
      </c>
      <c r="AO49" s="263">
        <f t="shared" si="49"/>
        <v>43678</v>
      </c>
      <c r="AP49" s="263">
        <f t="shared" si="49"/>
        <v>43709</v>
      </c>
      <c r="AQ49" s="263">
        <f t="shared" si="49"/>
        <v>43739</v>
      </c>
      <c r="AR49" s="263">
        <f t="shared" si="49"/>
        <v>43770</v>
      </c>
      <c r="AS49" s="263">
        <f t="shared" si="49"/>
        <v>43800</v>
      </c>
    </row>
    <row r="50" spans="2:115" x14ac:dyDescent="0.25">
      <c r="B50" s="117" t="s">
        <v>542</v>
      </c>
      <c r="C50" s="264" t="s">
        <v>160</v>
      </c>
      <c r="D50" s="264" t="s">
        <v>160</v>
      </c>
      <c r="E50" s="264" t="s">
        <v>160</v>
      </c>
      <c r="F50" s="264" t="s">
        <v>160</v>
      </c>
      <c r="G50" s="264" t="s">
        <v>160</v>
      </c>
      <c r="H50" s="264" t="s">
        <v>160</v>
      </c>
      <c r="I50" s="264" t="s">
        <v>160</v>
      </c>
      <c r="J50" s="264" t="s">
        <v>160</v>
      </c>
      <c r="K50" s="264" t="s">
        <v>160</v>
      </c>
      <c r="L50" s="264" t="s">
        <v>160</v>
      </c>
      <c r="M50" s="264" t="s">
        <v>160</v>
      </c>
      <c r="N50" s="264" t="s">
        <v>160</v>
      </c>
      <c r="O50" s="264" t="s">
        <v>160</v>
      </c>
      <c r="P50" s="264" t="s">
        <v>160</v>
      </c>
      <c r="Q50" s="264">
        <v>20</v>
      </c>
      <c r="R50" s="345">
        <v>20</v>
      </c>
      <c r="S50" s="345">
        <v>20</v>
      </c>
      <c r="T50" s="345">
        <v>20</v>
      </c>
      <c r="U50" s="584">
        <v>26</v>
      </c>
      <c r="V50" s="590">
        <v>26</v>
      </c>
      <c r="W50" s="590">
        <v>26</v>
      </c>
      <c r="X50" s="590">
        <v>26</v>
      </c>
      <c r="Y50" s="590">
        <v>26</v>
      </c>
      <c r="Z50" s="590">
        <v>26</v>
      </c>
      <c r="AA50" s="590">
        <v>26</v>
      </c>
      <c r="AB50" s="590">
        <v>26</v>
      </c>
      <c r="AC50" s="590">
        <v>26</v>
      </c>
      <c r="AD50" s="590">
        <v>26</v>
      </c>
      <c r="AE50" s="590">
        <v>26</v>
      </c>
      <c r="AF50" s="590">
        <v>26</v>
      </c>
      <c r="AG50" s="590" t="s">
        <v>160</v>
      </c>
      <c r="AH50" s="590" t="s">
        <v>160</v>
      </c>
      <c r="AI50" s="590" t="s">
        <v>160</v>
      </c>
      <c r="AJ50" s="590" t="s">
        <v>160</v>
      </c>
      <c r="AK50" s="590" t="s">
        <v>160</v>
      </c>
      <c r="AL50" s="590" t="s">
        <v>160</v>
      </c>
      <c r="AM50" s="590" t="s">
        <v>160</v>
      </c>
      <c r="AN50" s="590" t="s">
        <v>160</v>
      </c>
      <c r="AO50" s="590" t="s">
        <v>160</v>
      </c>
      <c r="AP50" s="590" t="s">
        <v>160</v>
      </c>
      <c r="AQ50" s="590" t="s">
        <v>160</v>
      </c>
      <c r="AR50" s="590" t="s">
        <v>160</v>
      </c>
      <c r="AS50" s="590" t="s">
        <v>160</v>
      </c>
    </row>
    <row r="51" spans="2:115" x14ac:dyDescent="0.25">
      <c r="B51" s="117" t="s">
        <v>545</v>
      </c>
      <c r="C51" s="264" t="s">
        <v>160</v>
      </c>
      <c r="D51" s="264" t="s">
        <v>160</v>
      </c>
      <c r="E51" s="264" t="s">
        <v>160</v>
      </c>
      <c r="F51" s="264" t="s">
        <v>160</v>
      </c>
      <c r="G51" s="264" t="s">
        <v>160</v>
      </c>
      <c r="H51" s="264" t="s">
        <v>160</v>
      </c>
      <c r="I51" s="264" t="s">
        <v>160</v>
      </c>
      <c r="J51" s="264" t="s">
        <v>160</v>
      </c>
      <c r="K51" s="264" t="s">
        <v>160</v>
      </c>
      <c r="L51" s="264" t="s">
        <v>160</v>
      </c>
      <c r="M51" s="264" t="s">
        <v>160</v>
      </c>
      <c r="N51" s="264" t="s">
        <v>160</v>
      </c>
      <c r="O51" s="264" t="s">
        <v>160</v>
      </c>
      <c r="P51" s="264" t="s">
        <v>160</v>
      </c>
      <c r="Q51" s="264" t="s">
        <v>160</v>
      </c>
      <c r="R51" s="345" t="s">
        <v>160</v>
      </c>
      <c r="S51" s="345" t="s">
        <v>160</v>
      </c>
      <c r="T51" s="345" t="s">
        <v>160</v>
      </c>
      <c r="U51" s="345" t="s">
        <v>160</v>
      </c>
      <c r="V51" s="345" t="s">
        <v>160</v>
      </c>
      <c r="W51" s="345">
        <v>24</v>
      </c>
      <c r="X51" s="345">
        <v>24</v>
      </c>
      <c r="Y51" s="345">
        <v>24</v>
      </c>
      <c r="Z51" s="345">
        <v>23</v>
      </c>
      <c r="AA51" s="345">
        <v>23</v>
      </c>
      <c r="AB51" s="345">
        <v>23</v>
      </c>
      <c r="AC51" s="673">
        <v>21</v>
      </c>
      <c r="AD51" s="590">
        <v>21</v>
      </c>
      <c r="AE51" s="590">
        <v>21</v>
      </c>
      <c r="AF51" s="680">
        <v>23</v>
      </c>
      <c r="AG51" s="590" t="s">
        <v>160</v>
      </c>
      <c r="AH51" s="590" t="s">
        <v>160</v>
      </c>
      <c r="AI51" s="590" t="s">
        <v>160</v>
      </c>
      <c r="AJ51" s="590" t="s">
        <v>160</v>
      </c>
      <c r="AK51" s="590" t="s">
        <v>160</v>
      </c>
      <c r="AL51" s="590" t="s">
        <v>160</v>
      </c>
      <c r="AM51" s="590" t="s">
        <v>160</v>
      </c>
      <c r="AN51" s="590" t="s">
        <v>160</v>
      </c>
      <c r="AO51" s="590" t="s">
        <v>160</v>
      </c>
      <c r="AP51" s="590" t="s">
        <v>160</v>
      </c>
      <c r="AQ51" s="590" t="s">
        <v>160</v>
      </c>
      <c r="AR51" s="590" t="s">
        <v>160</v>
      </c>
      <c r="AS51" s="590" t="s">
        <v>160</v>
      </c>
    </row>
    <row r="52" spans="2:115" x14ac:dyDescent="0.25">
      <c r="B52" s="117" t="s">
        <v>546</v>
      </c>
      <c r="C52" s="264" t="s">
        <v>160</v>
      </c>
      <c r="D52" s="264" t="s">
        <v>160</v>
      </c>
      <c r="E52" s="264" t="s">
        <v>160</v>
      </c>
      <c r="F52" s="264" t="s">
        <v>160</v>
      </c>
      <c r="G52" s="264" t="s">
        <v>160</v>
      </c>
      <c r="H52" s="264" t="s">
        <v>160</v>
      </c>
      <c r="I52" s="264" t="s">
        <v>160</v>
      </c>
      <c r="J52" s="264" t="s">
        <v>160</v>
      </c>
      <c r="K52" s="264" t="s">
        <v>160</v>
      </c>
      <c r="L52" s="264" t="s">
        <v>160</v>
      </c>
      <c r="M52" s="264" t="s">
        <v>160</v>
      </c>
      <c r="N52" s="264" t="s">
        <v>160</v>
      </c>
      <c r="O52" s="264" t="s">
        <v>160</v>
      </c>
      <c r="P52" s="264" t="s">
        <v>160</v>
      </c>
      <c r="Q52" s="264" t="s">
        <v>160</v>
      </c>
      <c r="R52" s="345" t="s">
        <v>160</v>
      </c>
      <c r="S52" s="345" t="s">
        <v>160</v>
      </c>
      <c r="T52" s="345">
        <v>24</v>
      </c>
      <c r="U52" s="345">
        <v>24</v>
      </c>
      <c r="V52" s="345">
        <v>24</v>
      </c>
      <c r="W52" s="345">
        <v>24</v>
      </c>
      <c r="X52" s="345">
        <v>24</v>
      </c>
      <c r="Y52" s="345">
        <v>24</v>
      </c>
      <c r="Z52" s="584">
        <v>27</v>
      </c>
      <c r="AA52" s="345">
        <v>27</v>
      </c>
      <c r="AB52" s="345">
        <v>27</v>
      </c>
      <c r="AC52" s="673">
        <v>26</v>
      </c>
      <c r="AD52" s="590">
        <v>26</v>
      </c>
      <c r="AE52" s="590">
        <v>26</v>
      </c>
      <c r="AF52" s="590" t="s">
        <v>160</v>
      </c>
      <c r="AG52" s="590" t="s">
        <v>160</v>
      </c>
      <c r="AH52" s="590" t="s">
        <v>160</v>
      </c>
      <c r="AI52" s="590" t="s">
        <v>160</v>
      </c>
      <c r="AJ52" s="590" t="s">
        <v>160</v>
      </c>
      <c r="AK52" s="590" t="s">
        <v>160</v>
      </c>
      <c r="AL52" s="590" t="s">
        <v>160</v>
      </c>
      <c r="AM52" s="590" t="s">
        <v>160</v>
      </c>
      <c r="AN52" s="590" t="s">
        <v>160</v>
      </c>
      <c r="AO52" s="590" t="s">
        <v>160</v>
      </c>
      <c r="AP52" s="590" t="s">
        <v>160</v>
      </c>
      <c r="AQ52" s="590" t="s">
        <v>160</v>
      </c>
      <c r="AR52" s="590" t="s">
        <v>160</v>
      </c>
      <c r="AS52" s="590" t="s">
        <v>160</v>
      </c>
    </row>
    <row r="53" spans="2:115" x14ac:dyDescent="0.25">
      <c r="B53" s="117" t="s">
        <v>574</v>
      </c>
      <c r="C53" s="264" t="s">
        <v>160</v>
      </c>
      <c r="D53" s="264" t="s">
        <v>160</v>
      </c>
      <c r="E53" s="264" t="s">
        <v>160</v>
      </c>
      <c r="F53" s="264" t="s">
        <v>160</v>
      </c>
      <c r="G53" s="264" t="s">
        <v>160</v>
      </c>
      <c r="H53" s="264" t="s">
        <v>160</v>
      </c>
      <c r="I53" s="264" t="s">
        <v>160</v>
      </c>
      <c r="J53" s="264" t="s">
        <v>160</v>
      </c>
      <c r="K53" s="264" t="s">
        <v>160</v>
      </c>
      <c r="L53" s="264" t="s">
        <v>160</v>
      </c>
      <c r="M53" s="264" t="s">
        <v>160</v>
      </c>
      <c r="N53" s="264" t="s">
        <v>160</v>
      </c>
      <c r="O53" s="264" t="s">
        <v>160</v>
      </c>
      <c r="P53" s="264" t="s">
        <v>160</v>
      </c>
      <c r="Q53" s="352">
        <v>22.5</v>
      </c>
      <c r="R53" s="352">
        <v>22.5</v>
      </c>
      <c r="S53" s="352">
        <v>22.5</v>
      </c>
      <c r="T53" s="352">
        <v>22.5</v>
      </c>
      <c r="U53" s="352">
        <v>22.5</v>
      </c>
      <c r="V53" s="352">
        <v>22.5</v>
      </c>
      <c r="W53" s="584">
        <v>26</v>
      </c>
      <c r="X53" s="590">
        <v>26</v>
      </c>
      <c r="Y53" s="590">
        <v>26</v>
      </c>
      <c r="Z53" s="590">
        <v>26</v>
      </c>
      <c r="AA53" s="590">
        <v>26</v>
      </c>
      <c r="AB53" s="590">
        <v>26</v>
      </c>
      <c r="AC53" s="590">
        <v>26</v>
      </c>
      <c r="AD53" s="590">
        <v>26</v>
      </c>
      <c r="AE53" s="590">
        <v>26</v>
      </c>
      <c r="AF53" s="590">
        <v>26</v>
      </c>
      <c r="AG53" s="590" t="s">
        <v>160</v>
      </c>
      <c r="AH53" s="590" t="s">
        <v>160</v>
      </c>
      <c r="AI53" s="590" t="s">
        <v>160</v>
      </c>
      <c r="AJ53" s="590" t="s">
        <v>160</v>
      </c>
      <c r="AK53" s="590" t="s">
        <v>160</v>
      </c>
      <c r="AL53" s="590" t="s">
        <v>160</v>
      </c>
      <c r="AM53" s="590" t="s">
        <v>160</v>
      </c>
      <c r="AN53" s="590" t="s">
        <v>160</v>
      </c>
      <c r="AO53" s="590" t="s">
        <v>160</v>
      </c>
      <c r="AP53" s="590" t="s">
        <v>160</v>
      </c>
      <c r="AQ53" s="590" t="s">
        <v>160</v>
      </c>
      <c r="AR53" s="590" t="s">
        <v>160</v>
      </c>
      <c r="AS53" s="590" t="s">
        <v>160</v>
      </c>
    </row>
    <row r="54" spans="2:115" x14ac:dyDescent="0.25">
      <c r="B54" s="117" t="s">
        <v>547</v>
      </c>
      <c r="C54" s="264" t="s">
        <v>160</v>
      </c>
      <c r="D54" s="264" t="s">
        <v>160</v>
      </c>
      <c r="E54" s="264" t="s">
        <v>160</v>
      </c>
      <c r="F54" s="264" t="s">
        <v>160</v>
      </c>
      <c r="G54" s="264" t="s">
        <v>160</v>
      </c>
      <c r="H54" s="264" t="s">
        <v>160</v>
      </c>
      <c r="I54" s="264" t="s">
        <v>160</v>
      </c>
      <c r="J54" s="264" t="s">
        <v>160</v>
      </c>
      <c r="K54" s="264" t="s">
        <v>160</v>
      </c>
      <c r="L54" s="264" t="s">
        <v>160</v>
      </c>
      <c r="M54" s="264" t="s">
        <v>160</v>
      </c>
      <c r="N54" s="264" t="s">
        <v>160</v>
      </c>
      <c r="O54" s="264" t="s">
        <v>160</v>
      </c>
      <c r="P54" s="264" t="s">
        <v>160</v>
      </c>
      <c r="Q54" s="264">
        <v>19.5</v>
      </c>
      <c r="R54" s="264">
        <v>19.5</v>
      </c>
      <c r="S54" s="264">
        <v>19.5</v>
      </c>
      <c r="T54" s="264">
        <v>19.5</v>
      </c>
      <c r="U54" s="264">
        <v>19.5</v>
      </c>
      <c r="V54" s="584">
        <v>27</v>
      </c>
      <c r="W54" s="590">
        <v>27</v>
      </c>
      <c r="X54" s="590">
        <v>27</v>
      </c>
      <c r="Y54" s="590">
        <v>27</v>
      </c>
      <c r="Z54" s="590">
        <v>27</v>
      </c>
      <c r="AA54" s="590">
        <v>27</v>
      </c>
      <c r="AB54" s="590">
        <v>27</v>
      </c>
      <c r="AC54" s="590">
        <v>27</v>
      </c>
      <c r="AD54" s="590" t="s">
        <v>160</v>
      </c>
      <c r="AE54" s="590" t="s">
        <v>160</v>
      </c>
      <c r="AF54" s="590" t="s">
        <v>160</v>
      </c>
      <c r="AG54" s="590" t="s">
        <v>160</v>
      </c>
      <c r="AH54" s="590" t="s">
        <v>160</v>
      </c>
      <c r="AI54" s="590" t="s">
        <v>160</v>
      </c>
      <c r="AJ54" s="590" t="s">
        <v>160</v>
      </c>
      <c r="AK54" s="590" t="s">
        <v>160</v>
      </c>
      <c r="AL54" s="590" t="s">
        <v>160</v>
      </c>
      <c r="AM54" s="590" t="s">
        <v>160</v>
      </c>
      <c r="AN54" s="590" t="s">
        <v>160</v>
      </c>
      <c r="AO54" s="590" t="s">
        <v>160</v>
      </c>
      <c r="AP54" s="590" t="s">
        <v>160</v>
      </c>
      <c r="AQ54" s="590" t="s">
        <v>160</v>
      </c>
      <c r="AR54" s="590" t="s">
        <v>160</v>
      </c>
      <c r="AS54" s="590" t="s">
        <v>160</v>
      </c>
    </row>
    <row r="55" spans="2:115" customFormat="1" x14ac:dyDescent="0.25">
      <c r="B55" s="278" t="s">
        <v>557</v>
      </c>
      <c r="C55" s="279" t="str">
        <f t="shared" ref="C55:Q55" si="50">IFERROR(AVERAGE(C50:C54),"-")</f>
        <v>-</v>
      </c>
      <c r="D55" s="279" t="str">
        <f t="shared" si="50"/>
        <v>-</v>
      </c>
      <c r="E55" s="279" t="str">
        <f t="shared" si="50"/>
        <v>-</v>
      </c>
      <c r="F55" s="279" t="str">
        <f t="shared" si="50"/>
        <v>-</v>
      </c>
      <c r="G55" s="279" t="str">
        <f t="shared" si="50"/>
        <v>-</v>
      </c>
      <c r="H55" s="279" t="str">
        <f t="shared" si="50"/>
        <v>-</v>
      </c>
      <c r="I55" s="279" t="str">
        <f t="shared" si="50"/>
        <v>-</v>
      </c>
      <c r="J55" s="279" t="str">
        <f t="shared" si="50"/>
        <v>-</v>
      </c>
      <c r="K55" s="279" t="str">
        <f t="shared" si="50"/>
        <v>-</v>
      </c>
      <c r="L55" s="279" t="str">
        <f t="shared" si="50"/>
        <v>-</v>
      </c>
      <c r="M55" s="279" t="str">
        <f t="shared" si="50"/>
        <v>-</v>
      </c>
      <c r="N55" s="279" t="str">
        <f t="shared" si="50"/>
        <v>-</v>
      </c>
      <c r="O55" s="279" t="str">
        <f t="shared" si="50"/>
        <v>-</v>
      </c>
      <c r="P55" s="279" t="str">
        <f t="shared" si="50"/>
        <v>-</v>
      </c>
      <c r="Q55" s="279">
        <f t="shared" si="50"/>
        <v>20.666666666666668</v>
      </c>
      <c r="R55" s="346">
        <f t="shared" ref="R55:AF55" si="51">IFERROR(AVERAGE(R50:R54),"-")</f>
        <v>20.666666666666668</v>
      </c>
      <c r="S55" s="346">
        <f t="shared" si="51"/>
        <v>20.666666666666668</v>
      </c>
      <c r="T55" s="346">
        <f t="shared" si="51"/>
        <v>21.5</v>
      </c>
      <c r="U55" s="346">
        <f t="shared" si="51"/>
        <v>23</v>
      </c>
      <c r="V55" s="346">
        <f t="shared" si="51"/>
        <v>24.875</v>
      </c>
      <c r="W55" s="346">
        <f t="shared" si="51"/>
        <v>25.4</v>
      </c>
      <c r="X55" s="346">
        <f t="shared" si="51"/>
        <v>25.4</v>
      </c>
      <c r="Y55" s="346">
        <f t="shared" si="51"/>
        <v>25.4</v>
      </c>
      <c r="Z55" s="346">
        <f t="shared" si="51"/>
        <v>25.8</v>
      </c>
      <c r="AA55" s="346">
        <f t="shared" si="51"/>
        <v>25.8</v>
      </c>
      <c r="AB55" s="346">
        <f t="shared" si="51"/>
        <v>25.8</v>
      </c>
      <c r="AC55" s="346">
        <f t="shared" si="51"/>
        <v>25.2</v>
      </c>
      <c r="AD55" s="346">
        <f t="shared" si="51"/>
        <v>24.75</v>
      </c>
      <c r="AE55" s="346">
        <f t="shared" si="51"/>
        <v>24.75</v>
      </c>
      <c r="AF55" s="346">
        <f t="shared" si="51"/>
        <v>25</v>
      </c>
      <c r="AG55" s="346" t="str">
        <f t="shared" ref="AG55:AL55" si="52">IFERROR(AVERAGE(AG50:AG54),"-")</f>
        <v>-</v>
      </c>
      <c r="AH55" s="346" t="str">
        <f t="shared" si="52"/>
        <v>-</v>
      </c>
      <c r="AI55" s="346" t="str">
        <f t="shared" si="52"/>
        <v>-</v>
      </c>
      <c r="AJ55" s="346" t="str">
        <f t="shared" si="52"/>
        <v>-</v>
      </c>
      <c r="AK55" s="346" t="str">
        <f t="shared" si="52"/>
        <v>-</v>
      </c>
      <c r="AL55" s="346" t="str">
        <f t="shared" si="52"/>
        <v>-</v>
      </c>
      <c r="AM55" s="346" t="str">
        <f t="shared" ref="AM55:AR55" si="53">IFERROR(AVERAGE(AM50:AM54),"-")</f>
        <v>-</v>
      </c>
      <c r="AN55" s="346" t="str">
        <f t="shared" si="53"/>
        <v>-</v>
      </c>
      <c r="AO55" s="346" t="str">
        <f t="shared" si="53"/>
        <v>-</v>
      </c>
      <c r="AP55" s="346" t="str">
        <f t="shared" si="53"/>
        <v>-</v>
      </c>
      <c r="AQ55" s="346" t="str">
        <f t="shared" si="53"/>
        <v>-</v>
      </c>
      <c r="AR55" s="346" t="str">
        <f t="shared" si="53"/>
        <v>-</v>
      </c>
      <c r="AS55" s="346" t="str">
        <f>IFERROR(AVERAGE(AS50:AS54),"-")</f>
        <v>-</v>
      </c>
      <c r="AT55" s="262"/>
      <c r="AU55" s="262"/>
      <c r="DG55" s="1150"/>
      <c r="DH55" s="1150"/>
      <c r="DI55" s="1150"/>
      <c r="DJ55" s="1150"/>
      <c r="DK55" s="1150"/>
    </row>
    <row r="56" spans="2:115" x14ac:dyDescent="0.25">
      <c r="X56" s="340"/>
      <c r="Y56" s="340"/>
      <c r="Z56" s="340"/>
      <c r="AA56" s="340"/>
      <c r="AB56" s="340"/>
      <c r="AC56" s="340"/>
      <c r="AD56" s="340"/>
      <c r="AE56" s="340"/>
      <c r="AF56" s="340"/>
      <c r="AG56" s="340"/>
      <c r="AH56" s="340"/>
      <c r="AI56" s="340"/>
      <c r="AJ56" s="340"/>
      <c r="AK56" s="340"/>
      <c r="AL56" s="340"/>
      <c r="AM56" s="340"/>
      <c r="AN56" s="340"/>
      <c r="AO56" s="340"/>
      <c r="AP56" s="340"/>
      <c r="AQ56" s="340"/>
      <c r="AR56" s="340"/>
      <c r="AS56" s="340"/>
    </row>
    <row r="57" spans="2:115" x14ac:dyDescent="0.25">
      <c r="B57" s="113" t="s">
        <v>594</v>
      </c>
      <c r="C57" s="263">
        <f t="shared" ref="C57:AS57" si="54">+C$117</f>
        <v>42522</v>
      </c>
      <c r="D57" s="263">
        <f t="shared" si="54"/>
        <v>42552</v>
      </c>
      <c r="E57" s="263">
        <f t="shared" si="54"/>
        <v>42583</v>
      </c>
      <c r="F57" s="263">
        <f t="shared" si="54"/>
        <v>42614</v>
      </c>
      <c r="G57" s="263">
        <f t="shared" si="54"/>
        <v>42644</v>
      </c>
      <c r="H57" s="263">
        <f t="shared" si="54"/>
        <v>42675</v>
      </c>
      <c r="I57" s="263">
        <f t="shared" si="54"/>
        <v>42705</v>
      </c>
      <c r="J57" s="263">
        <f t="shared" si="54"/>
        <v>42736</v>
      </c>
      <c r="K57" s="263">
        <f t="shared" si="54"/>
        <v>42767</v>
      </c>
      <c r="L57" s="263">
        <f t="shared" si="54"/>
        <v>42795</v>
      </c>
      <c r="M57" s="263">
        <f t="shared" si="54"/>
        <v>42826</v>
      </c>
      <c r="N57" s="263">
        <f t="shared" si="54"/>
        <v>42856</v>
      </c>
      <c r="O57" s="263">
        <f t="shared" si="54"/>
        <v>42887</v>
      </c>
      <c r="P57" s="263">
        <f t="shared" si="54"/>
        <v>42917</v>
      </c>
      <c r="Q57" s="263">
        <f t="shared" si="54"/>
        <v>42948</v>
      </c>
      <c r="R57" s="263">
        <f t="shared" si="54"/>
        <v>42979</v>
      </c>
      <c r="S57" s="263">
        <f t="shared" si="54"/>
        <v>43009</v>
      </c>
      <c r="T57" s="263">
        <f t="shared" si="54"/>
        <v>43040</v>
      </c>
      <c r="U57" s="263">
        <f t="shared" si="54"/>
        <v>43070</v>
      </c>
      <c r="V57" s="263">
        <f t="shared" si="54"/>
        <v>43101</v>
      </c>
      <c r="W57" s="263">
        <f t="shared" si="54"/>
        <v>43132</v>
      </c>
      <c r="X57" s="263">
        <f t="shared" si="54"/>
        <v>43160</v>
      </c>
      <c r="Y57" s="263">
        <f t="shared" si="54"/>
        <v>43191</v>
      </c>
      <c r="Z57" s="263">
        <f t="shared" si="54"/>
        <v>43221</v>
      </c>
      <c r="AA57" s="263">
        <f t="shared" si="54"/>
        <v>43252</v>
      </c>
      <c r="AB57" s="263">
        <f t="shared" si="54"/>
        <v>43283</v>
      </c>
      <c r="AC57" s="263">
        <f t="shared" si="54"/>
        <v>43314</v>
      </c>
      <c r="AD57" s="263">
        <f t="shared" si="54"/>
        <v>43345</v>
      </c>
      <c r="AE57" s="263">
        <f t="shared" si="54"/>
        <v>43376</v>
      </c>
      <c r="AF57" s="263">
        <f t="shared" si="54"/>
        <v>43407</v>
      </c>
      <c r="AG57" s="263">
        <f t="shared" si="54"/>
        <v>43437</v>
      </c>
      <c r="AH57" s="263">
        <f t="shared" si="54"/>
        <v>43468</v>
      </c>
      <c r="AI57" s="263">
        <f t="shared" si="54"/>
        <v>43499</v>
      </c>
      <c r="AJ57" s="263">
        <f t="shared" si="54"/>
        <v>43527</v>
      </c>
      <c r="AK57" s="263">
        <f t="shared" si="54"/>
        <v>43558</v>
      </c>
      <c r="AL57" s="263">
        <f t="shared" si="54"/>
        <v>43587</v>
      </c>
      <c r="AM57" s="263">
        <f t="shared" si="54"/>
        <v>43618</v>
      </c>
      <c r="AN57" s="263">
        <f t="shared" si="54"/>
        <v>43647</v>
      </c>
      <c r="AO57" s="263">
        <f t="shared" si="54"/>
        <v>43678</v>
      </c>
      <c r="AP57" s="263">
        <f t="shared" si="54"/>
        <v>43709</v>
      </c>
      <c r="AQ57" s="263">
        <f t="shared" si="54"/>
        <v>43739</v>
      </c>
      <c r="AR57" s="263">
        <f t="shared" si="54"/>
        <v>43770</v>
      </c>
      <c r="AS57" s="263">
        <f t="shared" si="54"/>
        <v>43800</v>
      </c>
    </row>
    <row r="58" spans="2:115" x14ac:dyDescent="0.25">
      <c r="B58" s="117" t="s">
        <v>542</v>
      </c>
      <c r="C58" s="265" t="s">
        <v>160</v>
      </c>
      <c r="D58" s="265" t="s">
        <v>160</v>
      </c>
      <c r="E58" s="265" t="s">
        <v>160</v>
      </c>
      <c r="F58" s="337">
        <v>1176</v>
      </c>
      <c r="G58" s="337">
        <v>1176</v>
      </c>
      <c r="H58" s="337">
        <v>1176</v>
      </c>
      <c r="I58" s="337">
        <v>1176</v>
      </c>
      <c r="J58" s="337">
        <v>1176</v>
      </c>
      <c r="K58" s="337">
        <v>1176</v>
      </c>
      <c r="L58" s="337">
        <v>1176</v>
      </c>
      <c r="M58" s="337">
        <v>1176</v>
      </c>
      <c r="N58" s="337">
        <v>1176</v>
      </c>
      <c r="O58" s="337">
        <v>1176</v>
      </c>
      <c r="P58" s="337">
        <v>1176</v>
      </c>
      <c r="Q58" s="341">
        <v>1138</v>
      </c>
      <c r="R58" s="347">
        <v>1138</v>
      </c>
      <c r="S58" s="347">
        <v>1138</v>
      </c>
      <c r="T58" s="347">
        <v>1138</v>
      </c>
      <c r="U58" s="342">
        <v>1240</v>
      </c>
      <c r="V58" s="585">
        <v>1240</v>
      </c>
      <c r="W58" s="585">
        <v>1240</v>
      </c>
      <c r="X58" s="585">
        <v>1240</v>
      </c>
      <c r="Y58" s="585">
        <v>1240</v>
      </c>
      <c r="Z58" s="585">
        <v>1240</v>
      </c>
      <c r="AA58" s="585">
        <v>1240</v>
      </c>
      <c r="AB58" s="585">
        <v>1240</v>
      </c>
      <c r="AC58" s="585">
        <v>1240</v>
      </c>
      <c r="AD58" s="585">
        <v>1240</v>
      </c>
      <c r="AE58" s="585">
        <v>1240</v>
      </c>
      <c r="AF58" s="585">
        <v>1240</v>
      </c>
      <c r="AG58" s="585" t="s">
        <v>160</v>
      </c>
      <c r="AH58" s="585" t="s">
        <v>160</v>
      </c>
      <c r="AI58" s="585" t="s">
        <v>160</v>
      </c>
      <c r="AJ58" s="585" t="s">
        <v>160</v>
      </c>
      <c r="AK58" s="585" t="s">
        <v>160</v>
      </c>
      <c r="AL58" s="585" t="s">
        <v>160</v>
      </c>
      <c r="AM58" s="585" t="s">
        <v>160</v>
      </c>
      <c r="AN58" s="585" t="s">
        <v>160</v>
      </c>
      <c r="AO58" s="585" t="s">
        <v>160</v>
      </c>
      <c r="AP58" s="585" t="s">
        <v>160</v>
      </c>
      <c r="AQ58" s="585" t="s">
        <v>160</v>
      </c>
      <c r="AR58" s="585" t="s">
        <v>160</v>
      </c>
      <c r="AS58" s="585" t="s">
        <v>160</v>
      </c>
    </row>
    <row r="59" spans="2:115" x14ac:dyDescent="0.25">
      <c r="B59" s="117" t="s">
        <v>545</v>
      </c>
      <c r="C59" s="265" t="s">
        <v>160</v>
      </c>
      <c r="D59" s="265" t="s">
        <v>160</v>
      </c>
      <c r="E59" s="265" t="s">
        <v>160</v>
      </c>
      <c r="F59" s="265" t="s">
        <v>160</v>
      </c>
      <c r="G59" s="265" t="s">
        <v>160</v>
      </c>
      <c r="H59" s="265">
        <v>1091</v>
      </c>
      <c r="I59" s="265">
        <v>1091</v>
      </c>
      <c r="J59" s="337">
        <v>1091</v>
      </c>
      <c r="K59" s="337">
        <v>1091</v>
      </c>
      <c r="L59" s="337">
        <v>1091</v>
      </c>
      <c r="M59" s="342">
        <v>1093</v>
      </c>
      <c r="N59" s="337">
        <v>1093</v>
      </c>
      <c r="O59" s="337">
        <v>1093</v>
      </c>
      <c r="P59" s="337">
        <v>1093</v>
      </c>
      <c r="Q59" s="342">
        <v>1120</v>
      </c>
      <c r="R59" s="347">
        <v>1120</v>
      </c>
      <c r="S59" s="347">
        <v>1120</v>
      </c>
      <c r="T59" s="347">
        <v>1120</v>
      </c>
      <c r="U59" s="347">
        <v>1120</v>
      </c>
      <c r="V59" s="347">
        <f>+U59</f>
        <v>1120</v>
      </c>
      <c r="W59" s="342">
        <v>1155</v>
      </c>
      <c r="X59" s="347">
        <v>1155</v>
      </c>
      <c r="Y59" s="347">
        <v>1155</v>
      </c>
      <c r="Z59" s="342">
        <v>1202</v>
      </c>
      <c r="AA59" s="585">
        <v>1202</v>
      </c>
      <c r="AB59" s="585">
        <v>1202</v>
      </c>
      <c r="AC59" s="585">
        <v>1202</v>
      </c>
      <c r="AD59" s="585">
        <v>1202</v>
      </c>
      <c r="AE59" s="585">
        <v>1202</v>
      </c>
      <c r="AF59" s="679">
        <v>1236</v>
      </c>
      <c r="AG59" s="585" t="s">
        <v>160</v>
      </c>
      <c r="AH59" s="585" t="s">
        <v>160</v>
      </c>
      <c r="AI59" s="585" t="s">
        <v>160</v>
      </c>
      <c r="AJ59" s="585" t="s">
        <v>160</v>
      </c>
      <c r="AK59" s="585" t="s">
        <v>160</v>
      </c>
      <c r="AL59" s="585" t="s">
        <v>160</v>
      </c>
      <c r="AM59" s="585" t="s">
        <v>160</v>
      </c>
      <c r="AN59" s="585" t="s">
        <v>160</v>
      </c>
      <c r="AO59" s="585" t="s">
        <v>160</v>
      </c>
      <c r="AP59" s="585" t="s">
        <v>160</v>
      </c>
      <c r="AQ59" s="585" t="s">
        <v>160</v>
      </c>
      <c r="AR59" s="585" t="s">
        <v>160</v>
      </c>
      <c r="AS59" s="585" t="s">
        <v>160</v>
      </c>
    </row>
    <row r="60" spans="2:115" x14ac:dyDescent="0.25">
      <c r="B60" s="117" t="s">
        <v>546</v>
      </c>
      <c r="C60" s="265" t="s">
        <v>160</v>
      </c>
      <c r="D60" s="265" t="s">
        <v>160</v>
      </c>
      <c r="E60" s="265" t="s">
        <v>160</v>
      </c>
      <c r="F60" s="265" t="s">
        <v>160</v>
      </c>
      <c r="G60" s="265" t="s">
        <v>160</v>
      </c>
      <c r="H60" s="337">
        <v>1093</v>
      </c>
      <c r="I60" s="337">
        <v>1093</v>
      </c>
      <c r="J60" s="337">
        <v>1093</v>
      </c>
      <c r="K60" s="337">
        <v>1093</v>
      </c>
      <c r="L60" s="337">
        <v>1093</v>
      </c>
      <c r="M60" s="337">
        <v>1093</v>
      </c>
      <c r="N60" s="337">
        <v>1093</v>
      </c>
      <c r="O60" s="337">
        <v>1093</v>
      </c>
      <c r="P60" s="337">
        <v>1093</v>
      </c>
      <c r="Q60" s="337">
        <v>1093</v>
      </c>
      <c r="R60" s="347">
        <v>1093</v>
      </c>
      <c r="S60" s="347">
        <v>1093</v>
      </c>
      <c r="T60" s="342">
        <v>1226</v>
      </c>
      <c r="U60" s="585">
        <v>1226</v>
      </c>
      <c r="V60" s="585">
        <v>1226</v>
      </c>
      <c r="W60" s="585">
        <v>1226</v>
      </c>
      <c r="X60" s="585">
        <v>1226</v>
      </c>
      <c r="Y60" s="585">
        <v>1226</v>
      </c>
      <c r="Z60" s="585">
        <v>1226</v>
      </c>
      <c r="AA60" s="585">
        <v>1226</v>
      </c>
      <c r="AB60" s="585">
        <v>1226</v>
      </c>
      <c r="AC60" s="585">
        <v>1226</v>
      </c>
      <c r="AD60" s="585">
        <v>1226</v>
      </c>
      <c r="AE60" s="585">
        <v>1226</v>
      </c>
      <c r="AF60" s="679">
        <v>1252</v>
      </c>
      <c r="AG60" s="585" t="s">
        <v>160</v>
      </c>
      <c r="AH60" s="585" t="s">
        <v>160</v>
      </c>
      <c r="AI60" s="585" t="s">
        <v>160</v>
      </c>
      <c r="AJ60" s="585" t="s">
        <v>160</v>
      </c>
      <c r="AK60" s="585" t="s">
        <v>160</v>
      </c>
      <c r="AL60" s="585" t="s">
        <v>160</v>
      </c>
      <c r="AM60" s="585" t="s">
        <v>160</v>
      </c>
      <c r="AN60" s="585" t="s">
        <v>160</v>
      </c>
      <c r="AO60" s="585" t="s">
        <v>160</v>
      </c>
      <c r="AP60" s="585" t="s">
        <v>160</v>
      </c>
      <c r="AQ60" s="585" t="s">
        <v>160</v>
      </c>
      <c r="AR60" s="585" t="s">
        <v>160</v>
      </c>
      <c r="AS60" s="585" t="s">
        <v>160</v>
      </c>
    </row>
    <row r="61" spans="2:115" x14ac:dyDescent="0.25">
      <c r="B61" s="117" t="s">
        <v>574</v>
      </c>
      <c r="C61" s="264" t="s">
        <v>160</v>
      </c>
      <c r="D61" s="264" t="s">
        <v>160</v>
      </c>
      <c r="E61" s="264" t="s">
        <v>160</v>
      </c>
      <c r="F61" s="264" t="s">
        <v>160</v>
      </c>
      <c r="G61" s="264" t="s">
        <v>160</v>
      </c>
      <c r="H61" s="264" t="s">
        <v>160</v>
      </c>
      <c r="I61" s="264" t="s">
        <v>160</v>
      </c>
      <c r="J61" s="337" t="s">
        <v>160</v>
      </c>
      <c r="K61" s="337" t="s">
        <v>160</v>
      </c>
      <c r="L61" s="337" t="s">
        <v>160</v>
      </c>
      <c r="M61" s="337" t="s">
        <v>160</v>
      </c>
      <c r="N61" s="337"/>
      <c r="O61" s="337">
        <v>1283</v>
      </c>
      <c r="P61" s="337">
        <v>1283</v>
      </c>
      <c r="Q61" s="337">
        <v>1283</v>
      </c>
      <c r="R61" s="342">
        <v>1285</v>
      </c>
      <c r="S61" s="347">
        <v>1285</v>
      </c>
      <c r="T61" s="347">
        <v>1285</v>
      </c>
      <c r="U61" s="347">
        <v>1285</v>
      </c>
      <c r="V61" s="347">
        <v>1285</v>
      </c>
      <c r="W61" s="342">
        <v>1338</v>
      </c>
      <c r="X61" s="585">
        <v>1338</v>
      </c>
      <c r="Y61" s="585">
        <v>1338</v>
      </c>
      <c r="Z61" s="585">
        <v>1338</v>
      </c>
      <c r="AA61" s="585">
        <v>1338</v>
      </c>
      <c r="AB61" s="585">
        <v>1338</v>
      </c>
      <c r="AC61" s="585">
        <v>1338</v>
      </c>
      <c r="AD61" s="585">
        <v>1338</v>
      </c>
      <c r="AE61" s="585">
        <v>1338</v>
      </c>
      <c r="AF61" s="585">
        <v>1338</v>
      </c>
      <c r="AG61" s="585" t="s">
        <v>160</v>
      </c>
      <c r="AH61" s="585" t="s">
        <v>160</v>
      </c>
      <c r="AI61" s="585" t="s">
        <v>160</v>
      </c>
      <c r="AJ61" s="585" t="s">
        <v>160</v>
      </c>
      <c r="AK61" s="585" t="s">
        <v>160</v>
      </c>
      <c r="AL61" s="585" t="s">
        <v>160</v>
      </c>
      <c r="AM61" s="585" t="s">
        <v>160</v>
      </c>
      <c r="AN61" s="585" t="s">
        <v>160</v>
      </c>
      <c r="AO61" s="585" t="s">
        <v>160</v>
      </c>
      <c r="AP61" s="585" t="s">
        <v>160</v>
      </c>
      <c r="AQ61" s="585" t="s">
        <v>160</v>
      </c>
      <c r="AR61" s="585" t="s">
        <v>160</v>
      </c>
      <c r="AS61" s="585" t="s">
        <v>160</v>
      </c>
    </row>
    <row r="62" spans="2:115" x14ac:dyDescent="0.25">
      <c r="B62" s="117" t="s">
        <v>547</v>
      </c>
      <c r="C62" s="265" t="s">
        <v>160</v>
      </c>
      <c r="D62" s="265" t="s">
        <v>160</v>
      </c>
      <c r="E62" s="265" t="s">
        <v>160</v>
      </c>
      <c r="F62" s="265" t="s">
        <v>160</v>
      </c>
      <c r="G62" s="337">
        <v>1229</v>
      </c>
      <c r="H62" s="337">
        <v>1229</v>
      </c>
      <c r="I62" s="337">
        <v>1229</v>
      </c>
      <c r="J62" s="337">
        <v>1229</v>
      </c>
      <c r="K62" s="337">
        <v>1229</v>
      </c>
      <c r="L62" s="341">
        <v>1081</v>
      </c>
      <c r="M62" s="337">
        <v>1081</v>
      </c>
      <c r="N62" s="337">
        <v>1081</v>
      </c>
      <c r="O62" s="337">
        <v>1081</v>
      </c>
      <c r="P62" s="337">
        <v>1081</v>
      </c>
      <c r="Q62" s="342">
        <v>1118</v>
      </c>
      <c r="R62" s="347">
        <v>1118</v>
      </c>
      <c r="S62" s="347">
        <v>1118</v>
      </c>
      <c r="T62" s="347">
        <v>1118</v>
      </c>
      <c r="U62" s="347">
        <v>1118</v>
      </c>
      <c r="V62" s="342">
        <v>1241</v>
      </c>
      <c r="W62" s="585">
        <v>1241</v>
      </c>
      <c r="X62" s="585">
        <v>1241</v>
      </c>
      <c r="Y62" s="585">
        <v>1241</v>
      </c>
      <c r="Z62" s="585">
        <v>1241</v>
      </c>
      <c r="AA62" s="585">
        <v>1241</v>
      </c>
      <c r="AB62" s="585">
        <v>1241</v>
      </c>
      <c r="AC62" s="585">
        <v>1241</v>
      </c>
      <c r="AD62" s="341">
        <v>1207</v>
      </c>
      <c r="AE62" s="585">
        <v>1207</v>
      </c>
      <c r="AF62" s="585">
        <v>1207</v>
      </c>
      <c r="AG62" s="585" t="s">
        <v>160</v>
      </c>
      <c r="AH62" s="585" t="s">
        <v>160</v>
      </c>
      <c r="AI62" s="585" t="s">
        <v>160</v>
      </c>
      <c r="AJ62" s="585" t="s">
        <v>160</v>
      </c>
      <c r="AK62" s="585" t="s">
        <v>160</v>
      </c>
      <c r="AL62" s="585" t="s">
        <v>160</v>
      </c>
      <c r="AM62" s="585" t="s">
        <v>160</v>
      </c>
      <c r="AN62" s="585" t="s">
        <v>160</v>
      </c>
      <c r="AO62" s="585" t="s">
        <v>160</v>
      </c>
      <c r="AP62" s="585" t="s">
        <v>160</v>
      </c>
      <c r="AQ62" s="585" t="s">
        <v>160</v>
      </c>
      <c r="AR62" s="585" t="s">
        <v>160</v>
      </c>
      <c r="AS62" s="585" t="s">
        <v>160</v>
      </c>
    </row>
    <row r="63" spans="2:115" customFormat="1" ht="12.75" x14ac:dyDescent="0.2">
      <c r="B63" s="278" t="s">
        <v>557</v>
      </c>
      <c r="C63" s="327" t="str">
        <f t="shared" ref="C63:Q63" si="55">IFERROR(AVERAGE(C58:C62),"-")</f>
        <v>-</v>
      </c>
      <c r="D63" s="327" t="str">
        <f t="shared" si="55"/>
        <v>-</v>
      </c>
      <c r="E63" s="327" t="str">
        <f t="shared" si="55"/>
        <v>-</v>
      </c>
      <c r="F63" s="327">
        <f t="shared" si="55"/>
        <v>1176</v>
      </c>
      <c r="G63" s="327">
        <f t="shared" si="55"/>
        <v>1202.5</v>
      </c>
      <c r="H63" s="327">
        <f t="shared" si="55"/>
        <v>1147.25</v>
      </c>
      <c r="I63" s="327">
        <f t="shared" si="55"/>
        <v>1147.25</v>
      </c>
      <c r="J63" s="338">
        <f t="shared" si="55"/>
        <v>1147.25</v>
      </c>
      <c r="K63" s="338">
        <f t="shared" si="55"/>
        <v>1147.25</v>
      </c>
      <c r="L63" s="338">
        <f t="shared" si="55"/>
        <v>1110.25</v>
      </c>
      <c r="M63" s="338">
        <f t="shared" si="55"/>
        <v>1110.75</v>
      </c>
      <c r="N63" s="338">
        <f t="shared" si="55"/>
        <v>1110.75</v>
      </c>
      <c r="O63" s="338">
        <f t="shared" si="55"/>
        <v>1145.2</v>
      </c>
      <c r="P63" s="338">
        <f t="shared" si="55"/>
        <v>1145.2</v>
      </c>
      <c r="Q63" s="338">
        <f t="shared" si="55"/>
        <v>1150.4000000000001</v>
      </c>
      <c r="R63" s="348">
        <f t="shared" ref="R63:AF63" si="56">IFERROR(AVERAGE(R58:R62),"-")</f>
        <v>1150.8</v>
      </c>
      <c r="S63" s="348">
        <f t="shared" si="56"/>
        <v>1150.8</v>
      </c>
      <c r="T63" s="348">
        <f t="shared" si="56"/>
        <v>1177.4000000000001</v>
      </c>
      <c r="U63" s="348">
        <f t="shared" si="56"/>
        <v>1197.8</v>
      </c>
      <c r="V63" s="348">
        <f t="shared" si="56"/>
        <v>1222.4000000000001</v>
      </c>
      <c r="W63" s="348">
        <f t="shared" si="56"/>
        <v>1240</v>
      </c>
      <c r="X63" s="348">
        <f t="shared" si="56"/>
        <v>1240</v>
      </c>
      <c r="Y63" s="348">
        <f t="shared" si="56"/>
        <v>1240</v>
      </c>
      <c r="Z63" s="348">
        <f t="shared" si="56"/>
        <v>1249.4000000000001</v>
      </c>
      <c r="AA63" s="348">
        <f t="shared" si="56"/>
        <v>1249.4000000000001</v>
      </c>
      <c r="AB63" s="348">
        <f t="shared" si="56"/>
        <v>1249.4000000000001</v>
      </c>
      <c r="AC63" s="348">
        <f t="shared" si="56"/>
        <v>1249.4000000000001</v>
      </c>
      <c r="AD63" s="348">
        <f t="shared" si="56"/>
        <v>1242.5999999999999</v>
      </c>
      <c r="AE63" s="348">
        <f t="shared" si="56"/>
        <v>1242.5999999999999</v>
      </c>
      <c r="AF63" s="348">
        <f t="shared" si="56"/>
        <v>1254.5999999999999</v>
      </c>
      <c r="AG63" s="348" t="str">
        <f t="shared" ref="AG63:AL63" si="57">IFERROR(AVERAGE(AG58:AG62),"-")</f>
        <v>-</v>
      </c>
      <c r="AH63" s="348" t="str">
        <f t="shared" si="57"/>
        <v>-</v>
      </c>
      <c r="AI63" s="348" t="str">
        <f t="shared" si="57"/>
        <v>-</v>
      </c>
      <c r="AJ63" s="348" t="str">
        <f t="shared" si="57"/>
        <v>-</v>
      </c>
      <c r="AK63" s="348" t="str">
        <f t="shared" si="57"/>
        <v>-</v>
      </c>
      <c r="AL63" s="348" t="str">
        <f t="shared" si="57"/>
        <v>-</v>
      </c>
      <c r="AM63" s="348" t="str">
        <f t="shared" ref="AM63:AR63" si="58">IFERROR(AVERAGE(AM58:AM62),"-")</f>
        <v>-</v>
      </c>
      <c r="AN63" s="348" t="str">
        <f t="shared" si="58"/>
        <v>-</v>
      </c>
      <c r="AO63" s="348" t="str">
        <f t="shared" si="58"/>
        <v>-</v>
      </c>
      <c r="AP63" s="348" t="str">
        <f t="shared" si="58"/>
        <v>-</v>
      </c>
      <c r="AQ63" s="348" t="str">
        <f t="shared" si="58"/>
        <v>-</v>
      </c>
      <c r="AR63" s="348" t="str">
        <f t="shared" si="58"/>
        <v>-</v>
      </c>
      <c r="AS63" s="348" t="str">
        <f>IFERROR(AVERAGE(AS58:AS62),"-")</f>
        <v>-</v>
      </c>
      <c r="DG63" s="1150"/>
      <c r="DH63" s="1150"/>
      <c r="DI63" s="1150"/>
      <c r="DJ63" s="1150"/>
      <c r="DK63" s="1150"/>
    </row>
    <row r="64" spans="2:115" x14ac:dyDescent="0.25">
      <c r="X64" s="340"/>
      <c r="Y64" s="340"/>
      <c r="Z64" s="340"/>
      <c r="AA64" s="340"/>
      <c r="AB64" s="340"/>
      <c r="AC64" s="340"/>
      <c r="AD64" s="340"/>
      <c r="AE64" s="340"/>
      <c r="AF64" s="340"/>
      <c r="AG64" s="340"/>
      <c r="AH64" s="340"/>
      <c r="AI64" s="340"/>
      <c r="AJ64" s="340"/>
      <c r="AK64" s="340"/>
      <c r="AL64" s="340"/>
      <c r="AM64" s="340"/>
      <c r="AN64" s="340"/>
      <c r="AO64" s="340"/>
      <c r="AP64" s="340"/>
      <c r="AQ64" s="340"/>
      <c r="AR64" s="340"/>
      <c r="AS64" s="340"/>
    </row>
    <row r="65" spans="2:115" x14ac:dyDescent="0.25">
      <c r="B65" s="113" t="s">
        <v>548</v>
      </c>
      <c r="C65" s="263">
        <f t="shared" ref="C65:AS65" si="59">+C$117</f>
        <v>42522</v>
      </c>
      <c r="D65" s="263">
        <f t="shared" si="59"/>
        <v>42552</v>
      </c>
      <c r="E65" s="263">
        <f t="shared" si="59"/>
        <v>42583</v>
      </c>
      <c r="F65" s="263">
        <f t="shared" si="59"/>
        <v>42614</v>
      </c>
      <c r="G65" s="263">
        <f t="shared" si="59"/>
        <v>42644</v>
      </c>
      <c r="H65" s="263">
        <f t="shared" si="59"/>
        <v>42675</v>
      </c>
      <c r="I65" s="263">
        <f t="shared" si="59"/>
        <v>42705</v>
      </c>
      <c r="J65" s="263">
        <f t="shared" si="59"/>
        <v>42736</v>
      </c>
      <c r="K65" s="263">
        <f t="shared" si="59"/>
        <v>42767</v>
      </c>
      <c r="L65" s="263">
        <f t="shared" si="59"/>
        <v>42795</v>
      </c>
      <c r="M65" s="263">
        <f t="shared" si="59"/>
        <v>42826</v>
      </c>
      <c r="N65" s="263">
        <f t="shared" si="59"/>
        <v>42856</v>
      </c>
      <c r="O65" s="263">
        <f t="shared" si="59"/>
        <v>42887</v>
      </c>
      <c r="P65" s="263">
        <f t="shared" si="59"/>
        <v>42917</v>
      </c>
      <c r="Q65" s="263">
        <f t="shared" si="59"/>
        <v>42948</v>
      </c>
      <c r="R65" s="263">
        <f t="shared" si="59"/>
        <v>42979</v>
      </c>
      <c r="S65" s="263">
        <f t="shared" si="59"/>
        <v>43009</v>
      </c>
      <c r="T65" s="263">
        <f t="shared" si="59"/>
        <v>43040</v>
      </c>
      <c r="U65" s="263">
        <f t="shared" si="59"/>
        <v>43070</v>
      </c>
      <c r="V65" s="263">
        <f t="shared" si="59"/>
        <v>43101</v>
      </c>
      <c r="W65" s="263">
        <f t="shared" si="59"/>
        <v>43132</v>
      </c>
      <c r="X65" s="263">
        <f t="shared" si="59"/>
        <v>43160</v>
      </c>
      <c r="Y65" s="263">
        <f t="shared" si="59"/>
        <v>43191</v>
      </c>
      <c r="Z65" s="263">
        <f t="shared" si="59"/>
        <v>43221</v>
      </c>
      <c r="AA65" s="263">
        <f t="shared" si="59"/>
        <v>43252</v>
      </c>
      <c r="AB65" s="263">
        <f t="shared" si="59"/>
        <v>43283</v>
      </c>
      <c r="AC65" s="263">
        <f t="shared" si="59"/>
        <v>43314</v>
      </c>
      <c r="AD65" s="263">
        <f t="shared" si="59"/>
        <v>43345</v>
      </c>
      <c r="AE65" s="263">
        <f t="shared" si="59"/>
        <v>43376</v>
      </c>
      <c r="AF65" s="263">
        <f t="shared" si="59"/>
        <v>43407</v>
      </c>
      <c r="AG65" s="263">
        <f t="shared" si="59"/>
        <v>43437</v>
      </c>
      <c r="AH65" s="263">
        <f t="shared" si="59"/>
        <v>43468</v>
      </c>
      <c r="AI65" s="263">
        <f t="shared" si="59"/>
        <v>43499</v>
      </c>
      <c r="AJ65" s="263">
        <f t="shared" si="59"/>
        <v>43527</v>
      </c>
      <c r="AK65" s="263">
        <f t="shared" si="59"/>
        <v>43558</v>
      </c>
      <c r="AL65" s="263">
        <f t="shared" si="59"/>
        <v>43587</v>
      </c>
      <c r="AM65" s="263">
        <f t="shared" si="59"/>
        <v>43618</v>
      </c>
      <c r="AN65" s="263">
        <f t="shared" si="59"/>
        <v>43647</v>
      </c>
      <c r="AO65" s="263">
        <f t="shared" si="59"/>
        <v>43678</v>
      </c>
      <c r="AP65" s="263">
        <f t="shared" si="59"/>
        <v>43709</v>
      </c>
      <c r="AQ65" s="263">
        <f t="shared" si="59"/>
        <v>43739</v>
      </c>
      <c r="AR65" s="263">
        <f t="shared" si="59"/>
        <v>43770</v>
      </c>
      <c r="AS65" s="263">
        <f t="shared" si="59"/>
        <v>43800</v>
      </c>
    </row>
    <row r="66" spans="2:115" x14ac:dyDescent="0.25">
      <c r="B66" s="117" t="s">
        <v>542</v>
      </c>
      <c r="C66" s="264" t="s">
        <v>160</v>
      </c>
      <c r="D66" s="264" t="s">
        <v>160</v>
      </c>
      <c r="E66" s="264" t="s">
        <v>160</v>
      </c>
      <c r="F66" s="265">
        <v>117</v>
      </c>
      <c r="G66" s="265">
        <v>117</v>
      </c>
      <c r="H66" s="265">
        <v>117</v>
      </c>
      <c r="I66" s="265">
        <v>117</v>
      </c>
      <c r="J66" s="265">
        <v>117</v>
      </c>
      <c r="K66" s="265">
        <v>117</v>
      </c>
      <c r="L66" s="265">
        <v>117</v>
      </c>
      <c r="M66" s="265">
        <v>117</v>
      </c>
      <c r="N66" s="265">
        <v>117</v>
      </c>
      <c r="O66" s="265">
        <v>117</v>
      </c>
      <c r="P66" s="265">
        <v>117</v>
      </c>
      <c r="Q66" s="342">
        <v>132</v>
      </c>
      <c r="R66" s="347">
        <v>132</v>
      </c>
      <c r="S66" s="347">
        <v>132</v>
      </c>
      <c r="T66" s="347">
        <v>132</v>
      </c>
      <c r="U66" s="342">
        <v>172</v>
      </c>
      <c r="V66" s="585">
        <v>172</v>
      </c>
      <c r="W66" s="585">
        <v>172</v>
      </c>
      <c r="X66" s="585">
        <v>172</v>
      </c>
      <c r="Y66" s="585">
        <v>172</v>
      </c>
      <c r="Z66" s="585">
        <v>172</v>
      </c>
      <c r="AA66" s="585">
        <v>172</v>
      </c>
      <c r="AB66" s="585">
        <v>172</v>
      </c>
      <c r="AC66" s="585">
        <v>172</v>
      </c>
      <c r="AD66" s="585">
        <v>172</v>
      </c>
      <c r="AE66" s="585">
        <v>172</v>
      </c>
      <c r="AF66" s="585">
        <v>172</v>
      </c>
      <c r="AG66" s="679" t="s">
        <v>160</v>
      </c>
      <c r="AH66" s="679" t="s">
        <v>160</v>
      </c>
      <c r="AI66" s="679" t="s">
        <v>160</v>
      </c>
      <c r="AJ66" s="679" t="s">
        <v>160</v>
      </c>
      <c r="AK66" s="679" t="s">
        <v>160</v>
      </c>
      <c r="AL66" s="679" t="s">
        <v>160</v>
      </c>
      <c r="AM66" s="679" t="s">
        <v>160</v>
      </c>
      <c r="AN66" s="679" t="s">
        <v>160</v>
      </c>
      <c r="AO66" s="679" t="s">
        <v>160</v>
      </c>
      <c r="AP66" s="679" t="s">
        <v>160</v>
      </c>
      <c r="AQ66" s="679" t="s">
        <v>160</v>
      </c>
      <c r="AR66" s="679" t="s">
        <v>160</v>
      </c>
      <c r="AS66" s="679" t="s">
        <v>160</v>
      </c>
    </row>
    <row r="67" spans="2:115" x14ac:dyDescent="0.25">
      <c r="B67" s="227" t="s">
        <v>543</v>
      </c>
      <c r="C67" s="277">
        <v>99</v>
      </c>
      <c r="D67" s="277">
        <v>99</v>
      </c>
      <c r="E67" s="277">
        <v>99</v>
      </c>
      <c r="F67" s="277">
        <v>99</v>
      </c>
      <c r="G67" s="277">
        <v>99</v>
      </c>
      <c r="H67" s="277">
        <v>99</v>
      </c>
      <c r="I67" s="277" t="s">
        <v>160</v>
      </c>
      <c r="J67" s="277" t="s">
        <v>160</v>
      </c>
      <c r="K67" s="277" t="s">
        <v>160</v>
      </c>
      <c r="L67" s="277" t="s">
        <v>160</v>
      </c>
      <c r="M67" s="277" t="s">
        <v>160</v>
      </c>
      <c r="N67" s="277" t="s">
        <v>160</v>
      </c>
      <c r="O67" s="277" t="s">
        <v>160</v>
      </c>
      <c r="P67" s="277" t="s">
        <v>160</v>
      </c>
      <c r="Q67" s="277" t="s">
        <v>160</v>
      </c>
      <c r="R67" s="349" t="s">
        <v>160</v>
      </c>
      <c r="S67" s="349" t="s">
        <v>160</v>
      </c>
      <c r="T67" s="349" t="s">
        <v>160</v>
      </c>
      <c r="U67" s="349" t="s">
        <v>160</v>
      </c>
      <c r="V67" s="349" t="s">
        <v>160</v>
      </c>
      <c r="W67" s="349" t="s">
        <v>160</v>
      </c>
      <c r="X67" s="349" t="s">
        <v>160</v>
      </c>
      <c r="Y67" s="349" t="s">
        <v>160</v>
      </c>
      <c r="Z67" s="349" t="s">
        <v>160</v>
      </c>
      <c r="AA67" s="349" t="s">
        <v>160</v>
      </c>
      <c r="AB67" s="349" t="s">
        <v>160</v>
      </c>
      <c r="AC67" s="349" t="s">
        <v>160</v>
      </c>
      <c r="AD67" s="349" t="s">
        <v>160</v>
      </c>
      <c r="AE67" s="349" t="s">
        <v>160</v>
      </c>
      <c r="AF67" s="349" t="s">
        <v>160</v>
      </c>
      <c r="AG67" s="703" t="s">
        <v>160</v>
      </c>
      <c r="AH67" s="703" t="s">
        <v>160</v>
      </c>
      <c r="AI67" s="703" t="s">
        <v>160</v>
      </c>
      <c r="AJ67" s="703" t="s">
        <v>160</v>
      </c>
      <c r="AK67" s="703" t="s">
        <v>160</v>
      </c>
      <c r="AL67" s="703" t="s">
        <v>160</v>
      </c>
      <c r="AM67" s="703" t="s">
        <v>160</v>
      </c>
      <c r="AN67" s="703" t="s">
        <v>160</v>
      </c>
      <c r="AO67" s="703" t="s">
        <v>160</v>
      </c>
      <c r="AP67" s="703" t="s">
        <v>160</v>
      </c>
      <c r="AQ67" s="703" t="s">
        <v>160</v>
      </c>
      <c r="AR67" s="703" t="s">
        <v>160</v>
      </c>
      <c r="AS67" s="703" t="s">
        <v>160</v>
      </c>
    </row>
    <row r="68" spans="2:115" x14ac:dyDescent="0.25">
      <c r="B68" s="227" t="s">
        <v>544</v>
      </c>
      <c r="C68" s="276" t="s">
        <v>160</v>
      </c>
      <c r="D68" s="276" t="s">
        <v>160</v>
      </c>
      <c r="E68" s="276" t="s">
        <v>160</v>
      </c>
      <c r="F68" s="276" t="s">
        <v>160</v>
      </c>
      <c r="G68" s="276" t="s">
        <v>160</v>
      </c>
      <c r="H68" s="277">
        <v>121</v>
      </c>
      <c r="I68" s="277" t="s">
        <v>160</v>
      </c>
      <c r="J68" s="277" t="s">
        <v>160</v>
      </c>
      <c r="K68" s="277" t="s">
        <v>160</v>
      </c>
      <c r="L68" s="277" t="s">
        <v>160</v>
      </c>
      <c r="M68" s="277" t="s">
        <v>160</v>
      </c>
      <c r="N68" s="277" t="s">
        <v>160</v>
      </c>
      <c r="O68" s="277" t="s">
        <v>160</v>
      </c>
      <c r="P68" s="277" t="s">
        <v>160</v>
      </c>
      <c r="Q68" s="277" t="s">
        <v>160</v>
      </c>
      <c r="R68" s="349" t="s">
        <v>160</v>
      </c>
      <c r="S68" s="349" t="s">
        <v>160</v>
      </c>
      <c r="T68" s="349" t="s">
        <v>160</v>
      </c>
      <c r="U68" s="349" t="s">
        <v>160</v>
      </c>
      <c r="V68" s="349" t="s">
        <v>160</v>
      </c>
      <c r="W68" s="349" t="s">
        <v>160</v>
      </c>
      <c r="X68" s="349" t="s">
        <v>160</v>
      </c>
      <c r="Y68" s="349" t="s">
        <v>160</v>
      </c>
      <c r="Z68" s="349" t="s">
        <v>160</v>
      </c>
      <c r="AA68" s="349" t="s">
        <v>160</v>
      </c>
      <c r="AB68" s="349" t="s">
        <v>160</v>
      </c>
      <c r="AC68" s="349" t="s">
        <v>160</v>
      </c>
      <c r="AD68" s="349" t="s">
        <v>160</v>
      </c>
      <c r="AE68" s="349" t="s">
        <v>160</v>
      </c>
      <c r="AF68" s="349" t="s">
        <v>160</v>
      </c>
      <c r="AG68" s="703" t="s">
        <v>160</v>
      </c>
      <c r="AH68" s="703" t="s">
        <v>160</v>
      </c>
      <c r="AI68" s="703" t="s">
        <v>160</v>
      </c>
      <c r="AJ68" s="703" t="s">
        <v>160</v>
      </c>
      <c r="AK68" s="703" t="s">
        <v>160</v>
      </c>
      <c r="AL68" s="703" t="s">
        <v>160</v>
      </c>
      <c r="AM68" s="703" t="s">
        <v>160</v>
      </c>
      <c r="AN68" s="703" t="s">
        <v>160</v>
      </c>
      <c r="AO68" s="703" t="s">
        <v>160</v>
      </c>
      <c r="AP68" s="703" t="s">
        <v>160</v>
      </c>
      <c r="AQ68" s="703" t="s">
        <v>160</v>
      </c>
      <c r="AR68" s="703" t="s">
        <v>160</v>
      </c>
      <c r="AS68" s="703" t="s">
        <v>160</v>
      </c>
    </row>
    <row r="69" spans="2:115" x14ac:dyDescent="0.25">
      <c r="B69" s="117" t="s">
        <v>545</v>
      </c>
      <c r="C69" s="264" t="s">
        <v>160</v>
      </c>
      <c r="D69" s="264" t="s">
        <v>160</v>
      </c>
      <c r="E69" s="264" t="s">
        <v>160</v>
      </c>
      <c r="F69" s="264" t="s">
        <v>160</v>
      </c>
      <c r="G69" s="264" t="s">
        <v>160</v>
      </c>
      <c r="H69" s="265">
        <v>124</v>
      </c>
      <c r="I69" s="265">
        <v>124</v>
      </c>
      <c r="J69" s="265">
        <v>124</v>
      </c>
      <c r="K69" s="265">
        <v>124</v>
      </c>
      <c r="L69" s="265">
        <v>124</v>
      </c>
      <c r="M69" s="265">
        <v>124</v>
      </c>
      <c r="N69" s="265">
        <v>137</v>
      </c>
      <c r="O69" s="265">
        <v>137</v>
      </c>
      <c r="P69" s="265">
        <v>137</v>
      </c>
      <c r="Q69" s="342">
        <v>141</v>
      </c>
      <c r="R69" s="347">
        <v>141</v>
      </c>
      <c r="S69" s="347">
        <v>141</v>
      </c>
      <c r="T69" s="347">
        <v>141</v>
      </c>
      <c r="U69" s="347">
        <v>141</v>
      </c>
      <c r="V69" s="347">
        <f>+U69</f>
        <v>141</v>
      </c>
      <c r="W69" s="342">
        <v>164</v>
      </c>
      <c r="X69" s="347">
        <v>164</v>
      </c>
      <c r="Y69" s="347">
        <v>164</v>
      </c>
      <c r="Z69" s="341">
        <v>160</v>
      </c>
      <c r="AA69" s="585">
        <v>160</v>
      </c>
      <c r="AB69" s="585">
        <v>160</v>
      </c>
      <c r="AC69" s="585">
        <v>169</v>
      </c>
      <c r="AD69" s="679">
        <v>169</v>
      </c>
      <c r="AE69" s="585">
        <v>169</v>
      </c>
      <c r="AF69" s="679">
        <v>182</v>
      </c>
      <c r="AG69" s="679" t="s">
        <v>160</v>
      </c>
      <c r="AH69" s="679" t="s">
        <v>160</v>
      </c>
      <c r="AI69" s="679" t="s">
        <v>160</v>
      </c>
      <c r="AJ69" s="679" t="s">
        <v>160</v>
      </c>
      <c r="AK69" s="679" t="s">
        <v>160</v>
      </c>
      <c r="AL69" s="679" t="s">
        <v>160</v>
      </c>
      <c r="AM69" s="679" t="s">
        <v>160</v>
      </c>
      <c r="AN69" s="679" t="s">
        <v>160</v>
      </c>
      <c r="AO69" s="679" t="s">
        <v>160</v>
      </c>
      <c r="AP69" s="679" t="s">
        <v>160</v>
      </c>
      <c r="AQ69" s="679" t="s">
        <v>160</v>
      </c>
      <c r="AR69" s="679" t="s">
        <v>160</v>
      </c>
      <c r="AS69" s="679" t="s">
        <v>160</v>
      </c>
    </row>
    <row r="70" spans="2:115" x14ac:dyDescent="0.25">
      <c r="B70" s="117" t="s">
        <v>546</v>
      </c>
      <c r="C70" s="264" t="s">
        <v>160</v>
      </c>
      <c r="D70" s="264" t="s">
        <v>160</v>
      </c>
      <c r="E70" s="264" t="s">
        <v>160</v>
      </c>
      <c r="F70" s="264" t="s">
        <v>160</v>
      </c>
      <c r="G70" s="264" t="s">
        <v>160</v>
      </c>
      <c r="H70" s="265">
        <v>131</v>
      </c>
      <c r="I70" s="265">
        <v>131</v>
      </c>
      <c r="J70" s="265">
        <v>131</v>
      </c>
      <c r="K70" s="265">
        <v>131</v>
      </c>
      <c r="L70" s="265">
        <v>131</v>
      </c>
      <c r="M70" s="265">
        <v>131</v>
      </c>
      <c r="N70" s="265">
        <v>131</v>
      </c>
      <c r="O70" s="265">
        <v>131</v>
      </c>
      <c r="P70" s="265">
        <v>131</v>
      </c>
      <c r="Q70" s="265">
        <v>131</v>
      </c>
      <c r="R70" s="349">
        <v>131</v>
      </c>
      <c r="S70" s="349">
        <v>131</v>
      </c>
      <c r="T70" s="342">
        <v>173</v>
      </c>
      <c r="U70" s="585">
        <v>173</v>
      </c>
      <c r="V70" s="585">
        <v>173</v>
      </c>
      <c r="W70" s="585">
        <v>173</v>
      </c>
      <c r="X70" s="585">
        <v>173</v>
      </c>
      <c r="Y70" s="585">
        <v>173</v>
      </c>
      <c r="Z70" s="585">
        <v>173</v>
      </c>
      <c r="AA70" s="585">
        <v>173</v>
      </c>
      <c r="AB70" s="585">
        <v>173</v>
      </c>
      <c r="AC70" s="585">
        <v>173</v>
      </c>
      <c r="AD70" s="585">
        <v>173</v>
      </c>
      <c r="AE70" s="585">
        <v>173</v>
      </c>
      <c r="AF70" s="679">
        <v>190</v>
      </c>
      <c r="AG70" s="679" t="s">
        <v>160</v>
      </c>
      <c r="AH70" s="679" t="s">
        <v>160</v>
      </c>
      <c r="AI70" s="679" t="s">
        <v>160</v>
      </c>
      <c r="AJ70" s="679" t="s">
        <v>160</v>
      </c>
      <c r="AK70" s="679" t="s">
        <v>160</v>
      </c>
      <c r="AL70" s="679" t="s">
        <v>160</v>
      </c>
      <c r="AM70" s="679" t="s">
        <v>160</v>
      </c>
      <c r="AN70" s="679" t="s">
        <v>160</v>
      </c>
      <c r="AO70" s="679" t="s">
        <v>160</v>
      </c>
      <c r="AP70" s="679" t="s">
        <v>160</v>
      </c>
      <c r="AQ70" s="679" t="s">
        <v>160</v>
      </c>
      <c r="AR70" s="679" t="s">
        <v>160</v>
      </c>
      <c r="AS70" s="679" t="s">
        <v>160</v>
      </c>
    </row>
    <row r="71" spans="2:115" x14ac:dyDescent="0.25">
      <c r="B71" s="117" t="s">
        <v>574</v>
      </c>
      <c r="C71" s="264" t="s">
        <v>160</v>
      </c>
      <c r="D71" s="264" t="s">
        <v>160</v>
      </c>
      <c r="E71" s="264" t="s">
        <v>160</v>
      </c>
      <c r="F71" s="264" t="s">
        <v>160</v>
      </c>
      <c r="G71" s="264" t="s">
        <v>160</v>
      </c>
      <c r="H71" s="264" t="s">
        <v>160</v>
      </c>
      <c r="I71" s="264" t="s">
        <v>160</v>
      </c>
      <c r="J71" s="264" t="s">
        <v>160</v>
      </c>
      <c r="K71" s="264" t="s">
        <v>160</v>
      </c>
      <c r="L71" s="264" t="s">
        <v>160</v>
      </c>
      <c r="M71" s="264" t="s">
        <v>160</v>
      </c>
      <c r="N71" s="264" t="s">
        <v>160</v>
      </c>
      <c r="O71" s="265">
        <v>128</v>
      </c>
      <c r="P71" s="265">
        <v>128</v>
      </c>
      <c r="Q71" s="265">
        <v>128</v>
      </c>
      <c r="R71" s="343">
        <v>121</v>
      </c>
      <c r="S71" s="349">
        <v>121</v>
      </c>
      <c r="T71" s="349">
        <v>121</v>
      </c>
      <c r="U71" s="349">
        <v>121</v>
      </c>
      <c r="V71" s="349">
        <v>121</v>
      </c>
      <c r="W71" s="342">
        <v>180</v>
      </c>
      <c r="X71" s="585">
        <v>180</v>
      </c>
      <c r="Y71" s="585">
        <v>180</v>
      </c>
      <c r="Z71" s="585">
        <v>180</v>
      </c>
      <c r="AA71" s="585">
        <v>180</v>
      </c>
      <c r="AB71" s="585">
        <v>180</v>
      </c>
      <c r="AC71" s="585">
        <v>180</v>
      </c>
      <c r="AD71" s="585">
        <v>180</v>
      </c>
      <c r="AE71" s="585">
        <v>180</v>
      </c>
      <c r="AF71" s="585">
        <v>180</v>
      </c>
      <c r="AG71" s="679" t="s">
        <v>160</v>
      </c>
      <c r="AH71" s="679" t="s">
        <v>160</v>
      </c>
      <c r="AI71" s="679" t="s">
        <v>160</v>
      </c>
      <c r="AJ71" s="679" t="s">
        <v>160</v>
      </c>
      <c r="AK71" s="679" t="s">
        <v>160</v>
      </c>
      <c r="AL71" s="679" t="s">
        <v>160</v>
      </c>
      <c r="AM71" s="679" t="s">
        <v>160</v>
      </c>
      <c r="AN71" s="679" t="s">
        <v>160</v>
      </c>
      <c r="AO71" s="679" t="s">
        <v>160</v>
      </c>
      <c r="AP71" s="679" t="s">
        <v>160</v>
      </c>
      <c r="AQ71" s="679" t="s">
        <v>160</v>
      </c>
      <c r="AR71" s="679" t="s">
        <v>160</v>
      </c>
      <c r="AS71" s="679" t="s">
        <v>160</v>
      </c>
    </row>
    <row r="72" spans="2:115" x14ac:dyDescent="0.25">
      <c r="B72" s="117" t="s">
        <v>547</v>
      </c>
      <c r="C72" s="264" t="s">
        <v>160</v>
      </c>
      <c r="D72" s="264" t="s">
        <v>160</v>
      </c>
      <c r="E72" s="264" t="s">
        <v>160</v>
      </c>
      <c r="F72" s="264" t="s">
        <v>160</v>
      </c>
      <c r="G72" s="265">
        <v>149.9</v>
      </c>
      <c r="H72" s="265">
        <v>149.9</v>
      </c>
      <c r="I72" s="265">
        <v>149.9</v>
      </c>
      <c r="J72" s="265">
        <v>149.9</v>
      </c>
      <c r="K72" s="265">
        <v>149.9</v>
      </c>
      <c r="L72" s="341">
        <v>122</v>
      </c>
      <c r="M72" s="265">
        <v>122</v>
      </c>
      <c r="N72" s="265">
        <v>122</v>
      </c>
      <c r="O72" s="265">
        <v>122</v>
      </c>
      <c r="P72" s="265">
        <v>122</v>
      </c>
      <c r="Q72" s="342">
        <v>133</v>
      </c>
      <c r="R72" s="347">
        <v>133</v>
      </c>
      <c r="S72" s="347">
        <v>133</v>
      </c>
      <c r="T72" s="347">
        <v>133</v>
      </c>
      <c r="U72" s="347">
        <v>133</v>
      </c>
      <c r="V72" s="342">
        <v>156</v>
      </c>
      <c r="W72" s="585">
        <v>156</v>
      </c>
      <c r="X72" s="585">
        <v>156</v>
      </c>
      <c r="Y72" s="585">
        <v>156</v>
      </c>
      <c r="Z72" s="585">
        <v>156</v>
      </c>
      <c r="AA72" s="585">
        <v>156</v>
      </c>
      <c r="AB72" s="585">
        <v>156</v>
      </c>
      <c r="AC72" s="585">
        <v>156</v>
      </c>
      <c r="AD72" s="342">
        <v>174</v>
      </c>
      <c r="AE72" s="585">
        <v>174</v>
      </c>
      <c r="AF72" s="585">
        <v>174</v>
      </c>
      <c r="AG72" s="679" t="s">
        <v>160</v>
      </c>
      <c r="AH72" s="679" t="s">
        <v>160</v>
      </c>
      <c r="AI72" s="679" t="s">
        <v>160</v>
      </c>
      <c r="AJ72" s="679" t="s">
        <v>160</v>
      </c>
      <c r="AK72" s="679" t="s">
        <v>160</v>
      </c>
      <c r="AL72" s="679" t="s">
        <v>160</v>
      </c>
      <c r="AM72" s="679" t="s">
        <v>160</v>
      </c>
      <c r="AN72" s="679" t="s">
        <v>160</v>
      </c>
      <c r="AO72" s="679" t="s">
        <v>160</v>
      </c>
      <c r="AP72" s="679" t="s">
        <v>160</v>
      </c>
      <c r="AQ72" s="679" t="s">
        <v>160</v>
      </c>
      <c r="AR72" s="679" t="s">
        <v>160</v>
      </c>
      <c r="AS72" s="679" t="s">
        <v>160</v>
      </c>
    </row>
    <row r="73" spans="2:115" customFormat="1" ht="12.75" x14ac:dyDescent="0.2">
      <c r="B73" s="278" t="s">
        <v>557</v>
      </c>
      <c r="C73" s="327">
        <f t="shared" ref="C73:AL73" si="60">IFERROR(AVERAGE(C66:C72),"-")</f>
        <v>99</v>
      </c>
      <c r="D73" s="327">
        <f t="shared" si="60"/>
        <v>99</v>
      </c>
      <c r="E73" s="327">
        <f t="shared" si="60"/>
        <v>99</v>
      </c>
      <c r="F73" s="327">
        <f t="shared" si="60"/>
        <v>108</v>
      </c>
      <c r="G73" s="327">
        <f t="shared" si="60"/>
        <v>121.96666666666665</v>
      </c>
      <c r="H73" s="327">
        <f t="shared" si="60"/>
        <v>123.64999999999999</v>
      </c>
      <c r="I73" s="327">
        <f t="shared" si="60"/>
        <v>130.47499999999999</v>
      </c>
      <c r="J73" s="327">
        <f t="shared" si="60"/>
        <v>130.47499999999999</v>
      </c>
      <c r="K73" s="327">
        <f t="shared" si="60"/>
        <v>130.47499999999999</v>
      </c>
      <c r="L73" s="327">
        <f t="shared" si="60"/>
        <v>123.5</v>
      </c>
      <c r="M73" s="327">
        <f t="shared" si="60"/>
        <v>123.5</v>
      </c>
      <c r="N73" s="327">
        <f t="shared" si="60"/>
        <v>126.75</v>
      </c>
      <c r="O73" s="327">
        <f t="shared" si="60"/>
        <v>127</v>
      </c>
      <c r="P73" s="327">
        <f t="shared" si="60"/>
        <v>127</v>
      </c>
      <c r="Q73" s="327">
        <f t="shared" si="60"/>
        <v>133</v>
      </c>
      <c r="R73" s="350">
        <f t="shared" si="60"/>
        <v>131.6</v>
      </c>
      <c r="S73" s="350">
        <f t="shared" si="60"/>
        <v>131.6</v>
      </c>
      <c r="T73" s="350">
        <f t="shared" si="60"/>
        <v>140</v>
      </c>
      <c r="U73" s="350">
        <f t="shared" si="60"/>
        <v>148</v>
      </c>
      <c r="V73" s="350">
        <f t="shared" si="60"/>
        <v>152.6</v>
      </c>
      <c r="W73" s="350">
        <f t="shared" si="60"/>
        <v>169</v>
      </c>
      <c r="X73" s="350">
        <f t="shared" si="60"/>
        <v>169</v>
      </c>
      <c r="Y73" s="350">
        <f t="shared" si="60"/>
        <v>169</v>
      </c>
      <c r="Z73" s="350">
        <f t="shared" si="60"/>
        <v>168.2</v>
      </c>
      <c r="AA73" s="350">
        <f t="shared" si="60"/>
        <v>168.2</v>
      </c>
      <c r="AB73" s="350">
        <f t="shared" si="60"/>
        <v>168.2</v>
      </c>
      <c r="AC73" s="350">
        <f t="shared" si="60"/>
        <v>170</v>
      </c>
      <c r="AD73" s="350">
        <f t="shared" si="60"/>
        <v>173.6</v>
      </c>
      <c r="AE73" s="350">
        <f t="shared" si="60"/>
        <v>173.6</v>
      </c>
      <c r="AF73" s="350">
        <f t="shared" si="60"/>
        <v>179.6</v>
      </c>
      <c r="AG73" s="350" t="str">
        <f t="shared" si="60"/>
        <v>-</v>
      </c>
      <c r="AH73" s="350" t="str">
        <f t="shared" si="60"/>
        <v>-</v>
      </c>
      <c r="AI73" s="350" t="str">
        <f t="shared" si="60"/>
        <v>-</v>
      </c>
      <c r="AJ73" s="350" t="str">
        <f t="shared" si="60"/>
        <v>-</v>
      </c>
      <c r="AK73" s="350" t="str">
        <f t="shared" si="60"/>
        <v>-</v>
      </c>
      <c r="AL73" s="350" t="str">
        <f t="shared" si="60"/>
        <v>-</v>
      </c>
      <c r="AM73" s="350" t="str">
        <f t="shared" ref="AM73:AR73" si="61">IFERROR(AVERAGE(AM66:AM72),"-")</f>
        <v>-</v>
      </c>
      <c r="AN73" s="350" t="str">
        <f t="shared" si="61"/>
        <v>-</v>
      </c>
      <c r="AO73" s="350" t="str">
        <f t="shared" si="61"/>
        <v>-</v>
      </c>
      <c r="AP73" s="350" t="str">
        <f t="shared" si="61"/>
        <v>-</v>
      </c>
      <c r="AQ73" s="350" t="str">
        <f t="shared" si="61"/>
        <v>-</v>
      </c>
      <c r="AR73" s="350" t="str">
        <f t="shared" si="61"/>
        <v>-</v>
      </c>
      <c r="AS73" s="350" t="str">
        <f>IFERROR(AVERAGE(AS66:AS72),"-")</f>
        <v>-</v>
      </c>
      <c r="DG73" s="1150"/>
      <c r="DH73" s="1150"/>
      <c r="DI73" s="1150"/>
      <c r="DJ73" s="1150"/>
      <c r="DK73" s="1150"/>
    </row>
    <row r="74" spans="2:115" x14ac:dyDescent="0.25">
      <c r="X74" s="340"/>
      <c r="Y74" s="340"/>
      <c r="Z74" s="340"/>
      <c r="AA74" s="340"/>
      <c r="AB74" s="340"/>
      <c r="AC74" s="340"/>
      <c r="AD74" s="340"/>
      <c r="AE74" s="340"/>
      <c r="AF74" s="340"/>
      <c r="AG74" s="340"/>
      <c r="AH74" s="340"/>
      <c r="AI74" s="340"/>
      <c r="AJ74" s="340"/>
      <c r="AK74" s="340"/>
      <c r="AL74" s="340"/>
      <c r="AM74" s="340"/>
      <c r="AN74" s="340"/>
      <c r="AO74" s="340"/>
      <c r="AP74" s="340"/>
      <c r="AQ74" s="340"/>
      <c r="AR74" s="340"/>
      <c r="AS74" s="340"/>
    </row>
    <row r="75" spans="2:115" x14ac:dyDescent="0.25">
      <c r="B75" s="113" t="s">
        <v>549</v>
      </c>
      <c r="C75" s="263">
        <f t="shared" ref="C75:AS75" si="62">+C$117</f>
        <v>42522</v>
      </c>
      <c r="D75" s="263">
        <f t="shared" si="62"/>
        <v>42552</v>
      </c>
      <c r="E75" s="263">
        <f t="shared" si="62"/>
        <v>42583</v>
      </c>
      <c r="F75" s="263">
        <f t="shared" si="62"/>
        <v>42614</v>
      </c>
      <c r="G75" s="263">
        <f t="shared" si="62"/>
        <v>42644</v>
      </c>
      <c r="H75" s="263">
        <f t="shared" si="62"/>
        <v>42675</v>
      </c>
      <c r="I75" s="263">
        <f t="shared" si="62"/>
        <v>42705</v>
      </c>
      <c r="J75" s="263">
        <f t="shared" si="62"/>
        <v>42736</v>
      </c>
      <c r="K75" s="263">
        <f t="shared" si="62"/>
        <v>42767</v>
      </c>
      <c r="L75" s="263">
        <f t="shared" si="62"/>
        <v>42795</v>
      </c>
      <c r="M75" s="263">
        <f t="shared" si="62"/>
        <v>42826</v>
      </c>
      <c r="N75" s="263">
        <f t="shared" si="62"/>
        <v>42856</v>
      </c>
      <c r="O75" s="263">
        <f t="shared" si="62"/>
        <v>42887</v>
      </c>
      <c r="P75" s="263">
        <f t="shared" si="62"/>
        <v>42917</v>
      </c>
      <c r="Q75" s="263">
        <f t="shared" si="62"/>
        <v>42948</v>
      </c>
      <c r="R75" s="263">
        <f t="shared" si="62"/>
        <v>42979</v>
      </c>
      <c r="S75" s="263">
        <f t="shared" si="62"/>
        <v>43009</v>
      </c>
      <c r="T75" s="263">
        <f t="shared" si="62"/>
        <v>43040</v>
      </c>
      <c r="U75" s="263">
        <f t="shared" si="62"/>
        <v>43070</v>
      </c>
      <c r="V75" s="263">
        <f t="shared" si="62"/>
        <v>43101</v>
      </c>
      <c r="W75" s="263">
        <f t="shared" si="62"/>
        <v>43132</v>
      </c>
      <c r="X75" s="263">
        <f t="shared" si="62"/>
        <v>43160</v>
      </c>
      <c r="Y75" s="263">
        <f t="shared" si="62"/>
        <v>43191</v>
      </c>
      <c r="Z75" s="263">
        <f t="shared" si="62"/>
        <v>43221</v>
      </c>
      <c r="AA75" s="263">
        <f t="shared" si="62"/>
        <v>43252</v>
      </c>
      <c r="AB75" s="263">
        <f t="shared" si="62"/>
        <v>43283</v>
      </c>
      <c r="AC75" s="263">
        <f t="shared" si="62"/>
        <v>43314</v>
      </c>
      <c r="AD75" s="263">
        <f t="shared" si="62"/>
        <v>43345</v>
      </c>
      <c r="AE75" s="263">
        <f t="shared" si="62"/>
        <v>43376</v>
      </c>
      <c r="AF75" s="263">
        <f t="shared" si="62"/>
        <v>43407</v>
      </c>
      <c r="AG75" s="263">
        <f t="shared" si="62"/>
        <v>43437</v>
      </c>
      <c r="AH75" s="263">
        <f t="shared" si="62"/>
        <v>43468</v>
      </c>
      <c r="AI75" s="263">
        <f t="shared" si="62"/>
        <v>43499</v>
      </c>
      <c r="AJ75" s="263">
        <f t="shared" si="62"/>
        <v>43527</v>
      </c>
      <c r="AK75" s="263">
        <f t="shared" si="62"/>
        <v>43558</v>
      </c>
      <c r="AL75" s="263">
        <f t="shared" si="62"/>
        <v>43587</v>
      </c>
      <c r="AM75" s="263">
        <f t="shared" si="62"/>
        <v>43618</v>
      </c>
      <c r="AN75" s="263">
        <f t="shared" si="62"/>
        <v>43647</v>
      </c>
      <c r="AO75" s="263">
        <f t="shared" si="62"/>
        <v>43678</v>
      </c>
      <c r="AP75" s="263">
        <f t="shared" si="62"/>
        <v>43709</v>
      </c>
      <c r="AQ75" s="263">
        <f t="shared" si="62"/>
        <v>43739</v>
      </c>
      <c r="AR75" s="263">
        <f t="shared" si="62"/>
        <v>43770</v>
      </c>
      <c r="AS75" s="263">
        <f t="shared" si="62"/>
        <v>43800</v>
      </c>
    </row>
    <row r="76" spans="2:115" x14ac:dyDescent="0.25">
      <c r="B76" s="117" t="s">
        <v>542</v>
      </c>
      <c r="C76" s="264" t="s">
        <v>160</v>
      </c>
      <c r="D76" s="264" t="s">
        <v>160</v>
      </c>
      <c r="E76" s="264" t="s">
        <v>160</v>
      </c>
      <c r="F76" s="265">
        <v>45</v>
      </c>
      <c r="G76" s="265">
        <v>45</v>
      </c>
      <c r="H76" s="265">
        <v>45</v>
      </c>
      <c r="I76" s="265">
        <v>45</v>
      </c>
      <c r="J76" s="265">
        <v>45</v>
      </c>
      <c r="K76" s="265">
        <v>45</v>
      </c>
      <c r="L76" s="265">
        <v>45</v>
      </c>
      <c r="M76" s="265">
        <v>45</v>
      </c>
      <c r="N76" s="342">
        <v>46</v>
      </c>
      <c r="O76" s="265">
        <v>46</v>
      </c>
      <c r="P76" s="265">
        <v>46</v>
      </c>
      <c r="Q76" s="342">
        <v>59</v>
      </c>
      <c r="R76" s="347">
        <v>59</v>
      </c>
      <c r="S76" s="347">
        <v>59</v>
      </c>
      <c r="T76" s="347">
        <v>59</v>
      </c>
      <c r="U76" s="351">
        <v>85</v>
      </c>
      <c r="V76" s="586">
        <v>85</v>
      </c>
      <c r="W76" s="586">
        <v>85</v>
      </c>
      <c r="X76" s="586">
        <v>85</v>
      </c>
      <c r="Y76" s="586">
        <v>85</v>
      </c>
      <c r="Z76" s="586">
        <v>85</v>
      </c>
      <c r="AA76" s="586">
        <v>85</v>
      </c>
      <c r="AB76" s="586">
        <v>85</v>
      </c>
      <c r="AC76" s="586">
        <v>85</v>
      </c>
      <c r="AD76" s="586">
        <v>85</v>
      </c>
      <c r="AE76" s="586">
        <v>85</v>
      </c>
      <c r="AF76" s="586">
        <v>85</v>
      </c>
      <c r="AG76" s="679" t="s">
        <v>160</v>
      </c>
      <c r="AH76" s="703" t="s">
        <v>160</v>
      </c>
      <c r="AI76" s="703" t="s">
        <v>160</v>
      </c>
      <c r="AJ76" s="703" t="s">
        <v>160</v>
      </c>
      <c r="AK76" s="703" t="s">
        <v>160</v>
      </c>
      <c r="AL76" s="703" t="s">
        <v>160</v>
      </c>
      <c r="AM76" s="703" t="s">
        <v>160</v>
      </c>
      <c r="AN76" s="703" t="s">
        <v>160</v>
      </c>
      <c r="AO76" s="703" t="s">
        <v>160</v>
      </c>
      <c r="AP76" s="703" t="s">
        <v>160</v>
      </c>
      <c r="AQ76" s="703" t="s">
        <v>160</v>
      </c>
      <c r="AR76" s="703" t="s">
        <v>160</v>
      </c>
      <c r="AS76" s="703" t="s">
        <v>160</v>
      </c>
    </row>
    <row r="77" spans="2:115" x14ac:dyDescent="0.25">
      <c r="B77" s="227" t="s">
        <v>543</v>
      </c>
      <c r="C77" s="277">
        <v>36</v>
      </c>
      <c r="D77" s="277">
        <v>36</v>
      </c>
      <c r="E77" s="277">
        <v>36</v>
      </c>
      <c r="F77" s="277">
        <v>36</v>
      </c>
      <c r="G77" s="277">
        <v>36</v>
      </c>
      <c r="H77" s="277">
        <v>36</v>
      </c>
      <c r="I77" s="277" t="s">
        <v>160</v>
      </c>
      <c r="J77" s="277" t="s">
        <v>160</v>
      </c>
      <c r="K77" s="277" t="s">
        <v>160</v>
      </c>
      <c r="L77" s="277" t="s">
        <v>160</v>
      </c>
      <c r="M77" s="277" t="s">
        <v>160</v>
      </c>
      <c r="N77" s="277" t="s">
        <v>160</v>
      </c>
      <c r="O77" s="277" t="s">
        <v>160</v>
      </c>
      <c r="P77" s="277" t="s">
        <v>160</v>
      </c>
      <c r="Q77" s="277" t="s">
        <v>160</v>
      </c>
      <c r="R77" s="349" t="s">
        <v>160</v>
      </c>
      <c r="S77" s="349" t="s">
        <v>160</v>
      </c>
      <c r="T77" s="349" t="s">
        <v>160</v>
      </c>
      <c r="U77" s="349" t="s">
        <v>160</v>
      </c>
      <c r="V77" s="349" t="s">
        <v>160</v>
      </c>
      <c r="W77" s="349" t="s">
        <v>160</v>
      </c>
      <c r="X77" s="349" t="s">
        <v>160</v>
      </c>
      <c r="Y77" s="349" t="s">
        <v>160</v>
      </c>
      <c r="Z77" s="349" t="s">
        <v>160</v>
      </c>
      <c r="AA77" s="349" t="s">
        <v>160</v>
      </c>
      <c r="AB77" s="349" t="s">
        <v>160</v>
      </c>
      <c r="AC77" s="349" t="s">
        <v>160</v>
      </c>
      <c r="AD77" s="349" t="s">
        <v>160</v>
      </c>
      <c r="AE77" s="349" t="s">
        <v>160</v>
      </c>
      <c r="AF77" s="349" t="s">
        <v>160</v>
      </c>
      <c r="AG77" s="703" t="s">
        <v>160</v>
      </c>
      <c r="AH77" s="703" t="s">
        <v>160</v>
      </c>
      <c r="AI77" s="703" t="s">
        <v>160</v>
      </c>
      <c r="AJ77" s="703" t="s">
        <v>160</v>
      </c>
      <c r="AK77" s="703" t="s">
        <v>160</v>
      </c>
      <c r="AL77" s="703" t="s">
        <v>160</v>
      </c>
      <c r="AM77" s="703" t="s">
        <v>160</v>
      </c>
      <c r="AN77" s="703" t="s">
        <v>160</v>
      </c>
      <c r="AO77" s="703" t="s">
        <v>160</v>
      </c>
      <c r="AP77" s="703" t="s">
        <v>160</v>
      </c>
      <c r="AQ77" s="703" t="s">
        <v>160</v>
      </c>
      <c r="AR77" s="703" t="s">
        <v>160</v>
      </c>
      <c r="AS77" s="703" t="s">
        <v>160</v>
      </c>
    </row>
    <row r="78" spans="2:115" x14ac:dyDescent="0.25">
      <c r="B78" s="227" t="s">
        <v>544</v>
      </c>
      <c r="C78" s="276" t="s">
        <v>160</v>
      </c>
      <c r="D78" s="276" t="s">
        <v>160</v>
      </c>
      <c r="E78" s="276" t="s">
        <v>160</v>
      </c>
      <c r="F78" s="276" t="s">
        <v>160</v>
      </c>
      <c r="G78" s="276" t="s">
        <v>160</v>
      </c>
      <c r="H78" s="277">
        <v>53</v>
      </c>
      <c r="I78" s="277" t="s">
        <v>160</v>
      </c>
      <c r="J78" s="277" t="s">
        <v>160</v>
      </c>
      <c r="K78" s="277" t="s">
        <v>160</v>
      </c>
      <c r="L78" s="277" t="s">
        <v>160</v>
      </c>
      <c r="M78" s="277" t="s">
        <v>160</v>
      </c>
      <c r="N78" s="277" t="s">
        <v>160</v>
      </c>
      <c r="O78" s="277" t="s">
        <v>160</v>
      </c>
      <c r="P78" s="277" t="s">
        <v>160</v>
      </c>
      <c r="Q78" s="277" t="s">
        <v>160</v>
      </c>
      <c r="R78" s="349" t="s">
        <v>160</v>
      </c>
      <c r="S78" s="349" t="s">
        <v>160</v>
      </c>
      <c r="T78" s="349" t="s">
        <v>160</v>
      </c>
      <c r="U78" s="349" t="s">
        <v>160</v>
      </c>
      <c r="V78" s="349" t="s">
        <v>160</v>
      </c>
      <c r="W78" s="349" t="s">
        <v>160</v>
      </c>
      <c r="X78" s="349" t="s">
        <v>160</v>
      </c>
      <c r="Y78" s="349" t="s">
        <v>160</v>
      </c>
      <c r="Z78" s="349" t="s">
        <v>160</v>
      </c>
      <c r="AA78" s="349" t="s">
        <v>160</v>
      </c>
      <c r="AB78" s="349" t="s">
        <v>160</v>
      </c>
      <c r="AC78" s="349" t="s">
        <v>160</v>
      </c>
      <c r="AD78" s="349" t="s">
        <v>160</v>
      </c>
      <c r="AE78" s="349" t="s">
        <v>160</v>
      </c>
      <c r="AF78" s="349" t="s">
        <v>160</v>
      </c>
      <c r="AG78" s="703" t="s">
        <v>160</v>
      </c>
      <c r="AH78" s="703" t="s">
        <v>160</v>
      </c>
      <c r="AI78" s="703" t="s">
        <v>160</v>
      </c>
      <c r="AJ78" s="703" t="s">
        <v>160</v>
      </c>
      <c r="AK78" s="703" t="s">
        <v>160</v>
      </c>
      <c r="AL78" s="703" t="s">
        <v>160</v>
      </c>
      <c r="AM78" s="703" t="s">
        <v>160</v>
      </c>
      <c r="AN78" s="703" t="s">
        <v>160</v>
      </c>
      <c r="AO78" s="703" t="s">
        <v>160</v>
      </c>
      <c r="AP78" s="703" t="s">
        <v>160</v>
      </c>
      <c r="AQ78" s="703" t="s">
        <v>160</v>
      </c>
      <c r="AR78" s="703" t="s">
        <v>160</v>
      </c>
      <c r="AS78" s="703" t="s">
        <v>160</v>
      </c>
    </row>
    <row r="79" spans="2:115" x14ac:dyDescent="0.25">
      <c r="B79" s="117" t="s">
        <v>545</v>
      </c>
      <c r="C79" s="264" t="s">
        <v>160</v>
      </c>
      <c r="D79" s="264" t="s">
        <v>160</v>
      </c>
      <c r="E79" s="264" t="s">
        <v>160</v>
      </c>
      <c r="F79" s="264" t="s">
        <v>160</v>
      </c>
      <c r="G79" s="264" t="s">
        <v>160</v>
      </c>
      <c r="H79" s="265">
        <v>43</v>
      </c>
      <c r="I79" s="265">
        <v>43</v>
      </c>
      <c r="J79" s="265">
        <v>43</v>
      </c>
      <c r="K79" s="265">
        <v>43</v>
      </c>
      <c r="L79" s="265">
        <v>43</v>
      </c>
      <c r="M79" s="265">
        <v>43</v>
      </c>
      <c r="N79" s="342">
        <v>58</v>
      </c>
      <c r="O79" s="265">
        <v>58</v>
      </c>
      <c r="P79" s="265">
        <v>58</v>
      </c>
      <c r="Q79" s="342">
        <v>62</v>
      </c>
      <c r="R79" s="347">
        <v>62</v>
      </c>
      <c r="S79" s="347">
        <v>62</v>
      </c>
      <c r="T79" s="347">
        <v>62</v>
      </c>
      <c r="U79" s="347">
        <v>62</v>
      </c>
      <c r="V79" s="351">
        <f>+U79</f>
        <v>62</v>
      </c>
      <c r="W79" s="347">
        <v>83.6</v>
      </c>
      <c r="X79" s="347">
        <v>83.6</v>
      </c>
      <c r="Y79" s="347">
        <v>83.6</v>
      </c>
      <c r="Z79" s="347">
        <v>83</v>
      </c>
      <c r="AA79" s="347">
        <v>83</v>
      </c>
      <c r="AB79" s="347">
        <v>83</v>
      </c>
      <c r="AC79" s="347">
        <v>83</v>
      </c>
      <c r="AD79" s="347">
        <v>83</v>
      </c>
      <c r="AE79" s="347">
        <v>83</v>
      </c>
      <c r="AF79" s="679">
        <v>103</v>
      </c>
      <c r="AG79" s="703" t="s">
        <v>160</v>
      </c>
      <c r="AH79" s="703" t="s">
        <v>160</v>
      </c>
      <c r="AI79" s="703" t="s">
        <v>160</v>
      </c>
      <c r="AJ79" s="703" t="s">
        <v>160</v>
      </c>
      <c r="AK79" s="703" t="s">
        <v>160</v>
      </c>
      <c r="AL79" s="703" t="s">
        <v>160</v>
      </c>
      <c r="AM79" s="703" t="s">
        <v>160</v>
      </c>
      <c r="AN79" s="703" t="s">
        <v>160</v>
      </c>
      <c r="AO79" s="703" t="s">
        <v>160</v>
      </c>
      <c r="AP79" s="703" t="s">
        <v>160</v>
      </c>
      <c r="AQ79" s="703" t="s">
        <v>160</v>
      </c>
      <c r="AR79" s="703" t="s">
        <v>160</v>
      </c>
      <c r="AS79" s="703" t="s">
        <v>160</v>
      </c>
    </row>
    <row r="80" spans="2:115" x14ac:dyDescent="0.25">
      <c r="B80" s="117" t="s">
        <v>546</v>
      </c>
      <c r="C80" s="264" t="s">
        <v>160</v>
      </c>
      <c r="D80" s="264" t="s">
        <v>160</v>
      </c>
      <c r="E80" s="264" t="s">
        <v>160</v>
      </c>
      <c r="F80" s="264" t="s">
        <v>160</v>
      </c>
      <c r="G80" s="264" t="s">
        <v>160</v>
      </c>
      <c r="H80" s="265">
        <v>54</v>
      </c>
      <c r="I80" s="265">
        <v>54</v>
      </c>
      <c r="J80" s="265">
        <v>54</v>
      </c>
      <c r="K80" s="265">
        <v>54</v>
      </c>
      <c r="L80" s="265">
        <v>54</v>
      </c>
      <c r="M80" s="265">
        <v>54</v>
      </c>
      <c r="N80" s="265">
        <v>54</v>
      </c>
      <c r="O80" s="265">
        <v>54</v>
      </c>
      <c r="P80" s="265">
        <v>54</v>
      </c>
      <c r="Q80" s="265">
        <v>54</v>
      </c>
      <c r="R80" s="349">
        <v>54</v>
      </c>
      <c r="S80" s="349">
        <v>54</v>
      </c>
      <c r="T80" s="351">
        <v>89</v>
      </c>
      <c r="U80" s="586">
        <v>89</v>
      </c>
      <c r="V80" s="586">
        <v>89</v>
      </c>
      <c r="W80" s="586">
        <v>89</v>
      </c>
      <c r="X80" s="586">
        <v>89</v>
      </c>
      <c r="Y80" s="586">
        <v>89</v>
      </c>
      <c r="Z80" s="586">
        <v>89</v>
      </c>
      <c r="AA80" s="586">
        <v>89</v>
      </c>
      <c r="AB80" s="586">
        <v>89</v>
      </c>
      <c r="AC80" s="586">
        <v>89</v>
      </c>
      <c r="AD80" s="586">
        <v>89</v>
      </c>
      <c r="AE80" s="586">
        <v>89</v>
      </c>
      <c r="AF80" s="679">
        <v>111</v>
      </c>
      <c r="AG80" s="703" t="s">
        <v>160</v>
      </c>
      <c r="AH80" s="703" t="s">
        <v>160</v>
      </c>
      <c r="AI80" s="703" t="s">
        <v>160</v>
      </c>
      <c r="AJ80" s="703" t="s">
        <v>160</v>
      </c>
      <c r="AK80" s="703" t="s">
        <v>160</v>
      </c>
      <c r="AL80" s="703" t="s">
        <v>160</v>
      </c>
      <c r="AM80" s="703" t="s">
        <v>160</v>
      </c>
      <c r="AN80" s="703" t="s">
        <v>160</v>
      </c>
      <c r="AO80" s="703" t="s">
        <v>160</v>
      </c>
      <c r="AP80" s="703" t="s">
        <v>160</v>
      </c>
      <c r="AQ80" s="703" t="s">
        <v>160</v>
      </c>
      <c r="AR80" s="703" t="s">
        <v>160</v>
      </c>
      <c r="AS80" s="703" t="s">
        <v>160</v>
      </c>
    </row>
    <row r="81" spans="2:115" x14ac:dyDescent="0.25">
      <c r="B81" s="117" t="s">
        <v>574</v>
      </c>
      <c r="C81" s="264" t="s">
        <v>160</v>
      </c>
      <c r="D81" s="264" t="s">
        <v>160</v>
      </c>
      <c r="E81" s="264" t="s">
        <v>160</v>
      </c>
      <c r="F81" s="264" t="s">
        <v>160</v>
      </c>
      <c r="G81" s="264" t="s">
        <v>160</v>
      </c>
      <c r="H81" s="264" t="s">
        <v>160</v>
      </c>
      <c r="I81" s="264" t="s">
        <v>160</v>
      </c>
      <c r="J81" s="264" t="s">
        <v>160</v>
      </c>
      <c r="K81" s="264" t="s">
        <v>160</v>
      </c>
      <c r="L81" s="264" t="s">
        <v>160</v>
      </c>
      <c r="M81" s="264" t="s">
        <v>160</v>
      </c>
      <c r="N81" s="264" t="s">
        <v>160</v>
      </c>
      <c r="O81" s="265">
        <v>54</v>
      </c>
      <c r="P81" s="265">
        <v>54</v>
      </c>
      <c r="Q81" s="265">
        <v>54</v>
      </c>
      <c r="R81" s="351">
        <v>67</v>
      </c>
      <c r="S81" s="349">
        <v>67</v>
      </c>
      <c r="T81" s="349">
        <v>67</v>
      </c>
      <c r="U81" s="349">
        <v>67</v>
      </c>
      <c r="V81" s="349">
        <v>67</v>
      </c>
      <c r="W81" s="351">
        <v>89</v>
      </c>
      <c r="X81" s="586">
        <v>89</v>
      </c>
      <c r="Y81" s="586">
        <v>89</v>
      </c>
      <c r="Z81" s="586">
        <v>89</v>
      </c>
      <c r="AA81" s="586">
        <v>89</v>
      </c>
      <c r="AB81" s="586">
        <v>89</v>
      </c>
      <c r="AC81" s="586">
        <v>89</v>
      </c>
      <c r="AD81" s="586">
        <v>89</v>
      </c>
      <c r="AE81" s="586">
        <v>89</v>
      </c>
      <c r="AF81" s="586">
        <v>89</v>
      </c>
      <c r="AG81" s="703" t="s">
        <v>160</v>
      </c>
      <c r="AH81" s="703" t="s">
        <v>160</v>
      </c>
      <c r="AI81" s="703" t="s">
        <v>160</v>
      </c>
      <c r="AJ81" s="703" t="s">
        <v>160</v>
      </c>
      <c r="AK81" s="703" t="s">
        <v>160</v>
      </c>
      <c r="AL81" s="703" t="s">
        <v>160</v>
      </c>
      <c r="AM81" s="703" t="s">
        <v>160</v>
      </c>
      <c r="AN81" s="703" t="s">
        <v>160</v>
      </c>
      <c r="AO81" s="703" t="s">
        <v>160</v>
      </c>
      <c r="AP81" s="703" t="s">
        <v>160</v>
      </c>
      <c r="AQ81" s="703" t="s">
        <v>160</v>
      </c>
      <c r="AR81" s="703" t="s">
        <v>160</v>
      </c>
      <c r="AS81" s="703" t="s">
        <v>160</v>
      </c>
    </row>
    <row r="82" spans="2:115" x14ac:dyDescent="0.25">
      <c r="B82" s="117" t="s">
        <v>547</v>
      </c>
      <c r="C82" s="264" t="s">
        <v>160</v>
      </c>
      <c r="D82" s="264" t="s">
        <v>160</v>
      </c>
      <c r="E82" s="264" t="s">
        <v>160</v>
      </c>
      <c r="F82" s="264" t="s">
        <v>160</v>
      </c>
      <c r="G82" s="265">
        <v>57.7</v>
      </c>
      <c r="H82" s="265">
        <v>57.7</v>
      </c>
      <c r="I82" s="265">
        <v>57.7</v>
      </c>
      <c r="J82" s="265">
        <v>57.7</v>
      </c>
      <c r="K82" s="265">
        <v>57.7</v>
      </c>
      <c r="L82" s="341">
        <v>42</v>
      </c>
      <c r="M82" s="265">
        <v>42</v>
      </c>
      <c r="N82" s="265">
        <v>42</v>
      </c>
      <c r="O82" s="265">
        <v>42</v>
      </c>
      <c r="P82" s="265">
        <v>42</v>
      </c>
      <c r="Q82" s="342">
        <v>60</v>
      </c>
      <c r="R82" s="347">
        <v>60</v>
      </c>
      <c r="S82" s="347">
        <v>60</v>
      </c>
      <c r="T82" s="347">
        <v>60</v>
      </c>
      <c r="U82" s="347">
        <v>60</v>
      </c>
      <c r="V82" s="351">
        <v>79</v>
      </c>
      <c r="W82" s="586">
        <v>79</v>
      </c>
      <c r="X82" s="586">
        <v>79</v>
      </c>
      <c r="Y82" s="586">
        <v>79</v>
      </c>
      <c r="Z82" s="586">
        <v>79</v>
      </c>
      <c r="AA82" s="586">
        <v>79</v>
      </c>
      <c r="AB82" s="586">
        <v>79</v>
      </c>
      <c r="AC82" s="586">
        <v>79</v>
      </c>
      <c r="AD82" s="351">
        <v>103</v>
      </c>
      <c r="AE82" s="586">
        <v>103</v>
      </c>
      <c r="AF82" s="586">
        <v>103</v>
      </c>
      <c r="AG82" s="703" t="s">
        <v>160</v>
      </c>
      <c r="AH82" s="703" t="s">
        <v>160</v>
      </c>
      <c r="AI82" s="703" t="s">
        <v>160</v>
      </c>
      <c r="AJ82" s="703" t="s">
        <v>160</v>
      </c>
      <c r="AK82" s="703" t="s">
        <v>160</v>
      </c>
      <c r="AL82" s="703" t="s">
        <v>160</v>
      </c>
      <c r="AM82" s="703" t="s">
        <v>160</v>
      </c>
      <c r="AN82" s="703" t="s">
        <v>160</v>
      </c>
      <c r="AO82" s="703" t="s">
        <v>160</v>
      </c>
      <c r="AP82" s="703" t="s">
        <v>160</v>
      </c>
      <c r="AQ82" s="703" t="s">
        <v>160</v>
      </c>
      <c r="AR82" s="703" t="s">
        <v>160</v>
      </c>
      <c r="AS82" s="703" t="s">
        <v>160</v>
      </c>
    </row>
    <row r="83" spans="2:115" customFormat="1" ht="12.75" x14ac:dyDescent="0.2">
      <c r="B83" s="278" t="s">
        <v>557</v>
      </c>
      <c r="C83" s="327">
        <f t="shared" ref="C83:AF83" si="63">IFERROR(AVERAGE(C76:C82),"-")</f>
        <v>36</v>
      </c>
      <c r="D83" s="327">
        <f t="shared" si="63"/>
        <v>36</v>
      </c>
      <c r="E83" s="327">
        <f t="shared" si="63"/>
        <v>36</v>
      </c>
      <c r="F83" s="327">
        <f t="shared" si="63"/>
        <v>40.5</v>
      </c>
      <c r="G83" s="327">
        <f t="shared" si="63"/>
        <v>46.233333333333327</v>
      </c>
      <c r="H83" s="327">
        <f t="shared" si="63"/>
        <v>48.116666666666667</v>
      </c>
      <c r="I83" s="327">
        <f t="shared" si="63"/>
        <v>49.924999999999997</v>
      </c>
      <c r="J83" s="327">
        <f t="shared" si="63"/>
        <v>49.924999999999997</v>
      </c>
      <c r="K83" s="327">
        <f t="shared" si="63"/>
        <v>49.924999999999997</v>
      </c>
      <c r="L83" s="327">
        <f t="shared" si="63"/>
        <v>46</v>
      </c>
      <c r="M83" s="327">
        <f t="shared" si="63"/>
        <v>46</v>
      </c>
      <c r="N83" s="327">
        <f t="shared" si="63"/>
        <v>50</v>
      </c>
      <c r="O83" s="327">
        <f t="shared" si="63"/>
        <v>50.8</v>
      </c>
      <c r="P83" s="327">
        <f t="shared" si="63"/>
        <v>50.8</v>
      </c>
      <c r="Q83" s="327">
        <f t="shared" si="63"/>
        <v>57.8</v>
      </c>
      <c r="R83" s="350">
        <f t="shared" si="63"/>
        <v>60.4</v>
      </c>
      <c r="S83" s="350">
        <f t="shared" si="63"/>
        <v>60.4</v>
      </c>
      <c r="T83" s="350">
        <f t="shared" si="63"/>
        <v>67.400000000000006</v>
      </c>
      <c r="U83" s="350">
        <f t="shared" si="63"/>
        <v>72.599999999999994</v>
      </c>
      <c r="V83" s="350">
        <f t="shared" si="63"/>
        <v>76.400000000000006</v>
      </c>
      <c r="W83" s="350">
        <f t="shared" si="63"/>
        <v>85.12</v>
      </c>
      <c r="X83" s="350">
        <f t="shared" si="63"/>
        <v>85.12</v>
      </c>
      <c r="Y83" s="350">
        <f t="shared" si="63"/>
        <v>85.12</v>
      </c>
      <c r="Z83" s="350">
        <f t="shared" si="63"/>
        <v>85</v>
      </c>
      <c r="AA83" s="350">
        <f t="shared" si="63"/>
        <v>85</v>
      </c>
      <c r="AB83" s="350">
        <f t="shared" si="63"/>
        <v>85</v>
      </c>
      <c r="AC83" s="350">
        <f t="shared" si="63"/>
        <v>85</v>
      </c>
      <c r="AD83" s="350">
        <f t="shared" si="63"/>
        <v>89.8</v>
      </c>
      <c r="AE83" s="350">
        <f t="shared" si="63"/>
        <v>89.8</v>
      </c>
      <c r="AF83" s="350">
        <f t="shared" si="63"/>
        <v>98.2</v>
      </c>
      <c r="AG83" s="350" t="str">
        <f t="shared" ref="AG83:AL83" si="64">IFERROR(AVERAGE(AG76:AG82),"-")</f>
        <v>-</v>
      </c>
      <c r="AH83" s="350" t="str">
        <f t="shared" si="64"/>
        <v>-</v>
      </c>
      <c r="AI83" s="350" t="str">
        <f t="shared" si="64"/>
        <v>-</v>
      </c>
      <c r="AJ83" s="350" t="str">
        <f t="shared" si="64"/>
        <v>-</v>
      </c>
      <c r="AK83" s="350" t="str">
        <f t="shared" si="64"/>
        <v>-</v>
      </c>
      <c r="AL83" s="350" t="str">
        <f t="shared" si="64"/>
        <v>-</v>
      </c>
      <c r="AM83" s="350" t="str">
        <f t="shared" ref="AM83:AR83" si="65">IFERROR(AVERAGE(AM76:AM82),"-")</f>
        <v>-</v>
      </c>
      <c r="AN83" s="350" t="str">
        <f t="shared" si="65"/>
        <v>-</v>
      </c>
      <c r="AO83" s="350" t="str">
        <f t="shared" si="65"/>
        <v>-</v>
      </c>
      <c r="AP83" s="350" t="str">
        <f t="shared" si="65"/>
        <v>-</v>
      </c>
      <c r="AQ83" s="350" t="str">
        <f t="shared" si="65"/>
        <v>-</v>
      </c>
      <c r="AR83" s="350" t="str">
        <f t="shared" si="65"/>
        <v>-</v>
      </c>
      <c r="AS83" s="350" t="str">
        <f>IFERROR(AVERAGE(AS76:AS82),"-")</f>
        <v>-</v>
      </c>
      <c r="DG83" s="1150"/>
      <c r="DH83" s="1150"/>
      <c r="DI83" s="1150"/>
      <c r="DJ83" s="1150"/>
      <c r="DK83" s="1150"/>
    </row>
    <row r="84" spans="2:115" x14ac:dyDescent="0.25">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row>
    <row r="85" spans="2:115" x14ac:dyDescent="0.25">
      <c r="B85" s="113" t="s">
        <v>769</v>
      </c>
      <c r="C85" s="263">
        <f t="shared" ref="C85:AS85" si="66">+C$117</f>
        <v>42522</v>
      </c>
      <c r="D85" s="263">
        <f t="shared" si="66"/>
        <v>42552</v>
      </c>
      <c r="E85" s="263">
        <f t="shared" si="66"/>
        <v>42583</v>
      </c>
      <c r="F85" s="263">
        <f t="shared" si="66"/>
        <v>42614</v>
      </c>
      <c r="G85" s="263">
        <f t="shared" si="66"/>
        <v>42644</v>
      </c>
      <c r="H85" s="263">
        <f t="shared" si="66"/>
        <v>42675</v>
      </c>
      <c r="I85" s="263">
        <f t="shared" si="66"/>
        <v>42705</v>
      </c>
      <c r="J85" s="263">
        <f t="shared" si="66"/>
        <v>42736</v>
      </c>
      <c r="K85" s="263">
        <f t="shared" si="66"/>
        <v>42767</v>
      </c>
      <c r="L85" s="263">
        <f t="shared" si="66"/>
        <v>42795</v>
      </c>
      <c r="M85" s="263">
        <f t="shared" si="66"/>
        <v>42826</v>
      </c>
      <c r="N85" s="263">
        <f t="shared" si="66"/>
        <v>42856</v>
      </c>
      <c r="O85" s="263">
        <f t="shared" si="66"/>
        <v>42887</v>
      </c>
      <c r="P85" s="263">
        <f t="shared" si="66"/>
        <v>42917</v>
      </c>
      <c r="Q85" s="263">
        <f t="shared" si="66"/>
        <v>42948</v>
      </c>
      <c r="R85" s="263">
        <f t="shared" si="66"/>
        <v>42979</v>
      </c>
      <c r="S85" s="263">
        <f t="shared" si="66"/>
        <v>43009</v>
      </c>
      <c r="T85" s="263">
        <f t="shared" si="66"/>
        <v>43040</v>
      </c>
      <c r="U85" s="263">
        <f t="shared" si="66"/>
        <v>43070</v>
      </c>
      <c r="V85" s="263">
        <f t="shared" si="66"/>
        <v>43101</v>
      </c>
      <c r="W85" s="263">
        <f t="shared" si="66"/>
        <v>43132</v>
      </c>
      <c r="X85" s="263">
        <f t="shared" si="66"/>
        <v>43160</v>
      </c>
      <c r="Y85" s="263">
        <f t="shared" si="66"/>
        <v>43191</v>
      </c>
      <c r="Z85" s="263">
        <f t="shared" si="66"/>
        <v>43221</v>
      </c>
      <c r="AA85" s="263">
        <f t="shared" si="66"/>
        <v>43252</v>
      </c>
      <c r="AB85" s="263">
        <f t="shared" si="66"/>
        <v>43283</v>
      </c>
      <c r="AC85" s="263">
        <f t="shared" si="66"/>
        <v>43314</v>
      </c>
      <c r="AD85" s="263">
        <f t="shared" si="66"/>
        <v>43345</v>
      </c>
      <c r="AE85" s="263">
        <f t="shared" si="66"/>
        <v>43376</v>
      </c>
      <c r="AF85" s="263">
        <f t="shared" si="66"/>
        <v>43407</v>
      </c>
      <c r="AG85" s="263">
        <f t="shared" si="66"/>
        <v>43437</v>
      </c>
      <c r="AH85" s="263">
        <f t="shared" si="66"/>
        <v>43468</v>
      </c>
      <c r="AI85" s="263">
        <f t="shared" si="66"/>
        <v>43499</v>
      </c>
      <c r="AJ85" s="263">
        <f t="shared" si="66"/>
        <v>43527</v>
      </c>
      <c r="AK85" s="263">
        <f t="shared" si="66"/>
        <v>43558</v>
      </c>
      <c r="AL85" s="263">
        <f t="shared" si="66"/>
        <v>43587</v>
      </c>
      <c r="AM85" s="263">
        <f t="shared" si="66"/>
        <v>43618</v>
      </c>
      <c r="AN85" s="263">
        <f t="shared" si="66"/>
        <v>43647</v>
      </c>
      <c r="AO85" s="263">
        <f t="shared" si="66"/>
        <v>43678</v>
      </c>
      <c r="AP85" s="263">
        <f t="shared" si="66"/>
        <v>43709</v>
      </c>
      <c r="AQ85" s="263">
        <f t="shared" si="66"/>
        <v>43739</v>
      </c>
      <c r="AR85" s="263">
        <f t="shared" si="66"/>
        <v>43770</v>
      </c>
      <c r="AS85" s="263">
        <f t="shared" si="66"/>
        <v>43800</v>
      </c>
    </row>
    <row r="86" spans="2:115" x14ac:dyDescent="0.25">
      <c r="B86" s="117" t="s">
        <v>542</v>
      </c>
      <c r="C86" s="264" t="s">
        <v>160</v>
      </c>
      <c r="D86" s="264" t="s">
        <v>160</v>
      </c>
      <c r="E86" s="264" t="s">
        <v>160</v>
      </c>
      <c r="F86" s="264" t="s">
        <v>160</v>
      </c>
      <c r="G86" s="264" t="s">
        <v>160</v>
      </c>
      <c r="H86" s="264" t="s">
        <v>160</v>
      </c>
      <c r="I86" s="264" t="s">
        <v>160</v>
      </c>
      <c r="J86" s="264" t="s">
        <v>160</v>
      </c>
      <c r="K86" s="264" t="s">
        <v>160</v>
      </c>
      <c r="L86" s="264" t="s">
        <v>160</v>
      </c>
      <c r="M86" s="264" t="s">
        <v>160</v>
      </c>
      <c r="N86" s="264" t="s">
        <v>160</v>
      </c>
      <c r="O86" s="264" t="s">
        <v>160</v>
      </c>
      <c r="P86" s="264" t="s">
        <v>160</v>
      </c>
      <c r="Q86" s="264" t="s">
        <v>160</v>
      </c>
      <c r="R86" s="264" t="s">
        <v>160</v>
      </c>
      <c r="S86" s="264" t="s">
        <v>160</v>
      </c>
      <c r="T86" s="264" t="s">
        <v>160</v>
      </c>
      <c r="U86" s="675" t="s">
        <v>160</v>
      </c>
      <c r="V86" s="675" t="s">
        <v>160</v>
      </c>
      <c r="W86" s="675" t="s">
        <v>160</v>
      </c>
      <c r="X86" s="675" t="s">
        <v>160</v>
      </c>
      <c r="Y86" s="675" t="s">
        <v>160</v>
      </c>
      <c r="Z86" s="675" t="s">
        <v>160</v>
      </c>
      <c r="AA86" s="675" t="s">
        <v>160</v>
      </c>
      <c r="AB86" s="675" t="s">
        <v>160</v>
      </c>
      <c r="AC86" s="675" t="s">
        <v>160</v>
      </c>
      <c r="AD86" s="675" t="s">
        <v>160</v>
      </c>
      <c r="AE86" s="675" t="s">
        <v>160</v>
      </c>
      <c r="AF86" s="675" t="s">
        <v>160</v>
      </c>
      <c r="AG86" s="675">
        <v>32</v>
      </c>
      <c r="AH86" s="675">
        <v>32</v>
      </c>
      <c r="AI86" s="675">
        <v>32</v>
      </c>
      <c r="AJ86" s="675">
        <v>32</v>
      </c>
      <c r="AK86" s="675">
        <v>32</v>
      </c>
      <c r="AL86" s="675">
        <v>32</v>
      </c>
      <c r="AM86" s="675">
        <v>32</v>
      </c>
      <c r="AN86" s="675">
        <v>32</v>
      </c>
      <c r="AO86" s="675">
        <v>32</v>
      </c>
      <c r="AP86" s="675">
        <v>32</v>
      </c>
      <c r="AQ86" s="675">
        <v>32</v>
      </c>
      <c r="AR86" s="675">
        <v>32</v>
      </c>
      <c r="AS86" s="675" t="s">
        <v>160</v>
      </c>
    </row>
    <row r="87" spans="2:115" x14ac:dyDescent="0.25">
      <c r="B87" s="117" t="s">
        <v>545</v>
      </c>
      <c r="C87" s="264" t="s">
        <v>160</v>
      </c>
      <c r="D87" s="264" t="s">
        <v>160</v>
      </c>
      <c r="E87" s="264" t="s">
        <v>160</v>
      </c>
      <c r="F87" s="264" t="s">
        <v>160</v>
      </c>
      <c r="G87" s="264" t="s">
        <v>160</v>
      </c>
      <c r="H87" s="264" t="s">
        <v>160</v>
      </c>
      <c r="I87" s="264" t="s">
        <v>160</v>
      </c>
      <c r="J87" s="264" t="s">
        <v>160</v>
      </c>
      <c r="K87" s="264" t="s">
        <v>160</v>
      </c>
      <c r="L87" s="264" t="s">
        <v>160</v>
      </c>
      <c r="M87" s="264" t="s">
        <v>160</v>
      </c>
      <c r="N87" s="264" t="s">
        <v>160</v>
      </c>
      <c r="O87" s="264" t="s">
        <v>160</v>
      </c>
      <c r="P87" s="264" t="s">
        <v>160</v>
      </c>
      <c r="Q87" s="264" t="s">
        <v>160</v>
      </c>
      <c r="R87" s="264" t="s">
        <v>160</v>
      </c>
      <c r="S87" s="264" t="s">
        <v>160</v>
      </c>
      <c r="T87" s="264" t="s">
        <v>160</v>
      </c>
      <c r="U87" s="264" t="s">
        <v>160</v>
      </c>
      <c r="V87" s="264" t="s">
        <v>160</v>
      </c>
      <c r="W87" s="264" t="s">
        <v>160</v>
      </c>
      <c r="X87" s="264" t="s">
        <v>160</v>
      </c>
      <c r="Y87" s="264" t="s">
        <v>160</v>
      </c>
      <c r="Z87" s="264" t="s">
        <v>160</v>
      </c>
      <c r="AA87" s="264" t="s">
        <v>160</v>
      </c>
      <c r="AB87" s="264" t="s">
        <v>160</v>
      </c>
      <c r="AC87" s="264" t="s">
        <v>160</v>
      </c>
      <c r="AD87" s="264" t="s">
        <v>160</v>
      </c>
      <c r="AE87" s="264" t="s">
        <v>160</v>
      </c>
      <c r="AF87" s="264" t="s">
        <v>160</v>
      </c>
      <c r="AG87" s="264" t="s">
        <v>160</v>
      </c>
      <c r="AH87" s="264" t="s">
        <v>160</v>
      </c>
      <c r="AI87" s="264" t="s">
        <v>160</v>
      </c>
      <c r="AJ87" s="264">
        <v>26</v>
      </c>
      <c r="AK87" s="264">
        <v>26</v>
      </c>
      <c r="AL87" s="680">
        <v>27</v>
      </c>
      <c r="AM87" s="264">
        <v>27</v>
      </c>
      <c r="AN87" s="264">
        <v>27</v>
      </c>
      <c r="AO87" s="264">
        <v>27</v>
      </c>
      <c r="AP87" s="264">
        <v>27</v>
      </c>
      <c r="AQ87" s="264">
        <v>27</v>
      </c>
      <c r="AR87" s="264">
        <f>AQ87</f>
        <v>27</v>
      </c>
      <c r="AS87" s="264" t="s">
        <v>160</v>
      </c>
    </row>
    <row r="88" spans="2:115" x14ac:dyDescent="0.25">
      <c r="B88" s="117" t="s">
        <v>546</v>
      </c>
      <c r="C88" s="264" t="s">
        <v>160</v>
      </c>
      <c r="D88" s="264" t="s">
        <v>160</v>
      </c>
      <c r="E88" s="264" t="s">
        <v>160</v>
      </c>
      <c r="F88" s="264" t="s">
        <v>160</v>
      </c>
      <c r="G88" s="264" t="s">
        <v>160</v>
      </c>
      <c r="H88" s="264" t="s">
        <v>160</v>
      </c>
      <c r="I88" s="264" t="s">
        <v>160</v>
      </c>
      <c r="J88" s="264" t="s">
        <v>160</v>
      </c>
      <c r="K88" s="264" t="s">
        <v>160</v>
      </c>
      <c r="L88" s="264" t="s">
        <v>160</v>
      </c>
      <c r="M88" s="264" t="s">
        <v>160</v>
      </c>
      <c r="N88" s="264" t="s">
        <v>160</v>
      </c>
      <c r="O88" s="264" t="s">
        <v>160</v>
      </c>
      <c r="P88" s="264" t="s">
        <v>160</v>
      </c>
      <c r="Q88" s="264" t="s">
        <v>160</v>
      </c>
      <c r="R88" s="264" t="s">
        <v>160</v>
      </c>
      <c r="S88" s="264" t="s">
        <v>160</v>
      </c>
      <c r="T88" s="264" t="s">
        <v>160</v>
      </c>
      <c r="U88" s="264" t="s">
        <v>160</v>
      </c>
      <c r="V88" s="264" t="s">
        <v>160</v>
      </c>
      <c r="W88" s="264" t="s">
        <v>160</v>
      </c>
      <c r="X88" s="264" t="s">
        <v>160</v>
      </c>
      <c r="Y88" s="264" t="s">
        <v>160</v>
      </c>
      <c r="Z88" s="675" t="s">
        <v>160</v>
      </c>
      <c r="AA88" s="264" t="s">
        <v>160</v>
      </c>
      <c r="AB88" s="264" t="s">
        <v>160</v>
      </c>
      <c r="AC88" s="264" t="s">
        <v>160</v>
      </c>
      <c r="AD88" s="264" t="s">
        <v>160</v>
      </c>
      <c r="AE88" s="264" t="s">
        <v>160</v>
      </c>
      <c r="AF88" s="264">
        <v>29</v>
      </c>
      <c r="AG88" s="264">
        <v>29</v>
      </c>
      <c r="AH88" s="264">
        <v>29</v>
      </c>
      <c r="AI88" s="264">
        <v>29</v>
      </c>
      <c r="AJ88" s="264">
        <v>29</v>
      </c>
      <c r="AK88" s="264">
        <v>29</v>
      </c>
      <c r="AL88" s="264">
        <v>34</v>
      </c>
      <c r="AM88" s="264">
        <v>34</v>
      </c>
      <c r="AN88" s="264">
        <v>34</v>
      </c>
      <c r="AO88" s="264">
        <v>34</v>
      </c>
      <c r="AP88" s="264">
        <v>34</v>
      </c>
      <c r="AQ88" s="264">
        <v>34</v>
      </c>
      <c r="AR88" s="264" t="s">
        <v>160</v>
      </c>
      <c r="AS88" s="264" t="s">
        <v>160</v>
      </c>
    </row>
    <row r="89" spans="2:115" x14ac:dyDescent="0.25">
      <c r="B89" s="117" t="s">
        <v>574</v>
      </c>
      <c r="C89" s="264" t="s">
        <v>160</v>
      </c>
      <c r="D89" s="264" t="s">
        <v>160</v>
      </c>
      <c r="E89" s="264" t="s">
        <v>160</v>
      </c>
      <c r="F89" s="264" t="s">
        <v>160</v>
      </c>
      <c r="G89" s="264" t="s">
        <v>160</v>
      </c>
      <c r="H89" s="264" t="s">
        <v>160</v>
      </c>
      <c r="I89" s="264" t="s">
        <v>160</v>
      </c>
      <c r="J89" s="264" t="s">
        <v>160</v>
      </c>
      <c r="K89" s="264" t="s">
        <v>160</v>
      </c>
      <c r="L89" s="264" t="s">
        <v>160</v>
      </c>
      <c r="M89" s="264" t="s">
        <v>160</v>
      </c>
      <c r="N89" s="264" t="s">
        <v>160</v>
      </c>
      <c r="O89" s="264" t="s">
        <v>160</v>
      </c>
      <c r="P89" s="264" t="s">
        <v>160</v>
      </c>
      <c r="Q89" s="264" t="s">
        <v>160</v>
      </c>
      <c r="R89" s="264" t="s">
        <v>160</v>
      </c>
      <c r="S89" s="264" t="s">
        <v>160</v>
      </c>
      <c r="T89" s="264" t="s">
        <v>160</v>
      </c>
      <c r="U89" s="264" t="s">
        <v>160</v>
      </c>
      <c r="V89" s="264" t="s">
        <v>160</v>
      </c>
      <c r="W89" s="675" t="s">
        <v>160</v>
      </c>
      <c r="X89" s="675" t="s">
        <v>160</v>
      </c>
      <c r="Y89" s="675" t="s">
        <v>160</v>
      </c>
      <c r="Z89" s="675" t="s">
        <v>160</v>
      </c>
      <c r="AA89" s="675" t="s">
        <v>160</v>
      </c>
      <c r="AB89" s="675" t="s">
        <v>160</v>
      </c>
      <c r="AC89" s="675" t="s">
        <v>160</v>
      </c>
      <c r="AD89" s="675" t="s">
        <v>160</v>
      </c>
      <c r="AE89" s="675" t="s">
        <v>160</v>
      </c>
      <c r="AF89" s="675" t="s">
        <v>160</v>
      </c>
      <c r="AG89" s="675" t="s">
        <v>160</v>
      </c>
      <c r="AH89" s="675" t="s">
        <v>160</v>
      </c>
      <c r="AI89" s="675" t="s">
        <v>160</v>
      </c>
      <c r="AJ89" s="675" t="s">
        <v>160</v>
      </c>
      <c r="AK89" s="680">
        <v>33</v>
      </c>
      <c r="AL89" s="675">
        <v>33</v>
      </c>
      <c r="AM89" s="675">
        <v>33</v>
      </c>
      <c r="AN89" s="675" t="s">
        <v>160</v>
      </c>
      <c r="AO89" s="675" t="s">
        <v>160</v>
      </c>
      <c r="AP89" s="675" t="s">
        <v>160</v>
      </c>
      <c r="AQ89" s="675" t="s">
        <v>160</v>
      </c>
      <c r="AR89" s="675" t="s">
        <v>160</v>
      </c>
      <c r="AS89" s="675" t="s">
        <v>160</v>
      </c>
    </row>
    <row r="90" spans="2:115" x14ac:dyDescent="0.25">
      <c r="B90" s="117" t="s">
        <v>547</v>
      </c>
      <c r="C90" s="264" t="s">
        <v>160</v>
      </c>
      <c r="D90" s="264" t="s">
        <v>160</v>
      </c>
      <c r="E90" s="264" t="s">
        <v>160</v>
      </c>
      <c r="F90" s="264" t="s">
        <v>160</v>
      </c>
      <c r="G90" s="264" t="s">
        <v>160</v>
      </c>
      <c r="H90" s="264" t="s">
        <v>160</v>
      </c>
      <c r="I90" s="264" t="s">
        <v>160</v>
      </c>
      <c r="J90" s="264" t="s">
        <v>160</v>
      </c>
      <c r="K90" s="264" t="s">
        <v>160</v>
      </c>
      <c r="L90" s="264" t="s">
        <v>160</v>
      </c>
      <c r="M90" s="264" t="s">
        <v>160</v>
      </c>
      <c r="N90" s="264" t="s">
        <v>160</v>
      </c>
      <c r="O90" s="264" t="s">
        <v>160</v>
      </c>
      <c r="P90" s="264" t="s">
        <v>160</v>
      </c>
      <c r="Q90" s="264" t="s">
        <v>160</v>
      </c>
      <c r="R90" s="264" t="s">
        <v>160</v>
      </c>
      <c r="S90" s="264" t="s">
        <v>160</v>
      </c>
      <c r="T90" s="264" t="s">
        <v>160</v>
      </c>
      <c r="U90" s="264" t="s">
        <v>160</v>
      </c>
      <c r="V90" s="675" t="s">
        <v>160</v>
      </c>
      <c r="W90" s="675" t="s">
        <v>160</v>
      </c>
      <c r="X90" s="675" t="s">
        <v>160</v>
      </c>
      <c r="Y90" s="675" t="s">
        <v>160</v>
      </c>
      <c r="Z90" s="675" t="s">
        <v>160</v>
      </c>
      <c r="AA90" s="675" t="s">
        <v>160</v>
      </c>
      <c r="AB90" s="675" t="s">
        <v>160</v>
      </c>
      <c r="AC90" s="675" t="s">
        <v>160</v>
      </c>
      <c r="AD90" s="675">
        <v>28.8</v>
      </c>
      <c r="AE90" s="675">
        <v>28.8</v>
      </c>
      <c r="AF90" s="675">
        <v>28.8</v>
      </c>
      <c r="AG90" s="675">
        <v>28.8</v>
      </c>
      <c r="AH90" s="675">
        <v>28.8</v>
      </c>
      <c r="AI90" s="675">
        <v>28.8</v>
      </c>
      <c r="AJ90" s="675">
        <v>28.8</v>
      </c>
      <c r="AK90" s="675">
        <v>28.8</v>
      </c>
      <c r="AL90" s="675">
        <v>28.8</v>
      </c>
      <c r="AM90" s="675">
        <v>28.8</v>
      </c>
      <c r="AN90" s="675">
        <v>28.8</v>
      </c>
      <c r="AO90" s="675">
        <v>28.8</v>
      </c>
      <c r="AP90" s="675" t="s">
        <v>160</v>
      </c>
      <c r="AQ90" s="675" t="s">
        <v>160</v>
      </c>
      <c r="AR90" s="675" t="s">
        <v>160</v>
      </c>
      <c r="AS90" s="675" t="s">
        <v>160</v>
      </c>
    </row>
    <row r="91" spans="2:115" customFormat="1" ht="12.75" x14ac:dyDescent="0.2">
      <c r="B91" s="278" t="s">
        <v>557</v>
      </c>
      <c r="C91" s="279" t="str">
        <f t="shared" ref="C91:AC91" si="67">IFERROR(AVERAGE(C86:C90),"-")</f>
        <v>-</v>
      </c>
      <c r="D91" s="279" t="str">
        <f t="shared" si="67"/>
        <v>-</v>
      </c>
      <c r="E91" s="279" t="str">
        <f t="shared" si="67"/>
        <v>-</v>
      </c>
      <c r="F91" s="279" t="str">
        <f t="shared" si="67"/>
        <v>-</v>
      </c>
      <c r="G91" s="279" t="str">
        <f t="shared" si="67"/>
        <v>-</v>
      </c>
      <c r="H91" s="279" t="str">
        <f t="shared" si="67"/>
        <v>-</v>
      </c>
      <c r="I91" s="279" t="str">
        <f t="shared" si="67"/>
        <v>-</v>
      </c>
      <c r="J91" s="279" t="str">
        <f t="shared" si="67"/>
        <v>-</v>
      </c>
      <c r="K91" s="279" t="str">
        <f t="shared" si="67"/>
        <v>-</v>
      </c>
      <c r="L91" s="279" t="str">
        <f t="shared" si="67"/>
        <v>-</v>
      </c>
      <c r="M91" s="279" t="str">
        <f t="shared" si="67"/>
        <v>-</v>
      </c>
      <c r="N91" s="279" t="str">
        <f t="shared" si="67"/>
        <v>-</v>
      </c>
      <c r="O91" s="279" t="str">
        <f t="shared" si="67"/>
        <v>-</v>
      </c>
      <c r="P91" s="279" t="str">
        <f t="shared" si="67"/>
        <v>-</v>
      </c>
      <c r="Q91" s="279" t="str">
        <f t="shared" si="67"/>
        <v>-</v>
      </c>
      <c r="R91" s="346" t="str">
        <f t="shared" si="67"/>
        <v>-</v>
      </c>
      <c r="S91" s="346" t="str">
        <f t="shared" si="67"/>
        <v>-</v>
      </c>
      <c r="T91" s="346" t="str">
        <f t="shared" si="67"/>
        <v>-</v>
      </c>
      <c r="U91" s="346" t="str">
        <f t="shared" si="67"/>
        <v>-</v>
      </c>
      <c r="V91" s="346" t="str">
        <f t="shared" si="67"/>
        <v>-</v>
      </c>
      <c r="W91" s="346" t="str">
        <f t="shared" si="67"/>
        <v>-</v>
      </c>
      <c r="X91" s="346" t="str">
        <f t="shared" si="67"/>
        <v>-</v>
      </c>
      <c r="Y91" s="346" t="str">
        <f t="shared" si="67"/>
        <v>-</v>
      </c>
      <c r="Z91" s="346" t="str">
        <f t="shared" si="67"/>
        <v>-</v>
      </c>
      <c r="AA91" s="346" t="str">
        <f t="shared" si="67"/>
        <v>-</v>
      </c>
      <c r="AB91" s="346" t="str">
        <f t="shared" si="67"/>
        <v>-</v>
      </c>
      <c r="AC91" s="346" t="str">
        <f t="shared" si="67"/>
        <v>-</v>
      </c>
      <c r="AD91" s="346">
        <f t="shared" ref="AD91:AI91" si="68">IFERROR(AVERAGE(AD86:AD90),"-")</f>
        <v>28.8</v>
      </c>
      <c r="AE91" s="346">
        <f t="shared" si="68"/>
        <v>28.8</v>
      </c>
      <c r="AF91" s="346">
        <f t="shared" si="68"/>
        <v>28.9</v>
      </c>
      <c r="AG91" s="346">
        <f t="shared" si="68"/>
        <v>29.933333333333334</v>
      </c>
      <c r="AH91" s="346">
        <f t="shared" si="68"/>
        <v>29.933333333333334</v>
      </c>
      <c r="AI91" s="346">
        <f t="shared" si="68"/>
        <v>29.933333333333334</v>
      </c>
      <c r="AJ91" s="346">
        <f t="shared" ref="AJ91:AO91" si="69">IFERROR(AVERAGE(AJ86:AJ90),"-")</f>
        <v>28.95</v>
      </c>
      <c r="AK91" s="346">
        <f t="shared" si="69"/>
        <v>29.76</v>
      </c>
      <c r="AL91" s="346">
        <f t="shared" si="69"/>
        <v>30.96</v>
      </c>
      <c r="AM91" s="346">
        <f t="shared" si="69"/>
        <v>30.96</v>
      </c>
      <c r="AN91" s="346">
        <f t="shared" si="69"/>
        <v>30.45</v>
      </c>
      <c r="AO91" s="346">
        <f t="shared" si="69"/>
        <v>30.45</v>
      </c>
      <c r="AP91" s="346">
        <f>IFERROR(AVERAGE(AP86:AP90),"-")</f>
        <v>31</v>
      </c>
      <c r="AQ91" s="346">
        <f>IFERROR(AVERAGE(AQ86:AQ90),"-")</f>
        <v>31</v>
      </c>
      <c r="AR91" s="346">
        <f>IFERROR(AVERAGE(AR86:AR90),"-")</f>
        <v>29.5</v>
      </c>
      <c r="AS91" s="346" t="str">
        <f>IFERROR(AVERAGE(AS86:AS90),"-")</f>
        <v>-</v>
      </c>
      <c r="DG91" s="1150"/>
      <c r="DH91" s="1150"/>
      <c r="DI91" s="1150"/>
      <c r="DJ91" s="1150"/>
      <c r="DK91" s="1150"/>
    </row>
    <row r="92" spans="2:115" s="761" customFormat="1" x14ac:dyDescent="0.25"/>
    <row r="93" spans="2:115" x14ac:dyDescent="0.25">
      <c r="B93" s="113" t="s">
        <v>593</v>
      </c>
      <c r="C93" s="263">
        <f t="shared" ref="C93:AS93" si="70">+C$117</f>
        <v>42522</v>
      </c>
      <c r="D93" s="263">
        <f t="shared" si="70"/>
        <v>42552</v>
      </c>
      <c r="E93" s="263">
        <f t="shared" si="70"/>
        <v>42583</v>
      </c>
      <c r="F93" s="263">
        <f t="shared" si="70"/>
        <v>42614</v>
      </c>
      <c r="G93" s="263">
        <f t="shared" si="70"/>
        <v>42644</v>
      </c>
      <c r="H93" s="263">
        <f t="shared" si="70"/>
        <v>42675</v>
      </c>
      <c r="I93" s="263">
        <f t="shared" si="70"/>
        <v>42705</v>
      </c>
      <c r="J93" s="263">
        <f t="shared" si="70"/>
        <v>42736</v>
      </c>
      <c r="K93" s="263">
        <f t="shared" si="70"/>
        <v>42767</v>
      </c>
      <c r="L93" s="263">
        <f t="shared" si="70"/>
        <v>42795</v>
      </c>
      <c r="M93" s="263">
        <f t="shared" si="70"/>
        <v>42826</v>
      </c>
      <c r="N93" s="263">
        <f t="shared" si="70"/>
        <v>42856</v>
      </c>
      <c r="O93" s="263">
        <f t="shared" si="70"/>
        <v>42887</v>
      </c>
      <c r="P93" s="263">
        <f t="shared" si="70"/>
        <v>42917</v>
      </c>
      <c r="Q93" s="263">
        <f t="shared" si="70"/>
        <v>42948</v>
      </c>
      <c r="R93" s="263">
        <f t="shared" si="70"/>
        <v>42979</v>
      </c>
      <c r="S93" s="263">
        <f t="shared" si="70"/>
        <v>43009</v>
      </c>
      <c r="T93" s="263">
        <f t="shared" si="70"/>
        <v>43040</v>
      </c>
      <c r="U93" s="263">
        <f t="shared" si="70"/>
        <v>43070</v>
      </c>
      <c r="V93" s="263">
        <f t="shared" si="70"/>
        <v>43101</v>
      </c>
      <c r="W93" s="263">
        <f t="shared" si="70"/>
        <v>43132</v>
      </c>
      <c r="X93" s="263">
        <f t="shared" si="70"/>
        <v>43160</v>
      </c>
      <c r="Y93" s="263">
        <f t="shared" si="70"/>
        <v>43191</v>
      </c>
      <c r="Z93" s="263">
        <f t="shared" si="70"/>
        <v>43221</v>
      </c>
      <c r="AA93" s="263">
        <f t="shared" si="70"/>
        <v>43252</v>
      </c>
      <c r="AB93" s="263">
        <f t="shared" si="70"/>
        <v>43283</v>
      </c>
      <c r="AC93" s="263">
        <f t="shared" si="70"/>
        <v>43314</v>
      </c>
      <c r="AD93" s="263">
        <f t="shared" si="70"/>
        <v>43345</v>
      </c>
      <c r="AE93" s="263">
        <f t="shared" si="70"/>
        <v>43376</v>
      </c>
      <c r="AF93" s="263">
        <f t="shared" si="70"/>
        <v>43407</v>
      </c>
      <c r="AG93" s="263">
        <f t="shared" si="70"/>
        <v>43437</v>
      </c>
      <c r="AH93" s="263">
        <f t="shared" si="70"/>
        <v>43468</v>
      </c>
      <c r="AI93" s="263">
        <f t="shared" si="70"/>
        <v>43499</v>
      </c>
      <c r="AJ93" s="263">
        <f t="shared" si="70"/>
        <v>43527</v>
      </c>
      <c r="AK93" s="263">
        <f t="shared" si="70"/>
        <v>43558</v>
      </c>
      <c r="AL93" s="263">
        <f t="shared" si="70"/>
        <v>43587</v>
      </c>
      <c r="AM93" s="263">
        <f t="shared" si="70"/>
        <v>43618</v>
      </c>
      <c r="AN93" s="263">
        <f t="shared" si="70"/>
        <v>43647</v>
      </c>
      <c r="AO93" s="263">
        <f t="shared" si="70"/>
        <v>43678</v>
      </c>
      <c r="AP93" s="263">
        <f t="shared" si="70"/>
        <v>43709</v>
      </c>
      <c r="AQ93" s="263">
        <f t="shared" si="70"/>
        <v>43739</v>
      </c>
      <c r="AR93" s="263">
        <f t="shared" si="70"/>
        <v>43770</v>
      </c>
      <c r="AS93" s="263">
        <f t="shared" si="70"/>
        <v>43800</v>
      </c>
    </row>
    <row r="94" spans="2:115" x14ac:dyDescent="0.25">
      <c r="B94" s="117" t="s">
        <v>542</v>
      </c>
      <c r="C94" s="265" t="s">
        <v>160</v>
      </c>
      <c r="D94" s="265" t="s">
        <v>160</v>
      </c>
      <c r="E94" s="265" t="s">
        <v>160</v>
      </c>
      <c r="F94" s="265" t="s">
        <v>160</v>
      </c>
      <c r="G94" s="265" t="s">
        <v>160</v>
      </c>
      <c r="H94" s="265" t="s">
        <v>160</v>
      </c>
      <c r="I94" s="265" t="s">
        <v>160</v>
      </c>
      <c r="J94" s="337" t="s">
        <v>160</v>
      </c>
      <c r="K94" s="337" t="s">
        <v>160</v>
      </c>
      <c r="L94" s="337" t="s">
        <v>160</v>
      </c>
      <c r="M94" s="337" t="s">
        <v>160</v>
      </c>
      <c r="N94" s="337" t="s">
        <v>160</v>
      </c>
      <c r="O94" s="337" t="s">
        <v>160</v>
      </c>
      <c r="P94" s="337" t="s">
        <v>160</v>
      </c>
      <c r="Q94" s="337">
        <v>1294</v>
      </c>
      <c r="R94" s="347">
        <v>1294</v>
      </c>
      <c r="S94" s="347">
        <v>1294</v>
      </c>
      <c r="T94" s="347">
        <v>1294</v>
      </c>
      <c r="U94" s="342">
        <v>1412</v>
      </c>
      <c r="V94" s="585">
        <v>1412</v>
      </c>
      <c r="W94" s="585">
        <v>1412</v>
      </c>
      <c r="X94" s="585">
        <v>1412</v>
      </c>
      <c r="Y94" s="585">
        <v>1412</v>
      </c>
      <c r="Z94" s="585">
        <v>1412</v>
      </c>
      <c r="AA94" s="585">
        <v>1412</v>
      </c>
      <c r="AB94" s="585">
        <v>1412</v>
      </c>
      <c r="AC94" s="585">
        <v>1412</v>
      </c>
      <c r="AD94" s="585">
        <v>1412</v>
      </c>
      <c r="AE94" s="585">
        <v>1412</v>
      </c>
      <c r="AF94" s="585">
        <v>1412</v>
      </c>
      <c r="AG94" s="679">
        <v>1426</v>
      </c>
      <c r="AH94" s="585">
        <v>1426</v>
      </c>
      <c r="AI94" s="585">
        <v>1426</v>
      </c>
      <c r="AJ94" s="585">
        <v>1426</v>
      </c>
      <c r="AK94" s="585">
        <v>1426</v>
      </c>
      <c r="AL94" s="585">
        <v>1426</v>
      </c>
      <c r="AM94" s="585">
        <v>1426</v>
      </c>
      <c r="AN94" s="585">
        <v>1426</v>
      </c>
      <c r="AO94" s="585">
        <v>1426</v>
      </c>
      <c r="AP94" s="585">
        <v>1426</v>
      </c>
      <c r="AQ94" s="585">
        <v>1426</v>
      </c>
      <c r="AR94" s="585">
        <v>1426</v>
      </c>
      <c r="AS94" s="341">
        <v>1329</v>
      </c>
    </row>
    <row r="95" spans="2:115" x14ac:dyDescent="0.25">
      <c r="B95" s="117" t="s">
        <v>545</v>
      </c>
      <c r="C95" s="265" t="s">
        <v>160</v>
      </c>
      <c r="D95" s="265" t="s">
        <v>160</v>
      </c>
      <c r="E95" s="265" t="s">
        <v>160</v>
      </c>
      <c r="F95" s="265" t="s">
        <v>160</v>
      </c>
      <c r="G95" s="265" t="s">
        <v>160</v>
      </c>
      <c r="H95" s="265" t="s">
        <v>160</v>
      </c>
      <c r="I95" s="265" t="s">
        <v>160</v>
      </c>
      <c r="J95" s="337" t="s">
        <v>160</v>
      </c>
      <c r="K95" s="337" t="s">
        <v>160</v>
      </c>
      <c r="L95" s="337">
        <v>1192</v>
      </c>
      <c r="M95" s="337">
        <v>1192</v>
      </c>
      <c r="N95" s="337">
        <v>1192</v>
      </c>
      <c r="O95" s="337">
        <v>1192</v>
      </c>
      <c r="P95" s="337">
        <v>1192</v>
      </c>
      <c r="Q95" s="342">
        <v>1219</v>
      </c>
      <c r="R95" s="347">
        <v>1219</v>
      </c>
      <c r="S95" s="347">
        <v>1219</v>
      </c>
      <c r="T95" s="347">
        <v>1219</v>
      </c>
      <c r="U95" s="347">
        <v>1219</v>
      </c>
      <c r="V95" s="347">
        <f>+U95</f>
        <v>1219</v>
      </c>
      <c r="W95" s="342">
        <v>1291</v>
      </c>
      <c r="X95" s="347">
        <v>1291</v>
      </c>
      <c r="Y95" s="347">
        <v>1291</v>
      </c>
      <c r="Z95" s="342">
        <v>1331</v>
      </c>
      <c r="AA95" s="347">
        <v>1331</v>
      </c>
      <c r="AB95" s="347">
        <v>1331</v>
      </c>
      <c r="AC95" s="347">
        <v>1331</v>
      </c>
      <c r="AD95" s="347">
        <v>1331</v>
      </c>
      <c r="AE95" s="347">
        <v>1331</v>
      </c>
      <c r="AF95" s="679">
        <v>1375</v>
      </c>
      <c r="AG95" s="585">
        <v>1375</v>
      </c>
      <c r="AH95" s="585">
        <v>1375</v>
      </c>
      <c r="AI95" s="585">
        <v>1375</v>
      </c>
      <c r="AJ95" s="679">
        <v>1410</v>
      </c>
      <c r="AK95" s="585">
        <v>1410</v>
      </c>
      <c r="AL95" s="679">
        <v>1446</v>
      </c>
      <c r="AM95" s="585">
        <v>1446</v>
      </c>
      <c r="AN95" s="585">
        <v>1446</v>
      </c>
      <c r="AO95" s="585">
        <v>1446</v>
      </c>
      <c r="AP95" s="585">
        <v>1446</v>
      </c>
      <c r="AQ95" s="585">
        <v>1446</v>
      </c>
      <c r="AR95" s="585">
        <v>1446</v>
      </c>
      <c r="AS95" s="341">
        <v>1376</v>
      </c>
    </row>
    <row r="96" spans="2:115" x14ac:dyDescent="0.25">
      <c r="B96" s="117" t="s">
        <v>546</v>
      </c>
      <c r="C96" s="265" t="s">
        <v>160</v>
      </c>
      <c r="D96" s="265" t="s">
        <v>160</v>
      </c>
      <c r="E96" s="265" t="s">
        <v>160</v>
      </c>
      <c r="F96" s="265" t="s">
        <v>160</v>
      </c>
      <c r="G96" s="265" t="s">
        <v>160</v>
      </c>
      <c r="H96" s="265" t="s">
        <v>160</v>
      </c>
      <c r="I96" s="265" t="s">
        <v>160</v>
      </c>
      <c r="J96" s="337" t="s">
        <v>160</v>
      </c>
      <c r="K96" s="337" t="s">
        <v>160</v>
      </c>
      <c r="L96" s="337" t="s">
        <v>160</v>
      </c>
      <c r="M96" s="337" t="s">
        <v>160</v>
      </c>
      <c r="N96" s="337" t="s">
        <v>160</v>
      </c>
      <c r="O96" s="337" t="s">
        <v>160</v>
      </c>
      <c r="P96" s="337" t="s">
        <v>160</v>
      </c>
      <c r="Q96" s="337" t="s">
        <v>160</v>
      </c>
      <c r="R96" s="347" t="s">
        <v>160</v>
      </c>
      <c r="S96" s="347" t="s">
        <v>160</v>
      </c>
      <c r="T96" s="347">
        <v>1415</v>
      </c>
      <c r="U96" s="347">
        <v>1415</v>
      </c>
      <c r="V96" s="347">
        <v>1415</v>
      </c>
      <c r="W96" s="347">
        <v>1415</v>
      </c>
      <c r="X96" s="347">
        <v>1415</v>
      </c>
      <c r="Y96" s="347">
        <v>1415</v>
      </c>
      <c r="Z96" s="347">
        <v>1415</v>
      </c>
      <c r="AA96" s="347">
        <v>1415</v>
      </c>
      <c r="AB96" s="347">
        <v>1415</v>
      </c>
      <c r="AC96" s="347">
        <v>1415</v>
      </c>
      <c r="AD96" s="347">
        <v>1415</v>
      </c>
      <c r="AE96" s="347">
        <v>1415</v>
      </c>
      <c r="AF96" s="679">
        <v>1445</v>
      </c>
      <c r="AG96" s="585">
        <v>1445</v>
      </c>
      <c r="AH96" s="585">
        <v>1445</v>
      </c>
      <c r="AI96" s="585">
        <v>1445</v>
      </c>
      <c r="AJ96" s="341">
        <v>1438</v>
      </c>
      <c r="AK96" s="585">
        <v>1438</v>
      </c>
      <c r="AL96" s="585">
        <v>1438</v>
      </c>
      <c r="AM96" s="585">
        <v>1438</v>
      </c>
      <c r="AN96" s="585">
        <v>1438</v>
      </c>
      <c r="AO96" s="585">
        <v>1438</v>
      </c>
      <c r="AP96" s="585">
        <v>1438</v>
      </c>
      <c r="AQ96" s="585">
        <v>1438</v>
      </c>
      <c r="AR96" s="585">
        <v>1438</v>
      </c>
      <c r="AS96" s="585">
        <v>1438</v>
      </c>
    </row>
    <row r="97" spans="2:115" x14ac:dyDescent="0.25">
      <c r="B97" s="117" t="s">
        <v>574</v>
      </c>
      <c r="C97" s="264" t="s">
        <v>160</v>
      </c>
      <c r="D97" s="264" t="s">
        <v>160</v>
      </c>
      <c r="E97" s="264" t="s">
        <v>160</v>
      </c>
      <c r="F97" s="264" t="s">
        <v>160</v>
      </c>
      <c r="G97" s="264" t="s">
        <v>160</v>
      </c>
      <c r="H97" s="264" t="s">
        <v>160</v>
      </c>
      <c r="I97" s="264" t="s">
        <v>160</v>
      </c>
      <c r="J97" s="337" t="s">
        <v>160</v>
      </c>
      <c r="K97" s="337" t="s">
        <v>160</v>
      </c>
      <c r="L97" s="337" t="s">
        <v>160</v>
      </c>
      <c r="M97" s="337" t="s">
        <v>160</v>
      </c>
      <c r="N97" s="337" t="s">
        <v>160</v>
      </c>
      <c r="O97" s="337" t="s">
        <v>160</v>
      </c>
      <c r="P97" s="337" t="s">
        <v>160</v>
      </c>
      <c r="Q97" s="337" t="s">
        <v>160</v>
      </c>
      <c r="R97" s="347" t="s">
        <v>160</v>
      </c>
      <c r="S97" s="347" t="s">
        <v>160</v>
      </c>
      <c r="T97" s="347" t="s">
        <v>160</v>
      </c>
      <c r="U97" s="347" t="s">
        <v>160</v>
      </c>
      <c r="V97" s="347" t="s">
        <v>160</v>
      </c>
      <c r="W97" s="342">
        <f t="shared" ref="W97:AD97" si="71">1286.9+197.5</f>
        <v>1484.4</v>
      </c>
      <c r="X97" s="585">
        <f t="shared" si="71"/>
        <v>1484.4</v>
      </c>
      <c r="Y97" s="585">
        <f t="shared" si="71"/>
        <v>1484.4</v>
      </c>
      <c r="Z97" s="585">
        <f t="shared" si="71"/>
        <v>1484.4</v>
      </c>
      <c r="AA97" s="585">
        <f t="shared" si="71"/>
        <v>1484.4</v>
      </c>
      <c r="AB97" s="585">
        <f t="shared" si="71"/>
        <v>1484.4</v>
      </c>
      <c r="AC97" s="585">
        <f t="shared" si="71"/>
        <v>1484.4</v>
      </c>
      <c r="AD97" s="585">
        <f t="shared" si="71"/>
        <v>1484.4</v>
      </c>
      <c r="AE97" s="585">
        <v>1484.4</v>
      </c>
      <c r="AF97" s="585">
        <v>1484.4</v>
      </c>
      <c r="AG97" s="585">
        <v>1484.4</v>
      </c>
      <c r="AH97" s="585">
        <v>1484.4</v>
      </c>
      <c r="AI97" s="585">
        <v>1484.4</v>
      </c>
      <c r="AJ97" s="585">
        <v>1484.4</v>
      </c>
      <c r="AK97" s="341">
        <v>1355</v>
      </c>
      <c r="AL97" s="585">
        <v>1355</v>
      </c>
      <c r="AM97" s="585">
        <v>1355</v>
      </c>
      <c r="AN97" s="585" t="s">
        <v>160</v>
      </c>
      <c r="AO97" s="585" t="s">
        <v>160</v>
      </c>
      <c r="AP97" s="585" t="s">
        <v>160</v>
      </c>
      <c r="AQ97" s="585">
        <v>1402</v>
      </c>
      <c r="AR97" s="585">
        <v>1402</v>
      </c>
      <c r="AS97" s="585">
        <v>1402</v>
      </c>
    </row>
    <row r="98" spans="2:115" x14ac:dyDescent="0.25">
      <c r="B98" s="117" t="s">
        <v>547</v>
      </c>
      <c r="C98" s="265" t="s">
        <v>160</v>
      </c>
      <c r="D98" s="265" t="s">
        <v>160</v>
      </c>
      <c r="E98" s="265" t="s">
        <v>160</v>
      </c>
      <c r="F98" s="265" t="s">
        <v>160</v>
      </c>
      <c r="G98" s="265" t="s">
        <v>160</v>
      </c>
      <c r="H98" s="265" t="s">
        <v>160</v>
      </c>
      <c r="I98" s="265" t="s">
        <v>160</v>
      </c>
      <c r="J98" s="337" t="s">
        <v>160</v>
      </c>
      <c r="K98" s="337" t="s">
        <v>160</v>
      </c>
      <c r="L98" s="337">
        <v>1257</v>
      </c>
      <c r="M98" s="337">
        <v>1257</v>
      </c>
      <c r="N98" s="337">
        <v>1257</v>
      </c>
      <c r="O98" s="337">
        <v>1257</v>
      </c>
      <c r="P98" s="337">
        <v>1257</v>
      </c>
      <c r="Q98" s="341">
        <v>1234</v>
      </c>
      <c r="R98" s="347">
        <v>1234</v>
      </c>
      <c r="S98" s="347">
        <v>1234</v>
      </c>
      <c r="T98" s="347">
        <v>1234</v>
      </c>
      <c r="U98" s="347">
        <v>1234</v>
      </c>
      <c r="V98" s="342">
        <v>1380</v>
      </c>
      <c r="W98" s="347">
        <v>1380</v>
      </c>
      <c r="X98" s="347">
        <v>1380</v>
      </c>
      <c r="Y98" s="347">
        <v>1380</v>
      </c>
      <c r="Z98" s="347">
        <v>1380</v>
      </c>
      <c r="AA98" s="347">
        <v>1380</v>
      </c>
      <c r="AB98" s="347">
        <v>1380</v>
      </c>
      <c r="AC98" s="347">
        <v>1380</v>
      </c>
      <c r="AD98" s="341">
        <v>1343</v>
      </c>
      <c r="AE98" s="347">
        <v>1343</v>
      </c>
      <c r="AF98" s="347">
        <v>1343</v>
      </c>
      <c r="AG98" s="347">
        <v>1343</v>
      </c>
      <c r="AH98" s="347">
        <v>1343</v>
      </c>
      <c r="AI98" s="347" t="s">
        <v>160</v>
      </c>
      <c r="AJ98" s="347" t="s">
        <v>160</v>
      </c>
      <c r="AK98" s="347" t="s">
        <v>160</v>
      </c>
      <c r="AL98" s="347" t="s">
        <v>160</v>
      </c>
      <c r="AM98" s="347" t="s">
        <v>160</v>
      </c>
      <c r="AN98" s="347" t="s">
        <v>160</v>
      </c>
      <c r="AO98" s="347" t="s">
        <v>160</v>
      </c>
      <c r="AP98" s="347">
        <v>1371</v>
      </c>
      <c r="AQ98" s="347">
        <v>1371</v>
      </c>
      <c r="AR98" s="347">
        <v>1371</v>
      </c>
      <c r="AS98" s="347">
        <v>1371</v>
      </c>
    </row>
    <row r="99" spans="2:115" customFormat="1" ht="12.75" x14ac:dyDescent="0.2">
      <c r="B99" s="278" t="s">
        <v>557</v>
      </c>
      <c r="C99" s="327" t="str">
        <f t="shared" ref="C99:Q99" si="72">IFERROR(AVERAGE(C94:C98),"-")</f>
        <v>-</v>
      </c>
      <c r="D99" s="327" t="str">
        <f t="shared" si="72"/>
        <v>-</v>
      </c>
      <c r="E99" s="327" t="str">
        <f t="shared" si="72"/>
        <v>-</v>
      </c>
      <c r="F99" s="327" t="str">
        <f t="shared" si="72"/>
        <v>-</v>
      </c>
      <c r="G99" s="327" t="str">
        <f t="shared" si="72"/>
        <v>-</v>
      </c>
      <c r="H99" s="327" t="str">
        <f t="shared" si="72"/>
        <v>-</v>
      </c>
      <c r="I99" s="327" t="str">
        <f t="shared" si="72"/>
        <v>-</v>
      </c>
      <c r="J99" s="338" t="str">
        <f t="shared" si="72"/>
        <v>-</v>
      </c>
      <c r="K99" s="338" t="str">
        <f t="shared" si="72"/>
        <v>-</v>
      </c>
      <c r="L99" s="338">
        <f t="shared" si="72"/>
        <v>1224.5</v>
      </c>
      <c r="M99" s="338">
        <f t="shared" si="72"/>
        <v>1224.5</v>
      </c>
      <c r="N99" s="338">
        <f t="shared" si="72"/>
        <v>1224.5</v>
      </c>
      <c r="O99" s="338">
        <f t="shared" si="72"/>
        <v>1224.5</v>
      </c>
      <c r="P99" s="338">
        <f t="shared" si="72"/>
        <v>1224.5</v>
      </c>
      <c r="Q99" s="338">
        <f t="shared" si="72"/>
        <v>1249</v>
      </c>
      <c r="R99" s="348">
        <f t="shared" ref="R99:AF99" si="73">IFERROR(AVERAGE(R94:R98),"-")</f>
        <v>1249</v>
      </c>
      <c r="S99" s="348">
        <f t="shared" si="73"/>
        <v>1249</v>
      </c>
      <c r="T99" s="348">
        <f t="shared" si="73"/>
        <v>1290.5</v>
      </c>
      <c r="U99" s="348">
        <f t="shared" si="73"/>
        <v>1320</v>
      </c>
      <c r="V99" s="348">
        <f t="shared" si="73"/>
        <v>1356.5</v>
      </c>
      <c r="W99" s="348">
        <f t="shared" si="73"/>
        <v>1396.48</v>
      </c>
      <c r="X99" s="348">
        <f t="shared" si="73"/>
        <v>1396.48</v>
      </c>
      <c r="Y99" s="348">
        <f t="shared" si="73"/>
        <v>1396.48</v>
      </c>
      <c r="Z99" s="348">
        <f t="shared" si="73"/>
        <v>1404.48</v>
      </c>
      <c r="AA99" s="348">
        <f t="shared" si="73"/>
        <v>1404.48</v>
      </c>
      <c r="AB99" s="348">
        <f t="shared" si="73"/>
        <v>1404.48</v>
      </c>
      <c r="AC99" s="348">
        <f t="shared" si="73"/>
        <v>1404.48</v>
      </c>
      <c r="AD99" s="348">
        <f t="shared" si="73"/>
        <v>1397.08</v>
      </c>
      <c r="AE99" s="348">
        <f t="shared" si="73"/>
        <v>1397.08</v>
      </c>
      <c r="AF99" s="348">
        <f t="shared" si="73"/>
        <v>1411.8799999999999</v>
      </c>
      <c r="AG99" s="348">
        <f t="shared" ref="AG99:AL99" si="74">IFERROR(AVERAGE(AG94:AG98),"-")</f>
        <v>1414.6799999999998</v>
      </c>
      <c r="AH99" s="348">
        <f t="shared" si="74"/>
        <v>1414.6799999999998</v>
      </c>
      <c r="AI99" s="348">
        <f t="shared" si="74"/>
        <v>1432.6</v>
      </c>
      <c r="AJ99" s="348">
        <f t="shared" si="74"/>
        <v>1439.6</v>
      </c>
      <c r="AK99" s="348">
        <f t="shared" si="74"/>
        <v>1407.25</v>
      </c>
      <c r="AL99" s="348">
        <f t="shared" si="74"/>
        <v>1416.25</v>
      </c>
      <c r="AM99" s="348">
        <f t="shared" ref="AM99:AR99" si="75">IFERROR(AVERAGE(AM94:AM98),"-")</f>
        <v>1416.25</v>
      </c>
      <c r="AN99" s="348">
        <f t="shared" si="75"/>
        <v>1436.6666666666667</v>
      </c>
      <c r="AO99" s="348">
        <f t="shared" si="75"/>
        <v>1436.6666666666667</v>
      </c>
      <c r="AP99" s="348">
        <f t="shared" si="75"/>
        <v>1420.25</v>
      </c>
      <c r="AQ99" s="348">
        <f t="shared" si="75"/>
        <v>1416.6</v>
      </c>
      <c r="AR99" s="348">
        <f t="shared" si="75"/>
        <v>1416.6</v>
      </c>
      <c r="AS99" s="348">
        <f>IFERROR(AVERAGE(AS94:AS98),"-")</f>
        <v>1383.2</v>
      </c>
      <c r="DG99" s="1150"/>
      <c r="DH99" s="1150"/>
      <c r="DI99" s="1150"/>
      <c r="DJ99" s="1150"/>
      <c r="DK99" s="1150"/>
    </row>
    <row r="100" spans="2:115" x14ac:dyDescent="0.25">
      <c r="X100" s="340"/>
      <c r="Y100" s="340"/>
      <c r="Z100" s="340"/>
      <c r="AA100" s="340"/>
      <c r="AB100" s="340"/>
      <c r="AC100" s="340"/>
      <c r="AD100" s="340"/>
      <c r="AE100" s="340"/>
      <c r="AF100" s="340"/>
      <c r="AG100" s="340"/>
      <c r="AH100" s="340"/>
      <c r="AI100" s="340"/>
      <c r="AJ100" s="340"/>
      <c r="AK100" s="340"/>
      <c r="AL100" s="340"/>
      <c r="AM100" s="340"/>
      <c r="AN100" s="340"/>
      <c r="AO100" s="340"/>
      <c r="AP100" s="340"/>
      <c r="AQ100" s="340"/>
      <c r="AR100" s="340"/>
      <c r="AS100" s="340"/>
      <c r="AT100" s="761"/>
    </row>
    <row r="101" spans="2:115" x14ac:dyDescent="0.25">
      <c r="B101" s="113" t="s">
        <v>591</v>
      </c>
      <c r="C101" s="263">
        <f t="shared" ref="C101:AS101" si="76">+C$117</f>
        <v>42522</v>
      </c>
      <c r="D101" s="263">
        <f t="shared" si="76"/>
        <v>42552</v>
      </c>
      <c r="E101" s="263">
        <f t="shared" si="76"/>
        <v>42583</v>
      </c>
      <c r="F101" s="263">
        <f t="shared" si="76"/>
        <v>42614</v>
      </c>
      <c r="G101" s="263">
        <f t="shared" si="76"/>
        <v>42644</v>
      </c>
      <c r="H101" s="263">
        <f t="shared" si="76"/>
        <v>42675</v>
      </c>
      <c r="I101" s="263">
        <f t="shared" si="76"/>
        <v>42705</v>
      </c>
      <c r="J101" s="263">
        <f t="shared" si="76"/>
        <v>42736</v>
      </c>
      <c r="K101" s="263">
        <f t="shared" si="76"/>
        <v>42767</v>
      </c>
      <c r="L101" s="263">
        <f t="shared" si="76"/>
        <v>42795</v>
      </c>
      <c r="M101" s="263">
        <f t="shared" si="76"/>
        <v>42826</v>
      </c>
      <c r="N101" s="263">
        <f t="shared" si="76"/>
        <v>42856</v>
      </c>
      <c r="O101" s="263">
        <f t="shared" si="76"/>
        <v>42887</v>
      </c>
      <c r="P101" s="263">
        <f t="shared" si="76"/>
        <v>42917</v>
      </c>
      <c r="Q101" s="263">
        <f t="shared" si="76"/>
        <v>42948</v>
      </c>
      <c r="R101" s="263">
        <f t="shared" si="76"/>
        <v>42979</v>
      </c>
      <c r="S101" s="263">
        <f t="shared" si="76"/>
        <v>43009</v>
      </c>
      <c r="T101" s="263">
        <f t="shared" si="76"/>
        <v>43040</v>
      </c>
      <c r="U101" s="263">
        <f t="shared" si="76"/>
        <v>43070</v>
      </c>
      <c r="V101" s="263">
        <f t="shared" si="76"/>
        <v>43101</v>
      </c>
      <c r="W101" s="263">
        <f t="shared" si="76"/>
        <v>43132</v>
      </c>
      <c r="X101" s="263">
        <f t="shared" si="76"/>
        <v>43160</v>
      </c>
      <c r="Y101" s="263">
        <f t="shared" si="76"/>
        <v>43191</v>
      </c>
      <c r="Z101" s="263">
        <f t="shared" si="76"/>
        <v>43221</v>
      </c>
      <c r="AA101" s="263">
        <f t="shared" si="76"/>
        <v>43252</v>
      </c>
      <c r="AB101" s="263">
        <f t="shared" si="76"/>
        <v>43283</v>
      </c>
      <c r="AC101" s="263">
        <f t="shared" si="76"/>
        <v>43314</v>
      </c>
      <c r="AD101" s="263">
        <f t="shared" si="76"/>
        <v>43345</v>
      </c>
      <c r="AE101" s="263">
        <f t="shared" si="76"/>
        <v>43376</v>
      </c>
      <c r="AF101" s="263">
        <f t="shared" si="76"/>
        <v>43407</v>
      </c>
      <c r="AG101" s="263">
        <f t="shared" si="76"/>
        <v>43437</v>
      </c>
      <c r="AH101" s="263">
        <f t="shared" si="76"/>
        <v>43468</v>
      </c>
      <c r="AI101" s="263">
        <f t="shared" si="76"/>
        <v>43499</v>
      </c>
      <c r="AJ101" s="263">
        <f t="shared" si="76"/>
        <v>43527</v>
      </c>
      <c r="AK101" s="263">
        <f t="shared" si="76"/>
        <v>43558</v>
      </c>
      <c r="AL101" s="263">
        <f t="shared" si="76"/>
        <v>43587</v>
      </c>
      <c r="AM101" s="263">
        <f t="shared" si="76"/>
        <v>43618</v>
      </c>
      <c r="AN101" s="263">
        <f t="shared" si="76"/>
        <v>43647</v>
      </c>
      <c r="AO101" s="263">
        <f t="shared" si="76"/>
        <v>43678</v>
      </c>
      <c r="AP101" s="263">
        <f t="shared" si="76"/>
        <v>43709</v>
      </c>
      <c r="AQ101" s="263">
        <f t="shared" si="76"/>
        <v>43739</v>
      </c>
      <c r="AR101" s="263">
        <f t="shared" si="76"/>
        <v>43770</v>
      </c>
      <c r="AS101" s="263">
        <f t="shared" si="76"/>
        <v>43800</v>
      </c>
    </row>
    <row r="102" spans="2:115" x14ac:dyDescent="0.25">
      <c r="B102" s="117" t="s">
        <v>542</v>
      </c>
      <c r="C102" s="264" t="s">
        <v>160</v>
      </c>
      <c r="D102" s="264" t="s">
        <v>160</v>
      </c>
      <c r="E102" s="264" t="s">
        <v>160</v>
      </c>
      <c r="F102" s="265" t="s">
        <v>160</v>
      </c>
      <c r="G102" s="265" t="s">
        <v>160</v>
      </c>
      <c r="H102" s="265" t="s">
        <v>160</v>
      </c>
      <c r="I102" s="265" t="s">
        <v>160</v>
      </c>
      <c r="J102" s="265" t="s">
        <v>160</v>
      </c>
      <c r="K102" s="265" t="s">
        <v>160</v>
      </c>
      <c r="L102" s="265" t="s">
        <v>160</v>
      </c>
      <c r="M102" s="265" t="s">
        <v>160</v>
      </c>
      <c r="N102" s="265" t="s">
        <v>160</v>
      </c>
      <c r="O102" s="265" t="s">
        <v>160</v>
      </c>
      <c r="P102" s="265" t="s">
        <v>160</v>
      </c>
      <c r="Q102" s="265">
        <v>157</v>
      </c>
      <c r="R102" s="349">
        <v>157</v>
      </c>
      <c r="S102" s="349">
        <v>157</v>
      </c>
      <c r="T102" s="349">
        <v>157</v>
      </c>
      <c r="U102" s="342">
        <v>204</v>
      </c>
      <c r="V102" s="585">
        <v>204</v>
      </c>
      <c r="W102" s="585">
        <v>204</v>
      </c>
      <c r="X102" s="585">
        <v>204</v>
      </c>
      <c r="Y102" s="585">
        <v>204</v>
      </c>
      <c r="Z102" s="585">
        <v>204</v>
      </c>
      <c r="AA102" s="585">
        <v>204</v>
      </c>
      <c r="AB102" s="585">
        <v>204</v>
      </c>
      <c r="AC102" s="585">
        <v>204</v>
      </c>
      <c r="AD102" s="585">
        <v>204</v>
      </c>
      <c r="AE102" s="585">
        <v>204</v>
      </c>
      <c r="AF102" s="585">
        <v>204</v>
      </c>
      <c r="AG102" s="342">
        <v>238</v>
      </c>
      <c r="AH102" s="585">
        <v>238</v>
      </c>
      <c r="AI102" s="585">
        <v>238</v>
      </c>
      <c r="AJ102" s="585">
        <v>238</v>
      </c>
      <c r="AK102" s="585">
        <v>238</v>
      </c>
      <c r="AL102" s="585">
        <v>238</v>
      </c>
      <c r="AM102" s="585">
        <v>238</v>
      </c>
      <c r="AN102" s="585">
        <v>238</v>
      </c>
      <c r="AO102" s="585">
        <v>238</v>
      </c>
      <c r="AP102" s="585">
        <v>238</v>
      </c>
      <c r="AQ102" s="585">
        <v>238</v>
      </c>
      <c r="AR102" s="585">
        <v>238</v>
      </c>
      <c r="AS102" s="341">
        <f>253-36</f>
        <v>217</v>
      </c>
    </row>
    <row r="103" spans="2:115" x14ac:dyDescent="0.25">
      <c r="B103" s="117" t="s">
        <v>545</v>
      </c>
      <c r="C103" s="264" t="s">
        <v>160</v>
      </c>
      <c r="D103" s="264" t="s">
        <v>160</v>
      </c>
      <c r="E103" s="264" t="s">
        <v>160</v>
      </c>
      <c r="F103" s="264" t="s">
        <v>160</v>
      </c>
      <c r="G103" s="264" t="s">
        <v>160</v>
      </c>
      <c r="H103" s="265" t="s">
        <v>160</v>
      </c>
      <c r="I103" s="265" t="s">
        <v>160</v>
      </c>
      <c r="J103" s="265" t="s">
        <v>160</v>
      </c>
      <c r="K103" s="265" t="s">
        <v>160</v>
      </c>
      <c r="L103" s="265" t="s">
        <v>160</v>
      </c>
      <c r="M103" s="265" t="s">
        <v>160</v>
      </c>
      <c r="N103" s="265">
        <v>156</v>
      </c>
      <c r="O103" s="265">
        <v>156</v>
      </c>
      <c r="P103" s="265">
        <v>156</v>
      </c>
      <c r="Q103" s="342">
        <v>165</v>
      </c>
      <c r="R103" s="347">
        <v>165</v>
      </c>
      <c r="S103" s="347">
        <v>165</v>
      </c>
      <c r="T103" s="347">
        <v>165</v>
      </c>
      <c r="U103" s="347">
        <v>165</v>
      </c>
      <c r="V103" s="347">
        <f>+U103</f>
        <v>165</v>
      </c>
      <c r="W103" s="342">
        <v>193</v>
      </c>
      <c r="X103" s="347">
        <v>193</v>
      </c>
      <c r="Y103" s="347">
        <v>193</v>
      </c>
      <c r="Z103" s="347">
        <v>190</v>
      </c>
      <c r="AA103" s="347">
        <v>190</v>
      </c>
      <c r="AB103" s="347">
        <v>190</v>
      </c>
      <c r="AC103" s="347">
        <v>190</v>
      </c>
      <c r="AD103" s="347">
        <v>190</v>
      </c>
      <c r="AE103" s="347">
        <v>190</v>
      </c>
      <c r="AF103" s="342">
        <v>205</v>
      </c>
      <c r="AG103" s="585">
        <v>205</v>
      </c>
      <c r="AH103" s="585">
        <v>205</v>
      </c>
      <c r="AI103" s="585">
        <v>205</v>
      </c>
      <c r="AJ103" s="342">
        <v>225</v>
      </c>
      <c r="AK103" s="585">
        <v>225</v>
      </c>
      <c r="AL103" s="342">
        <v>235</v>
      </c>
      <c r="AM103" s="585">
        <v>235</v>
      </c>
      <c r="AN103" s="585">
        <v>235</v>
      </c>
      <c r="AO103" s="585">
        <v>235</v>
      </c>
      <c r="AP103" s="585">
        <v>235</v>
      </c>
      <c r="AQ103" s="585">
        <v>235</v>
      </c>
      <c r="AR103" s="585">
        <v>235</v>
      </c>
      <c r="AS103" s="341">
        <v>224</v>
      </c>
    </row>
    <row r="104" spans="2:115" x14ac:dyDescent="0.25">
      <c r="B104" s="117" t="s">
        <v>546</v>
      </c>
      <c r="C104" s="264" t="s">
        <v>160</v>
      </c>
      <c r="D104" s="264" t="s">
        <v>160</v>
      </c>
      <c r="E104" s="264" t="s">
        <v>160</v>
      </c>
      <c r="F104" s="264" t="s">
        <v>160</v>
      </c>
      <c r="G104" s="264" t="s">
        <v>160</v>
      </c>
      <c r="H104" s="265" t="s">
        <v>160</v>
      </c>
      <c r="I104" s="265" t="s">
        <v>160</v>
      </c>
      <c r="J104" s="265" t="s">
        <v>160</v>
      </c>
      <c r="K104" s="265" t="s">
        <v>160</v>
      </c>
      <c r="L104" s="265" t="s">
        <v>160</v>
      </c>
      <c r="M104" s="265" t="s">
        <v>160</v>
      </c>
      <c r="N104" s="265" t="s">
        <v>160</v>
      </c>
      <c r="O104" s="265" t="s">
        <v>160</v>
      </c>
      <c r="P104" s="265" t="s">
        <v>160</v>
      </c>
      <c r="Q104" s="265" t="s">
        <v>160</v>
      </c>
      <c r="R104" s="349" t="s">
        <v>160</v>
      </c>
      <c r="S104" s="349" t="s">
        <v>160</v>
      </c>
      <c r="T104" s="349">
        <v>201</v>
      </c>
      <c r="U104" s="349">
        <v>201</v>
      </c>
      <c r="V104" s="349">
        <v>201</v>
      </c>
      <c r="W104" s="349">
        <v>201</v>
      </c>
      <c r="X104" s="349">
        <v>201</v>
      </c>
      <c r="Y104" s="349">
        <v>201</v>
      </c>
      <c r="Z104" s="349">
        <v>201</v>
      </c>
      <c r="AA104" s="349">
        <v>201</v>
      </c>
      <c r="AB104" s="349">
        <v>201</v>
      </c>
      <c r="AC104" s="349">
        <v>201</v>
      </c>
      <c r="AD104" s="349">
        <v>201</v>
      </c>
      <c r="AE104" s="349">
        <v>201</v>
      </c>
      <c r="AF104" s="342">
        <v>223</v>
      </c>
      <c r="AG104" s="585">
        <v>223</v>
      </c>
      <c r="AH104" s="585">
        <v>223</v>
      </c>
      <c r="AI104" s="585">
        <v>223</v>
      </c>
      <c r="AJ104" s="342">
        <v>234</v>
      </c>
      <c r="AK104" s="585">
        <v>234</v>
      </c>
      <c r="AL104" s="585">
        <v>234</v>
      </c>
      <c r="AM104" s="585">
        <v>234</v>
      </c>
      <c r="AN104" s="585">
        <v>234</v>
      </c>
      <c r="AO104" s="585">
        <v>234</v>
      </c>
      <c r="AP104" s="585">
        <v>234</v>
      </c>
      <c r="AQ104" s="585">
        <v>234</v>
      </c>
      <c r="AR104" s="585">
        <v>234</v>
      </c>
      <c r="AS104" s="585">
        <v>234</v>
      </c>
    </row>
    <row r="105" spans="2:115" x14ac:dyDescent="0.25">
      <c r="B105" s="117" t="s">
        <v>574</v>
      </c>
      <c r="C105" s="264" t="s">
        <v>160</v>
      </c>
      <c r="D105" s="264" t="s">
        <v>160</v>
      </c>
      <c r="E105" s="264" t="s">
        <v>160</v>
      </c>
      <c r="F105" s="264" t="s">
        <v>160</v>
      </c>
      <c r="G105" s="264" t="s">
        <v>160</v>
      </c>
      <c r="H105" s="264" t="s">
        <v>160</v>
      </c>
      <c r="I105" s="264" t="s">
        <v>160</v>
      </c>
      <c r="J105" s="264" t="s">
        <v>160</v>
      </c>
      <c r="K105" s="264" t="s">
        <v>160</v>
      </c>
      <c r="L105" s="264" t="s">
        <v>160</v>
      </c>
      <c r="M105" s="264" t="s">
        <v>160</v>
      </c>
      <c r="N105" s="264" t="s">
        <v>160</v>
      </c>
      <c r="O105" s="265" t="s">
        <v>160</v>
      </c>
      <c r="P105" s="265" t="s">
        <v>160</v>
      </c>
      <c r="Q105" s="265" t="s">
        <v>160</v>
      </c>
      <c r="R105" s="349" t="s">
        <v>160</v>
      </c>
      <c r="S105" s="349" t="s">
        <v>160</v>
      </c>
      <c r="T105" s="349" t="s">
        <v>160</v>
      </c>
      <c r="U105" s="349" t="s">
        <v>160</v>
      </c>
      <c r="V105" s="349" t="s">
        <v>160</v>
      </c>
      <c r="W105" s="342">
        <f t="shared" ref="W105:AD105" si="77">185+17.3</f>
        <v>202.3</v>
      </c>
      <c r="X105" s="585">
        <f t="shared" si="77"/>
        <v>202.3</v>
      </c>
      <c r="Y105" s="585">
        <f t="shared" si="77"/>
        <v>202.3</v>
      </c>
      <c r="Z105" s="585">
        <f t="shared" si="77"/>
        <v>202.3</v>
      </c>
      <c r="AA105" s="585">
        <f t="shared" si="77"/>
        <v>202.3</v>
      </c>
      <c r="AB105" s="585">
        <f t="shared" si="77"/>
        <v>202.3</v>
      </c>
      <c r="AC105" s="585">
        <f t="shared" si="77"/>
        <v>202.3</v>
      </c>
      <c r="AD105" s="585">
        <f t="shared" si="77"/>
        <v>202.3</v>
      </c>
      <c r="AE105" s="585">
        <v>202.3</v>
      </c>
      <c r="AF105" s="585">
        <v>202.3</v>
      </c>
      <c r="AG105" s="585">
        <v>202.3</v>
      </c>
      <c r="AH105" s="585">
        <v>202.3</v>
      </c>
      <c r="AI105" s="585">
        <v>202.3</v>
      </c>
      <c r="AJ105" s="585">
        <v>202.3</v>
      </c>
      <c r="AK105" s="342">
        <v>226.1</v>
      </c>
      <c r="AL105" s="585">
        <v>226.1</v>
      </c>
      <c r="AM105" s="585">
        <v>226.1</v>
      </c>
      <c r="AN105" s="585" t="s">
        <v>160</v>
      </c>
      <c r="AO105" s="585" t="s">
        <v>160</v>
      </c>
      <c r="AP105" s="585" t="s">
        <v>160</v>
      </c>
      <c r="AQ105" s="585">
        <v>235</v>
      </c>
      <c r="AR105" s="585">
        <v>235</v>
      </c>
      <c r="AS105" s="585">
        <v>235</v>
      </c>
    </row>
    <row r="106" spans="2:115" x14ac:dyDescent="0.25">
      <c r="B106" s="117" t="s">
        <v>547</v>
      </c>
      <c r="C106" s="264" t="s">
        <v>160</v>
      </c>
      <c r="D106" s="264" t="s">
        <v>160</v>
      </c>
      <c r="E106" s="264" t="s">
        <v>160</v>
      </c>
      <c r="F106" s="264" t="s">
        <v>160</v>
      </c>
      <c r="G106" s="265" t="s">
        <v>160</v>
      </c>
      <c r="H106" s="265" t="s">
        <v>160</v>
      </c>
      <c r="I106" s="265" t="s">
        <v>160</v>
      </c>
      <c r="J106" s="265" t="s">
        <v>160</v>
      </c>
      <c r="K106" s="265" t="s">
        <v>160</v>
      </c>
      <c r="L106" s="265">
        <v>160</v>
      </c>
      <c r="M106" s="265">
        <v>160</v>
      </c>
      <c r="N106" s="265">
        <v>160</v>
      </c>
      <c r="O106" s="265">
        <v>160</v>
      </c>
      <c r="P106" s="265">
        <v>160</v>
      </c>
      <c r="Q106" s="343">
        <v>159</v>
      </c>
      <c r="R106" s="349">
        <v>159</v>
      </c>
      <c r="S106" s="349">
        <v>159</v>
      </c>
      <c r="T106" s="349">
        <v>159</v>
      </c>
      <c r="U106" s="349">
        <v>159</v>
      </c>
      <c r="V106" s="342">
        <v>188</v>
      </c>
      <c r="W106" s="349">
        <v>188</v>
      </c>
      <c r="X106" s="349">
        <v>188</v>
      </c>
      <c r="Y106" s="349">
        <v>188</v>
      </c>
      <c r="Z106" s="349">
        <v>188</v>
      </c>
      <c r="AA106" s="349">
        <v>188</v>
      </c>
      <c r="AB106" s="349">
        <v>188</v>
      </c>
      <c r="AC106" s="349">
        <v>188</v>
      </c>
      <c r="AD106" s="342">
        <v>196</v>
      </c>
      <c r="AE106" s="349">
        <v>196</v>
      </c>
      <c r="AF106" s="349">
        <v>196</v>
      </c>
      <c r="AG106" s="349">
        <v>196</v>
      </c>
      <c r="AH106" s="349">
        <v>196</v>
      </c>
      <c r="AI106" s="349" t="s">
        <v>160</v>
      </c>
      <c r="AJ106" s="349" t="s">
        <v>160</v>
      </c>
      <c r="AK106" s="349" t="s">
        <v>160</v>
      </c>
      <c r="AL106" s="349" t="s">
        <v>160</v>
      </c>
      <c r="AM106" s="349" t="s">
        <v>160</v>
      </c>
      <c r="AN106" s="349" t="s">
        <v>160</v>
      </c>
      <c r="AO106" s="349" t="s">
        <v>160</v>
      </c>
      <c r="AP106" s="349">
        <v>227</v>
      </c>
      <c r="AQ106" s="349">
        <v>227</v>
      </c>
      <c r="AR106" s="349">
        <v>227</v>
      </c>
      <c r="AS106" s="349">
        <v>227</v>
      </c>
    </row>
    <row r="107" spans="2:115" customFormat="1" ht="12.75" x14ac:dyDescent="0.2">
      <c r="B107" s="278" t="s">
        <v>557</v>
      </c>
      <c r="C107" s="327" t="str">
        <f t="shared" ref="C107:Q107" si="78">IFERROR(AVERAGE(C102:C106),"-")</f>
        <v>-</v>
      </c>
      <c r="D107" s="327" t="str">
        <f t="shared" si="78"/>
        <v>-</v>
      </c>
      <c r="E107" s="327" t="str">
        <f t="shared" si="78"/>
        <v>-</v>
      </c>
      <c r="F107" s="327" t="str">
        <f t="shared" si="78"/>
        <v>-</v>
      </c>
      <c r="G107" s="327" t="str">
        <f t="shared" si="78"/>
        <v>-</v>
      </c>
      <c r="H107" s="327" t="str">
        <f t="shared" si="78"/>
        <v>-</v>
      </c>
      <c r="I107" s="327" t="str">
        <f t="shared" si="78"/>
        <v>-</v>
      </c>
      <c r="J107" s="327" t="str">
        <f t="shared" si="78"/>
        <v>-</v>
      </c>
      <c r="K107" s="327" t="str">
        <f t="shared" si="78"/>
        <v>-</v>
      </c>
      <c r="L107" s="327">
        <f t="shared" si="78"/>
        <v>160</v>
      </c>
      <c r="M107" s="327">
        <f t="shared" si="78"/>
        <v>160</v>
      </c>
      <c r="N107" s="327">
        <f t="shared" si="78"/>
        <v>158</v>
      </c>
      <c r="O107" s="327">
        <f t="shared" si="78"/>
        <v>158</v>
      </c>
      <c r="P107" s="327">
        <f t="shared" si="78"/>
        <v>158</v>
      </c>
      <c r="Q107" s="327">
        <f t="shared" si="78"/>
        <v>160.33333333333334</v>
      </c>
      <c r="R107" s="350">
        <f t="shared" ref="R107:AF107" si="79">IFERROR(AVERAGE(R102:R106),"-")</f>
        <v>160.33333333333334</v>
      </c>
      <c r="S107" s="350">
        <f t="shared" si="79"/>
        <v>160.33333333333334</v>
      </c>
      <c r="T107" s="350">
        <f t="shared" si="79"/>
        <v>170.5</v>
      </c>
      <c r="U107" s="350">
        <f t="shared" si="79"/>
        <v>182.25</v>
      </c>
      <c r="V107" s="350">
        <f t="shared" si="79"/>
        <v>189.5</v>
      </c>
      <c r="W107" s="350">
        <f t="shared" si="79"/>
        <v>197.66</v>
      </c>
      <c r="X107" s="350">
        <f t="shared" si="79"/>
        <v>197.66</v>
      </c>
      <c r="Y107" s="350">
        <f t="shared" si="79"/>
        <v>197.66</v>
      </c>
      <c r="Z107" s="350">
        <f t="shared" si="79"/>
        <v>197.06</v>
      </c>
      <c r="AA107" s="350">
        <f t="shared" si="79"/>
        <v>197.06</v>
      </c>
      <c r="AB107" s="350">
        <f t="shared" si="79"/>
        <v>197.06</v>
      </c>
      <c r="AC107" s="350">
        <f t="shared" si="79"/>
        <v>197.06</v>
      </c>
      <c r="AD107" s="350">
        <f t="shared" si="79"/>
        <v>198.66</v>
      </c>
      <c r="AE107" s="350">
        <f t="shared" si="79"/>
        <v>198.66</v>
      </c>
      <c r="AF107" s="350">
        <f t="shared" si="79"/>
        <v>206.06</v>
      </c>
      <c r="AG107" s="350">
        <f t="shared" ref="AG107:AL107" si="80">IFERROR(AVERAGE(AG102:AG106),"-")</f>
        <v>212.85999999999999</v>
      </c>
      <c r="AH107" s="350">
        <f t="shared" si="80"/>
        <v>212.85999999999999</v>
      </c>
      <c r="AI107" s="350">
        <f t="shared" si="80"/>
        <v>217.07499999999999</v>
      </c>
      <c r="AJ107" s="350">
        <f t="shared" si="80"/>
        <v>224.82499999999999</v>
      </c>
      <c r="AK107" s="350">
        <f t="shared" si="80"/>
        <v>230.77500000000001</v>
      </c>
      <c r="AL107" s="350">
        <f t="shared" si="80"/>
        <v>233.27500000000001</v>
      </c>
      <c r="AM107" s="350">
        <f t="shared" ref="AM107:AR107" si="81">IFERROR(AVERAGE(AM102:AM106),"-")</f>
        <v>233.27500000000001</v>
      </c>
      <c r="AN107" s="350">
        <f t="shared" si="81"/>
        <v>235.66666666666666</v>
      </c>
      <c r="AO107" s="350">
        <f t="shared" si="81"/>
        <v>235.66666666666666</v>
      </c>
      <c r="AP107" s="350">
        <f t="shared" si="81"/>
        <v>233.5</v>
      </c>
      <c r="AQ107" s="350">
        <f t="shared" si="81"/>
        <v>233.8</v>
      </c>
      <c r="AR107" s="350">
        <f t="shared" si="81"/>
        <v>233.8</v>
      </c>
      <c r="AS107" s="350">
        <f>IFERROR(AVERAGE(AS102:AS106),"-")</f>
        <v>227.4</v>
      </c>
      <c r="DG107" s="1150"/>
      <c r="DH107" s="1150"/>
      <c r="DI107" s="1150"/>
      <c r="DJ107" s="1150"/>
      <c r="DK107" s="1150"/>
    </row>
    <row r="108" spans="2:115" x14ac:dyDescent="0.25">
      <c r="X108" s="340"/>
      <c r="Y108" s="340"/>
      <c r="Z108" s="340"/>
      <c r="AA108" s="340"/>
      <c r="AB108" s="340"/>
      <c r="AC108" s="340"/>
      <c r="AD108" s="340"/>
      <c r="AE108" s="340"/>
      <c r="AF108" s="340"/>
      <c r="AG108" s="340"/>
      <c r="AH108" s="340"/>
      <c r="AI108" s="340"/>
      <c r="AJ108" s="340"/>
      <c r="AK108" s="340"/>
      <c r="AL108" s="340"/>
      <c r="AM108" s="340"/>
      <c r="AN108" s="340"/>
      <c r="AO108" s="340"/>
      <c r="AP108" s="340"/>
      <c r="AQ108" s="340"/>
      <c r="AR108" s="340"/>
      <c r="AS108" s="340"/>
    </row>
    <row r="109" spans="2:115" x14ac:dyDescent="0.25">
      <c r="B109" s="113" t="s">
        <v>592</v>
      </c>
      <c r="C109" s="263">
        <f t="shared" ref="C109:AS109" si="82">+C$117</f>
        <v>42522</v>
      </c>
      <c r="D109" s="263">
        <f t="shared" si="82"/>
        <v>42552</v>
      </c>
      <c r="E109" s="263">
        <f t="shared" si="82"/>
        <v>42583</v>
      </c>
      <c r="F109" s="263">
        <f t="shared" si="82"/>
        <v>42614</v>
      </c>
      <c r="G109" s="263">
        <f t="shared" si="82"/>
        <v>42644</v>
      </c>
      <c r="H109" s="263">
        <f t="shared" si="82"/>
        <v>42675</v>
      </c>
      <c r="I109" s="263">
        <f t="shared" si="82"/>
        <v>42705</v>
      </c>
      <c r="J109" s="263">
        <f t="shared" si="82"/>
        <v>42736</v>
      </c>
      <c r="K109" s="263">
        <f t="shared" si="82"/>
        <v>42767</v>
      </c>
      <c r="L109" s="263">
        <f t="shared" si="82"/>
        <v>42795</v>
      </c>
      <c r="M109" s="263">
        <f t="shared" si="82"/>
        <v>42826</v>
      </c>
      <c r="N109" s="263">
        <f t="shared" si="82"/>
        <v>42856</v>
      </c>
      <c r="O109" s="263">
        <f t="shared" si="82"/>
        <v>42887</v>
      </c>
      <c r="P109" s="263">
        <f t="shared" si="82"/>
        <v>42917</v>
      </c>
      <c r="Q109" s="263">
        <f t="shared" si="82"/>
        <v>42948</v>
      </c>
      <c r="R109" s="263">
        <f t="shared" si="82"/>
        <v>42979</v>
      </c>
      <c r="S109" s="263">
        <f t="shared" si="82"/>
        <v>43009</v>
      </c>
      <c r="T109" s="263">
        <f t="shared" si="82"/>
        <v>43040</v>
      </c>
      <c r="U109" s="263">
        <f t="shared" si="82"/>
        <v>43070</v>
      </c>
      <c r="V109" s="263">
        <f t="shared" si="82"/>
        <v>43101</v>
      </c>
      <c r="W109" s="263">
        <f t="shared" si="82"/>
        <v>43132</v>
      </c>
      <c r="X109" s="263">
        <f t="shared" si="82"/>
        <v>43160</v>
      </c>
      <c r="Y109" s="263">
        <f t="shared" si="82"/>
        <v>43191</v>
      </c>
      <c r="Z109" s="263">
        <f t="shared" si="82"/>
        <v>43221</v>
      </c>
      <c r="AA109" s="263">
        <f t="shared" si="82"/>
        <v>43252</v>
      </c>
      <c r="AB109" s="263">
        <f t="shared" si="82"/>
        <v>43283</v>
      </c>
      <c r="AC109" s="263">
        <f t="shared" si="82"/>
        <v>43314</v>
      </c>
      <c r="AD109" s="263">
        <f t="shared" si="82"/>
        <v>43345</v>
      </c>
      <c r="AE109" s="263">
        <f t="shared" si="82"/>
        <v>43376</v>
      </c>
      <c r="AF109" s="263">
        <f t="shared" si="82"/>
        <v>43407</v>
      </c>
      <c r="AG109" s="263">
        <f t="shared" si="82"/>
        <v>43437</v>
      </c>
      <c r="AH109" s="263">
        <f t="shared" si="82"/>
        <v>43468</v>
      </c>
      <c r="AI109" s="263">
        <f t="shared" si="82"/>
        <v>43499</v>
      </c>
      <c r="AJ109" s="263">
        <f t="shared" si="82"/>
        <v>43527</v>
      </c>
      <c r="AK109" s="263">
        <f t="shared" si="82"/>
        <v>43558</v>
      </c>
      <c r="AL109" s="263">
        <f t="shared" si="82"/>
        <v>43587</v>
      </c>
      <c r="AM109" s="263">
        <f t="shared" si="82"/>
        <v>43618</v>
      </c>
      <c r="AN109" s="263">
        <f t="shared" si="82"/>
        <v>43647</v>
      </c>
      <c r="AO109" s="263">
        <f t="shared" si="82"/>
        <v>43678</v>
      </c>
      <c r="AP109" s="263">
        <f t="shared" si="82"/>
        <v>43709</v>
      </c>
      <c r="AQ109" s="263">
        <f t="shared" si="82"/>
        <v>43739</v>
      </c>
      <c r="AR109" s="263">
        <f t="shared" si="82"/>
        <v>43770</v>
      </c>
      <c r="AS109" s="263">
        <f t="shared" si="82"/>
        <v>43800</v>
      </c>
    </row>
    <row r="110" spans="2:115" x14ac:dyDescent="0.25">
      <c r="B110" s="117" t="s">
        <v>542</v>
      </c>
      <c r="C110" s="264" t="s">
        <v>160</v>
      </c>
      <c r="D110" s="264" t="s">
        <v>160</v>
      </c>
      <c r="E110" s="264" t="s">
        <v>160</v>
      </c>
      <c r="F110" s="265" t="s">
        <v>160</v>
      </c>
      <c r="G110" s="265" t="s">
        <v>160</v>
      </c>
      <c r="H110" s="265" t="s">
        <v>160</v>
      </c>
      <c r="I110" s="265" t="s">
        <v>160</v>
      </c>
      <c r="J110" s="265" t="s">
        <v>160</v>
      </c>
      <c r="K110" s="265" t="s">
        <v>160</v>
      </c>
      <c r="L110" s="265" t="s">
        <v>160</v>
      </c>
      <c r="M110" s="265" t="s">
        <v>160</v>
      </c>
      <c r="N110" s="265" t="s">
        <v>160</v>
      </c>
      <c r="O110" s="265" t="s">
        <v>160</v>
      </c>
      <c r="P110" s="265" t="s">
        <v>160</v>
      </c>
      <c r="Q110" s="265">
        <v>76</v>
      </c>
      <c r="R110" s="349">
        <v>76</v>
      </c>
      <c r="S110" s="349">
        <v>76</v>
      </c>
      <c r="T110" s="349">
        <v>76</v>
      </c>
      <c r="U110" s="342">
        <v>105</v>
      </c>
      <c r="V110" s="585">
        <v>105</v>
      </c>
      <c r="W110" s="585">
        <v>105</v>
      </c>
      <c r="X110" s="585">
        <v>105</v>
      </c>
      <c r="Y110" s="585">
        <v>105</v>
      </c>
      <c r="Z110" s="585">
        <v>105</v>
      </c>
      <c r="AA110" s="585">
        <v>105</v>
      </c>
      <c r="AB110" s="585">
        <v>105</v>
      </c>
      <c r="AC110" s="585">
        <v>105</v>
      </c>
      <c r="AD110" s="585">
        <v>105</v>
      </c>
      <c r="AE110" s="585">
        <v>105</v>
      </c>
      <c r="AF110" s="585">
        <v>105</v>
      </c>
      <c r="AG110" s="679">
        <v>138</v>
      </c>
      <c r="AH110" s="585">
        <v>138</v>
      </c>
      <c r="AI110" s="585">
        <v>138</v>
      </c>
      <c r="AJ110" s="585">
        <v>138</v>
      </c>
      <c r="AK110" s="585">
        <v>138</v>
      </c>
      <c r="AL110" s="585">
        <v>138</v>
      </c>
      <c r="AM110" s="585">
        <v>138</v>
      </c>
      <c r="AN110" s="585">
        <v>138</v>
      </c>
      <c r="AO110" s="585">
        <v>138</v>
      </c>
      <c r="AP110" s="585">
        <v>138</v>
      </c>
      <c r="AQ110" s="585">
        <v>138</v>
      </c>
      <c r="AR110" s="585">
        <v>138</v>
      </c>
      <c r="AS110" s="341">
        <v>136</v>
      </c>
    </row>
    <row r="111" spans="2:115" x14ac:dyDescent="0.25">
      <c r="B111" s="117" t="s">
        <v>545</v>
      </c>
      <c r="C111" s="264" t="s">
        <v>160</v>
      </c>
      <c r="D111" s="264" t="s">
        <v>160</v>
      </c>
      <c r="E111" s="264" t="s">
        <v>160</v>
      </c>
      <c r="F111" s="264" t="s">
        <v>160</v>
      </c>
      <c r="G111" s="264" t="s">
        <v>160</v>
      </c>
      <c r="H111" s="265" t="s">
        <v>160</v>
      </c>
      <c r="I111" s="265" t="s">
        <v>160</v>
      </c>
      <c r="J111" s="265" t="s">
        <v>160</v>
      </c>
      <c r="K111" s="265" t="s">
        <v>160</v>
      </c>
      <c r="L111" s="265" t="s">
        <v>160</v>
      </c>
      <c r="M111" s="265" t="s">
        <v>160</v>
      </c>
      <c r="N111" s="265">
        <v>70</v>
      </c>
      <c r="O111" s="265">
        <v>70</v>
      </c>
      <c r="P111" s="265">
        <v>70</v>
      </c>
      <c r="Q111" s="342">
        <v>76</v>
      </c>
      <c r="R111" s="347">
        <v>76</v>
      </c>
      <c r="S111" s="347">
        <v>76</v>
      </c>
      <c r="T111" s="347">
        <v>76</v>
      </c>
      <c r="U111" s="347">
        <v>76</v>
      </c>
      <c r="V111" s="347">
        <f>+U111</f>
        <v>76</v>
      </c>
      <c r="W111" s="347">
        <v>101</v>
      </c>
      <c r="X111" s="347">
        <v>101</v>
      </c>
      <c r="Y111" s="347">
        <v>101</v>
      </c>
      <c r="Z111" s="347">
        <v>102</v>
      </c>
      <c r="AA111" s="347">
        <v>102</v>
      </c>
      <c r="AB111" s="347">
        <v>102</v>
      </c>
      <c r="AC111" s="347">
        <v>102</v>
      </c>
      <c r="AD111" s="347">
        <v>102</v>
      </c>
      <c r="AE111" s="347">
        <v>102</v>
      </c>
      <c r="AF111" s="679">
        <v>109</v>
      </c>
      <c r="AG111" s="586">
        <v>109</v>
      </c>
      <c r="AH111" s="586">
        <v>109</v>
      </c>
      <c r="AI111" s="586">
        <v>109</v>
      </c>
      <c r="AJ111" s="342">
        <v>122</v>
      </c>
      <c r="AK111" s="586">
        <v>122</v>
      </c>
      <c r="AL111" s="342">
        <v>135</v>
      </c>
      <c r="AM111" s="586">
        <v>135</v>
      </c>
      <c r="AN111" s="586">
        <v>135</v>
      </c>
      <c r="AO111" s="586">
        <v>135</v>
      </c>
      <c r="AP111" s="586">
        <v>135</v>
      </c>
      <c r="AQ111" s="586">
        <v>135</v>
      </c>
      <c r="AR111" s="586">
        <v>135</v>
      </c>
      <c r="AS111" s="703">
        <v>142</v>
      </c>
    </row>
    <row r="112" spans="2:115" x14ac:dyDescent="0.25">
      <c r="B112" s="117" t="s">
        <v>546</v>
      </c>
      <c r="C112" s="264" t="s">
        <v>160</v>
      </c>
      <c r="D112" s="264" t="s">
        <v>160</v>
      </c>
      <c r="E112" s="264" t="s">
        <v>160</v>
      </c>
      <c r="F112" s="264" t="s">
        <v>160</v>
      </c>
      <c r="G112" s="264" t="s">
        <v>160</v>
      </c>
      <c r="H112" s="265" t="s">
        <v>160</v>
      </c>
      <c r="I112" s="265" t="s">
        <v>160</v>
      </c>
      <c r="J112" s="265" t="s">
        <v>160</v>
      </c>
      <c r="K112" s="265" t="s">
        <v>160</v>
      </c>
      <c r="L112" s="265" t="s">
        <v>160</v>
      </c>
      <c r="M112" s="265" t="s">
        <v>160</v>
      </c>
      <c r="N112" s="265" t="s">
        <v>160</v>
      </c>
      <c r="O112" s="265" t="s">
        <v>160</v>
      </c>
      <c r="P112" s="265" t="s">
        <v>160</v>
      </c>
      <c r="Q112" s="265" t="s">
        <v>160</v>
      </c>
      <c r="R112" s="349" t="s">
        <v>160</v>
      </c>
      <c r="S112" s="349" t="s">
        <v>160</v>
      </c>
      <c r="T112" s="349">
        <v>106</v>
      </c>
      <c r="U112" s="349">
        <v>106</v>
      </c>
      <c r="V112" s="349">
        <v>106</v>
      </c>
      <c r="W112" s="349">
        <v>106</v>
      </c>
      <c r="X112" s="349">
        <v>106</v>
      </c>
      <c r="Y112" s="349">
        <v>106</v>
      </c>
      <c r="Z112" s="349">
        <v>106</v>
      </c>
      <c r="AA112" s="349">
        <v>106</v>
      </c>
      <c r="AB112" s="349">
        <v>106</v>
      </c>
      <c r="AC112" s="349">
        <v>106</v>
      </c>
      <c r="AD112" s="349">
        <v>106</v>
      </c>
      <c r="AE112" s="349">
        <v>106</v>
      </c>
      <c r="AF112" s="679">
        <v>128</v>
      </c>
      <c r="AG112" s="586">
        <v>128</v>
      </c>
      <c r="AH112" s="586">
        <v>128</v>
      </c>
      <c r="AI112" s="586">
        <v>128</v>
      </c>
      <c r="AJ112" s="342">
        <v>135</v>
      </c>
      <c r="AK112" s="586">
        <v>135</v>
      </c>
      <c r="AL112" s="586">
        <v>135</v>
      </c>
      <c r="AM112" s="586">
        <v>135</v>
      </c>
      <c r="AN112" s="586">
        <v>135</v>
      </c>
      <c r="AO112" s="586">
        <v>135</v>
      </c>
      <c r="AP112" s="586">
        <v>135</v>
      </c>
      <c r="AQ112" s="586">
        <v>135</v>
      </c>
      <c r="AR112" s="586">
        <v>135</v>
      </c>
      <c r="AS112" s="586">
        <v>135</v>
      </c>
    </row>
    <row r="113" spans="2:115" x14ac:dyDescent="0.25">
      <c r="B113" s="117" t="s">
        <v>574</v>
      </c>
      <c r="C113" s="264" t="s">
        <v>160</v>
      </c>
      <c r="D113" s="264" t="s">
        <v>160</v>
      </c>
      <c r="E113" s="264" t="s">
        <v>160</v>
      </c>
      <c r="F113" s="264" t="s">
        <v>160</v>
      </c>
      <c r="G113" s="264" t="s">
        <v>160</v>
      </c>
      <c r="H113" s="264" t="s">
        <v>160</v>
      </c>
      <c r="I113" s="264" t="s">
        <v>160</v>
      </c>
      <c r="J113" s="264" t="s">
        <v>160</v>
      </c>
      <c r="K113" s="264" t="s">
        <v>160</v>
      </c>
      <c r="L113" s="264" t="s">
        <v>160</v>
      </c>
      <c r="M113" s="264" t="s">
        <v>160</v>
      </c>
      <c r="N113" s="264" t="s">
        <v>160</v>
      </c>
      <c r="O113" s="265" t="s">
        <v>160</v>
      </c>
      <c r="P113" s="265" t="s">
        <v>160</v>
      </c>
      <c r="Q113" s="265" t="s">
        <v>160</v>
      </c>
      <c r="R113" s="349" t="s">
        <v>160</v>
      </c>
      <c r="S113" s="349" t="s">
        <v>160</v>
      </c>
      <c r="T113" s="349" t="s">
        <v>160</v>
      </c>
      <c r="U113" s="349" t="s">
        <v>160</v>
      </c>
      <c r="V113" s="349" t="s">
        <v>160</v>
      </c>
      <c r="W113" s="342">
        <v>95</v>
      </c>
      <c r="X113" s="586">
        <v>95</v>
      </c>
      <c r="Y113" s="586">
        <v>95</v>
      </c>
      <c r="Z113" s="586">
        <v>95</v>
      </c>
      <c r="AA113" s="586">
        <v>95</v>
      </c>
      <c r="AB113" s="586">
        <v>95</v>
      </c>
      <c r="AC113" s="586">
        <v>95</v>
      </c>
      <c r="AD113" s="586">
        <v>95</v>
      </c>
      <c r="AE113" s="586">
        <v>95</v>
      </c>
      <c r="AF113" s="586">
        <v>95</v>
      </c>
      <c r="AG113" s="586">
        <v>95</v>
      </c>
      <c r="AH113" s="586">
        <v>95</v>
      </c>
      <c r="AI113" s="586">
        <v>95</v>
      </c>
      <c r="AJ113" s="586">
        <v>95</v>
      </c>
      <c r="AK113" s="342">
        <v>138</v>
      </c>
      <c r="AL113" s="586">
        <v>138</v>
      </c>
      <c r="AM113" s="586">
        <v>138</v>
      </c>
      <c r="AN113" s="586" t="s">
        <v>160</v>
      </c>
      <c r="AO113" s="586" t="s">
        <v>160</v>
      </c>
      <c r="AP113" s="586" t="s">
        <v>160</v>
      </c>
      <c r="AQ113" s="586">
        <v>149</v>
      </c>
      <c r="AR113" s="586">
        <v>149</v>
      </c>
      <c r="AS113" s="586">
        <v>149</v>
      </c>
    </row>
    <row r="114" spans="2:115" x14ac:dyDescent="0.25">
      <c r="B114" s="117" t="s">
        <v>547</v>
      </c>
      <c r="C114" s="264" t="s">
        <v>160</v>
      </c>
      <c r="D114" s="264" t="s">
        <v>160</v>
      </c>
      <c r="E114" s="264" t="s">
        <v>160</v>
      </c>
      <c r="F114" s="264" t="s">
        <v>160</v>
      </c>
      <c r="G114" s="265" t="s">
        <v>160</v>
      </c>
      <c r="H114" s="265" t="s">
        <v>160</v>
      </c>
      <c r="I114" s="265" t="s">
        <v>160</v>
      </c>
      <c r="J114" s="265" t="s">
        <v>160</v>
      </c>
      <c r="K114" s="265" t="s">
        <v>160</v>
      </c>
      <c r="L114" s="265">
        <v>67</v>
      </c>
      <c r="M114" s="265">
        <v>67</v>
      </c>
      <c r="N114" s="265">
        <v>67</v>
      </c>
      <c r="O114" s="265">
        <v>67</v>
      </c>
      <c r="P114" s="265">
        <v>67</v>
      </c>
      <c r="Q114" s="342">
        <v>77</v>
      </c>
      <c r="R114" s="347">
        <v>77</v>
      </c>
      <c r="S114" s="347">
        <v>77</v>
      </c>
      <c r="T114" s="347">
        <v>77</v>
      </c>
      <c r="U114" s="347">
        <v>77</v>
      </c>
      <c r="V114" s="342">
        <v>99</v>
      </c>
      <c r="W114" s="347">
        <v>99</v>
      </c>
      <c r="X114" s="347">
        <v>99</v>
      </c>
      <c r="Y114" s="347">
        <v>99</v>
      </c>
      <c r="Z114" s="347">
        <v>99</v>
      </c>
      <c r="AA114" s="347">
        <v>99</v>
      </c>
      <c r="AB114" s="347">
        <v>99</v>
      </c>
      <c r="AC114" s="347">
        <v>99</v>
      </c>
      <c r="AD114" s="342">
        <v>120</v>
      </c>
      <c r="AE114" s="347">
        <v>120</v>
      </c>
      <c r="AF114" s="347">
        <v>120</v>
      </c>
      <c r="AG114" s="347">
        <v>120</v>
      </c>
      <c r="AH114" s="347">
        <v>120</v>
      </c>
      <c r="AI114" s="347" t="s">
        <v>160</v>
      </c>
      <c r="AJ114" s="347" t="s">
        <v>160</v>
      </c>
      <c r="AK114" s="347" t="s">
        <v>160</v>
      </c>
      <c r="AL114" s="347" t="s">
        <v>160</v>
      </c>
      <c r="AM114" s="347" t="s">
        <v>160</v>
      </c>
      <c r="AN114" s="347" t="s">
        <v>160</v>
      </c>
      <c r="AO114" s="347" t="s">
        <v>160</v>
      </c>
      <c r="AP114" s="347">
        <v>142</v>
      </c>
      <c r="AQ114" s="347">
        <v>142</v>
      </c>
      <c r="AR114" s="347">
        <v>142</v>
      </c>
      <c r="AS114" s="347">
        <v>142</v>
      </c>
    </row>
    <row r="115" spans="2:115" customFormat="1" ht="12.75" x14ac:dyDescent="0.2">
      <c r="B115" s="278" t="s">
        <v>557</v>
      </c>
      <c r="C115" s="327" t="str">
        <f t="shared" ref="C115:Q115" si="83">IFERROR(AVERAGE(C110:C114),"-")</f>
        <v>-</v>
      </c>
      <c r="D115" s="327" t="str">
        <f t="shared" si="83"/>
        <v>-</v>
      </c>
      <c r="E115" s="327" t="str">
        <f t="shared" si="83"/>
        <v>-</v>
      </c>
      <c r="F115" s="327" t="str">
        <f t="shared" si="83"/>
        <v>-</v>
      </c>
      <c r="G115" s="327" t="str">
        <f t="shared" si="83"/>
        <v>-</v>
      </c>
      <c r="H115" s="327" t="str">
        <f t="shared" si="83"/>
        <v>-</v>
      </c>
      <c r="I115" s="327" t="str">
        <f t="shared" si="83"/>
        <v>-</v>
      </c>
      <c r="J115" s="327" t="str">
        <f t="shared" si="83"/>
        <v>-</v>
      </c>
      <c r="K115" s="327" t="str">
        <f t="shared" si="83"/>
        <v>-</v>
      </c>
      <c r="L115" s="327">
        <f t="shared" si="83"/>
        <v>67</v>
      </c>
      <c r="M115" s="327">
        <f t="shared" si="83"/>
        <v>67</v>
      </c>
      <c r="N115" s="327">
        <f t="shared" si="83"/>
        <v>68.5</v>
      </c>
      <c r="O115" s="327">
        <f t="shared" si="83"/>
        <v>68.5</v>
      </c>
      <c r="P115" s="327">
        <f t="shared" si="83"/>
        <v>68.5</v>
      </c>
      <c r="Q115" s="327">
        <f t="shared" si="83"/>
        <v>76.333333333333329</v>
      </c>
      <c r="R115" s="350">
        <f t="shared" ref="R115:AF115" si="84">IFERROR(AVERAGE(R110:R114),"-")</f>
        <v>76.333333333333329</v>
      </c>
      <c r="S115" s="350">
        <f t="shared" si="84"/>
        <v>76.333333333333329</v>
      </c>
      <c r="T115" s="350">
        <f t="shared" si="84"/>
        <v>83.75</v>
      </c>
      <c r="U115" s="350">
        <f t="shared" si="84"/>
        <v>91</v>
      </c>
      <c r="V115" s="350">
        <f t="shared" si="84"/>
        <v>96.5</v>
      </c>
      <c r="W115" s="350">
        <f t="shared" si="84"/>
        <v>101.2</v>
      </c>
      <c r="X115" s="350">
        <f t="shared" si="84"/>
        <v>101.2</v>
      </c>
      <c r="Y115" s="350">
        <f t="shared" si="84"/>
        <v>101.2</v>
      </c>
      <c r="Z115" s="350">
        <f t="shared" si="84"/>
        <v>101.4</v>
      </c>
      <c r="AA115" s="350">
        <f t="shared" si="84"/>
        <v>101.4</v>
      </c>
      <c r="AB115" s="350">
        <f t="shared" si="84"/>
        <v>101.4</v>
      </c>
      <c r="AC115" s="350">
        <f t="shared" si="84"/>
        <v>101.4</v>
      </c>
      <c r="AD115" s="350">
        <f t="shared" si="84"/>
        <v>105.6</v>
      </c>
      <c r="AE115" s="350">
        <f t="shared" si="84"/>
        <v>105.6</v>
      </c>
      <c r="AF115" s="350">
        <f t="shared" si="84"/>
        <v>111.4</v>
      </c>
      <c r="AG115" s="350">
        <f t="shared" ref="AG115:AL115" si="85">IFERROR(AVERAGE(AG110:AG114),"-")</f>
        <v>118</v>
      </c>
      <c r="AH115" s="350">
        <f t="shared" si="85"/>
        <v>118</v>
      </c>
      <c r="AI115" s="350">
        <f t="shared" si="85"/>
        <v>117.5</v>
      </c>
      <c r="AJ115" s="350">
        <f t="shared" si="85"/>
        <v>122.5</v>
      </c>
      <c r="AK115" s="350">
        <f t="shared" si="85"/>
        <v>133.25</v>
      </c>
      <c r="AL115" s="350">
        <f t="shared" si="85"/>
        <v>136.5</v>
      </c>
      <c r="AM115" s="350">
        <f t="shared" ref="AM115:AR115" si="86">IFERROR(AVERAGE(AM110:AM114),"-")</f>
        <v>136.5</v>
      </c>
      <c r="AN115" s="350">
        <f t="shared" si="86"/>
        <v>136</v>
      </c>
      <c r="AO115" s="350">
        <f t="shared" si="86"/>
        <v>136</v>
      </c>
      <c r="AP115" s="350">
        <f t="shared" si="86"/>
        <v>137.5</v>
      </c>
      <c r="AQ115" s="350">
        <f t="shared" si="86"/>
        <v>139.80000000000001</v>
      </c>
      <c r="AR115" s="350">
        <f t="shared" si="86"/>
        <v>139.80000000000001</v>
      </c>
      <c r="AS115" s="350">
        <f>IFERROR(AVERAGE(AS110:AS114),"-")</f>
        <v>140.80000000000001</v>
      </c>
      <c r="DG115" s="1150"/>
      <c r="DH115" s="1150"/>
      <c r="DI115" s="1150"/>
      <c r="DJ115" s="1150"/>
      <c r="DK115" s="1150"/>
    </row>
    <row r="116" spans="2:115" x14ac:dyDescent="0.25">
      <c r="X116" s="340"/>
      <c r="Y116" s="340"/>
      <c r="Z116" s="340"/>
      <c r="AA116" s="340"/>
      <c r="AB116" s="340"/>
      <c r="AC116" s="340"/>
      <c r="AD116" s="340"/>
      <c r="AE116" s="340"/>
      <c r="AF116" s="340"/>
      <c r="AG116" s="340"/>
      <c r="AH116" s="340"/>
      <c r="AI116" s="340"/>
      <c r="AJ116" s="340"/>
      <c r="AK116" s="340"/>
      <c r="AL116" s="340"/>
      <c r="AM116" s="340"/>
      <c r="AN116" s="340"/>
      <c r="AO116" s="340"/>
      <c r="AP116" s="340"/>
      <c r="AQ116" s="340"/>
      <c r="AR116" s="340"/>
      <c r="AS116" s="340"/>
      <c r="AV116" s="913"/>
    </row>
    <row r="117" spans="2:115" x14ac:dyDescent="0.25">
      <c r="B117" s="113" t="s">
        <v>861</v>
      </c>
      <c r="C117" s="263">
        <v>42522</v>
      </c>
      <c r="D117" s="263">
        <v>42552</v>
      </c>
      <c r="E117" s="263">
        <v>42583</v>
      </c>
      <c r="F117" s="263">
        <v>42614</v>
      </c>
      <c r="G117" s="263">
        <v>42644</v>
      </c>
      <c r="H117" s="263">
        <v>42675</v>
      </c>
      <c r="I117" s="263">
        <v>42705</v>
      </c>
      <c r="J117" s="263">
        <v>42736</v>
      </c>
      <c r="K117" s="263">
        <v>42767</v>
      </c>
      <c r="L117" s="263">
        <v>42795</v>
      </c>
      <c r="M117" s="263">
        <v>42826</v>
      </c>
      <c r="N117" s="263">
        <v>42856</v>
      </c>
      <c r="O117" s="263">
        <v>42887</v>
      </c>
      <c r="P117" s="263">
        <v>42917</v>
      </c>
      <c r="Q117" s="263">
        <v>42948</v>
      </c>
      <c r="R117" s="263">
        <v>42979</v>
      </c>
      <c r="S117" s="263">
        <v>43009</v>
      </c>
      <c r="T117" s="263">
        <v>43040</v>
      </c>
      <c r="U117" s="263">
        <v>43070</v>
      </c>
      <c r="V117" s="263">
        <v>43101</v>
      </c>
      <c r="W117" s="263">
        <v>43132</v>
      </c>
      <c r="X117" s="263">
        <v>43160</v>
      </c>
      <c r="Y117" s="263">
        <v>43191</v>
      </c>
      <c r="Z117" s="263">
        <v>43221</v>
      </c>
      <c r="AA117" s="263">
        <v>43252</v>
      </c>
      <c r="AB117" s="263">
        <v>43283</v>
      </c>
      <c r="AC117" s="263">
        <v>43314</v>
      </c>
      <c r="AD117" s="263">
        <v>43345</v>
      </c>
      <c r="AE117" s="263">
        <v>43376</v>
      </c>
      <c r="AF117" s="263">
        <v>43407</v>
      </c>
      <c r="AG117" s="263">
        <v>43437</v>
      </c>
      <c r="AH117" s="263">
        <v>43468</v>
      </c>
      <c r="AI117" s="263">
        <v>43499</v>
      </c>
      <c r="AJ117" s="263">
        <v>43527</v>
      </c>
      <c r="AK117" s="263">
        <v>43558</v>
      </c>
      <c r="AL117" s="263">
        <v>43587</v>
      </c>
      <c r="AM117" s="263">
        <v>43618</v>
      </c>
      <c r="AN117" s="263">
        <v>43647</v>
      </c>
      <c r="AO117" s="263">
        <v>43678</v>
      </c>
      <c r="AP117" s="263">
        <v>43709</v>
      </c>
      <c r="AQ117" s="263">
        <v>43739</v>
      </c>
      <c r="AR117" s="263">
        <v>43770</v>
      </c>
      <c r="AS117" s="263">
        <v>43800</v>
      </c>
      <c r="AT117" s="263">
        <v>43831</v>
      </c>
      <c r="AU117" s="263">
        <v>43862</v>
      </c>
      <c r="AV117" s="914">
        <v>43891</v>
      </c>
      <c r="AW117" s="263">
        <v>43922</v>
      </c>
      <c r="AX117" s="263">
        <v>43952</v>
      </c>
      <c r="AY117" s="263">
        <v>43983</v>
      </c>
      <c r="AZ117" s="263">
        <v>44013</v>
      </c>
      <c r="BA117" s="263">
        <v>44044</v>
      </c>
      <c r="BB117" s="263">
        <v>44075</v>
      </c>
      <c r="BC117" s="263">
        <v>44105</v>
      </c>
      <c r="BD117" s="263">
        <v>44136</v>
      </c>
      <c r="BE117"/>
      <c r="BF117"/>
      <c r="BG117"/>
      <c r="BH117"/>
      <c r="BI117"/>
      <c r="BJ117"/>
      <c r="BK117"/>
      <c r="BL117"/>
      <c r="BM117"/>
      <c r="BN117"/>
      <c r="BO117"/>
      <c r="BP117"/>
      <c r="BQ117"/>
      <c r="BR117"/>
      <c r="BS117"/>
      <c r="BT117"/>
      <c r="BU117"/>
    </row>
    <row r="118" spans="2:115" x14ac:dyDescent="0.25">
      <c r="B118" s="117" t="s">
        <v>542</v>
      </c>
      <c r="C118" s="264" t="s">
        <v>160</v>
      </c>
      <c r="D118" s="264" t="s">
        <v>160</v>
      </c>
      <c r="E118" s="264" t="s">
        <v>160</v>
      </c>
      <c r="F118" s="264" t="s">
        <v>160</v>
      </c>
      <c r="G118" s="264" t="s">
        <v>160</v>
      </c>
      <c r="H118" s="264" t="s">
        <v>160</v>
      </c>
      <c r="I118" s="264" t="s">
        <v>160</v>
      </c>
      <c r="J118" s="264" t="s">
        <v>160</v>
      </c>
      <c r="K118" s="264" t="s">
        <v>160</v>
      </c>
      <c r="L118" s="264" t="s">
        <v>160</v>
      </c>
      <c r="M118" s="264" t="s">
        <v>160</v>
      </c>
      <c r="N118" s="264" t="s">
        <v>160</v>
      </c>
      <c r="O118" s="264" t="s">
        <v>160</v>
      </c>
      <c r="P118" s="264" t="s">
        <v>160</v>
      </c>
      <c r="Q118" s="264" t="s">
        <v>160</v>
      </c>
      <c r="R118" s="264" t="s">
        <v>160</v>
      </c>
      <c r="S118" s="264" t="s">
        <v>160</v>
      </c>
      <c r="T118" s="264" t="s">
        <v>160</v>
      </c>
      <c r="U118" s="675" t="s">
        <v>160</v>
      </c>
      <c r="V118" s="675" t="s">
        <v>160</v>
      </c>
      <c r="W118" s="675" t="s">
        <v>160</v>
      </c>
      <c r="X118" s="675" t="s">
        <v>160</v>
      </c>
      <c r="Y118" s="675" t="s">
        <v>160</v>
      </c>
      <c r="Z118" s="675" t="s">
        <v>160</v>
      </c>
      <c r="AA118" s="675" t="s">
        <v>160</v>
      </c>
      <c r="AB118" s="675" t="s">
        <v>160</v>
      </c>
      <c r="AC118" s="675" t="s">
        <v>160</v>
      </c>
      <c r="AD118" s="675" t="s">
        <v>160</v>
      </c>
      <c r="AE118" s="675" t="s">
        <v>160</v>
      </c>
      <c r="AF118" s="675" t="s">
        <v>160</v>
      </c>
      <c r="AG118" s="675" t="s">
        <v>160</v>
      </c>
      <c r="AH118" s="675" t="s">
        <v>160</v>
      </c>
      <c r="AI118" s="675" t="s">
        <v>160</v>
      </c>
      <c r="AJ118" s="675" t="s">
        <v>160</v>
      </c>
      <c r="AK118" s="675" t="s">
        <v>160</v>
      </c>
      <c r="AL118" s="675" t="s">
        <v>160</v>
      </c>
      <c r="AM118" s="675" t="s">
        <v>160</v>
      </c>
      <c r="AN118" s="675" t="s">
        <v>160</v>
      </c>
      <c r="AO118" s="675" t="s">
        <v>160</v>
      </c>
      <c r="AP118" s="675" t="s">
        <v>160</v>
      </c>
      <c r="AQ118" s="675" t="s">
        <v>160</v>
      </c>
      <c r="AR118" s="675" t="s">
        <v>160</v>
      </c>
      <c r="AS118" s="675">
        <v>42</v>
      </c>
      <c r="AT118" s="590">
        <v>42</v>
      </c>
      <c r="AU118" s="590">
        <v>42</v>
      </c>
      <c r="AV118" s="590">
        <v>42</v>
      </c>
      <c r="AW118" s="828" t="s">
        <v>160</v>
      </c>
      <c r="AX118" s="829" t="s">
        <v>160</v>
      </c>
      <c r="AY118" s="830">
        <v>27.5</v>
      </c>
      <c r="AZ118" s="590">
        <v>27.5</v>
      </c>
      <c r="BA118" s="590">
        <v>27.5</v>
      </c>
      <c r="BB118" s="590">
        <v>27.5</v>
      </c>
      <c r="BC118" s="590">
        <v>27.5</v>
      </c>
      <c r="BD118" s="590">
        <v>27.5</v>
      </c>
      <c r="BE118"/>
      <c r="BF118"/>
      <c r="BG118"/>
      <c r="BH118"/>
      <c r="BI118"/>
      <c r="BJ118"/>
      <c r="BK118"/>
      <c r="BL118"/>
      <c r="BM118"/>
      <c r="BN118"/>
      <c r="BO118"/>
      <c r="BP118"/>
      <c r="BQ118"/>
      <c r="BR118"/>
      <c r="BS118"/>
      <c r="BT118"/>
      <c r="BU118"/>
    </row>
    <row r="119" spans="2:115" x14ac:dyDescent="0.25">
      <c r="B119" s="117" t="s">
        <v>545</v>
      </c>
      <c r="C119" s="264" t="s">
        <v>160</v>
      </c>
      <c r="D119" s="264" t="s">
        <v>160</v>
      </c>
      <c r="E119" s="264" t="s">
        <v>160</v>
      </c>
      <c r="F119" s="264" t="s">
        <v>160</v>
      </c>
      <c r="G119" s="264" t="s">
        <v>160</v>
      </c>
      <c r="H119" s="264" t="s">
        <v>160</v>
      </c>
      <c r="I119" s="264" t="s">
        <v>160</v>
      </c>
      <c r="J119" s="264" t="s">
        <v>160</v>
      </c>
      <c r="K119" s="264" t="s">
        <v>160</v>
      </c>
      <c r="L119" s="264" t="s">
        <v>160</v>
      </c>
      <c r="M119" s="264" t="s">
        <v>160</v>
      </c>
      <c r="N119" s="264" t="s">
        <v>160</v>
      </c>
      <c r="O119" s="264" t="s">
        <v>160</v>
      </c>
      <c r="P119" s="264" t="s">
        <v>160</v>
      </c>
      <c r="Q119" s="264" t="s">
        <v>160</v>
      </c>
      <c r="R119" s="264" t="s">
        <v>160</v>
      </c>
      <c r="S119" s="264" t="s">
        <v>160</v>
      </c>
      <c r="T119" s="264" t="s">
        <v>160</v>
      </c>
      <c r="U119" s="264" t="s">
        <v>160</v>
      </c>
      <c r="V119" s="264" t="s">
        <v>160</v>
      </c>
      <c r="W119" s="264" t="s">
        <v>160</v>
      </c>
      <c r="X119" s="264" t="s">
        <v>160</v>
      </c>
      <c r="Y119" s="264" t="s">
        <v>160</v>
      </c>
      <c r="Z119" s="264" t="s">
        <v>160</v>
      </c>
      <c r="AA119" s="264" t="s">
        <v>160</v>
      </c>
      <c r="AB119" s="264" t="s">
        <v>160</v>
      </c>
      <c r="AC119" s="264" t="s">
        <v>160</v>
      </c>
      <c r="AD119" s="264" t="s">
        <v>160</v>
      </c>
      <c r="AE119" s="264" t="s">
        <v>160</v>
      </c>
      <c r="AF119" s="264" t="s">
        <v>160</v>
      </c>
      <c r="AG119" s="264" t="s">
        <v>160</v>
      </c>
      <c r="AH119" s="264" t="s">
        <v>160</v>
      </c>
      <c r="AI119" s="264" t="s">
        <v>160</v>
      </c>
      <c r="AJ119" s="264" t="s">
        <v>160</v>
      </c>
      <c r="AK119" s="264" t="s">
        <v>160</v>
      </c>
      <c r="AL119" s="675" t="s">
        <v>160</v>
      </c>
      <c r="AM119" s="264" t="s">
        <v>160</v>
      </c>
      <c r="AN119" s="264" t="s">
        <v>160</v>
      </c>
      <c r="AO119" s="264" t="s">
        <v>160</v>
      </c>
      <c r="AP119" s="264" t="s">
        <v>160</v>
      </c>
      <c r="AQ119" s="264" t="s">
        <v>160</v>
      </c>
      <c r="AR119" s="264" t="s">
        <v>160</v>
      </c>
      <c r="AS119" s="264">
        <v>30</v>
      </c>
      <c r="AT119" s="352">
        <v>30</v>
      </c>
      <c r="AU119" s="352">
        <v>30</v>
      </c>
      <c r="AV119" s="352">
        <v>30</v>
      </c>
      <c r="AW119" s="828" t="s">
        <v>160</v>
      </c>
      <c r="AX119" s="829" t="s">
        <v>160</v>
      </c>
      <c r="AY119" s="829" t="s">
        <v>160</v>
      </c>
      <c r="AZ119" s="829" t="s">
        <v>160</v>
      </c>
      <c r="BA119" s="829" t="s">
        <v>160</v>
      </c>
      <c r="BB119" s="829" t="s">
        <v>160</v>
      </c>
      <c r="BC119" s="829" t="s">
        <v>160</v>
      </c>
      <c r="BD119" s="829" t="s">
        <v>160</v>
      </c>
      <c r="BE119"/>
      <c r="BF119"/>
      <c r="BG119"/>
      <c r="BH119"/>
      <c r="BI119"/>
      <c r="BJ119"/>
      <c r="BK119"/>
      <c r="BL119"/>
      <c r="BM119"/>
      <c r="BN119"/>
      <c r="BO119"/>
      <c r="BP119"/>
      <c r="BQ119"/>
      <c r="BR119"/>
      <c r="BS119"/>
      <c r="BT119"/>
      <c r="BU119"/>
    </row>
    <row r="120" spans="2:115" x14ac:dyDescent="0.25">
      <c r="B120" s="117" t="s">
        <v>546</v>
      </c>
      <c r="C120" s="264" t="s">
        <v>160</v>
      </c>
      <c r="D120" s="264" t="s">
        <v>160</v>
      </c>
      <c r="E120" s="264" t="s">
        <v>160</v>
      </c>
      <c r="F120" s="264" t="s">
        <v>160</v>
      </c>
      <c r="G120" s="264" t="s">
        <v>160</v>
      </c>
      <c r="H120" s="264" t="s">
        <v>160</v>
      </c>
      <c r="I120" s="264" t="s">
        <v>160</v>
      </c>
      <c r="J120" s="264" t="s">
        <v>160</v>
      </c>
      <c r="K120" s="264" t="s">
        <v>160</v>
      </c>
      <c r="L120" s="264" t="s">
        <v>160</v>
      </c>
      <c r="M120" s="264" t="s">
        <v>160</v>
      </c>
      <c r="N120" s="264" t="s">
        <v>160</v>
      </c>
      <c r="O120" s="264" t="s">
        <v>160</v>
      </c>
      <c r="P120" s="264" t="s">
        <v>160</v>
      </c>
      <c r="Q120" s="264" t="s">
        <v>160</v>
      </c>
      <c r="R120" s="264" t="s">
        <v>160</v>
      </c>
      <c r="S120" s="264" t="s">
        <v>160</v>
      </c>
      <c r="T120" s="264" t="s">
        <v>160</v>
      </c>
      <c r="U120" s="264" t="s">
        <v>160</v>
      </c>
      <c r="V120" s="264" t="s">
        <v>160</v>
      </c>
      <c r="W120" s="264" t="s">
        <v>160</v>
      </c>
      <c r="X120" s="264" t="s">
        <v>160</v>
      </c>
      <c r="Y120" s="264" t="s">
        <v>160</v>
      </c>
      <c r="Z120" s="675" t="s">
        <v>160</v>
      </c>
      <c r="AA120" s="264" t="s">
        <v>160</v>
      </c>
      <c r="AB120" s="264" t="s">
        <v>160</v>
      </c>
      <c r="AC120" s="264" t="s">
        <v>160</v>
      </c>
      <c r="AD120" s="264" t="s">
        <v>160</v>
      </c>
      <c r="AE120" s="264" t="s">
        <v>160</v>
      </c>
      <c r="AF120" s="264" t="s">
        <v>160</v>
      </c>
      <c r="AG120" s="264" t="s">
        <v>160</v>
      </c>
      <c r="AH120" s="264" t="s">
        <v>160</v>
      </c>
      <c r="AI120" s="264" t="s">
        <v>160</v>
      </c>
      <c r="AJ120" s="264" t="s">
        <v>160</v>
      </c>
      <c r="AK120" s="264" t="s">
        <v>160</v>
      </c>
      <c r="AL120" s="264" t="s">
        <v>160</v>
      </c>
      <c r="AM120" s="264" t="s">
        <v>160</v>
      </c>
      <c r="AN120" s="264" t="s">
        <v>160</v>
      </c>
      <c r="AO120" s="264" t="s">
        <v>160</v>
      </c>
      <c r="AP120" s="264" t="s">
        <v>160</v>
      </c>
      <c r="AQ120" s="264" t="s">
        <v>160</v>
      </c>
      <c r="AR120" s="264">
        <v>34</v>
      </c>
      <c r="AS120" s="264">
        <v>34</v>
      </c>
      <c r="AT120" s="352">
        <v>34</v>
      </c>
      <c r="AU120" s="352">
        <v>34</v>
      </c>
      <c r="AV120" s="352">
        <v>34</v>
      </c>
      <c r="AW120" s="923">
        <v>23</v>
      </c>
      <c r="AX120" s="590">
        <v>23</v>
      </c>
      <c r="AY120" s="590">
        <v>23</v>
      </c>
      <c r="AZ120" s="590">
        <v>23</v>
      </c>
      <c r="BA120" s="590">
        <v>23</v>
      </c>
      <c r="BB120" s="590">
        <v>23</v>
      </c>
      <c r="BC120" s="590">
        <v>23</v>
      </c>
      <c r="BD120" s="584" t="s">
        <v>160</v>
      </c>
      <c r="BE120"/>
      <c r="BF120"/>
      <c r="BG120"/>
      <c r="BH120"/>
      <c r="BI120"/>
      <c r="BJ120"/>
      <c r="BK120"/>
      <c r="BL120"/>
      <c r="BM120"/>
      <c r="BN120"/>
      <c r="BO120"/>
      <c r="BP120"/>
      <c r="BQ120"/>
      <c r="BR120"/>
      <c r="BS120"/>
      <c r="BT120"/>
      <c r="BU120"/>
    </row>
    <row r="121" spans="2:115" x14ac:dyDescent="0.25">
      <c r="B121" s="117" t="s">
        <v>574</v>
      </c>
      <c r="C121" s="264" t="s">
        <v>160</v>
      </c>
      <c r="D121" s="264" t="s">
        <v>160</v>
      </c>
      <c r="E121" s="264" t="s">
        <v>160</v>
      </c>
      <c r="F121" s="264" t="s">
        <v>160</v>
      </c>
      <c r="G121" s="264" t="s">
        <v>160</v>
      </c>
      <c r="H121" s="264" t="s">
        <v>160</v>
      </c>
      <c r="I121" s="264" t="s">
        <v>160</v>
      </c>
      <c r="J121" s="264" t="s">
        <v>160</v>
      </c>
      <c r="K121" s="264" t="s">
        <v>160</v>
      </c>
      <c r="L121" s="264" t="s">
        <v>160</v>
      </c>
      <c r="M121" s="264" t="s">
        <v>160</v>
      </c>
      <c r="N121" s="264" t="s">
        <v>160</v>
      </c>
      <c r="O121" s="264" t="s">
        <v>160</v>
      </c>
      <c r="P121" s="264" t="s">
        <v>160</v>
      </c>
      <c r="Q121" s="264" t="s">
        <v>160</v>
      </c>
      <c r="R121" s="264" t="s">
        <v>160</v>
      </c>
      <c r="S121" s="264" t="s">
        <v>160</v>
      </c>
      <c r="T121" s="264" t="s">
        <v>160</v>
      </c>
      <c r="U121" s="264" t="s">
        <v>160</v>
      </c>
      <c r="V121" s="264" t="s">
        <v>160</v>
      </c>
      <c r="W121" s="675" t="s">
        <v>160</v>
      </c>
      <c r="X121" s="675" t="s">
        <v>160</v>
      </c>
      <c r="Y121" s="675" t="s">
        <v>160</v>
      </c>
      <c r="Z121" s="675" t="s">
        <v>160</v>
      </c>
      <c r="AA121" s="675" t="s">
        <v>160</v>
      </c>
      <c r="AB121" s="675" t="s">
        <v>160</v>
      </c>
      <c r="AC121" s="675" t="s">
        <v>160</v>
      </c>
      <c r="AD121" s="675" t="s">
        <v>160</v>
      </c>
      <c r="AE121" s="675" t="s">
        <v>160</v>
      </c>
      <c r="AF121" s="675" t="s">
        <v>160</v>
      </c>
      <c r="AG121" s="675" t="s">
        <v>160</v>
      </c>
      <c r="AH121" s="675" t="s">
        <v>160</v>
      </c>
      <c r="AI121" s="675" t="s">
        <v>160</v>
      </c>
      <c r="AJ121" s="675" t="s">
        <v>160</v>
      </c>
      <c r="AK121" s="675" t="s">
        <v>160</v>
      </c>
      <c r="AL121" s="675" t="s">
        <v>160</v>
      </c>
      <c r="AM121" s="675" t="s">
        <v>160</v>
      </c>
      <c r="AN121" s="675" t="s">
        <v>160</v>
      </c>
      <c r="AO121" s="675" t="s">
        <v>160</v>
      </c>
      <c r="AP121" s="675" t="s">
        <v>160</v>
      </c>
      <c r="AQ121" s="675">
        <v>37.200000000000003</v>
      </c>
      <c r="AR121" s="675">
        <v>37.200000000000003</v>
      </c>
      <c r="AS121" s="675">
        <v>37.200000000000003</v>
      </c>
      <c r="AT121" s="590">
        <v>37.200000000000003</v>
      </c>
      <c r="AU121" s="590">
        <v>37.200000000000003</v>
      </c>
      <c r="AV121" s="590">
        <v>37.200000000000003</v>
      </c>
      <c r="AW121" s="828" t="s">
        <v>160</v>
      </c>
      <c r="AX121" s="829" t="s">
        <v>160</v>
      </c>
      <c r="AY121" s="829" t="s">
        <v>160</v>
      </c>
      <c r="AZ121" s="829" t="s">
        <v>160</v>
      </c>
      <c r="BA121" s="829" t="s">
        <v>160</v>
      </c>
      <c r="BB121" s="829" t="s">
        <v>160</v>
      </c>
      <c r="BC121" s="829" t="s">
        <v>160</v>
      </c>
      <c r="BD121" s="829" t="s">
        <v>160</v>
      </c>
      <c r="BE121"/>
      <c r="BF121"/>
      <c r="BG121"/>
      <c r="BH121"/>
      <c r="BI121"/>
      <c r="BJ121"/>
      <c r="BK121"/>
      <c r="BL121"/>
      <c r="BM121"/>
      <c r="BN121"/>
      <c r="BO121"/>
      <c r="BP121"/>
      <c r="BQ121"/>
      <c r="BR121"/>
      <c r="BS121"/>
      <c r="BT121"/>
      <c r="BU121"/>
    </row>
    <row r="122" spans="2:115" x14ac:dyDescent="0.25">
      <c r="B122" s="117" t="s">
        <v>547</v>
      </c>
      <c r="C122" s="264" t="s">
        <v>160</v>
      </c>
      <c r="D122" s="264" t="s">
        <v>160</v>
      </c>
      <c r="E122" s="264" t="s">
        <v>160</v>
      </c>
      <c r="F122" s="264" t="s">
        <v>160</v>
      </c>
      <c r="G122" s="264" t="s">
        <v>160</v>
      </c>
      <c r="H122" s="264" t="s">
        <v>160</v>
      </c>
      <c r="I122" s="264" t="s">
        <v>160</v>
      </c>
      <c r="J122" s="264" t="s">
        <v>160</v>
      </c>
      <c r="K122" s="264" t="s">
        <v>160</v>
      </c>
      <c r="L122" s="264" t="s">
        <v>160</v>
      </c>
      <c r="M122" s="264" t="s">
        <v>160</v>
      </c>
      <c r="N122" s="264" t="s">
        <v>160</v>
      </c>
      <c r="O122" s="264" t="s">
        <v>160</v>
      </c>
      <c r="P122" s="264" t="s">
        <v>160</v>
      </c>
      <c r="Q122" s="264" t="s">
        <v>160</v>
      </c>
      <c r="R122" s="264" t="s">
        <v>160</v>
      </c>
      <c r="S122" s="264" t="s">
        <v>160</v>
      </c>
      <c r="T122" s="264" t="s">
        <v>160</v>
      </c>
      <c r="U122" s="264" t="s">
        <v>160</v>
      </c>
      <c r="V122" s="675" t="s">
        <v>160</v>
      </c>
      <c r="W122" s="675" t="s">
        <v>160</v>
      </c>
      <c r="X122" s="675" t="s">
        <v>160</v>
      </c>
      <c r="Y122" s="675" t="s">
        <v>160</v>
      </c>
      <c r="Z122" s="675" t="s">
        <v>160</v>
      </c>
      <c r="AA122" s="675" t="s">
        <v>160</v>
      </c>
      <c r="AB122" s="675" t="s">
        <v>160</v>
      </c>
      <c r="AC122" s="675" t="s">
        <v>160</v>
      </c>
      <c r="AD122" s="675" t="s">
        <v>160</v>
      </c>
      <c r="AE122" s="675" t="s">
        <v>160</v>
      </c>
      <c r="AF122" s="675" t="s">
        <v>160</v>
      </c>
      <c r="AG122" s="675" t="s">
        <v>160</v>
      </c>
      <c r="AH122" s="675" t="s">
        <v>160</v>
      </c>
      <c r="AI122" s="675" t="s">
        <v>160</v>
      </c>
      <c r="AJ122" s="675" t="s">
        <v>160</v>
      </c>
      <c r="AK122" s="675" t="s">
        <v>160</v>
      </c>
      <c r="AL122" s="675" t="s">
        <v>160</v>
      </c>
      <c r="AM122" s="675" t="s">
        <v>160</v>
      </c>
      <c r="AN122" s="675" t="s">
        <v>160</v>
      </c>
      <c r="AO122" s="675" t="s">
        <v>160</v>
      </c>
      <c r="AP122" s="675">
        <v>43</v>
      </c>
      <c r="AQ122" s="675">
        <v>43</v>
      </c>
      <c r="AR122" s="675">
        <v>43</v>
      </c>
      <c r="AS122" s="675">
        <v>43</v>
      </c>
      <c r="AT122" s="590">
        <v>43</v>
      </c>
      <c r="AU122" s="590">
        <v>43</v>
      </c>
      <c r="AV122" s="590">
        <v>43</v>
      </c>
      <c r="AW122" s="828" t="s">
        <v>160</v>
      </c>
      <c r="AX122" s="829" t="s">
        <v>160</v>
      </c>
      <c r="AY122" s="830">
        <v>30</v>
      </c>
      <c r="AZ122" s="590">
        <v>30</v>
      </c>
      <c r="BA122" s="590">
        <v>30</v>
      </c>
      <c r="BB122" s="590">
        <v>30</v>
      </c>
      <c r="BC122" s="590">
        <v>30</v>
      </c>
      <c r="BD122" s="590">
        <v>30</v>
      </c>
      <c r="BE122"/>
      <c r="BF122"/>
      <c r="BG122"/>
      <c r="BH122"/>
      <c r="BI122"/>
      <c r="BJ122"/>
      <c r="BK122"/>
      <c r="BL122"/>
      <c r="BM122"/>
      <c r="BN122"/>
      <c r="BO122"/>
      <c r="BP122"/>
      <c r="BQ122"/>
      <c r="BR122"/>
      <c r="BS122"/>
      <c r="BT122"/>
      <c r="BU122"/>
    </row>
    <row r="123" spans="2:115" customFormat="1" ht="12.75" x14ac:dyDescent="0.2">
      <c r="B123" s="278" t="s">
        <v>557</v>
      </c>
      <c r="C123" s="279" t="str">
        <f t="shared" ref="C123:BD123" si="87">IFERROR(AVERAGE(C118:C122),"-")</f>
        <v>-</v>
      </c>
      <c r="D123" s="279" t="str">
        <f t="shared" si="87"/>
        <v>-</v>
      </c>
      <c r="E123" s="279" t="str">
        <f t="shared" si="87"/>
        <v>-</v>
      </c>
      <c r="F123" s="279" t="str">
        <f t="shared" si="87"/>
        <v>-</v>
      </c>
      <c r="G123" s="279" t="str">
        <f t="shared" si="87"/>
        <v>-</v>
      </c>
      <c r="H123" s="279" t="str">
        <f t="shared" si="87"/>
        <v>-</v>
      </c>
      <c r="I123" s="279" t="str">
        <f t="shared" si="87"/>
        <v>-</v>
      </c>
      <c r="J123" s="279" t="str">
        <f t="shared" si="87"/>
        <v>-</v>
      </c>
      <c r="K123" s="279" t="str">
        <f t="shared" si="87"/>
        <v>-</v>
      </c>
      <c r="L123" s="279" t="str">
        <f t="shared" si="87"/>
        <v>-</v>
      </c>
      <c r="M123" s="279" t="str">
        <f t="shared" si="87"/>
        <v>-</v>
      </c>
      <c r="N123" s="279" t="str">
        <f t="shared" si="87"/>
        <v>-</v>
      </c>
      <c r="O123" s="279" t="str">
        <f t="shared" si="87"/>
        <v>-</v>
      </c>
      <c r="P123" s="279" t="str">
        <f t="shared" si="87"/>
        <v>-</v>
      </c>
      <c r="Q123" s="279" t="str">
        <f t="shared" si="87"/>
        <v>-</v>
      </c>
      <c r="R123" s="346" t="str">
        <f t="shared" si="87"/>
        <v>-</v>
      </c>
      <c r="S123" s="346" t="str">
        <f t="shared" si="87"/>
        <v>-</v>
      </c>
      <c r="T123" s="346" t="str">
        <f t="shared" si="87"/>
        <v>-</v>
      </c>
      <c r="U123" s="346" t="str">
        <f t="shared" si="87"/>
        <v>-</v>
      </c>
      <c r="V123" s="346" t="str">
        <f t="shared" si="87"/>
        <v>-</v>
      </c>
      <c r="W123" s="346" t="str">
        <f t="shared" si="87"/>
        <v>-</v>
      </c>
      <c r="X123" s="346" t="str">
        <f t="shared" si="87"/>
        <v>-</v>
      </c>
      <c r="Y123" s="346" t="str">
        <f t="shared" si="87"/>
        <v>-</v>
      </c>
      <c r="Z123" s="346" t="str">
        <f t="shared" si="87"/>
        <v>-</v>
      </c>
      <c r="AA123" s="346" t="str">
        <f t="shared" si="87"/>
        <v>-</v>
      </c>
      <c r="AB123" s="346" t="str">
        <f t="shared" si="87"/>
        <v>-</v>
      </c>
      <c r="AC123" s="346" t="str">
        <f t="shared" si="87"/>
        <v>-</v>
      </c>
      <c r="AD123" s="346" t="str">
        <f t="shared" si="87"/>
        <v>-</v>
      </c>
      <c r="AE123" s="346" t="str">
        <f t="shared" si="87"/>
        <v>-</v>
      </c>
      <c r="AF123" s="346" t="str">
        <f t="shared" si="87"/>
        <v>-</v>
      </c>
      <c r="AG123" s="346" t="str">
        <f t="shared" si="87"/>
        <v>-</v>
      </c>
      <c r="AH123" s="346" t="str">
        <f t="shared" si="87"/>
        <v>-</v>
      </c>
      <c r="AI123" s="346" t="str">
        <f t="shared" si="87"/>
        <v>-</v>
      </c>
      <c r="AJ123" s="346" t="str">
        <f t="shared" si="87"/>
        <v>-</v>
      </c>
      <c r="AK123" s="346" t="str">
        <f t="shared" si="87"/>
        <v>-</v>
      </c>
      <c r="AL123" s="346" t="str">
        <f t="shared" si="87"/>
        <v>-</v>
      </c>
      <c r="AM123" s="346" t="str">
        <f t="shared" si="87"/>
        <v>-</v>
      </c>
      <c r="AN123" s="346" t="str">
        <f t="shared" si="87"/>
        <v>-</v>
      </c>
      <c r="AO123" s="346" t="str">
        <f t="shared" si="87"/>
        <v>-</v>
      </c>
      <c r="AP123" s="346">
        <f t="shared" si="87"/>
        <v>43</v>
      </c>
      <c r="AQ123" s="346">
        <f t="shared" si="87"/>
        <v>40.1</v>
      </c>
      <c r="AR123" s="346">
        <f t="shared" si="87"/>
        <v>38.06666666666667</v>
      </c>
      <c r="AS123" s="346">
        <f t="shared" si="87"/>
        <v>37.239999999999995</v>
      </c>
      <c r="AT123" s="798">
        <f t="shared" si="87"/>
        <v>37.239999999999995</v>
      </c>
      <c r="AU123" s="798">
        <f t="shared" si="87"/>
        <v>37.239999999999995</v>
      </c>
      <c r="AV123" s="798">
        <f t="shared" si="87"/>
        <v>37.239999999999995</v>
      </c>
      <c r="AW123" s="831">
        <f t="shared" si="87"/>
        <v>23</v>
      </c>
      <c r="AX123" s="832">
        <f t="shared" si="87"/>
        <v>23</v>
      </c>
      <c r="AY123" s="832">
        <f t="shared" si="87"/>
        <v>26.833333333333332</v>
      </c>
      <c r="AZ123" s="832">
        <f t="shared" si="87"/>
        <v>26.833333333333332</v>
      </c>
      <c r="BA123" s="832">
        <f t="shared" si="87"/>
        <v>26.833333333333332</v>
      </c>
      <c r="BB123" s="832">
        <f t="shared" si="87"/>
        <v>26.833333333333332</v>
      </c>
      <c r="BC123" s="832">
        <f t="shared" si="87"/>
        <v>26.833333333333332</v>
      </c>
      <c r="BD123" s="832">
        <f t="shared" si="87"/>
        <v>28.75</v>
      </c>
      <c r="DG123" s="1150"/>
      <c r="DH123" s="1150"/>
      <c r="DI123" s="1150"/>
      <c r="DJ123" s="1150"/>
      <c r="DK123" s="1150"/>
    </row>
    <row r="124" spans="2:115" x14ac:dyDescent="0.25">
      <c r="Q124" s="339"/>
      <c r="R124" s="339"/>
      <c r="S124" s="339"/>
      <c r="T124" s="339"/>
      <c r="U124" s="339"/>
      <c r="V124" s="339"/>
      <c r="W124" s="339"/>
      <c r="X124" s="339"/>
      <c r="Y124" s="339"/>
      <c r="Z124" s="339"/>
      <c r="AA124" s="339"/>
      <c r="AB124" s="339"/>
      <c r="AC124" s="339"/>
      <c r="AD124" s="339"/>
      <c r="AE124" s="339"/>
      <c r="AF124" s="339"/>
      <c r="AG124" s="339"/>
      <c r="AH124" s="339"/>
      <c r="AI124" s="339"/>
      <c r="AJ124" s="339"/>
      <c r="AK124" s="339"/>
      <c r="AL124" s="339"/>
      <c r="AM124" s="339"/>
      <c r="AN124" s="339"/>
      <c r="AO124" s="339"/>
      <c r="AP124" s="339"/>
      <c r="AQ124" s="339"/>
      <c r="AR124" s="339"/>
      <c r="AS124" s="339"/>
      <c r="AT124" s="761"/>
      <c r="AV124" s="913"/>
    </row>
    <row r="125" spans="2:115" x14ac:dyDescent="0.25">
      <c r="B125" s="113" t="s">
        <v>737</v>
      </c>
      <c r="C125" s="263">
        <f t="shared" ref="C125:AH125" si="88">+C$208</f>
        <v>42522</v>
      </c>
      <c r="D125" s="263">
        <f t="shared" si="88"/>
        <v>42552</v>
      </c>
      <c r="E125" s="263">
        <f t="shared" si="88"/>
        <v>42583</v>
      </c>
      <c r="F125" s="263">
        <f t="shared" si="88"/>
        <v>42614</v>
      </c>
      <c r="G125" s="263">
        <f t="shared" si="88"/>
        <v>42644</v>
      </c>
      <c r="H125" s="263">
        <f t="shared" si="88"/>
        <v>42675</v>
      </c>
      <c r="I125" s="263">
        <f t="shared" si="88"/>
        <v>42705</v>
      </c>
      <c r="J125" s="263">
        <f t="shared" si="88"/>
        <v>42736</v>
      </c>
      <c r="K125" s="263">
        <f t="shared" si="88"/>
        <v>42767</v>
      </c>
      <c r="L125" s="263">
        <f t="shared" si="88"/>
        <v>42795</v>
      </c>
      <c r="M125" s="263">
        <f t="shared" si="88"/>
        <v>42826</v>
      </c>
      <c r="N125" s="263">
        <f t="shared" si="88"/>
        <v>42856</v>
      </c>
      <c r="O125" s="263">
        <f t="shared" si="88"/>
        <v>42887</v>
      </c>
      <c r="P125" s="263">
        <f t="shared" si="88"/>
        <v>42917</v>
      </c>
      <c r="Q125" s="263">
        <f t="shared" si="88"/>
        <v>42948</v>
      </c>
      <c r="R125" s="263">
        <f t="shared" si="88"/>
        <v>42979</v>
      </c>
      <c r="S125" s="263">
        <f t="shared" si="88"/>
        <v>43009</v>
      </c>
      <c r="T125" s="263">
        <f t="shared" si="88"/>
        <v>43040</v>
      </c>
      <c r="U125" s="263">
        <f t="shared" si="88"/>
        <v>43070</v>
      </c>
      <c r="V125" s="263">
        <f t="shared" si="88"/>
        <v>43101</v>
      </c>
      <c r="W125" s="263">
        <f t="shared" si="88"/>
        <v>43132</v>
      </c>
      <c r="X125" s="263">
        <f t="shared" si="88"/>
        <v>43160</v>
      </c>
      <c r="Y125" s="263">
        <f t="shared" si="88"/>
        <v>43191</v>
      </c>
      <c r="Z125" s="263">
        <f t="shared" si="88"/>
        <v>43221</v>
      </c>
      <c r="AA125" s="263">
        <f t="shared" si="88"/>
        <v>43252</v>
      </c>
      <c r="AB125" s="263">
        <f t="shared" si="88"/>
        <v>43283</v>
      </c>
      <c r="AC125" s="263">
        <f t="shared" si="88"/>
        <v>43314</v>
      </c>
      <c r="AD125" s="263">
        <f t="shared" si="88"/>
        <v>43345</v>
      </c>
      <c r="AE125" s="263">
        <f t="shared" si="88"/>
        <v>43376</v>
      </c>
      <c r="AF125" s="263">
        <f t="shared" si="88"/>
        <v>43407</v>
      </c>
      <c r="AG125" s="263">
        <f t="shared" si="88"/>
        <v>43437</v>
      </c>
      <c r="AH125" s="263">
        <f t="shared" si="88"/>
        <v>43468</v>
      </c>
      <c r="AI125" s="263">
        <f t="shared" ref="AI125:BJ125" si="89">+AI$208</f>
        <v>43499</v>
      </c>
      <c r="AJ125" s="263">
        <f t="shared" si="89"/>
        <v>43527</v>
      </c>
      <c r="AK125" s="263">
        <f t="shared" si="89"/>
        <v>43558</v>
      </c>
      <c r="AL125" s="263">
        <f t="shared" si="89"/>
        <v>43587</v>
      </c>
      <c r="AM125" s="263">
        <f t="shared" si="89"/>
        <v>43618</v>
      </c>
      <c r="AN125" s="263">
        <f t="shared" si="89"/>
        <v>43647</v>
      </c>
      <c r="AO125" s="263">
        <f t="shared" si="89"/>
        <v>43678</v>
      </c>
      <c r="AP125" s="263">
        <f t="shared" si="89"/>
        <v>43709</v>
      </c>
      <c r="AQ125" s="263">
        <f t="shared" si="89"/>
        <v>43739</v>
      </c>
      <c r="AR125" s="263">
        <f t="shared" si="89"/>
        <v>43770</v>
      </c>
      <c r="AS125" s="263">
        <f t="shared" si="89"/>
        <v>43800</v>
      </c>
      <c r="AT125" s="263">
        <f t="shared" si="89"/>
        <v>43831</v>
      </c>
      <c r="AU125" s="263">
        <f t="shared" si="89"/>
        <v>43862</v>
      </c>
      <c r="AV125" s="914">
        <f t="shared" si="89"/>
        <v>43891</v>
      </c>
      <c r="AW125" s="263">
        <f t="shared" si="89"/>
        <v>43922</v>
      </c>
      <c r="AX125" s="263">
        <f t="shared" si="89"/>
        <v>43952</v>
      </c>
      <c r="AY125" s="263">
        <f t="shared" si="89"/>
        <v>43983</v>
      </c>
      <c r="AZ125" s="263">
        <f t="shared" si="89"/>
        <v>44013</v>
      </c>
      <c r="BA125" s="263">
        <f t="shared" si="89"/>
        <v>44044</v>
      </c>
      <c r="BB125" s="263">
        <f t="shared" si="89"/>
        <v>44075</v>
      </c>
      <c r="BC125" s="263">
        <f t="shared" si="89"/>
        <v>44105</v>
      </c>
      <c r="BD125" s="263">
        <f t="shared" si="89"/>
        <v>44136</v>
      </c>
      <c r="BE125" s="263">
        <f t="shared" si="89"/>
        <v>44166</v>
      </c>
      <c r="BF125" s="263">
        <f t="shared" si="89"/>
        <v>44197</v>
      </c>
      <c r="BG125" s="263">
        <f t="shared" si="89"/>
        <v>44228</v>
      </c>
      <c r="BH125" s="263">
        <f t="shared" si="89"/>
        <v>44256</v>
      </c>
      <c r="BI125" s="263">
        <f t="shared" si="89"/>
        <v>44287</v>
      </c>
      <c r="BJ125" s="263">
        <f t="shared" si="89"/>
        <v>44317</v>
      </c>
    </row>
    <row r="126" spans="2:115" x14ac:dyDescent="0.25">
      <c r="B126" s="117" t="s">
        <v>542</v>
      </c>
      <c r="C126" s="265" t="s">
        <v>160</v>
      </c>
      <c r="D126" s="265" t="s">
        <v>160</v>
      </c>
      <c r="E126" s="265" t="s">
        <v>160</v>
      </c>
      <c r="F126" s="265" t="s">
        <v>160</v>
      </c>
      <c r="G126" s="265" t="s">
        <v>160</v>
      </c>
      <c r="H126" s="265" t="s">
        <v>160</v>
      </c>
      <c r="I126" s="265" t="s">
        <v>160</v>
      </c>
      <c r="J126" s="337" t="s">
        <v>160</v>
      </c>
      <c r="K126" s="337" t="s">
        <v>160</v>
      </c>
      <c r="L126" s="585" t="s">
        <v>160</v>
      </c>
      <c r="M126" s="585" t="s">
        <v>160</v>
      </c>
      <c r="N126" s="585" t="s">
        <v>160</v>
      </c>
      <c r="O126" s="585" t="s">
        <v>160</v>
      </c>
      <c r="P126" s="585" t="s">
        <v>160</v>
      </c>
      <c r="Q126" s="585" t="s">
        <v>160</v>
      </c>
      <c r="R126" s="585" t="s">
        <v>160</v>
      </c>
      <c r="S126" s="585" t="s">
        <v>160</v>
      </c>
      <c r="T126" s="585" t="s">
        <v>160</v>
      </c>
      <c r="U126" s="585" t="s">
        <v>160</v>
      </c>
      <c r="V126" s="585" t="s">
        <v>160</v>
      </c>
      <c r="W126" s="585" t="s">
        <v>160</v>
      </c>
      <c r="X126" s="585" t="s">
        <v>160</v>
      </c>
      <c r="Y126" s="585" t="s">
        <v>160</v>
      </c>
      <c r="Z126" s="585" t="s">
        <v>160</v>
      </c>
      <c r="AA126" s="585" t="s">
        <v>160</v>
      </c>
      <c r="AB126" s="585" t="s">
        <v>160</v>
      </c>
      <c r="AC126" s="585" t="s">
        <v>160</v>
      </c>
      <c r="AD126" s="585" t="s">
        <v>160</v>
      </c>
      <c r="AE126" s="585" t="s">
        <v>160</v>
      </c>
      <c r="AF126" s="585" t="s">
        <v>160</v>
      </c>
      <c r="AG126" s="585">
        <v>1586</v>
      </c>
      <c r="AH126" s="585">
        <v>1586</v>
      </c>
      <c r="AI126" s="585">
        <v>1586</v>
      </c>
      <c r="AJ126" s="585">
        <v>1586</v>
      </c>
      <c r="AK126" s="585">
        <v>1586</v>
      </c>
      <c r="AL126" s="585">
        <v>1586</v>
      </c>
      <c r="AM126" s="585">
        <v>1586</v>
      </c>
      <c r="AN126" s="585">
        <v>1586</v>
      </c>
      <c r="AO126" s="585">
        <v>1586</v>
      </c>
      <c r="AP126" s="585">
        <v>1586</v>
      </c>
      <c r="AQ126" s="585">
        <v>1586</v>
      </c>
      <c r="AR126" s="585">
        <v>1586</v>
      </c>
      <c r="AS126" s="341">
        <v>1453</v>
      </c>
      <c r="AT126" s="585">
        <v>1453</v>
      </c>
      <c r="AU126" s="585">
        <v>1453</v>
      </c>
      <c r="AV126" s="916">
        <v>1453</v>
      </c>
      <c r="AW126" s="826" t="s">
        <v>160</v>
      </c>
      <c r="AX126" s="826" t="s">
        <v>160</v>
      </c>
      <c r="AY126" s="341">
        <v>917</v>
      </c>
      <c r="AZ126" s="585">
        <v>917</v>
      </c>
      <c r="BA126" s="585">
        <v>917</v>
      </c>
      <c r="BB126" s="585">
        <v>917</v>
      </c>
      <c r="BC126" s="585">
        <v>917</v>
      </c>
      <c r="BD126" s="585">
        <v>917</v>
      </c>
      <c r="BE126" s="342">
        <v>1020</v>
      </c>
      <c r="BF126" s="585">
        <v>1020</v>
      </c>
      <c r="BG126" s="585">
        <v>1020</v>
      </c>
      <c r="BH126" s="585">
        <v>1020</v>
      </c>
      <c r="BI126" s="585">
        <v>1020</v>
      </c>
      <c r="BJ126" s="585">
        <v>1020</v>
      </c>
    </row>
    <row r="127" spans="2:115" x14ac:dyDescent="0.25">
      <c r="B127" s="117" t="s">
        <v>545</v>
      </c>
      <c r="C127" s="265" t="s">
        <v>160</v>
      </c>
      <c r="D127" s="265" t="s">
        <v>160</v>
      </c>
      <c r="E127" s="265" t="s">
        <v>160</v>
      </c>
      <c r="F127" s="265" t="s">
        <v>160</v>
      </c>
      <c r="G127" s="265" t="s">
        <v>160</v>
      </c>
      <c r="H127" s="265" t="s">
        <v>160</v>
      </c>
      <c r="I127" s="265" t="s">
        <v>160</v>
      </c>
      <c r="J127" s="337" t="s">
        <v>160</v>
      </c>
      <c r="K127" s="337" t="s">
        <v>160</v>
      </c>
      <c r="L127" s="585" t="s">
        <v>160</v>
      </c>
      <c r="M127" s="585" t="s">
        <v>160</v>
      </c>
      <c r="N127" s="585" t="s">
        <v>160</v>
      </c>
      <c r="O127" s="585" t="s">
        <v>160</v>
      </c>
      <c r="P127" s="585" t="s">
        <v>160</v>
      </c>
      <c r="Q127" s="585" t="s">
        <v>160</v>
      </c>
      <c r="R127" s="585" t="s">
        <v>160</v>
      </c>
      <c r="S127" s="585" t="s">
        <v>160</v>
      </c>
      <c r="T127" s="585" t="s">
        <v>160</v>
      </c>
      <c r="U127" s="585" t="s">
        <v>160</v>
      </c>
      <c r="V127" s="585" t="s">
        <v>160</v>
      </c>
      <c r="W127" s="585">
        <v>1431</v>
      </c>
      <c r="X127" s="585">
        <v>1431</v>
      </c>
      <c r="Y127" s="585">
        <v>1431</v>
      </c>
      <c r="Z127" s="585">
        <v>1476</v>
      </c>
      <c r="AA127" s="585">
        <v>1476</v>
      </c>
      <c r="AB127" s="585">
        <v>1476</v>
      </c>
      <c r="AC127" s="585">
        <v>1476</v>
      </c>
      <c r="AD127" s="585">
        <v>1476</v>
      </c>
      <c r="AE127" s="585">
        <v>1476</v>
      </c>
      <c r="AF127" s="679">
        <v>1526</v>
      </c>
      <c r="AG127" s="585">
        <v>1526</v>
      </c>
      <c r="AH127" s="585">
        <v>1526</v>
      </c>
      <c r="AI127" s="585">
        <v>1526</v>
      </c>
      <c r="AJ127" s="679">
        <v>1578</v>
      </c>
      <c r="AK127" s="585">
        <v>1578</v>
      </c>
      <c r="AL127" s="679">
        <v>1616</v>
      </c>
      <c r="AM127" s="585">
        <v>1616</v>
      </c>
      <c r="AN127" s="585">
        <v>1616</v>
      </c>
      <c r="AO127" s="585">
        <v>1616</v>
      </c>
      <c r="AP127" s="585">
        <v>1616</v>
      </c>
      <c r="AQ127" s="585">
        <v>1616</v>
      </c>
      <c r="AR127" s="585">
        <v>1616</v>
      </c>
      <c r="AS127" s="341">
        <v>1535</v>
      </c>
      <c r="AT127" s="585">
        <v>1535</v>
      </c>
      <c r="AU127" s="585">
        <v>1535</v>
      </c>
      <c r="AV127" s="916">
        <v>1535</v>
      </c>
      <c r="AW127" s="826" t="s">
        <v>160</v>
      </c>
      <c r="AX127" s="826" t="s">
        <v>160</v>
      </c>
      <c r="AY127" s="826" t="s">
        <v>160</v>
      </c>
      <c r="AZ127" s="826" t="s">
        <v>160</v>
      </c>
      <c r="BA127" s="826" t="s">
        <v>160</v>
      </c>
      <c r="BB127" s="826" t="s">
        <v>160</v>
      </c>
      <c r="BC127" s="826" t="s">
        <v>160</v>
      </c>
      <c r="BD127" s="826" t="s">
        <v>160</v>
      </c>
      <c r="BE127" s="826" t="s">
        <v>160</v>
      </c>
      <c r="BF127" s="585" t="s">
        <v>160</v>
      </c>
      <c r="BG127" s="585" t="s">
        <v>160</v>
      </c>
      <c r="BH127" s="585" t="s">
        <v>160</v>
      </c>
      <c r="BI127" s="585" t="s">
        <v>160</v>
      </c>
      <c r="BJ127" s="585" t="s">
        <v>160</v>
      </c>
    </row>
    <row r="128" spans="2:115" x14ac:dyDescent="0.25">
      <c r="B128" s="117" t="s">
        <v>546</v>
      </c>
      <c r="C128" s="265" t="s">
        <v>160</v>
      </c>
      <c r="D128" s="265" t="s">
        <v>160</v>
      </c>
      <c r="E128" s="265" t="s">
        <v>160</v>
      </c>
      <c r="F128" s="265" t="s">
        <v>160</v>
      </c>
      <c r="G128" s="265" t="s">
        <v>160</v>
      </c>
      <c r="H128" s="265" t="s">
        <v>160</v>
      </c>
      <c r="I128" s="265" t="s">
        <v>160</v>
      </c>
      <c r="J128" s="337" t="s">
        <v>160</v>
      </c>
      <c r="K128" s="337" t="s">
        <v>160</v>
      </c>
      <c r="L128" s="585" t="s">
        <v>160</v>
      </c>
      <c r="M128" s="585" t="s">
        <v>160</v>
      </c>
      <c r="N128" s="585" t="s">
        <v>160</v>
      </c>
      <c r="O128" s="585" t="s">
        <v>160</v>
      </c>
      <c r="P128" s="585" t="s">
        <v>160</v>
      </c>
      <c r="Q128" s="585" t="s">
        <v>160</v>
      </c>
      <c r="R128" s="585" t="s">
        <v>160</v>
      </c>
      <c r="S128" s="585" t="s">
        <v>160</v>
      </c>
      <c r="T128" s="585" t="s">
        <v>160</v>
      </c>
      <c r="U128" s="585" t="s">
        <v>160</v>
      </c>
      <c r="V128" s="585" t="s">
        <v>160</v>
      </c>
      <c r="W128" s="585" t="s">
        <v>160</v>
      </c>
      <c r="X128" s="585" t="s">
        <v>160</v>
      </c>
      <c r="Y128" s="585" t="s">
        <v>160</v>
      </c>
      <c r="Z128" s="585" t="s">
        <v>160</v>
      </c>
      <c r="AA128" s="585" t="s">
        <v>160</v>
      </c>
      <c r="AB128" s="585" t="s">
        <v>160</v>
      </c>
      <c r="AC128" s="585">
        <v>1642</v>
      </c>
      <c r="AD128" s="585">
        <v>1642</v>
      </c>
      <c r="AE128" s="585">
        <v>1642</v>
      </c>
      <c r="AF128" s="341">
        <v>1634</v>
      </c>
      <c r="AG128" s="585">
        <v>1634</v>
      </c>
      <c r="AH128" s="585">
        <v>1634</v>
      </c>
      <c r="AI128" s="585">
        <v>1634</v>
      </c>
      <c r="AJ128" s="341">
        <v>1625</v>
      </c>
      <c r="AK128" s="585">
        <v>1625</v>
      </c>
      <c r="AL128" s="585">
        <v>1625</v>
      </c>
      <c r="AM128" s="585">
        <v>1625</v>
      </c>
      <c r="AN128" s="585">
        <v>1625</v>
      </c>
      <c r="AO128" s="585">
        <v>1625</v>
      </c>
      <c r="AP128" s="585">
        <v>1625</v>
      </c>
      <c r="AQ128" s="585">
        <v>1625</v>
      </c>
      <c r="AR128" s="585">
        <v>1625</v>
      </c>
      <c r="AS128" s="585">
        <v>1625</v>
      </c>
      <c r="AT128" s="585">
        <v>1625</v>
      </c>
      <c r="AU128" s="585">
        <v>1625</v>
      </c>
      <c r="AV128" s="916">
        <v>1625</v>
      </c>
      <c r="AW128" s="341">
        <v>1083.705995360719</v>
      </c>
      <c r="AX128" s="585">
        <v>1083.705995360719</v>
      </c>
      <c r="AY128" s="585">
        <v>1083.705995360719</v>
      </c>
      <c r="AZ128" s="585">
        <v>1083.705995360719</v>
      </c>
      <c r="BA128" s="585">
        <v>1083.705995360719</v>
      </c>
      <c r="BB128" s="585">
        <v>1083.705995360719</v>
      </c>
      <c r="BC128" s="585">
        <v>1083.705995360719</v>
      </c>
      <c r="BD128" s="342">
        <v>1087</v>
      </c>
      <c r="BE128" s="585">
        <v>1087</v>
      </c>
      <c r="BF128" s="585">
        <v>1087</v>
      </c>
      <c r="BG128" s="585">
        <v>1087</v>
      </c>
      <c r="BH128" s="585">
        <v>1087</v>
      </c>
      <c r="BI128" s="585">
        <v>1087</v>
      </c>
      <c r="BJ128" s="585">
        <v>1087</v>
      </c>
    </row>
    <row r="129" spans="1:115" x14ac:dyDescent="0.25">
      <c r="B129" s="117" t="s">
        <v>574</v>
      </c>
      <c r="C129" s="264" t="s">
        <v>160</v>
      </c>
      <c r="D129" s="264" t="s">
        <v>160</v>
      </c>
      <c r="E129" s="264" t="s">
        <v>160</v>
      </c>
      <c r="F129" s="264" t="s">
        <v>160</v>
      </c>
      <c r="G129" s="264" t="s">
        <v>160</v>
      </c>
      <c r="H129" s="264" t="s">
        <v>160</v>
      </c>
      <c r="I129" s="264" t="s">
        <v>160</v>
      </c>
      <c r="J129" s="337" t="s">
        <v>160</v>
      </c>
      <c r="K129" s="337" t="s">
        <v>160</v>
      </c>
      <c r="L129" s="585" t="s">
        <v>160</v>
      </c>
      <c r="M129" s="585" t="s">
        <v>160</v>
      </c>
      <c r="N129" s="585" t="s">
        <v>160</v>
      </c>
      <c r="O129" s="585" t="s">
        <v>160</v>
      </c>
      <c r="P129" s="585" t="s">
        <v>160</v>
      </c>
      <c r="Q129" s="585" t="s">
        <v>160</v>
      </c>
      <c r="R129" s="585" t="s">
        <v>160</v>
      </c>
      <c r="S129" s="585" t="s">
        <v>160</v>
      </c>
      <c r="T129" s="585" t="s">
        <v>160</v>
      </c>
      <c r="U129" s="585" t="s">
        <v>160</v>
      </c>
      <c r="V129" s="585" t="s">
        <v>160</v>
      </c>
      <c r="W129" s="585" t="s">
        <v>160</v>
      </c>
      <c r="X129" s="585" t="s">
        <v>160</v>
      </c>
      <c r="Y129" s="585" t="s">
        <v>160</v>
      </c>
      <c r="Z129" s="585" t="s">
        <v>160</v>
      </c>
      <c r="AA129" s="585" t="s">
        <v>160</v>
      </c>
      <c r="AB129" s="585" t="s">
        <v>160</v>
      </c>
      <c r="AC129" s="585" t="s">
        <v>160</v>
      </c>
      <c r="AD129" s="585" t="s">
        <v>160</v>
      </c>
      <c r="AE129" s="585" t="s">
        <v>160</v>
      </c>
      <c r="AF129" s="585" t="s">
        <v>160</v>
      </c>
      <c r="AG129" s="585" t="s">
        <v>160</v>
      </c>
      <c r="AH129" s="585" t="s">
        <v>160</v>
      </c>
      <c r="AI129" s="585" t="s">
        <v>160</v>
      </c>
      <c r="AJ129" s="585" t="s">
        <v>160</v>
      </c>
      <c r="AK129" s="585">
        <v>1565.2</v>
      </c>
      <c r="AL129" s="585">
        <v>1565.2</v>
      </c>
      <c r="AM129" s="585">
        <v>1565.2</v>
      </c>
      <c r="AN129" s="585" t="s">
        <v>160</v>
      </c>
      <c r="AO129" s="585" t="s">
        <v>160</v>
      </c>
      <c r="AP129" s="585" t="s">
        <v>160</v>
      </c>
      <c r="AQ129" s="585">
        <v>1574</v>
      </c>
      <c r="AR129" s="585">
        <v>1574</v>
      </c>
      <c r="AS129" s="585">
        <v>1574</v>
      </c>
      <c r="AT129" s="585">
        <v>1574</v>
      </c>
      <c r="AU129" s="585">
        <v>1574</v>
      </c>
      <c r="AV129" s="916">
        <v>1574</v>
      </c>
      <c r="AW129" s="826" t="s">
        <v>160</v>
      </c>
      <c r="AX129" s="826" t="s">
        <v>160</v>
      </c>
      <c r="AY129" s="826" t="s">
        <v>160</v>
      </c>
      <c r="AZ129" s="826" t="s">
        <v>160</v>
      </c>
      <c r="BA129" s="826" t="s">
        <v>160</v>
      </c>
      <c r="BB129" s="826" t="s">
        <v>160</v>
      </c>
      <c r="BC129" s="585">
        <v>1020</v>
      </c>
      <c r="BD129" s="585">
        <v>1020</v>
      </c>
      <c r="BE129" s="585">
        <v>1020</v>
      </c>
      <c r="BF129" s="585">
        <v>1020</v>
      </c>
      <c r="BG129" s="585">
        <v>1020</v>
      </c>
      <c r="BH129" s="585">
        <v>1020</v>
      </c>
      <c r="BI129" s="585">
        <v>1020</v>
      </c>
      <c r="BJ129" s="585">
        <v>1020</v>
      </c>
    </row>
    <row r="130" spans="1:115" x14ac:dyDescent="0.25">
      <c r="B130" s="117" t="s">
        <v>547</v>
      </c>
      <c r="C130" s="265" t="s">
        <v>160</v>
      </c>
      <c r="D130" s="265" t="s">
        <v>160</v>
      </c>
      <c r="E130" s="265" t="s">
        <v>160</v>
      </c>
      <c r="F130" s="265" t="s">
        <v>160</v>
      </c>
      <c r="G130" s="265" t="s">
        <v>160</v>
      </c>
      <c r="H130" s="265" t="s">
        <v>160</v>
      </c>
      <c r="I130" s="265" t="s">
        <v>160</v>
      </c>
      <c r="J130" s="337" t="s">
        <v>160</v>
      </c>
      <c r="K130" s="337" t="s">
        <v>160</v>
      </c>
      <c r="L130" s="585" t="s">
        <v>160</v>
      </c>
      <c r="M130" s="585" t="s">
        <v>160</v>
      </c>
      <c r="N130" s="585" t="s">
        <v>160</v>
      </c>
      <c r="O130" s="585" t="s">
        <v>160</v>
      </c>
      <c r="P130" s="585" t="s">
        <v>160</v>
      </c>
      <c r="Q130" s="585" t="s">
        <v>160</v>
      </c>
      <c r="R130" s="585" t="s">
        <v>160</v>
      </c>
      <c r="S130" s="585" t="s">
        <v>160</v>
      </c>
      <c r="T130" s="585" t="s">
        <v>160</v>
      </c>
      <c r="U130" s="585" t="s">
        <v>160</v>
      </c>
      <c r="V130" s="585">
        <v>1456</v>
      </c>
      <c r="W130" s="585">
        <v>1456</v>
      </c>
      <c r="X130" s="585">
        <v>1456</v>
      </c>
      <c r="Y130" s="585">
        <v>1456</v>
      </c>
      <c r="Z130" s="585">
        <v>1456</v>
      </c>
      <c r="AA130" s="585">
        <v>1456</v>
      </c>
      <c r="AB130" s="585">
        <v>1456</v>
      </c>
      <c r="AC130" s="585">
        <v>1456</v>
      </c>
      <c r="AD130" s="342">
        <v>1491</v>
      </c>
      <c r="AE130" s="585">
        <v>1456</v>
      </c>
      <c r="AF130" s="585">
        <v>1456</v>
      </c>
      <c r="AG130" s="585">
        <v>1456</v>
      </c>
      <c r="AH130" s="585">
        <v>1456</v>
      </c>
      <c r="AI130" s="585" t="s">
        <v>160</v>
      </c>
      <c r="AJ130" s="585" t="s">
        <v>160</v>
      </c>
      <c r="AK130" s="585" t="s">
        <v>160</v>
      </c>
      <c r="AL130" s="585" t="s">
        <v>160</v>
      </c>
      <c r="AM130" s="585" t="s">
        <v>160</v>
      </c>
      <c r="AN130" s="585" t="s">
        <v>160</v>
      </c>
      <c r="AO130" s="585" t="s">
        <v>160</v>
      </c>
      <c r="AP130" s="585">
        <v>1524</v>
      </c>
      <c r="AQ130" s="585">
        <v>1524</v>
      </c>
      <c r="AR130" s="585">
        <v>1524</v>
      </c>
      <c r="AS130" s="585">
        <v>1524</v>
      </c>
      <c r="AT130" s="585">
        <v>1524</v>
      </c>
      <c r="AU130" s="585">
        <v>1524</v>
      </c>
      <c r="AV130" s="916">
        <v>1524</v>
      </c>
      <c r="AW130" s="826" t="s">
        <v>160</v>
      </c>
      <c r="AX130" s="826" t="s">
        <v>160</v>
      </c>
      <c r="AY130" s="341">
        <v>909</v>
      </c>
      <c r="AZ130" s="585">
        <v>909</v>
      </c>
      <c r="BA130" s="585">
        <v>909</v>
      </c>
      <c r="BB130" s="585">
        <v>909</v>
      </c>
      <c r="BC130" s="585">
        <v>909</v>
      </c>
      <c r="BD130" s="585">
        <v>909</v>
      </c>
      <c r="BE130" s="342">
        <v>1049</v>
      </c>
      <c r="BF130" s="585">
        <v>1049</v>
      </c>
      <c r="BG130" s="585">
        <v>1049</v>
      </c>
      <c r="BH130" s="585">
        <v>1049</v>
      </c>
      <c r="BI130" s="585">
        <v>1049</v>
      </c>
      <c r="BJ130" s="585">
        <v>1049</v>
      </c>
    </row>
    <row r="131" spans="1:115" x14ac:dyDescent="0.25">
      <c r="A131"/>
      <c r="B131" s="278" t="s">
        <v>557</v>
      </c>
      <c r="C131" s="327" t="str">
        <f t="shared" ref="C131:X131" si="90">IFERROR(AVERAGE(C126:C130),"-")</f>
        <v>-</v>
      </c>
      <c r="D131" s="327" t="str">
        <f t="shared" si="90"/>
        <v>-</v>
      </c>
      <c r="E131" s="327" t="str">
        <f t="shared" si="90"/>
        <v>-</v>
      </c>
      <c r="F131" s="327" t="str">
        <f t="shared" si="90"/>
        <v>-</v>
      </c>
      <c r="G131" s="327" t="str">
        <f t="shared" si="90"/>
        <v>-</v>
      </c>
      <c r="H131" s="327" t="str">
        <f t="shared" si="90"/>
        <v>-</v>
      </c>
      <c r="I131" s="327" t="str">
        <f t="shared" si="90"/>
        <v>-</v>
      </c>
      <c r="J131" s="338" t="str">
        <f t="shared" si="90"/>
        <v>-</v>
      </c>
      <c r="K131" s="338" t="str">
        <f t="shared" si="90"/>
        <v>-</v>
      </c>
      <c r="L131" s="338" t="str">
        <f t="shared" si="90"/>
        <v>-</v>
      </c>
      <c r="M131" s="338" t="str">
        <f t="shared" si="90"/>
        <v>-</v>
      </c>
      <c r="N131" s="338" t="str">
        <f t="shared" si="90"/>
        <v>-</v>
      </c>
      <c r="O131" s="338" t="str">
        <f t="shared" si="90"/>
        <v>-</v>
      </c>
      <c r="P131" s="338" t="str">
        <f t="shared" si="90"/>
        <v>-</v>
      </c>
      <c r="Q131" s="338" t="str">
        <f t="shared" si="90"/>
        <v>-</v>
      </c>
      <c r="R131" s="348" t="str">
        <f t="shared" si="90"/>
        <v>-</v>
      </c>
      <c r="S131" s="348" t="str">
        <f t="shared" si="90"/>
        <v>-</v>
      </c>
      <c r="T131" s="348" t="str">
        <f t="shared" si="90"/>
        <v>-</v>
      </c>
      <c r="U131" s="348" t="str">
        <f t="shared" si="90"/>
        <v>-</v>
      </c>
      <c r="V131" s="348">
        <f t="shared" si="90"/>
        <v>1456</v>
      </c>
      <c r="W131" s="348">
        <f t="shared" si="90"/>
        <v>1443.5</v>
      </c>
      <c r="X131" s="348">
        <f t="shared" si="90"/>
        <v>1443.5</v>
      </c>
      <c r="Y131" s="348">
        <f t="shared" ref="Y131:AF131" si="91">IFERROR(AVERAGE(Y126:Y130),"-")</f>
        <v>1443.5</v>
      </c>
      <c r="Z131" s="348">
        <f t="shared" si="91"/>
        <v>1466</v>
      </c>
      <c r="AA131" s="348">
        <f t="shared" si="91"/>
        <v>1466</v>
      </c>
      <c r="AB131" s="348">
        <f t="shared" si="91"/>
        <v>1466</v>
      </c>
      <c r="AC131" s="348">
        <f t="shared" si="91"/>
        <v>1524.6666666666667</v>
      </c>
      <c r="AD131" s="348">
        <f t="shared" si="91"/>
        <v>1536.3333333333333</v>
      </c>
      <c r="AE131" s="348">
        <f t="shared" si="91"/>
        <v>1524.6666666666667</v>
      </c>
      <c r="AF131" s="348">
        <f t="shared" si="91"/>
        <v>1538.6666666666667</v>
      </c>
      <c r="AG131" s="348">
        <f t="shared" ref="AG131:AL131" si="92">IFERROR(AVERAGE(AG126:AG130),"-")</f>
        <v>1550.5</v>
      </c>
      <c r="AH131" s="348">
        <f t="shared" si="92"/>
        <v>1550.5</v>
      </c>
      <c r="AI131" s="348">
        <f t="shared" si="92"/>
        <v>1582</v>
      </c>
      <c r="AJ131" s="348">
        <f t="shared" si="92"/>
        <v>1596.3333333333333</v>
      </c>
      <c r="AK131" s="348">
        <f t="shared" si="92"/>
        <v>1588.55</v>
      </c>
      <c r="AL131" s="348">
        <f t="shared" si="92"/>
        <v>1598.05</v>
      </c>
      <c r="AM131" s="348">
        <f t="shared" ref="AM131:AR131" si="93">IFERROR(AVERAGE(AM126:AM130),"-")</f>
        <v>1598.05</v>
      </c>
      <c r="AN131" s="348">
        <f t="shared" si="93"/>
        <v>1609</v>
      </c>
      <c r="AO131" s="348">
        <f t="shared" si="93"/>
        <v>1609</v>
      </c>
      <c r="AP131" s="348">
        <f t="shared" si="93"/>
        <v>1587.75</v>
      </c>
      <c r="AQ131" s="348">
        <f t="shared" si="93"/>
        <v>1585</v>
      </c>
      <c r="AR131" s="348">
        <f t="shared" si="93"/>
        <v>1585</v>
      </c>
      <c r="AS131" s="348">
        <f t="shared" ref="AS131:AZ131" si="94">IFERROR(AVERAGE(AS126:AS130),"-")</f>
        <v>1542.2</v>
      </c>
      <c r="AT131" s="800">
        <f t="shared" si="94"/>
        <v>1542.2</v>
      </c>
      <c r="AU131" s="800">
        <f t="shared" si="94"/>
        <v>1542.2</v>
      </c>
      <c r="AV131" s="917">
        <f>IFERROR(AVERAGE(AV126:AV130),"-")</f>
        <v>1542.2</v>
      </c>
      <c r="AW131" s="929">
        <f t="shared" si="94"/>
        <v>1083.705995360719</v>
      </c>
      <c r="AX131" s="800">
        <f t="shared" si="94"/>
        <v>1083.705995360719</v>
      </c>
      <c r="AY131" s="635">
        <f t="shared" si="94"/>
        <v>969.90199845357301</v>
      </c>
      <c r="AZ131" s="635">
        <f t="shared" si="94"/>
        <v>969.90199845357301</v>
      </c>
      <c r="BA131" s="635">
        <f t="shared" ref="BA131:BF131" si="95">IFERROR(AVERAGE(BA126:BA130),"-")</f>
        <v>969.90199845357301</v>
      </c>
      <c r="BB131" s="635">
        <f t="shared" si="95"/>
        <v>969.90199845357301</v>
      </c>
      <c r="BC131" s="635">
        <f t="shared" si="95"/>
        <v>982.42649884017976</v>
      </c>
      <c r="BD131" s="635">
        <f t="shared" si="95"/>
        <v>983.25</v>
      </c>
      <c r="BE131" s="800">
        <f t="shared" si="95"/>
        <v>1044</v>
      </c>
      <c r="BF131" s="800">
        <f t="shared" si="95"/>
        <v>1044</v>
      </c>
      <c r="BG131" s="800">
        <f>IFERROR(AVERAGE(BG126:BG130),"-")</f>
        <v>1044</v>
      </c>
      <c r="BH131" s="800">
        <f>IFERROR(AVERAGE(BH126:BH130),"-")</f>
        <v>1044</v>
      </c>
      <c r="BI131" s="800">
        <f>IFERROR(AVERAGE(BI126:BI130),"-")</f>
        <v>1044</v>
      </c>
      <c r="BJ131" s="800">
        <f>IFERROR(AVERAGE(BJ126:BJ130),"-")</f>
        <v>1044</v>
      </c>
    </row>
    <row r="132" spans="1:115" customFormat="1" x14ac:dyDescent="0.25">
      <c r="A132" s="262"/>
      <c r="B132" s="262"/>
      <c r="C132" s="262"/>
      <c r="D132" s="262"/>
      <c r="E132" s="262"/>
      <c r="F132" s="262"/>
      <c r="G132" s="262"/>
      <c r="H132" s="262"/>
      <c r="I132" s="262"/>
      <c r="J132" s="262"/>
      <c r="K132" s="262"/>
      <c r="L132" s="262"/>
      <c r="M132" s="262"/>
      <c r="N132" s="262"/>
      <c r="O132" s="262"/>
      <c r="P132" s="262"/>
      <c r="Q132" s="340"/>
      <c r="R132" s="340"/>
      <c r="S132" s="340"/>
      <c r="T132" s="340"/>
      <c r="U132" s="340"/>
      <c r="V132" s="340"/>
      <c r="W132" s="340"/>
      <c r="X132" s="340"/>
      <c r="Y132" s="340"/>
      <c r="Z132" s="340"/>
      <c r="AA132" s="340"/>
      <c r="AB132" s="340"/>
      <c r="AC132" s="340"/>
      <c r="AD132" s="340"/>
      <c r="AE132" s="340"/>
      <c r="AF132" s="340"/>
      <c r="AG132" s="340"/>
      <c r="AH132" s="340"/>
      <c r="AI132" s="340"/>
      <c r="AJ132" s="340"/>
      <c r="AK132" s="340"/>
      <c r="AL132" s="340"/>
      <c r="AM132" s="340"/>
      <c r="AN132" s="340"/>
      <c r="AO132" s="340"/>
      <c r="AP132" s="340"/>
      <c r="AQ132" s="340"/>
      <c r="AR132" s="340"/>
      <c r="AS132" s="340"/>
      <c r="AV132" s="918"/>
      <c r="DG132" s="1150"/>
      <c r="DH132" s="1150"/>
      <c r="DI132" s="1150"/>
      <c r="DJ132" s="1150"/>
      <c r="DK132" s="1150"/>
    </row>
    <row r="133" spans="1:115" customFormat="1" x14ac:dyDescent="0.25">
      <c r="A133" s="262"/>
      <c r="B133" s="113" t="s">
        <v>738</v>
      </c>
      <c r="C133" s="263">
        <f t="shared" ref="C133:AH133" si="96">+C$208</f>
        <v>42522</v>
      </c>
      <c r="D133" s="263">
        <f t="shared" si="96"/>
        <v>42552</v>
      </c>
      <c r="E133" s="263">
        <f t="shared" si="96"/>
        <v>42583</v>
      </c>
      <c r="F133" s="263">
        <f t="shared" si="96"/>
        <v>42614</v>
      </c>
      <c r="G133" s="263">
        <f t="shared" si="96"/>
        <v>42644</v>
      </c>
      <c r="H133" s="263">
        <f t="shared" si="96"/>
        <v>42675</v>
      </c>
      <c r="I133" s="263">
        <f t="shared" si="96"/>
        <v>42705</v>
      </c>
      <c r="J133" s="263">
        <f t="shared" si="96"/>
        <v>42736</v>
      </c>
      <c r="K133" s="263">
        <f t="shared" si="96"/>
        <v>42767</v>
      </c>
      <c r="L133" s="263">
        <f t="shared" si="96"/>
        <v>42795</v>
      </c>
      <c r="M133" s="263">
        <f t="shared" si="96"/>
        <v>42826</v>
      </c>
      <c r="N133" s="263">
        <f t="shared" si="96"/>
        <v>42856</v>
      </c>
      <c r="O133" s="263">
        <f t="shared" si="96"/>
        <v>42887</v>
      </c>
      <c r="P133" s="263">
        <f t="shared" si="96"/>
        <v>42917</v>
      </c>
      <c r="Q133" s="263">
        <f t="shared" si="96"/>
        <v>42948</v>
      </c>
      <c r="R133" s="263">
        <f t="shared" si="96"/>
        <v>42979</v>
      </c>
      <c r="S133" s="263">
        <f t="shared" si="96"/>
        <v>43009</v>
      </c>
      <c r="T133" s="263">
        <f t="shared" si="96"/>
        <v>43040</v>
      </c>
      <c r="U133" s="263">
        <f t="shared" si="96"/>
        <v>43070</v>
      </c>
      <c r="V133" s="263">
        <f t="shared" si="96"/>
        <v>43101</v>
      </c>
      <c r="W133" s="263">
        <f t="shared" si="96"/>
        <v>43132</v>
      </c>
      <c r="X133" s="263">
        <f t="shared" si="96"/>
        <v>43160</v>
      </c>
      <c r="Y133" s="263">
        <f t="shared" si="96"/>
        <v>43191</v>
      </c>
      <c r="Z133" s="263">
        <f t="shared" si="96"/>
        <v>43221</v>
      </c>
      <c r="AA133" s="263">
        <f t="shared" si="96"/>
        <v>43252</v>
      </c>
      <c r="AB133" s="263">
        <f t="shared" si="96"/>
        <v>43283</v>
      </c>
      <c r="AC133" s="263">
        <f t="shared" si="96"/>
        <v>43314</v>
      </c>
      <c r="AD133" s="263">
        <f t="shared" si="96"/>
        <v>43345</v>
      </c>
      <c r="AE133" s="263">
        <f t="shared" si="96"/>
        <v>43376</v>
      </c>
      <c r="AF133" s="263">
        <f t="shared" si="96"/>
        <v>43407</v>
      </c>
      <c r="AG133" s="263">
        <f t="shared" si="96"/>
        <v>43437</v>
      </c>
      <c r="AH133" s="263">
        <f t="shared" si="96"/>
        <v>43468</v>
      </c>
      <c r="AI133" s="263">
        <f t="shared" ref="AI133:BJ133" si="97">+AI$208</f>
        <v>43499</v>
      </c>
      <c r="AJ133" s="263">
        <f t="shared" si="97"/>
        <v>43527</v>
      </c>
      <c r="AK133" s="263">
        <f t="shared" si="97"/>
        <v>43558</v>
      </c>
      <c r="AL133" s="263">
        <f t="shared" si="97"/>
        <v>43587</v>
      </c>
      <c r="AM133" s="263">
        <f t="shared" si="97"/>
        <v>43618</v>
      </c>
      <c r="AN133" s="263">
        <f t="shared" si="97"/>
        <v>43647</v>
      </c>
      <c r="AO133" s="263">
        <f t="shared" si="97"/>
        <v>43678</v>
      </c>
      <c r="AP133" s="263">
        <f t="shared" si="97"/>
        <v>43709</v>
      </c>
      <c r="AQ133" s="263">
        <f t="shared" si="97"/>
        <v>43739</v>
      </c>
      <c r="AR133" s="263">
        <f t="shared" si="97"/>
        <v>43770</v>
      </c>
      <c r="AS133" s="263">
        <f t="shared" si="97"/>
        <v>43800</v>
      </c>
      <c r="AT133" s="263">
        <f t="shared" si="97"/>
        <v>43831</v>
      </c>
      <c r="AU133" s="263">
        <f t="shared" si="97"/>
        <v>43862</v>
      </c>
      <c r="AV133" s="914">
        <f t="shared" si="97"/>
        <v>43891</v>
      </c>
      <c r="AW133" s="263">
        <f t="shared" si="97"/>
        <v>43922</v>
      </c>
      <c r="AX133" s="263">
        <f t="shared" si="97"/>
        <v>43952</v>
      </c>
      <c r="AY133" s="263">
        <f t="shared" si="97"/>
        <v>43983</v>
      </c>
      <c r="AZ133" s="263">
        <f t="shared" si="97"/>
        <v>44013</v>
      </c>
      <c r="BA133" s="263">
        <f t="shared" si="97"/>
        <v>44044</v>
      </c>
      <c r="BB133" s="263">
        <f t="shared" si="97"/>
        <v>44075</v>
      </c>
      <c r="BC133" s="263">
        <f t="shared" si="97"/>
        <v>44105</v>
      </c>
      <c r="BD133" s="263">
        <f t="shared" si="97"/>
        <v>44136</v>
      </c>
      <c r="BE133" s="263">
        <f t="shared" si="97"/>
        <v>44166</v>
      </c>
      <c r="BF133" s="263">
        <f t="shared" si="97"/>
        <v>44197</v>
      </c>
      <c r="BG133" s="263">
        <f t="shared" si="97"/>
        <v>44228</v>
      </c>
      <c r="BH133" s="263">
        <f t="shared" si="97"/>
        <v>44256</v>
      </c>
      <c r="BI133" s="263">
        <f t="shared" si="97"/>
        <v>44287</v>
      </c>
      <c r="BJ133" s="263">
        <f t="shared" si="97"/>
        <v>44317</v>
      </c>
      <c r="DG133" s="1150"/>
      <c r="DH133" s="1150"/>
      <c r="DI133" s="1150"/>
      <c r="DJ133" s="1150"/>
      <c r="DK133" s="1150"/>
    </row>
    <row r="134" spans="1:115" customFormat="1" x14ac:dyDescent="0.25">
      <c r="A134" s="262"/>
      <c r="B134" s="117" t="s">
        <v>542</v>
      </c>
      <c r="C134" s="264" t="s">
        <v>160</v>
      </c>
      <c r="D134" s="264" t="s">
        <v>160</v>
      </c>
      <c r="E134" s="264" t="s">
        <v>160</v>
      </c>
      <c r="F134" s="265" t="s">
        <v>160</v>
      </c>
      <c r="G134" s="265" t="s">
        <v>160</v>
      </c>
      <c r="H134" s="265" t="s">
        <v>160</v>
      </c>
      <c r="I134" s="265" t="s">
        <v>160</v>
      </c>
      <c r="J134" s="265" t="s">
        <v>160</v>
      </c>
      <c r="K134" s="265" t="s">
        <v>160</v>
      </c>
      <c r="L134" s="586" t="s">
        <v>160</v>
      </c>
      <c r="M134" s="586" t="s">
        <v>160</v>
      </c>
      <c r="N134" s="586" t="s">
        <v>160</v>
      </c>
      <c r="O134" s="586" t="s">
        <v>160</v>
      </c>
      <c r="P134" s="586" t="s">
        <v>160</v>
      </c>
      <c r="Q134" s="586" t="s">
        <v>160</v>
      </c>
      <c r="R134" s="586" t="s">
        <v>160</v>
      </c>
      <c r="S134" s="586" t="s">
        <v>160</v>
      </c>
      <c r="T134" s="586" t="s">
        <v>160</v>
      </c>
      <c r="U134" s="585" t="s">
        <v>160</v>
      </c>
      <c r="V134" s="585" t="s">
        <v>160</v>
      </c>
      <c r="W134" s="585" t="s">
        <v>160</v>
      </c>
      <c r="X134" s="585" t="s">
        <v>160</v>
      </c>
      <c r="Y134" s="585" t="s">
        <v>160</v>
      </c>
      <c r="Z134" s="585" t="s">
        <v>160</v>
      </c>
      <c r="AA134" s="585" t="s">
        <v>160</v>
      </c>
      <c r="AB134" s="585" t="s">
        <v>160</v>
      </c>
      <c r="AC134" s="585" t="s">
        <v>160</v>
      </c>
      <c r="AD134" s="585" t="s">
        <v>160</v>
      </c>
      <c r="AE134" s="585" t="s">
        <v>160</v>
      </c>
      <c r="AF134" s="585" t="s">
        <v>160</v>
      </c>
      <c r="AG134" s="585">
        <v>280</v>
      </c>
      <c r="AH134" s="585">
        <v>280</v>
      </c>
      <c r="AI134" s="585">
        <v>280</v>
      </c>
      <c r="AJ134" s="585">
        <v>280</v>
      </c>
      <c r="AK134" s="585">
        <v>280</v>
      </c>
      <c r="AL134" s="585">
        <v>280</v>
      </c>
      <c r="AM134" s="585">
        <v>280</v>
      </c>
      <c r="AN134" s="585">
        <v>280</v>
      </c>
      <c r="AO134" s="585">
        <v>280</v>
      </c>
      <c r="AP134" s="585">
        <v>280</v>
      </c>
      <c r="AQ134" s="585">
        <v>280</v>
      </c>
      <c r="AR134" s="585">
        <v>280</v>
      </c>
      <c r="AS134" s="585">
        <f>308-36</f>
        <v>272</v>
      </c>
      <c r="AT134" s="585">
        <f>308-36</f>
        <v>272</v>
      </c>
      <c r="AU134" s="585">
        <f>308-36</f>
        <v>272</v>
      </c>
      <c r="AV134" s="916">
        <f>308-36</f>
        <v>272</v>
      </c>
      <c r="AW134" s="826" t="s">
        <v>160</v>
      </c>
      <c r="AX134" s="826" t="s">
        <v>160</v>
      </c>
      <c r="AY134" s="341">
        <v>120</v>
      </c>
      <c r="AZ134" s="585">
        <v>120</v>
      </c>
      <c r="BA134" s="585">
        <v>120</v>
      </c>
      <c r="BB134" s="585">
        <v>120</v>
      </c>
      <c r="BC134" s="585">
        <v>120</v>
      </c>
      <c r="BD134" s="585">
        <v>120</v>
      </c>
      <c r="BE134" s="342">
        <v>167</v>
      </c>
      <c r="BF134" s="585">
        <v>167</v>
      </c>
      <c r="BG134" s="585">
        <v>167</v>
      </c>
      <c r="BH134" s="585">
        <v>167</v>
      </c>
      <c r="BI134" s="585">
        <v>167</v>
      </c>
      <c r="BJ134" s="585">
        <v>167</v>
      </c>
      <c r="DG134" s="1150"/>
      <c r="DH134" s="1150"/>
      <c r="DI134" s="1150"/>
      <c r="DJ134" s="1150"/>
      <c r="DK134" s="1150"/>
    </row>
    <row r="135" spans="1:115" x14ac:dyDescent="0.25">
      <c r="B135" s="117" t="s">
        <v>545</v>
      </c>
      <c r="C135" s="264" t="s">
        <v>160</v>
      </c>
      <c r="D135" s="264" t="s">
        <v>160</v>
      </c>
      <c r="E135" s="264" t="s">
        <v>160</v>
      </c>
      <c r="F135" s="264" t="s">
        <v>160</v>
      </c>
      <c r="G135" s="264" t="s">
        <v>160</v>
      </c>
      <c r="H135" s="265" t="s">
        <v>160</v>
      </c>
      <c r="I135" s="265" t="s">
        <v>160</v>
      </c>
      <c r="J135" s="265" t="s">
        <v>160</v>
      </c>
      <c r="K135" s="265" t="s">
        <v>160</v>
      </c>
      <c r="L135" s="586" t="s">
        <v>160</v>
      </c>
      <c r="M135" s="586" t="s">
        <v>160</v>
      </c>
      <c r="N135" s="586" t="s">
        <v>160</v>
      </c>
      <c r="O135" s="586" t="s">
        <v>160</v>
      </c>
      <c r="P135" s="586" t="s">
        <v>160</v>
      </c>
      <c r="Q135" s="585" t="s">
        <v>160</v>
      </c>
      <c r="R135" s="585" t="s">
        <v>160</v>
      </c>
      <c r="S135" s="585" t="s">
        <v>160</v>
      </c>
      <c r="T135" s="585" t="s">
        <v>160</v>
      </c>
      <c r="U135" s="585" t="s">
        <v>160</v>
      </c>
      <c r="V135" s="585" t="s">
        <v>160</v>
      </c>
      <c r="W135" s="585">
        <v>215</v>
      </c>
      <c r="X135" s="585">
        <v>215</v>
      </c>
      <c r="Y135" s="585">
        <v>215</v>
      </c>
      <c r="Z135" s="585">
        <v>211</v>
      </c>
      <c r="AA135" s="585">
        <v>211</v>
      </c>
      <c r="AB135" s="585">
        <v>211</v>
      </c>
      <c r="AC135" s="585">
        <v>211</v>
      </c>
      <c r="AD135" s="585">
        <v>211</v>
      </c>
      <c r="AE135" s="585">
        <v>211</v>
      </c>
      <c r="AF135" s="679">
        <v>229</v>
      </c>
      <c r="AG135" s="586">
        <v>229</v>
      </c>
      <c r="AH135" s="586">
        <v>229</v>
      </c>
      <c r="AI135" s="586">
        <v>229</v>
      </c>
      <c r="AJ135" s="679">
        <v>253</v>
      </c>
      <c r="AK135" s="586">
        <v>253</v>
      </c>
      <c r="AL135" s="679">
        <v>260</v>
      </c>
      <c r="AM135" s="586">
        <v>260</v>
      </c>
      <c r="AN135" s="586">
        <v>260</v>
      </c>
      <c r="AO135" s="586">
        <v>260</v>
      </c>
      <c r="AP135" s="586">
        <v>260</v>
      </c>
      <c r="AQ135" s="586">
        <v>260</v>
      </c>
      <c r="AR135" s="586">
        <v>260</v>
      </c>
      <c r="AS135" s="343">
        <v>258</v>
      </c>
      <c r="AT135" s="586">
        <v>258</v>
      </c>
      <c r="AU135" s="586">
        <v>258</v>
      </c>
      <c r="AV135" s="919">
        <v>258</v>
      </c>
      <c r="AW135" s="277" t="s">
        <v>160</v>
      </c>
      <c r="AX135" s="277" t="s">
        <v>160</v>
      </c>
      <c r="AY135" s="277" t="s">
        <v>160</v>
      </c>
      <c r="AZ135" s="277" t="s">
        <v>160</v>
      </c>
      <c r="BA135" s="277" t="s">
        <v>160</v>
      </c>
      <c r="BB135" s="277" t="s">
        <v>160</v>
      </c>
      <c r="BC135" s="277" t="s">
        <v>160</v>
      </c>
      <c r="BD135" s="277" t="s">
        <v>160</v>
      </c>
      <c r="BE135" s="277" t="s">
        <v>160</v>
      </c>
      <c r="BF135" s="586" t="s">
        <v>160</v>
      </c>
      <c r="BG135" s="586" t="s">
        <v>160</v>
      </c>
      <c r="BH135" s="586" t="s">
        <v>160</v>
      </c>
      <c r="BI135" s="586" t="s">
        <v>160</v>
      </c>
      <c r="BJ135" s="586" t="s">
        <v>160</v>
      </c>
    </row>
    <row r="136" spans="1:115" x14ac:dyDescent="0.25">
      <c r="B136" s="117" t="s">
        <v>546</v>
      </c>
      <c r="C136" s="264" t="s">
        <v>160</v>
      </c>
      <c r="D136" s="264" t="s">
        <v>160</v>
      </c>
      <c r="E136" s="264" t="s">
        <v>160</v>
      </c>
      <c r="F136" s="264" t="s">
        <v>160</v>
      </c>
      <c r="G136" s="264" t="s">
        <v>160</v>
      </c>
      <c r="H136" s="265" t="s">
        <v>160</v>
      </c>
      <c r="I136" s="265" t="s">
        <v>160</v>
      </c>
      <c r="J136" s="265" t="s">
        <v>160</v>
      </c>
      <c r="K136" s="265" t="s">
        <v>160</v>
      </c>
      <c r="L136" s="586" t="s">
        <v>160</v>
      </c>
      <c r="M136" s="586" t="s">
        <v>160</v>
      </c>
      <c r="N136" s="586" t="s">
        <v>160</v>
      </c>
      <c r="O136" s="586" t="s">
        <v>160</v>
      </c>
      <c r="P136" s="586" t="s">
        <v>160</v>
      </c>
      <c r="Q136" s="586" t="s">
        <v>160</v>
      </c>
      <c r="R136" s="586" t="s">
        <v>160</v>
      </c>
      <c r="S136" s="586" t="s">
        <v>160</v>
      </c>
      <c r="T136" s="586" t="s">
        <v>160</v>
      </c>
      <c r="U136" s="586" t="s">
        <v>160</v>
      </c>
      <c r="V136" s="586" t="s">
        <v>160</v>
      </c>
      <c r="W136" s="586" t="s">
        <v>160</v>
      </c>
      <c r="X136" s="586" t="s">
        <v>160</v>
      </c>
      <c r="Y136" s="586" t="s">
        <v>160</v>
      </c>
      <c r="Z136" s="586" t="s">
        <v>160</v>
      </c>
      <c r="AA136" s="586" t="s">
        <v>160</v>
      </c>
      <c r="AB136" s="586" t="s">
        <v>160</v>
      </c>
      <c r="AC136" s="586">
        <v>235</v>
      </c>
      <c r="AD136" s="586">
        <v>235</v>
      </c>
      <c r="AE136" s="586">
        <v>235</v>
      </c>
      <c r="AF136" s="679">
        <v>253</v>
      </c>
      <c r="AG136" s="586">
        <v>253</v>
      </c>
      <c r="AH136" s="586">
        <v>253</v>
      </c>
      <c r="AI136" s="586">
        <v>253</v>
      </c>
      <c r="AJ136" s="679">
        <v>265</v>
      </c>
      <c r="AK136" s="586">
        <v>265</v>
      </c>
      <c r="AL136" s="586">
        <v>265</v>
      </c>
      <c r="AM136" s="586">
        <v>265</v>
      </c>
      <c r="AN136" s="586">
        <v>265</v>
      </c>
      <c r="AO136" s="586">
        <v>265</v>
      </c>
      <c r="AP136" s="586">
        <v>265</v>
      </c>
      <c r="AQ136" s="586">
        <v>265</v>
      </c>
      <c r="AR136" s="586">
        <v>265</v>
      </c>
      <c r="AS136" s="586">
        <v>265</v>
      </c>
      <c r="AT136" s="586">
        <v>265</v>
      </c>
      <c r="AU136" s="586">
        <v>265</v>
      </c>
      <c r="AV136" s="919">
        <v>265</v>
      </c>
      <c r="AW136" s="341">
        <v>129.5755240420927</v>
      </c>
      <c r="AX136" s="585">
        <v>129.5755240420927</v>
      </c>
      <c r="AY136" s="585">
        <v>129.5755240420927</v>
      </c>
      <c r="AZ136" s="585">
        <v>129.5755240420927</v>
      </c>
      <c r="BA136" s="585">
        <v>129.5755240420927</v>
      </c>
      <c r="BB136" s="585">
        <v>129.5755240420927</v>
      </c>
      <c r="BC136" s="585">
        <v>129.5755240420927</v>
      </c>
      <c r="BD136" s="342">
        <v>177</v>
      </c>
      <c r="BE136" s="585">
        <v>177</v>
      </c>
      <c r="BF136" s="585">
        <v>177</v>
      </c>
      <c r="BG136" s="585">
        <v>177</v>
      </c>
      <c r="BH136" s="585">
        <v>177</v>
      </c>
      <c r="BI136" s="585">
        <v>177</v>
      </c>
      <c r="BJ136" s="585">
        <v>177</v>
      </c>
    </row>
    <row r="137" spans="1:115" x14ac:dyDescent="0.25">
      <c r="B137" s="117" t="s">
        <v>574</v>
      </c>
      <c r="C137" s="264" t="s">
        <v>160</v>
      </c>
      <c r="D137" s="264" t="s">
        <v>160</v>
      </c>
      <c r="E137" s="264" t="s">
        <v>160</v>
      </c>
      <c r="F137" s="264" t="s">
        <v>160</v>
      </c>
      <c r="G137" s="264" t="s">
        <v>160</v>
      </c>
      <c r="H137" s="264" t="s">
        <v>160</v>
      </c>
      <c r="I137" s="264" t="s">
        <v>160</v>
      </c>
      <c r="J137" s="264" t="s">
        <v>160</v>
      </c>
      <c r="K137" s="264" t="s">
        <v>160</v>
      </c>
      <c r="L137" s="352" t="s">
        <v>160</v>
      </c>
      <c r="M137" s="352" t="s">
        <v>160</v>
      </c>
      <c r="N137" s="352" t="s">
        <v>160</v>
      </c>
      <c r="O137" s="586" t="s">
        <v>160</v>
      </c>
      <c r="P137" s="586" t="s">
        <v>160</v>
      </c>
      <c r="Q137" s="586" t="s">
        <v>160</v>
      </c>
      <c r="R137" s="586" t="s">
        <v>160</v>
      </c>
      <c r="S137" s="586" t="s">
        <v>160</v>
      </c>
      <c r="T137" s="586" t="s">
        <v>160</v>
      </c>
      <c r="U137" s="586" t="s">
        <v>160</v>
      </c>
      <c r="V137" s="586" t="s">
        <v>160</v>
      </c>
      <c r="W137" s="585" t="s">
        <v>160</v>
      </c>
      <c r="X137" s="585" t="s">
        <v>160</v>
      </c>
      <c r="Y137" s="585" t="s">
        <v>160</v>
      </c>
      <c r="Z137" s="585" t="s">
        <v>160</v>
      </c>
      <c r="AA137" s="585" t="s">
        <v>160</v>
      </c>
      <c r="AB137" s="585" t="s">
        <v>160</v>
      </c>
      <c r="AC137" s="585" t="s">
        <v>160</v>
      </c>
      <c r="AD137" s="585" t="s">
        <v>160</v>
      </c>
      <c r="AE137" s="585" t="s">
        <v>160</v>
      </c>
      <c r="AF137" s="585" t="s">
        <v>160</v>
      </c>
      <c r="AG137" s="586" t="s">
        <v>160</v>
      </c>
      <c r="AH137" s="586" t="s">
        <v>160</v>
      </c>
      <c r="AI137" s="586" t="s">
        <v>160</v>
      </c>
      <c r="AJ137" s="586" t="s">
        <v>160</v>
      </c>
      <c r="AK137" s="586">
        <v>254.1</v>
      </c>
      <c r="AL137" s="586">
        <v>254.1</v>
      </c>
      <c r="AM137" s="586">
        <v>254.1</v>
      </c>
      <c r="AN137" s="586" t="s">
        <v>160</v>
      </c>
      <c r="AO137" s="586" t="s">
        <v>160</v>
      </c>
      <c r="AP137" s="586" t="s">
        <v>160</v>
      </c>
      <c r="AQ137" s="586">
        <v>257</v>
      </c>
      <c r="AR137" s="586">
        <v>257</v>
      </c>
      <c r="AS137" s="586">
        <v>257</v>
      </c>
      <c r="AT137" s="586">
        <v>257</v>
      </c>
      <c r="AU137" s="586">
        <v>257</v>
      </c>
      <c r="AV137" s="919">
        <v>257</v>
      </c>
      <c r="AW137" s="277" t="s">
        <v>160</v>
      </c>
      <c r="AX137" s="277" t="s">
        <v>160</v>
      </c>
      <c r="AY137" s="277" t="s">
        <v>160</v>
      </c>
      <c r="AZ137" s="277" t="s">
        <v>160</v>
      </c>
      <c r="BA137" s="277" t="s">
        <v>160</v>
      </c>
      <c r="BB137" s="277" t="s">
        <v>160</v>
      </c>
      <c r="BC137" s="585">
        <v>147</v>
      </c>
      <c r="BD137" s="585">
        <v>147</v>
      </c>
      <c r="BE137" s="585">
        <v>147</v>
      </c>
      <c r="BF137" s="585">
        <v>147</v>
      </c>
      <c r="BG137" s="585">
        <v>147</v>
      </c>
      <c r="BH137" s="585">
        <v>147</v>
      </c>
      <c r="BI137" s="585">
        <v>147</v>
      </c>
      <c r="BJ137" s="585">
        <v>147</v>
      </c>
    </row>
    <row r="138" spans="1:115" x14ac:dyDescent="0.25">
      <c r="B138" s="117" t="s">
        <v>547</v>
      </c>
      <c r="C138" s="264" t="s">
        <v>160</v>
      </c>
      <c r="D138" s="264" t="s">
        <v>160</v>
      </c>
      <c r="E138" s="264" t="s">
        <v>160</v>
      </c>
      <c r="F138" s="264" t="s">
        <v>160</v>
      </c>
      <c r="G138" s="265" t="s">
        <v>160</v>
      </c>
      <c r="H138" s="265" t="s">
        <v>160</v>
      </c>
      <c r="I138" s="265" t="s">
        <v>160</v>
      </c>
      <c r="J138" s="265" t="s">
        <v>160</v>
      </c>
      <c r="K138" s="265" t="s">
        <v>160</v>
      </c>
      <c r="L138" s="586" t="s">
        <v>160</v>
      </c>
      <c r="M138" s="586" t="s">
        <v>160</v>
      </c>
      <c r="N138" s="586" t="s">
        <v>160</v>
      </c>
      <c r="O138" s="586" t="s">
        <v>160</v>
      </c>
      <c r="P138" s="586" t="s">
        <v>160</v>
      </c>
      <c r="Q138" s="586" t="s">
        <v>160</v>
      </c>
      <c r="R138" s="586" t="s">
        <v>160</v>
      </c>
      <c r="S138" s="586" t="s">
        <v>160</v>
      </c>
      <c r="T138" s="586" t="s">
        <v>160</v>
      </c>
      <c r="U138" s="586" t="s">
        <v>160</v>
      </c>
      <c r="V138" s="585">
        <v>200</v>
      </c>
      <c r="W138" s="586">
        <v>200</v>
      </c>
      <c r="X138" s="586">
        <v>200</v>
      </c>
      <c r="Y138" s="586">
        <v>200</v>
      </c>
      <c r="Z138" s="586">
        <v>200</v>
      </c>
      <c r="AA138" s="586">
        <v>200</v>
      </c>
      <c r="AB138" s="586">
        <v>200</v>
      </c>
      <c r="AC138" s="586">
        <v>200</v>
      </c>
      <c r="AD138" s="342">
        <v>222</v>
      </c>
      <c r="AE138" s="586">
        <v>222</v>
      </c>
      <c r="AF138" s="586">
        <v>222</v>
      </c>
      <c r="AG138" s="586">
        <v>222</v>
      </c>
      <c r="AH138" s="586">
        <v>222</v>
      </c>
      <c r="AI138" s="586" t="s">
        <v>160</v>
      </c>
      <c r="AJ138" s="586" t="s">
        <v>160</v>
      </c>
      <c r="AK138" s="586" t="s">
        <v>160</v>
      </c>
      <c r="AL138" s="586" t="s">
        <v>160</v>
      </c>
      <c r="AM138" s="586" t="s">
        <v>160</v>
      </c>
      <c r="AN138" s="586" t="s">
        <v>160</v>
      </c>
      <c r="AO138" s="586" t="s">
        <v>160</v>
      </c>
      <c r="AP138" s="586">
        <v>254</v>
      </c>
      <c r="AQ138" s="586">
        <v>254</v>
      </c>
      <c r="AR138" s="586">
        <v>254</v>
      </c>
      <c r="AS138" s="586">
        <v>254</v>
      </c>
      <c r="AT138" s="586">
        <v>254</v>
      </c>
      <c r="AU138" s="586">
        <v>254</v>
      </c>
      <c r="AV138" s="919">
        <v>254</v>
      </c>
      <c r="AW138" s="277" t="s">
        <v>160</v>
      </c>
      <c r="AX138" s="277" t="s">
        <v>160</v>
      </c>
      <c r="AY138" s="341">
        <v>134</v>
      </c>
      <c r="AZ138" s="585">
        <v>134</v>
      </c>
      <c r="BA138" s="585">
        <v>134</v>
      </c>
      <c r="BB138" s="585">
        <v>134</v>
      </c>
      <c r="BC138" s="585">
        <v>134</v>
      </c>
      <c r="BD138" s="585">
        <v>134</v>
      </c>
      <c r="BE138" s="342">
        <v>168</v>
      </c>
      <c r="BF138" s="585">
        <v>168</v>
      </c>
      <c r="BG138" s="585">
        <v>168</v>
      </c>
      <c r="BH138" s="585">
        <v>168</v>
      </c>
      <c r="BI138" s="585">
        <v>168</v>
      </c>
      <c r="BJ138" s="585">
        <v>168</v>
      </c>
    </row>
    <row r="139" spans="1:115" x14ac:dyDescent="0.25">
      <c r="A139"/>
      <c r="B139" s="278" t="s">
        <v>557</v>
      </c>
      <c r="C139" s="327" t="str">
        <f t="shared" ref="C139:K139" si="98">IFERROR(AVERAGE(C134:C138),"-")</f>
        <v>-</v>
      </c>
      <c r="D139" s="327" t="str">
        <f t="shared" si="98"/>
        <v>-</v>
      </c>
      <c r="E139" s="327" t="str">
        <f t="shared" si="98"/>
        <v>-</v>
      </c>
      <c r="F139" s="327" t="str">
        <f t="shared" si="98"/>
        <v>-</v>
      </c>
      <c r="G139" s="327" t="str">
        <f t="shared" si="98"/>
        <v>-</v>
      </c>
      <c r="H139" s="327" t="str">
        <f t="shared" si="98"/>
        <v>-</v>
      </c>
      <c r="I139" s="327" t="str">
        <f t="shared" si="98"/>
        <v>-</v>
      </c>
      <c r="J139" s="327" t="str">
        <f t="shared" si="98"/>
        <v>-</v>
      </c>
      <c r="K139" s="327" t="str">
        <f t="shared" si="98"/>
        <v>-</v>
      </c>
      <c r="L139" s="635" t="s">
        <v>160</v>
      </c>
      <c r="M139" s="635" t="s">
        <v>160</v>
      </c>
      <c r="N139" s="635" t="s">
        <v>160</v>
      </c>
      <c r="O139" s="635" t="s">
        <v>160</v>
      </c>
      <c r="P139" s="635" t="s">
        <v>160</v>
      </c>
      <c r="Q139" s="635" t="s">
        <v>160</v>
      </c>
      <c r="R139" s="635" t="s">
        <v>160</v>
      </c>
      <c r="S139" s="635" t="s">
        <v>160</v>
      </c>
      <c r="T139" s="635" t="s">
        <v>160</v>
      </c>
      <c r="U139" s="635" t="s">
        <v>160</v>
      </c>
      <c r="V139" s="350">
        <f t="shared" ref="V139:AF139" si="99">IFERROR(AVERAGE(V134:V138),"-")</f>
        <v>200</v>
      </c>
      <c r="W139" s="350">
        <f t="shared" si="99"/>
        <v>207.5</v>
      </c>
      <c r="X139" s="350">
        <f t="shared" si="99"/>
        <v>207.5</v>
      </c>
      <c r="Y139" s="350">
        <f t="shared" si="99"/>
        <v>207.5</v>
      </c>
      <c r="Z139" s="350">
        <f t="shared" si="99"/>
        <v>205.5</v>
      </c>
      <c r="AA139" s="350">
        <f t="shared" si="99"/>
        <v>205.5</v>
      </c>
      <c r="AB139" s="350">
        <f t="shared" si="99"/>
        <v>205.5</v>
      </c>
      <c r="AC139" s="350">
        <f t="shared" si="99"/>
        <v>215.33333333333334</v>
      </c>
      <c r="AD139" s="350">
        <f t="shared" si="99"/>
        <v>222.66666666666666</v>
      </c>
      <c r="AE139" s="350">
        <f t="shared" si="99"/>
        <v>222.66666666666666</v>
      </c>
      <c r="AF139" s="350">
        <f t="shared" si="99"/>
        <v>234.66666666666666</v>
      </c>
      <c r="AG139" s="350">
        <f t="shared" ref="AG139:AL139" si="100">IFERROR(AVERAGE(AG134:AG138),"-")</f>
        <v>246</v>
      </c>
      <c r="AH139" s="350">
        <f t="shared" si="100"/>
        <v>246</v>
      </c>
      <c r="AI139" s="350">
        <f t="shared" si="100"/>
        <v>254</v>
      </c>
      <c r="AJ139" s="350">
        <f t="shared" si="100"/>
        <v>266</v>
      </c>
      <c r="AK139" s="350">
        <f t="shared" si="100"/>
        <v>263.02499999999998</v>
      </c>
      <c r="AL139" s="350">
        <f t="shared" si="100"/>
        <v>264.77499999999998</v>
      </c>
      <c r="AM139" s="350">
        <f t="shared" ref="AM139:AR139" si="101">IFERROR(AVERAGE(AM134:AM138),"-")</f>
        <v>264.77499999999998</v>
      </c>
      <c r="AN139" s="350">
        <f t="shared" si="101"/>
        <v>268.33333333333331</v>
      </c>
      <c r="AO139" s="350">
        <f t="shared" si="101"/>
        <v>268.33333333333331</v>
      </c>
      <c r="AP139" s="350">
        <f t="shared" si="101"/>
        <v>264.75</v>
      </c>
      <c r="AQ139" s="350">
        <f t="shared" si="101"/>
        <v>263.2</v>
      </c>
      <c r="AR139" s="350">
        <f t="shared" si="101"/>
        <v>263.2</v>
      </c>
      <c r="AS139" s="350">
        <f t="shared" ref="AS139:AZ139" si="102">IFERROR(AVERAGE(AS134:AS138),"-")</f>
        <v>261.2</v>
      </c>
      <c r="AT139" s="635">
        <f t="shared" si="102"/>
        <v>261.2</v>
      </c>
      <c r="AU139" s="635">
        <f t="shared" si="102"/>
        <v>261.2</v>
      </c>
      <c r="AV139" s="920">
        <f>IFERROR(AVERAGE(AV134:AV138),"-")</f>
        <v>261.2</v>
      </c>
      <c r="AW139" s="635">
        <f t="shared" si="102"/>
        <v>129.5755240420927</v>
      </c>
      <c r="AX139" s="635">
        <f t="shared" si="102"/>
        <v>129.5755240420927</v>
      </c>
      <c r="AY139" s="635">
        <f t="shared" si="102"/>
        <v>127.8585080140309</v>
      </c>
      <c r="AZ139" s="635">
        <f t="shared" si="102"/>
        <v>127.8585080140309</v>
      </c>
      <c r="BA139" s="635">
        <f t="shared" ref="BA139:BF139" si="103">IFERROR(AVERAGE(BA134:BA138),"-")</f>
        <v>127.8585080140309</v>
      </c>
      <c r="BB139" s="635">
        <f t="shared" si="103"/>
        <v>127.8585080140309</v>
      </c>
      <c r="BC139" s="635">
        <f t="shared" si="103"/>
        <v>132.64388101052316</v>
      </c>
      <c r="BD139" s="635">
        <f t="shared" si="103"/>
        <v>144.5</v>
      </c>
      <c r="BE139" s="635">
        <f t="shared" si="103"/>
        <v>164.75</v>
      </c>
      <c r="BF139" s="635">
        <f t="shared" si="103"/>
        <v>164.75</v>
      </c>
      <c r="BG139" s="635">
        <f>IFERROR(AVERAGE(BG134:BG138),"-")</f>
        <v>164.75</v>
      </c>
      <c r="BH139" s="635">
        <f>IFERROR(AVERAGE(BH134:BH138),"-")</f>
        <v>164.75</v>
      </c>
      <c r="BI139" s="635">
        <f>IFERROR(AVERAGE(BI134:BI138),"-")</f>
        <v>164.75</v>
      </c>
      <c r="BJ139" s="635">
        <f>IFERROR(AVERAGE(BJ134:BJ138),"-")</f>
        <v>164.75</v>
      </c>
    </row>
    <row r="140" spans="1:115" x14ac:dyDescent="0.25">
      <c r="X140" s="340"/>
      <c r="Y140" s="340"/>
      <c r="Z140" s="340"/>
      <c r="AA140" s="340"/>
      <c r="AB140" s="340"/>
      <c r="AC140" s="340"/>
      <c r="AD140" s="340"/>
      <c r="AE140" s="340"/>
      <c r="AF140" s="340"/>
      <c r="AG140" s="340"/>
      <c r="AH140" s="340"/>
      <c r="AI140" s="340"/>
      <c r="AJ140" s="340"/>
      <c r="AK140" s="340"/>
      <c r="AL140" s="340"/>
      <c r="AM140" s="340"/>
      <c r="AN140" s="340"/>
      <c r="AO140" s="340"/>
      <c r="AP140" s="340"/>
      <c r="AQ140" s="340"/>
      <c r="AR140" s="340"/>
      <c r="AS140" s="340"/>
      <c r="AT140" s="761"/>
      <c r="AU140" s="761"/>
      <c r="AV140" s="921"/>
      <c r="AW140" s="761"/>
      <c r="AX140" s="761"/>
      <c r="AY140" s="761"/>
      <c r="AZ140" s="761"/>
      <c r="BA140" s="761"/>
      <c r="BB140" s="761"/>
      <c r="BC140" s="761"/>
      <c r="BD140" s="761"/>
      <c r="BE140" s="761"/>
      <c r="BF140" s="761"/>
      <c r="BG140" s="761"/>
      <c r="BH140" s="761"/>
      <c r="BI140" s="761"/>
      <c r="BJ140" s="761"/>
    </row>
    <row r="141" spans="1:115" x14ac:dyDescent="0.25">
      <c r="B141" s="113" t="s">
        <v>739</v>
      </c>
      <c r="C141" s="263">
        <f t="shared" ref="C141:AH141" si="104">+C$208</f>
        <v>42522</v>
      </c>
      <c r="D141" s="263">
        <f t="shared" si="104"/>
        <v>42552</v>
      </c>
      <c r="E141" s="263">
        <f t="shared" si="104"/>
        <v>42583</v>
      </c>
      <c r="F141" s="263">
        <f t="shared" si="104"/>
        <v>42614</v>
      </c>
      <c r="G141" s="263">
        <f t="shared" si="104"/>
        <v>42644</v>
      </c>
      <c r="H141" s="263">
        <f t="shared" si="104"/>
        <v>42675</v>
      </c>
      <c r="I141" s="263">
        <f t="shared" si="104"/>
        <v>42705</v>
      </c>
      <c r="J141" s="263">
        <f t="shared" si="104"/>
        <v>42736</v>
      </c>
      <c r="K141" s="263">
        <f t="shared" si="104"/>
        <v>42767</v>
      </c>
      <c r="L141" s="263">
        <f t="shared" si="104"/>
        <v>42795</v>
      </c>
      <c r="M141" s="263">
        <f t="shared" si="104"/>
        <v>42826</v>
      </c>
      <c r="N141" s="263">
        <f t="shared" si="104"/>
        <v>42856</v>
      </c>
      <c r="O141" s="263">
        <f t="shared" si="104"/>
        <v>42887</v>
      </c>
      <c r="P141" s="263">
        <f t="shared" si="104"/>
        <v>42917</v>
      </c>
      <c r="Q141" s="263">
        <f t="shared" si="104"/>
        <v>42948</v>
      </c>
      <c r="R141" s="263">
        <f t="shared" si="104"/>
        <v>42979</v>
      </c>
      <c r="S141" s="263">
        <f t="shared" si="104"/>
        <v>43009</v>
      </c>
      <c r="T141" s="263">
        <f t="shared" si="104"/>
        <v>43040</v>
      </c>
      <c r="U141" s="263">
        <f t="shared" si="104"/>
        <v>43070</v>
      </c>
      <c r="V141" s="263">
        <f t="shared" si="104"/>
        <v>43101</v>
      </c>
      <c r="W141" s="263">
        <f t="shared" si="104"/>
        <v>43132</v>
      </c>
      <c r="X141" s="263">
        <f t="shared" si="104"/>
        <v>43160</v>
      </c>
      <c r="Y141" s="263">
        <f t="shared" si="104"/>
        <v>43191</v>
      </c>
      <c r="Z141" s="263">
        <f t="shared" si="104"/>
        <v>43221</v>
      </c>
      <c r="AA141" s="263">
        <f t="shared" si="104"/>
        <v>43252</v>
      </c>
      <c r="AB141" s="263">
        <f t="shared" si="104"/>
        <v>43283</v>
      </c>
      <c r="AC141" s="263">
        <f t="shared" si="104"/>
        <v>43314</v>
      </c>
      <c r="AD141" s="263">
        <f t="shared" si="104"/>
        <v>43345</v>
      </c>
      <c r="AE141" s="263">
        <f t="shared" si="104"/>
        <v>43376</v>
      </c>
      <c r="AF141" s="263">
        <f t="shared" si="104"/>
        <v>43407</v>
      </c>
      <c r="AG141" s="263">
        <f t="shared" si="104"/>
        <v>43437</v>
      </c>
      <c r="AH141" s="263">
        <f t="shared" si="104"/>
        <v>43468</v>
      </c>
      <c r="AI141" s="263">
        <f t="shared" ref="AI141:BJ141" si="105">+AI$208</f>
        <v>43499</v>
      </c>
      <c r="AJ141" s="263">
        <f t="shared" si="105"/>
        <v>43527</v>
      </c>
      <c r="AK141" s="263">
        <f t="shared" si="105"/>
        <v>43558</v>
      </c>
      <c r="AL141" s="263">
        <f t="shared" si="105"/>
        <v>43587</v>
      </c>
      <c r="AM141" s="263">
        <f t="shared" si="105"/>
        <v>43618</v>
      </c>
      <c r="AN141" s="263">
        <f t="shared" si="105"/>
        <v>43647</v>
      </c>
      <c r="AO141" s="263">
        <f t="shared" si="105"/>
        <v>43678</v>
      </c>
      <c r="AP141" s="263">
        <f t="shared" si="105"/>
        <v>43709</v>
      </c>
      <c r="AQ141" s="263">
        <f t="shared" si="105"/>
        <v>43739</v>
      </c>
      <c r="AR141" s="263">
        <f t="shared" si="105"/>
        <v>43770</v>
      </c>
      <c r="AS141" s="263">
        <f t="shared" si="105"/>
        <v>43800</v>
      </c>
      <c r="AT141" s="263">
        <f t="shared" si="105"/>
        <v>43831</v>
      </c>
      <c r="AU141" s="263">
        <f t="shared" si="105"/>
        <v>43862</v>
      </c>
      <c r="AV141" s="263">
        <f t="shared" si="105"/>
        <v>43891</v>
      </c>
      <c r="AW141" s="263">
        <f t="shared" si="105"/>
        <v>43922</v>
      </c>
      <c r="AX141" s="263">
        <f t="shared" si="105"/>
        <v>43952</v>
      </c>
      <c r="AY141" s="263">
        <f t="shared" si="105"/>
        <v>43983</v>
      </c>
      <c r="AZ141" s="263">
        <f t="shared" si="105"/>
        <v>44013</v>
      </c>
      <c r="BA141" s="263">
        <f t="shared" si="105"/>
        <v>44044</v>
      </c>
      <c r="BB141" s="263">
        <f t="shared" si="105"/>
        <v>44075</v>
      </c>
      <c r="BC141" s="263">
        <f t="shared" si="105"/>
        <v>44105</v>
      </c>
      <c r="BD141" s="263">
        <f t="shared" si="105"/>
        <v>44136</v>
      </c>
      <c r="BE141" s="263">
        <f t="shared" si="105"/>
        <v>44166</v>
      </c>
      <c r="BF141" s="263">
        <f t="shared" si="105"/>
        <v>44197</v>
      </c>
      <c r="BG141" s="263">
        <f t="shared" si="105"/>
        <v>44228</v>
      </c>
      <c r="BH141" s="263">
        <f t="shared" si="105"/>
        <v>44256</v>
      </c>
      <c r="BI141" s="263">
        <f t="shared" si="105"/>
        <v>44287</v>
      </c>
      <c r="BJ141" s="263">
        <f t="shared" si="105"/>
        <v>44317</v>
      </c>
    </row>
    <row r="142" spans="1:115" customFormat="1" x14ac:dyDescent="0.25">
      <c r="A142" s="262"/>
      <c r="B142" s="117" t="s">
        <v>542</v>
      </c>
      <c r="C142" s="264" t="s">
        <v>160</v>
      </c>
      <c r="D142" s="264" t="s">
        <v>160</v>
      </c>
      <c r="E142" s="264" t="s">
        <v>160</v>
      </c>
      <c r="F142" s="265" t="s">
        <v>160</v>
      </c>
      <c r="G142" s="265" t="s">
        <v>160</v>
      </c>
      <c r="H142" s="265" t="s">
        <v>160</v>
      </c>
      <c r="I142" s="265" t="s">
        <v>160</v>
      </c>
      <c r="J142" s="265" t="s">
        <v>160</v>
      </c>
      <c r="K142" s="265" t="s">
        <v>160</v>
      </c>
      <c r="L142" s="586" t="s">
        <v>160</v>
      </c>
      <c r="M142" s="586" t="s">
        <v>160</v>
      </c>
      <c r="N142" s="586" t="s">
        <v>160</v>
      </c>
      <c r="O142" s="586" t="s">
        <v>160</v>
      </c>
      <c r="P142" s="586" t="s">
        <v>160</v>
      </c>
      <c r="Q142" s="586" t="s">
        <v>160</v>
      </c>
      <c r="R142" s="586" t="s">
        <v>160</v>
      </c>
      <c r="S142" s="586" t="s">
        <v>160</v>
      </c>
      <c r="T142" s="586" t="s">
        <v>160</v>
      </c>
      <c r="U142" s="585" t="s">
        <v>160</v>
      </c>
      <c r="V142" s="585" t="s">
        <v>160</v>
      </c>
      <c r="W142" s="585" t="s">
        <v>160</v>
      </c>
      <c r="X142" s="585" t="s">
        <v>160</v>
      </c>
      <c r="Y142" s="585" t="s">
        <v>160</v>
      </c>
      <c r="Z142" s="585" t="s">
        <v>160</v>
      </c>
      <c r="AA142" s="585" t="s">
        <v>160</v>
      </c>
      <c r="AB142" s="585" t="s">
        <v>160</v>
      </c>
      <c r="AC142" s="585" t="s">
        <v>160</v>
      </c>
      <c r="AD142" s="585" t="s">
        <v>160</v>
      </c>
      <c r="AE142" s="585" t="s">
        <v>160</v>
      </c>
      <c r="AF142" s="585" t="s">
        <v>160</v>
      </c>
      <c r="AG142" s="585">
        <v>158</v>
      </c>
      <c r="AH142" s="585">
        <v>158</v>
      </c>
      <c r="AI142" s="585">
        <v>158</v>
      </c>
      <c r="AJ142" s="585">
        <v>158</v>
      </c>
      <c r="AK142" s="585">
        <v>158</v>
      </c>
      <c r="AL142" s="585">
        <v>158</v>
      </c>
      <c r="AM142" s="585">
        <v>158</v>
      </c>
      <c r="AN142" s="585">
        <v>158</v>
      </c>
      <c r="AO142" s="585">
        <v>158</v>
      </c>
      <c r="AP142" s="585">
        <v>158</v>
      </c>
      <c r="AQ142" s="585">
        <v>158</v>
      </c>
      <c r="AR142" s="585">
        <v>158</v>
      </c>
      <c r="AS142" s="679">
        <v>171</v>
      </c>
      <c r="AT142" s="585">
        <v>171</v>
      </c>
      <c r="AU142" s="585">
        <v>171</v>
      </c>
      <c r="AV142" s="916">
        <v>171</v>
      </c>
      <c r="AW142" s="826" t="s">
        <v>160</v>
      </c>
      <c r="AX142" s="826" t="s">
        <v>160</v>
      </c>
      <c r="AY142" s="341">
        <v>44</v>
      </c>
      <c r="AZ142" s="585">
        <v>44</v>
      </c>
      <c r="BA142" s="585">
        <v>44</v>
      </c>
      <c r="BB142" s="585">
        <v>44</v>
      </c>
      <c r="BC142" s="585">
        <v>44</v>
      </c>
      <c r="BD142" s="585">
        <v>44</v>
      </c>
      <c r="BE142" s="342">
        <v>83</v>
      </c>
      <c r="BF142" s="585">
        <v>83</v>
      </c>
      <c r="BG142" s="585">
        <v>83</v>
      </c>
      <c r="BH142" s="585">
        <v>83</v>
      </c>
      <c r="BI142" s="585">
        <v>83</v>
      </c>
      <c r="BJ142" s="585">
        <v>83</v>
      </c>
      <c r="DG142" s="1150"/>
      <c r="DH142" s="1150"/>
      <c r="DI142" s="1150"/>
      <c r="DJ142" s="1150"/>
      <c r="DK142" s="1150"/>
    </row>
    <row r="143" spans="1:115" customFormat="1" x14ac:dyDescent="0.25">
      <c r="A143" s="262"/>
      <c r="B143" s="117" t="s">
        <v>545</v>
      </c>
      <c r="C143" s="264" t="s">
        <v>160</v>
      </c>
      <c r="D143" s="264" t="s">
        <v>160</v>
      </c>
      <c r="E143" s="264" t="s">
        <v>160</v>
      </c>
      <c r="F143" s="264" t="s">
        <v>160</v>
      </c>
      <c r="G143" s="264" t="s">
        <v>160</v>
      </c>
      <c r="H143" s="265" t="s">
        <v>160</v>
      </c>
      <c r="I143" s="265" t="s">
        <v>160</v>
      </c>
      <c r="J143" s="265" t="s">
        <v>160</v>
      </c>
      <c r="K143" s="265" t="s">
        <v>160</v>
      </c>
      <c r="L143" s="586" t="s">
        <v>160</v>
      </c>
      <c r="M143" s="586" t="s">
        <v>160</v>
      </c>
      <c r="N143" s="586" t="s">
        <v>160</v>
      </c>
      <c r="O143" s="586" t="s">
        <v>160</v>
      </c>
      <c r="P143" s="586" t="s">
        <v>160</v>
      </c>
      <c r="Q143" s="585" t="s">
        <v>160</v>
      </c>
      <c r="R143" s="585" t="s">
        <v>160</v>
      </c>
      <c r="S143" s="585" t="s">
        <v>160</v>
      </c>
      <c r="T143" s="585" t="s">
        <v>160</v>
      </c>
      <c r="U143" s="585" t="s">
        <v>160</v>
      </c>
      <c r="V143" s="585" t="s">
        <v>160</v>
      </c>
      <c r="W143" s="585">
        <v>112</v>
      </c>
      <c r="X143" s="585">
        <v>112</v>
      </c>
      <c r="Y143" s="585">
        <v>112</v>
      </c>
      <c r="Z143" s="585">
        <v>113</v>
      </c>
      <c r="AA143" s="585">
        <v>113</v>
      </c>
      <c r="AB143" s="585">
        <v>113</v>
      </c>
      <c r="AC143" s="585">
        <v>113</v>
      </c>
      <c r="AD143" s="585">
        <v>113</v>
      </c>
      <c r="AE143" s="585">
        <v>113</v>
      </c>
      <c r="AF143" s="679">
        <v>120</v>
      </c>
      <c r="AG143" s="585">
        <v>120</v>
      </c>
      <c r="AH143" s="585">
        <v>120</v>
      </c>
      <c r="AI143" s="585">
        <v>120</v>
      </c>
      <c r="AJ143" s="679">
        <v>136</v>
      </c>
      <c r="AK143" s="585">
        <v>136</v>
      </c>
      <c r="AL143" s="679">
        <v>146</v>
      </c>
      <c r="AM143" s="585">
        <v>146</v>
      </c>
      <c r="AN143" s="585">
        <v>146</v>
      </c>
      <c r="AO143" s="585">
        <v>146</v>
      </c>
      <c r="AP143" s="585">
        <v>146</v>
      </c>
      <c r="AQ143" s="585">
        <v>146</v>
      </c>
      <c r="AR143" s="585">
        <v>146</v>
      </c>
      <c r="AS143" s="679">
        <v>162</v>
      </c>
      <c r="AT143" s="585">
        <v>162</v>
      </c>
      <c r="AU143" s="585">
        <v>162</v>
      </c>
      <c r="AV143" s="916">
        <v>162</v>
      </c>
      <c r="AW143" s="826" t="s">
        <v>160</v>
      </c>
      <c r="AX143" s="826" t="s">
        <v>160</v>
      </c>
      <c r="AY143" s="826" t="s">
        <v>160</v>
      </c>
      <c r="AZ143" s="826" t="s">
        <v>160</v>
      </c>
      <c r="BA143" s="826" t="s">
        <v>160</v>
      </c>
      <c r="BB143" s="826" t="s">
        <v>160</v>
      </c>
      <c r="BC143" s="826" t="s">
        <v>160</v>
      </c>
      <c r="BD143" s="826" t="s">
        <v>160</v>
      </c>
      <c r="BE143" s="826" t="s">
        <v>160</v>
      </c>
      <c r="BF143" s="585" t="s">
        <v>160</v>
      </c>
      <c r="BG143" s="585" t="s">
        <v>160</v>
      </c>
      <c r="BH143" s="585" t="s">
        <v>160</v>
      </c>
      <c r="BI143" s="585" t="s">
        <v>160</v>
      </c>
      <c r="BJ143" s="585" t="s">
        <v>160</v>
      </c>
      <c r="DG143" s="1150"/>
      <c r="DH143" s="1150"/>
      <c r="DI143" s="1150"/>
      <c r="DJ143" s="1150"/>
      <c r="DK143" s="1150"/>
    </row>
    <row r="144" spans="1:115" customFormat="1" x14ac:dyDescent="0.25">
      <c r="A144" s="262"/>
      <c r="B144" s="117" t="s">
        <v>546</v>
      </c>
      <c r="C144" s="264" t="s">
        <v>160</v>
      </c>
      <c r="D144" s="264" t="s">
        <v>160</v>
      </c>
      <c r="E144" s="264" t="s">
        <v>160</v>
      </c>
      <c r="F144" s="264" t="s">
        <v>160</v>
      </c>
      <c r="G144" s="264" t="s">
        <v>160</v>
      </c>
      <c r="H144" s="265" t="s">
        <v>160</v>
      </c>
      <c r="I144" s="265" t="s">
        <v>160</v>
      </c>
      <c r="J144" s="265" t="s">
        <v>160</v>
      </c>
      <c r="K144" s="265" t="s">
        <v>160</v>
      </c>
      <c r="L144" s="586" t="s">
        <v>160</v>
      </c>
      <c r="M144" s="586" t="s">
        <v>160</v>
      </c>
      <c r="N144" s="586" t="s">
        <v>160</v>
      </c>
      <c r="O144" s="586" t="s">
        <v>160</v>
      </c>
      <c r="P144" s="586" t="s">
        <v>160</v>
      </c>
      <c r="Q144" s="586" t="s">
        <v>160</v>
      </c>
      <c r="R144" s="586" t="s">
        <v>160</v>
      </c>
      <c r="S144" s="586" t="s">
        <v>160</v>
      </c>
      <c r="T144" s="586" t="s">
        <v>160</v>
      </c>
      <c r="U144" s="586" t="s">
        <v>160</v>
      </c>
      <c r="V144" s="586" t="s">
        <v>160</v>
      </c>
      <c r="W144" s="586" t="s">
        <v>160</v>
      </c>
      <c r="X144" s="586" t="s">
        <v>160</v>
      </c>
      <c r="Y144" s="586" t="s">
        <v>160</v>
      </c>
      <c r="Z144" s="586" t="s">
        <v>160</v>
      </c>
      <c r="AA144" s="586" t="s">
        <v>160</v>
      </c>
      <c r="AB144" s="586" t="s">
        <v>160</v>
      </c>
      <c r="AC144" s="586">
        <v>132</v>
      </c>
      <c r="AD144" s="586">
        <v>132</v>
      </c>
      <c r="AE144" s="586">
        <v>132</v>
      </c>
      <c r="AF144" s="679">
        <v>142</v>
      </c>
      <c r="AG144" s="585">
        <v>142</v>
      </c>
      <c r="AH144" s="585">
        <v>142</v>
      </c>
      <c r="AI144" s="585">
        <v>142</v>
      </c>
      <c r="AJ144" s="679">
        <v>149</v>
      </c>
      <c r="AK144" s="585">
        <v>149</v>
      </c>
      <c r="AL144" s="585">
        <v>149</v>
      </c>
      <c r="AM144" s="585">
        <v>149</v>
      </c>
      <c r="AN144" s="585">
        <v>149</v>
      </c>
      <c r="AO144" s="585">
        <v>149</v>
      </c>
      <c r="AP144" s="585">
        <v>149</v>
      </c>
      <c r="AQ144" s="585">
        <v>149</v>
      </c>
      <c r="AR144" s="585">
        <v>149</v>
      </c>
      <c r="AS144" s="585">
        <v>149</v>
      </c>
      <c r="AT144" s="585">
        <v>149</v>
      </c>
      <c r="AU144" s="585">
        <v>149</v>
      </c>
      <c r="AV144" s="916">
        <v>149</v>
      </c>
      <c r="AW144" s="341">
        <v>54.681846873498358</v>
      </c>
      <c r="AX144" s="585">
        <v>54.681846873498358</v>
      </c>
      <c r="AY144" s="585">
        <v>54.681846873498358</v>
      </c>
      <c r="AZ144" s="585">
        <v>54.681846873498358</v>
      </c>
      <c r="BA144" s="585">
        <v>54.681846873498358</v>
      </c>
      <c r="BB144" s="585">
        <v>54.681846873498358</v>
      </c>
      <c r="BC144" s="585">
        <v>54.681846873498358</v>
      </c>
      <c r="BD144" s="342">
        <v>89</v>
      </c>
      <c r="BE144" s="585">
        <v>89</v>
      </c>
      <c r="BF144" s="585">
        <v>89</v>
      </c>
      <c r="BG144" s="585">
        <v>89</v>
      </c>
      <c r="BH144" s="585">
        <v>89</v>
      </c>
      <c r="BI144" s="585">
        <v>89</v>
      </c>
      <c r="BJ144" s="585">
        <v>89</v>
      </c>
      <c r="DG144" s="1150"/>
      <c r="DH144" s="1150"/>
      <c r="DI144" s="1150"/>
      <c r="DJ144" s="1150"/>
      <c r="DK144" s="1150"/>
    </row>
    <row r="145" spans="1:115" x14ac:dyDescent="0.25">
      <c r="B145" s="117" t="s">
        <v>574</v>
      </c>
      <c r="C145" s="264" t="s">
        <v>160</v>
      </c>
      <c r="D145" s="264" t="s">
        <v>160</v>
      </c>
      <c r="E145" s="264" t="s">
        <v>160</v>
      </c>
      <c r="F145" s="264" t="s">
        <v>160</v>
      </c>
      <c r="G145" s="264" t="s">
        <v>160</v>
      </c>
      <c r="H145" s="264" t="s">
        <v>160</v>
      </c>
      <c r="I145" s="264" t="s">
        <v>160</v>
      </c>
      <c r="J145" s="264" t="s">
        <v>160</v>
      </c>
      <c r="K145" s="264" t="s">
        <v>160</v>
      </c>
      <c r="L145" s="352" t="s">
        <v>160</v>
      </c>
      <c r="M145" s="352" t="s">
        <v>160</v>
      </c>
      <c r="N145" s="352" t="s">
        <v>160</v>
      </c>
      <c r="O145" s="586" t="s">
        <v>160</v>
      </c>
      <c r="P145" s="586" t="s">
        <v>160</v>
      </c>
      <c r="Q145" s="586" t="s">
        <v>160</v>
      </c>
      <c r="R145" s="586" t="s">
        <v>160</v>
      </c>
      <c r="S145" s="586" t="s">
        <v>160</v>
      </c>
      <c r="T145" s="586" t="s">
        <v>160</v>
      </c>
      <c r="U145" s="586" t="s">
        <v>160</v>
      </c>
      <c r="V145" s="586" t="s">
        <v>160</v>
      </c>
      <c r="W145" s="585" t="s">
        <v>160</v>
      </c>
      <c r="X145" s="586" t="s">
        <v>160</v>
      </c>
      <c r="Y145" s="586" t="s">
        <v>160</v>
      </c>
      <c r="Z145" s="586" t="s">
        <v>160</v>
      </c>
      <c r="AA145" s="586" t="s">
        <v>160</v>
      </c>
      <c r="AB145" s="586" t="s">
        <v>160</v>
      </c>
      <c r="AC145" s="586" t="s">
        <v>160</v>
      </c>
      <c r="AD145" s="586" t="s">
        <v>160</v>
      </c>
      <c r="AE145" s="586" t="s">
        <v>160</v>
      </c>
      <c r="AF145" s="586" t="s">
        <v>160</v>
      </c>
      <c r="AG145" s="586" t="s">
        <v>160</v>
      </c>
      <c r="AH145" s="586" t="s">
        <v>160</v>
      </c>
      <c r="AI145" s="586" t="s">
        <v>160</v>
      </c>
      <c r="AJ145" s="586" t="s">
        <v>160</v>
      </c>
      <c r="AK145" s="586">
        <v>155.6</v>
      </c>
      <c r="AL145" s="586">
        <v>155.6</v>
      </c>
      <c r="AM145" s="586">
        <v>155.6</v>
      </c>
      <c r="AN145" s="586" t="s">
        <v>160</v>
      </c>
      <c r="AO145" s="586" t="s">
        <v>160</v>
      </c>
      <c r="AP145" s="586" t="s">
        <v>160</v>
      </c>
      <c r="AQ145" s="586">
        <v>174</v>
      </c>
      <c r="AR145" s="586">
        <v>174</v>
      </c>
      <c r="AS145" s="586">
        <v>174</v>
      </c>
      <c r="AT145" s="586">
        <v>174</v>
      </c>
      <c r="AU145" s="586">
        <v>174</v>
      </c>
      <c r="AV145" s="919">
        <v>174</v>
      </c>
      <c r="AW145" s="277" t="s">
        <v>160</v>
      </c>
      <c r="AX145" s="277" t="s">
        <v>160</v>
      </c>
      <c r="AY145" s="826" t="s">
        <v>160</v>
      </c>
      <c r="AZ145" s="826" t="s">
        <v>160</v>
      </c>
      <c r="BA145" s="826" t="s">
        <v>160</v>
      </c>
      <c r="BB145" s="826" t="s">
        <v>160</v>
      </c>
      <c r="BC145" s="585">
        <v>62</v>
      </c>
      <c r="BD145" s="585">
        <v>62</v>
      </c>
      <c r="BE145" s="585">
        <v>62</v>
      </c>
      <c r="BF145" s="585">
        <v>62</v>
      </c>
      <c r="BG145" s="585">
        <v>62</v>
      </c>
      <c r="BH145" s="585">
        <v>62</v>
      </c>
      <c r="BI145" s="585">
        <v>62</v>
      </c>
      <c r="BJ145" s="585">
        <v>62</v>
      </c>
    </row>
    <row r="146" spans="1:115" x14ac:dyDescent="0.25">
      <c r="B146" s="117" t="s">
        <v>547</v>
      </c>
      <c r="C146" s="264" t="s">
        <v>160</v>
      </c>
      <c r="D146" s="264" t="s">
        <v>160</v>
      </c>
      <c r="E146" s="264" t="s">
        <v>160</v>
      </c>
      <c r="F146" s="264" t="s">
        <v>160</v>
      </c>
      <c r="G146" s="265" t="s">
        <v>160</v>
      </c>
      <c r="H146" s="265" t="s">
        <v>160</v>
      </c>
      <c r="I146" s="265" t="s">
        <v>160</v>
      </c>
      <c r="J146" s="265" t="s">
        <v>160</v>
      </c>
      <c r="K146" s="265" t="s">
        <v>160</v>
      </c>
      <c r="L146" s="586" t="s">
        <v>160</v>
      </c>
      <c r="M146" s="586" t="s">
        <v>160</v>
      </c>
      <c r="N146" s="586" t="s">
        <v>160</v>
      </c>
      <c r="O146" s="586" t="s">
        <v>160</v>
      </c>
      <c r="P146" s="586" t="s">
        <v>160</v>
      </c>
      <c r="Q146" s="585" t="s">
        <v>160</v>
      </c>
      <c r="R146" s="585" t="s">
        <v>160</v>
      </c>
      <c r="S146" s="585" t="s">
        <v>160</v>
      </c>
      <c r="T146" s="585" t="s">
        <v>160</v>
      </c>
      <c r="U146" s="585" t="s">
        <v>160</v>
      </c>
      <c r="V146" s="585">
        <v>107</v>
      </c>
      <c r="W146" s="585">
        <v>107</v>
      </c>
      <c r="X146" s="585">
        <v>107</v>
      </c>
      <c r="Y146" s="585">
        <v>107</v>
      </c>
      <c r="Z146" s="585">
        <v>107</v>
      </c>
      <c r="AA146" s="585">
        <v>107</v>
      </c>
      <c r="AB146" s="585">
        <v>107</v>
      </c>
      <c r="AC146" s="585">
        <v>107</v>
      </c>
      <c r="AD146" s="342">
        <v>127</v>
      </c>
      <c r="AE146" s="585">
        <v>127</v>
      </c>
      <c r="AF146" s="585">
        <v>127</v>
      </c>
      <c r="AG146" s="585">
        <v>127</v>
      </c>
      <c r="AH146" s="585">
        <v>127</v>
      </c>
      <c r="AI146" s="585" t="s">
        <v>160</v>
      </c>
      <c r="AJ146" s="585" t="s">
        <v>160</v>
      </c>
      <c r="AK146" s="585" t="s">
        <v>160</v>
      </c>
      <c r="AL146" s="585" t="s">
        <v>160</v>
      </c>
      <c r="AM146" s="585" t="s">
        <v>160</v>
      </c>
      <c r="AN146" s="585" t="s">
        <v>160</v>
      </c>
      <c r="AO146" s="585" t="s">
        <v>160</v>
      </c>
      <c r="AP146" s="585">
        <v>159</v>
      </c>
      <c r="AQ146" s="585">
        <v>159</v>
      </c>
      <c r="AR146" s="585">
        <v>159</v>
      </c>
      <c r="AS146" s="585">
        <v>159</v>
      </c>
      <c r="AT146" s="585">
        <v>159</v>
      </c>
      <c r="AU146" s="585">
        <v>159</v>
      </c>
      <c r="AV146" s="916">
        <v>159</v>
      </c>
      <c r="AW146" s="826" t="s">
        <v>160</v>
      </c>
      <c r="AX146" s="826" t="s">
        <v>160</v>
      </c>
      <c r="AY146" s="341">
        <v>56</v>
      </c>
      <c r="AZ146" s="585">
        <v>56</v>
      </c>
      <c r="BA146" s="585">
        <v>56</v>
      </c>
      <c r="BB146" s="585">
        <v>56</v>
      </c>
      <c r="BC146" s="585">
        <v>56</v>
      </c>
      <c r="BD146" s="585">
        <v>56</v>
      </c>
      <c r="BE146" s="342">
        <v>83</v>
      </c>
      <c r="BF146" s="585">
        <v>83</v>
      </c>
      <c r="BG146" s="585">
        <v>83</v>
      </c>
      <c r="BH146" s="585">
        <v>83</v>
      </c>
      <c r="BI146" s="585">
        <v>83</v>
      </c>
      <c r="BJ146" s="585">
        <v>83</v>
      </c>
    </row>
    <row r="147" spans="1:115" x14ac:dyDescent="0.25">
      <c r="A147"/>
      <c r="B147" s="278" t="s">
        <v>557</v>
      </c>
      <c r="C147" s="327" t="str">
        <f t="shared" ref="C147:X147" si="106">IFERROR(AVERAGE(C142:C146),"-")</f>
        <v>-</v>
      </c>
      <c r="D147" s="327" t="str">
        <f t="shared" si="106"/>
        <v>-</v>
      </c>
      <c r="E147" s="327" t="str">
        <f t="shared" si="106"/>
        <v>-</v>
      </c>
      <c r="F147" s="327" t="str">
        <f t="shared" si="106"/>
        <v>-</v>
      </c>
      <c r="G147" s="327" t="str">
        <f t="shared" si="106"/>
        <v>-</v>
      </c>
      <c r="H147" s="327" t="str">
        <f t="shared" si="106"/>
        <v>-</v>
      </c>
      <c r="I147" s="327" t="str">
        <f t="shared" si="106"/>
        <v>-</v>
      </c>
      <c r="J147" s="327" t="str">
        <f t="shared" si="106"/>
        <v>-</v>
      </c>
      <c r="K147" s="327" t="str">
        <f t="shared" si="106"/>
        <v>-</v>
      </c>
      <c r="L147" s="327" t="str">
        <f t="shared" si="106"/>
        <v>-</v>
      </c>
      <c r="M147" s="327" t="str">
        <f t="shared" si="106"/>
        <v>-</v>
      </c>
      <c r="N147" s="327" t="str">
        <f t="shared" si="106"/>
        <v>-</v>
      </c>
      <c r="O147" s="327" t="str">
        <f t="shared" si="106"/>
        <v>-</v>
      </c>
      <c r="P147" s="327" t="str">
        <f t="shared" si="106"/>
        <v>-</v>
      </c>
      <c r="Q147" s="327" t="str">
        <f t="shared" si="106"/>
        <v>-</v>
      </c>
      <c r="R147" s="350" t="str">
        <f t="shared" si="106"/>
        <v>-</v>
      </c>
      <c r="S147" s="350" t="str">
        <f t="shared" si="106"/>
        <v>-</v>
      </c>
      <c r="T147" s="350" t="str">
        <f t="shared" si="106"/>
        <v>-</v>
      </c>
      <c r="U147" s="350" t="str">
        <f t="shared" si="106"/>
        <v>-</v>
      </c>
      <c r="V147" s="350">
        <f t="shared" si="106"/>
        <v>107</v>
      </c>
      <c r="W147" s="350">
        <f t="shared" si="106"/>
        <v>109.5</v>
      </c>
      <c r="X147" s="350">
        <f t="shared" si="106"/>
        <v>109.5</v>
      </c>
      <c r="Y147" s="350">
        <f t="shared" ref="Y147:AF147" si="107">IFERROR(AVERAGE(Y142:Y146),"-")</f>
        <v>109.5</v>
      </c>
      <c r="Z147" s="350">
        <f t="shared" si="107"/>
        <v>110</v>
      </c>
      <c r="AA147" s="350">
        <f t="shared" si="107"/>
        <v>110</v>
      </c>
      <c r="AB147" s="350">
        <f t="shared" si="107"/>
        <v>110</v>
      </c>
      <c r="AC147" s="350">
        <f t="shared" si="107"/>
        <v>117.33333333333333</v>
      </c>
      <c r="AD147" s="350">
        <f t="shared" si="107"/>
        <v>124</v>
      </c>
      <c r="AE147" s="350">
        <f t="shared" si="107"/>
        <v>124</v>
      </c>
      <c r="AF147" s="350">
        <f t="shared" si="107"/>
        <v>129.66666666666666</v>
      </c>
      <c r="AG147" s="350">
        <f t="shared" ref="AG147:AL147" si="108">IFERROR(AVERAGE(AG142:AG146),"-")</f>
        <v>136.75</v>
      </c>
      <c r="AH147" s="350">
        <f t="shared" si="108"/>
        <v>136.75</v>
      </c>
      <c r="AI147" s="350">
        <f t="shared" si="108"/>
        <v>140</v>
      </c>
      <c r="AJ147" s="350">
        <f t="shared" si="108"/>
        <v>147.66666666666666</v>
      </c>
      <c r="AK147" s="350">
        <f t="shared" si="108"/>
        <v>149.65</v>
      </c>
      <c r="AL147" s="350">
        <f t="shared" si="108"/>
        <v>152.15</v>
      </c>
      <c r="AM147" s="350">
        <f t="shared" ref="AM147:AR147" si="109">IFERROR(AVERAGE(AM142:AM146),"-")</f>
        <v>152.15</v>
      </c>
      <c r="AN147" s="350">
        <f t="shared" si="109"/>
        <v>151</v>
      </c>
      <c r="AO147" s="350">
        <f t="shared" si="109"/>
        <v>151</v>
      </c>
      <c r="AP147" s="350">
        <f t="shared" si="109"/>
        <v>153</v>
      </c>
      <c r="AQ147" s="350">
        <f t="shared" si="109"/>
        <v>157.19999999999999</v>
      </c>
      <c r="AR147" s="350">
        <f t="shared" si="109"/>
        <v>157.19999999999999</v>
      </c>
      <c r="AS147" s="350">
        <f t="shared" ref="AS147:AZ147" si="110">IFERROR(AVERAGE(AS142:AS146),"-")</f>
        <v>163</v>
      </c>
      <c r="AT147" s="635">
        <f t="shared" si="110"/>
        <v>163</v>
      </c>
      <c r="AU147" s="635">
        <f t="shared" si="110"/>
        <v>163</v>
      </c>
      <c r="AV147" s="920">
        <f>IFERROR(AVERAGE(AV142:AV146),"-")</f>
        <v>163</v>
      </c>
      <c r="AW147" s="635">
        <f t="shared" si="110"/>
        <v>54.681846873498358</v>
      </c>
      <c r="AX147" s="635">
        <f t="shared" si="110"/>
        <v>54.681846873498358</v>
      </c>
      <c r="AY147" s="635">
        <f t="shared" si="110"/>
        <v>51.560615624499455</v>
      </c>
      <c r="AZ147" s="635">
        <f t="shared" si="110"/>
        <v>51.560615624499455</v>
      </c>
      <c r="BA147" s="635">
        <f t="shared" ref="BA147:BF147" si="111">IFERROR(AVERAGE(BA142:BA146),"-")</f>
        <v>51.560615624499455</v>
      </c>
      <c r="BB147" s="635">
        <f t="shared" si="111"/>
        <v>51.560615624499455</v>
      </c>
      <c r="BC147" s="635">
        <f t="shared" si="111"/>
        <v>54.17046171837459</v>
      </c>
      <c r="BD147" s="635">
        <f t="shared" si="111"/>
        <v>62.75</v>
      </c>
      <c r="BE147" s="635">
        <f t="shared" si="111"/>
        <v>79.25</v>
      </c>
      <c r="BF147" s="635">
        <f t="shared" si="111"/>
        <v>79.25</v>
      </c>
      <c r="BG147" s="635">
        <f>IFERROR(AVERAGE(BG142:BG146),"-")</f>
        <v>79.25</v>
      </c>
      <c r="BH147" s="635">
        <f>IFERROR(AVERAGE(BH142:BH146),"-")</f>
        <v>79.25</v>
      </c>
      <c r="BI147" s="635">
        <f>IFERROR(AVERAGE(BI142:BI146),"-")</f>
        <v>79.25</v>
      </c>
      <c r="BJ147" s="635">
        <f>IFERROR(AVERAGE(BJ142:BJ146),"-")</f>
        <v>79.25</v>
      </c>
    </row>
    <row r="148" spans="1:115" x14ac:dyDescent="0.25">
      <c r="Q148" s="339"/>
      <c r="R148" s="339"/>
      <c r="S148" s="339"/>
      <c r="T148" s="339"/>
      <c r="U148" s="339"/>
      <c r="V148" s="339"/>
      <c r="W148" s="339"/>
      <c r="AT148" s="761"/>
      <c r="AU148" s="761"/>
      <c r="AV148" s="921"/>
      <c r="AW148" s="761"/>
      <c r="AX148" s="761"/>
      <c r="AY148" s="761"/>
      <c r="AZ148" s="761"/>
      <c r="BA148" s="761"/>
      <c r="BB148" s="761"/>
      <c r="BC148" s="761"/>
      <c r="BD148" s="761"/>
      <c r="BE148" s="761"/>
      <c r="BF148" s="761"/>
      <c r="BG148" s="761"/>
      <c r="BH148" s="761"/>
      <c r="BI148" s="761"/>
      <c r="BJ148" s="761"/>
      <c r="BK148" s="761"/>
      <c r="BL148" s="761"/>
      <c r="BM148" s="761"/>
      <c r="BN148" s="761"/>
      <c r="BO148" s="761"/>
      <c r="BP148" s="761"/>
      <c r="BQ148" s="761"/>
      <c r="BR148" s="761"/>
      <c r="BS148" s="761"/>
      <c r="BT148" s="761"/>
      <c r="BU148" s="761"/>
    </row>
    <row r="149" spans="1:115" x14ac:dyDescent="0.25">
      <c r="B149" s="113" t="s">
        <v>803</v>
      </c>
      <c r="C149" s="263">
        <f t="shared" ref="C149:AH149" si="112">+C$173</f>
        <v>42522</v>
      </c>
      <c r="D149" s="263">
        <f t="shared" si="112"/>
        <v>42552</v>
      </c>
      <c r="E149" s="263">
        <f t="shared" si="112"/>
        <v>42583</v>
      </c>
      <c r="F149" s="263">
        <f t="shared" si="112"/>
        <v>42614</v>
      </c>
      <c r="G149" s="263">
        <f t="shared" si="112"/>
        <v>42644</v>
      </c>
      <c r="H149" s="263">
        <f t="shared" si="112"/>
        <v>42675</v>
      </c>
      <c r="I149" s="263">
        <f t="shared" si="112"/>
        <v>42705</v>
      </c>
      <c r="J149" s="263">
        <f t="shared" si="112"/>
        <v>42736</v>
      </c>
      <c r="K149" s="263">
        <f t="shared" si="112"/>
        <v>42767</v>
      </c>
      <c r="L149" s="263">
        <f t="shared" si="112"/>
        <v>42795</v>
      </c>
      <c r="M149" s="263">
        <f t="shared" si="112"/>
        <v>42826</v>
      </c>
      <c r="N149" s="263">
        <f t="shared" si="112"/>
        <v>42856</v>
      </c>
      <c r="O149" s="263">
        <f t="shared" si="112"/>
        <v>42887</v>
      </c>
      <c r="P149" s="263">
        <f t="shared" si="112"/>
        <v>42917</v>
      </c>
      <c r="Q149" s="263">
        <f t="shared" si="112"/>
        <v>42948</v>
      </c>
      <c r="R149" s="263">
        <f t="shared" si="112"/>
        <v>42979</v>
      </c>
      <c r="S149" s="263">
        <f t="shared" si="112"/>
        <v>43009</v>
      </c>
      <c r="T149" s="263">
        <f t="shared" si="112"/>
        <v>43040</v>
      </c>
      <c r="U149" s="263">
        <f t="shared" si="112"/>
        <v>43070</v>
      </c>
      <c r="V149" s="263">
        <f t="shared" si="112"/>
        <v>43101</v>
      </c>
      <c r="W149" s="263">
        <f t="shared" si="112"/>
        <v>43132</v>
      </c>
      <c r="X149" s="263">
        <f t="shared" si="112"/>
        <v>43160</v>
      </c>
      <c r="Y149" s="263">
        <f t="shared" si="112"/>
        <v>43191</v>
      </c>
      <c r="Z149" s="263">
        <f t="shared" si="112"/>
        <v>43221</v>
      </c>
      <c r="AA149" s="263">
        <f t="shared" si="112"/>
        <v>43252</v>
      </c>
      <c r="AB149" s="263">
        <f t="shared" si="112"/>
        <v>43283</v>
      </c>
      <c r="AC149" s="263">
        <f t="shared" si="112"/>
        <v>43314</v>
      </c>
      <c r="AD149" s="263">
        <f t="shared" si="112"/>
        <v>43345</v>
      </c>
      <c r="AE149" s="263">
        <f t="shared" si="112"/>
        <v>43376</v>
      </c>
      <c r="AF149" s="263">
        <f t="shared" si="112"/>
        <v>43407</v>
      </c>
      <c r="AG149" s="263">
        <f t="shared" si="112"/>
        <v>43437</v>
      </c>
      <c r="AH149" s="263">
        <f t="shared" si="112"/>
        <v>43468</v>
      </c>
      <c r="AI149" s="263">
        <f t="shared" ref="AI149:BQ149" si="113">+AI$173</f>
        <v>43499</v>
      </c>
      <c r="AJ149" s="263">
        <f t="shared" si="113"/>
        <v>43527</v>
      </c>
      <c r="AK149" s="263">
        <f t="shared" si="113"/>
        <v>43558</v>
      </c>
      <c r="AL149" s="263">
        <f t="shared" si="113"/>
        <v>43587</v>
      </c>
      <c r="AM149" s="263">
        <f t="shared" si="113"/>
        <v>43618</v>
      </c>
      <c r="AN149" s="263">
        <f t="shared" si="113"/>
        <v>43647</v>
      </c>
      <c r="AO149" s="263">
        <f t="shared" si="113"/>
        <v>43678</v>
      </c>
      <c r="AP149" s="263">
        <f t="shared" si="113"/>
        <v>43709</v>
      </c>
      <c r="AQ149" s="263">
        <f t="shared" si="113"/>
        <v>43739</v>
      </c>
      <c r="AR149" s="263">
        <f t="shared" si="113"/>
        <v>43770</v>
      </c>
      <c r="AS149" s="263">
        <f t="shared" si="113"/>
        <v>43800</v>
      </c>
      <c r="AT149" s="263">
        <f t="shared" si="113"/>
        <v>43831</v>
      </c>
      <c r="AU149" s="263">
        <f t="shared" si="113"/>
        <v>43862</v>
      </c>
      <c r="AV149" s="914">
        <f t="shared" si="113"/>
        <v>43891</v>
      </c>
      <c r="AW149" s="263">
        <f t="shared" si="113"/>
        <v>43922</v>
      </c>
      <c r="AX149" s="263">
        <f t="shared" si="113"/>
        <v>43952</v>
      </c>
      <c r="AY149" s="263">
        <f t="shared" si="113"/>
        <v>43983</v>
      </c>
      <c r="AZ149" s="263">
        <f t="shared" si="113"/>
        <v>44013</v>
      </c>
      <c r="BA149" s="263">
        <f t="shared" si="113"/>
        <v>44044</v>
      </c>
      <c r="BB149" s="263">
        <f t="shared" si="113"/>
        <v>44075</v>
      </c>
      <c r="BC149" s="263">
        <f t="shared" si="113"/>
        <v>44105</v>
      </c>
      <c r="BD149" s="263">
        <f t="shared" si="113"/>
        <v>44136</v>
      </c>
      <c r="BE149" s="263">
        <f t="shared" si="113"/>
        <v>44166</v>
      </c>
      <c r="BF149" s="263">
        <f t="shared" si="113"/>
        <v>44197</v>
      </c>
      <c r="BG149" s="263">
        <f t="shared" si="113"/>
        <v>44228</v>
      </c>
      <c r="BH149" s="263">
        <f t="shared" si="113"/>
        <v>44256</v>
      </c>
      <c r="BI149" s="263">
        <f t="shared" si="113"/>
        <v>44287</v>
      </c>
      <c r="BJ149" s="263">
        <f t="shared" si="113"/>
        <v>44317</v>
      </c>
      <c r="BK149" s="263">
        <f t="shared" si="113"/>
        <v>44348</v>
      </c>
      <c r="BL149" s="263">
        <f t="shared" si="113"/>
        <v>44378</v>
      </c>
      <c r="BM149" s="263">
        <f t="shared" si="113"/>
        <v>44409</v>
      </c>
      <c r="BN149" s="263">
        <f t="shared" si="113"/>
        <v>44440</v>
      </c>
      <c r="BO149" s="263">
        <f t="shared" si="113"/>
        <v>44470</v>
      </c>
      <c r="BP149" s="263">
        <f t="shared" si="113"/>
        <v>44501</v>
      </c>
      <c r="BQ149" s="263">
        <f t="shared" si="113"/>
        <v>44531</v>
      </c>
      <c r="BR149"/>
      <c r="BS149"/>
      <c r="BT149"/>
      <c r="BU149"/>
    </row>
    <row r="150" spans="1:115" x14ac:dyDescent="0.25">
      <c r="B150" s="117" t="s">
        <v>542</v>
      </c>
      <c r="C150" s="265" t="s">
        <v>160</v>
      </c>
      <c r="D150" s="265" t="s">
        <v>160</v>
      </c>
      <c r="E150" s="265" t="s">
        <v>160</v>
      </c>
      <c r="F150" s="265" t="s">
        <v>160</v>
      </c>
      <c r="G150" s="265" t="s">
        <v>160</v>
      </c>
      <c r="H150" s="265" t="s">
        <v>160</v>
      </c>
      <c r="I150" s="265" t="s">
        <v>160</v>
      </c>
      <c r="J150" s="337" t="s">
        <v>160</v>
      </c>
      <c r="K150" s="337" t="s">
        <v>160</v>
      </c>
      <c r="L150" s="585" t="s">
        <v>160</v>
      </c>
      <c r="M150" s="585" t="s">
        <v>160</v>
      </c>
      <c r="N150" s="585" t="s">
        <v>160</v>
      </c>
      <c r="O150" s="585" t="s">
        <v>160</v>
      </c>
      <c r="P150" s="585" t="s">
        <v>160</v>
      </c>
      <c r="Q150" s="585" t="s">
        <v>160</v>
      </c>
      <c r="R150" s="585" t="s">
        <v>160</v>
      </c>
      <c r="S150" s="585" t="s">
        <v>160</v>
      </c>
      <c r="T150" s="585" t="s">
        <v>160</v>
      </c>
      <c r="U150" s="585" t="s">
        <v>160</v>
      </c>
      <c r="V150" s="585" t="s">
        <v>160</v>
      </c>
      <c r="W150" s="585" t="s">
        <v>160</v>
      </c>
      <c r="X150" s="585" t="s">
        <v>160</v>
      </c>
      <c r="Y150" s="585" t="s">
        <v>160</v>
      </c>
      <c r="Z150" s="585" t="s">
        <v>160</v>
      </c>
      <c r="AA150" s="585" t="s">
        <v>160</v>
      </c>
      <c r="AB150" s="585" t="s">
        <v>160</v>
      </c>
      <c r="AC150" s="585" t="s">
        <v>160</v>
      </c>
      <c r="AD150" s="585" t="s">
        <v>160</v>
      </c>
      <c r="AE150" s="585" t="s">
        <v>160</v>
      </c>
      <c r="AF150" s="585" t="s">
        <v>160</v>
      </c>
      <c r="AG150" s="585" t="s">
        <v>160</v>
      </c>
      <c r="AH150" s="585" t="s">
        <v>160</v>
      </c>
      <c r="AI150" s="585" t="s">
        <v>160</v>
      </c>
      <c r="AJ150" s="585" t="s">
        <v>160</v>
      </c>
      <c r="AK150" s="585" t="s">
        <v>160</v>
      </c>
      <c r="AL150" s="585" t="s">
        <v>160</v>
      </c>
      <c r="AM150" s="585" t="s">
        <v>160</v>
      </c>
      <c r="AN150" s="585" t="s">
        <v>160</v>
      </c>
      <c r="AO150" s="585" t="s">
        <v>160</v>
      </c>
      <c r="AP150" s="585" t="s">
        <v>160</v>
      </c>
      <c r="AQ150" s="585" t="s">
        <v>160</v>
      </c>
      <c r="AR150" s="585" t="s">
        <v>160</v>
      </c>
      <c r="AS150" s="585">
        <v>1590</v>
      </c>
      <c r="AT150" s="585">
        <v>1590</v>
      </c>
      <c r="AU150" s="585">
        <v>1590</v>
      </c>
      <c r="AV150" s="916">
        <v>1590</v>
      </c>
      <c r="AW150" s="826" t="s">
        <v>160</v>
      </c>
      <c r="AX150" s="826" t="s">
        <v>160</v>
      </c>
      <c r="AY150" s="341">
        <v>1232</v>
      </c>
      <c r="AZ150" s="585">
        <v>1232</v>
      </c>
      <c r="BA150" s="585">
        <v>1232</v>
      </c>
      <c r="BB150" s="585">
        <v>1232</v>
      </c>
      <c r="BC150" s="585">
        <v>1232</v>
      </c>
      <c r="BD150" s="585">
        <v>1232</v>
      </c>
      <c r="BE150" s="342">
        <v>1379</v>
      </c>
      <c r="BF150" s="585">
        <v>1379</v>
      </c>
      <c r="BG150" s="585">
        <v>1379</v>
      </c>
      <c r="BH150" s="585">
        <v>1379</v>
      </c>
      <c r="BI150" s="585">
        <v>1379</v>
      </c>
      <c r="BJ150" s="585">
        <v>1379</v>
      </c>
      <c r="BK150" s="585">
        <v>1380</v>
      </c>
      <c r="BL150" s="585">
        <v>1380</v>
      </c>
      <c r="BM150" s="585">
        <v>1380</v>
      </c>
      <c r="BN150" s="585" t="s">
        <v>160</v>
      </c>
      <c r="BO150" s="585" t="s">
        <v>160</v>
      </c>
      <c r="BP150" s="585" t="s">
        <v>160</v>
      </c>
      <c r="BQ150" s="585">
        <v>973</v>
      </c>
      <c r="BR150"/>
      <c r="BS150"/>
      <c r="BT150"/>
      <c r="BU150"/>
    </row>
    <row r="151" spans="1:115" x14ac:dyDescent="0.25">
      <c r="B151" s="117" t="s">
        <v>545</v>
      </c>
      <c r="C151" s="265" t="s">
        <v>160</v>
      </c>
      <c r="D151" s="265" t="s">
        <v>160</v>
      </c>
      <c r="E151" s="265" t="s">
        <v>160</v>
      </c>
      <c r="F151" s="265" t="s">
        <v>160</v>
      </c>
      <c r="G151" s="265" t="s">
        <v>160</v>
      </c>
      <c r="H151" s="265" t="s">
        <v>160</v>
      </c>
      <c r="I151" s="265" t="s">
        <v>160</v>
      </c>
      <c r="J151" s="337" t="s">
        <v>160</v>
      </c>
      <c r="K151" s="337" t="s">
        <v>160</v>
      </c>
      <c r="L151" s="585" t="s">
        <v>160</v>
      </c>
      <c r="M151" s="585" t="s">
        <v>160</v>
      </c>
      <c r="N151" s="585" t="s">
        <v>160</v>
      </c>
      <c r="O151" s="585" t="s">
        <v>160</v>
      </c>
      <c r="P151" s="585" t="s">
        <v>160</v>
      </c>
      <c r="Q151" s="585" t="s">
        <v>160</v>
      </c>
      <c r="R151" s="585" t="s">
        <v>160</v>
      </c>
      <c r="S151" s="585" t="s">
        <v>160</v>
      </c>
      <c r="T151" s="585" t="s">
        <v>160</v>
      </c>
      <c r="U151" s="585" t="s">
        <v>160</v>
      </c>
      <c r="V151" s="585" t="s">
        <v>160</v>
      </c>
      <c r="W151" s="585" t="s">
        <v>160</v>
      </c>
      <c r="X151" s="585" t="s">
        <v>160</v>
      </c>
      <c r="Y151" s="585" t="s">
        <v>160</v>
      </c>
      <c r="Z151" s="585" t="s">
        <v>160</v>
      </c>
      <c r="AA151" s="585" t="s">
        <v>160</v>
      </c>
      <c r="AB151" s="585" t="s">
        <v>160</v>
      </c>
      <c r="AC151" s="585" t="s">
        <v>160</v>
      </c>
      <c r="AD151" s="585" t="s">
        <v>160</v>
      </c>
      <c r="AE151" s="585" t="s">
        <v>160</v>
      </c>
      <c r="AF151" s="585" t="s">
        <v>160</v>
      </c>
      <c r="AG151" s="585" t="s">
        <v>160</v>
      </c>
      <c r="AH151" s="585" t="s">
        <v>160</v>
      </c>
      <c r="AI151" s="585" t="s">
        <v>160</v>
      </c>
      <c r="AJ151" s="585">
        <v>1717</v>
      </c>
      <c r="AK151" s="585">
        <v>1717</v>
      </c>
      <c r="AL151" s="679">
        <v>1757</v>
      </c>
      <c r="AM151" s="585">
        <v>1757</v>
      </c>
      <c r="AN151" s="585">
        <v>1757</v>
      </c>
      <c r="AO151" s="585">
        <v>1757</v>
      </c>
      <c r="AP151" s="585">
        <v>1757</v>
      </c>
      <c r="AQ151" s="585">
        <v>1757</v>
      </c>
      <c r="AR151" s="585">
        <v>1757</v>
      </c>
      <c r="AS151" s="341">
        <v>1642</v>
      </c>
      <c r="AT151" s="585">
        <v>1642</v>
      </c>
      <c r="AU151" s="585">
        <v>1642</v>
      </c>
      <c r="AV151" s="916">
        <v>1642</v>
      </c>
      <c r="AW151" s="826" t="s">
        <v>160</v>
      </c>
      <c r="AX151" s="826" t="s">
        <v>160</v>
      </c>
      <c r="AY151" s="826" t="s">
        <v>160</v>
      </c>
      <c r="AZ151" s="826" t="s">
        <v>160</v>
      </c>
      <c r="BA151" s="826" t="s">
        <v>160</v>
      </c>
      <c r="BB151" s="826" t="s">
        <v>160</v>
      </c>
      <c r="BC151" s="826" t="s">
        <v>160</v>
      </c>
      <c r="BD151" s="826" t="s">
        <v>160</v>
      </c>
      <c r="BE151" s="826" t="s">
        <v>160</v>
      </c>
      <c r="BF151" s="585" t="s">
        <v>160</v>
      </c>
      <c r="BG151" s="585" t="s">
        <v>160</v>
      </c>
      <c r="BH151" s="585" t="s">
        <v>160</v>
      </c>
      <c r="BI151" s="585" t="s">
        <v>160</v>
      </c>
      <c r="BJ151" s="585" t="s">
        <v>160</v>
      </c>
      <c r="BK151" s="585" t="s">
        <v>160</v>
      </c>
      <c r="BL151" s="585" t="s">
        <v>160</v>
      </c>
      <c r="BM151" s="585" t="s">
        <v>160</v>
      </c>
      <c r="BN151" s="585">
        <v>972</v>
      </c>
      <c r="BO151" s="585">
        <v>972</v>
      </c>
      <c r="BP151" s="585">
        <v>972</v>
      </c>
      <c r="BQ151" s="585">
        <v>972</v>
      </c>
      <c r="BR151"/>
      <c r="BS151"/>
      <c r="BT151"/>
      <c r="BU151"/>
    </row>
    <row r="152" spans="1:115" x14ac:dyDescent="0.25">
      <c r="B152" s="117" t="s">
        <v>546</v>
      </c>
      <c r="C152" s="265" t="s">
        <v>160</v>
      </c>
      <c r="D152" s="265" t="s">
        <v>160</v>
      </c>
      <c r="E152" s="265" t="s">
        <v>160</v>
      </c>
      <c r="F152" s="265" t="s">
        <v>160</v>
      </c>
      <c r="G152" s="265" t="s">
        <v>160</v>
      </c>
      <c r="H152" s="265" t="s">
        <v>160</v>
      </c>
      <c r="I152" s="265" t="s">
        <v>160</v>
      </c>
      <c r="J152" s="337" t="s">
        <v>160</v>
      </c>
      <c r="K152" s="337" t="s">
        <v>160</v>
      </c>
      <c r="L152" s="585" t="s">
        <v>160</v>
      </c>
      <c r="M152" s="585" t="s">
        <v>160</v>
      </c>
      <c r="N152" s="585" t="s">
        <v>160</v>
      </c>
      <c r="O152" s="585" t="s">
        <v>160</v>
      </c>
      <c r="P152" s="585" t="s">
        <v>160</v>
      </c>
      <c r="Q152" s="585" t="s">
        <v>160</v>
      </c>
      <c r="R152" s="585" t="s">
        <v>160</v>
      </c>
      <c r="S152" s="585" t="s">
        <v>160</v>
      </c>
      <c r="T152" s="585" t="s">
        <v>160</v>
      </c>
      <c r="U152" s="585" t="s">
        <v>160</v>
      </c>
      <c r="V152" s="585" t="s">
        <v>160</v>
      </c>
      <c r="W152" s="585" t="s">
        <v>160</v>
      </c>
      <c r="X152" s="585" t="s">
        <v>160</v>
      </c>
      <c r="Y152" s="585" t="s">
        <v>160</v>
      </c>
      <c r="Z152" s="585" t="s">
        <v>160</v>
      </c>
      <c r="AA152" s="585" t="s">
        <v>160</v>
      </c>
      <c r="AB152" s="585" t="s">
        <v>160</v>
      </c>
      <c r="AC152" s="585" t="s">
        <v>160</v>
      </c>
      <c r="AD152" s="585" t="s">
        <v>160</v>
      </c>
      <c r="AE152" s="585" t="s">
        <v>160</v>
      </c>
      <c r="AF152" s="585" t="s">
        <v>160</v>
      </c>
      <c r="AG152" s="585" t="s">
        <v>160</v>
      </c>
      <c r="AH152" s="585" t="s">
        <v>160</v>
      </c>
      <c r="AI152" s="585" t="s">
        <v>160</v>
      </c>
      <c r="AJ152" s="585" t="s">
        <v>160</v>
      </c>
      <c r="AK152" s="585" t="s">
        <v>160</v>
      </c>
      <c r="AL152" s="585">
        <v>1800</v>
      </c>
      <c r="AM152" s="585">
        <v>1800</v>
      </c>
      <c r="AN152" s="585">
        <v>1800</v>
      </c>
      <c r="AO152" s="585">
        <v>1800</v>
      </c>
      <c r="AP152" s="585">
        <v>1800</v>
      </c>
      <c r="AQ152" s="585">
        <v>1800</v>
      </c>
      <c r="AR152" s="585">
        <v>1800</v>
      </c>
      <c r="AS152" s="585">
        <v>1800</v>
      </c>
      <c r="AT152" s="585">
        <v>1800</v>
      </c>
      <c r="AU152" s="585">
        <v>1800</v>
      </c>
      <c r="AV152" s="916">
        <v>1800</v>
      </c>
      <c r="AW152" s="341">
        <v>1316.0829709610105</v>
      </c>
      <c r="AX152" s="585">
        <v>1316.0829709610105</v>
      </c>
      <c r="AY152" s="585">
        <v>1316.0829709610105</v>
      </c>
      <c r="AZ152" s="585">
        <v>1316.0829709610105</v>
      </c>
      <c r="BA152" s="585">
        <v>1316.0829709610105</v>
      </c>
      <c r="BB152" s="585">
        <v>1316.0829709610105</v>
      </c>
      <c r="BC152" s="585">
        <v>1316.0829709610105</v>
      </c>
      <c r="BD152" s="342">
        <v>1404</v>
      </c>
      <c r="BE152" s="585">
        <v>1404</v>
      </c>
      <c r="BF152" s="585">
        <v>1404</v>
      </c>
      <c r="BG152" s="585">
        <v>1404</v>
      </c>
      <c r="BH152" s="585">
        <v>1404</v>
      </c>
      <c r="BI152" s="585">
        <v>1404</v>
      </c>
      <c r="BJ152" s="585">
        <v>1404</v>
      </c>
      <c r="BK152" s="585">
        <v>1404</v>
      </c>
      <c r="BL152" s="585">
        <v>1404</v>
      </c>
      <c r="BM152" s="585">
        <v>1404</v>
      </c>
      <c r="BN152" s="585" t="s">
        <v>160</v>
      </c>
      <c r="BO152" s="585" t="s">
        <v>160</v>
      </c>
      <c r="BP152" s="585" t="s">
        <v>160</v>
      </c>
      <c r="BQ152" s="585">
        <v>976</v>
      </c>
      <c r="BR152"/>
      <c r="BS152"/>
      <c r="BT152"/>
      <c r="BU152"/>
    </row>
    <row r="153" spans="1:115" x14ac:dyDescent="0.25">
      <c r="B153" s="117" t="s">
        <v>574</v>
      </c>
      <c r="C153" s="264" t="s">
        <v>160</v>
      </c>
      <c r="D153" s="264" t="s">
        <v>160</v>
      </c>
      <c r="E153" s="264" t="s">
        <v>160</v>
      </c>
      <c r="F153" s="264" t="s">
        <v>160</v>
      </c>
      <c r="G153" s="264" t="s">
        <v>160</v>
      </c>
      <c r="H153" s="264" t="s">
        <v>160</v>
      </c>
      <c r="I153" s="264" t="s">
        <v>160</v>
      </c>
      <c r="J153" s="337" t="s">
        <v>160</v>
      </c>
      <c r="K153" s="337" t="s">
        <v>160</v>
      </c>
      <c r="L153" s="585" t="s">
        <v>160</v>
      </c>
      <c r="M153" s="585" t="s">
        <v>160</v>
      </c>
      <c r="N153" s="585" t="s">
        <v>160</v>
      </c>
      <c r="O153" s="585" t="s">
        <v>160</v>
      </c>
      <c r="P153" s="585" t="s">
        <v>160</v>
      </c>
      <c r="Q153" s="585" t="s">
        <v>160</v>
      </c>
      <c r="R153" s="585" t="s">
        <v>160</v>
      </c>
      <c r="S153" s="585" t="s">
        <v>160</v>
      </c>
      <c r="T153" s="585" t="s">
        <v>160</v>
      </c>
      <c r="U153" s="585" t="s">
        <v>160</v>
      </c>
      <c r="V153" s="585" t="s">
        <v>160</v>
      </c>
      <c r="W153" s="585" t="s">
        <v>160</v>
      </c>
      <c r="X153" s="585" t="s">
        <v>160</v>
      </c>
      <c r="Y153" s="585" t="s">
        <v>160</v>
      </c>
      <c r="Z153" s="585" t="s">
        <v>160</v>
      </c>
      <c r="AA153" s="585" t="s">
        <v>160</v>
      </c>
      <c r="AB153" s="585" t="s">
        <v>160</v>
      </c>
      <c r="AC153" s="585" t="s">
        <v>160</v>
      </c>
      <c r="AD153" s="585" t="s">
        <v>160</v>
      </c>
      <c r="AE153" s="585" t="s">
        <v>160</v>
      </c>
      <c r="AF153" s="585" t="s">
        <v>160</v>
      </c>
      <c r="AG153" s="585" t="s">
        <v>160</v>
      </c>
      <c r="AH153" s="585" t="s">
        <v>160</v>
      </c>
      <c r="AI153" s="585" t="s">
        <v>160</v>
      </c>
      <c r="AJ153" s="585" t="s">
        <v>160</v>
      </c>
      <c r="AK153" s="585" t="s">
        <v>160</v>
      </c>
      <c r="AL153" s="585" t="s">
        <v>160</v>
      </c>
      <c r="AM153" s="585" t="s">
        <v>160</v>
      </c>
      <c r="AN153" s="585" t="s">
        <v>160</v>
      </c>
      <c r="AO153" s="585" t="s">
        <v>160</v>
      </c>
      <c r="AP153" s="585"/>
      <c r="AQ153" s="585">
        <v>1674</v>
      </c>
      <c r="AR153" s="585">
        <v>1674</v>
      </c>
      <c r="AS153" s="585">
        <v>1674</v>
      </c>
      <c r="AT153" s="585">
        <v>1674</v>
      </c>
      <c r="AU153" s="585">
        <v>1674</v>
      </c>
      <c r="AV153" s="916">
        <v>1674</v>
      </c>
      <c r="AW153" s="277" t="s">
        <v>160</v>
      </c>
      <c r="AX153" s="277" t="s">
        <v>160</v>
      </c>
      <c r="AY153" s="826" t="s">
        <v>160</v>
      </c>
      <c r="AZ153" s="826" t="s">
        <v>160</v>
      </c>
      <c r="BA153" s="826" t="s">
        <v>160</v>
      </c>
      <c r="BB153" s="826" t="s">
        <v>160</v>
      </c>
      <c r="BC153" s="585">
        <v>1314</v>
      </c>
      <c r="BD153" s="585">
        <v>1314</v>
      </c>
      <c r="BE153" s="585">
        <v>1314</v>
      </c>
      <c r="BF153" s="585">
        <v>1314</v>
      </c>
      <c r="BG153" s="585">
        <v>1314</v>
      </c>
      <c r="BH153" s="585">
        <v>1314</v>
      </c>
      <c r="BI153" s="585">
        <v>1314</v>
      </c>
      <c r="BJ153" s="585">
        <v>1314</v>
      </c>
      <c r="BK153" s="585">
        <v>1314</v>
      </c>
      <c r="BL153" s="585">
        <v>1314</v>
      </c>
      <c r="BM153" s="585">
        <v>1314</v>
      </c>
      <c r="BN153" s="585" t="s">
        <v>160</v>
      </c>
      <c r="BO153" s="585" t="s">
        <v>160</v>
      </c>
      <c r="BP153" s="585" t="s">
        <v>160</v>
      </c>
      <c r="BQ153" s="585" t="s">
        <v>160</v>
      </c>
      <c r="BR153"/>
      <c r="BS153"/>
      <c r="BT153"/>
      <c r="BU153"/>
    </row>
    <row r="154" spans="1:115" x14ac:dyDescent="0.25">
      <c r="B154" s="117" t="s">
        <v>547</v>
      </c>
      <c r="C154" s="265" t="s">
        <v>160</v>
      </c>
      <c r="D154" s="265" t="s">
        <v>160</v>
      </c>
      <c r="E154" s="265" t="s">
        <v>160</v>
      </c>
      <c r="F154" s="265" t="s">
        <v>160</v>
      </c>
      <c r="G154" s="265" t="s">
        <v>160</v>
      </c>
      <c r="H154" s="265" t="s">
        <v>160</v>
      </c>
      <c r="I154" s="265" t="s">
        <v>160</v>
      </c>
      <c r="J154" s="337" t="s">
        <v>160</v>
      </c>
      <c r="K154" s="337" t="s">
        <v>160</v>
      </c>
      <c r="L154" s="585" t="s">
        <v>160</v>
      </c>
      <c r="M154" s="585" t="s">
        <v>160</v>
      </c>
      <c r="N154" s="585" t="s">
        <v>160</v>
      </c>
      <c r="O154" s="585" t="s">
        <v>160</v>
      </c>
      <c r="P154" s="585" t="s">
        <v>160</v>
      </c>
      <c r="Q154" s="585" t="s">
        <v>160</v>
      </c>
      <c r="R154" s="585" t="s">
        <v>160</v>
      </c>
      <c r="S154" s="585" t="s">
        <v>160</v>
      </c>
      <c r="T154" s="585" t="s">
        <v>160</v>
      </c>
      <c r="U154" s="585" t="s">
        <v>160</v>
      </c>
      <c r="V154" s="585" t="s">
        <v>160</v>
      </c>
      <c r="W154" s="585" t="s">
        <v>160</v>
      </c>
      <c r="X154" s="585" t="s">
        <v>160</v>
      </c>
      <c r="Y154" s="585" t="s">
        <v>160</v>
      </c>
      <c r="Z154" s="585" t="s">
        <v>160</v>
      </c>
      <c r="AA154" s="585" t="s">
        <v>160</v>
      </c>
      <c r="AB154" s="585" t="s">
        <v>160</v>
      </c>
      <c r="AC154" s="585" t="s">
        <v>160</v>
      </c>
      <c r="AD154" s="585" t="s">
        <v>160</v>
      </c>
      <c r="AE154" s="585" t="s">
        <v>160</v>
      </c>
      <c r="AF154" s="585" t="s">
        <v>160</v>
      </c>
      <c r="AG154" s="585" t="s">
        <v>160</v>
      </c>
      <c r="AH154" s="585" t="s">
        <v>160</v>
      </c>
      <c r="AI154" s="585" t="s">
        <v>160</v>
      </c>
      <c r="AJ154" s="585" t="s">
        <v>160</v>
      </c>
      <c r="AK154" s="585" t="s">
        <v>160</v>
      </c>
      <c r="AL154" s="585" t="s">
        <v>160</v>
      </c>
      <c r="AM154" s="585" t="s">
        <v>160</v>
      </c>
      <c r="AN154" s="585" t="s">
        <v>160</v>
      </c>
      <c r="AO154" s="585" t="s">
        <v>160</v>
      </c>
      <c r="AP154" s="585">
        <v>1684</v>
      </c>
      <c r="AQ154" s="585">
        <v>1684</v>
      </c>
      <c r="AR154" s="585">
        <v>1684</v>
      </c>
      <c r="AS154" s="585">
        <v>1684</v>
      </c>
      <c r="AT154" s="585">
        <v>1684</v>
      </c>
      <c r="AU154" s="585">
        <v>1684</v>
      </c>
      <c r="AV154" s="916">
        <v>1684</v>
      </c>
      <c r="AW154" s="826" t="s">
        <v>160</v>
      </c>
      <c r="AX154" s="826" t="s">
        <v>160</v>
      </c>
      <c r="AY154" s="341">
        <v>1149</v>
      </c>
      <c r="AZ154" s="585">
        <v>1149</v>
      </c>
      <c r="BA154" s="585">
        <v>1149</v>
      </c>
      <c r="BB154" s="585">
        <v>1149</v>
      </c>
      <c r="BC154" s="585">
        <v>1149</v>
      </c>
      <c r="BD154" s="585">
        <v>1149</v>
      </c>
      <c r="BE154" s="342">
        <v>1245</v>
      </c>
      <c r="BF154" s="585">
        <v>1245</v>
      </c>
      <c r="BG154" s="585">
        <v>1245</v>
      </c>
      <c r="BH154" s="585">
        <v>1245</v>
      </c>
      <c r="BI154" s="585">
        <v>1245</v>
      </c>
      <c r="BJ154" s="585">
        <v>1245</v>
      </c>
      <c r="BK154" s="585">
        <v>1245</v>
      </c>
      <c r="BL154" s="585">
        <v>1245</v>
      </c>
      <c r="BM154" s="585">
        <v>1245</v>
      </c>
      <c r="BN154" s="585" t="s">
        <v>160</v>
      </c>
      <c r="BO154" s="585" t="s">
        <v>160</v>
      </c>
      <c r="BP154" s="585" t="s">
        <v>160</v>
      </c>
      <c r="BQ154" s="585">
        <v>953</v>
      </c>
      <c r="BR154"/>
      <c r="BS154"/>
      <c r="BT154"/>
      <c r="BU154"/>
    </row>
    <row r="155" spans="1:115" x14ac:dyDescent="0.25">
      <c r="A155"/>
      <c r="B155" s="278" t="s">
        <v>557</v>
      </c>
      <c r="C155" s="327" t="str">
        <f t="shared" ref="C155:AH155" si="114">IFERROR(AVERAGE(C150:C154),"-")</f>
        <v>-</v>
      </c>
      <c r="D155" s="327" t="str">
        <f t="shared" si="114"/>
        <v>-</v>
      </c>
      <c r="E155" s="327" t="str">
        <f t="shared" si="114"/>
        <v>-</v>
      </c>
      <c r="F155" s="327" t="str">
        <f t="shared" si="114"/>
        <v>-</v>
      </c>
      <c r="G155" s="327" t="str">
        <f t="shared" si="114"/>
        <v>-</v>
      </c>
      <c r="H155" s="327" t="str">
        <f t="shared" si="114"/>
        <v>-</v>
      </c>
      <c r="I155" s="327" t="str">
        <f t="shared" si="114"/>
        <v>-</v>
      </c>
      <c r="J155" s="338" t="str">
        <f t="shared" si="114"/>
        <v>-</v>
      </c>
      <c r="K155" s="338" t="str">
        <f t="shared" si="114"/>
        <v>-</v>
      </c>
      <c r="L155" s="338" t="str">
        <f t="shared" si="114"/>
        <v>-</v>
      </c>
      <c r="M155" s="338" t="str">
        <f t="shared" si="114"/>
        <v>-</v>
      </c>
      <c r="N155" s="338" t="str">
        <f t="shared" si="114"/>
        <v>-</v>
      </c>
      <c r="O155" s="338" t="str">
        <f t="shared" si="114"/>
        <v>-</v>
      </c>
      <c r="P155" s="338" t="str">
        <f t="shared" si="114"/>
        <v>-</v>
      </c>
      <c r="Q155" s="338" t="str">
        <f t="shared" si="114"/>
        <v>-</v>
      </c>
      <c r="R155" s="348" t="str">
        <f t="shared" si="114"/>
        <v>-</v>
      </c>
      <c r="S155" s="348" t="str">
        <f t="shared" si="114"/>
        <v>-</v>
      </c>
      <c r="T155" s="348" t="str">
        <f t="shared" si="114"/>
        <v>-</v>
      </c>
      <c r="U155" s="348" t="str">
        <f t="shared" si="114"/>
        <v>-</v>
      </c>
      <c r="V155" s="348" t="str">
        <f t="shared" si="114"/>
        <v>-</v>
      </c>
      <c r="W155" s="348" t="str">
        <f t="shared" si="114"/>
        <v>-</v>
      </c>
      <c r="X155" s="348" t="str">
        <f t="shared" si="114"/>
        <v>-</v>
      </c>
      <c r="Y155" s="348" t="str">
        <f t="shared" si="114"/>
        <v>-</v>
      </c>
      <c r="Z155" s="348" t="str">
        <f t="shared" si="114"/>
        <v>-</v>
      </c>
      <c r="AA155" s="348" t="str">
        <f t="shared" si="114"/>
        <v>-</v>
      </c>
      <c r="AB155" s="348" t="str">
        <f t="shared" si="114"/>
        <v>-</v>
      </c>
      <c r="AC155" s="348" t="str">
        <f t="shared" si="114"/>
        <v>-</v>
      </c>
      <c r="AD155" s="348" t="str">
        <f t="shared" si="114"/>
        <v>-</v>
      </c>
      <c r="AE155" s="348" t="str">
        <f t="shared" si="114"/>
        <v>-</v>
      </c>
      <c r="AF155" s="348" t="str">
        <f t="shared" si="114"/>
        <v>-</v>
      </c>
      <c r="AG155" s="348" t="str">
        <f t="shared" si="114"/>
        <v>-</v>
      </c>
      <c r="AH155" s="348" t="str">
        <f t="shared" si="114"/>
        <v>-</v>
      </c>
      <c r="AI155" s="348" t="str">
        <f t="shared" ref="AI155:BN155" si="115">IFERROR(AVERAGE(AI150:AI154),"-")</f>
        <v>-</v>
      </c>
      <c r="AJ155" s="348">
        <f t="shared" si="115"/>
        <v>1717</v>
      </c>
      <c r="AK155" s="348">
        <f t="shared" si="115"/>
        <v>1717</v>
      </c>
      <c r="AL155" s="348">
        <f t="shared" si="115"/>
        <v>1778.5</v>
      </c>
      <c r="AM155" s="348">
        <f t="shared" si="115"/>
        <v>1778.5</v>
      </c>
      <c r="AN155" s="348">
        <f t="shared" si="115"/>
        <v>1778.5</v>
      </c>
      <c r="AO155" s="348">
        <f t="shared" si="115"/>
        <v>1778.5</v>
      </c>
      <c r="AP155" s="348">
        <f t="shared" si="115"/>
        <v>1747</v>
      </c>
      <c r="AQ155" s="348">
        <f t="shared" si="115"/>
        <v>1728.75</v>
      </c>
      <c r="AR155" s="348">
        <f t="shared" si="115"/>
        <v>1728.75</v>
      </c>
      <c r="AS155" s="348">
        <f t="shared" si="115"/>
        <v>1678</v>
      </c>
      <c r="AT155" s="800">
        <f t="shared" si="115"/>
        <v>1678</v>
      </c>
      <c r="AU155" s="800">
        <f t="shared" si="115"/>
        <v>1678</v>
      </c>
      <c r="AV155" s="917">
        <f t="shared" si="115"/>
        <v>1678</v>
      </c>
      <c r="AW155" s="929">
        <f t="shared" si="115"/>
        <v>1316.0829709610105</v>
      </c>
      <c r="AX155" s="800">
        <f t="shared" si="115"/>
        <v>1316.0829709610105</v>
      </c>
      <c r="AY155" s="800">
        <f t="shared" si="115"/>
        <v>1232.3609903203369</v>
      </c>
      <c r="AZ155" s="800">
        <f t="shared" si="115"/>
        <v>1232.3609903203369</v>
      </c>
      <c r="BA155" s="800">
        <f t="shared" si="115"/>
        <v>1232.3609903203369</v>
      </c>
      <c r="BB155" s="800">
        <f t="shared" si="115"/>
        <v>1232.3609903203369</v>
      </c>
      <c r="BC155" s="800">
        <f t="shared" si="115"/>
        <v>1252.7707427402527</v>
      </c>
      <c r="BD155" s="800">
        <f t="shared" si="115"/>
        <v>1274.75</v>
      </c>
      <c r="BE155" s="800">
        <f t="shared" si="115"/>
        <v>1335.5</v>
      </c>
      <c r="BF155" s="800">
        <f t="shared" si="115"/>
        <v>1335.5</v>
      </c>
      <c r="BG155" s="800">
        <f t="shared" si="115"/>
        <v>1335.5</v>
      </c>
      <c r="BH155" s="800">
        <f t="shared" si="115"/>
        <v>1335.5</v>
      </c>
      <c r="BI155" s="800">
        <f t="shared" si="115"/>
        <v>1335.5</v>
      </c>
      <c r="BJ155" s="800">
        <f t="shared" si="115"/>
        <v>1335.5</v>
      </c>
      <c r="BK155" s="800">
        <f t="shared" si="115"/>
        <v>1335.75</v>
      </c>
      <c r="BL155" s="800">
        <f t="shared" si="115"/>
        <v>1335.75</v>
      </c>
      <c r="BM155" s="800">
        <f t="shared" si="115"/>
        <v>1335.75</v>
      </c>
      <c r="BN155" s="800">
        <f t="shared" si="115"/>
        <v>972</v>
      </c>
      <c r="BO155" s="800">
        <f>IFERROR(AVERAGE(BO150:BO154),"-")</f>
        <v>972</v>
      </c>
      <c r="BP155" s="800">
        <f>IFERROR(AVERAGE(BP150:BP154),"-")</f>
        <v>972</v>
      </c>
      <c r="BQ155" s="800">
        <f>IFERROR(AVERAGE(BQ150:BQ154),"-")</f>
        <v>968.5</v>
      </c>
      <c r="BR155"/>
      <c r="BS155"/>
      <c r="BT155"/>
      <c r="BU155"/>
    </row>
    <row r="156" spans="1:115" customFormat="1" x14ac:dyDescent="0.25">
      <c r="A156" s="262"/>
      <c r="B156" s="262"/>
      <c r="C156" s="262"/>
      <c r="D156" s="262"/>
      <c r="E156" s="262"/>
      <c r="F156" s="262"/>
      <c r="G156" s="262"/>
      <c r="H156" s="262"/>
      <c r="I156" s="262"/>
      <c r="J156" s="262"/>
      <c r="K156" s="262"/>
      <c r="L156" s="262"/>
      <c r="M156" s="262"/>
      <c r="N156" s="262"/>
      <c r="O156" s="262"/>
      <c r="P156" s="262"/>
      <c r="Q156" s="340"/>
      <c r="R156" s="340"/>
      <c r="S156" s="340"/>
      <c r="T156" s="340"/>
      <c r="U156" s="340"/>
      <c r="V156" s="340"/>
      <c r="W156" s="340"/>
      <c r="X156" s="340"/>
      <c r="Y156" s="340"/>
      <c r="Z156" s="340"/>
      <c r="AA156" s="340"/>
      <c r="AB156" s="340"/>
      <c r="AC156" s="340"/>
      <c r="AD156" s="340"/>
      <c r="AE156" s="340"/>
      <c r="AF156" s="340"/>
      <c r="AG156" s="340"/>
      <c r="AH156" s="340"/>
      <c r="AI156" s="340"/>
      <c r="AJ156" s="340"/>
      <c r="AK156" s="340"/>
      <c r="AL156" s="340"/>
      <c r="AM156" s="340"/>
      <c r="AN156" s="340"/>
      <c r="AO156" s="340"/>
      <c r="AP156" s="340"/>
      <c r="AQ156" s="340"/>
      <c r="AR156" s="340"/>
      <c r="AS156" s="340"/>
      <c r="AV156" s="918"/>
      <c r="DG156" s="1150"/>
      <c r="DH156" s="1150"/>
      <c r="DI156" s="1150"/>
      <c r="DJ156" s="1150"/>
      <c r="DK156" s="1150"/>
    </row>
    <row r="157" spans="1:115" customFormat="1" x14ac:dyDescent="0.25">
      <c r="A157" s="262"/>
      <c r="B157" s="113" t="s">
        <v>804</v>
      </c>
      <c r="C157" s="263">
        <f t="shared" ref="C157:AH157" si="116">+C$173</f>
        <v>42522</v>
      </c>
      <c r="D157" s="263">
        <f t="shared" si="116"/>
        <v>42552</v>
      </c>
      <c r="E157" s="263">
        <f t="shared" si="116"/>
        <v>42583</v>
      </c>
      <c r="F157" s="263">
        <f t="shared" si="116"/>
        <v>42614</v>
      </c>
      <c r="G157" s="263">
        <f t="shared" si="116"/>
        <v>42644</v>
      </c>
      <c r="H157" s="263">
        <f t="shared" si="116"/>
        <v>42675</v>
      </c>
      <c r="I157" s="263">
        <f t="shared" si="116"/>
        <v>42705</v>
      </c>
      <c r="J157" s="263">
        <f t="shared" si="116"/>
        <v>42736</v>
      </c>
      <c r="K157" s="263">
        <f t="shared" si="116"/>
        <v>42767</v>
      </c>
      <c r="L157" s="263">
        <f t="shared" si="116"/>
        <v>42795</v>
      </c>
      <c r="M157" s="263">
        <f t="shared" si="116"/>
        <v>42826</v>
      </c>
      <c r="N157" s="263">
        <f t="shared" si="116"/>
        <v>42856</v>
      </c>
      <c r="O157" s="263">
        <f t="shared" si="116"/>
        <v>42887</v>
      </c>
      <c r="P157" s="263">
        <f t="shared" si="116"/>
        <v>42917</v>
      </c>
      <c r="Q157" s="263">
        <f t="shared" si="116"/>
        <v>42948</v>
      </c>
      <c r="R157" s="263">
        <f t="shared" si="116"/>
        <v>42979</v>
      </c>
      <c r="S157" s="263">
        <f t="shared" si="116"/>
        <v>43009</v>
      </c>
      <c r="T157" s="263">
        <f t="shared" si="116"/>
        <v>43040</v>
      </c>
      <c r="U157" s="263">
        <f t="shared" si="116"/>
        <v>43070</v>
      </c>
      <c r="V157" s="263">
        <f t="shared" si="116"/>
        <v>43101</v>
      </c>
      <c r="W157" s="263">
        <f t="shared" si="116"/>
        <v>43132</v>
      </c>
      <c r="X157" s="263">
        <f t="shared" si="116"/>
        <v>43160</v>
      </c>
      <c r="Y157" s="263">
        <f t="shared" si="116"/>
        <v>43191</v>
      </c>
      <c r="Z157" s="263">
        <f t="shared" si="116"/>
        <v>43221</v>
      </c>
      <c r="AA157" s="263">
        <f t="shared" si="116"/>
        <v>43252</v>
      </c>
      <c r="AB157" s="263">
        <f t="shared" si="116"/>
        <v>43283</v>
      </c>
      <c r="AC157" s="263">
        <f t="shared" si="116"/>
        <v>43314</v>
      </c>
      <c r="AD157" s="263">
        <f t="shared" si="116"/>
        <v>43345</v>
      </c>
      <c r="AE157" s="263">
        <f t="shared" si="116"/>
        <v>43376</v>
      </c>
      <c r="AF157" s="263">
        <f t="shared" si="116"/>
        <v>43407</v>
      </c>
      <c r="AG157" s="263">
        <f t="shared" si="116"/>
        <v>43437</v>
      </c>
      <c r="AH157" s="263">
        <f t="shared" si="116"/>
        <v>43468</v>
      </c>
      <c r="AI157" s="263">
        <f t="shared" ref="AI157:BQ157" si="117">+AI$173</f>
        <v>43499</v>
      </c>
      <c r="AJ157" s="263">
        <f t="shared" si="117"/>
        <v>43527</v>
      </c>
      <c r="AK157" s="263">
        <f t="shared" si="117"/>
        <v>43558</v>
      </c>
      <c r="AL157" s="263">
        <f t="shared" si="117"/>
        <v>43587</v>
      </c>
      <c r="AM157" s="263">
        <f t="shared" si="117"/>
        <v>43618</v>
      </c>
      <c r="AN157" s="263">
        <f t="shared" si="117"/>
        <v>43647</v>
      </c>
      <c r="AO157" s="263">
        <f t="shared" si="117"/>
        <v>43678</v>
      </c>
      <c r="AP157" s="263">
        <f t="shared" si="117"/>
        <v>43709</v>
      </c>
      <c r="AQ157" s="263">
        <f t="shared" si="117"/>
        <v>43739</v>
      </c>
      <c r="AR157" s="263">
        <f t="shared" si="117"/>
        <v>43770</v>
      </c>
      <c r="AS157" s="263">
        <f t="shared" si="117"/>
        <v>43800</v>
      </c>
      <c r="AT157" s="263">
        <f t="shared" si="117"/>
        <v>43831</v>
      </c>
      <c r="AU157" s="263">
        <f t="shared" si="117"/>
        <v>43862</v>
      </c>
      <c r="AV157" s="914">
        <f t="shared" si="117"/>
        <v>43891</v>
      </c>
      <c r="AW157" s="263">
        <f t="shared" si="117"/>
        <v>43922</v>
      </c>
      <c r="AX157" s="263">
        <f t="shared" si="117"/>
        <v>43952</v>
      </c>
      <c r="AY157" s="263">
        <f t="shared" si="117"/>
        <v>43983</v>
      </c>
      <c r="AZ157" s="263">
        <f t="shared" si="117"/>
        <v>44013</v>
      </c>
      <c r="BA157" s="263">
        <f t="shared" si="117"/>
        <v>44044</v>
      </c>
      <c r="BB157" s="263">
        <f t="shared" si="117"/>
        <v>44075</v>
      </c>
      <c r="BC157" s="263">
        <f t="shared" si="117"/>
        <v>44105</v>
      </c>
      <c r="BD157" s="263">
        <f t="shared" si="117"/>
        <v>44136</v>
      </c>
      <c r="BE157" s="263">
        <f t="shared" si="117"/>
        <v>44166</v>
      </c>
      <c r="BF157" s="263">
        <f t="shared" si="117"/>
        <v>44197</v>
      </c>
      <c r="BG157" s="263">
        <f t="shared" si="117"/>
        <v>44228</v>
      </c>
      <c r="BH157" s="263">
        <f t="shared" si="117"/>
        <v>44256</v>
      </c>
      <c r="BI157" s="263">
        <f t="shared" si="117"/>
        <v>44287</v>
      </c>
      <c r="BJ157" s="263">
        <f t="shared" si="117"/>
        <v>44317</v>
      </c>
      <c r="BK157" s="263">
        <f t="shared" si="117"/>
        <v>44348</v>
      </c>
      <c r="BL157" s="263">
        <f t="shared" si="117"/>
        <v>44378</v>
      </c>
      <c r="BM157" s="263">
        <f t="shared" si="117"/>
        <v>44409</v>
      </c>
      <c r="BN157" s="263">
        <f t="shared" si="117"/>
        <v>44440</v>
      </c>
      <c r="BO157" s="263">
        <f t="shared" si="117"/>
        <v>44470</v>
      </c>
      <c r="BP157" s="263">
        <f t="shared" si="117"/>
        <v>44501</v>
      </c>
      <c r="BQ157" s="263">
        <f t="shared" si="117"/>
        <v>44531</v>
      </c>
      <c r="DG157" s="1150"/>
      <c r="DH157" s="1150"/>
      <c r="DI157" s="1150"/>
      <c r="DJ157" s="1150"/>
      <c r="DK157" s="1150"/>
    </row>
    <row r="158" spans="1:115" customFormat="1" x14ac:dyDescent="0.25">
      <c r="A158" s="262"/>
      <c r="B158" s="117" t="s">
        <v>542</v>
      </c>
      <c r="C158" s="264" t="s">
        <v>160</v>
      </c>
      <c r="D158" s="264" t="s">
        <v>160</v>
      </c>
      <c r="E158" s="264" t="s">
        <v>160</v>
      </c>
      <c r="F158" s="265" t="s">
        <v>160</v>
      </c>
      <c r="G158" s="265" t="s">
        <v>160</v>
      </c>
      <c r="H158" s="265" t="s">
        <v>160</v>
      </c>
      <c r="I158" s="265" t="s">
        <v>160</v>
      </c>
      <c r="J158" s="265" t="s">
        <v>160</v>
      </c>
      <c r="K158" s="265" t="s">
        <v>160</v>
      </c>
      <c r="L158" s="586" t="s">
        <v>160</v>
      </c>
      <c r="M158" s="586" t="s">
        <v>160</v>
      </c>
      <c r="N158" s="586" t="s">
        <v>160</v>
      </c>
      <c r="O158" s="586" t="s">
        <v>160</v>
      </c>
      <c r="P158" s="586" t="s">
        <v>160</v>
      </c>
      <c r="Q158" s="586" t="s">
        <v>160</v>
      </c>
      <c r="R158" s="586" t="s">
        <v>160</v>
      </c>
      <c r="S158" s="586" t="s">
        <v>160</v>
      </c>
      <c r="T158" s="586" t="s">
        <v>160</v>
      </c>
      <c r="U158" s="585" t="s">
        <v>160</v>
      </c>
      <c r="V158" s="585" t="s">
        <v>160</v>
      </c>
      <c r="W158" s="585" t="s">
        <v>160</v>
      </c>
      <c r="X158" s="585" t="s">
        <v>160</v>
      </c>
      <c r="Y158" s="585" t="s">
        <v>160</v>
      </c>
      <c r="Z158" s="585" t="s">
        <v>160</v>
      </c>
      <c r="AA158" s="585" t="s">
        <v>160</v>
      </c>
      <c r="AB158" s="585" t="s">
        <v>160</v>
      </c>
      <c r="AC158" s="585" t="s">
        <v>160</v>
      </c>
      <c r="AD158" s="585" t="s">
        <v>160</v>
      </c>
      <c r="AE158" s="585" t="s">
        <v>160</v>
      </c>
      <c r="AF158" s="585" t="s">
        <v>160</v>
      </c>
      <c r="AG158" s="585" t="s">
        <v>160</v>
      </c>
      <c r="AH158" s="585" t="s">
        <v>160</v>
      </c>
      <c r="AI158" s="585" t="s">
        <v>160</v>
      </c>
      <c r="AJ158" s="585" t="s">
        <v>160</v>
      </c>
      <c r="AK158" s="585" t="s">
        <v>160</v>
      </c>
      <c r="AL158" s="585" t="s">
        <v>160</v>
      </c>
      <c r="AM158" s="585" t="s">
        <v>160</v>
      </c>
      <c r="AN158" s="585" t="s">
        <v>160</v>
      </c>
      <c r="AO158" s="585" t="s">
        <v>160</v>
      </c>
      <c r="AP158" s="585" t="s">
        <v>160</v>
      </c>
      <c r="AQ158" s="585" t="s">
        <v>160</v>
      </c>
      <c r="AR158" s="585" t="s">
        <v>160</v>
      </c>
      <c r="AS158" s="585">
        <f>342-36</f>
        <v>306</v>
      </c>
      <c r="AT158" s="585">
        <f>342-36</f>
        <v>306</v>
      </c>
      <c r="AU158" s="585">
        <f>342-36</f>
        <v>306</v>
      </c>
      <c r="AV158" s="916">
        <f>342-36</f>
        <v>306</v>
      </c>
      <c r="AW158" s="826" t="s">
        <v>160</v>
      </c>
      <c r="AX158" s="826" t="s">
        <v>160</v>
      </c>
      <c r="AY158" s="341">
        <v>204</v>
      </c>
      <c r="AZ158" s="585">
        <v>204</v>
      </c>
      <c r="BA158" s="585">
        <v>204</v>
      </c>
      <c r="BB158" s="585">
        <v>204</v>
      </c>
      <c r="BC158" s="585">
        <v>204</v>
      </c>
      <c r="BD158" s="585">
        <v>204</v>
      </c>
      <c r="BE158" s="342">
        <v>265</v>
      </c>
      <c r="BF158" s="585">
        <v>265</v>
      </c>
      <c r="BG158" s="585">
        <v>265</v>
      </c>
      <c r="BH158" s="585">
        <v>265</v>
      </c>
      <c r="BI158" s="585">
        <v>265</v>
      </c>
      <c r="BJ158" s="585">
        <v>265</v>
      </c>
      <c r="BK158" s="585">
        <v>266</v>
      </c>
      <c r="BL158" s="585">
        <v>266</v>
      </c>
      <c r="BM158" s="585">
        <v>266</v>
      </c>
      <c r="BN158" s="585" t="s">
        <v>160</v>
      </c>
      <c r="BO158" s="585" t="s">
        <v>160</v>
      </c>
      <c r="BP158" s="585" t="s">
        <v>160</v>
      </c>
      <c r="BQ158" s="585">
        <v>164</v>
      </c>
      <c r="DG158" s="1150"/>
      <c r="DH158" s="1150"/>
      <c r="DI158" s="1150"/>
      <c r="DJ158" s="1150"/>
      <c r="DK158" s="1150"/>
    </row>
    <row r="159" spans="1:115" x14ac:dyDescent="0.25">
      <c r="B159" s="117" t="s">
        <v>545</v>
      </c>
      <c r="C159" s="264" t="s">
        <v>160</v>
      </c>
      <c r="D159" s="264" t="s">
        <v>160</v>
      </c>
      <c r="E159" s="264" t="s">
        <v>160</v>
      </c>
      <c r="F159" s="264" t="s">
        <v>160</v>
      </c>
      <c r="G159" s="264" t="s">
        <v>160</v>
      </c>
      <c r="H159" s="265" t="s">
        <v>160</v>
      </c>
      <c r="I159" s="265" t="s">
        <v>160</v>
      </c>
      <c r="J159" s="265" t="s">
        <v>160</v>
      </c>
      <c r="K159" s="265" t="s">
        <v>160</v>
      </c>
      <c r="L159" s="586" t="s">
        <v>160</v>
      </c>
      <c r="M159" s="586" t="s">
        <v>160</v>
      </c>
      <c r="N159" s="586" t="s">
        <v>160</v>
      </c>
      <c r="O159" s="586" t="s">
        <v>160</v>
      </c>
      <c r="P159" s="586" t="s">
        <v>160</v>
      </c>
      <c r="Q159" s="585" t="s">
        <v>160</v>
      </c>
      <c r="R159" s="585" t="s">
        <v>160</v>
      </c>
      <c r="S159" s="585" t="s">
        <v>160</v>
      </c>
      <c r="T159" s="585" t="s">
        <v>160</v>
      </c>
      <c r="U159" s="585" t="s">
        <v>160</v>
      </c>
      <c r="V159" s="585" t="s">
        <v>160</v>
      </c>
      <c r="W159" s="585" t="s">
        <v>160</v>
      </c>
      <c r="X159" s="585" t="s">
        <v>160</v>
      </c>
      <c r="Y159" s="585" t="s">
        <v>160</v>
      </c>
      <c r="Z159" s="585" t="s">
        <v>160</v>
      </c>
      <c r="AA159" s="585" t="s">
        <v>160</v>
      </c>
      <c r="AB159" s="585" t="s">
        <v>160</v>
      </c>
      <c r="AC159" s="585" t="s">
        <v>160</v>
      </c>
      <c r="AD159" s="585" t="s">
        <v>160</v>
      </c>
      <c r="AE159" s="585" t="s">
        <v>160</v>
      </c>
      <c r="AF159" s="585" t="s">
        <v>160</v>
      </c>
      <c r="AG159" s="586" t="s">
        <v>160</v>
      </c>
      <c r="AH159" s="586" t="s">
        <v>160</v>
      </c>
      <c r="AI159" s="586" t="s">
        <v>160</v>
      </c>
      <c r="AJ159" s="585">
        <v>267</v>
      </c>
      <c r="AK159" s="585">
        <v>267</v>
      </c>
      <c r="AL159" s="679">
        <v>275</v>
      </c>
      <c r="AM159" s="585">
        <v>275</v>
      </c>
      <c r="AN159" s="585">
        <v>275</v>
      </c>
      <c r="AO159" s="585">
        <v>275</v>
      </c>
      <c r="AP159" s="585">
        <v>275</v>
      </c>
      <c r="AQ159" s="585">
        <v>275</v>
      </c>
      <c r="AR159" s="585">
        <v>275</v>
      </c>
      <c r="AS159" s="341">
        <v>273</v>
      </c>
      <c r="AT159" s="585">
        <v>273</v>
      </c>
      <c r="AU159" s="585">
        <v>273</v>
      </c>
      <c r="AV159" s="916">
        <v>273</v>
      </c>
      <c r="AW159" s="826" t="s">
        <v>160</v>
      </c>
      <c r="AX159" s="826" t="s">
        <v>160</v>
      </c>
      <c r="AY159" s="277" t="s">
        <v>160</v>
      </c>
      <c r="AZ159" s="277" t="s">
        <v>160</v>
      </c>
      <c r="BA159" s="277" t="s">
        <v>160</v>
      </c>
      <c r="BB159" s="277" t="s">
        <v>160</v>
      </c>
      <c r="BC159" s="277" t="s">
        <v>160</v>
      </c>
      <c r="BD159" s="277" t="s">
        <v>160</v>
      </c>
      <c r="BE159" s="277" t="s">
        <v>160</v>
      </c>
      <c r="BF159" s="586" t="s">
        <v>160</v>
      </c>
      <c r="BG159" s="586" t="s">
        <v>160</v>
      </c>
      <c r="BH159" s="586" t="s">
        <v>160</v>
      </c>
      <c r="BI159" s="586" t="s">
        <v>160</v>
      </c>
      <c r="BJ159" s="586" t="s">
        <v>160</v>
      </c>
      <c r="BK159" s="586" t="s">
        <v>160</v>
      </c>
      <c r="BL159" s="586" t="s">
        <v>160</v>
      </c>
      <c r="BM159" s="586" t="s">
        <v>160</v>
      </c>
      <c r="BN159" s="586">
        <v>166</v>
      </c>
      <c r="BO159" s="586">
        <v>166</v>
      </c>
      <c r="BP159" s="586">
        <v>166</v>
      </c>
      <c r="BQ159" s="586">
        <v>166</v>
      </c>
      <c r="BR159"/>
      <c r="BS159"/>
      <c r="BT159"/>
      <c r="BU159"/>
    </row>
    <row r="160" spans="1:115" x14ac:dyDescent="0.25">
      <c r="B160" s="117" t="s">
        <v>546</v>
      </c>
      <c r="C160" s="264" t="s">
        <v>160</v>
      </c>
      <c r="D160" s="264" t="s">
        <v>160</v>
      </c>
      <c r="E160" s="264" t="s">
        <v>160</v>
      </c>
      <c r="F160" s="264" t="s">
        <v>160</v>
      </c>
      <c r="G160" s="264" t="s">
        <v>160</v>
      </c>
      <c r="H160" s="265" t="s">
        <v>160</v>
      </c>
      <c r="I160" s="265" t="s">
        <v>160</v>
      </c>
      <c r="J160" s="265" t="s">
        <v>160</v>
      </c>
      <c r="K160" s="265" t="s">
        <v>160</v>
      </c>
      <c r="L160" s="586" t="s">
        <v>160</v>
      </c>
      <c r="M160" s="586" t="s">
        <v>160</v>
      </c>
      <c r="N160" s="586" t="s">
        <v>160</v>
      </c>
      <c r="O160" s="586" t="s">
        <v>160</v>
      </c>
      <c r="P160" s="586" t="s">
        <v>160</v>
      </c>
      <c r="Q160" s="586" t="s">
        <v>160</v>
      </c>
      <c r="R160" s="586" t="s">
        <v>160</v>
      </c>
      <c r="S160" s="586" t="s">
        <v>160</v>
      </c>
      <c r="T160" s="586" t="s">
        <v>160</v>
      </c>
      <c r="U160" s="586" t="s">
        <v>160</v>
      </c>
      <c r="V160" s="586" t="s">
        <v>160</v>
      </c>
      <c r="W160" s="586" t="s">
        <v>160</v>
      </c>
      <c r="X160" s="586" t="s">
        <v>160</v>
      </c>
      <c r="Y160" s="586" t="s">
        <v>160</v>
      </c>
      <c r="Z160" s="586" t="s">
        <v>160</v>
      </c>
      <c r="AA160" s="586" t="s">
        <v>160</v>
      </c>
      <c r="AB160" s="586" t="s">
        <v>160</v>
      </c>
      <c r="AC160" s="586" t="s">
        <v>160</v>
      </c>
      <c r="AD160" s="586" t="s">
        <v>160</v>
      </c>
      <c r="AE160" s="586" t="s">
        <v>160</v>
      </c>
      <c r="AF160" s="585" t="s">
        <v>160</v>
      </c>
      <c r="AG160" s="586" t="s">
        <v>160</v>
      </c>
      <c r="AH160" s="586" t="s">
        <v>160</v>
      </c>
      <c r="AI160" s="586" t="s">
        <v>160</v>
      </c>
      <c r="AJ160" s="585" t="s">
        <v>160</v>
      </c>
      <c r="AK160" s="585" t="s">
        <v>160</v>
      </c>
      <c r="AL160" s="585">
        <v>291</v>
      </c>
      <c r="AM160" s="585">
        <v>291</v>
      </c>
      <c r="AN160" s="585">
        <v>291</v>
      </c>
      <c r="AO160" s="585">
        <v>291</v>
      </c>
      <c r="AP160" s="585">
        <v>291</v>
      </c>
      <c r="AQ160" s="585">
        <v>291</v>
      </c>
      <c r="AR160" s="585">
        <v>291</v>
      </c>
      <c r="AS160" s="585">
        <v>291</v>
      </c>
      <c r="AT160" s="585">
        <v>291</v>
      </c>
      <c r="AU160" s="585">
        <v>291</v>
      </c>
      <c r="AV160" s="916">
        <v>291</v>
      </c>
      <c r="AW160" s="341">
        <v>208.65946703377631</v>
      </c>
      <c r="AX160" s="585">
        <v>208.65946703377631</v>
      </c>
      <c r="AY160" s="585">
        <v>208.65946703377631</v>
      </c>
      <c r="AZ160" s="585">
        <v>208.65946703377631</v>
      </c>
      <c r="BA160" s="585">
        <v>208.65946703377631</v>
      </c>
      <c r="BB160" s="585">
        <v>208.65946703377631</v>
      </c>
      <c r="BC160" s="585">
        <v>208.65946703377631</v>
      </c>
      <c r="BD160" s="342">
        <v>268</v>
      </c>
      <c r="BE160" s="585">
        <v>268</v>
      </c>
      <c r="BF160" s="585">
        <v>268</v>
      </c>
      <c r="BG160" s="585">
        <v>268</v>
      </c>
      <c r="BH160" s="585">
        <v>268</v>
      </c>
      <c r="BI160" s="585">
        <v>268</v>
      </c>
      <c r="BJ160" s="585">
        <v>268</v>
      </c>
      <c r="BK160" s="585">
        <v>268</v>
      </c>
      <c r="BL160" s="585">
        <v>268</v>
      </c>
      <c r="BM160" s="585">
        <v>268</v>
      </c>
      <c r="BN160" s="585" t="s">
        <v>160</v>
      </c>
      <c r="BO160" s="585" t="s">
        <v>160</v>
      </c>
      <c r="BP160" s="585" t="s">
        <v>160</v>
      </c>
      <c r="BQ160" s="585">
        <v>157</v>
      </c>
      <c r="BR160"/>
      <c r="BS160"/>
      <c r="BT160"/>
      <c r="BU160"/>
    </row>
    <row r="161" spans="1:115" x14ac:dyDescent="0.25">
      <c r="B161" s="117" t="s">
        <v>574</v>
      </c>
      <c r="C161" s="264" t="s">
        <v>160</v>
      </c>
      <c r="D161" s="264" t="s">
        <v>160</v>
      </c>
      <c r="E161" s="264" t="s">
        <v>160</v>
      </c>
      <c r="F161" s="264" t="s">
        <v>160</v>
      </c>
      <c r="G161" s="264" t="s">
        <v>160</v>
      </c>
      <c r="H161" s="264" t="s">
        <v>160</v>
      </c>
      <c r="I161" s="264" t="s">
        <v>160</v>
      </c>
      <c r="J161" s="264" t="s">
        <v>160</v>
      </c>
      <c r="K161" s="264" t="s">
        <v>160</v>
      </c>
      <c r="L161" s="352" t="s">
        <v>160</v>
      </c>
      <c r="M161" s="352" t="s">
        <v>160</v>
      </c>
      <c r="N161" s="352" t="s">
        <v>160</v>
      </c>
      <c r="O161" s="586" t="s">
        <v>160</v>
      </c>
      <c r="P161" s="586" t="s">
        <v>160</v>
      </c>
      <c r="Q161" s="586" t="s">
        <v>160</v>
      </c>
      <c r="R161" s="586" t="s">
        <v>160</v>
      </c>
      <c r="S161" s="586" t="s">
        <v>160</v>
      </c>
      <c r="T161" s="586" t="s">
        <v>160</v>
      </c>
      <c r="U161" s="586" t="s">
        <v>160</v>
      </c>
      <c r="V161" s="586" t="s">
        <v>160</v>
      </c>
      <c r="W161" s="585" t="s">
        <v>160</v>
      </c>
      <c r="X161" s="585" t="s">
        <v>160</v>
      </c>
      <c r="Y161" s="585" t="s">
        <v>160</v>
      </c>
      <c r="Z161" s="585" t="s">
        <v>160</v>
      </c>
      <c r="AA161" s="585" t="s">
        <v>160</v>
      </c>
      <c r="AB161" s="585" t="s">
        <v>160</v>
      </c>
      <c r="AC161" s="585" t="s">
        <v>160</v>
      </c>
      <c r="AD161" s="585" t="s">
        <v>160</v>
      </c>
      <c r="AE161" s="585" t="s">
        <v>160</v>
      </c>
      <c r="AF161" s="585" t="s">
        <v>160</v>
      </c>
      <c r="AG161" s="586" t="s">
        <v>160</v>
      </c>
      <c r="AH161" s="586" t="s">
        <v>160</v>
      </c>
      <c r="AI161" s="586" t="s">
        <v>160</v>
      </c>
      <c r="AJ161" s="586" t="s">
        <v>160</v>
      </c>
      <c r="AK161" s="586" t="s">
        <v>160</v>
      </c>
      <c r="AL161" s="586" t="s">
        <v>160</v>
      </c>
      <c r="AM161" s="586" t="s">
        <v>160</v>
      </c>
      <c r="AN161" s="586" t="s">
        <v>160</v>
      </c>
      <c r="AO161" s="586" t="s">
        <v>160</v>
      </c>
      <c r="AP161" s="586" t="s">
        <v>160</v>
      </c>
      <c r="AQ161" s="586">
        <v>268</v>
      </c>
      <c r="AR161" s="586">
        <v>268</v>
      </c>
      <c r="AS161" s="586">
        <v>268</v>
      </c>
      <c r="AT161" s="586">
        <v>268</v>
      </c>
      <c r="AU161" s="586">
        <v>268</v>
      </c>
      <c r="AV161" s="919">
        <v>268</v>
      </c>
      <c r="AW161" s="277" t="s">
        <v>160</v>
      </c>
      <c r="AX161" s="277" t="s">
        <v>160</v>
      </c>
      <c r="AY161" s="277" t="s">
        <v>160</v>
      </c>
      <c r="AZ161" s="277" t="s">
        <v>160</v>
      </c>
      <c r="BA161" s="277" t="s">
        <v>160</v>
      </c>
      <c r="BB161" s="277" t="s">
        <v>160</v>
      </c>
      <c r="BC161" s="585">
        <v>235</v>
      </c>
      <c r="BD161" s="585">
        <v>235</v>
      </c>
      <c r="BE161" s="585">
        <v>235</v>
      </c>
      <c r="BF161" s="585">
        <v>235</v>
      </c>
      <c r="BG161" s="585">
        <v>235</v>
      </c>
      <c r="BH161" s="585">
        <v>235</v>
      </c>
      <c r="BI161" s="585">
        <v>235</v>
      </c>
      <c r="BJ161" s="585">
        <v>235</v>
      </c>
      <c r="BK161" s="585">
        <v>235</v>
      </c>
      <c r="BL161" s="585">
        <v>235</v>
      </c>
      <c r="BM161" s="585">
        <v>235</v>
      </c>
      <c r="BN161" s="585" t="s">
        <v>160</v>
      </c>
      <c r="BO161" s="585" t="s">
        <v>160</v>
      </c>
      <c r="BP161" s="585" t="s">
        <v>160</v>
      </c>
      <c r="BQ161" s="585" t="s">
        <v>160</v>
      </c>
      <c r="BR161"/>
      <c r="BS161"/>
      <c r="BT161"/>
      <c r="BU161"/>
    </row>
    <row r="162" spans="1:115" x14ac:dyDescent="0.25">
      <c r="B162" s="117" t="s">
        <v>547</v>
      </c>
      <c r="C162" s="264" t="s">
        <v>160</v>
      </c>
      <c r="D162" s="264" t="s">
        <v>160</v>
      </c>
      <c r="E162" s="264" t="s">
        <v>160</v>
      </c>
      <c r="F162" s="264" t="s">
        <v>160</v>
      </c>
      <c r="G162" s="265" t="s">
        <v>160</v>
      </c>
      <c r="H162" s="265" t="s">
        <v>160</v>
      </c>
      <c r="I162" s="265" t="s">
        <v>160</v>
      </c>
      <c r="J162" s="265" t="s">
        <v>160</v>
      </c>
      <c r="K162" s="265" t="s">
        <v>160</v>
      </c>
      <c r="L162" s="586" t="s">
        <v>160</v>
      </c>
      <c r="M162" s="586" t="s">
        <v>160</v>
      </c>
      <c r="N162" s="586" t="s">
        <v>160</v>
      </c>
      <c r="O162" s="586" t="s">
        <v>160</v>
      </c>
      <c r="P162" s="586" t="s">
        <v>160</v>
      </c>
      <c r="Q162" s="586" t="s">
        <v>160</v>
      </c>
      <c r="R162" s="586" t="s">
        <v>160</v>
      </c>
      <c r="S162" s="586" t="s">
        <v>160</v>
      </c>
      <c r="T162" s="586" t="s">
        <v>160</v>
      </c>
      <c r="U162" s="586" t="s">
        <v>160</v>
      </c>
      <c r="V162" s="585" t="s">
        <v>160</v>
      </c>
      <c r="W162" s="586" t="s">
        <v>160</v>
      </c>
      <c r="X162" s="586" t="s">
        <v>160</v>
      </c>
      <c r="Y162" s="586" t="s">
        <v>160</v>
      </c>
      <c r="Z162" s="586" t="s">
        <v>160</v>
      </c>
      <c r="AA162" s="586" t="s">
        <v>160</v>
      </c>
      <c r="AB162" s="586" t="s">
        <v>160</v>
      </c>
      <c r="AC162" s="586" t="s">
        <v>160</v>
      </c>
      <c r="AD162" s="585" t="s">
        <v>160</v>
      </c>
      <c r="AE162" s="586" t="s">
        <v>160</v>
      </c>
      <c r="AF162" s="586" t="s">
        <v>160</v>
      </c>
      <c r="AG162" s="586" t="s">
        <v>160</v>
      </c>
      <c r="AH162" s="586" t="s">
        <v>160</v>
      </c>
      <c r="AI162" s="586" t="s">
        <v>160</v>
      </c>
      <c r="AJ162" s="586" t="s">
        <v>160</v>
      </c>
      <c r="AK162" s="586" t="s">
        <v>160</v>
      </c>
      <c r="AL162" s="586" t="s">
        <v>160</v>
      </c>
      <c r="AM162" s="586" t="s">
        <v>160</v>
      </c>
      <c r="AN162" s="586" t="s">
        <v>160</v>
      </c>
      <c r="AO162" s="586" t="s">
        <v>160</v>
      </c>
      <c r="AP162" s="586">
        <v>285</v>
      </c>
      <c r="AQ162" s="586">
        <v>285</v>
      </c>
      <c r="AR162" s="586">
        <v>285</v>
      </c>
      <c r="AS162" s="586">
        <v>285</v>
      </c>
      <c r="AT162" s="586">
        <v>285</v>
      </c>
      <c r="AU162" s="586">
        <v>285</v>
      </c>
      <c r="AV162" s="919">
        <v>285</v>
      </c>
      <c r="AW162" s="826" t="s">
        <v>160</v>
      </c>
      <c r="AX162" s="826" t="s">
        <v>160</v>
      </c>
      <c r="AY162" s="341">
        <v>180</v>
      </c>
      <c r="AZ162" s="585">
        <v>180</v>
      </c>
      <c r="BA162" s="585">
        <v>180</v>
      </c>
      <c r="BB162" s="585">
        <v>180</v>
      </c>
      <c r="BC162" s="585">
        <v>180</v>
      </c>
      <c r="BD162" s="585">
        <v>180</v>
      </c>
      <c r="BE162" s="342">
        <v>234.8</v>
      </c>
      <c r="BF162" s="585">
        <v>234.8</v>
      </c>
      <c r="BG162" s="585">
        <v>234.8</v>
      </c>
      <c r="BH162" s="585">
        <v>234.8</v>
      </c>
      <c r="BI162" s="585">
        <v>234.8</v>
      </c>
      <c r="BJ162" s="585">
        <v>234.8</v>
      </c>
      <c r="BK162" s="585">
        <v>234.8</v>
      </c>
      <c r="BL162" s="585">
        <v>234.8</v>
      </c>
      <c r="BM162" s="585">
        <v>234.8</v>
      </c>
      <c r="BN162" s="585" t="s">
        <v>160</v>
      </c>
      <c r="BO162" s="585" t="s">
        <v>160</v>
      </c>
      <c r="BP162" s="585" t="s">
        <v>160</v>
      </c>
      <c r="BQ162" s="585">
        <v>163</v>
      </c>
      <c r="BR162"/>
      <c r="BS162"/>
      <c r="BT162"/>
      <c r="BU162"/>
    </row>
    <row r="163" spans="1:115" x14ac:dyDescent="0.25">
      <c r="A163"/>
      <c r="B163" s="278" t="s">
        <v>557</v>
      </c>
      <c r="C163" s="327" t="str">
        <f t="shared" ref="C163:K163" si="118">IFERROR(AVERAGE(C158:C162),"-")</f>
        <v>-</v>
      </c>
      <c r="D163" s="327" t="str">
        <f t="shared" si="118"/>
        <v>-</v>
      </c>
      <c r="E163" s="327" t="str">
        <f t="shared" si="118"/>
        <v>-</v>
      </c>
      <c r="F163" s="327" t="str">
        <f t="shared" si="118"/>
        <v>-</v>
      </c>
      <c r="G163" s="327" t="str">
        <f t="shared" si="118"/>
        <v>-</v>
      </c>
      <c r="H163" s="327" t="str">
        <f t="shared" si="118"/>
        <v>-</v>
      </c>
      <c r="I163" s="327" t="str">
        <f t="shared" si="118"/>
        <v>-</v>
      </c>
      <c r="J163" s="327" t="str">
        <f t="shared" si="118"/>
        <v>-</v>
      </c>
      <c r="K163" s="327" t="str">
        <f t="shared" si="118"/>
        <v>-</v>
      </c>
      <c r="L163" s="635" t="s">
        <v>160</v>
      </c>
      <c r="M163" s="635" t="s">
        <v>160</v>
      </c>
      <c r="N163" s="635" t="s">
        <v>160</v>
      </c>
      <c r="O163" s="635" t="s">
        <v>160</v>
      </c>
      <c r="P163" s="635" t="s">
        <v>160</v>
      </c>
      <c r="Q163" s="635" t="s">
        <v>160</v>
      </c>
      <c r="R163" s="635" t="s">
        <v>160</v>
      </c>
      <c r="S163" s="635" t="s">
        <v>160</v>
      </c>
      <c r="T163" s="635" t="s">
        <v>160</v>
      </c>
      <c r="U163" s="635" t="s">
        <v>160</v>
      </c>
      <c r="V163" s="350" t="str">
        <f t="shared" ref="V163:AF163" si="119">IFERROR(AVERAGE(V158:V162),"-")</f>
        <v>-</v>
      </c>
      <c r="W163" s="350" t="str">
        <f t="shared" si="119"/>
        <v>-</v>
      </c>
      <c r="X163" s="350" t="str">
        <f t="shared" si="119"/>
        <v>-</v>
      </c>
      <c r="Y163" s="350" t="str">
        <f t="shared" si="119"/>
        <v>-</v>
      </c>
      <c r="Z163" s="350" t="str">
        <f t="shared" si="119"/>
        <v>-</v>
      </c>
      <c r="AA163" s="350" t="str">
        <f t="shared" si="119"/>
        <v>-</v>
      </c>
      <c r="AB163" s="350" t="str">
        <f t="shared" si="119"/>
        <v>-</v>
      </c>
      <c r="AC163" s="350" t="str">
        <f t="shared" si="119"/>
        <v>-</v>
      </c>
      <c r="AD163" s="350" t="str">
        <f t="shared" si="119"/>
        <v>-</v>
      </c>
      <c r="AE163" s="350" t="str">
        <f t="shared" si="119"/>
        <v>-</v>
      </c>
      <c r="AF163" s="350" t="str">
        <f t="shared" si="119"/>
        <v>-</v>
      </c>
      <c r="AG163" s="350" t="str">
        <f t="shared" ref="AG163:AL163" si="120">IFERROR(AVERAGE(AG158:AG162),"-")</f>
        <v>-</v>
      </c>
      <c r="AH163" s="350" t="str">
        <f t="shared" si="120"/>
        <v>-</v>
      </c>
      <c r="AI163" s="350" t="str">
        <f t="shared" si="120"/>
        <v>-</v>
      </c>
      <c r="AJ163" s="350">
        <f t="shared" si="120"/>
        <v>267</v>
      </c>
      <c r="AK163" s="350">
        <f t="shared" si="120"/>
        <v>267</v>
      </c>
      <c r="AL163" s="350">
        <f t="shared" si="120"/>
        <v>283</v>
      </c>
      <c r="AM163" s="350">
        <f t="shared" ref="AM163:AR163" si="121">IFERROR(AVERAGE(AM158:AM162),"-")</f>
        <v>283</v>
      </c>
      <c r="AN163" s="350">
        <f t="shared" si="121"/>
        <v>283</v>
      </c>
      <c r="AO163" s="350">
        <f t="shared" si="121"/>
        <v>283</v>
      </c>
      <c r="AP163" s="350">
        <f t="shared" si="121"/>
        <v>283.66666666666669</v>
      </c>
      <c r="AQ163" s="350">
        <f t="shared" si="121"/>
        <v>279.75</v>
      </c>
      <c r="AR163" s="350">
        <f t="shared" si="121"/>
        <v>279.75</v>
      </c>
      <c r="AS163" s="350">
        <f t="shared" ref="AS163:AZ163" si="122">IFERROR(AVERAGE(AS158:AS162),"-")</f>
        <v>284.60000000000002</v>
      </c>
      <c r="AT163" s="635">
        <f t="shared" si="122"/>
        <v>284.60000000000002</v>
      </c>
      <c r="AU163" s="635">
        <f t="shared" si="122"/>
        <v>284.60000000000002</v>
      </c>
      <c r="AV163" s="920">
        <f>IFERROR(AVERAGE(AV158:AV162),"-")</f>
        <v>284.60000000000002</v>
      </c>
      <c r="AW163" s="827">
        <f t="shared" si="122"/>
        <v>208.65946703377631</v>
      </c>
      <c r="AX163" s="827">
        <f t="shared" si="122"/>
        <v>208.65946703377631</v>
      </c>
      <c r="AY163" s="827">
        <f t="shared" si="122"/>
        <v>197.55315567792545</v>
      </c>
      <c r="AZ163" s="635">
        <f t="shared" si="122"/>
        <v>197.55315567792545</v>
      </c>
      <c r="BA163" s="635">
        <f t="shared" ref="BA163:BF163" si="123">IFERROR(AVERAGE(BA158:BA162),"-")</f>
        <v>197.55315567792545</v>
      </c>
      <c r="BB163" s="635">
        <f t="shared" si="123"/>
        <v>197.55315567792545</v>
      </c>
      <c r="BC163" s="635">
        <f t="shared" si="123"/>
        <v>206.91486675844408</v>
      </c>
      <c r="BD163" s="635">
        <f t="shared" si="123"/>
        <v>221.75</v>
      </c>
      <c r="BE163" s="635">
        <f t="shared" si="123"/>
        <v>250.7</v>
      </c>
      <c r="BF163" s="635">
        <f t="shared" si="123"/>
        <v>250.7</v>
      </c>
      <c r="BG163" s="635">
        <f t="shared" ref="BG163:BL163" si="124">IFERROR(AVERAGE(BG158:BG162),"-")</f>
        <v>250.7</v>
      </c>
      <c r="BH163" s="635">
        <f t="shared" si="124"/>
        <v>250.7</v>
      </c>
      <c r="BI163" s="635">
        <f t="shared" si="124"/>
        <v>250.7</v>
      </c>
      <c r="BJ163" s="635">
        <f t="shared" si="124"/>
        <v>250.7</v>
      </c>
      <c r="BK163" s="635">
        <f t="shared" si="124"/>
        <v>250.95</v>
      </c>
      <c r="BL163" s="635">
        <f t="shared" si="124"/>
        <v>250.95</v>
      </c>
      <c r="BM163" s="635">
        <f>IFERROR(AVERAGE(BM158:BM162),"-")</f>
        <v>250.95</v>
      </c>
      <c r="BN163" s="635">
        <f>IFERROR(AVERAGE(BN158:BN162),"-")</f>
        <v>166</v>
      </c>
      <c r="BO163" s="635">
        <f>IFERROR(AVERAGE(BO158:BO162),"-")</f>
        <v>166</v>
      </c>
      <c r="BP163" s="635">
        <f>IFERROR(AVERAGE(BP158:BP162),"-")</f>
        <v>166</v>
      </c>
      <c r="BQ163" s="635">
        <f>IFERROR(AVERAGE(BQ158:BQ162),"-")</f>
        <v>162.5</v>
      </c>
      <c r="BR163"/>
      <c r="BS163"/>
      <c r="BT163"/>
      <c r="BU163"/>
    </row>
    <row r="164" spans="1:115" x14ac:dyDescent="0.25">
      <c r="X164" s="340"/>
      <c r="Y164" s="340"/>
      <c r="Z164" s="340"/>
      <c r="AA164" s="340"/>
      <c r="AB164" s="340"/>
      <c r="AC164" s="340"/>
      <c r="AD164" s="340"/>
      <c r="AE164" s="340"/>
      <c r="AF164" s="340"/>
      <c r="AG164" s="340"/>
      <c r="AH164" s="340"/>
      <c r="AI164" s="340"/>
      <c r="AJ164" s="340"/>
      <c r="AK164" s="340"/>
      <c r="AL164" s="340"/>
      <c r="AM164" s="340"/>
      <c r="AN164" s="340"/>
      <c r="AO164" s="340"/>
      <c r="AP164" s="340"/>
      <c r="AQ164" s="340"/>
      <c r="AR164" s="340"/>
      <c r="AS164" s="340"/>
      <c r="AT164" s="801"/>
      <c r="AU164" s="801"/>
      <c r="AV164" s="922"/>
      <c r="AW164" s="801"/>
      <c r="AX164" s="801"/>
      <c r="AY164" s="801"/>
      <c r="AZ164" s="801"/>
      <c r="BA164" s="801"/>
      <c r="BB164" s="801"/>
      <c r="BC164" s="801"/>
      <c r="BD164" s="801"/>
      <c r="BE164" s="801"/>
      <c r="BF164" s="801"/>
      <c r="BG164" s="801"/>
      <c r="BH164" s="801"/>
      <c r="BI164" s="801"/>
      <c r="BJ164" s="801"/>
      <c r="BK164" s="801"/>
      <c r="BL164" s="801"/>
      <c r="BM164" s="801"/>
      <c r="BN164" s="801"/>
      <c r="BO164" s="801"/>
      <c r="BP164" s="801"/>
      <c r="BQ164" s="801"/>
      <c r="BR164"/>
      <c r="BS164"/>
      <c r="BT164"/>
      <c r="BU164"/>
    </row>
    <row r="165" spans="1:115" x14ac:dyDescent="0.25">
      <c r="B165" s="113" t="s">
        <v>805</v>
      </c>
      <c r="C165" s="263">
        <f t="shared" ref="C165:AH165" si="125">+C$173</f>
        <v>42522</v>
      </c>
      <c r="D165" s="263">
        <f t="shared" si="125"/>
        <v>42552</v>
      </c>
      <c r="E165" s="263">
        <f t="shared" si="125"/>
        <v>42583</v>
      </c>
      <c r="F165" s="263">
        <f t="shared" si="125"/>
        <v>42614</v>
      </c>
      <c r="G165" s="263">
        <f t="shared" si="125"/>
        <v>42644</v>
      </c>
      <c r="H165" s="263">
        <f t="shared" si="125"/>
        <v>42675</v>
      </c>
      <c r="I165" s="263">
        <f t="shared" si="125"/>
        <v>42705</v>
      </c>
      <c r="J165" s="263">
        <f t="shared" si="125"/>
        <v>42736</v>
      </c>
      <c r="K165" s="263">
        <f t="shared" si="125"/>
        <v>42767</v>
      </c>
      <c r="L165" s="263">
        <f t="shared" si="125"/>
        <v>42795</v>
      </c>
      <c r="M165" s="263">
        <f t="shared" si="125"/>
        <v>42826</v>
      </c>
      <c r="N165" s="263">
        <f t="shared" si="125"/>
        <v>42856</v>
      </c>
      <c r="O165" s="263">
        <f t="shared" si="125"/>
        <v>42887</v>
      </c>
      <c r="P165" s="263">
        <f t="shared" si="125"/>
        <v>42917</v>
      </c>
      <c r="Q165" s="263">
        <f t="shared" si="125"/>
        <v>42948</v>
      </c>
      <c r="R165" s="263">
        <f t="shared" si="125"/>
        <v>42979</v>
      </c>
      <c r="S165" s="263">
        <f t="shared" si="125"/>
        <v>43009</v>
      </c>
      <c r="T165" s="263">
        <f t="shared" si="125"/>
        <v>43040</v>
      </c>
      <c r="U165" s="263">
        <f t="shared" si="125"/>
        <v>43070</v>
      </c>
      <c r="V165" s="263">
        <f t="shared" si="125"/>
        <v>43101</v>
      </c>
      <c r="W165" s="263">
        <f t="shared" si="125"/>
        <v>43132</v>
      </c>
      <c r="X165" s="263">
        <f t="shared" si="125"/>
        <v>43160</v>
      </c>
      <c r="Y165" s="263">
        <f t="shared" si="125"/>
        <v>43191</v>
      </c>
      <c r="Z165" s="263">
        <f t="shared" si="125"/>
        <v>43221</v>
      </c>
      <c r="AA165" s="263">
        <f t="shared" si="125"/>
        <v>43252</v>
      </c>
      <c r="AB165" s="263">
        <f t="shared" si="125"/>
        <v>43283</v>
      </c>
      <c r="AC165" s="263">
        <f t="shared" si="125"/>
        <v>43314</v>
      </c>
      <c r="AD165" s="263">
        <f t="shared" si="125"/>
        <v>43345</v>
      </c>
      <c r="AE165" s="263">
        <f t="shared" si="125"/>
        <v>43376</v>
      </c>
      <c r="AF165" s="263">
        <f t="shared" si="125"/>
        <v>43407</v>
      </c>
      <c r="AG165" s="263">
        <f t="shared" si="125"/>
        <v>43437</v>
      </c>
      <c r="AH165" s="263">
        <f t="shared" si="125"/>
        <v>43468</v>
      </c>
      <c r="AI165" s="263">
        <f t="shared" ref="AI165:BQ165" si="126">+AI$173</f>
        <v>43499</v>
      </c>
      <c r="AJ165" s="263">
        <f t="shared" si="126"/>
        <v>43527</v>
      </c>
      <c r="AK165" s="263">
        <f t="shared" si="126"/>
        <v>43558</v>
      </c>
      <c r="AL165" s="263">
        <f t="shared" si="126"/>
        <v>43587</v>
      </c>
      <c r="AM165" s="263">
        <f t="shared" si="126"/>
        <v>43618</v>
      </c>
      <c r="AN165" s="263">
        <f t="shared" si="126"/>
        <v>43647</v>
      </c>
      <c r="AO165" s="263">
        <f t="shared" si="126"/>
        <v>43678</v>
      </c>
      <c r="AP165" s="263">
        <f t="shared" si="126"/>
        <v>43709</v>
      </c>
      <c r="AQ165" s="263">
        <f t="shared" si="126"/>
        <v>43739</v>
      </c>
      <c r="AR165" s="263">
        <f t="shared" si="126"/>
        <v>43770</v>
      </c>
      <c r="AS165" s="263">
        <f t="shared" si="126"/>
        <v>43800</v>
      </c>
      <c r="AT165" s="263">
        <f t="shared" si="126"/>
        <v>43831</v>
      </c>
      <c r="AU165" s="263">
        <f t="shared" si="126"/>
        <v>43862</v>
      </c>
      <c r="AV165" s="914">
        <f t="shared" si="126"/>
        <v>43891</v>
      </c>
      <c r="AW165" s="263">
        <f t="shared" si="126"/>
        <v>43922</v>
      </c>
      <c r="AX165" s="263">
        <f t="shared" si="126"/>
        <v>43952</v>
      </c>
      <c r="AY165" s="263">
        <f t="shared" si="126"/>
        <v>43983</v>
      </c>
      <c r="AZ165" s="263">
        <f t="shared" si="126"/>
        <v>44013</v>
      </c>
      <c r="BA165" s="263">
        <f t="shared" si="126"/>
        <v>44044</v>
      </c>
      <c r="BB165" s="263">
        <f t="shared" si="126"/>
        <v>44075</v>
      </c>
      <c r="BC165" s="263">
        <f t="shared" si="126"/>
        <v>44105</v>
      </c>
      <c r="BD165" s="263">
        <f t="shared" si="126"/>
        <v>44136</v>
      </c>
      <c r="BE165" s="263">
        <f t="shared" si="126"/>
        <v>44166</v>
      </c>
      <c r="BF165" s="263">
        <f t="shared" si="126"/>
        <v>44197</v>
      </c>
      <c r="BG165" s="263">
        <f t="shared" si="126"/>
        <v>44228</v>
      </c>
      <c r="BH165" s="263">
        <f t="shared" si="126"/>
        <v>44256</v>
      </c>
      <c r="BI165" s="263">
        <f t="shared" si="126"/>
        <v>44287</v>
      </c>
      <c r="BJ165" s="263">
        <f t="shared" si="126"/>
        <v>44317</v>
      </c>
      <c r="BK165" s="263">
        <f t="shared" si="126"/>
        <v>44348</v>
      </c>
      <c r="BL165" s="263">
        <f t="shared" si="126"/>
        <v>44378</v>
      </c>
      <c r="BM165" s="263">
        <f t="shared" si="126"/>
        <v>44409</v>
      </c>
      <c r="BN165" s="263">
        <f t="shared" si="126"/>
        <v>44440</v>
      </c>
      <c r="BO165" s="263">
        <f t="shared" si="126"/>
        <v>44470</v>
      </c>
      <c r="BP165" s="263">
        <f t="shared" si="126"/>
        <v>44501</v>
      </c>
      <c r="BQ165" s="263">
        <f t="shared" si="126"/>
        <v>44531</v>
      </c>
      <c r="BR165"/>
      <c r="BS165"/>
      <c r="BT165"/>
      <c r="BU165"/>
    </row>
    <row r="166" spans="1:115" customFormat="1" x14ac:dyDescent="0.25">
      <c r="A166" s="262"/>
      <c r="B166" s="117" t="s">
        <v>542</v>
      </c>
      <c r="C166" s="264" t="s">
        <v>160</v>
      </c>
      <c r="D166" s="264" t="s">
        <v>160</v>
      </c>
      <c r="E166" s="264" t="s">
        <v>160</v>
      </c>
      <c r="F166" s="265" t="s">
        <v>160</v>
      </c>
      <c r="G166" s="265" t="s">
        <v>160</v>
      </c>
      <c r="H166" s="265" t="s">
        <v>160</v>
      </c>
      <c r="I166" s="265" t="s">
        <v>160</v>
      </c>
      <c r="J166" s="265" t="s">
        <v>160</v>
      </c>
      <c r="K166" s="265" t="s">
        <v>160</v>
      </c>
      <c r="L166" s="586" t="s">
        <v>160</v>
      </c>
      <c r="M166" s="586" t="s">
        <v>160</v>
      </c>
      <c r="N166" s="586" t="s">
        <v>160</v>
      </c>
      <c r="O166" s="586" t="s">
        <v>160</v>
      </c>
      <c r="P166" s="586" t="s">
        <v>160</v>
      </c>
      <c r="Q166" s="586" t="s">
        <v>160</v>
      </c>
      <c r="R166" s="586" t="s">
        <v>160</v>
      </c>
      <c r="S166" s="586" t="s">
        <v>160</v>
      </c>
      <c r="T166" s="586" t="s">
        <v>160</v>
      </c>
      <c r="U166" s="585" t="s">
        <v>160</v>
      </c>
      <c r="V166" s="585" t="s">
        <v>160</v>
      </c>
      <c r="W166" s="585" t="s">
        <v>160</v>
      </c>
      <c r="X166" s="585" t="s">
        <v>160</v>
      </c>
      <c r="Y166" s="585" t="s">
        <v>160</v>
      </c>
      <c r="Z166" s="585" t="s">
        <v>160</v>
      </c>
      <c r="AA166" s="585" t="s">
        <v>160</v>
      </c>
      <c r="AB166" s="585" t="s">
        <v>160</v>
      </c>
      <c r="AC166" s="585" t="s">
        <v>160</v>
      </c>
      <c r="AD166" s="585" t="s">
        <v>160</v>
      </c>
      <c r="AE166" s="585" t="s">
        <v>160</v>
      </c>
      <c r="AF166" s="585" t="s">
        <v>160</v>
      </c>
      <c r="AG166" s="585" t="s">
        <v>160</v>
      </c>
      <c r="AH166" s="585" t="s">
        <v>160</v>
      </c>
      <c r="AI166" s="585" t="s">
        <v>160</v>
      </c>
      <c r="AJ166" s="585" t="s">
        <v>160</v>
      </c>
      <c r="AK166" s="585" t="s">
        <v>160</v>
      </c>
      <c r="AL166" s="585" t="s">
        <v>160</v>
      </c>
      <c r="AM166" s="585" t="s">
        <v>160</v>
      </c>
      <c r="AN166" s="585" t="s">
        <v>160</v>
      </c>
      <c r="AO166" s="585" t="s">
        <v>160</v>
      </c>
      <c r="AP166" s="585" t="s">
        <v>160</v>
      </c>
      <c r="AQ166" s="585" t="s">
        <v>160</v>
      </c>
      <c r="AR166" s="585" t="s">
        <v>160</v>
      </c>
      <c r="AS166" s="585">
        <v>196</v>
      </c>
      <c r="AT166" s="585">
        <v>196</v>
      </c>
      <c r="AU166" s="585">
        <v>196</v>
      </c>
      <c r="AV166" s="916">
        <v>196</v>
      </c>
      <c r="AW166" s="826" t="s">
        <v>160</v>
      </c>
      <c r="AX166" s="826" t="s">
        <v>160</v>
      </c>
      <c r="AY166" s="341">
        <v>112</v>
      </c>
      <c r="AZ166" s="585">
        <v>112</v>
      </c>
      <c r="BA166" s="585">
        <v>112</v>
      </c>
      <c r="BB166" s="585">
        <v>112</v>
      </c>
      <c r="BC166" s="585">
        <v>112</v>
      </c>
      <c r="BD166" s="585">
        <v>112</v>
      </c>
      <c r="BE166" s="342">
        <v>168</v>
      </c>
      <c r="BF166" s="585">
        <v>168</v>
      </c>
      <c r="BG166" s="585">
        <v>168</v>
      </c>
      <c r="BH166" s="585">
        <v>168</v>
      </c>
      <c r="BI166" s="585">
        <v>168</v>
      </c>
      <c r="BJ166" s="585">
        <v>168</v>
      </c>
      <c r="BK166" s="585">
        <v>169</v>
      </c>
      <c r="BL166" s="585">
        <v>169</v>
      </c>
      <c r="BM166" s="585">
        <v>169</v>
      </c>
      <c r="BN166" s="585" t="s">
        <v>160</v>
      </c>
      <c r="BO166" s="585" t="s">
        <v>160</v>
      </c>
      <c r="BP166" s="585" t="s">
        <v>160</v>
      </c>
      <c r="BQ166" s="585">
        <v>101</v>
      </c>
      <c r="DG166" s="1150"/>
      <c r="DH166" s="1150"/>
      <c r="DI166" s="1150"/>
      <c r="DJ166" s="1150"/>
      <c r="DK166" s="1150"/>
    </row>
    <row r="167" spans="1:115" customFormat="1" x14ac:dyDescent="0.25">
      <c r="A167" s="262"/>
      <c r="B167" s="117" t="s">
        <v>545</v>
      </c>
      <c r="C167" s="264" t="s">
        <v>160</v>
      </c>
      <c r="D167" s="264" t="s">
        <v>160</v>
      </c>
      <c r="E167" s="264" t="s">
        <v>160</v>
      </c>
      <c r="F167" s="264" t="s">
        <v>160</v>
      </c>
      <c r="G167" s="264" t="s">
        <v>160</v>
      </c>
      <c r="H167" s="265" t="s">
        <v>160</v>
      </c>
      <c r="I167" s="265" t="s">
        <v>160</v>
      </c>
      <c r="J167" s="265" t="s">
        <v>160</v>
      </c>
      <c r="K167" s="265" t="s">
        <v>160</v>
      </c>
      <c r="L167" s="586" t="s">
        <v>160</v>
      </c>
      <c r="M167" s="586" t="s">
        <v>160</v>
      </c>
      <c r="N167" s="586" t="s">
        <v>160</v>
      </c>
      <c r="O167" s="586" t="s">
        <v>160</v>
      </c>
      <c r="P167" s="586" t="s">
        <v>160</v>
      </c>
      <c r="Q167" s="585" t="s">
        <v>160</v>
      </c>
      <c r="R167" s="585" t="s">
        <v>160</v>
      </c>
      <c r="S167" s="585" t="s">
        <v>160</v>
      </c>
      <c r="T167" s="585" t="s">
        <v>160</v>
      </c>
      <c r="U167" s="585" t="s">
        <v>160</v>
      </c>
      <c r="V167" s="585" t="s">
        <v>160</v>
      </c>
      <c r="W167" s="585" t="s">
        <v>160</v>
      </c>
      <c r="X167" s="585" t="s">
        <v>160</v>
      </c>
      <c r="Y167" s="585" t="s">
        <v>160</v>
      </c>
      <c r="Z167" s="585" t="s">
        <v>160</v>
      </c>
      <c r="AA167" s="585" t="s">
        <v>160</v>
      </c>
      <c r="AB167" s="585" t="s">
        <v>160</v>
      </c>
      <c r="AC167" s="585" t="s">
        <v>160</v>
      </c>
      <c r="AD167" s="585" t="s">
        <v>160</v>
      </c>
      <c r="AE167" s="585" t="s">
        <v>160</v>
      </c>
      <c r="AF167" s="585" t="s">
        <v>160</v>
      </c>
      <c r="AG167" s="585" t="s">
        <v>160</v>
      </c>
      <c r="AH167" s="585" t="s">
        <v>160</v>
      </c>
      <c r="AI167" s="585" t="s">
        <v>160</v>
      </c>
      <c r="AJ167" s="585">
        <v>146</v>
      </c>
      <c r="AK167" s="585">
        <v>146</v>
      </c>
      <c r="AL167" s="679">
        <v>155</v>
      </c>
      <c r="AM167" s="585">
        <v>155</v>
      </c>
      <c r="AN167" s="585">
        <v>155</v>
      </c>
      <c r="AO167" s="585">
        <v>155</v>
      </c>
      <c r="AP167" s="585">
        <v>155</v>
      </c>
      <c r="AQ167" s="585">
        <v>155</v>
      </c>
      <c r="AR167" s="585">
        <v>155</v>
      </c>
      <c r="AS167" s="342">
        <v>168</v>
      </c>
      <c r="AT167" s="585">
        <v>168</v>
      </c>
      <c r="AU167" s="585">
        <v>168</v>
      </c>
      <c r="AV167" s="916">
        <v>168</v>
      </c>
      <c r="AW167" s="826" t="s">
        <v>160</v>
      </c>
      <c r="AX167" s="826" t="s">
        <v>160</v>
      </c>
      <c r="AY167" s="826" t="str">
        <f t="shared" ref="AY167:BL167" si="127">+AX167</f>
        <v>-</v>
      </c>
      <c r="AZ167" s="826" t="str">
        <f t="shared" si="127"/>
        <v>-</v>
      </c>
      <c r="BA167" s="826" t="str">
        <f t="shared" si="127"/>
        <v>-</v>
      </c>
      <c r="BB167" s="826" t="str">
        <f t="shared" si="127"/>
        <v>-</v>
      </c>
      <c r="BC167" s="826" t="str">
        <f t="shared" si="127"/>
        <v>-</v>
      </c>
      <c r="BD167" s="826" t="str">
        <f t="shared" si="127"/>
        <v>-</v>
      </c>
      <c r="BE167" s="826" t="str">
        <f t="shared" si="127"/>
        <v>-</v>
      </c>
      <c r="BF167" s="585" t="str">
        <f t="shared" si="127"/>
        <v>-</v>
      </c>
      <c r="BG167" s="585" t="str">
        <f t="shared" si="127"/>
        <v>-</v>
      </c>
      <c r="BH167" s="585" t="str">
        <f t="shared" si="127"/>
        <v>-</v>
      </c>
      <c r="BI167" s="585" t="str">
        <f t="shared" si="127"/>
        <v>-</v>
      </c>
      <c r="BJ167" s="585" t="str">
        <f t="shared" si="127"/>
        <v>-</v>
      </c>
      <c r="BK167" s="585" t="str">
        <f t="shared" si="127"/>
        <v>-</v>
      </c>
      <c r="BL167" s="585" t="str">
        <f t="shared" si="127"/>
        <v>-</v>
      </c>
      <c r="BM167" s="585" t="str">
        <f>+BL167</f>
        <v>-</v>
      </c>
      <c r="BN167" s="585">
        <v>83</v>
      </c>
      <c r="BO167" s="585">
        <v>83</v>
      </c>
      <c r="BP167" s="585">
        <v>83</v>
      </c>
      <c r="BQ167" s="585">
        <v>83</v>
      </c>
      <c r="DG167" s="1150"/>
      <c r="DH167" s="1150"/>
      <c r="DI167" s="1150"/>
      <c r="DJ167" s="1150"/>
      <c r="DK167" s="1150"/>
    </row>
    <row r="168" spans="1:115" customFormat="1" x14ac:dyDescent="0.25">
      <c r="A168" s="262"/>
      <c r="B168" s="117" t="s">
        <v>546</v>
      </c>
      <c r="C168" s="264" t="s">
        <v>160</v>
      </c>
      <c r="D168" s="264" t="s">
        <v>160</v>
      </c>
      <c r="E168" s="264" t="s">
        <v>160</v>
      </c>
      <c r="F168" s="264" t="s">
        <v>160</v>
      </c>
      <c r="G168" s="264" t="s">
        <v>160</v>
      </c>
      <c r="H168" s="265" t="s">
        <v>160</v>
      </c>
      <c r="I168" s="265" t="s">
        <v>160</v>
      </c>
      <c r="J168" s="265" t="s">
        <v>160</v>
      </c>
      <c r="K168" s="265" t="s">
        <v>160</v>
      </c>
      <c r="L168" s="586" t="s">
        <v>160</v>
      </c>
      <c r="M168" s="586" t="s">
        <v>160</v>
      </c>
      <c r="N168" s="586" t="s">
        <v>160</v>
      </c>
      <c r="O168" s="586" t="s">
        <v>160</v>
      </c>
      <c r="P168" s="586" t="s">
        <v>160</v>
      </c>
      <c r="Q168" s="586" t="s">
        <v>160</v>
      </c>
      <c r="R168" s="586" t="s">
        <v>160</v>
      </c>
      <c r="S168" s="586" t="s">
        <v>160</v>
      </c>
      <c r="T168" s="586" t="s">
        <v>160</v>
      </c>
      <c r="U168" s="586" t="s">
        <v>160</v>
      </c>
      <c r="V168" s="586" t="s">
        <v>160</v>
      </c>
      <c r="W168" s="586" t="s">
        <v>160</v>
      </c>
      <c r="X168" s="586" t="s">
        <v>160</v>
      </c>
      <c r="Y168" s="586" t="s">
        <v>160</v>
      </c>
      <c r="Z168" s="586" t="s">
        <v>160</v>
      </c>
      <c r="AA168" s="586" t="s">
        <v>160</v>
      </c>
      <c r="AB168" s="586" t="s">
        <v>160</v>
      </c>
      <c r="AC168" s="586" t="s">
        <v>160</v>
      </c>
      <c r="AD168" s="586" t="s">
        <v>160</v>
      </c>
      <c r="AE168" s="586" t="s">
        <v>160</v>
      </c>
      <c r="AF168" s="585" t="s">
        <v>160</v>
      </c>
      <c r="AG168" s="585" t="s">
        <v>160</v>
      </c>
      <c r="AH168" s="585" t="s">
        <v>160</v>
      </c>
      <c r="AI168" s="585" t="s">
        <v>160</v>
      </c>
      <c r="AJ168" s="585" t="s">
        <v>160</v>
      </c>
      <c r="AK168" s="585" t="s">
        <v>160</v>
      </c>
      <c r="AL168" s="585">
        <v>163</v>
      </c>
      <c r="AM168" s="585">
        <v>163</v>
      </c>
      <c r="AN168" s="585">
        <v>163</v>
      </c>
      <c r="AO168" s="585">
        <v>163</v>
      </c>
      <c r="AP168" s="585">
        <v>163</v>
      </c>
      <c r="AQ168" s="585">
        <v>163</v>
      </c>
      <c r="AR168" s="585">
        <v>163</v>
      </c>
      <c r="AS168" s="585">
        <v>163</v>
      </c>
      <c r="AT168" s="585">
        <v>163</v>
      </c>
      <c r="AU168" s="585">
        <v>163</v>
      </c>
      <c r="AV168" s="916">
        <v>163</v>
      </c>
      <c r="AW168" s="341">
        <v>98.526928375997514</v>
      </c>
      <c r="AX168" s="585">
        <v>98.526928375997514</v>
      </c>
      <c r="AY168" s="585">
        <v>98.526928375997514</v>
      </c>
      <c r="AZ168" s="585">
        <v>98.526928375997514</v>
      </c>
      <c r="BA168" s="585">
        <v>98.526928375997514</v>
      </c>
      <c r="BB168" s="585">
        <v>98.526928375997514</v>
      </c>
      <c r="BC168" s="585">
        <v>98.526928375997514</v>
      </c>
      <c r="BD168" s="342">
        <v>159</v>
      </c>
      <c r="BE168" s="585">
        <v>159</v>
      </c>
      <c r="BF168" s="585">
        <v>159</v>
      </c>
      <c r="BG168" s="585">
        <v>159</v>
      </c>
      <c r="BH168" s="585">
        <v>159</v>
      </c>
      <c r="BI168" s="585">
        <v>159</v>
      </c>
      <c r="BJ168" s="585">
        <v>159</v>
      </c>
      <c r="BK168" s="585">
        <v>159</v>
      </c>
      <c r="BL168" s="585">
        <v>159</v>
      </c>
      <c r="BM168" s="585">
        <v>159</v>
      </c>
      <c r="BN168" s="585" t="s">
        <v>160</v>
      </c>
      <c r="BO168" s="585" t="s">
        <v>160</v>
      </c>
      <c r="BP168" s="585" t="s">
        <v>160</v>
      </c>
      <c r="BQ168" s="585">
        <v>101</v>
      </c>
      <c r="DG168" s="1150"/>
      <c r="DH168" s="1150"/>
      <c r="DI168" s="1150"/>
      <c r="DJ168" s="1150"/>
      <c r="DK168" s="1150"/>
    </row>
    <row r="169" spans="1:115" x14ac:dyDescent="0.25">
      <c r="B169" s="117" t="s">
        <v>574</v>
      </c>
      <c r="C169" s="264" t="s">
        <v>160</v>
      </c>
      <c r="D169" s="264" t="s">
        <v>160</v>
      </c>
      <c r="E169" s="264" t="s">
        <v>160</v>
      </c>
      <c r="F169" s="264" t="s">
        <v>160</v>
      </c>
      <c r="G169" s="264" t="s">
        <v>160</v>
      </c>
      <c r="H169" s="264" t="s">
        <v>160</v>
      </c>
      <c r="I169" s="264" t="s">
        <v>160</v>
      </c>
      <c r="J169" s="264" t="s">
        <v>160</v>
      </c>
      <c r="K169" s="264" t="s">
        <v>160</v>
      </c>
      <c r="L169" s="352" t="s">
        <v>160</v>
      </c>
      <c r="M169" s="352" t="s">
        <v>160</v>
      </c>
      <c r="N169" s="352" t="s">
        <v>160</v>
      </c>
      <c r="O169" s="586" t="s">
        <v>160</v>
      </c>
      <c r="P169" s="586" t="s">
        <v>160</v>
      </c>
      <c r="Q169" s="586" t="s">
        <v>160</v>
      </c>
      <c r="R169" s="586" t="s">
        <v>160</v>
      </c>
      <c r="S169" s="586" t="s">
        <v>160</v>
      </c>
      <c r="T169" s="586" t="s">
        <v>160</v>
      </c>
      <c r="U169" s="586" t="s">
        <v>160</v>
      </c>
      <c r="V169" s="586" t="s">
        <v>160</v>
      </c>
      <c r="W169" s="585" t="s">
        <v>160</v>
      </c>
      <c r="X169" s="586" t="s">
        <v>160</v>
      </c>
      <c r="Y169" s="586" t="s">
        <v>160</v>
      </c>
      <c r="Z169" s="586" t="s">
        <v>160</v>
      </c>
      <c r="AA169" s="586" t="s">
        <v>160</v>
      </c>
      <c r="AB169" s="586" t="s">
        <v>160</v>
      </c>
      <c r="AC169" s="586" t="s">
        <v>160</v>
      </c>
      <c r="AD169" s="586" t="s">
        <v>160</v>
      </c>
      <c r="AE169" s="586" t="s">
        <v>160</v>
      </c>
      <c r="AF169" s="586" t="s">
        <v>160</v>
      </c>
      <c r="AG169" s="586" t="s">
        <v>160</v>
      </c>
      <c r="AH169" s="586" t="s">
        <v>160</v>
      </c>
      <c r="AI169" s="586" t="s">
        <v>160</v>
      </c>
      <c r="AJ169" s="586" t="s">
        <v>160</v>
      </c>
      <c r="AK169" s="586" t="s">
        <v>160</v>
      </c>
      <c r="AL169" s="586" t="s">
        <v>160</v>
      </c>
      <c r="AM169" s="586" t="s">
        <v>160</v>
      </c>
      <c r="AN169" s="586" t="s">
        <v>160</v>
      </c>
      <c r="AO169" s="586" t="s">
        <v>160</v>
      </c>
      <c r="AP169" s="586" t="s">
        <v>160</v>
      </c>
      <c r="AQ169" s="586">
        <v>182</v>
      </c>
      <c r="AR169" s="586">
        <v>182</v>
      </c>
      <c r="AS169" s="586">
        <v>182</v>
      </c>
      <c r="AT169" s="586">
        <v>182</v>
      </c>
      <c r="AU169" s="586">
        <v>182</v>
      </c>
      <c r="AV169" s="919">
        <v>182</v>
      </c>
      <c r="AW169" s="277" t="s">
        <v>160</v>
      </c>
      <c r="AX169" s="277" t="s">
        <v>160</v>
      </c>
      <c r="AY169" s="277" t="s">
        <v>160</v>
      </c>
      <c r="AZ169" s="277" t="s">
        <v>160</v>
      </c>
      <c r="BA169" s="277" t="s">
        <v>160</v>
      </c>
      <c r="BB169" s="277" t="s">
        <v>160</v>
      </c>
      <c r="BC169" s="585">
        <v>115</v>
      </c>
      <c r="BD169" s="585">
        <v>115</v>
      </c>
      <c r="BE169" s="585">
        <v>115</v>
      </c>
      <c r="BF169" s="585">
        <v>115</v>
      </c>
      <c r="BG169" s="585">
        <v>115</v>
      </c>
      <c r="BH169" s="585">
        <v>115</v>
      </c>
      <c r="BI169" s="585">
        <v>115</v>
      </c>
      <c r="BJ169" s="585">
        <v>115</v>
      </c>
      <c r="BK169" s="585">
        <v>115</v>
      </c>
      <c r="BL169" s="585">
        <v>115</v>
      </c>
      <c r="BM169" s="585">
        <v>115</v>
      </c>
      <c r="BN169" s="585" t="s">
        <v>160</v>
      </c>
      <c r="BO169" s="585" t="s">
        <v>160</v>
      </c>
      <c r="BP169" s="585" t="s">
        <v>160</v>
      </c>
      <c r="BQ169" s="585" t="s">
        <v>160</v>
      </c>
      <c r="BR169"/>
      <c r="BS169"/>
      <c r="BT169"/>
      <c r="BU169"/>
    </row>
    <row r="170" spans="1:115" x14ac:dyDescent="0.25">
      <c r="B170" s="117" t="s">
        <v>547</v>
      </c>
      <c r="C170" s="264" t="s">
        <v>160</v>
      </c>
      <c r="D170" s="264" t="s">
        <v>160</v>
      </c>
      <c r="E170" s="264" t="s">
        <v>160</v>
      </c>
      <c r="F170" s="264" t="s">
        <v>160</v>
      </c>
      <c r="G170" s="265" t="s">
        <v>160</v>
      </c>
      <c r="H170" s="265" t="s">
        <v>160</v>
      </c>
      <c r="I170" s="265" t="s">
        <v>160</v>
      </c>
      <c r="J170" s="265" t="s">
        <v>160</v>
      </c>
      <c r="K170" s="265" t="s">
        <v>160</v>
      </c>
      <c r="L170" s="586" t="s">
        <v>160</v>
      </c>
      <c r="M170" s="586" t="s">
        <v>160</v>
      </c>
      <c r="N170" s="586" t="s">
        <v>160</v>
      </c>
      <c r="O170" s="586" t="s">
        <v>160</v>
      </c>
      <c r="P170" s="586" t="s">
        <v>160</v>
      </c>
      <c r="Q170" s="585" t="s">
        <v>160</v>
      </c>
      <c r="R170" s="585" t="s">
        <v>160</v>
      </c>
      <c r="S170" s="585" t="s">
        <v>160</v>
      </c>
      <c r="T170" s="585" t="s">
        <v>160</v>
      </c>
      <c r="U170" s="585" t="s">
        <v>160</v>
      </c>
      <c r="V170" s="585" t="s">
        <v>160</v>
      </c>
      <c r="W170" s="585" t="s">
        <v>160</v>
      </c>
      <c r="X170" s="585" t="s">
        <v>160</v>
      </c>
      <c r="Y170" s="585" t="s">
        <v>160</v>
      </c>
      <c r="Z170" s="585" t="s">
        <v>160</v>
      </c>
      <c r="AA170" s="585" t="s">
        <v>160</v>
      </c>
      <c r="AB170" s="585" t="s">
        <v>160</v>
      </c>
      <c r="AC170" s="585" t="s">
        <v>160</v>
      </c>
      <c r="AD170" s="585" t="s">
        <v>160</v>
      </c>
      <c r="AE170" s="585" t="s">
        <v>160</v>
      </c>
      <c r="AF170" s="585" t="s">
        <v>160</v>
      </c>
      <c r="AG170" s="585" t="s">
        <v>160</v>
      </c>
      <c r="AH170" s="585" t="s">
        <v>160</v>
      </c>
      <c r="AI170" s="585" t="s">
        <v>160</v>
      </c>
      <c r="AJ170" s="585" t="s">
        <v>160</v>
      </c>
      <c r="AK170" s="585" t="s">
        <v>160</v>
      </c>
      <c r="AL170" s="585" t="s">
        <v>160</v>
      </c>
      <c r="AM170" s="585" t="s">
        <v>160</v>
      </c>
      <c r="AN170" s="585" t="s">
        <v>160</v>
      </c>
      <c r="AO170" s="585" t="s">
        <v>160</v>
      </c>
      <c r="AP170" s="585">
        <v>179</v>
      </c>
      <c r="AQ170" s="585">
        <v>179</v>
      </c>
      <c r="AR170" s="585">
        <v>179</v>
      </c>
      <c r="AS170" s="585">
        <v>179</v>
      </c>
      <c r="AT170" s="585">
        <v>179</v>
      </c>
      <c r="AU170" s="585">
        <v>179</v>
      </c>
      <c r="AV170" s="916">
        <v>179</v>
      </c>
      <c r="AW170" s="826" t="s">
        <v>160</v>
      </c>
      <c r="AX170" s="826" t="s">
        <v>160</v>
      </c>
      <c r="AY170" s="341">
        <v>94</v>
      </c>
      <c r="AZ170" s="585">
        <v>94</v>
      </c>
      <c r="BA170" s="585">
        <v>94</v>
      </c>
      <c r="BB170" s="585">
        <v>94</v>
      </c>
      <c r="BC170" s="585">
        <v>94</v>
      </c>
      <c r="BD170" s="585">
        <v>94</v>
      </c>
      <c r="BE170" s="342">
        <v>133.69999999999999</v>
      </c>
      <c r="BF170" s="585">
        <v>133.69999999999999</v>
      </c>
      <c r="BG170" s="585">
        <v>133.69999999999999</v>
      </c>
      <c r="BH170" s="585">
        <v>133.69999999999999</v>
      </c>
      <c r="BI170" s="585">
        <v>133.69999999999999</v>
      </c>
      <c r="BJ170" s="585">
        <v>133.69999999999999</v>
      </c>
      <c r="BK170" s="585">
        <v>133.69999999999999</v>
      </c>
      <c r="BL170" s="585">
        <v>133.69999999999999</v>
      </c>
      <c r="BM170" s="585">
        <v>133.69999999999999</v>
      </c>
      <c r="BN170" s="585" t="s">
        <v>160</v>
      </c>
      <c r="BO170" s="585" t="s">
        <v>160</v>
      </c>
      <c r="BP170" s="585" t="s">
        <v>160</v>
      </c>
      <c r="BQ170" s="585">
        <v>101</v>
      </c>
      <c r="BR170"/>
      <c r="BS170"/>
      <c r="BT170"/>
      <c r="BU170"/>
    </row>
    <row r="171" spans="1:115" x14ac:dyDescent="0.25">
      <c r="A171"/>
      <c r="B171" s="278" t="s">
        <v>557</v>
      </c>
      <c r="C171" s="327" t="str">
        <f t="shared" ref="C171:AF171" si="128">IFERROR(AVERAGE(C166:C170),"-")</f>
        <v>-</v>
      </c>
      <c r="D171" s="327" t="str">
        <f t="shared" si="128"/>
        <v>-</v>
      </c>
      <c r="E171" s="327" t="str">
        <f t="shared" si="128"/>
        <v>-</v>
      </c>
      <c r="F171" s="327" t="str">
        <f t="shared" si="128"/>
        <v>-</v>
      </c>
      <c r="G171" s="327" t="str">
        <f t="shared" si="128"/>
        <v>-</v>
      </c>
      <c r="H171" s="327" t="str">
        <f t="shared" si="128"/>
        <v>-</v>
      </c>
      <c r="I171" s="327" t="str">
        <f t="shared" si="128"/>
        <v>-</v>
      </c>
      <c r="J171" s="338" t="str">
        <f t="shared" si="128"/>
        <v>-</v>
      </c>
      <c r="K171" s="338" t="str">
        <f t="shared" si="128"/>
        <v>-</v>
      </c>
      <c r="L171" s="338" t="str">
        <f t="shared" si="128"/>
        <v>-</v>
      </c>
      <c r="M171" s="338" t="str">
        <f t="shared" si="128"/>
        <v>-</v>
      </c>
      <c r="N171" s="338" t="str">
        <f t="shared" si="128"/>
        <v>-</v>
      </c>
      <c r="O171" s="338" t="str">
        <f t="shared" si="128"/>
        <v>-</v>
      </c>
      <c r="P171" s="338" t="str">
        <f t="shared" si="128"/>
        <v>-</v>
      </c>
      <c r="Q171" s="338" t="str">
        <f t="shared" si="128"/>
        <v>-</v>
      </c>
      <c r="R171" s="348" t="str">
        <f t="shared" si="128"/>
        <v>-</v>
      </c>
      <c r="S171" s="348" t="str">
        <f t="shared" si="128"/>
        <v>-</v>
      </c>
      <c r="T171" s="348" t="str">
        <f t="shared" si="128"/>
        <v>-</v>
      </c>
      <c r="U171" s="348" t="str">
        <f t="shared" si="128"/>
        <v>-</v>
      </c>
      <c r="V171" s="348" t="str">
        <f t="shared" si="128"/>
        <v>-</v>
      </c>
      <c r="W171" s="348" t="str">
        <f t="shared" si="128"/>
        <v>-</v>
      </c>
      <c r="X171" s="348" t="str">
        <f t="shared" si="128"/>
        <v>-</v>
      </c>
      <c r="Y171" s="348" t="str">
        <f t="shared" si="128"/>
        <v>-</v>
      </c>
      <c r="Z171" s="348" t="str">
        <f t="shared" si="128"/>
        <v>-</v>
      </c>
      <c r="AA171" s="348" t="str">
        <f t="shared" si="128"/>
        <v>-</v>
      </c>
      <c r="AB171" s="348" t="str">
        <f t="shared" si="128"/>
        <v>-</v>
      </c>
      <c r="AC171" s="348" t="str">
        <f t="shared" si="128"/>
        <v>-</v>
      </c>
      <c r="AD171" s="348" t="str">
        <f t="shared" si="128"/>
        <v>-</v>
      </c>
      <c r="AE171" s="348" t="str">
        <f t="shared" si="128"/>
        <v>-</v>
      </c>
      <c r="AF171" s="348" t="str">
        <f t="shared" si="128"/>
        <v>-</v>
      </c>
      <c r="AG171" s="348" t="str">
        <f t="shared" ref="AG171:AL171" si="129">IFERROR(AVERAGE(AG166:AG170),"-")</f>
        <v>-</v>
      </c>
      <c r="AH171" s="348" t="str">
        <f t="shared" si="129"/>
        <v>-</v>
      </c>
      <c r="AI171" s="348" t="str">
        <f t="shared" si="129"/>
        <v>-</v>
      </c>
      <c r="AJ171" s="348">
        <f t="shared" si="129"/>
        <v>146</v>
      </c>
      <c r="AK171" s="348">
        <f t="shared" si="129"/>
        <v>146</v>
      </c>
      <c r="AL171" s="348">
        <f t="shared" si="129"/>
        <v>159</v>
      </c>
      <c r="AM171" s="348">
        <f t="shared" ref="AM171:AR171" si="130">IFERROR(AVERAGE(AM166:AM170),"-")</f>
        <v>159</v>
      </c>
      <c r="AN171" s="348">
        <f t="shared" si="130"/>
        <v>159</v>
      </c>
      <c r="AO171" s="348">
        <f t="shared" si="130"/>
        <v>159</v>
      </c>
      <c r="AP171" s="348">
        <f t="shared" si="130"/>
        <v>165.66666666666666</v>
      </c>
      <c r="AQ171" s="348">
        <f t="shared" si="130"/>
        <v>169.75</v>
      </c>
      <c r="AR171" s="348">
        <f t="shared" si="130"/>
        <v>169.75</v>
      </c>
      <c r="AS171" s="348">
        <f t="shared" ref="AS171:AZ171" si="131">IFERROR(AVERAGE(AS166:AS170),"-")</f>
        <v>177.6</v>
      </c>
      <c r="AT171" s="800">
        <f t="shared" si="131"/>
        <v>177.6</v>
      </c>
      <c r="AU171" s="800">
        <f t="shared" si="131"/>
        <v>177.6</v>
      </c>
      <c r="AV171" s="917">
        <f>IFERROR(AVERAGE(AV166:AV170),"-")</f>
        <v>177.6</v>
      </c>
      <c r="AW171" s="635">
        <f t="shared" si="131"/>
        <v>98.526928375997514</v>
      </c>
      <c r="AX171" s="635">
        <f t="shared" si="131"/>
        <v>98.526928375997514</v>
      </c>
      <c r="AY171" s="635">
        <f t="shared" si="131"/>
        <v>101.5089761253325</v>
      </c>
      <c r="AZ171" s="635">
        <f t="shared" si="131"/>
        <v>101.5089761253325</v>
      </c>
      <c r="BA171" s="635">
        <f t="shared" ref="BA171:BF171" si="132">IFERROR(AVERAGE(BA166:BA170),"-")</f>
        <v>101.5089761253325</v>
      </c>
      <c r="BB171" s="635">
        <f t="shared" si="132"/>
        <v>101.5089761253325</v>
      </c>
      <c r="BC171" s="635">
        <f t="shared" si="132"/>
        <v>104.88173209399937</v>
      </c>
      <c r="BD171" s="635">
        <f t="shared" si="132"/>
        <v>120</v>
      </c>
      <c r="BE171" s="635">
        <f t="shared" si="132"/>
        <v>143.92500000000001</v>
      </c>
      <c r="BF171" s="635">
        <f t="shared" si="132"/>
        <v>143.92500000000001</v>
      </c>
      <c r="BG171" s="635">
        <f t="shared" ref="BG171:BL171" si="133">IFERROR(AVERAGE(BG166:BG170),"-")</f>
        <v>143.92500000000001</v>
      </c>
      <c r="BH171" s="635">
        <f t="shared" si="133"/>
        <v>143.92500000000001</v>
      </c>
      <c r="BI171" s="635">
        <f t="shared" si="133"/>
        <v>143.92500000000001</v>
      </c>
      <c r="BJ171" s="635">
        <f t="shared" si="133"/>
        <v>143.92500000000001</v>
      </c>
      <c r="BK171" s="635">
        <f t="shared" si="133"/>
        <v>144.17500000000001</v>
      </c>
      <c r="BL171" s="635">
        <f t="shared" si="133"/>
        <v>144.17500000000001</v>
      </c>
      <c r="BM171" s="635">
        <f>IFERROR(AVERAGE(BM166:BM170),"-")</f>
        <v>144.17500000000001</v>
      </c>
      <c r="BN171" s="635">
        <f>IFERROR(AVERAGE(BN166:BN170),"-")</f>
        <v>83</v>
      </c>
      <c r="BO171" s="635">
        <f>IFERROR(AVERAGE(BO166:BO170),"-")</f>
        <v>83</v>
      </c>
      <c r="BP171" s="635">
        <f>IFERROR(AVERAGE(BP166:BP170),"-")</f>
        <v>83</v>
      </c>
      <c r="BQ171" s="635">
        <f>IFERROR(AVERAGE(BQ166:BQ170),"-")</f>
        <v>96.5</v>
      </c>
      <c r="BR171"/>
      <c r="BS171"/>
      <c r="BT171"/>
      <c r="BU171"/>
    </row>
    <row r="172" spans="1:115" x14ac:dyDescent="0.25">
      <c r="Q172" s="339"/>
      <c r="R172" s="339"/>
      <c r="S172" s="339"/>
      <c r="T172" s="339"/>
      <c r="U172" s="339"/>
      <c r="V172" s="339"/>
      <c r="W172" s="339"/>
      <c r="AT172" s="761"/>
      <c r="BR172"/>
      <c r="BS172"/>
      <c r="BT172"/>
      <c r="BU172"/>
    </row>
    <row r="173" spans="1:115" x14ac:dyDescent="0.25">
      <c r="B173" s="113" t="s">
        <v>1030</v>
      </c>
      <c r="C173" s="263">
        <v>42522</v>
      </c>
      <c r="D173" s="263">
        <v>42552</v>
      </c>
      <c r="E173" s="263">
        <v>42583</v>
      </c>
      <c r="F173" s="263">
        <v>42614</v>
      </c>
      <c r="G173" s="263">
        <v>42644</v>
      </c>
      <c r="H173" s="263">
        <v>42675</v>
      </c>
      <c r="I173" s="263">
        <v>42705</v>
      </c>
      <c r="J173" s="263">
        <v>42736</v>
      </c>
      <c r="K173" s="263">
        <v>42767</v>
      </c>
      <c r="L173" s="263">
        <v>42795</v>
      </c>
      <c r="M173" s="263">
        <v>42826</v>
      </c>
      <c r="N173" s="263">
        <v>42856</v>
      </c>
      <c r="O173" s="263">
        <v>42887</v>
      </c>
      <c r="P173" s="263">
        <v>42917</v>
      </c>
      <c r="Q173" s="263">
        <v>42948</v>
      </c>
      <c r="R173" s="263">
        <v>42979</v>
      </c>
      <c r="S173" s="263">
        <v>43009</v>
      </c>
      <c r="T173" s="263">
        <v>43040</v>
      </c>
      <c r="U173" s="263">
        <v>43070</v>
      </c>
      <c r="V173" s="263">
        <v>43101</v>
      </c>
      <c r="W173" s="263">
        <v>43132</v>
      </c>
      <c r="X173" s="263">
        <v>43160</v>
      </c>
      <c r="Y173" s="263">
        <v>43191</v>
      </c>
      <c r="Z173" s="263">
        <v>43221</v>
      </c>
      <c r="AA173" s="263">
        <v>43252</v>
      </c>
      <c r="AB173" s="263">
        <v>43283</v>
      </c>
      <c r="AC173" s="263">
        <v>43314</v>
      </c>
      <c r="AD173" s="263">
        <v>43345</v>
      </c>
      <c r="AE173" s="263">
        <v>43376</v>
      </c>
      <c r="AF173" s="263">
        <v>43407</v>
      </c>
      <c r="AG173" s="263">
        <v>43437</v>
      </c>
      <c r="AH173" s="263">
        <v>43468</v>
      </c>
      <c r="AI173" s="263">
        <v>43499</v>
      </c>
      <c r="AJ173" s="263">
        <v>43527</v>
      </c>
      <c r="AK173" s="263">
        <v>43558</v>
      </c>
      <c r="AL173" s="263">
        <v>43587</v>
      </c>
      <c r="AM173" s="263">
        <v>43618</v>
      </c>
      <c r="AN173" s="263">
        <v>43647</v>
      </c>
      <c r="AO173" s="263">
        <v>43678</v>
      </c>
      <c r="AP173" s="263">
        <v>43709</v>
      </c>
      <c r="AQ173" s="263">
        <v>43739</v>
      </c>
      <c r="AR173" s="263">
        <v>43770</v>
      </c>
      <c r="AS173" s="263">
        <v>43800</v>
      </c>
      <c r="AT173" s="263">
        <v>43831</v>
      </c>
      <c r="AU173" s="263">
        <v>43862</v>
      </c>
      <c r="AV173" s="914">
        <v>43891</v>
      </c>
      <c r="AW173" s="263">
        <v>43922</v>
      </c>
      <c r="AX173" s="263">
        <v>43952</v>
      </c>
      <c r="AY173" s="263">
        <v>43983</v>
      </c>
      <c r="AZ173" s="263">
        <v>44013</v>
      </c>
      <c r="BA173" s="263">
        <v>44044</v>
      </c>
      <c r="BB173" s="263">
        <v>44075</v>
      </c>
      <c r="BC173" s="263">
        <v>44105</v>
      </c>
      <c r="BD173" s="263">
        <v>44136</v>
      </c>
      <c r="BE173" s="263">
        <v>44166</v>
      </c>
      <c r="BF173" s="263">
        <v>44197</v>
      </c>
      <c r="BG173" s="263">
        <v>44228</v>
      </c>
      <c r="BH173" s="263">
        <v>44256</v>
      </c>
      <c r="BI173" s="263">
        <v>44287</v>
      </c>
      <c r="BJ173" s="263">
        <v>44317</v>
      </c>
      <c r="BK173" s="263">
        <v>44348</v>
      </c>
      <c r="BL173" s="263">
        <v>44378</v>
      </c>
      <c r="BM173" s="263">
        <v>44409</v>
      </c>
      <c r="BN173" s="263">
        <v>44440</v>
      </c>
      <c r="BO173" s="263">
        <v>44470</v>
      </c>
      <c r="BP173" s="263">
        <v>44501</v>
      </c>
      <c r="BQ173" s="263">
        <v>44531</v>
      </c>
      <c r="BR173"/>
      <c r="BS173"/>
      <c r="BT173"/>
      <c r="BU173"/>
    </row>
    <row r="174" spans="1:115" x14ac:dyDescent="0.25">
      <c r="B174" s="117" t="s">
        <v>542</v>
      </c>
      <c r="C174" s="264" t="s">
        <v>160</v>
      </c>
      <c r="D174" s="264" t="s">
        <v>160</v>
      </c>
      <c r="E174" s="264" t="s">
        <v>160</v>
      </c>
      <c r="F174" s="264" t="s">
        <v>160</v>
      </c>
      <c r="G174" s="264" t="s">
        <v>160</v>
      </c>
      <c r="H174" s="264" t="s">
        <v>160</v>
      </c>
      <c r="I174" s="264" t="s">
        <v>160</v>
      </c>
      <c r="J174" s="264" t="s">
        <v>160</v>
      </c>
      <c r="K174" s="264" t="s">
        <v>160</v>
      </c>
      <c r="L174" s="264" t="s">
        <v>160</v>
      </c>
      <c r="M174" s="264" t="s">
        <v>160</v>
      </c>
      <c r="N174" s="264" t="s">
        <v>160</v>
      </c>
      <c r="O174" s="264" t="s">
        <v>160</v>
      </c>
      <c r="P174" s="264" t="s">
        <v>160</v>
      </c>
      <c r="Q174" s="264" t="s">
        <v>160</v>
      </c>
      <c r="R174" s="264" t="s">
        <v>160</v>
      </c>
      <c r="S174" s="264" t="s">
        <v>160</v>
      </c>
      <c r="T174" s="264" t="s">
        <v>160</v>
      </c>
      <c r="U174" s="675" t="s">
        <v>160</v>
      </c>
      <c r="V174" s="675" t="s">
        <v>160</v>
      </c>
      <c r="W174" s="675" t="s">
        <v>160</v>
      </c>
      <c r="X174" s="675" t="s">
        <v>160</v>
      </c>
      <c r="Y174" s="675" t="s">
        <v>160</v>
      </c>
      <c r="Z174" s="675" t="s">
        <v>160</v>
      </c>
      <c r="AA174" s="675" t="s">
        <v>160</v>
      </c>
      <c r="AB174" s="675" t="s">
        <v>160</v>
      </c>
      <c r="AC174" s="675" t="s">
        <v>160</v>
      </c>
      <c r="AD174" s="675" t="s">
        <v>160</v>
      </c>
      <c r="AE174" s="675" t="s">
        <v>160</v>
      </c>
      <c r="AF174" s="675" t="s">
        <v>160</v>
      </c>
      <c r="AG174" s="675" t="s">
        <v>160</v>
      </c>
      <c r="AH174" s="675" t="s">
        <v>160</v>
      </c>
      <c r="AI174" s="675" t="s">
        <v>160</v>
      </c>
      <c r="AJ174" s="675" t="s">
        <v>160</v>
      </c>
      <c r="AK174" s="675" t="s">
        <v>160</v>
      </c>
      <c r="AL174" s="675" t="s">
        <v>160</v>
      </c>
      <c r="AM174" s="675" t="s">
        <v>160</v>
      </c>
      <c r="AN174" s="675" t="s">
        <v>160</v>
      </c>
      <c r="AO174" s="675" t="s">
        <v>160</v>
      </c>
      <c r="AP174" s="930" t="s">
        <v>160</v>
      </c>
      <c r="AQ174" s="930" t="s">
        <v>160</v>
      </c>
      <c r="AR174" s="930" t="s">
        <v>160</v>
      </c>
      <c r="AS174" s="930" t="s">
        <v>160</v>
      </c>
      <c r="AT174" s="930" t="s">
        <v>160</v>
      </c>
      <c r="AU174" s="930" t="s">
        <v>160</v>
      </c>
      <c r="AV174" s="930" t="s">
        <v>160</v>
      </c>
      <c r="AW174" s="931" t="s">
        <v>160</v>
      </c>
      <c r="AX174" s="930" t="s">
        <v>160</v>
      </c>
      <c r="AY174" s="930" t="s">
        <v>160</v>
      </c>
      <c r="AZ174" s="930" t="s">
        <v>160</v>
      </c>
      <c r="BA174" s="930" t="s">
        <v>160</v>
      </c>
      <c r="BB174" s="930" t="s">
        <v>160</v>
      </c>
      <c r="BC174" s="930" t="s">
        <v>160</v>
      </c>
      <c r="BD174" s="930" t="s">
        <v>160</v>
      </c>
      <c r="BE174" s="930">
        <v>34.299999999999997</v>
      </c>
      <c r="BF174" s="930">
        <v>34.299999999999997</v>
      </c>
      <c r="BG174" s="930">
        <v>34.299999999999997</v>
      </c>
      <c r="BH174" s="930">
        <v>34.299999999999997</v>
      </c>
      <c r="BI174" s="930">
        <v>34.299999999999997</v>
      </c>
      <c r="BJ174" s="930">
        <v>34.299999999999997</v>
      </c>
      <c r="BK174" s="930">
        <v>35.299999999999997</v>
      </c>
      <c r="BL174" s="930">
        <v>35.299999999999997</v>
      </c>
      <c r="BM174" s="930">
        <v>35.299999999999997</v>
      </c>
      <c r="BN174" s="930">
        <v>35.299999999999997</v>
      </c>
      <c r="BO174" s="930">
        <v>35.299999999999997</v>
      </c>
      <c r="BP174" s="930">
        <v>35.299999999999997</v>
      </c>
      <c r="BQ174" s="930" t="s">
        <v>160</v>
      </c>
      <c r="BR174"/>
      <c r="BS174"/>
      <c r="BT174"/>
      <c r="BU174"/>
    </row>
    <row r="175" spans="1:115" x14ac:dyDescent="0.25">
      <c r="B175" s="117" t="s">
        <v>545</v>
      </c>
      <c r="C175" s="264" t="s">
        <v>160</v>
      </c>
      <c r="D175" s="264" t="s">
        <v>160</v>
      </c>
      <c r="E175" s="264" t="s">
        <v>160</v>
      </c>
      <c r="F175" s="264" t="s">
        <v>160</v>
      </c>
      <c r="G175" s="264" t="s">
        <v>160</v>
      </c>
      <c r="H175" s="264" t="s">
        <v>160</v>
      </c>
      <c r="I175" s="264" t="s">
        <v>160</v>
      </c>
      <c r="J175" s="264" t="s">
        <v>160</v>
      </c>
      <c r="K175" s="264" t="s">
        <v>160</v>
      </c>
      <c r="L175" s="264" t="s">
        <v>160</v>
      </c>
      <c r="M175" s="264" t="s">
        <v>160</v>
      </c>
      <c r="N175" s="264" t="s">
        <v>160</v>
      </c>
      <c r="O175" s="264" t="s">
        <v>160</v>
      </c>
      <c r="P175" s="264" t="s">
        <v>160</v>
      </c>
      <c r="Q175" s="264" t="s">
        <v>160</v>
      </c>
      <c r="R175" s="264" t="s">
        <v>160</v>
      </c>
      <c r="S175" s="264" t="s">
        <v>160</v>
      </c>
      <c r="T175" s="264" t="s">
        <v>160</v>
      </c>
      <c r="U175" s="264" t="s">
        <v>160</v>
      </c>
      <c r="V175" s="264" t="s">
        <v>160</v>
      </c>
      <c r="W175" s="264" t="s">
        <v>160</v>
      </c>
      <c r="X175" s="264" t="s">
        <v>160</v>
      </c>
      <c r="Y175" s="264" t="s">
        <v>160</v>
      </c>
      <c r="Z175" s="264" t="s">
        <v>160</v>
      </c>
      <c r="AA175" s="264" t="s">
        <v>160</v>
      </c>
      <c r="AB175" s="264" t="s">
        <v>160</v>
      </c>
      <c r="AC175" s="264" t="s">
        <v>160</v>
      </c>
      <c r="AD175" s="264" t="s">
        <v>160</v>
      </c>
      <c r="AE175" s="264" t="s">
        <v>160</v>
      </c>
      <c r="AF175" s="264" t="s">
        <v>160</v>
      </c>
      <c r="AG175" s="264" t="s">
        <v>160</v>
      </c>
      <c r="AH175" s="264" t="s">
        <v>160</v>
      </c>
      <c r="AI175" s="264" t="s">
        <v>160</v>
      </c>
      <c r="AJ175" s="264" t="s">
        <v>160</v>
      </c>
      <c r="AK175" s="264" t="s">
        <v>160</v>
      </c>
      <c r="AL175" s="675" t="s">
        <v>160</v>
      </c>
      <c r="AM175" s="264" t="s">
        <v>160</v>
      </c>
      <c r="AN175" s="264" t="s">
        <v>160</v>
      </c>
      <c r="AO175" s="264" t="s">
        <v>160</v>
      </c>
      <c r="AP175" s="345" t="s">
        <v>160</v>
      </c>
      <c r="AQ175" s="345" t="s">
        <v>160</v>
      </c>
      <c r="AR175" s="345" t="s">
        <v>160</v>
      </c>
      <c r="AS175" s="345" t="s">
        <v>160</v>
      </c>
      <c r="AT175" s="345" t="s">
        <v>160</v>
      </c>
      <c r="AU175" s="345" t="s">
        <v>160</v>
      </c>
      <c r="AV175" s="345" t="s">
        <v>160</v>
      </c>
      <c r="AW175" s="931" t="s">
        <v>160</v>
      </c>
      <c r="AX175" s="930" t="s">
        <v>160</v>
      </c>
      <c r="AY175" s="930" t="s">
        <v>160</v>
      </c>
      <c r="AZ175" s="930" t="s">
        <v>160</v>
      </c>
      <c r="BA175" s="930" t="s">
        <v>160</v>
      </c>
      <c r="BB175" s="930" t="s">
        <v>160</v>
      </c>
      <c r="BC175" s="930" t="s">
        <v>160</v>
      </c>
      <c r="BD175" s="930" t="s">
        <v>160</v>
      </c>
      <c r="BE175" s="930" t="s">
        <v>160</v>
      </c>
      <c r="BF175" s="930" t="s">
        <v>160</v>
      </c>
      <c r="BG175" s="930" t="s">
        <v>160</v>
      </c>
      <c r="BH175" s="930" t="s">
        <v>160</v>
      </c>
      <c r="BI175" s="930" t="s">
        <v>160</v>
      </c>
      <c r="BJ175" s="930" t="s">
        <v>160</v>
      </c>
      <c r="BK175" s="930" t="s">
        <v>160</v>
      </c>
      <c r="BL175" s="930" t="s">
        <v>160</v>
      </c>
      <c r="BM175" s="930" t="s">
        <v>160</v>
      </c>
      <c r="BN175" s="930" t="s">
        <v>160</v>
      </c>
      <c r="BO175" s="930" t="s">
        <v>160</v>
      </c>
      <c r="BP175" s="930" t="s">
        <v>160</v>
      </c>
      <c r="BQ175" s="930" t="s">
        <v>160</v>
      </c>
      <c r="BR175"/>
      <c r="BS175"/>
      <c r="BT175"/>
      <c r="BU175"/>
    </row>
    <row r="176" spans="1:115" x14ac:dyDescent="0.25">
      <c r="B176" s="117" t="s">
        <v>546</v>
      </c>
      <c r="C176" s="264" t="s">
        <v>160</v>
      </c>
      <c r="D176" s="264" t="s">
        <v>160</v>
      </c>
      <c r="E176" s="264" t="s">
        <v>160</v>
      </c>
      <c r="F176" s="264" t="s">
        <v>160</v>
      </c>
      <c r="G176" s="264" t="s">
        <v>160</v>
      </c>
      <c r="H176" s="264" t="s">
        <v>160</v>
      </c>
      <c r="I176" s="264" t="s">
        <v>160</v>
      </c>
      <c r="J176" s="264" t="s">
        <v>160</v>
      </c>
      <c r="K176" s="264" t="s">
        <v>160</v>
      </c>
      <c r="L176" s="264" t="s">
        <v>160</v>
      </c>
      <c r="M176" s="264" t="s">
        <v>160</v>
      </c>
      <c r="N176" s="264" t="s">
        <v>160</v>
      </c>
      <c r="O176" s="264" t="s">
        <v>160</v>
      </c>
      <c r="P176" s="264" t="s">
        <v>160</v>
      </c>
      <c r="Q176" s="264" t="s">
        <v>160</v>
      </c>
      <c r="R176" s="264" t="s">
        <v>160</v>
      </c>
      <c r="S176" s="264" t="s">
        <v>160</v>
      </c>
      <c r="T176" s="264" t="s">
        <v>160</v>
      </c>
      <c r="U176" s="264" t="s">
        <v>160</v>
      </c>
      <c r="V176" s="264" t="s">
        <v>160</v>
      </c>
      <c r="W176" s="264" t="s">
        <v>160</v>
      </c>
      <c r="X176" s="264" t="s">
        <v>160</v>
      </c>
      <c r="Y176" s="264" t="s">
        <v>160</v>
      </c>
      <c r="Z176" s="675" t="s">
        <v>160</v>
      </c>
      <c r="AA176" s="264" t="s">
        <v>160</v>
      </c>
      <c r="AB176" s="264" t="s">
        <v>160</v>
      </c>
      <c r="AC176" s="264" t="s">
        <v>160</v>
      </c>
      <c r="AD176" s="264" t="s">
        <v>160</v>
      </c>
      <c r="AE176" s="264" t="s">
        <v>160</v>
      </c>
      <c r="AF176" s="264" t="s">
        <v>160</v>
      </c>
      <c r="AG176" s="264" t="s">
        <v>160</v>
      </c>
      <c r="AH176" s="264" t="s">
        <v>160</v>
      </c>
      <c r="AI176" s="264" t="s">
        <v>160</v>
      </c>
      <c r="AJ176" s="264" t="s">
        <v>160</v>
      </c>
      <c r="AK176" s="264" t="s">
        <v>160</v>
      </c>
      <c r="AL176" s="264" t="s">
        <v>160</v>
      </c>
      <c r="AM176" s="264" t="s">
        <v>160</v>
      </c>
      <c r="AN176" s="264" t="s">
        <v>160</v>
      </c>
      <c r="AO176" s="264" t="s">
        <v>160</v>
      </c>
      <c r="AP176" s="345" t="s">
        <v>160</v>
      </c>
      <c r="AQ176" s="345" t="s">
        <v>160</v>
      </c>
      <c r="AR176" s="345" t="s">
        <v>160</v>
      </c>
      <c r="AS176" s="345" t="s">
        <v>160</v>
      </c>
      <c r="AT176" s="345" t="s">
        <v>160</v>
      </c>
      <c r="AU176" s="345" t="s">
        <v>160</v>
      </c>
      <c r="AV176" s="345" t="s">
        <v>160</v>
      </c>
      <c r="AW176" s="931" t="s">
        <v>160</v>
      </c>
      <c r="AX176" s="930" t="s">
        <v>160</v>
      </c>
      <c r="AY176" s="930" t="s">
        <v>160</v>
      </c>
      <c r="AZ176" s="930" t="s">
        <v>160</v>
      </c>
      <c r="BA176" s="930" t="s">
        <v>160</v>
      </c>
      <c r="BB176" s="930" t="s">
        <v>160</v>
      </c>
      <c r="BC176" s="930" t="s">
        <v>160</v>
      </c>
      <c r="BD176" s="584">
        <v>33</v>
      </c>
      <c r="BE176" s="590">
        <v>33</v>
      </c>
      <c r="BF176" s="590">
        <v>33</v>
      </c>
      <c r="BG176" s="590">
        <v>33</v>
      </c>
      <c r="BH176" s="590">
        <v>33</v>
      </c>
      <c r="BI176" s="590">
        <v>33</v>
      </c>
      <c r="BJ176" s="590">
        <v>33</v>
      </c>
      <c r="BK176" s="590">
        <v>33</v>
      </c>
      <c r="BL176" s="590">
        <v>33</v>
      </c>
      <c r="BM176" s="590">
        <v>33</v>
      </c>
      <c r="BN176" s="590">
        <v>33</v>
      </c>
      <c r="BO176" s="590">
        <v>33</v>
      </c>
      <c r="BP176" s="590">
        <v>33</v>
      </c>
      <c r="BQ176" s="830" t="s">
        <v>160</v>
      </c>
      <c r="BR176"/>
      <c r="BS176"/>
      <c r="BT176"/>
      <c r="BU176"/>
    </row>
    <row r="177" spans="1:115" x14ac:dyDescent="0.25">
      <c r="B177" s="117" t="s">
        <v>574</v>
      </c>
      <c r="C177" s="264" t="s">
        <v>160</v>
      </c>
      <c r="D177" s="264" t="s">
        <v>160</v>
      </c>
      <c r="E177" s="264" t="s">
        <v>160</v>
      </c>
      <c r="F177" s="264" t="s">
        <v>160</v>
      </c>
      <c r="G177" s="264" t="s">
        <v>160</v>
      </c>
      <c r="H177" s="264" t="s">
        <v>160</v>
      </c>
      <c r="I177" s="264" t="s">
        <v>160</v>
      </c>
      <c r="J177" s="264" t="s">
        <v>160</v>
      </c>
      <c r="K177" s="264" t="s">
        <v>160</v>
      </c>
      <c r="L177" s="264" t="s">
        <v>160</v>
      </c>
      <c r="M177" s="264" t="s">
        <v>160</v>
      </c>
      <c r="N177" s="264" t="s">
        <v>160</v>
      </c>
      <c r="O177" s="264" t="s">
        <v>160</v>
      </c>
      <c r="P177" s="264" t="s">
        <v>160</v>
      </c>
      <c r="Q177" s="264" t="s">
        <v>160</v>
      </c>
      <c r="R177" s="264" t="s">
        <v>160</v>
      </c>
      <c r="S177" s="264" t="s">
        <v>160</v>
      </c>
      <c r="T177" s="264" t="s">
        <v>160</v>
      </c>
      <c r="U177" s="264" t="s">
        <v>160</v>
      </c>
      <c r="V177" s="264" t="s">
        <v>160</v>
      </c>
      <c r="W177" s="675" t="s">
        <v>160</v>
      </c>
      <c r="X177" s="675" t="s">
        <v>160</v>
      </c>
      <c r="Y177" s="675" t="s">
        <v>160</v>
      </c>
      <c r="Z177" s="675" t="s">
        <v>160</v>
      </c>
      <c r="AA177" s="675" t="s">
        <v>160</v>
      </c>
      <c r="AB177" s="675" t="s">
        <v>160</v>
      </c>
      <c r="AC177" s="675" t="s">
        <v>160</v>
      </c>
      <c r="AD177" s="675" t="s">
        <v>160</v>
      </c>
      <c r="AE177" s="675" t="s">
        <v>160</v>
      </c>
      <c r="AF177" s="675" t="s">
        <v>160</v>
      </c>
      <c r="AG177" s="675" t="s">
        <v>160</v>
      </c>
      <c r="AH177" s="675" t="s">
        <v>160</v>
      </c>
      <c r="AI177" s="675" t="s">
        <v>160</v>
      </c>
      <c r="AJ177" s="675" t="s">
        <v>160</v>
      </c>
      <c r="AK177" s="675" t="s">
        <v>160</v>
      </c>
      <c r="AL177" s="675" t="s">
        <v>160</v>
      </c>
      <c r="AM177" s="675" t="s">
        <v>160</v>
      </c>
      <c r="AN177" s="675" t="s">
        <v>160</v>
      </c>
      <c r="AO177" s="675" t="s">
        <v>160</v>
      </c>
      <c r="AP177" s="930" t="s">
        <v>160</v>
      </c>
      <c r="AQ177" s="930" t="s">
        <v>160</v>
      </c>
      <c r="AR177" s="930" t="s">
        <v>160</v>
      </c>
      <c r="AS177" s="930" t="s">
        <v>160</v>
      </c>
      <c r="AT177" s="930" t="s">
        <v>160</v>
      </c>
      <c r="AU177" s="930" t="s">
        <v>160</v>
      </c>
      <c r="AV177" s="930" t="s">
        <v>160</v>
      </c>
      <c r="AW177" s="931" t="s">
        <v>160</v>
      </c>
      <c r="AX177" s="930" t="s">
        <v>160</v>
      </c>
      <c r="AY177" s="930" t="s">
        <v>160</v>
      </c>
      <c r="AZ177" s="930" t="s">
        <v>160</v>
      </c>
      <c r="BA177" s="930" t="s">
        <v>160</v>
      </c>
      <c r="BB177" s="930" t="s">
        <v>160</v>
      </c>
      <c r="BC177" s="584">
        <v>33.200000000000003</v>
      </c>
      <c r="BD177" s="590">
        <v>33.200000000000003</v>
      </c>
      <c r="BE177" s="590">
        <v>33.200000000000003</v>
      </c>
      <c r="BF177" s="590">
        <v>33.200000000000003</v>
      </c>
      <c r="BG177" s="590">
        <v>33.200000000000003</v>
      </c>
      <c r="BH177" s="590">
        <v>33.200000000000003</v>
      </c>
      <c r="BI177" s="590">
        <v>33.200000000000003</v>
      </c>
      <c r="BJ177" s="590">
        <v>33.200000000000003</v>
      </c>
      <c r="BK177" s="590">
        <v>33.200000000000003</v>
      </c>
      <c r="BL177" s="590">
        <v>33.200000000000003</v>
      </c>
      <c r="BM177" s="590">
        <v>33.200000000000003</v>
      </c>
      <c r="BN177" s="590">
        <v>33.200000000000003</v>
      </c>
      <c r="BO177" s="590">
        <v>33.200000000000003</v>
      </c>
      <c r="BP177" s="590">
        <v>33.200000000000003</v>
      </c>
      <c r="BQ177" s="590" t="s">
        <v>160</v>
      </c>
      <c r="BR177"/>
      <c r="BS177"/>
      <c r="BT177"/>
      <c r="BU177"/>
    </row>
    <row r="178" spans="1:115" x14ac:dyDescent="0.25">
      <c r="B178" s="117" t="s">
        <v>547</v>
      </c>
      <c r="C178" s="264" t="s">
        <v>160</v>
      </c>
      <c r="D178" s="264" t="s">
        <v>160</v>
      </c>
      <c r="E178" s="264" t="s">
        <v>160</v>
      </c>
      <c r="F178" s="264" t="s">
        <v>160</v>
      </c>
      <c r="G178" s="264" t="s">
        <v>160</v>
      </c>
      <c r="H178" s="264" t="s">
        <v>160</v>
      </c>
      <c r="I178" s="264" t="s">
        <v>160</v>
      </c>
      <c r="J178" s="264" t="s">
        <v>160</v>
      </c>
      <c r="K178" s="264" t="s">
        <v>160</v>
      </c>
      <c r="L178" s="264" t="s">
        <v>160</v>
      </c>
      <c r="M178" s="264" t="s">
        <v>160</v>
      </c>
      <c r="N178" s="264" t="s">
        <v>160</v>
      </c>
      <c r="O178" s="264" t="s">
        <v>160</v>
      </c>
      <c r="P178" s="264" t="s">
        <v>160</v>
      </c>
      <c r="Q178" s="264" t="s">
        <v>160</v>
      </c>
      <c r="R178" s="264" t="s">
        <v>160</v>
      </c>
      <c r="S178" s="264" t="s">
        <v>160</v>
      </c>
      <c r="T178" s="264" t="s">
        <v>160</v>
      </c>
      <c r="U178" s="264" t="s">
        <v>160</v>
      </c>
      <c r="V178" s="675" t="s">
        <v>160</v>
      </c>
      <c r="W178" s="675" t="s">
        <v>160</v>
      </c>
      <c r="X178" s="675" t="s">
        <v>160</v>
      </c>
      <c r="Y178" s="675" t="s">
        <v>160</v>
      </c>
      <c r="Z178" s="675" t="s">
        <v>160</v>
      </c>
      <c r="AA178" s="675" t="s">
        <v>160</v>
      </c>
      <c r="AB178" s="675" t="s">
        <v>160</v>
      </c>
      <c r="AC178" s="675" t="s">
        <v>160</v>
      </c>
      <c r="AD178" s="675" t="s">
        <v>160</v>
      </c>
      <c r="AE178" s="675" t="s">
        <v>160</v>
      </c>
      <c r="AF178" s="675" t="s">
        <v>160</v>
      </c>
      <c r="AG178" s="675" t="s">
        <v>160</v>
      </c>
      <c r="AH178" s="675" t="s">
        <v>160</v>
      </c>
      <c r="AI178" s="675" t="s">
        <v>160</v>
      </c>
      <c r="AJ178" s="675" t="s">
        <v>160</v>
      </c>
      <c r="AK178" s="675" t="s">
        <v>160</v>
      </c>
      <c r="AL178" s="675" t="s">
        <v>160</v>
      </c>
      <c r="AM178" s="675" t="s">
        <v>160</v>
      </c>
      <c r="AN178" s="675" t="s">
        <v>160</v>
      </c>
      <c r="AO178" s="675" t="s">
        <v>160</v>
      </c>
      <c r="AP178" s="930" t="s">
        <v>160</v>
      </c>
      <c r="AQ178" s="930" t="s">
        <v>160</v>
      </c>
      <c r="AR178" s="930" t="s">
        <v>160</v>
      </c>
      <c r="AS178" s="930" t="s">
        <v>160</v>
      </c>
      <c r="AT178" s="930" t="s">
        <v>160</v>
      </c>
      <c r="AU178" s="930" t="s">
        <v>160</v>
      </c>
      <c r="AV178" s="930" t="s">
        <v>160</v>
      </c>
      <c r="AW178" s="931" t="s">
        <v>160</v>
      </c>
      <c r="AX178" s="930" t="s">
        <v>160</v>
      </c>
      <c r="AY178" s="930" t="s">
        <v>160</v>
      </c>
      <c r="AZ178" s="930" t="s">
        <v>160</v>
      </c>
      <c r="BA178" s="930" t="s">
        <v>160</v>
      </c>
      <c r="BB178" s="930" t="s">
        <v>160</v>
      </c>
      <c r="BC178" s="930" t="s">
        <v>160</v>
      </c>
      <c r="BD178" s="930" t="s">
        <v>160</v>
      </c>
      <c r="BE178" s="930">
        <v>33</v>
      </c>
      <c r="BF178" s="930">
        <v>33</v>
      </c>
      <c r="BG178" s="930">
        <v>33</v>
      </c>
      <c r="BH178" s="930">
        <v>33</v>
      </c>
      <c r="BI178" s="930">
        <v>33</v>
      </c>
      <c r="BJ178" s="930">
        <v>33</v>
      </c>
      <c r="BK178" s="930">
        <v>33</v>
      </c>
      <c r="BL178" s="930">
        <v>33</v>
      </c>
      <c r="BM178" s="930">
        <v>33</v>
      </c>
      <c r="BN178" s="930">
        <v>33</v>
      </c>
      <c r="BO178" s="930">
        <v>33</v>
      </c>
      <c r="BP178" s="930" t="s">
        <v>160</v>
      </c>
      <c r="BQ178" s="930" t="s">
        <v>160</v>
      </c>
      <c r="BR178"/>
      <c r="BS178"/>
      <c r="BT178"/>
      <c r="BU178"/>
    </row>
    <row r="179" spans="1:115" customFormat="1" ht="12.75" x14ac:dyDescent="0.2">
      <c r="B179" s="278" t="s">
        <v>557</v>
      </c>
      <c r="C179" s="279" t="str">
        <f t="shared" ref="C179:AO179" si="134">IFERROR(AVERAGE(C174:C178),"-")</f>
        <v>-</v>
      </c>
      <c r="D179" s="279" t="str">
        <f t="shared" si="134"/>
        <v>-</v>
      </c>
      <c r="E179" s="279" t="str">
        <f t="shared" si="134"/>
        <v>-</v>
      </c>
      <c r="F179" s="279" t="str">
        <f t="shared" si="134"/>
        <v>-</v>
      </c>
      <c r="G179" s="279" t="str">
        <f t="shared" si="134"/>
        <v>-</v>
      </c>
      <c r="H179" s="279" t="str">
        <f t="shared" si="134"/>
        <v>-</v>
      </c>
      <c r="I179" s="279" t="str">
        <f t="shared" si="134"/>
        <v>-</v>
      </c>
      <c r="J179" s="279" t="str">
        <f t="shared" si="134"/>
        <v>-</v>
      </c>
      <c r="K179" s="279" t="str">
        <f t="shared" si="134"/>
        <v>-</v>
      </c>
      <c r="L179" s="279" t="str">
        <f t="shared" si="134"/>
        <v>-</v>
      </c>
      <c r="M179" s="279" t="str">
        <f t="shared" si="134"/>
        <v>-</v>
      </c>
      <c r="N179" s="279" t="str">
        <f t="shared" si="134"/>
        <v>-</v>
      </c>
      <c r="O179" s="279" t="str">
        <f t="shared" si="134"/>
        <v>-</v>
      </c>
      <c r="P179" s="279" t="str">
        <f t="shared" si="134"/>
        <v>-</v>
      </c>
      <c r="Q179" s="279" t="str">
        <f t="shared" si="134"/>
        <v>-</v>
      </c>
      <c r="R179" s="346" t="str">
        <f t="shared" si="134"/>
        <v>-</v>
      </c>
      <c r="S179" s="346" t="str">
        <f t="shared" si="134"/>
        <v>-</v>
      </c>
      <c r="T179" s="346" t="str">
        <f t="shared" si="134"/>
        <v>-</v>
      </c>
      <c r="U179" s="346" t="str">
        <f t="shared" si="134"/>
        <v>-</v>
      </c>
      <c r="V179" s="346" t="str">
        <f t="shared" si="134"/>
        <v>-</v>
      </c>
      <c r="W179" s="346" t="str">
        <f t="shared" si="134"/>
        <v>-</v>
      </c>
      <c r="X179" s="346" t="str">
        <f t="shared" si="134"/>
        <v>-</v>
      </c>
      <c r="Y179" s="346" t="str">
        <f t="shared" si="134"/>
        <v>-</v>
      </c>
      <c r="Z179" s="346" t="str">
        <f t="shared" si="134"/>
        <v>-</v>
      </c>
      <c r="AA179" s="346" t="str">
        <f t="shared" si="134"/>
        <v>-</v>
      </c>
      <c r="AB179" s="346" t="str">
        <f t="shared" si="134"/>
        <v>-</v>
      </c>
      <c r="AC179" s="346" t="str">
        <f t="shared" si="134"/>
        <v>-</v>
      </c>
      <c r="AD179" s="346" t="str">
        <f t="shared" si="134"/>
        <v>-</v>
      </c>
      <c r="AE179" s="346" t="str">
        <f t="shared" si="134"/>
        <v>-</v>
      </c>
      <c r="AF179" s="346" t="str">
        <f t="shared" si="134"/>
        <v>-</v>
      </c>
      <c r="AG179" s="346" t="str">
        <f t="shared" si="134"/>
        <v>-</v>
      </c>
      <c r="AH179" s="346" t="str">
        <f t="shared" si="134"/>
        <v>-</v>
      </c>
      <c r="AI179" s="346" t="str">
        <f t="shared" si="134"/>
        <v>-</v>
      </c>
      <c r="AJ179" s="346" t="str">
        <f t="shared" si="134"/>
        <v>-</v>
      </c>
      <c r="AK179" s="346" t="str">
        <f t="shared" si="134"/>
        <v>-</v>
      </c>
      <c r="AL179" s="346" t="str">
        <f t="shared" si="134"/>
        <v>-</v>
      </c>
      <c r="AM179" s="346" t="str">
        <f t="shared" si="134"/>
        <v>-</v>
      </c>
      <c r="AN179" s="346" t="str">
        <f t="shared" si="134"/>
        <v>-</v>
      </c>
      <c r="AO179" s="346" t="str">
        <f t="shared" si="134"/>
        <v>-</v>
      </c>
      <c r="AP179" s="346" t="str">
        <f t="shared" ref="AP179:AU179" si="135">IFERROR(AVERAGE(AP174:AP178),"-")</f>
        <v>-</v>
      </c>
      <c r="AQ179" s="346" t="str">
        <f t="shared" si="135"/>
        <v>-</v>
      </c>
      <c r="AR179" s="346" t="str">
        <f t="shared" si="135"/>
        <v>-</v>
      </c>
      <c r="AS179" s="346" t="str">
        <f t="shared" si="135"/>
        <v>-</v>
      </c>
      <c r="AT179" s="798" t="str">
        <f t="shared" si="135"/>
        <v>-</v>
      </c>
      <c r="AU179" s="798" t="str">
        <f t="shared" si="135"/>
        <v>-</v>
      </c>
      <c r="AV179" s="798" t="str">
        <f t="shared" ref="AV179:BA179" si="136">IFERROR(AVERAGE(AV174:AV178),"-")</f>
        <v>-</v>
      </c>
      <c r="AW179" s="831" t="str">
        <f t="shared" si="136"/>
        <v>-</v>
      </c>
      <c r="AX179" s="832" t="str">
        <f t="shared" si="136"/>
        <v>-</v>
      </c>
      <c r="AY179" s="832" t="str">
        <f t="shared" si="136"/>
        <v>-</v>
      </c>
      <c r="AZ179" s="832" t="str">
        <f t="shared" si="136"/>
        <v>-</v>
      </c>
      <c r="BA179" s="832" t="str">
        <f t="shared" si="136"/>
        <v>-</v>
      </c>
      <c r="BB179" s="832" t="str">
        <f t="shared" ref="BB179:BG179" si="137">IFERROR(AVERAGE(BB174:BB178),"-")</f>
        <v>-</v>
      </c>
      <c r="BC179" s="832">
        <f t="shared" si="137"/>
        <v>33.200000000000003</v>
      </c>
      <c r="BD179" s="832">
        <f t="shared" si="137"/>
        <v>33.1</v>
      </c>
      <c r="BE179" s="832">
        <f t="shared" si="137"/>
        <v>33.375</v>
      </c>
      <c r="BF179" s="832">
        <f t="shared" si="137"/>
        <v>33.375</v>
      </c>
      <c r="BG179" s="832">
        <f t="shared" si="137"/>
        <v>33.375</v>
      </c>
      <c r="BH179" s="832">
        <f t="shared" ref="BH179:BQ179" si="138">IFERROR(AVERAGE(BH174:BH178),"-")</f>
        <v>33.375</v>
      </c>
      <c r="BI179" s="832">
        <f t="shared" si="138"/>
        <v>33.375</v>
      </c>
      <c r="BJ179" s="832">
        <f t="shared" si="138"/>
        <v>33.375</v>
      </c>
      <c r="BK179" s="832">
        <f t="shared" si="138"/>
        <v>33.625</v>
      </c>
      <c r="BL179" s="832">
        <f t="shared" si="138"/>
        <v>33.625</v>
      </c>
      <c r="BM179" s="832">
        <f t="shared" si="138"/>
        <v>33.625</v>
      </c>
      <c r="BN179" s="832">
        <f t="shared" si="138"/>
        <v>33.625</v>
      </c>
      <c r="BO179" s="832">
        <f t="shared" si="138"/>
        <v>33.625</v>
      </c>
      <c r="BP179" s="832">
        <f t="shared" si="138"/>
        <v>33.833333333333336</v>
      </c>
      <c r="BQ179" s="832" t="str">
        <f t="shared" si="138"/>
        <v>-</v>
      </c>
      <c r="DG179" s="1150"/>
      <c r="DH179" s="1150"/>
      <c r="DI179" s="1150"/>
      <c r="DJ179" s="1150"/>
      <c r="DK179" s="1150"/>
    </row>
    <row r="180" spans="1:115" x14ac:dyDescent="0.25">
      <c r="X180" s="340"/>
      <c r="Y180" s="340"/>
      <c r="Z180" s="340"/>
      <c r="AA180" s="340"/>
      <c r="AB180" s="340"/>
      <c r="AC180" s="340"/>
      <c r="AD180" s="340"/>
      <c r="AE180" s="340"/>
      <c r="AF180" s="340"/>
      <c r="AG180" s="340"/>
      <c r="AH180" s="340"/>
      <c r="AI180" s="340"/>
      <c r="AJ180" s="340"/>
      <c r="AK180" s="340"/>
      <c r="AL180" s="340"/>
      <c r="AM180" s="340"/>
      <c r="AN180" s="340"/>
      <c r="AO180" s="340"/>
      <c r="AP180" s="340"/>
      <c r="AQ180" s="340"/>
      <c r="AR180" s="340"/>
      <c r="AS180" s="340"/>
      <c r="AT180" s="761"/>
      <c r="AV180" s="913"/>
    </row>
    <row r="181" spans="1:115" x14ac:dyDescent="0.25">
      <c r="B181" s="113" t="s">
        <v>1028</v>
      </c>
      <c r="C181" s="263">
        <f t="shared" ref="C181:BN181" si="139">C$11</f>
        <v>42522</v>
      </c>
      <c r="D181" s="263">
        <f t="shared" si="139"/>
        <v>42552</v>
      </c>
      <c r="E181" s="263">
        <f t="shared" si="139"/>
        <v>42583</v>
      </c>
      <c r="F181" s="263">
        <f t="shared" si="139"/>
        <v>42614</v>
      </c>
      <c r="G181" s="263">
        <f t="shared" si="139"/>
        <v>42644</v>
      </c>
      <c r="H181" s="263">
        <f t="shared" si="139"/>
        <v>42675</v>
      </c>
      <c r="I181" s="263">
        <f t="shared" si="139"/>
        <v>42705</v>
      </c>
      <c r="J181" s="263">
        <f t="shared" si="139"/>
        <v>42736</v>
      </c>
      <c r="K181" s="263">
        <f t="shared" si="139"/>
        <v>42767</v>
      </c>
      <c r="L181" s="263">
        <f t="shared" si="139"/>
        <v>42795</v>
      </c>
      <c r="M181" s="263">
        <f t="shared" si="139"/>
        <v>42826</v>
      </c>
      <c r="N181" s="263">
        <f t="shared" si="139"/>
        <v>42856</v>
      </c>
      <c r="O181" s="263">
        <f t="shared" si="139"/>
        <v>42887</v>
      </c>
      <c r="P181" s="263">
        <f t="shared" si="139"/>
        <v>42917</v>
      </c>
      <c r="Q181" s="263">
        <f t="shared" si="139"/>
        <v>42948</v>
      </c>
      <c r="R181" s="263">
        <f t="shared" si="139"/>
        <v>42979</v>
      </c>
      <c r="S181" s="263">
        <f t="shared" si="139"/>
        <v>43009</v>
      </c>
      <c r="T181" s="263">
        <f t="shared" si="139"/>
        <v>43040</v>
      </c>
      <c r="U181" s="263">
        <f t="shared" si="139"/>
        <v>43070</v>
      </c>
      <c r="V181" s="263">
        <f t="shared" si="139"/>
        <v>43101</v>
      </c>
      <c r="W181" s="263">
        <f t="shared" si="139"/>
        <v>43132</v>
      </c>
      <c r="X181" s="263">
        <f t="shared" si="139"/>
        <v>43160</v>
      </c>
      <c r="Y181" s="263">
        <f t="shared" si="139"/>
        <v>43191</v>
      </c>
      <c r="Z181" s="263">
        <f t="shared" si="139"/>
        <v>43221</v>
      </c>
      <c r="AA181" s="263">
        <f t="shared" si="139"/>
        <v>43252</v>
      </c>
      <c r="AB181" s="263">
        <f t="shared" si="139"/>
        <v>43283</v>
      </c>
      <c r="AC181" s="263">
        <f t="shared" si="139"/>
        <v>43314</v>
      </c>
      <c r="AD181" s="263">
        <f t="shared" si="139"/>
        <v>43345</v>
      </c>
      <c r="AE181" s="263">
        <f t="shared" si="139"/>
        <v>43376</v>
      </c>
      <c r="AF181" s="263">
        <f t="shared" si="139"/>
        <v>43407</v>
      </c>
      <c r="AG181" s="263">
        <f t="shared" si="139"/>
        <v>43437</v>
      </c>
      <c r="AH181" s="263">
        <f t="shared" si="139"/>
        <v>43468</v>
      </c>
      <c r="AI181" s="263">
        <f t="shared" si="139"/>
        <v>43499</v>
      </c>
      <c r="AJ181" s="263">
        <f t="shared" si="139"/>
        <v>43527</v>
      </c>
      <c r="AK181" s="263">
        <f t="shared" si="139"/>
        <v>43558</v>
      </c>
      <c r="AL181" s="263">
        <f t="shared" si="139"/>
        <v>43587</v>
      </c>
      <c r="AM181" s="263">
        <f t="shared" si="139"/>
        <v>43618</v>
      </c>
      <c r="AN181" s="263">
        <f t="shared" si="139"/>
        <v>43647</v>
      </c>
      <c r="AO181" s="263">
        <f t="shared" si="139"/>
        <v>43678</v>
      </c>
      <c r="AP181" s="263">
        <f t="shared" si="139"/>
        <v>43709</v>
      </c>
      <c r="AQ181" s="263">
        <f t="shared" si="139"/>
        <v>43739</v>
      </c>
      <c r="AR181" s="263">
        <f t="shared" si="139"/>
        <v>43770</v>
      </c>
      <c r="AS181" s="263">
        <f t="shared" si="139"/>
        <v>43800</v>
      </c>
      <c r="AT181" s="263">
        <f t="shared" si="139"/>
        <v>43831</v>
      </c>
      <c r="AU181" s="263">
        <f t="shared" si="139"/>
        <v>43862</v>
      </c>
      <c r="AV181" s="914">
        <f t="shared" si="139"/>
        <v>43891</v>
      </c>
      <c r="AW181" s="263">
        <f t="shared" si="139"/>
        <v>43922</v>
      </c>
      <c r="AX181" s="263">
        <f t="shared" si="139"/>
        <v>43952</v>
      </c>
      <c r="AY181" s="263">
        <f t="shared" si="139"/>
        <v>43983</v>
      </c>
      <c r="AZ181" s="263">
        <f t="shared" si="139"/>
        <v>44013</v>
      </c>
      <c r="BA181" s="263">
        <f t="shared" si="139"/>
        <v>44044</v>
      </c>
      <c r="BB181" s="263">
        <f t="shared" si="139"/>
        <v>44075</v>
      </c>
      <c r="BC181" s="263">
        <f t="shared" si="139"/>
        <v>44105</v>
      </c>
      <c r="BD181" s="263">
        <f t="shared" si="139"/>
        <v>44136</v>
      </c>
      <c r="BE181" s="263">
        <f t="shared" si="139"/>
        <v>44166</v>
      </c>
      <c r="BF181" s="263">
        <f t="shared" si="139"/>
        <v>44197</v>
      </c>
      <c r="BG181" s="263">
        <f t="shared" si="139"/>
        <v>44228</v>
      </c>
      <c r="BH181" s="263">
        <f t="shared" si="139"/>
        <v>44256</v>
      </c>
      <c r="BI181" s="263">
        <f t="shared" si="139"/>
        <v>44287</v>
      </c>
      <c r="BJ181" s="263">
        <f t="shared" si="139"/>
        <v>44317</v>
      </c>
      <c r="BK181" s="263">
        <f t="shared" si="139"/>
        <v>44348</v>
      </c>
      <c r="BL181" s="263">
        <f t="shared" si="139"/>
        <v>44378</v>
      </c>
      <c r="BM181" s="263">
        <f t="shared" si="139"/>
        <v>44409</v>
      </c>
      <c r="BN181" s="263">
        <f t="shared" si="139"/>
        <v>44440</v>
      </c>
      <c r="BO181" s="263">
        <f t="shared" ref="BO181:CB181" si="140">BO$11</f>
        <v>44470</v>
      </c>
      <c r="BP181" s="263">
        <f t="shared" si="140"/>
        <v>44501</v>
      </c>
      <c r="BQ181" s="263">
        <f t="shared" si="140"/>
        <v>44531</v>
      </c>
      <c r="BR181" s="263">
        <f t="shared" si="140"/>
        <v>44562</v>
      </c>
      <c r="BS181" s="263">
        <f t="shared" si="140"/>
        <v>44593</v>
      </c>
      <c r="BT181" s="263">
        <f t="shared" si="140"/>
        <v>44622</v>
      </c>
      <c r="BU181" s="263">
        <f t="shared" si="140"/>
        <v>44654</v>
      </c>
      <c r="BV181" s="263">
        <f t="shared" si="140"/>
        <v>44685</v>
      </c>
      <c r="BW181" s="263">
        <f t="shared" si="140"/>
        <v>44716</v>
      </c>
      <c r="BX181" s="263">
        <f t="shared" si="140"/>
        <v>44746</v>
      </c>
      <c r="BY181" s="263">
        <f t="shared" si="140"/>
        <v>44774</v>
      </c>
      <c r="BZ181" s="263">
        <f t="shared" si="140"/>
        <v>44805</v>
      </c>
      <c r="CA181" s="263">
        <f t="shared" si="140"/>
        <v>44835</v>
      </c>
      <c r="CB181" s="263">
        <f t="shared" si="140"/>
        <v>44866</v>
      </c>
      <c r="CC181" s="263">
        <f>CC$11</f>
        <v>44896</v>
      </c>
      <c r="CD181" s="263">
        <f>CD$11</f>
        <v>44927</v>
      </c>
      <c r="CE181"/>
      <c r="CF181"/>
      <c r="CG181"/>
      <c r="CH181"/>
      <c r="CI181"/>
      <c r="CJ181"/>
      <c r="CK181"/>
      <c r="CL181"/>
      <c r="CM181"/>
      <c r="CN181"/>
      <c r="CO181"/>
      <c r="CP181"/>
      <c r="CQ181"/>
      <c r="CR181"/>
      <c r="CS181"/>
      <c r="CT181"/>
      <c r="CU181"/>
      <c r="CV181"/>
      <c r="CW181"/>
      <c r="CX181"/>
      <c r="CY181"/>
      <c r="CZ181"/>
      <c r="DA181"/>
      <c r="DB181"/>
      <c r="DC181"/>
      <c r="DD181"/>
      <c r="DE181"/>
    </row>
    <row r="182" spans="1:115" x14ac:dyDescent="0.25">
      <c r="B182" s="117" t="s">
        <v>542</v>
      </c>
      <c r="C182" s="265" t="s">
        <v>160</v>
      </c>
      <c r="D182" s="265" t="s">
        <v>160</v>
      </c>
      <c r="E182" s="265" t="s">
        <v>160</v>
      </c>
      <c r="F182" s="265" t="s">
        <v>160</v>
      </c>
      <c r="G182" s="265" t="s">
        <v>160</v>
      </c>
      <c r="H182" s="265" t="s">
        <v>160</v>
      </c>
      <c r="I182" s="265" t="s">
        <v>160</v>
      </c>
      <c r="J182" s="337" t="s">
        <v>160</v>
      </c>
      <c r="K182" s="337" t="s">
        <v>160</v>
      </c>
      <c r="L182" s="585" t="s">
        <v>160</v>
      </c>
      <c r="M182" s="585" t="s">
        <v>160</v>
      </c>
      <c r="N182" s="585" t="s">
        <v>160</v>
      </c>
      <c r="O182" s="585" t="s">
        <v>160</v>
      </c>
      <c r="P182" s="585" t="s">
        <v>160</v>
      </c>
      <c r="Q182" s="585" t="s">
        <v>160</v>
      </c>
      <c r="R182" s="585" t="s">
        <v>160</v>
      </c>
      <c r="S182" s="585" t="s">
        <v>160</v>
      </c>
      <c r="T182" s="585" t="s">
        <v>160</v>
      </c>
      <c r="U182" s="585" t="s">
        <v>160</v>
      </c>
      <c r="V182" s="585" t="s">
        <v>160</v>
      </c>
      <c r="W182" s="585" t="s">
        <v>160</v>
      </c>
      <c r="X182" s="585" t="s">
        <v>160</v>
      </c>
      <c r="Y182" s="585" t="s">
        <v>160</v>
      </c>
      <c r="Z182" s="585" t="s">
        <v>160</v>
      </c>
      <c r="AA182" s="585" t="s">
        <v>160</v>
      </c>
      <c r="AB182" s="585" t="s">
        <v>160</v>
      </c>
      <c r="AC182" s="585" t="s">
        <v>160</v>
      </c>
      <c r="AD182" s="585" t="s">
        <v>160</v>
      </c>
      <c r="AE182" s="585" t="s">
        <v>160</v>
      </c>
      <c r="AF182" s="585" t="s">
        <v>160</v>
      </c>
      <c r="AG182" s="585" t="s">
        <v>160</v>
      </c>
      <c r="AH182" s="585" t="s">
        <v>160</v>
      </c>
      <c r="AI182" s="585" t="s">
        <v>160</v>
      </c>
      <c r="AJ182" s="347" t="s">
        <v>160</v>
      </c>
      <c r="AK182" s="347" t="s">
        <v>160</v>
      </c>
      <c r="AL182" s="347" t="s">
        <v>160</v>
      </c>
      <c r="AM182" s="347" t="s">
        <v>160</v>
      </c>
      <c r="AN182" s="347" t="s">
        <v>160</v>
      </c>
      <c r="AO182" s="347" t="s">
        <v>160</v>
      </c>
      <c r="AP182" s="347" t="s">
        <v>160</v>
      </c>
      <c r="AQ182" s="347" t="s">
        <v>160</v>
      </c>
      <c r="AR182" s="347" t="s">
        <v>160</v>
      </c>
      <c r="AS182" s="347" t="s">
        <v>160</v>
      </c>
      <c r="AT182" s="347" t="s">
        <v>160</v>
      </c>
      <c r="AU182" s="347" t="s">
        <v>160</v>
      </c>
      <c r="AV182" s="928" t="s">
        <v>160</v>
      </c>
      <c r="AW182" s="347" t="s">
        <v>160</v>
      </c>
      <c r="AX182" s="347" t="s">
        <v>160</v>
      </c>
      <c r="AY182" s="347" t="s">
        <v>160</v>
      </c>
      <c r="AZ182" s="347" t="s">
        <v>160</v>
      </c>
      <c r="BA182" s="347" t="s">
        <v>160</v>
      </c>
      <c r="BB182" s="347" t="s">
        <v>160</v>
      </c>
      <c r="BC182" s="347" t="s">
        <v>160</v>
      </c>
      <c r="BD182" s="347" t="s">
        <v>160</v>
      </c>
      <c r="BE182" s="347" t="s">
        <v>160</v>
      </c>
      <c r="BF182" s="585" t="s">
        <v>160</v>
      </c>
      <c r="BG182" s="585" t="s">
        <v>160</v>
      </c>
      <c r="BH182" s="585" t="s">
        <v>160</v>
      </c>
      <c r="BI182" s="585" t="s">
        <v>160</v>
      </c>
      <c r="BJ182" s="585" t="s">
        <v>160</v>
      </c>
      <c r="BK182" s="585" t="s">
        <v>160</v>
      </c>
      <c r="BL182" s="585" t="s">
        <v>160</v>
      </c>
      <c r="BM182" s="585" t="s">
        <v>160</v>
      </c>
      <c r="BN182" s="585" t="s">
        <v>160</v>
      </c>
      <c r="BO182" s="585" t="s">
        <v>160</v>
      </c>
      <c r="BP182" s="585" t="s">
        <v>160</v>
      </c>
      <c r="BQ182" s="585">
        <v>1174</v>
      </c>
      <c r="BR182" s="585">
        <v>1174</v>
      </c>
      <c r="BS182" s="585">
        <v>1174</v>
      </c>
      <c r="BT182" s="585">
        <v>1174</v>
      </c>
      <c r="BU182" s="585">
        <v>1174</v>
      </c>
      <c r="BV182" s="585">
        <v>1174</v>
      </c>
      <c r="BW182" s="585">
        <v>1174</v>
      </c>
      <c r="BX182" s="585">
        <v>1174</v>
      </c>
      <c r="BY182" s="585">
        <v>1174</v>
      </c>
      <c r="BZ182" s="585">
        <v>1174</v>
      </c>
      <c r="CA182" s="585">
        <v>1174</v>
      </c>
      <c r="CB182" s="585">
        <v>1174</v>
      </c>
      <c r="CC182" s="342">
        <v>1359</v>
      </c>
      <c r="CD182" s="585">
        <v>1359</v>
      </c>
      <c r="CE182"/>
      <c r="CF182"/>
      <c r="CG182"/>
      <c r="CH182"/>
      <c r="CI182"/>
      <c r="CJ182"/>
      <c r="CK182"/>
      <c r="CL182"/>
      <c r="CM182"/>
      <c r="CN182"/>
      <c r="CO182"/>
      <c r="CP182"/>
      <c r="CQ182"/>
      <c r="CR182"/>
      <c r="CS182"/>
      <c r="CT182"/>
      <c r="CU182"/>
      <c r="CV182"/>
      <c r="CW182"/>
      <c r="CX182"/>
      <c r="CY182"/>
      <c r="CZ182"/>
      <c r="DA182"/>
      <c r="DB182"/>
      <c r="DC182"/>
      <c r="DD182"/>
      <c r="DE182"/>
    </row>
    <row r="183" spans="1:115" x14ac:dyDescent="0.25">
      <c r="B183" s="117" t="s">
        <v>546</v>
      </c>
      <c r="C183" s="265" t="s">
        <v>160</v>
      </c>
      <c r="D183" s="265" t="s">
        <v>160</v>
      </c>
      <c r="E183" s="265" t="s">
        <v>160</v>
      </c>
      <c r="F183" s="265" t="s">
        <v>160</v>
      </c>
      <c r="G183" s="265" t="s">
        <v>160</v>
      </c>
      <c r="H183" s="265" t="s">
        <v>160</v>
      </c>
      <c r="I183" s="265" t="s">
        <v>160</v>
      </c>
      <c r="J183" s="337" t="s">
        <v>160</v>
      </c>
      <c r="K183" s="337" t="s">
        <v>160</v>
      </c>
      <c r="L183" s="585" t="s">
        <v>160</v>
      </c>
      <c r="M183" s="585" t="s">
        <v>160</v>
      </c>
      <c r="N183" s="585" t="s">
        <v>160</v>
      </c>
      <c r="O183" s="585" t="s">
        <v>160</v>
      </c>
      <c r="P183" s="585" t="s">
        <v>160</v>
      </c>
      <c r="Q183" s="585" t="s">
        <v>160</v>
      </c>
      <c r="R183" s="585" t="s">
        <v>160</v>
      </c>
      <c r="S183" s="585" t="s">
        <v>160</v>
      </c>
      <c r="T183" s="585" t="s">
        <v>160</v>
      </c>
      <c r="U183" s="585" t="s">
        <v>160</v>
      </c>
      <c r="V183" s="585" t="s">
        <v>160</v>
      </c>
      <c r="W183" s="585" t="s">
        <v>160</v>
      </c>
      <c r="X183" s="585" t="s">
        <v>160</v>
      </c>
      <c r="Y183" s="585" t="s">
        <v>160</v>
      </c>
      <c r="Z183" s="585" t="s">
        <v>160</v>
      </c>
      <c r="AA183" s="585" t="s">
        <v>160</v>
      </c>
      <c r="AB183" s="585" t="s">
        <v>160</v>
      </c>
      <c r="AC183" s="585" t="s">
        <v>160</v>
      </c>
      <c r="AD183" s="585" t="s">
        <v>160</v>
      </c>
      <c r="AE183" s="585" t="s">
        <v>160</v>
      </c>
      <c r="AF183" s="585" t="s">
        <v>160</v>
      </c>
      <c r="AG183" s="585" t="s">
        <v>160</v>
      </c>
      <c r="AH183" s="585" t="s">
        <v>160</v>
      </c>
      <c r="AI183" s="585" t="s">
        <v>160</v>
      </c>
      <c r="AJ183" s="347" t="s">
        <v>160</v>
      </c>
      <c r="AK183" s="347" t="s">
        <v>160</v>
      </c>
      <c r="AL183" s="347" t="s">
        <v>160</v>
      </c>
      <c r="AM183" s="347" t="s">
        <v>160</v>
      </c>
      <c r="AN183" s="347" t="s">
        <v>160</v>
      </c>
      <c r="AO183" s="347" t="s">
        <v>160</v>
      </c>
      <c r="AP183" s="347" t="s">
        <v>160</v>
      </c>
      <c r="AQ183" s="347" t="s">
        <v>160</v>
      </c>
      <c r="AR183" s="347" t="s">
        <v>160</v>
      </c>
      <c r="AS183" s="347" t="s">
        <v>160</v>
      </c>
      <c r="AT183" s="347" t="s">
        <v>160</v>
      </c>
      <c r="AU183" s="347" t="s">
        <v>160</v>
      </c>
      <c r="AV183" s="928" t="s">
        <v>160</v>
      </c>
      <c r="AW183" s="347" t="s">
        <v>160</v>
      </c>
      <c r="AX183" s="347" t="s">
        <v>160</v>
      </c>
      <c r="AY183" s="347" t="s">
        <v>160</v>
      </c>
      <c r="AZ183" s="347" t="s">
        <v>160</v>
      </c>
      <c r="BA183" s="347" t="s">
        <v>160</v>
      </c>
      <c r="BB183" s="347" t="s">
        <v>160</v>
      </c>
      <c r="BC183" s="347" t="s">
        <v>160</v>
      </c>
      <c r="BD183" s="347">
        <v>1587</v>
      </c>
      <c r="BE183" s="347">
        <v>1587</v>
      </c>
      <c r="BF183" s="585">
        <v>1587</v>
      </c>
      <c r="BG183" s="585">
        <v>1587</v>
      </c>
      <c r="BH183" s="585">
        <v>1587</v>
      </c>
      <c r="BI183" s="585">
        <v>1587</v>
      </c>
      <c r="BJ183" s="585">
        <v>1587</v>
      </c>
      <c r="BK183" s="585">
        <v>1587</v>
      </c>
      <c r="BL183" s="585">
        <v>1587</v>
      </c>
      <c r="BM183" s="585">
        <v>1587</v>
      </c>
      <c r="BN183" s="585" t="s">
        <v>160</v>
      </c>
      <c r="BO183" s="585" t="s">
        <v>160</v>
      </c>
      <c r="BP183" s="585" t="s">
        <v>160</v>
      </c>
      <c r="BQ183" s="585">
        <v>1249</v>
      </c>
      <c r="BR183" s="585">
        <v>1249</v>
      </c>
      <c r="BS183" s="585">
        <v>1249</v>
      </c>
      <c r="BT183" s="585">
        <v>1249</v>
      </c>
      <c r="BU183" s="585">
        <v>1249</v>
      </c>
      <c r="BV183" s="585">
        <v>1249</v>
      </c>
      <c r="BW183" s="585">
        <v>1249</v>
      </c>
      <c r="BX183" s="585">
        <v>1249</v>
      </c>
      <c r="BY183" s="585">
        <v>1249</v>
      </c>
      <c r="BZ183" s="585">
        <v>1249</v>
      </c>
      <c r="CA183" s="585">
        <v>1249</v>
      </c>
      <c r="CB183" s="585">
        <v>1249</v>
      </c>
      <c r="CC183" s="585">
        <v>1249</v>
      </c>
      <c r="CD183" s="585">
        <v>1249</v>
      </c>
      <c r="CE183"/>
      <c r="CF183"/>
      <c r="CG183"/>
      <c r="CH183"/>
      <c r="CI183"/>
      <c r="CJ183"/>
      <c r="CK183"/>
      <c r="CL183"/>
      <c r="CM183"/>
      <c r="CN183"/>
      <c r="CO183"/>
      <c r="CP183"/>
      <c r="CQ183"/>
      <c r="CR183"/>
      <c r="CS183"/>
      <c r="CT183"/>
      <c r="CU183"/>
      <c r="CV183"/>
      <c r="CW183"/>
      <c r="CX183"/>
      <c r="CY183"/>
      <c r="CZ183"/>
      <c r="DA183"/>
      <c r="DB183"/>
      <c r="DC183"/>
      <c r="DD183"/>
      <c r="DE183"/>
    </row>
    <row r="184" spans="1:115" x14ac:dyDescent="0.25">
      <c r="B184" s="117" t="s">
        <v>574</v>
      </c>
      <c r="C184" s="264" t="s">
        <v>160</v>
      </c>
      <c r="D184" s="264" t="s">
        <v>160</v>
      </c>
      <c r="E184" s="264" t="s">
        <v>160</v>
      </c>
      <c r="F184" s="264" t="s">
        <v>160</v>
      </c>
      <c r="G184" s="264" t="s">
        <v>160</v>
      </c>
      <c r="H184" s="264" t="s">
        <v>160</v>
      </c>
      <c r="I184" s="264" t="s">
        <v>160</v>
      </c>
      <c r="J184" s="337" t="s">
        <v>160</v>
      </c>
      <c r="K184" s="337" t="s">
        <v>160</v>
      </c>
      <c r="L184" s="585" t="s">
        <v>160</v>
      </c>
      <c r="M184" s="585" t="s">
        <v>160</v>
      </c>
      <c r="N184" s="585" t="s">
        <v>160</v>
      </c>
      <c r="O184" s="585" t="s">
        <v>160</v>
      </c>
      <c r="P184" s="585" t="s">
        <v>160</v>
      </c>
      <c r="Q184" s="585" t="s">
        <v>160</v>
      </c>
      <c r="R184" s="585" t="s">
        <v>160</v>
      </c>
      <c r="S184" s="585" t="s">
        <v>160</v>
      </c>
      <c r="T184" s="585" t="s">
        <v>160</v>
      </c>
      <c r="U184" s="585" t="s">
        <v>160</v>
      </c>
      <c r="V184" s="585" t="s">
        <v>160</v>
      </c>
      <c r="W184" s="585" t="s">
        <v>160</v>
      </c>
      <c r="X184" s="585" t="s">
        <v>160</v>
      </c>
      <c r="Y184" s="585" t="s">
        <v>160</v>
      </c>
      <c r="Z184" s="585" t="s">
        <v>160</v>
      </c>
      <c r="AA184" s="585" t="s">
        <v>160</v>
      </c>
      <c r="AB184" s="585" t="s">
        <v>160</v>
      </c>
      <c r="AC184" s="585" t="s">
        <v>160</v>
      </c>
      <c r="AD184" s="585" t="s">
        <v>160</v>
      </c>
      <c r="AE184" s="585" t="s">
        <v>160</v>
      </c>
      <c r="AF184" s="585" t="s">
        <v>160</v>
      </c>
      <c r="AG184" s="585" t="s">
        <v>160</v>
      </c>
      <c r="AH184" s="585" t="s">
        <v>160</v>
      </c>
      <c r="AI184" s="585" t="s">
        <v>160</v>
      </c>
      <c r="AJ184" s="347" t="s">
        <v>160</v>
      </c>
      <c r="AK184" s="347" t="s">
        <v>160</v>
      </c>
      <c r="AL184" s="347" t="s">
        <v>160</v>
      </c>
      <c r="AM184" s="347" t="s">
        <v>160</v>
      </c>
      <c r="AN184" s="347" t="s">
        <v>160</v>
      </c>
      <c r="AO184" s="347" t="s">
        <v>160</v>
      </c>
      <c r="AP184" s="347" t="s">
        <v>160</v>
      </c>
      <c r="AQ184" s="347" t="s">
        <v>160</v>
      </c>
      <c r="AR184" s="347" t="s">
        <v>160</v>
      </c>
      <c r="AS184" s="347" t="s">
        <v>160</v>
      </c>
      <c r="AT184" s="347" t="s">
        <v>160</v>
      </c>
      <c r="AU184" s="347" t="s">
        <v>160</v>
      </c>
      <c r="AV184" s="928" t="s">
        <v>160</v>
      </c>
      <c r="AW184" s="349" t="s">
        <v>160</v>
      </c>
      <c r="AX184" s="349" t="s">
        <v>160</v>
      </c>
      <c r="AY184" s="347" t="s">
        <v>160</v>
      </c>
      <c r="AZ184" s="347" t="s">
        <v>160</v>
      </c>
      <c r="BA184" s="347" t="s">
        <v>160</v>
      </c>
      <c r="BB184" s="347" t="s">
        <v>160</v>
      </c>
      <c r="BC184" s="347">
        <v>1390</v>
      </c>
      <c r="BD184" s="347">
        <v>1390</v>
      </c>
      <c r="BE184" s="347">
        <v>1390</v>
      </c>
      <c r="BF184" s="585">
        <v>1390</v>
      </c>
      <c r="BG184" s="585">
        <v>1390</v>
      </c>
      <c r="BH184" s="585">
        <v>1390</v>
      </c>
      <c r="BI184" s="585">
        <v>1390</v>
      </c>
      <c r="BJ184" s="585">
        <v>1390</v>
      </c>
      <c r="BK184" s="585">
        <v>1390</v>
      </c>
      <c r="BL184" s="585">
        <v>1390</v>
      </c>
      <c r="BM184" s="585">
        <v>1390</v>
      </c>
      <c r="BN184" s="585" t="s">
        <v>160</v>
      </c>
      <c r="BO184" s="585" t="s">
        <v>160</v>
      </c>
      <c r="BP184" s="585" t="s">
        <v>160</v>
      </c>
      <c r="BQ184" s="585" t="s">
        <v>160</v>
      </c>
      <c r="BR184" s="585" t="s">
        <v>160</v>
      </c>
      <c r="BS184" s="585" t="s">
        <v>160</v>
      </c>
      <c r="BT184" s="585" t="s">
        <v>160</v>
      </c>
      <c r="BU184" s="585" t="s">
        <v>160</v>
      </c>
      <c r="BV184" s="585" t="s">
        <v>160</v>
      </c>
      <c r="BW184" s="585" t="s">
        <v>160</v>
      </c>
      <c r="BX184" s="585" t="s">
        <v>160</v>
      </c>
      <c r="BY184" s="342">
        <v>1275</v>
      </c>
      <c r="BZ184" s="585">
        <v>1275</v>
      </c>
      <c r="CA184" s="585">
        <v>1275</v>
      </c>
      <c r="CB184" s="585">
        <v>1275</v>
      </c>
      <c r="CC184" s="585">
        <v>1275</v>
      </c>
      <c r="CD184" s="585">
        <v>1275</v>
      </c>
      <c r="CE184"/>
      <c r="CF184"/>
      <c r="CG184"/>
      <c r="CH184"/>
      <c r="CI184"/>
      <c r="CJ184"/>
      <c r="CK184"/>
      <c r="CL184"/>
      <c r="CM184"/>
      <c r="CN184"/>
      <c r="CO184"/>
      <c r="CP184"/>
      <c r="CQ184"/>
      <c r="CR184"/>
      <c r="CS184"/>
      <c r="CT184"/>
      <c r="CU184"/>
      <c r="CV184"/>
      <c r="CW184"/>
      <c r="CX184"/>
      <c r="CY184"/>
      <c r="CZ184"/>
      <c r="DA184"/>
      <c r="DB184"/>
      <c r="DC184"/>
      <c r="DD184"/>
      <c r="DE184"/>
    </row>
    <row r="185" spans="1:115" x14ac:dyDescent="0.25">
      <c r="B185" s="117" t="s">
        <v>547</v>
      </c>
      <c r="C185" s="265" t="s">
        <v>160</v>
      </c>
      <c r="D185" s="265" t="s">
        <v>160</v>
      </c>
      <c r="E185" s="265" t="s">
        <v>160</v>
      </c>
      <c r="F185" s="265" t="s">
        <v>160</v>
      </c>
      <c r="G185" s="265" t="s">
        <v>160</v>
      </c>
      <c r="H185" s="265" t="s">
        <v>160</v>
      </c>
      <c r="I185" s="265" t="s">
        <v>160</v>
      </c>
      <c r="J185" s="337" t="s">
        <v>160</v>
      </c>
      <c r="K185" s="337" t="s">
        <v>160</v>
      </c>
      <c r="L185" s="585" t="s">
        <v>160</v>
      </c>
      <c r="M185" s="585" t="s">
        <v>160</v>
      </c>
      <c r="N185" s="585" t="s">
        <v>160</v>
      </c>
      <c r="O185" s="585" t="s">
        <v>160</v>
      </c>
      <c r="P185" s="585" t="s">
        <v>160</v>
      </c>
      <c r="Q185" s="585" t="s">
        <v>160</v>
      </c>
      <c r="R185" s="585" t="s">
        <v>160</v>
      </c>
      <c r="S185" s="585" t="s">
        <v>160</v>
      </c>
      <c r="T185" s="585" t="s">
        <v>160</v>
      </c>
      <c r="U185" s="585" t="s">
        <v>160</v>
      </c>
      <c r="V185" s="585" t="s">
        <v>160</v>
      </c>
      <c r="W185" s="585" t="s">
        <v>160</v>
      </c>
      <c r="X185" s="585" t="s">
        <v>160</v>
      </c>
      <c r="Y185" s="585" t="s">
        <v>160</v>
      </c>
      <c r="Z185" s="585" t="s">
        <v>160</v>
      </c>
      <c r="AA185" s="585" t="s">
        <v>160</v>
      </c>
      <c r="AB185" s="585" t="s">
        <v>160</v>
      </c>
      <c r="AC185" s="585" t="s">
        <v>160</v>
      </c>
      <c r="AD185" s="585" t="s">
        <v>160</v>
      </c>
      <c r="AE185" s="585" t="s">
        <v>160</v>
      </c>
      <c r="AF185" s="585" t="s">
        <v>160</v>
      </c>
      <c r="AG185" s="585" t="s">
        <v>160</v>
      </c>
      <c r="AH185" s="585" t="s">
        <v>160</v>
      </c>
      <c r="AI185" s="585" t="s">
        <v>160</v>
      </c>
      <c r="AJ185" s="347" t="s">
        <v>160</v>
      </c>
      <c r="AK185" s="347" t="s">
        <v>160</v>
      </c>
      <c r="AL185" s="347" t="s">
        <v>160</v>
      </c>
      <c r="AM185" s="347" t="s">
        <v>160</v>
      </c>
      <c r="AN185" s="347" t="s">
        <v>160</v>
      </c>
      <c r="AO185" s="347" t="s">
        <v>160</v>
      </c>
      <c r="AP185" s="347" t="s">
        <v>160</v>
      </c>
      <c r="AQ185" s="347" t="s">
        <v>160</v>
      </c>
      <c r="AR185" s="347" t="s">
        <v>160</v>
      </c>
      <c r="AS185" s="347" t="s">
        <v>160</v>
      </c>
      <c r="AT185" s="347" t="s">
        <v>160</v>
      </c>
      <c r="AU185" s="347" t="s">
        <v>160</v>
      </c>
      <c r="AV185" s="928" t="s">
        <v>160</v>
      </c>
      <c r="AW185" s="347" t="s">
        <v>160</v>
      </c>
      <c r="AX185" s="347" t="s">
        <v>160</v>
      </c>
      <c r="AY185" s="347" t="s">
        <v>160</v>
      </c>
      <c r="AZ185" s="347" t="s">
        <v>160</v>
      </c>
      <c r="BA185" s="347" t="s">
        <v>160</v>
      </c>
      <c r="BB185" s="347" t="s">
        <v>160</v>
      </c>
      <c r="BC185" s="347" t="s">
        <v>160</v>
      </c>
      <c r="BD185" s="347" t="s">
        <v>160</v>
      </c>
      <c r="BE185" s="347">
        <v>1387.5</v>
      </c>
      <c r="BF185" s="585">
        <v>1387.5</v>
      </c>
      <c r="BG185" s="585">
        <v>1387.5</v>
      </c>
      <c r="BH185" s="585">
        <v>1387.5</v>
      </c>
      <c r="BI185" s="585">
        <v>1387.5</v>
      </c>
      <c r="BJ185" s="585">
        <v>1387.5</v>
      </c>
      <c r="BK185" s="585">
        <v>1387.5</v>
      </c>
      <c r="BL185" s="585">
        <v>1387.5</v>
      </c>
      <c r="BM185" s="585">
        <v>1387.5</v>
      </c>
      <c r="BN185" s="585" t="s">
        <v>160</v>
      </c>
      <c r="BO185" s="585" t="s">
        <v>160</v>
      </c>
      <c r="BP185" s="585" t="s">
        <v>160</v>
      </c>
      <c r="BQ185" s="585">
        <v>1148</v>
      </c>
      <c r="BR185" s="585">
        <v>1148</v>
      </c>
      <c r="BS185" s="585">
        <v>1148</v>
      </c>
      <c r="BT185" s="585">
        <v>1148</v>
      </c>
      <c r="BU185" s="585">
        <v>1148</v>
      </c>
      <c r="BV185" s="585">
        <v>1148</v>
      </c>
      <c r="BW185" s="585">
        <v>1148</v>
      </c>
      <c r="BX185" s="585">
        <v>1148</v>
      </c>
      <c r="BY185" s="342">
        <v>1294</v>
      </c>
      <c r="BZ185" s="585">
        <v>1294</v>
      </c>
      <c r="CA185" s="585">
        <v>1294</v>
      </c>
      <c r="CB185" s="585">
        <v>1294</v>
      </c>
      <c r="CC185" s="585">
        <v>1294</v>
      </c>
      <c r="CD185" s="342">
        <v>1362.4</v>
      </c>
      <c r="CE185"/>
      <c r="CF185"/>
      <c r="CG185"/>
      <c r="CH185"/>
      <c r="CI185"/>
      <c r="CJ185"/>
      <c r="CK185"/>
      <c r="CL185"/>
      <c r="CM185"/>
      <c r="CN185"/>
      <c r="CO185"/>
      <c r="CP185"/>
      <c r="CQ185"/>
      <c r="CR185"/>
      <c r="CS185"/>
      <c r="CT185"/>
      <c r="CU185"/>
      <c r="CV185"/>
      <c r="CW185"/>
      <c r="CX185"/>
      <c r="CY185"/>
      <c r="CZ185"/>
      <c r="DA185"/>
      <c r="DB185"/>
      <c r="DC185"/>
      <c r="DD185"/>
      <c r="DE185"/>
    </row>
    <row r="186" spans="1:115" x14ac:dyDescent="0.25">
      <c r="B186" s="117" t="s">
        <v>1150</v>
      </c>
      <c r="C186" s="265" t="s">
        <v>160</v>
      </c>
      <c r="D186" s="265" t="s">
        <v>160</v>
      </c>
      <c r="E186" s="265" t="s">
        <v>160</v>
      </c>
      <c r="F186" s="265" t="s">
        <v>160</v>
      </c>
      <c r="G186" s="265" t="s">
        <v>160</v>
      </c>
      <c r="H186" s="265" t="s">
        <v>160</v>
      </c>
      <c r="I186" s="265" t="s">
        <v>160</v>
      </c>
      <c r="J186" s="265" t="s">
        <v>160</v>
      </c>
      <c r="K186" s="265" t="s">
        <v>160</v>
      </c>
      <c r="L186" s="265" t="s">
        <v>160</v>
      </c>
      <c r="M186" s="265" t="s">
        <v>160</v>
      </c>
      <c r="N186" s="265" t="s">
        <v>160</v>
      </c>
      <c r="O186" s="265" t="s">
        <v>160</v>
      </c>
      <c r="P186" s="265" t="s">
        <v>160</v>
      </c>
      <c r="Q186" s="265" t="s">
        <v>160</v>
      </c>
      <c r="R186" s="265" t="s">
        <v>160</v>
      </c>
      <c r="S186" s="265" t="s">
        <v>160</v>
      </c>
      <c r="T186" s="265" t="s">
        <v>160</v>
      </c>
      <c r="U186" s="265" t="s">
        <v>160</v>
      </c>
      <c r="V186" s="265" t="s">
        <v>160</v>
      </c>
      <c r="W186" s="265" t="s">
        <v>160</v>
      </c>
      <c r="X186" s="265" t="s">
        <v>160</v>
      </c>
      <c r="Y186" s="265" t="s">
        <v>160</v>
      </c>
      <c r="Z186" s="265" t="s">
        <v>160</v>
      </c>
      <c r="AA186" s="265" t="s">
        <v>160</v>
      </c>
      <c r="AB186" s="265" t="s">
        <v>160</v>
      </c>
      <c r="AC186" s="265" t="s">
        <v>160</v>
      </c>
      <c r="AD186" s="265" t="s">
        <v>160</v>
      </c>
      <c r="AE186" s="265" t="s">
        <v>160</v>
      </c>
      <c r="AF186" s="265" t="s">
        <v>160</v>
      </c>
      <c r="AG186" s="265" t="s">
        <v>160</v>
      </c>
      <c r="AH186" s="265" t="s">
        <v>160</v>
      </c>
      <c r="AI186" s="265" t="s">
        <v>160</v>
      </c>
      <c r="AJ186" s="265" t="s">
        <v>160</v>
      </c>
      <c r="AK186" s="265" t="s">
        <v>160</v>
      </c>
      <c r="AL186" s="265" t="s">
        <v>160</v>
      </c>
      <c r="AM186" s="265" t="s">
        <v>160</v>
      </c>
      <c r="AN186" s="265" t="s">
        <v>160</v>
      </c>
      <c r="AO186" s="265" t="s">
        <v>160</v>
      </c>
      <c r="AP186" s="265" t="s">
        <v>160</v>
      </c>
      <c r="AQ186" s="265" t="s">
        <v>160</v>
      </c>
      <c r="AR186" s="265" t="s">
        <v>160</v>
      </c>
      <c r="AS186" s="265" t="s">
        <v>160</v>
      </c>
      <c r="AT186" s="265" t="s">
        <v>160</v>
      </c>
      <c r="AU186" s="265" t="s">
        <v>160</v>
      </c>
      <c r="AV186" s="265" t="s">
        <v>160</v>
      </c>
      <c r="AW186" s="265" t="s">
        <v>160</v>
      </c>
      <c r="AX186" s="265" t="s">
        <v>160</v>
      </c>
      <c r="AY186" s="265" t="s">
        <v>160</v>
      </c>
      <c r="AZ186" s="265" t="s">
        <v>160</v>
      </c>
      <c r="BA186" s="265" t="s">
        <v>160</v>
      </c>
      <c r="BB186" s="265" t="s">
        <v>160</v>
      </c>
      <c r="BC186" s="265" t="s">
        <v>160</v>
      </c>
      <c r="BD186" s="265" t="s">
        <v>160</v>
      </c>
      <c r="BE186" s="265" t="s">
        <v>160</v>
      </c>
      <c r="BF186" s="265" t="s">
        <v>160</v>
      </c>
      <c r="BG186" s="265" t="s">
        <v>160</v>
      </c>
      <c r="BH186" s="265" t="s">
        <v>160</v>
      </c>
      <c r="BI186" s="265" t="s">
        <v>160</v>
      </c>
      <c r="BJ186" s="265" t="s">
        <v>160</v>
      </c>
      <c r="BK186" s="265" t="s">
        <v>160</v>
      </c>
      <c r="BL186" s="265" t="s">
        <v>160</v>
      </c>
      <c r="BM186" s="265" t="s">
        <v>160</v>
      </c>
      <c r="BN186" s="585">
        <v>1267</v>
      </c>
      <c r="BO186" s="585">
        <v>1267</v>
      </c>
      <c r="BP186" s="585">
        <v>1267</v>
      </c>
      <c r="BQ186" s="341">
        <v>985</v>
      </c>
      <c r="BR186" s="265">
        <v>985</v>
      </c>
      <c r="BS186" s="265">
        <v>985</v>
      </c>
      <c r="BT186" s="342">
        <v>1072</v>
      </c>
      <c r="BU186" s="585">
        <v>1072</v>
      </c>
      <c r="BV186" s="585">
        <v>1072</v>
      </c>
      <c r="BW186" s="585">
        <v>1072</v>
      </c>
      <c r="BX186" s="585">
        <v>1072</v>
      </c>
      <c r="BY186" s="585">
        <v>1072</v>
      </c>
      <c r="BZ186" s="585">
        <v>1072</v>
      </c>
      <c r="CA186" s="585">
        <v>1072</v>
      </c>
      <c r="CB186" s="342">
        <v>1372</v>
      </c>
      <c r="CC186" s="585">
        <v>1372</v>
      </c>
      <c r="CD186" s="585">
        <v>1372</v>
      </c>
      <c r="CE186"/>
      <c r="CF186"/>
      <c r="CG186"/>
      <c r="CH186"/>
      <c r="CI186"/>
      <c r="CJ186"/>
      <c r="CK186"/>
      <c r="CL186"/>
      <c r="CM186"/>
      <c r="CN186"/>
      <c r="CO186"/>
      <c r="CP186"/>
      <c r="CQ186"/>
      <c r="CR186"/>
      <c r="CS186"/>
      <c r="CT186"/>
      <c r="CU186"/>
      <c r="CV186"/>
      <c r="CW186"/>
      <c r="CX186"/>
      <c r="CY186"/>
      <c r="CZ186"/>
      <c r="DA186"/>
      <c r="DB186"/>
      <c r="DC186"/>
      <c r="DD186"/>
      <c r="DE186"/>
    </row>
    <row r="187" spans="1:115" x14ac:dyDescent="0.25">
      <c r="A187" s="1068"/>
      <c r="B187" s="765" t="s">
        <v>545</v>
      </c>
      <c r="C187" s="1081" t="s">
        <v>160</v>
      </c>
      <c r="D187" s="1081" t="s">
        <v>160</v>
      </c>
      <c r="E187" s="1081" t="s">
        <v>160</v>
      </c>
      <c r="F187" s="1081" t="s">
        <v>160</v>
      </c>
      <c r="G187" s="1081" t="s">
        <v>160</v>
      </c>
      <c r="H187" s="1081" t="s">
        <v>160</v>
      </c>
      <c r="I187" s="1081" t="s">
        <v>160</v>
      </c>
      <c r="J187" s="1082" t="s">
        <v>160</v>
      </c>
      <c r="K187" s="1082" t="s">
        <v>160</v>
      </c>
      <c r="L187" s="1082" t="s">
        <v>160</v>
      </c>
      <c r="M187" s="1082" t="s">
        <v>160</v>
      </c>
      <c r="N187" s="1082" t="s">
        <v>160</v>
      </c>
      <c r="O187" s="1082" t="s">
        <v>160</v>
      </c>
      <c r="P187" s="1082" t="s">
        <v>160</v>
      </c>
      <c r="Q187" s="1082" t="s">
        <v>160</v>
      </c>
      <c r="R187" s="1082" t="s">
        <v>160</v>
      </c>
      <c r="S187" s="1082" t="s">
        <v>160</v>
      </c>
      <c r="T187" s="1082" t="s">
        <v>160</v>
      </c>
      <c r="U187" s="1082" t="s">
        <v>160</v>
      </c>
      <c r="V187" s="1082" t="s">
        <v>160</v>
      </c>
      <c r="W187" s="1082" t="s">
        <v>160</v>
      </c>
      <c r="X187" s="1082" t="s">
        <v>160</v>
      </c>
      <c r="Y187" s="1082" t="s">
        <v>160</v>
      </c>
      <c r="Z187" s="1082" t="s">
        <v>160</v>
      </c>
      <c r="AA187" s="1082" t="s">
        <v>160</v>
      </c>
      <c r="AB187" s="1082" t="s">
        <v>160</v>
      </c>
      <c r="AC187" s="1082" t="s">
        <v>160</v>
      </c>
      <c r="AD187" s="1082" t="s">
        <v>160</v>
      </c>
      <c r="AE187" s="1082" t="s">
        <v>160</v>
      </c>
      <c r="AF187" s="1082" t="s">
        <v>160</v>
      </c>
      <c r="AG187" s="1082" t="s">
        <v>160</v>
      </c>
      <c r="AH187" s="1082" t="s">
        <v>160</v>
      </c>
      <c r="AI187" s="1082" t="s">
        <v>160</v>
      </c>
      <c r="AJ187" s="1082" t="s">
        <v>160</v>
      </c>
      <c r="AK187" s="1082" t="s">
        <v>160</v>
      </c>
      <c r="AL187" s="1082" t="s">
        <v>160</v>
      </c>
      <c r="AM187" s="1082" t="s">
        <v>160</v>
      </c>
      <c r="AN187" s="1082" t="s">
        <v>160</v>
      </c>
      <c r="AO187" s="1082" t="s">
        <v>160</v>
      </c>
      <c r="AP187" s="1082" t="s">
        <v>160</v>
      </c>
      <c r="AQ187" s="1082" t="s">
        <v>160</v>
      </c>
      <c r="AR187" s="1082" t="s">
        <v>160</v>
      </c>
      <c r="AS187" s="1082" t="s">
        <v>160</v>
      </c>
      <c r="AT187" s="1082" t="s">
        <v>160</v>
      </c>
      <c r="AU187" s="1082" t="s">
        <v>160</v>
      </c>
      <c r="AV187" s="1083" t="s">
        <v>160</v>
      </c>
      <c r="AW187" s="1082" t="s">
        <v>160</v>
      </c>
      <c r="AX187" s="1082" t="s">
        <v>160</v>
      </c>
      <c r="AY187" s="1082" t="s">
        <v>160</v>
      </c>
      <c r="AZ187" s="1082" t="s">
        <v>160</v>
      </c>
      <c r="BA187" s="1082" t="s">
        <v>160</v>
      </c>
      <c r="BB187" s="1082" t="s">
        <v>160</v>
      </c>
      <c r="BC187" s="1082" t="s">
        <v>160</v>
      </c>
      <c r="BD187" s="1082" t="s">
        <v>160</v>
      </c>
      <c r="BE187" s="1082" t="s">
        <v>160</v>
      </c>
      <c r="BF187" s="1082" t="s">
        <v>160</v>
      </c>
      <c r="BG187" s="1082" t="s">
        <v>160</v>
      </c>
      <c r="BH187" s="1082" t="s">
        <v>160</v>
      </c>
      <c r="BI187" s="1082" t="s">
        <v>160</v>
      </c>
      <c r="BJ187" s="1082" t="s">
        <v>160</v>
      </c>
      <c r="BK187" s="1082" t="s">
        <v>160</v>
      </c>
      <c r="BL187" s="1082" t="s">
        <v>160</v>
      </c>
      <c r="BM187" s="1082" t="s">
        <v>160</v>
      </c>
      <c r="BN187" s="1082">
        <v>1226</v>
      </c>
      <c r="BO187" s="1082">
        <v>1226</v>
      </c>
      <c r="BP187" s="1082">
        <v>1226</v>
      </c>
      <c r="BQ187" s="1082">
        <v>1226</v>
      </c>
      <c r="BR187" s="1082">
        <v>1280</v>
      </c>
      <c r="BS187" s="1082">
        <v>1280</v>
      </c>
      <c r="BT187" s="1082" t="s">
        <v>160</v>
      </c>
      <c r="BU187" s="1082" t="s">
        <v>160</v>
      </c>
      <c r="BV187" s="1082" t="s">
        <v>160</v>
      </c>
      <c r="BW187" s="1082" t="s">
        <v>160</v>
      </c>
      <c r="BX187" s="1082" t="s">
        <v>160</v>
      </c>
      <c r="BY187" s="1082" t="s">
        <v>160</v>
      </c>
      <c r="BZ187" s="1082" t="s">
        <v>160</v>
      </c>
      <c r="CA187" s="1082" t="s">
        <v>160</v>
      </c>
      <c r="CB187" s="1082" t="s">
        <v>160</v>
      </c>
      <c r="CC187" s="1082" t="s">
        <v>160</v>
      </c>
      <c r="CD187" s="1082" t="s">
        <v>160</v>
      </c>
      <c r="CE187"/>
      <c r="CF187"/>
      <c r="CG187"/>
      <c r="CH187"/>
      <c r="CI187"/>
      <c r="CJ187"/>
      <c r="CK187"/>
      <c r="CL187"/>
      <c r="CM187"/>
      <c r="CN187"/>
      <c r="CO187"/>
      <c r="CP187"/>
      <c r="CQ187"/>
      <c r="CR187"/>
      <c r="CS187"/>
      <c r="CT187"/>
      <c r="CU187"/>
      <c r="CV187"/>
      <c r="CW187"/>
      <c r="CX187"/>
      <c r="CY187"/>
      <c r="CZ187"/>
      <c r="DA187"/>
      <c r="DB187"/>
      <c r="DC187"/>
      <c r="DD187"/>
      <c r="DE187"/>
    </row>
    <row r="188" spans="1:115" x14ac:dyDescent="0.25">
      <c r="A188"/>
      <c r="B188" s="1072" t="s">
        <v>557</v>
      </c>
      <c r="C188" s="1073" t="str">
        <f t="shared" ref="C188:BK188" si="141">IFERROR(AVERAGE(C182:C187),"-")</f>
        <v>-</v>
      </c>
      <c r="D188" s="1073" t="str">
        <f t="shared" si="141"/>
        <v>-</v>
      </c>
      <c r="E188" s="1073" t="str">
        <f t="shared" si="141"/>
        <v>-</v>
      </c>
      <c r="F188" s="1073" t="str">
        <f t="shared" si="141"/>
        <v>-</v>
      </c>
      <c r="G188" s="1073" t="str">
        <f t="shared" si="141"/>
        <v>-</v>
      </c>
      <c r="H188" s="1073" t="str">
        <f t="shared" si="141"/>
        <v>-</v>
      </c>
      <c r="I188" s="1073" t="str">
        <f t="shared" si="141"/>
        <v>-</v>
      </c>
      <c r="J188" s="1073" t="str">
        <f t="shared" si="141"/>
        <v>-</v>
      </c>
      <c r="K188" s="1073" t="str">
        <f t="shared" si="141"/>
        <v>-</v>
      </c>
      <c r="L188" s="1073" t="str">
        <f t="shared" si="141"/>
        <v>-</v>
      </c>
      <c r="M188" s="1073" t="str">
        <f t="shared" si="141"/>
        <v>-</v>
      </c>
      <c r="N188" s="1073" t="str">
        <f t="shared" si="141"/>
        <v>-</v>
      </c>
      <c r="O188" s="1073" t="str">
        <f t="shared" si="141"/>
        <v>-</v>
      </c>
      <c r="P188" s="1073" t="str">
        <f t="shared" si="141"/>
        <v>-</v>
      </c>
      <c r="Q188" s="1073" t="str">
        <f t="shared" si="141"/>
        <v>-</v>
      </c>
      <c r="R188" s="1073" t="str">
        <f t="shared" si="141"/>
        <v>-</v>
      </c>
      <c r="S188" s="1073" t="str">
        <f t="shared" si="141"/>
        <v>-</v>
      </c>
      <c r="T188" s="1073" t="str">
        <f t="shared" si="141"/>
        <v>-</v>
      </c>
      <c r="U188" s="1073" t="str">
        <f t="shared" si="141"/>
        <v>-</v>
      </c>
      <c r="V188" s="1073" t="str">
        <f t="shared" si="141"/>
        <v>-</v>
      </c>
      <c r="W188" s="1073" t="str">
        <f t="shared" si="141"/>
        <v>-</v>
      </c>
      <c r="X188" s="1073" t="str">
        <f t="shared" si="141"/>
        <v>-</v>
      </c>
      <c r="Y188" s="1073" t="str">
        <f t="shared" si="141"/>
        <v>-</v>
      </c>
      <c r="Z188" s="1073" t="str">
        <f t="shared" si="141"/>
        <v>-</v>
      </c>
      <c r="AA188" s="1073" t="str">
        <f t="shared" si="141"/>
        <v>-</v>
      </c>
      <c r="AB188" s="1073" t="str">
        <f t="shared" si="141"/>
        <v>-</v>
      </c>
      <c r="AC188" s="1073" t="str">
        <f t="shared" si="141"/>
        <v>-</v>
      </c>
      <c r="AD188" s="1073" t="str">
        <f t="shared" si="141"/>
        <v>-</v>
      </c>
      <c r="AE188" s="1073" t="str">
        <f t="shared" si="141"/>
        <v>-</v>
      </c>
      <c r="AF188" s="1073" t="str">
        <f t="shared" si="141"/>
        <v>-</v>
      </c>
      <c r="AG188" s="1073" t="str">
        <f t="shared" si="141"/>
        <v>-</v>
      </c>
      <c r="AH188" s="1073" t="str">
        <f t="shared" si="141"/>
        <v>-</v>
      </c>
      <c r="AI188" s="1073" t="str">
        <f t="shared" si="141"/>
        <v>-</v>
      </c>
      <c r="AJ188" s="1073" t="str">
        <f t="shared" si="141"/>
        <v>-</v>
      </c>
      <c r="AK188" s="1073" t="str">
        <f t="shared" si="141"/>
        <v>-</v>
      </c>
      <c r="AL188" s="1073" t="str">
        <f t="shared" si="141"/>
        <v>-</v>
      </c>
      <c r="AM188" s="1073" t="str">
        <f t="shared" si="141"/>
        <v>-</v>
      </c>
      <c r="AN188" s="1073" t="str">
        <f t="shared" si="141"/>
        <v>-</v>
      </c>
      <c r="AO188" s="1073" t="str">
        <f t="shared" si="141"/>
        <v>-</v>
      </c>
      <c r="AP188" s="1073" t="str">
        <f t="shared" si="141"/>
        <v>-</v>
      </c>
      <c r="AQ188" s="1073" t="str">
        <f t="shared" si="141"/>
        <v>-</v>
      </c>
      <c r="AR188" s="1073" t="str">
        <f t="shared" si="141"/>
        <v>-</v>
      </c>
      <c r="AS188" s="1073" t="str">
        <f t="shared" si="141"/>
        <v>-</v>
      </c>
      <c r="AT188" s="1073" t="str">
        <f t="shared" si="141"/>
        <v>-</v>
      </c>
      <c r="AU188" s="1073" t="str">
        <f t="shared" si="141"/>
        <v>-</v>
      </c>
      <c r="AV188" s="1073" t="str">
        <f t="shared" si="141"/>
        <v>-</v>
      </c>
      <c r="AW188" s="1073" t="str">
        <f t="shared" si="141"/>
        <v>-</v>
      </c>
      <c r="AX188" s="1073" t="str">
        <f t="shared" si="141"/>
        <v>-</v>
      </c>
      <c r="AY188" s="1073" t="str">
        <f t="shared" si="141"/>
        <v>-</v>
      </c>
      <c r="AZ188" s="1073" t="str">
        <f t="shared" si="141"/>
        <v>-</v>
      </c>
      <c r="BA188" s="1073" t="str">
        <f t="shared" si="141"/>
        <v>-</v>
      </c>
      <c r="BB188" s="1073" t="str">
        <f t="shared" si="141"/>
        <v>-</v>
      </c>
      <c r="BC188" s="1074">
        <f t="shared" si="141"/>
        <v>1390</v>
      </c>
      <c r="BD188" s="1074">
        <f t="shared" si="141"/>
        <v>1488.5</v>
      </c>
      <c r="BE188" s="1074">
        <f t="shared" si="141"/>
        <v>1454.8333333333333</v>
      </c>
      <c r="BF188" s="1074">
        <f t="shared" si="141"/>
        <v>1454.8333333333333</v>
      </c>
      <c r="BG188" s="1074">
        <f t="shared" si="141"/>
        <v>1454.8333333333333</v>
      </c>
      <c r="BH188" s="1074">
        <f t="shared" si="141"/>
        <v>1454.8333333333333</v>
      </c>
      <c r="BI188" s="1074">
        <f t="shared" si="141"/>
        <v>1454.8333333333333</v>
      </c>
      <c r="BJ188" s="1074">
        <f t="shared" si="141"/>
        <v>1454.8333333333333</v>
      </c>
      <c r="BK188" s="1074">
        <f t="shared" si="141"/>
        <v>1454.8333333333333</v>
      </c>
      <c r="BL188" s="1074">
        <f>IFERROR(AVERAGE(BL182:BL187),"-")</f>
        <v>1454.8333333333333</v>
      </c>
      <c r="BM188" s="1074">
        <f t="shared" ref="BM188:BY188" si="142">IFERROR(AVERAGE(BM182:BM187),"-")</f>
        <v>1454.8333333333333</v>
      </c>
      <c r="BN188" s="1074">
        <f t="shared" si="142"/>
        <v>1246.5</v>
      </c>
      <c r="BO188" s="1074">
        <f t="shared" si="142"/>
        <v>1246.5</v>
      </c>
      <c r="BP188" s="1074">
        <f t="shared" si="142"/>
        <v>1246.5</v>
      </c>
      <c r="BQ188" s="1074">
        <f t="shared" si="142"/>
        <v>1156.4000000000001</v>
      </c>
      <c r="BR188" s="1074">
        <f t="shared" si="142"/>
        <v>1167.2</v>
      </c>
      <c r="BS188" s="1074">
        <f t="shared" si="142"/>
        <v>1167.2</v>
      </c>
      <c r="BT188" s="1074">
        <f t="shared" si="142"/>
        <v>1160.75</v>
      </c>
      <c r="BU188" s="1074">
        <f t="shared" si="142"/>
        <v>1160.75</v>
      </c>
      <c r="BV188" s="1074">
        <f t="shared" si="142"/>
        <v>1160.75</v>
      </c>
      <c r="BW188" s="1074">
        <f t="shared" si="142"/>
        <v>1160.75</v>
      </c>
      <c r="BX188" s="1074">
        <f t="shared" si="142"/>
        <v>1160.75</v>
      </c>
      <c r="BY188" s="1074">
        <f t="shared" si="142"/>
        <v>1212.8</v>
      </c>
      <c r="BZ188" s="1079">
        <f>IFERROR(AVERAGE(BZ182:BZ187),"-")</f>
        <v>1212.8</v>
      </c>
      <c r="CA188" s="1079">
        <f>IFERROR(AVERAGE(CA182:CA187),"-")</f>
        <v>1212.8</v>
      </c>
      <c r="CB188" s="1079">
        <f>IFERROR(AVERAGE(CB182:CB187),"-")</f>
        <v>1272.8</v>
      </c>
      <c r="CC188" s="1079">
        <f>IFERROR(AVERAGE(CC182:CC187),"-")</f>
        <v>1309.8</v>
      </c>
      <c r="CD188" s="1079">
        <f>IFERROR(AVERAGE(CD182:CD187),"-")</f>
        <v>1323.48</v>
      </c>
      <c r="CE188"/>
      <c r="CF188"/>
      <c r="CG188"/>
      <c r="CH188"/>
      <c r="CI188"/>
      <c r="CJ188"/>
      <c r="CK188"/>
      <c r="CL188"/>
      <c r="CM188"/>
      <c r="CN188"/>
      <c r="CO188"/>
      <c r="CP188"/>
      <c r="CQ188"/>
      <c r="CR188"/>
      <c r="CS188"/>
      <c r="CT188"/>
      <c r="CU188"/>
      <c r="CV188"/>
      <c r="CW188"/>
      <c r="CX188"/>
      <c r="CY188"/>
      <c r="CZ188"/>
      <c r="DA188"/>
      <c r="DB188"/>
      <c r="DC188"/>
      <c r="DD188"/>
      <c r="DE188"/>
    </row>
    <row r="189" spans="1:115" x14ac:dyDescent="0.25">
      <c r="X189" s="340"/>
      <c r="Y189" s="340"/>
      <c r="Z189" s="340"/>
      <c r="AA189" s="340"/>
      <c r="AB189" s="340"/>
      <c r="AC189" s="340"/>
      <c r="AD189" s="340"/>
      <c r="AE189" s="340"/>
      <c r="AF189" s="340"/>
      <c r="AG189" s="340"/>
      <c r="AH189" s="340"/>
      <c r="AI189" s="340"/>
      <c r="AJ189" s="340"/>
      <c r="AK189" s="340"/>
      <c r="AL189" s="340"/>
      <c r="AM189" s="340"/>
      <c r="AN189" s="340"/>
      <c r="AO189" s="340"/>
      <c r="AP189" s="340"/>
      <c r="AQ189" s="340"/>
      <c r="AR189" s="340"/>
      <c r="AS189" s="340"/>
      <c r="AT189"/>
      <c r="AU189"/>
      <c r="AV189" s="918"/>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row>
    <row r="190" spans="1:115" x14ac:dyDescent="0.25">
      <c r="B190" s="113" t="s">
        <v>1026</v>
      </c>
      <c r="C190" s="263">
        <f t="shared" ref="C190:BN190" si="143">C$11</f>
        <v>42522</v>
      </c>
      <c r="D190" s="263">
        <f t="shared" si="143"/>
        <v>42552</v>
      </c>
      <c r="E190" s="263">
        <f t="shared" si="143"/>
        <v>42583</v>
      </c>
      <c r="F190" s="263">
        <f t="shared" si="143"/>
        <v>42614</v>
      </c>
      <c r="G190" s="263">
        <f t="shared" si="143"/>
        <v>42644</v>
      </c>
      <c r="H190" s="263">
        <f t="shared" si="143"/>
        <v>42675</v>
      </c>
      <c r="I190" s="263">
        <f t="shared" si="143"/>
        <v>42705</v>
      </c>
      <c r="J190" s="263">
        <f t="shared" si="143"/>
        <v>42736</v>
      </c>
      <c r="K190" s="263">
        <f t="shared" si="143"/>
        <v>42767</v>
      </c>
      <c r="L190" s="263">
        <f t="shared" si="143"/>
        <v>42795</v>
      </c>
      <c r="M190" s="263">
        <f t="shared" si="143"/>
        <v>42826</v>
      </c>
      <c r="N190" s="263">
        <f t="shared" si="143"/>
        <v>42856</v>
      </c>
      <c r="O190" s="263">
        <f t="shared" si="143"/>
        <v>42887</v>
      </c>
      <c r="P190" s="263">
        <f t="shared" si="143"/>
        <v>42917</v>
      </c>
      <c r="Q190" s="263">
        <f t="shared" si="143"/>
        <v>42948</v>
      </c>
      <c r="R190" s="263">
        <f t="shared" si="143"/>
        <v>42979</v>
      </c>
      <c r="S190" s="263">
        <f t="shared" si="143"/>
        <v>43009</v>
      </c>
      <c r="T190" s="263">
        <f t="shared" si="143"/>
        <v>43040</v>
      </c>
      <c r="U190" s="263">
        <f t="shared" si="143"/>
        <v>43070</v>
      </c>
      <c r="V190" s="263">
        <f t="shared" si="143"/>
        <v>43101</v>
      </c>
      <c r="W190" s="263">
        <f t="shared" si="143"/>
        <v>43132</v>
      </c>
      <c r="X190" s="263">
        <f t="shared" si="143"/>
        <v>43160</v>
      </c>
      <c r="Y190" s="263">
        <f t="shared" si="143"/>
        <v>43191</v>
      </c>
      <c r="Z190" s="263">
        <f t="shared" si="143"/>
        <v>43221</v>
      </c>
      <c r="AA190" s="263">
        <f t="shared" si="143"/>
        <v>43252</v>
      </c>
      <c r="AB190" s="263">
        <f t="shared" si="143"/>
        <v>43283</v>
      </c>
      <c r="AC190" s="263">
        <f t="shared" si="143"/>
        <v>43314</v>
      </c>
      <c r="AD190" s="263">
        <f t="shared" si="143"/>
        <v>43345</v>
      </c>
      <c r="AE190" s="263">
        <f t="shared" si="143"/>
        <v>43376</v>
      </c>
      <c r="AF190" s="263">
        <f t="shared" si="143"/>
        <v>43407</v>
      </c>
      <c r="AG190" s="263">
        <f t="shared" si="143"/>
        <v>43437</v>
      </c>
      <c r="AH190" s="263">
        <f t="shared" si="143"/>
        <v>43468</v>
      </c>
      <c r="AI190" s="263">
        <f t="shared" si="143"/>
        <v>43499</v>
      </c>
      <c r="AJ190" s="263">
        <f t="shared" si="143"/>
        <v>43527</v>
      </c>
      <c r="AK190" s="263">
        <f t="shared" si="143"/>
        <v>43558</v>
      </c>
      <c r="AL190" s="263">
        <f t="shared" si="143"/>
        <v>43587</v>
      </c>
      <c r="AM190" s="263">
        <f t="shared" si="143"/>
        <v>43618</v>
      </c>
      <c r="AN190" s="263">
        <f t="shared" si="143"/>
        <v>43647</v>
      </c>
      <c r="AO190" s="263">
        <f t="shared" si="143"/>
        <v>43678</v>
      </c>
      <c r="AP190" s="263">
        <f t="shared" si="143"/>
        <v>43709</v>
      </c>
      <c r="AQ190" s="263">
        <f t="shared" si="143"/>
        <v>43739</v>
      </c>
      <c r="AR190" s="263">
        <f t="shared" si="143"/>
        <v>43770</v>
      </c>
      <c r="AS190" s="263">
        <f t="shared" si="143"/>
        <v>43800</v>
      </c>
      <c r="AT190" s="263">
        <f t="shared" si="143"/>
        <v>43831</v>
      </c>
      <c r="AU190" s="263">
        <f t="shared" si="143"/>
        <v>43862</v>
      </c>
      <c r="AV190" s="914">
        <f t="shared" si="143"/>
        <v>43891</v>
      </c>
      <c r="AW190" s="263">
        <f t="shared" si="143"/>
        <v>43922</v>
      </c>
      <c r="AX190" s="263">
        <f t="shared" si="143"/>
        <v>43952</v>
      </c>
      <c r="AY190" s="263">
        <f t="shared" si="143"/>
        <v>43983</v>
      </c>
      <c r="AZ190" s="263">
        <f t="shared" si="143"/>
        <v>44013</v>
      </c>
      <c r="BA190" s="263">
        <f t="shared" si="143"/>
        <v>44044</v>
      </c>
      <c r="BB190" s="263">
        <f t="shared" si="143"/>
        <v>44075</v>
      </c>
      <c r="BC190" s="263">
        <f t="shared" si="143"/>
        <v>44105</v>
      </c>
      <c r="BD190" s="263">
        <f t="shared" si="143"/>
        <v>44136</v>
      </c>
      <c r="BE190" s="263">
        <f t="shared" si="143"/>
        <v>44166</v>
      </c>
      <c r="BF190" s="263">
        <f t="shared" si="143"/>
        <v>44197</v>
      </c>
      <c r="BG190" s="263">
        <f t="shared" si="143"/>
        <v>44228</v>
      </c>
      <c r="BH190" s="263">
        <f t="shared" si="143"/>
        <v>44256</v>
      </c>
      <c r="BI190" s="263">
        <f t="shared" si="143"/>
        <v>44287</v>
      </c>
      <c r="BJ190" s="263">
        <f t="shared" si="143"/>
        <v>44317</v>
      </c>
      <c r="BK190" s="263">
        <f t="shared" si="143"/>
        <v>44348</v>
      </c>
      <c r="BL190" s="263">
        <f t="shared" si="143"/>
        <v>44378</v>
      </c>
      <c r="BM190" s="263">
        <f t="shared" si="143"/>
        <v>44409</v>
      </c>
      <c r="BN190" s="263">
        <f t="shared" si="143"/>
        <v>44440</v>
      </c>
      <c r="BO190" s="263">
        <f t="shared" ref="BO190:CB190" si="144">BO$11</f>
        <v>44470</v>
      </c>
      <c r="BP190" s="263">
        <f t="shared" si="144"/>
        <v>44501</v>
      </c>
      <c r="BQ190" s="263">
        <f t="shared" si="144"/>
        <v>44531</v>
      </c>
      <c r="BR190" s="263">
        <f t="shared" si="144"/>
        <v>44562</v>
      </c>
      <c r="BS190" s="263">
        <f t="shared" si="144"/>
        <v>44593</v>
      </c>
      <c r="BT190" s="263">
        <f t="shared" si="144"/>
        <v>44622</v>
      </c>
      <c r="BU190" s="263">
        <f t="shared" si="144"/>
        <v>44654</v>
      </c>
      <c r="BV190" s="263">
        <f t="shared" si="144"/>
        <v>44685</v>
      </c>
      <c r="BW190" s="263">
        <f t="shared" si="144"/>
        <v>44716</v>
      </c>
      <c r="BX190" s="263">
        <f t="shared" si="144"/>
        <v>44746</v>
      </c>
      <c r="BY190" s="263">
        <f t="shared" si="144"/>
        <v>44774</v>
      </c>
      <c r="BZ190" s="263">
        <f t="shared" si="144"/>
        <v>44805</v>
      </c>
      <c r="CA190" s="263">
        <f t="shared" si="144"/>
        <v>44835</v>
      </c>
      <c r="CB190" s="263">
        <f t="shared" si="144"/>
        <v>44866</v>
      </c>
      <c r="CC190" s="263">
        <f>CC$11</f>
        <v>44896</v>
      </c>
      <c r="CD190" s="263">
        <f>CD$11</f>
        <v>44927</v>
      </c>
      <c r="CE190"/>
      <c r="CF190"/>
      <c r="CG190"/>
      <c r="CH190"/>
      <c r="CI190"/>
      <c r="CJ190"/>
      <c r="CK190"/>
      <c r="CL190"/>
      <c r="CM190"/>
      <c r="CN190"/>
      <c r="CO190"/>
      <c r="CP190"/>
      <c r="CQ190"/>
      <c r="CR190"/>
      <c r="CS190"/>
      <c r="CT190"/>
      <c r="CU190"/>
      <c r="CV190"/>
      <c r="CW190"/>
      <c r="CX190"/>
      <c r="CY190"/>
      <c r="CZ190"/>
      <c r="DA190"/>
      <c r="DB190"/>
      <c r="DC190"/>
      <c r="DD190"/>
      <c r="DE190"/>
    </row>
    <row r="191" spans="1:115" x14ac:dyDescent="0.25">
      <c r="B191" s="117" t="s">
        <v>542</v>
      </c>
      <c r="C191" s="264" t="s">
        <v>160</v>
      </c>
      <c r="D191" s="264" t="s">
        <v>160</v>
      </c>
      <c r="E191" s="264" t="s">
        <v>160</v>
      </c>
      <c r="F191" s="265" t="s">
        <v>160</v>
      </c>
      <c r="G191" s="265" t="s">
        <v>160</v>
      </c>
      <c r="H191" s="265" t="s">
        <v>160</v>
      </c>
      <c r="I191" s="265" t="s">
        <v>160</v>
      </c>
      <c r="J191" s="265" t="s">
        <v>160</v>
      </c>
      <c r="K191" s="265" t="s">
        <v>160</v>
      </c>
      <c r="L191" s="586" t="s">
        <v>160</v>
      </c>
      <c r="M191" s="586" t="s">
        <v>160</v>
      </c>
      <c r="N191" s="586" t="s">
        <v>160</v>
      </c>
      <c r="O191" s="586" t="s">
        <v>160</v>
      </c>
      <c r="P191" s="586" t="s">
        <v>160</v>
      </c>
      <c r="Q191" s="586" t="s">
        <v>160</v>
      </c>
      <c r="R191" s="586" t="s">
        <v>160</v>
      </c>
      <c r="S191" s="586" t="s">
        <v>160</v>
      </c>
      <c r="T191" s="586" t="s">
        <v>160</v>
      </c>
      <c r="U191" s="585" t="s">
        <v>160</v>
      </c>
      <c r="V191" s="585" t="s">
        <v>160</v>
      </c>
      <c r="W191" s="585" t="s">
        <v>160</v>
      </c>
      <c r="X191" s="585" t="s">
        <v>160</v>
      </c>
      <c r="Y191" s="585" t="s">
        <v>160</v>
      </c>
      <c r="Z191" s="585" t="s">
        <v>160</v>
      </c>
      <c r="AA191" s="585" t="s">
        <v>160</v>
      </c>
      <c r="AB191" s="585" t="s">
        <v>160</v>
      </c>
      <c r="AC191" s="585" t="s">
        <v>160</v>
      </c>
      <c r="AD191" s="585" t="s">
        <v>160</v>
      </c>
      <c r="AE191" s="585" t="s">
        <v>160</v>
      </c>
      <c r="AF191" s="585" t="s">
        <v>160</v>
      </c>
      <c r="AG191" s="585" t="s">
        <v>160</v>
      </c>
      <c r="AH191" s="585" t="s">
        <v>160</v>
      </c>
      <c r="AI191" s="585" t="s">
        <v>160</v>
      </c>
      <c r="AJ191" s="347" t="s">
        <v>160</v>
      </c>
      <c r="AK191" s="347" t="s">
        <v>160</v>
      </c>
      <c r="AL191" s="347" t="s">
        <v>160</v>
      </c>
      <c r="AM191" s="347" t="s">
        <v>160</v>
      </c>
      <c r="AN191" s="347" t="s">
        <v>160</v>
      </c>
      <c r="AO191" s="347" t="s">
        <v>160</v>
      </c>
      <c r="AP191" s="347" t="s">
        <v>160</v>
      </c>
      <c r="AQ191" s="347" t="s">
        <v>160</v>
      </c>
      <c r="AR191" s="347" t="s">
        <v>160</v>
      </c>
      <c r="AS191" s="347" t="s">
        <v>160</v>
      </c>
      <c r="AT191" s="347" t="s">
        <v>160</v>
      </c>
      <c r="AU191" s="347" t="s">
        <v>160</v>
      </c>
      <c r="AV191" s="928" t="s">
        <v>160</v>
      </c>
      <c r="AW191" s="347" t="s">
        <v>160</v>
      </c>
      <c r="AX191" s="347" t="s">
        <v>160</v>
      </c>
      <c r="AY191" s="347" t="s">
        <v>160</v>
      </c>
      <c r="AZ191" s="347" t="s">
        <v>160</v>
      </c>
      <c r="BA191" s="347" t="s">
        <v>160</v>
      </c>
      <c r="BB191" s="347" t="s">
        <v>160</v>
      </c>
      <c r="BC191" s="347" t="s">
        <v>160</v>
      </c>
      <c r="BD191" s="347" t="s">
        <v>160</v>
      </c>
      <c r="BE191" s="347" t="s">
        <v>160</v>
      </c>
      <c r="BF191" s="585" t="s">
        <v>160</v>
      </c>
      <c r="BG191" s="585" t="s">
        <v>160</v>
      </c>
      <c r="BH191" s="585" t="s">
        <v>160</v>
      </c>
      <c r="BI191" s="585" t="s">
        <v>160</v>
      </c>
      <c r="BJ191" s="585" t="s">
        <v>160</v>
      </c>
      <c r="BK191" s="585" t="s">
        <v>160</v>
      </c>
      <c r="BL191" s="585" t="s">
        <v>160</v>
      </c>
      <c r="BM191" s="585" t="s">
        <v>160</v>
      </c>
      <c r="BN191" s="585" t="s">
        <v>160</v>
      </c>
      <c r="BO191" s="585" t="s">
        <v>160</v>
      </c>
      <c r="BP191" s="585" t="s">
        <v>160</v>
      </c>
      <c r="BQ191" s="585">
        <v>186</v>
      </c>
      <c r="BR191" s="585">
        <v>186</v>
      </c>
      <c r="BS191" s="585">
        <v>186</v>
      </c>
      <c r="BT191" s="585">
        <v>186</v>
      </c>
      <c r="BU191" s="585">
        <v>187</v>
      </c>
      <c r="BV191" s="585">
        <v>187</v>
      </c>
      <c r="BW191" s="585">
        <v>187</v>
      </c>
      <c r="BX191" s="585">
        <v>187</v>
      </c>
      <c r="BY191" s="585">
        <v>187</v>
      </c>
      <c r="BZ191" s="585">
        <v>187</v>
      </c>
      <c r="CA191" s="585">
        <v>187</v>
      </c>
      <c r="CB191" s="585">
        <v>187</v>
      </c>
      <c r="CC191" s="342">
        <v>244</v>
      </c>
      <c r="CD191" s="585">
        <v>244</v>
      </c>
      <c r="CE191"/>
      <c r="CF191"/>
      <c r="CG191"/>
      <c r="CH191"/>
      <c r="CI191"/>
      <c r="CJ191"/>
      <c r="CK191"/>
      <c r="CL191"/>
      <c r="CM191"/>
      <c r="CN191"/>
      <c r="CO191"/>
      <c r="CP191"/>
      <c r="CQ191"/>
      <c r="CR191"/>
      <c r="CS191"/>
      <c r="CT191"/>
      <c r="CU191"/>
      <c r="CV191"/>
      <c r="CW191"/>
      <c r="CX191"/>
      <c r="CY191"/>
      <c r="CZ191"/>
      <c r="DA191"/>
      <c r="DB191"/>
      <c r="DC191"/>
      <c r="DD191"/>
      <c r="DE191"/>
    </row>
    <row r="192" spans="1:115" x14ac:dyDescent="0.25">
      <c r="B192" s="117" t="s">
        <v>546</v>
      </c>
      <c r="C192" s="264" t="s">
        <v>160</v>
      </c>
      <c r="D192" s="264" t="s">
        <v>160</v>
      </c>
      <c r="E192" s="264" t="s">
        <v>160</v>
      </c>
      <c r="F192" s="264" t="s">
        <v>160</v>
      </c>
      <c r="G192" s="264" t="s">
        <v>160</v>
      </c>
      <c r="H192" s="265" t="s">
        <v>160</v>
      </c>
      <c r="I192" s="265" t="s">
        <v>160</v>
      </c>
      <c r="J192" s="265" t="s">
        <v>160</v>
      </c>
      <c r="K192" s="265" t="s">
        <v>160</v>
      </c>
      <c r="L192" s="586" t="s">
        <v>160</v>
      </c>
      <c r="M192" s="586" t="s">
        <v>160</v>
      </c>
      <c r="N192" s="586" t="s">
        <v>160</v>
      </c>
      <c r="O192" s="586" t="s">
        <v>160</v>
      </c>
      <c r="P192" s="586" t="s">
        <v>160</v>
      </c>
      <c r="Q192" s="586" t="s">
        <v>160</v>
      </c>
      <c r="R192" s="586" t="s">
        <v>160</v>
      </c>
      <c r="S192" s="586" t="s">
        <v>160</v>
      </c>
      <c r="T192" s="586" t="s">
        <v>160</v>
      </c>
      <c r="U192" s="586" t="s">
        <v>160</v>
      </c>
      <c r="V192" s="586" t="s">
        <v>160</v>
      </c>
      <c r="W192" s="586" t="s">
        <v>160</v>
      </c>
      <c r="X192" s="586" t="s">
        <v>160</v>
      </c>
      <c r="Y192" s="586" t="s">
        <v>160</v>
      </c>
      <c r="Z192" s="586" t="s">
        <v>160</v>
      </c>
      <c r="AA192" s="586" t="s">
        <v>160</v>
      </c>
      <c r="AB192" s="586" t="s">
        <v>160</v>
      </c>
      <c r="AC192" s="586" t="s">
        <v>160</v>
      </c>
      <c r="AD192" s="586" t="s">
        <v>160</v>
      </c>
      <c r="AE192" s="586" t="s">
        <v>160</v>
      </c>
      <c r="AF192" s="585" t="s">
        <v>160</v>
      </c>
      <c r="AG192" s="586" t="s">
        <v>160</v>
      </c>
      <c r="AH192" s="586" t="s">
        <v>160</v>
      </c>
      <c r="AI192" s="586" t="s">
        <v>160</v>
      </c>
      <c r="AJ192" s="347" t="s">
        <v>160</v>
      </c>
      <c r="AK192" s="347" t="s">
        <v>160</v>
      </c>
      <c r="AL192" s="347" t="s">
        <v>160</v>
      </c>
      <c r="AM192" s="347" t="s">
        <v>160</v>
      </c>
      <c r="AN192" s="347" t="s">
        <v>160</v>
      </c>
      <c r="AO192" s="347" t="s">
        <v>160</v>
      </c>
      <c r="AP192" s="347" t="s">
        <v>160</v>
      </c>
      <c r="AQ192" s="347" t="s">
        <v>160</v>
      </c>
      <c r="AR192" s="347" t="s">
        <v>160</v>
      </c>
      <c r="AS192" s="347" t="s">
        <v>160</v>
      </c>
      <c r="AT192" s="347" t="s">
        <v>160</v>
      </c>
      <c r="AU192" s="347" t="s">
        <v>160</v>
      </c>
      <c r="AV192" s="928" t="s">
        <v>160</v>
      </c>
      <c r="AW192" s="347" t="s">
        <v>160</v>
      </c>
      <c r="AX192" s="347" t="s">
        <v>160</v>
      </c>
      <c r="AY192" s="347" t="s">
        <v>160</v>
      </c>
      <c r="AZ192" s="347" t="s">
        <v>160</v>
      </c>
      <c r="BA192" s="347" t="s">
        <v>160</v>
      </c>
      <c r="BB192" s="347" t="s">
        <v>160</v>
      </c>
      <c r="BC192" s="347" t="s">
        <v>160</v>
      </c>
      <c r="BD192" s="347">
        <v>288</v>
      </c>
      <c r="BE192" s="347">
        <v>288</v>
      </c>
      <c r="BF192" s="585">
        <v>288</v>
      </c>
      <c r="BG192" s="585">
        <v>288</v>
      </c>
      <c r="BH192" s="585">
        <v>288</v>
      </c>
      <c r="BI192" s="585">
        <v>288</v>
      </c>
      <c r="BJ192" s="585">
        <v>288</v>
      </c>
      <c r="BK192" s="585">
        <v>288</v>
      </c>
      <c r="BL192" s="585">
        <v>288</v>
      </c>
      <c r="BM192" s="585">
        <v>288</v>
      </c>
      <c r="BN192" s="585" t="s">
        <v>160</v>
      </c>
      <c r="BO192" s="585" t="s">
        <v>160</v>
      </c>
      <c r="BP192" s="585" t="s">
        <v>160</v>
      </c>
      <c r="BQ192" s="585">
        <v>202</v>
      </c>
      <c r="BR192" s="585">
        <v>202</v>
      </c>
      <c r="BS192" s="585">
        <v>202</v>
      </c>
      <c r="BT192" s="585">
        <v>202</v>
      </c>
      <c r="BU192" s="585">
        <v>202</v>
      </c>
      <c r="BV192" s="585">
        <v>202</v>
      </c>
      <c r="BW192" s="585">
        <v>202</v>
      </c>
      <c r="BX192" s="585">
        <v>202</v>
      </c>
      <c r="BY192" s="585">
        <v>202</v>
      </c>
      <c r="BZ192" s="585">
        <v>202</v>
      </c>
      <c r="CA192" s="585">
        <v>202</v>
      </c>
      <c r="CB192" s="585">
        <v>202</v>
      </c>
      <c r="CC192" s="585">
        <v>202</v>
      </c>
      <c r="CD192" s="585">
        <v>202</v>
      </c>
      <c r="CE192"/>
      <c r="CF192"/>
      <c r="CG192"/>
      <c r="CH192"/>
      <c r="CI192"/>
      <c r="CJ192"/>
      <c r="CK192"/>
      <c r="CL192"/>
      <c r="CM192"/>
      <c r="CN192"/>
      <c r="CO192"/>
      <c r="CP192"/>
      <c r="CQ192"/>
      <c r="CR192"/>
      <c r="CS192"/>
      <c r="CT192"/>
      <c r="CU192"/>
      <c r="CV192"/>
      <c r="CW192"/>
      <c r="CX192"/>
      <c r="CY192"/>
      <c r="CZ192"/>
      <c r="DA192"/>
      <c r="DB192"/>
      <c r="DC192"/>
      <c r="DD192"/>
      <c r="DE192"/>
    </row>
    <row r="193" spans="1:109" x14ac:dyDescent="0.25">
      <c r="B193" s="117" t="s">
        <v>574</v>
      </c>
      <c r="C193" s="264" t="s">
        <v>160</v>
      </c>
      <c r="D193" s="264" t="s">
        <v>160</v>
      </c>
      <c r="E193" s="264" t="s">
        <v>160</v>
      </c>
      <c r="F193" s="264" t="s">
        <v>160</v>
      </c>
      <c r="G193" s="264" t="s">
        <v>160</v>
      </c>
      <c r="H193" s="264" t="s">
        <v>160</v>
      </c>
      <c r="I193" s="264" t="s">
        <v>160</v>
      </c>
      <c r="J193" s="264" t="s">
        <v>160</v>
      </c>
      <c r="K193" s="264" t="s">
        <v>160</v>
      </c>
      <c r="L193" s="352" t="s">
        <v>160</v>
      </c>
      <c r="M193" s="352" t="s">
        <v>160</v>
      </c>
      <c r="N193" s="352" t="s">
        <v>160</v>
      </c>
      <c r="O193" s="586" t="s">
        <v>160</v>
      </c>
      <c r="P193" s="586" t="s">
        <v>160</v>
      </c>
      <c r="Q193" s="586" t="s">
        <v>160</v>
      </c>
      <c r="R193" s="586" t="s">
        <v>160</v>
      </c>
      <c r="S193" s="586" t="s">
        <v>160</v>
      </c>
      <c r="T193" s="586" t="s">
        <v>160</v>
      </c>
      <c r="U193" s="586" t="s">
        <v>160</v>
      </c>
      <c r="V193" s="586" t="s">
        <v>160</v>
      </c>
      <c r="W193" s="585" t="s">
        <v>160</v>
      </c>
      <c r="X193" s="585" t="s">
        <v>160</v>
      </c>
      <c r="Y193" s="585" t="s">
        <v>160</v>
      </c>
      <c r="Z193" s="585" t="s">
        <v>160</v>
      </c>
      <c r="AA193" s="585" t="s">
        <v>160</v>
      </c>
      <c r="AB193" s="585" t="s">
        <v>160</v>
      </c>
      <c r="AC193" s="585" t="s">
        <v>160</v>
      </c>
      <c r="AD193" s="585" t="s">
        <v>160</v>
      </c>
      <c r="AE193" s="585" t="s">
        <v>160</v>
      </c>
      <c r="AF193" s="585" t="s">
        <v>160</v>
      </c>
      <c r="AG193" s="586" t="s">
        <v>160</v>
      </c>
      <c r="AH193" s="586" t="s">
        <v>160</v>
      </c>
      <c r="AI193" s="586" t="s">
        <v>160</v>
      </c>
      <c r="AJ193" s="347" t="s">
        <v>160</v>
      </c>
      <c r="AK193" s="347" t="s">
        <v>160</v>
      </c>
      <c r="AL193" s="347" t="s">
        <v>160</v>
      </c>
      <c r="AM193" s="347" t="s">
        <v>160</v>
      </c>
      <c r="AN193" s="347" t="s">
        <v>160</v>
      </c>
      <c r="AO193" s="347" t="s">
        <v>160</v>
      </c>
      <c r="AP193" s="347" t="s">
        <v>160</v>
      </c>
      <c r="AQ193" s="347" t="s">
        <v>160</v>
      </c>
      <c r="AR193" s="347" t="s">
        <v>160</v>
      </c>
      <c r="AS193" s="347" t="s">
        <v>160</v>
      </c>
      <c r="AT193" s="347" t="s">
        <v>160</v>
      </c>
      <c r="AU193" s="347" t="s">
        <v>160</v>
      </c>
      <c r="AV193" s="928" t="s">
        <v>160</v>
      </c>
      <c r="AW193" s="349" t="s">
        <v>160</v>
      </c>
      <c r="AX193" s="349" t="s">
        <v>160</v>
      </c>
      <c r="AY193" s="347" t="s">
        <v>160</v>
      </c>
      <c r="AZ193" s="347" t="s">
        <v>160</v>
      </c>
      <c r="BA193" s="347" t="s">
        <v>160</v>
      </c>
      <c r="BB193" s="347" t="s">
        <v>160</v>
      </c>
      <c r="BC193" s="347">
        <v>249</v>
      </c>
      <c r="BD193" s="347">
        <v>249</v>
      </c>
      <c r="BE193" s="347">
        <v>249</v>
      </c>
      <c r="BF193" s="585">
        <v>249</v>
      </c>
      <c r="BG193" s="585">
        <v>249</v>
      </c>
      <c r="BH193" s="585">
        <v>249</v>
      </c>
      <c r="BI193" s="585">
        <v>249</v>
      </c>
      <c r="BJ193" s="585">
        <v>249</v>
      </c>
      <c r="BK193" s="585">
        <v>249</v>
      </c>
      <c r="BL193" s="585">
        <v>249</v>
      </c>
      <c r="BM193" s="585">
        <v>249</v>
      </c>
      <c r="BN193" s="585" t="s">
        <v>160</v>
      </c>
      <c r="BO193" s="585" t="s">
        <v>160</v>
      </c>
      <c r="BP193" s="585" t="s">
        <v>160</v>
      </c>
      <c r="BQ193" s="585" t="s">
        <v>160</v>
      </c>
      <c r="BR193" s="585" t="s">
        <v>160</v>
      </c>
      <c r="BS193" s="585" t="s">
        <v>160</v>
      </c>
      <c r="BT193" s="585" t="s">
        <v>160</v>
      </c>
      <c r="BU193" s="585" t="s">
        <v>160</v>
      </c>
      <c r="BV193" s="585" t="s">
        <v>160</v>
      </c>
      <c r="BW193" s="585" t="s">
        <v>160</v>
      </c>
      <c r="BX193" s="585" t="s">
        <v>160</v>
      </c>
      <c r="BY193" s="342">
        <v>214</v>
      </c>
      <c r="BZ193" s="585">
        <v>214</v>
      </c>
      <c r="CA193" s="585">
        <v>214</v>
      </c>
      <c r="CB193" s="585">
        <v>214</v>
      </c>
      <c r="CC193" s="585">
        <v>214</v>
      </c>
      <c r="CD193" s="585">
        <v>214</v>
      </c>
      <c r="CE193"/>
      <c r="CF193"/>
      <c r="CG193"/>
      <c r="CH193"/>
      <c r="CI193"/>
      <c r="CJ193"/>
      <c r="CK193"/>
      <c r="CL193"/>
      <c r="CM193"/>
      <c r="CN193"/>
      <c r="CO193"/>
      <c r="CP193"/>
      <c r="CQ193"/>
      <c r="CR193"/>
      <c r="CS193"/>
      <c r="CT193"/>
      <c r="CU193"/>
      <c r="CV193"/>
      <c r="CW193"/>
      <c r="CX193"/>
      <c r="CY193"/>
      <c r="CZ193"/>
      <c r="DA193"/>
      <c r="DB193"/>
      <c r="DC193"/>
      <c r="DD193"/>
      <c r="DE193"/>
    </row>
    <row r="194" spans="1:109" x14ac:dyDescent="0.25">
      <c r="B194" s="117" t="s">
        <v>547</v>
      </c>
      <c r="C194" s="264" t="s">
        <v>160</v>
      </c>
      <c r="D194" s="264" t="s">
        <v>160</v>
      </c>
      <c r="E194" s="264" t="s">
        <v>160</v>
      </c>
      <c r="F194" s="264" t="s">
        <v>160</v>
      </c>
      <c r="G194" s="265" t="s">
        <v>160</v>
      </c>
      <c r="H194" s="265" t="s">
        <v>160</v>
      </c>
      <c r="I194" s="265" t="s">
        <v>160</v>
      </c>
      <c r="J194" s="265" t="s">
        <v>160</v>
      </c>
      <c r="K194" s="265" t="s">
        <v>160</v>
      </c>
      <c r="L194" s="586" t="s">
        <v>160</v>
      </c>
      <c r="M194" s="586" t="s">
        <v>160</v>
      </c>
      <c r="N194" s="586" t="s">
        <v>160</v>
      </c>
      <c r="O194" s="586" t="s">
        <v>160</v>
      </c>
      <c r="P194" s="586" t="s">
        <v>160</v>
      </c>
      <c r="Q194" s="586" t="s">
        <v>160</v>
      </c>
      <c r="R194" s="586" t="s">
        <v>160</v>
      </c>
      <c r="S194" s="586" t="s">
        <v>160</v>
      </c>
      <c r="T194" s="586" t="s">
        <v>160</v>
      </c>
      <c r="U194" s="586" t="s">
        <v>160</v>
      </c>
      <c r="V194" s="585" t="s">
        <v>160</v>
      </c>
      <c r="W194" s="586" t="s">
        <v>160</v>
      </c>
      <c r="X194" s="586" t="s">
        <v>160</v>
      </c>
      <c r="Y194" s="586" t="s">
        <v>160</v>
      </c>
      <c r="Z194" s="586" t="s">
        <v>160</v>
      </c>
      <c r="AA194" s="586" t="s">
        <v>160</v>
      </c>
      <c r="AB194" s="586" t="s">
        <v>160</v>
      </c>
      <c r="AC194" s="586" t="s">
        <v>160</v>
      </c>
      <c r="AD194" s="585" t="s">
        <v>160</v>
      </c>
      <c r="AE194" s="586" t="s">
        <v>160</v>
      </c>
      <c r="AF194" s="586" t="s">
        <v>160</v>
      </c>
      <c r="AG194" s="586" t="s">
        <v>160</v>
      </c>
      <c r="AH194" s="586" t="s">
        <v>160</v>
      </c>
      <c r="AI194" s="586" t="s">
        <v>160</v>
      </c>
      <c r="AJ194" s="347" t="s">
        <v>160</v>
      </c>
      <c r="AK194" s="347" t="s">
        <v>160</v>
      </c>
      <c r="AL194" s="347" t="s">
        <v>160</v>
      </c>
      <c r="AM194" s="347" t="s">
        <v>160</v>
      </c>
      <c r="AN194" s="347" t="s">
        <v>160</v>
      </c>
      <c r="AO194" s="347" t="s">
        <v>160</v>
      </c>
      <c r="AP194" s="347" t="s">
        <v>160</v>
      </c>
      <c r="AQ194" s="347" t="s">
        <v>160</v>
      </c>
      <c r="AR194" s="347" t="s">
        <v>160</v>
      </c>
      <c r="AS194" s="347" t="s">
        <v>160</v>
      </c>
      <c r="AT194" s="347" t="s">
        <v>160</v>
      </c>
      <c r="AU194" s="347" t="s">
        <v>160</v>
      </c>
      <c r="AV194" s="928" t="s">
        <v>160</v>
      </c>
      <c r="AW194" s="347" t="s">
        <v>160</v>
      </c>
      <c r="AX194" s="347" t="s">
        <v>160</v>
      </c>
      <c r="AY194" s="347" t="s">
        <v>160</v>
      </c>
      <c r="AZ194" s="347" t="s">
        <v>160</v>
      </c>
      <c r="BA194" s="347" t="s">
        <v>160</v>
      </c>
      <c r="BB194" s="347" t="s">
        <v>160</v>
      </c>
      <c r="BC194" s="347" t="s">
        <v>160</v>
      </c>
      <c r="BD194" s="347" t="s">
        <v>160</v>
      </c>
      <c r="BE194" s="347">
        <v>263.8</v>
      </c>
      <c r="BF194" s="585">
        <v>263.8</v>
      </c>
      <c r="BG194" s="585">
        <v>263.8</v>
      </c>
      <c r="BH194" s="585">
        <v>263.8</v>
      </c>
      <c r="BI194" s="585">
        <v>263.8</v>
      </c>
      <c r="BJ194" s="585">
        <v>263.8</v>
      </c>
      <c r="BK194" s="585">
        <v>263.8</v>
      </c>
      <c r="BL194" s="585">
        <v>263.8</v>
      </c>
      <c r="BM194" s="585">
        <v>263.8</v>
      </c>
      <c r="BN194" s="585" t="s">
        <v>160</v>
      </c>
      <c r="BO194" s="585" t="s">
        <v>160</v>
      </c>
      <c r="BP194" s="585" t="s">
        <v>160</v>
      </c>
      <c r="BQ194" s="585">
        <v>191</v>
      </c>
      <c r="BR194" s="585">
        <v>191</v>
      </c>
      <c r="BS194" s="585">
        <v>191</v>
      </c>
      <c r="BT194" s="585">
        <v>191</v>
      </c>
      <c r="BU194" s="585">
        <v>191</v>
      </c>
      <c r="BV194" s="585">
        <v>191</v>
      </c>
      <c r="BW194" s="585">
        <v>191</v>
      </c>
      <c r="BX194" s="585">
        <v>191</v>
      </c>
      <c r="BY194" s="342">
        <v>200</v>
      </c>
      <c r="BZ194" s="585">
        <v>200</v>
      </c>
      <c r="CA194" s="585">
        <v>200</v>
      </c>
      <c r="CB194" s="585">
        <v>200</v>
      </c>
      <c r="CC194" s="585">
        <v>200</v>
      </c>
      <c r="CD194" s="342">
        <v>236.5</v>
      </c>
      <c r="CE194"/>
      <c r="CF194"/>
      <c r="CG194"/>
      <c r="CH194"/>
      <c r="CI194"/>
      <c r="CJ194"/>
      <c r="CK194"/>
      <c r="CL194"/>
      <c r="CM194"/>
      <c r="CN194"/>
      <c r="CO194"/>
      <c r="CP194"/>
      <c r="CQ194"/>
      <c r="CR194"/>
      <c r="CS194"/>
      <c r="CT194"/>
      <c r="CU194"/>
      <c r="CV194"/>
      <c r="CW194"/>
      <c r="CX194"/>
      <c r="CY194"/>
      <c r="CZ194"/>
      <c r="DA194"/>
      <c r="DB194"/>
      <c r="DC194"/>
      <c r="DD194"/>
      <c r="DE194"/>
    </row>
    <row r="195" spans="1:109" x14ac:dyDescent="0.25">
      <c r="B195" s="117" t="s">
        <v>1150</v>
      </c>
      <c r="C195" s="264" t="s">
        <v>160</v>
      </c>
      <c r="D195" s="264" t="s">
        <v>160</v>
      </c>
      <c r="E195" s="264" t="s">
        <v>160</v>
      </c>
      <c r="F195" s="264" t="s">
        <v>160</v>
      </c>
      <c r="G195" s="264" t="s">
        <v>160</v>
      </c>
      <c r="H195" s="264" t="s">
        <v>160</v>
      </c>
      <c r="I195" s="264" t="s">
        <v>160</v>
      </c>
      <c r="J195" s="264" t="s">
        <v>160</v>
      </c>
      <c r="K195" s="264" t="s">
        <v>160</v>
      </c>
      <c r="L195" s="264" t="s">
        <v>160</v>
      </c>
      <c r="M195" s="264" t="s">
        <v>160</v>
      </c>
      <c r="N195" s="264" t="s">
        <v>160</v>
      </c>
      <c r="O195" s="264" t="s">
        <v>160</v>
      </c>
      <c r="P195" s="264" t="s">
        <v>160</v>
      </c>
      <c r="Q195" s="264" t="s">
        <v>160</v>
      </c>
      <c r="R195" s="264" t="s">
        <v>160</v>
      </c>
      <c r="S195" s="264" t="s">
        <v>160</v>
      </c>
      <c r="T195" s="264" t="s">
        <v>160</v>
      </c>
      <c r="U195" s="264" t="s">
        <v>160</v>
      </c>
      <c r="V195" s="264" t="s">
        <v>160</v>
      </c>
      <c r="W195" s="264" t="s">
        <v>160</v>
      </c>
      <c r="X195" s="264" t="s">
        <v>160</v>
      </c>
      <c r="Y195" s="264" t="s">
        <v>160</v>
      </c>
      <c r="Z195" s="264" t="s">
        <v>160</v>
      </c>
      <c r="AA195" s="264" t="s">
        <v>160</v>
      </c>
      <c r="AB195" s="264" t="s">
        <v>160</v>
      </c>
      <c r="AC195" s="264" t="s">
        <v>160</v>
      </c>
      <c r="AD195" s="264" t="s">
        <v>160</v>
      </c>
      <c r="AE195" s="264" t="s">
        <v>160</v>
      </c>
      <c r="AF195" s="264" t="s">
        <v>160</v>
      </c>
      <c r="AG195" s="264" t="s">
        <v>160</v>
      </c>
      <c r="AH195" s="264" t="s">
        <v>160</v>
      </c>
      <c r="AI195" s="264" t="s">
        <v>160</v>
      </c>
      <c r="AJ195" s="264" t="s">
        <v>160</v>
      </c>
      <c r="AK195" s="264" t="s">
        <v>160</v>
      </c>
      <c r="AL195" s="264" t="s">
        <v>160</v>
      </c>
      <c r="AM195" s="264" t="s">
        <v>160</v>
      </c>
      <c r="AN195" s="264" t="s">
        <v>160</v>
      </c>
      <c r="AO195" s="264" t="s">
        <v>160</v>
      </c>
      <c r="AP195" s="264" t="s">
        <v>160</v>
      </c>
      <c r="AQ195" s="264" t="s">
        <v>160</v>
      </c>
      <c r="AR195" s="264" t="s">
        <v>160</v>
      </c>
      <c r="AS195" s="264" t="s">
        <v>160</v>
      </c>
      <c r="AT195" s="264" t="s">
        <v>160</v>
      </c>
      <c r="AU195" s="264" t="s">
        <v>160</v>
      </c>
      <c r="AV195" s="264" t="s">
        <v>160</v>
      </c>
      <c r="AW195" s="264" t="s">
        <v>160</v>
      </c>
      <c r="AX195" s="264" t="s">
        <v>160</v>
      </c>
      <c r="AY195" s="264" t="s">
        <v>160</v>
      </c>
      <c r="AZ195" s="264" t="s">
        <v>160</v>
      </c>
      <c r="BA195" s="264" t="s">
        <v>160</v>
      </c>
      <c r="BB195" s="264" t="s">
        <v>160</v>
      </c>
      <c r="BC195" s="264" t="s">
        <v>160</v>
      </c>
      <c r="BD195" s="264" t="s">
        <v>160</v>
      </c>
      <c r="BE195" s="264" t="s">
        <v>160</v>
      </c>
      <c r="BF195" s="264" t="s">
        <v>160</v>
      </c>
      <c r="BG195" s="264" t="s">
        <v>160</v>
      </c>
      <c r="BH195" s="264" t="s">
        <v>160</v>
      </c>
      <c r="BI195" s="264" t="s">
        <v>160</v>
      </c>
      <c r="BJ195" s="264" t="s">
        <v>160</v>
      </c>
      <c r="BK195" s="264" t="s">
        <v>160</v>
      </c>
      <c r="BL195" s="264" t="s">
        <v>160</v>
      </c>
      <c r="BM195" s="264" t="s">
        <v>160</v>
      </c>
      <c r="BN195" s="585">
        <v>212</v>
      </c>
      <c r="BO195" s="585">
        <v>212</v>
      </c>
      <c r="BP195" s="585">
        <v>212</v>
      </c>
      <c r="BQ195" s="341">
        <v>168</v>
      </c>
      <c r="BR195" s="585">
        <v>168</v>
      </c>
      <c r="BS195" s="585">
        <v>168</v>
      </c>
      <c r="BT195" s="342">
        <v>172</v>
      </c>
      <c r="BU195" s="585">
        <v>172</v>
      </c>
      <c r="BV195" s="585">
        <v>172</v>
      </c>
      <c r="BW195" s="585">
        <v>172</v>
      </c>
      <c r="BX195" s="585">
        <v>172</v>
      </c>
      <c r="BY195" s="585">
        <v>172</v>
      </c>
      <c r="BZ195" s="585">
        <v>172</v>
      </c>
      <c r="CA195" s="585">
        <v>172</v>
      </c>
      <c r="CB195" s="342">
        <v>235</v>
      </c>
      <c r="CC195" s="585">
        <v>235</v>
      </c>
      <c r="CD195" s="585">
        <v>235</v>
      </c>
      <c r="CE195"/>
      <c r="CF195"/>
      <c r="CG195"/>
      <c r="CH195"/>
      <c r="CI195"/>
      <c r="CJ195"/>
      <c r="CK195"/>
      <c r="CL195"/>
      <c r="CM195"/>
      <c r="CN195"/>
      <c r="CO195"/>
      <c r="CP195"/>
      <c r="CQ195"/>
      <c r="CR195"/>
      <c r="CS195"/>
      <c r="CT195"/>
      <c r="CU195"/>
      <c r="CV195"/>
      <c r="CW195"/>
      <c r="CX195"/>
      <c r="CY195"/>
      <c r="CZ195"/>
      <c r="DA195"/>
      <c r="DB195"/>
      <c r="DC195"/>
      <c r="DD195"/>
      <c r="DE195"/>
    </row>
    <row r="196" spans="1:109" x14ac:dyDescent="0.25">
      <c r="A196" s="1068"/>
      <c r="B196" s="765" t="s">
        <v>545</v>
      </c>
      <c r="C196" s="1080" t="s">
        <v>160</v>
      </c>
      <c r="D196" s="1080" t="s">
        <v>160</v>
      </c>
      <c r="E196" s="1080" t="s">
        <v>160</v>
      </c>
      <c r="F196" s="1080" t="s">
        <v>160</v>
      </c>
      <c r="G196" s="1080" t="s">
        <v>160</v>
      </c>
      <c r="H196" s="1081" t="s">
        <v>160</v>
      </c>
      <c r="I196" s="1081" t="s">
        <v>160</v>
      </c>
      <c r="J196" s="1081" t="s">
        <v>160</v>
      </c>
      <c r="K196" s="1081" t="s">
        <v>160</v>
      </c>
      <c r="L196" s="1081" t="s">
        <v>160</v>
      </c>
      <c r="M196" s="1081" t="s">
        <v>160</v>
      </c>
      <c r="N196" s="1081" t="s">
        <v>160</v>
      </c>
      <c r="O196" s="1081" t="s">
        <v>160</v>
      </c>
      <c r="P196" s="1081" t="s">
        <v>160</v>
      </c>
      <c r="Q196" s="1082" t="s">
        <v>160</v>
      </c>
      <c r="R196" s="1082" t="s">
        <v>160</v>
      </c>
      <c r="S196" s="1082" t="s">
        <v>160</v>
      </c>
      <c r="T196" s="1082" t="s">
        <v>160</v>
      </c>
      <c r="U196" s="1082" t="s">
        <v>160</v>
      </c>
      <c r="V196" s="1082" t="s">
        <v>160</v>
      </c>
      <c r="W196" s="1082" t="s">
        <v>160</v>
      </c>
      <c r="X196" s="1082" t="s">
        <v>160</v>
      </c>
      <c r="Y196" s="1082" t="s">
        <v>160</v>
      </c>
      <c r="Z196" s="1082" t="s">
        <v>160</v>
      </c>
      <c r="AA196" s="1082" t="s">
        <v>160</v>
      </c>
      <c r="AB196" s="1082" t="s">
        <v>160</v>
      </c>
      <c r="AC196" s="1082" t="s">
        <v>160</v>
      </c>
      <c r="AD196" s="1082" t="s">
        <v>160</v>
      </c>
      <c r="AE196" s="1082" t="s">
        <v>160</v>
      </c>
      <c r="AF196" s="1082" t="s">
        <v>160</v>
      </c>
      <c r="AG196" s="1081" t="s">
        <v>160</v>
      </c>
      <c r="AH196" s="1081" t="s">
        <v>160</v>
      </c>
      <c r="AI196" s="1081" t="s">
        <v>160</v>
      </c>
      <c r="AJ196" s="1082" t="s">
        <v>160</v>
      </c>
      <c r="AK196" s="1082" t="s">
        <v>160</v>
      </c>
      <c r="AL196" s="1082" t="s">
        <v>160</v>
      </c>
      <c r="AM196" s="1082" t="s">
        <v>160</v>
      </c>
      <c r="AN196" s="1082" t="s">
        <v>160</v>
      </c>
      <c r="AO196" s="1082" t="s">
        <v>160</v>
      </c>
      <c r="AP196" s="1082" t="s">
        <v>160</v>
      </c>
      <c r="AQ196" s="1082" t="s">
        <v>160</v>
      </c>
      <c r="AR196" s="1082" t="s">
        <v>160</v>
      </c>
      <c r="AS196" s="1082" t="s">
        <v>160</v>
      </c>
      <c r="AT196" s="1082" t="s">
        <v>160</v>
      </c>
      <c r="AU196" s="1082" t="s">
        <v>160</v>
      </c>
      <c r="AV196" s="1083" t="s">
        <v>160</v>
      </c>
      <c r="AW196" s="1082" t="s">
        <v>160</v>
      </c>
      <c r="AX196" s="1082" t="s">
        <v>160</v>
      </c>
      <c r="AY196" s="1082" t="s">
        <v>160</v>
      </c>
      <c r="AZ196" s="1082" t="s">
        <v>160</v>
      </c>
      <c r="BA196" s="1082" t="s">
        <v>160</v>
      </c>
      <c r="BB196" s="1082" t="s">
        <v>160</v>
      </c>
      <c r="BC196" s="1082" t="s">
        <v>160</v>
      </c>
      <c r="BD196" s="1082" t="s">
        <v>160</v>
      </c>
      <c r="BE196" s="1082" t="s">
        <v>160</v>
      </c>
      <c r="BF196" s="1082" t="s">
        <v>160</v>
      </c>
      <c r="BG196" s="1082" t="s">
        <v>160</v>
      </c>
      <c r="BH196" s="1082" t="s">
        <v>160</v>
      </c>
      <c r="BI196" s="1082" t="s">
        <v>160</v>
      </c>
      <c r="BJ196" s="1082" t="s">
        <v>160</v>
      </c>
      <c r="BK196" s="1082" t="s">
        <v>160</v>
      </c>
      <c r="BL196" s="1082" t="s">
        <v>160</v>
      </c>
      <c r="BM196" s="1082" t="s">
        <v>160</v>
      </c>
      <c r="BN196" s="1082">
        <v>206</v>
      </c>
      <c r="BO196" s="1082">
        <v>206</v>
      </c>
      <c r="BP196" s="1082">
        <v>206</v>
      </c>
      <c r="BQ196" s="1082">
        <v>206</v>
      </c>
      <c r="BR196" s="1082">
        <v>213</v>
      </c>
      <c r="BS196" s="1082">
        <v>213</v>
      </c>
      <c r="BT196" s="1082" t="s">
        <v>160</v>
      </c>
      <c r="BU196" s="1082" t="s">
        <v>160</v>
      </c>
      <c r="BV196" s="1082" t="s">
        <v>160</v>
      </c>
      <c r="BW196" s="1082" t="s">
        <v>160</v>
      </c>
      <c r="BX196" s="1082" t="s">
        <v>160</v>
      </c>
      <c r="BY196" s="1082" t="s">
        <v>160</v>
      </c>
      <c r="BZ196" s="585" t="s">
        <v>160</v>
      </c>
      <c r="CA196" s="585" t="s">
        <v>160</v>
      </c>
      <c r="CB196" s="585" t="s">
        <v>160</v>
      </c>
      <c r="CC196" s="585" t="s">
        <v>160</v>
      </c>
      <c r="CD196" s="585" t="s">
        <v>160</v>
      </c>
      <c r="CE196"/>
      <c r="CF196"/>
      <c r="CG196"/>
      <c r="CH196"/>
      <c r="CI196"/>
      <c r="CJ196"/>
      <c r="CK196"/>
      <c r="CL196"/>
      <c r="CM196"/>
      <c r="CN196"/>
      <c r="CO196"/>
      <c r="CP196"/>
      <c r="CQ196"/>
      <c r="CR196"/>
      <c r="CS196"/>
      <c r="CT196"/>
      <c r="CU196"/>
      <c r="CV196"/>
      <c r="CW196"/>
      <c r="CX196"/>
      <c r="CY196"/>
      <c r="CZ196"/>
      <c r="DA196"/>
      <c r="DB196"/>
      <c r="DC196"/>
      <c r="DD196"/>
      <c r="DE196"/>
    </row>
    <row r="197" spans="1:109" x14ac:dyDescent="0.25">
      <c r="A197"/>
      <c r="B197" s="1072" t="s">
        <v>557</v>
      </c>
      <c r="C197" s="1073" t="str">
        <f t="shared" ref="C197:BI197" si="145">IFERROR(AVERAGE(C191:C196),"-")</f>
        <v>-</v>
      </c>
      <c r="D197" s="1073" t="str">
        <f t="shared" si="145"/>
        <v>-</v>
      </c>
      <c r="E197" s="1073" t="str">
        <f t="shared" si="145"/>
        <v>-</v>
      </c>
      <c r="F197" s="1073" t="str">
        <f t="shared" si="145"/>
        <v>-</v>
      </c>
      <c r="G197" s="1073" t="str">
        <f t="shared" si="145"/>
        <v>-</v>
      </c>
      <c r="H197" s="1073" t="str">
        <f t="shared" si="145"/>
        <v>-</v>
      </c>
      <c r="I197" s="1073" t="str">
        <f t="shared" si="145"/>
        <v>-</v>
      </c>
      <c r="J197" s="1073" t="str">
        <f t="shared" si="145"/>
        <v>-</v>
      </c>
      <c r="K197" s="1073" t="str">
        <f t="shared" si="145"/>
        <v>-</v>
      </c>
      <c r="L197" s="1075" t="str">
        <f t="shared" si="145"/>
        <v>-</v>
      </c>
      <c r="M197" s="1075" t="str">
        <f t="shared" si="145"/>
        <v>-</v>
      </c>
      <c r="N197" s="1075" t="str">
        <f t="shared" si="145"/>
        <v>-</v>
      </c>
      <c r="O197" s="1075" t="str">
        <f t="shared" si="145"/>
        <v>-</v>
      </c>
      <c r="P197" s="1075" t="str">
        <f t="shared" si="145"/>
        <v>-</v>
      </c>
      <c r="Q197" s="1075" t="str">
        <f t="shared" si="145"/>
        <v>-</v>
      </c>
      <c r="R197" s="1075" t="str">
        <f t="shared" si="145"/>
        <v>-</v>
      </c>
      <c r="S197" s="1075" t="str">
        <f t="shared" si="145"/>
        <v>-</v>
      </c>
      <c r="T197" s="1075" t="str">
        <f t="shared" si="145"/>
        <v>-</v>
      </c>
      <c r="U197" s="1075" t="str">
        <f t="shared" si="145"/>
        <v>-</v>
      </c>
      <c r="V197" s="1076" t="str">
        <f t="shared" si="145"/>
        <v>-</v>
      </c>
      <c r="W197" s="1076" t="str">
        <f t="shared" si="145"/>
        <v>-</v>
      </c>
      <c r="X197" s="1076" t="str">
        <f t="shared" si="145"/>
        <v>-</v>
      </c>
      <c r="Y197" s="1076" t="str">
        <f t="shared" si="145"/>
        <v>-</v>
      </c>
      <c r="Z197" s="1076" t="str">
        <f t="shared" si="145"/>
        <v>-</v>
      </c>
      <c r="AA197" s="1076" t="str">
        <f t="shared" si="145"/>
        <v>-</v>
      </c>
      <c r="AB197" s="1076" t="str">
        <f t="shared" si="145"/>
        <v>-</v>
      </c>
      <c r="AC197" s="1076" t="str">
        <f t="shared" si="145"/>
        <v>-</v>
      </c>
      <c r="AD197" s="1076" t="str">
        <f t="shared" si="145"/>
        <v>-</v>
      </c>
      <c r="AE197" s="1076" t="str">
        <f t="shared" si="145"/>
        <v>-</v>
      </c>
      <c r="AF197" s="1076" t="str">
        <f t="shared" si="145"/>
        <v>-</v>
      </c>
      <c r="AG197" s="1076" t="str">
        <f t="shared" si="145"/>
        <v>-</v>
      </c>
      <c r="AH197" s="1076" t="str">
        <f t="shared" si="145"/>
        <v>-</v>
      </c>
      <c r="AI197" s="1076" t="str">
        <f t="shared" si="145"/>
        <v>-</v>
      </c>
      <c r="AJ197" s="1076" t="str">
        <f t="shared" si="145"/>
        <v>-</v>
      </c>
      <c r="AK197" s="1076" t="str">
        <f t="shared" si="145"/>
        <v>-</v>
      </c>
      <c r="AL197" s="1076" t="str">
        <f t="shared" si="145"/>
        <v>-</v>
      </c>
      <c r="AM197" s="1076" t="str">
        <f t="shared" si="145"/>
        <v>-</v>
      </c>
      <c r="AN197" s="1076" t="str">
        <f t="shared" si="145"/>
        <v>-</v>
      </c>
      <c r="AO197" s="1076" t="str">
        <f t="shared" si="145"/>
        <v>-</v>
      </c>
      <c r="AP197" s="1076" t="str">
        <f t="shared" si="145"/>
        <v>-</v>
      </c>
      <c r="AQ197" s="1076" t="str">
        <f t="shared" si="145"/>
        <v>-</v>
      </c>
      <c r="AR197" s="1076" t="str">
        <f t="shared" si="145"/>
        <v>-</v>
      </c>
      <c r="AS197" s="1076" t="str">
        <f t="shared" si="145"/>
        <v>-</v>
      </c>
      <c r="AT197" s="1075" t="str">
        <f t="shared" si="145"/>
        <v>-</v>
      </c>
      <c r="AU197" s="1075" t="str">
        <f t="shared" si="145"/>
        <v>-</v>
      </c>
      <c r="AV197" s="1077" t="str">
        <f t="shared" si="145"/>
        <v>-</v>
      </c>
      <c r="AW197" s="1078" t="str">
        <f t="shared" si="145"/>
        <v>-</v>
      </c>
      <c r="AX197" s="1078" t="str">
        <f t="shared" si="145"/>
        <v>-</v>
      </c>
      <c r="AY197" s="1078" t="str">
        <f t="shared" si="145"/>
        <v>-</v>
      </c>
      <c r="AZ197" s="1075" t="str">
        <f t="shared" si="145"/>
        <v>-</v>
      </c>
      <c r="BA197" s="1075" t="str">
        <f t="shared" si="145"/>
        <v>-</v>
      </c>
      <c r="BB197" s="1075" t="str">
        <f t="shared" si="145"/>
        <v>-</v>
      </c>
      <c r="BC197" s="1075">
        <f t="shared" si="145"/>
        <v>249</v>
      </c>
      <c r="BD197" s="1075">
        <f t="shared" si="145"/>
        <v>268.5</v>
      </c>
      <c r="BE197" s="1075">
        <f t="shared" si="145"/>
        <v>266.93333333333334</v>
      </c>
      <c r="BF197" s="1075">
        <f t="shared" si="145"/>
        <v>266.93333333333334</v>
      </c>
      <c r="BG197" s="1075">
        <f t="shared" si="145"/>
        <v>266.93333333333334</v>
      </c>
      <c r="BH197" s="1075">
        <f t="shared" si="145"/>
        <v>266.93333333333334</v>
      </c>
      <c r="BI197" s="1075">
        <f t="shared" si="145"/>
        <v>266.93333333333334</v>
      </c>
      <c r="BJ197" s="1075">
        <f>IFERROR(AVERAGE(BJ191:BJ196),"-")</f>
        <v>266.93333333333334</v>
      </c>
      <c r="BK197" s="1075">
        <f t="shared" ref="BK197:BY197" si="146">IFERROR(AVERAGE(BK191:BK196),"-")</f>
        <v>266.93333333333334</v>
      </c>
      <c r="BL197" s="1075">
        <f t="shared" si="146"/>
        <v>266.93333333333334</v>
      </c>
      <c r="BM197" s="1075">
        <f t="shared" si="146"/>
        <v>266.93333333333334</v>
      </c>
      <c r="BN197" s="1075">
        <f t="shared" si="146"/>
        <v>209</v>
      </c>
      <c r="BO197" s="1075">
        <f t="shared" si="146"/>
        <v>209</v>
      </c>
      <c r="BP197" s="1075">
        <f t="shared" si="146"/>
        <v>209</v>
      </c>
      <c r="BQ197" s="1075">
        <f t="shared" si="146"/>
        <v>190.6</v>
      </c>
      <c r="BR197" s="1075">
        <f t="shared" si="146"/>
        <v>192</v>
      </c>
      <c r="BS197" s="1075">
        <f t="shared" si="146"/>
        <v>192</v>
      </c>
      <c r="BT197" s="1075">
        <f t="shared" si="146"/>
        <v>187.75</v>
      </c>
      <c r="BU197" s="1075">
        <f t="shared" si="146"/>
        <v>188</v>
      </c>
      <c r="BV197" s="1075">
        <f t="shared" si="146"/>
        <v>188</v>
      </c>
      <c r="BW197" s="1075">
        <f t="shared" si="146"/>
        <v>188</v>
      </c>
      <c r="BX197" s="1075">
        <f t="shared" si="146"/>
        <v>188</v>
      </c>
      <c r="BY197" s="1075">
        <f t="shared" si="146"/>
        <v>195</v>
      </c>
      <c r="BZ197" s="1075">
        <f>IFERROR(AVERAGE(BZ191:BZ196),"-")</f>
        <v>195</v>
      </c>
      <c r="CA197" s="1075">
        <f>IFERROR(AVERAGE(CA191:CA196),"-")</f>
        <v>195</v>
      </c>
      <c r="CB197" s="1075">
        <f>IFERROR(AVERAGE(CB191:CB196),"-")</f>
        <v>207.6</v>
      </c>
      <c r="CC197" s="1075">
        <f>IFERROR(AVERAGE(CC191:CC196),"-")</f>
        <v>219</v>
      </c>
      <c r="CD197" s="1075">
        <f>IFERROR(AVERAGE(CD191:CD196),"-")</f>
        <v>226.3</v>
      </c>
      <c r="CE197"/>
      <c r="CF197"/>
      <c r="CG197"/>
      <c r="CH197"/>
      <c r="CI197"/>
      <c r="CJ197"/>
      <c r="CK197"/>
      <c r="CL197"/>
      <c r="CM197"/>
      <c r="CN197"/>
      <c r="CO197"/>
      <c r="CP197"/>
      <c r="CQ197"/>
      <c r="CR197"/>
      <c r="CS197"/>
      <c r="CT197"/>
      <c r="CU197"/>
      <c r="CV197"/>
      <c r="CW197"/>
      <c r="CX197"/>
      <c r="CY197"/>
      <c r="CZ197"/>
      <c r="DA197"/>
      <c r="DB197"/>
      <c r="DC197"/>
      <c r="DD197"/>
      <c r="DE197"/>
    </row>
    <row r="198" spans="1:109" x14ac:dyDescent="0.25">
      <c r="X198" s="340"/>
      <c r="Y198" s="340"/>
      <c r="Z198" s="340"/>
      <c r="AA198" s="340"/>
      <c r="AB198" s="340"/>
      <c r="AC198" s="340"/>
      <c r="AD198" s="340"/>
      <c r="AE198" s="340"/>
      <c r="AF198" s="340"/>
      <c r="AG198" s="340"/>
      <c r="AH198" s="340"/>
      <c r="AI198" s="340"/>
      <c r="AJ198" s="340"/>
      <c r="AK198" s="340"/>
      <c r="AL198" s="340"/>
      <c r="AM198" s="340"/>
      <c r="AN198" s="340"/>
      <c r="AO198" s="340"/>
      <c r="AP198" s="340"/>
      <c r="AQ198" s="340"/>
      <c r="AR198" s="340"/>
      <c r="AS198" s="340"/>
      <c r="AT198" s="801"/>
      <c r="AU198" s="801"/>
      <c r="AV198" s="922"/>
      <c r="AW198" s="801"/>
      <c r="AX198" s="801"/>
      <c r="AY198" s="801"/>
      <c r="AZ198" s="801"/>
      <c r="BA198" s="801"/>
      <c r="BB198" s="801"/>
      <c r="BC198" s="801"/>
      <c r="BD198" s="801"/>
      <c r="BE198" s="801"/>
      <c r="BF198" s="801"/>
      <c r="BG198" s="801"/>
      <c r="BH198" s="801"/>
      <c r="BI198" s="801"/>
      <c r="BJ198" s="801"/>
      <c r="BK198" s="801"/>
      <c r="BL198" s="801"/>
      <c r="BM198" s="801"/>
      <c r="BN198" s="801"/>
      <c r="BO198" s="801"/>
      <c r="BP198" s="801"/>
      <c r="BQ198" s="801"/>
      <c r="BR198" s="801"/>
      <c r="BS198" s="801"/>
      <c r="BT198" s="801"/>
      <c r="BU198" s="801"/>
      <c r="BV198" s="801"/>
      <c r="BW198" s="801"/>
      <c r="BX198" s="801"/>
      <c r="BY198" s="801"/>
      <c r="BZ198" s="801"/>
      <c r="CA198" s="801"/>
      <c r="CB198" s="801"/>
      <c r="CC198" s="801"/>
      <c r="CD198" s="801"/>
      <c r="CE198"/>
      <c r="CF198"/>
      <c r="CG198"/>
      <c r="CH198"/>
      <c r="CI198"/>
      <c r="CJ198"/>
      <c r="CK198"/>
      <c r="CL198"/>
      <c r="CM198"/>
      <c r="CN198"/>
      <c r="CO198"/>
      <c r="CP198"/>
      <c r="CQ198"/>
      <c r="CR198"/>
      <c r="CS198"/>
      <c r="CT198"/>
      <c r="CU198"/>
      <c r="CV198"/>
      <c r="CW198"/>
      <c r="CX198"/>
      <c r="CY198"/>
      <c r="CZ198"/>
      <c r="DA198"/>
      <c r="DB198"/>
      <c r="DC198"/>
      <c r="DD198"/>
      <c r="DE198"/>
    </row>
    <row r="199" spans="1:109" x14ac:dyDescent="0.25">
      <c r="B199" s="113" t="s">
        <v>1027</v>
      </c>
      <c r="C199" s="263">
        <f t="shared" ref="C199:BN199" si="147">C$11</f>
        <v>42522</v>
      </c>
      <c r="D199" s="263">
        <f t="shared" si="147"/>
        <v>42552</v>
      </c>
      <c r="E199" s="263">
        <f t="shared" si="147"/>
        <v>42583</v>
      </c>
      <c r="F199" s="263">
        <f t="shared" si="147"/>
        <v>42614</v>
      </c>
      <c r="G199" s="263">
        <f t="shared" si="147"/>
        <v>42644</v>
      </c>
      <c r="H199" s="263">
        <f t="shared" si="147"/>
        <v>42675</v>
      </c>
      <c r="I199" s="263">
        <f t="shared" si="147"/>
        <v>42705</v>
      </c>
      <c r="J199" s="263">
        <f t="shared" si="147"/>
        <v>42736</v>
      </c>
      <c r="K199" s="263">
        <f t="shared" si="147"/>
        <v>42767</v>
      </c>
      <c r="L199" s="263">
        <f t="shared" si="147"/>
        <v>42795</v>
      </c>
      <c r="M199" s="263">
        <f t="shared" si="147"/>
        <v>42826</v>
      </c>
      <c r="N199" s="263">
        <f t="shared" si="147"/>
        <v>42856</v>
      </c>
      <c r="O199" s="263">
        <f t="shared" si="147"/>
        <v>42887</v>
      </c>
      <c r="P199" s="263">
        <f t="shared" si="147"/>
        <v>42917</v>
      </c>
      <c r="Q199" s="263">
        <f t="shared" si="147"/>
        <v>42948</v>
      </c>
      <c r="R199" s="263">
        <f t="shared" si="147"/>
        <v>42979</v>
      </c>
      <c r="S199" s="263">
        <f t="shared" si="147"/>
        <v>43009</v>
      </c>
      <c r="T199" s="263">
        <f t="shared" si="147"/>
        <v>43040</v>
      </c>
      <c r="U199" s="263">
        <f t="shared" si="147"/>
        <v>43070</v>
      </c>
      <c r="V199" s="263">
        <f t="shared" si="147"/>
        <v>43101</v>
      </c>
      <c r="W199" s="263">
        <f t="shared" si="147"/>
        <v>43132</v>
      </c>
      <c r="X199" s="263">
        <f t="shared" si="147"/>
        <v>43160</v>
      </c>
      <c r="Y199" s="263">
        <f t="shared" si="147"/>
        <v>43191</v>
      </c>
      <c r="Z199" s="263">
        <f t="shared" si="147"/>
        <v>43221</v>
      </c>
      <c r="AA199" s="263">
        <f t="shared" si="147"/>
        <v>43252</v>
      </c>
      <c r="AB199" s="263">
        <f t="shared" si="147"/>
        <v>43283</v>
      </c>
      <c r="AC199" s="263">
        <f t="shared" si="147"/>
        <v>43314</v>
      </c>
      <c r="AD199" s="263">
        <f t="shared" si="147"/>
        <v>43345</v>
      </c>
      <c r="AE199" s="263">
        <f t="shared" si="147"/>
        <v>43376</v>
      </c>
      <c r="AF199" s="263">
        <f t="shared" si="147"/>
        <v>43407</v>
      </c>
      <c r="AG199" s="263">
        <f t="shared" si="147"/>
        <v>43437</v>
      </c>
      <c r="AH199" s="263">
        <f t="shared" si="147"/>
        <v>43468</v>
      </c>
      <c r="AI199" s="263">
        <f t="shared" si="147"/>
        <v>43499</v>
      </c>
      <c r="AJ199" s="263">
        <f t="shared" si="147"/>
        <v>43527</v>
      </c>
      <c r="AK199" s="263">
        <f t="shared" si="147"/>
        <v>43558</v>
      </c>
      <c r="AL199" s="263">
        <f t="shared" si="147"/>
        <v>43587</v>
      </c>
      <c r="AM199" s="263">
        <f t="shared" si="147"/>
        <v>43618</v>
      </c>
      <c r="AN199" s="263">
        <f t="shared" si="147"/>
        <v>43647</v>
      </c>
      <c r="AO199" s="263">
        <f t="shared" si="147"/>
        <v>43678</v>
      </c>
      <c r="AP199" s="263">
        <f t="shared" si="147"/>
        <v>43709</v>
      </c>
      <c r="AQ199" s="263">
        <f t="shared" si="147"/>
        <v>43739</v>
      </c>
      <c r="AR199" s="263">
        <f t="shared" si="147"/>
        <v>43770</v>
      </c>
      <c r="AS199" s="263">
        <f t="shared" si="147"/>
        <v>43800</v>
      </c>
      <c r="AT199" s="263">
        <f t="shared" si="147"/>
        <v>43831</v>
      </c>
      <c r="AU199" s="263">
        <f t="shared" si="147"/>
        <v>43862</v>
      </c>
      <c r="AV199" s="914">
        <f t="shared" si="147"/>
        <v>43891</v>
      </c>
      <c r="AW199" s="263">
        <f t="shared" si="147"/>
        <v>43922</v>
      </c>
      <c r="AX199" s="263">
        <f t="shared" si="147"/>
        <v>43952</v>
      </c>
      <c r="AY199" s="263">
        <f t="shared" si="147"/>
        <v>43983</v>
      </c>
      <c r="AZ199" s="263">
        <f t="shared" si="147"/>
        <v>44013</v>
      </c>
      <c r="BA199" s="263">
        <f t="shared" si="147"/>
        <v>44044</v>
      </c>
      <c r="BB199" s="263">
        <f t="shared" si="147"/>
        <v>44075</v>
      </c>
      <c r="BC199" s="263">
        <f t="shared" si="147"/>
        <v>44105</v>
      </c>
      <c r="BD199" s="263">
        <f t="shared" si="147"/>
        <v>44136</v>
      </c>
      <c r="BE199" s="263">
        <f t="shared" si="147"/>
        <v>44166</v>
      </c>
      <c r="BF199" s="263">
        <f t="shared" si="147"/>
        <v>44197</v>
      </c>
      <c r="BG199" s="263">
        <f t="shared" si="147"/>
        <v>44228</v>
      </c>
      <c r="BH199" s="263">
        <f t="shared" si="147"/>
        <v>44256</v>
      </c>
      <c r="BI199" s="263">
        <f t="shared" si="147"/>
        <v>44287</v>
      </c>
      <c r="BJ199" s="263">
        <f t="shared" si="147"/>
        <v>44317</v>
      </c>
      <c r="BK199" s="263">
        <f t="shared" si="147"/>
        <v>44348</v>
      </c>
      <c r="BL199" s="263">
        <f t="shared" si="147"/>
        <v>44378</v>
      </c>
      <c r="BM199" s="263">
        <f t="shared" si="147"/>
        <v>44409</v>
      </c>
      <c r="BN199" s="263">
        <f t="shared" si="147"/>
        <v>44440</v>
      </c>
      <c r="BO199" s="263">
        <f t="shared" ref="BO199:CB199" si="148">BO$11</f>
        <v>44470</v>
      </c>
      <c r="BP199" s="263">
        <f t="shared" si="148"/>
        <v>44501</v>
      </c>
      <c r="BQ199" s="263">
        <f t="shared" si="148"/>
        <v>44531</v>
      </c>
      <c r="BR199" s="263">
        <f t="shared" si="148"/>
        <v>44562</v>
      </c>
      <c r="BS199" s="263">
        <f t="shared" si="148"/>
        <v>44593</v>
      </c>
      <c r="BT199" s="263">
        <f t="shared" si="148"/>
        <v>44622</v>
      </c>
      <c r="BU199" s="263">
        <f t="shared" si="148"/>
        <v>44654</v>
      </c>
      <c r="BV199" s="263">
        <f t="shared" si="148"/>
        <v>44685</v>
      </c>
      <c r="BW199" s="263">
        <f t="shared" si="148"/>
        <v>44716</v>
      </c>
      <c r="BX199" s="263">
        <f t="shared" si="148"/>
        <v>44746</v>
      </c>
      <c r="BY199" s="263">
        <f t="shared" si="148"/>
        <v>44774</v>
      </c>
      <c r="BZ199" s="263">
        <f t="shared" si="148"/>
        <v>44805</v>
      </c>
      <c r="CA199" s="263">
        <f t="shared" si="148"/>
        <v>44835</v>
      </c>
      <c r="CB199" s="263">
        <f t="shared" si="148"/>
        <v>44866</v>
      </c>
      <c r="CC199" s="263">
        <f>CC$11</f>
        <v>44896</v>
      </c>
      <c r="CD199" s="263">
        <f>CD$11</f>
        <v>44927</v>
      </c>
      <c r="CE199"/>
      <c r="CF199"/>
      <c r="CG199"/>
      <c r="CH199"/>
      <c r="CI199"/>
      <c r="CJ199"/>
      <c r="CK199"/>
      <c r="CL199"/>
      <c r="CM199"/>
      <c r="CN199"/>
      <c r="CO199"/>
      <c r="CP199"/>
      <c r="CQ199"/>
      <c r="CR199"/>
      <c r="CS199"/>
      <c r="CT199"/>
      <c r="CU199"/>
      <c r="CV199"/>
      <c r="CW199"/>
      <c r="CX199"/>
      <c r="CY199"/>
      <c r="CZ199"/>
      <c r="DA199"/>
      <c r="DB199"/>
      <c r="DC199"/>
      <c r="DD199"/>
      <c r="DE199"/>
    </row>
    <row r="200" spans="1:109" x14ac:dyDescent="0.25">
      <c r="B200" s="117" t="s">
        <v>542</v>
      </c>
      <c r="C200" s="264" t="s">
        <v>160</v>
      </c>
      <c r="D200" s="264" t="s">
        <v>160</v>
      </c>
      <c r="E200" s="264" t="s">
        <v>160</v>
      </c>
      <c r="F200" s="265" t="s">
        <v>160</v>
      </c>
      <c r="G200" s="265" t="s">
        <v>160</v>
      </c>
      <c r="H200" s="265" t="s">
        <v>160</v>
      </c>
      <c r="I200" s="265" t="s">
        <v>160</v>
      </c>
      <c r="J200" s="265" t="s">
        <v>160</v>
      </c>
      <c r="K200" s="265" t="s">
        <v>160</v>
      </c>
      <c r="L200" s="586" t="s">
        <v>160</v>
      </c>
      <c r="M200" s="586" t="s">
        <v>160</v>
      </c>
      <c r="N200" s="586" t="s">
        <v>160</v>
      </c>
      <c r="O200" s="586" t="s">
        <v>160</v>
      </c>
      <c r="P200" s="586" t="s">
        <v>160</v>
      </c>
      <c r="Q200" s="586" t="s">
        <v>160</v>
      </c>
      <c r="R200" s="586" t="s">
        <v>160</v>
      </c>
      <c r="S200" s="586" t="s">
        <v>160</v>
      </c>
      <c r="T200" s="586" t="s">
        <v>160</v>
      </c>
      <c r="U200" s="585" t="s">
        <v>160</v>
      </c>
      <c r="V200" s="585" t="s">
        <v>160</v>
      </c>
      <c r="W200" s="585" t="s">
        <v>160</v>
      </c>
      <c r="X200" s="585" t="s">
        <v>160</v>
      </c>
      <c r="Y200" s="585" t="s">
        <v>160</v>
      </c>
      <c r="Z200" s="585" t="s">
        <v>160</v>
      </c>
      <c r="AA200" s="585" t="s">
        <v>160</v>
      </c>
      <c r="AB200" s="585" t="s">
        <v>160</v>
      </c>
      <c r="AC200" s="585" t="s">
        <v>160</v>
      </c>
      <c r="AD200" s="585" t="s">
        <v>160</v>
      </c>
      <c r="AE200" s="585" t="s">
        <v>160</v>
      </c>
      <c r="AF200" s="585" t="s">
        <v>160</v>
      </c>
      <c r="AG200" s="585" t="s">
        <v>160</v>
      </c>
      <c r="AH200" s="585" t="s">
        <v>160</v>
      </c>
      <c r="AI200" s="585" t="s">
        <v>160</v>
      </c>
      <c r="AJ200" s="347" t="s">
        <v>160</v>
      </c>
      <c r="AK200" s="347" t="s">
        <v>160</v>
      </c>
      <c r="AL200" s="347" t="s">
        <v>160</v>
      </c>
      <c r="AM200" s="347" t="s">
        <v>160</v>
      </c>
      <c r="AN200" s="347" t="s">
        <v>160</v>
      </c>
      <c r="AO200" s="347" t="s">
        <v>160</v>
      </c>
      <c r="AP200" s="347" t="s">
        <v>160</v>
      </c>
      <c r="AQ200" s="347" t="s">
        <v>160</v>
      </c>
      <c r="AR200" s="347" t="s">
        <v>160</v>
      </c>
      <c r="AS200" s="347" t="s">
        <v>160</v>
      </c>
      <c r="AT200" s="347" t="s">
        <v>160</v>
      </c>
      <c r="AU200" s="347" t="s">
        <v>160</v>
      </c>
      <c r="AV200" s="928" t="s">
        <v>160</v>
      </c>
      <c r="AW200" s="347" t="s">
        <v>160</v>
      </c>
      <c r="AX200" s="347" t="s">
        <v>160</v>
      </c>
      <c r="AY200" s="347" t="s">
        <v>160</v>
      </c>
      <c r="AZ200" s="347" t="s">
        <v>160</v>
      </c>
      <c r="BA200" s="347" t="s">
        <v>160</v>
      </c>
      <c r="BB200" s="347" t="s">
        <v>160</v>
      </c>
      <c r="BC200" s="347" t="s">
        <v>160</v>
      </c>
      <c r="BD200" s="347" t="s">
        <v>160</v>
      </c>
      <c r="BE200" s="347" t="s">
        <v>160</v>
      </c>
      <c r="BF200" s="585" t="s">
        <v>160</v>
      </c>
      <c r="BG200" s="585" t="s">
        <v>160</v>
      </c>
      <c r="BH200" s="585" t="s">
        <v>160</v>
      </c>
      <c r="BI200" s="585" t="s">
        <v>160</v>
      </c>
      <c r="BJ200" s="585" t="s">
        <v>160</v>
      </c>
      <c r="BK200" s="585" t="s">
        <v>160</v>
      </c>
      <c r="BL200" s="585" t="s">
        <v>160</v>
      </c>
      <c r="BM200" s="585" t="s">
        <v>160</v>
      </c>
      <c r="BN200" s="585" t="s">
        <v>160</v>
      </c>
      <c r="BO200" s="585" t="s">
        <v>160</v>
      </c>
      <c r="BP200" s="585" t="s">
        <v>160</v>
      </c>
      <c r="BQ200" s="585">
        <v>100</v>
      </c>
      <c r="BR200" s="585">
        <v>100</v>
      </c>
      <c r="BS200" s="585">
        <v>100</v>
      </c>
      <c r="BT200" s="585">
        <v>100</v>
      </c>
      <c r="BU200" s="585">
        <v>100</v>
      </c>
      <c r="BV200" s="585">
        <v>100</v>
      </c>
      <c r="BW200" s="585">
        <v>100</v>
      </c>
      <c r="BX200" s="585">
        <v>100</v>
      </c>
      <c r="BY200" s="585">
        <v>100</v>
      </c>
      <c r="BZ200" s="585">
        <v>100</v>
      </c>
      <c r="CA200" s="585">
        <v>100</v>
      </c>
      <c r="CB200" s="585">
        <v>100</v>
      </c>
      <c r="CC200" s="342">
        <v>141</v>
      </c>
      <c r="CD200" s="585">
        <v>141</v>
      </c>
      <c r="CE200"/>
      <c r="CF200"/>
      <c r="CG200"/>
      <c r="CH200"/>
      <c r="CI200"/>
      <c r="CJ200"/>
      <c r="CK200"/>
      <c r="CL200"/>
      <c r="CM200"/>
      <c r="CN200"/>
      <c r="CO200"/>
      <c r="CP200"/>
      <c r="CQ200"/>
      <c r="CR200"/>
      <c r="CS200"/>
      <c r="CT200"/>
      <c r="CU200"/>
      <c r="CV200"/>
      <c r="CW200"/>
      <c r="CX200"/>
      <c r="CY200"/>
      <c r="CZ200"/>
      <c r="DA200"/>
      <c r="DB200"/>
      <c r="DC200"/>
      <c r="DD200"/>
      <c r="DE200"/>
    </row>
    <row r="201" spans="1:109" x14ac:dyDescent="0.25">
      <c r="B201" s="117" t="s">
        <v>546</v>
      </c>
      <c r="C201" s="264" t="s">
        <v>160</v>
      </c>
      <c r="D201" s="264" t="s">
        <v>160</v>
      </c>
      <c r="E201" s="264" t="s">
        <v>160</v>
      </c>
      <c r="F201" s="264" t="s">
        <v>160</v>
      </c>
      <c r="G201" s="264" t="s">
        <v>160</v>
      </c>
      <c r="H201" s="265" t="s">
        <v>160</v>
      </c>
      <c r="I201" s="265" t="s">
        <v>160</v>
      </c>
      <c r="J201" s="265" t="s">
        <v>160</v>
      </c>
      <c r="K201" s="265" t="s">
        <v>160</v>
      </c>
      <c r="L201" s="586" t="s">
        <v>160</v>
      </c>
      <c r="M201" s="586" t="s">
        <v>160</v>
      </c>
      <c r="N201" s="586" t="s">
        <v>160</v>
      </c>
      <c r="O201" s="586" t="s">
        <v>160</v>
      </c>
      <c r="P201" s="586" t="s">
        <v>160</v>
      </c>
      <c r="Q201" s="586" t="s">
        <v>160</v>
      </c>
      <c r="R201" s="586" t="s">
        <v>160</v>
      </c>
      <c r="S201" s="586" t="s">
        <v>160</v>
      </c>
      <c r="T201" s="586" t="s">
        <v>160</v>
      </c>
      <c r="U201" s="586" t="s">
        <v>160</v>
      </c>
      <c r="V201" s="586" t="s">
        <v>160</v>
      </c>
      <c r="W201" s="586" t="s">
        <v>160</v>
      </c>
      <c r="X201" s="586" t="s">
        <v>160</v>
      </c>
      <c r="Y201" s="586" t="s">
        <v>160</v>
      </c>
      <c r="Z201" s="586" t="s">
        <v>160</v>
      </c>
      <c r="AA201" s="586" t="s">
        <v>160</v>
      </c>
      <c r="AB201" s="586" t="s">
        <v>160</v>
      </c>
      <c r="AC201" s="586" t="s">
        <v>160</v>
      </c>
      <c r="AD201" s="586" t="s">
        <v>160</v>
      </c>
      <c r="AE201" s="586" t="s">
        <v>160</v>
      </c>
      <c r="AF201" s="585" t="s">
        <v>160</v>
      </c>
      <c r="AG201" s="585" t="s">
        <v>160</v>
      </c>
      <c r="AH201" s="585" t="s">
        <v>160</v>
      </c>
      <c r="AI201" s="585" t="s">
        <v>160</v>
      </c>
      <c r="AJ201" s="347" t="s">
        <v>160</v>
      </c>
      <c r="AK201" s="347" t="s">
        <v>160</v>
      </c>
      <c r="AL201" s="347" t="s">
        <v>160</v>
      </c>
      <c r="AM201" s="347" t="s">
        <v>160</v>
      </c>
      <c r="AN201" s="347" t="s">
        <v>160</v>
      </c>
      <c r="AO201" s="347" t="s">
        <v>160</v>
      </c>
      <c r="AP201" s="347" t="s">
        <v>160</v>
      </c>
      <c r="AQ201" s="347" t="s">
        <v>160</v>
      </c>
      <c r="AR201" s="347" t="s">
        <v>160</v>
      </c>
      <c r="AS201" s="347" t="s">
        <v>160</v>
      </c>
      <c r="AT201" s="347" t="s">
        <v>160</v>
      </c>
      <c r="AU201" s="347" t="s">
        <v>160</v>
      </c>
      <c r="AV201" s="928" t="s">
        <v>160</v>
      </c>
      <c r="AW201" s="347" t="s">
        <v>160</v>
      </c>
      <c r="AX201" s="347" t="s">
        <v>160</v>
      </c>
      <c r="AY201" s="347" t="s">
        <v>160</v>
      </c>
      <c r="AZ201" s="347" t="s">
        <v>160</v>
      </c>
      <c r="BA201" s="347" t="s">
        <v>160</v>
      </c>
      <c r="BB201" s="347" t="s">
        <v>160</v>
      </c>
      <c r="BC201" s="347" t="s">
        <v>160</v>
      </c>
      <c r="BD201" s="347">
        <v>173</v>
      </c>
      <c r="BE201" s="347">
        <v>173</v>
      </c>
      <c r="BF201" s="585">
        <v>173</v>
      </c>
      <c r="BG201" s="585">
        <v>173</v>
      </c>
      <c r="BH201" s="585">
        <v>173</v>
      </c>
      <c r="BI201" s="585">
        <v>173</v>
      </c>
      <c r="BJ201" s="585">
        <v>173</v>
      </c>
      <c r="BK201" s="585">
        <v>173</v>
      </c>
      <c r="BL201" s="585">
        <v>173</v>
      </c>
      <c r="BM201" s="585">
        <v>173</v>
      </c>
      <c r="BN201" s="585" t="s">
        <v>160</v>
      </c>
      <c r="BO201" s="585" t="s">
        <v>160</v>
      </c>
      <c r="BP201" s="585" t="s">
        <v>160</v>
      </c>
      <c r="BQ201" s="585">
        <v>115</v>
      </c>
      <c r="BR201" s="585">
        <v>115</v>
      </c>
      <c r="BS201" s="585">
        <v>115</v>
      </c>
      <c r="BT201" s="585">
        <v>115</v>
      </c>
      <c r="BU201" s="585">
        <v>115</v>
      </c>
      <c r="BV201" s="585">
        <v>115</v>
      </c>
      <c r="BW201" s="585">
        <v>115</v>
      </c>
      <c r="BX201" s="585">
        <v>115</v>
      </c>
      <c r="BY201" s="585">
        <v>115</v>
      </c>
      <c r="BZ201" s="585">
        <v>115</v>
      </c>
      <c r="CA201" s="585">
        <v>115</v>
      </c>
      <c r="CB201" s="585">
        <v>115</v>
      </c>
      <c r="CC201" s="585">
        <v>115</v>
      </c>
      <c r="CD201" s="585">
        <v>115</v>
      </c>
      <c r="CE201"/>
      <c r="CF201"/>
      <c r="CG201"/>
      <c r="CH201"/>
      <c r="CI201"/>
      <c r="CJ201"/>
      <c r="CK201"/>
      <c r="CL201"/>
      <c r="CM201"/>
      <c r="CN201"/>
      <c r="CO201"/>
      <c r="CP201"/>
      <c r="CQ201"/>
      <c r="CR201"/>
      <c r="CS201"/>
      <c r="CT201"/>
      <c r="CU201"/>
      <c r="CV201"/>
      <c r="CW201"/>
      <c r="CX201"/>
      <c r="CY201"/>
      <c r="CZ201"/>
      <c r="DA201"/>
      <c r="DB201"/>
      <c r="DC201"/>
      <c r="DD201"/>
      <c r="DE201"/>
    </row>
    <row r="202" spans="1:109" x14ac:dyDescent="0.25">
      <c r="B202" s="117" t="s">
        <v>574</v>
      </c>
      <c r="C202" s="264" t="s">
        <v>160</v>
      </c>
      <c r="D202" s="264" t="s">
        <v>160</v>
      </c>
      <c r="E202" s="264" t="s">
        <v>160</v>
      </c>
      <c r="F202" s="264" t="s">
        <v>160</v>
      </c>
      <c r="G202" s="264" t="s">
        <v>160</v>
      </c>
      <c r="H202" s="264" t="s">
        <v>160</v>
      </c>
      <c r="I202" s="264" t="s">
        <v>160</v>
      </c>
      <c r="J202" s="264" t="s">
        <v>160</v>
      </c>
      <c r="K202" s="264" t="s">
        <v>160</v>
      </c>
      <c r="L202" s="352" t="s">
        <v>160</v>
      </c>
      <c r="M202" s="352" t="s">
        <v>160</v>
      </c>
      <c r="N202" s="352" t="s">
        <v>160</v>
      </c>
      <c r="O202" s="586" t="s">
        <v>160</v>
      </c>
      <c r="P202" s="586" t="s">
        <v>160</v>
      </c>
      <c r="Q202" s="586" t="s">
        <v>160</v>
      </c>
      <c r="R202" s="586" t="s">
        <v>160</v>
      </c>
      <c r="S202" s="586" t="s">
        <v>160</v>
      </c>
      <c r="T202" s="586" t="s">
        <v>160</v>
      </c>
      <c r="U202" s="586" t="s">
        <v>160</v>
      </c>
      <c r="V202" s="586" t="s">
        <v>160</v>
      </c>
      <c r="W202" s="585" t="s">
        <v>160</v>
      </c>
      <c r="X202" s="586" t="s">
        <v>160</v>
      </c>
      <c r="Y202" s="586" t="s">
        <v>160</v>
      </c>
      <c r="Z202" s="586" t="s">
        <v>160</v>
      </c>
      <c r="AA202" s="586" t="s">
        <v>160</v>
      </c>
      <c r="AB202" s="586" t="s">
        <v>160</v>
      </c>
      <c r="AC202" s="586" t="s">
        <v>160</v>
      </c>
      <c r="AD202" s="586" t="s">
        <v>160</v>
      </c>
      <c r="AE202" s="586" t="s">
        <v>160</v>
      </c>
      <c r="AF202" s="586" t="s">
        <v>160</v>
      </c>
      <c r="AG202" s="586" t="s">
        <v>160</v>
      </c>
      <c r="AH202" s="586" t="s">
        <v>160</v>
      </c>
      <c r="AI202" s="586" t="s">
        <v>160</v>
      </c>
      <c r="AJ202" s="347" t="s">
        <v>160</v>
      </c>
      <c r="AK202" s="347" t="s">
        <v>160</v>
      </c>
      <c r="AL202" s="347" t="s">
        <v>160</v>
      </c>
      <c r="AM202" s="347" t="s">
        <v>160</v>
      </c>
      <c r="AN202" s="347" t="s">
        <v>160</v>
      </c>
      <c r="AO202" s="347" t="s">
        <v>160</v>
      </c>
      <c r="AP202" s="347" t="s">
        <v>160</v>
      </c>
      <c r="AQ202" s="347" t="s">
        <v>160</v>
      </c>
      <c r="AR202" s="347" t="s">
        <v>160</v>
      </c>
      <c r="AS202" s="347" t="s">
        <v>160</v>
      </c>
      <c r="AT202" s="347" t="s">
        <v>160</v>
      </c>
      <c r="AU202" s="347" t="s">
        <v>160</v>
      </c>
      <c r="AV202" s="928" t="s">
        <v>160</v>
      </c>
      <c r="AW202" s="349" t="s">
        <v>160</v>
      </c>
      <c r="AX202" s="349" t="s">
        <v>160</v>
      </c>
      <c r="AY202" s="347" t="s">
        <v>160</v>
      </c>
      <c r="AZ202" s="347" t="s">
        <v>160</v>
      </c>
      <c r="BA202" s="347" t="s">
        <v>160</v>
      </c>
      <c r="BB202" s="347" t="s">
        <v>160</v>
      </c>
      <c r="BC202" s="347">
        <v>123</v>
      </c>
      <c r="BD202" s="347">
        <v>123</v>
      </c>
      <c r="BE202" s="347">
        <v>123</v>
      </c>
      <c r="BF202" s="585">
        <v>123</v>
      </c>
      <c r="BG202" s="585">
        <v>123</v>
      </c>
      <c r="BH202" s="585">
        <v>123</v>
      </c>
      <c r="BI202" s="585">
        <v>123</v>
      </c>
      <c r="BJ202" s="585">
        <v>123</v>
      </c>
      <c r="BK202" s="585">
        <v>123</v>
      </c>
      <c r="BL202" s="585">
        <v>123</v>
      </c>
      <c r="BM202" s="585">
        <v>123</v>
      </c>
      <c r="BN202" s="585" t="s">
        <v>160</v>
      </c>
      <c r="BO202" s="585" t="s">
        <v>160</v>
      </c>
      <c r="BP202" s="585" t="s">
        <v>160</v>
      </c>
      <c r="BQ202" s="585" t="s">
        <v>160</v>
      </c>
      <c r="BR202" s="585" t="s">
        <v>160</v>
      </c>
      <c r="BS202" s="585" t="s">
        <v>160</v>
      </c>
      <c r="BT202" s="585" t="s">
        <v>160</v>
      </c>
      <c r="BU202" s="585" t="s">
        <v>160</v>
      </c>
      <c r="BV202" s="585" t="s">
        <v>160</v>
      </c>
      <c r="BW202" s="585" t="s">
        <v>160</v>
      </c>
      <c r="BX202" s="585" t="s">
        <v>160</v>
      </c>
      <c r="BY202" s="342">
        <v>135</v>
      </c>
      <c r="BZ202" s="585">
        <v>135</v>
      </c>
      <c r="CA202" s="585">
        <v>135</v>
      </c>
      <c r="CB202" s="585">
        <v>135</v>
      </c>
      <c r="CC202" s="585">
        <v>135</v>
      </c>
      <c r="CD202" s="585">
        <v>135</v>
      </c>
      <c r="CE202"/>
      <c r="CF202"/>
      <c r="CG202"/>
      <c r="CH202"/>
      <c r="CI202"/>
      <c r="CJ202"/>
      <c r="CK202"/>
      <c r="CL202"/>
      <c r="CM202"/>
      <c r="CN202"/>
      <c r="CO202"/>
      <c r="CP202"/>
      <c r="CQ202"/>
      <c r="CR202"/>
      <c r="CS202"/>
      <c r="CT202"/>
      <c r="CU202"/>
      <c r="CV202"/>
      <c r="CW202"/>
      <c r="CX202"/>
      <c r="CY202"/>
      <c r="CZ202"/>
      <c r="DA202"/>
      <c r="DB202"/>
      <c r="DC202"/>
      <c r="DD202"/>
      <c r="DE202"/>
    </row>
    <row r="203" spans="1:109" x14ac:dyDescent="0.25">
      <c r="B203" s="117" t="s">
        <v>547</v>
      </c>
      <c r="C203" s="264" t="s">
        <v>160</v>
      </c>
      <c r="D203" s="264" t="s">
        <v>160</v>
      </c>
      <c r="E203" s="264" t="s">
        <v>160</v>
      </c>
      <c r="F203" s="264" t="s">
        <v>160</v>
      </c>
      <c r="G203" s="265" t="s">
        <v>160</v>
      </c>
      <c r="H203" s="265" t="s">
        <v>160</v>
      </c>
      <c r="I203" s="265" t="s">
        <v>160</v>
      </c>
      <c r="J203" s="265" t="s">
        <v>160</v>
      </c>
      <c r="K203" s="265" t="s">
        <v>160</v>
      </c>
      <c r="L203" s="586" t="s">
        <v>160</v>
      </c>
      <c r="M203" s="586" t="s">
        <v>160</v>
      </c>
      <c r="N203" s="586" t="s">
        <v>160</v>
      </c>
      <c r="O203" s="586" t="s">
        <v>160</v>
      </c>
      <c r="P203" s="586" t="s">
        <v>160</v>
      </c>
      <c r="Q203" s="585" t="s">
        <v>160</v>
      </c>
      <c r="R203" s="585" t="s">
        <v>160</v>
      </c>
      <c r="S203" s="585" t="s">
        <v>160</v>
      </c>
      <c r="T203" s="585" t="s">
        <v>160</v>
      </c>
      <c r="U203" s="585" t="s">
        <v>160</v>
      </c>
      <c r="V203" s="585" t="s">
        <v>160</v>
      </c>
      <c r="W203" s="585" t="s">
        <v>160</v>
      </c>
      <c r="X203" s="585" t="s">
        <v>160</v>
      </c>
      <c r="Y203" s="585" t="s">
        <v>160</v>
      </c>
      <c r="Z203" s="585" t="s">
        <v>160</v>
      </c>
      <c r="AA203" s="585" t="s">
        <v>160</v>
      </c>
      <c r="AB203" s="585" t="s">
        <v>160</v>
      </c>
      <c r="AC203" s="585" t="s">
        <v>160</v>
      </c>
      <c r="AD203" s="585" t="s">
        <v>160</v>
      </c>
      <c r="AE203" s="585" t="s">
        <v>160</v>
      </c>
      <c r="AF203" s="585" t="s">
        <v>160</v>
      </c>
      <c r="AG203" s="585" t="s">
        <v>160</v>
      </c>
      <c r="AH203" s="585" t="s">
        <v>160</v>
      </c>
      <c r="AI203" s="585" t="s">
        <v>160</v>
      </c>
      <c r="AJ203" s="347" t="s">
        <v>160</v>
      </c>
      <c r="AK203" s="347" t="s">
        <v>160</v>
      </c>
      <c r="AL203" s="347" t="s">
        <v>160</v>
      </c>
      <c r="AM203" s="347" t="s">
        <v>160</v>
      </c>
      <c r="AN203" s="347" t="s">
        <v>160</v>
      </c>
      <c r="AO203" s="347" t="s">
        <v>160</v>
      </c>
      <c r="AP203" s="347" t="s">
        <v>160</v>
      </c>
      <c r="AQ203" s="347" t="s">
        <v>160</v>
      </c>
      <c r="AR203" s="347" t="s">
        <v>160</v>
      </c>
      <c r="AS203" s="347" t="s">
        <v>160</v>
      </c>
      <c r="AT203" s="347" t="s">
        <v>160</v>
      </c>
      <c r="AU203" s="347" t="s">
        <v>160</v>
      </c>
      <c r="AV203" s="928" t="s">
        <v>160</v>
      </c>
      <c r="AW203" s="347" t="s">
        <v>160</v>
      </c>
      <c r="AX203" s="347" t="s">
        <v>160</v>
      </c>
      <c r="AY203" s="347" t="s">
        <v>160</v>
      </c>
      <c r="AZ203" s="347" t="s">
        <v>160</v>
      </c>
      <c r="BA203" s="347" t="s">
        <v>160</v>
      </c>
      <c r="BB203" s="347" t="s">
        <v>160</v>
      </c>
      <c r="BC203" s="347" t="s">
        <v>160</v>
      </c>
      <c r="BD203" s="347" t="s">
        <v>160</v>
      </c>
      <c r="BE203" s="347">
        <v>155.19999999999999</v>
      </c>
      <c r="BF203" s="585">
        <v>155.19999999999999</v>
      </c>
      <c r="BG203" s="585">
        <v>155.19999999999999</v>
      </c>
      <c r="BH203" s="585">
        <v>155.19999999999999</v>
      </c>
      <c r="BI203" s="585">
        <v>155.19999999999999</v>
      </c>
      <c r="BJ203" s="585">
        <v>155.19999999999999</v>
      </c>
      <c r="BK203" s="585">
        <v>155.19999999999999</v>
      </c>
      <c r="BL203" s="585">
        <v>155.19999999999999</v>
      </c>
      <c r="BM203" s="585">
        <v>155.19999999999999</v>
      </c>
      <c r="BN203" s="585" t="s">
        <v>160</v>
      </c>
      <c r="BO203" s="585" t="s">
        <v>160</v>
      </c>
      <c r="BP203" s="585" t="s">
        <v>160</v>
      </c>
      <c r="BQ203" s="585">
        <v>111</v>
      </c>
      <c r="BR203" s="585">
        <v>111</v>
      </c>
      <c r="BS203" s="585">
        <v>111</v>
      </c>
      <c r="BT203" s="585">
        <v>111</v>
      </c>
      <c r="BU203" s="585">
        <v>111</v>
      </c>
      <c r="BV203" s="585">
        <v>111</v>
      </c>
      <c r="BW203" s="585">
        <v>111</v>
      </c>
      <c r="BX203" s="585">
        <v>111</v>
      </c>
      <c r="BY203" s="342">
        <v>122</v>
      </c>
      <c r="BZ203" s="585">
        <v>122</v>
      </c>
      <c r="CA203" s="585">
        <v>122</v>
      </c>
      <c r="CB203" s="585">
        <v>122</v>
      </c>
      <c r="CC203" s="585">
        <v>122</v>
      </c>
      <c r="CD203" s="342">
        <v>148.80000000000001</v>
      </c>
      <c r="CE203"/>
      <c r="CF203"/>
      <c r="CG203"/>
      <c r="CH203"/>
      <c r="CI203"/>
      <c r="CJ203"/>
      <c r="CK203"/>
      <c r="CL203"/>
      <c r="CM203"/>
      <c r="CN203"/>
      <c r="CO203"/>
      <c r="CP203"/>
      <c r="CQ203"/>
      <c r="CR203"/>
      <c r="CS203"/>
      <c r="CT203"/>
      <c r="CU203"/>
      <c r="CV203"/>
      <c r="CW203"/>
      <c r="CX203"/>
      <c r="CY203"/>
      <c r="CZ203"/>
      <c r="DA203"/>
      <c r="DB203"/>
      <c r="DC203"/>
      <c r="DD203"/>
      <c r="DE203"/>
    </row>
    <row r="204" spans="1:109" x14ac:dyDescent="0.25">
      <c r="B204" s="117" t="s">
        <v>1150</v>
      </c>
      <c r="C204" s="585" t="s">
        <v>160</v>
      </c>
      <c r="D204" s="585" t="s">
        <v>160</v>
      </c>
      <c r="E204" s="585" t="s">
        <v>160</v>
      </c>
      <c r="F204" s="585" t="s">
        <v>160</v>
      </c>
      <c r="G204" s="585" t="s">
        <v>160</v>
      </c>
      <c r="H204" s="585" t="s">
        <v>160</v>
      </c>
      <c r="I204" s="585" t="s">
        <v>160</v>
      </c>
      <c r="J204" s="585" t="s">
        <v>160</v>
      </c>
      <c r="K204" s="585" t="s">
        <v>160</v>
      </c>
      <c r="L204" s="585" t="s">
        <v>160</v>
      </c>
      <c r="M204" s="585" t="s">
        <v>160</v>
      </c>
      <c r="N204" s="585" t="s">
        <v>160</v>
      </c>
      <c r="O204" s="585" t="s">
        <v>160</v>
      </c>
      <c r="P204" s="585" t="s">
        <v>160</v>
      </c>
      <c r="Q204" s="585" t="s">
        <v>160</v>
      </c>
      <c r="R204" s="585" t="s">
        <v>160</v>
      </c>
      <c r="S204" s="585" t="s">
        <v>160</v>
      </c>
      <c r="T204" s="585" t="s">
        <v>160</v>
      </c>
      <c r="U204" s="585" t="s">
        <v>160</v>
      </c>
      <c r="V204" s="585" t="s">
        <v>160</v>
      </c>
      <c r="W204" s="585" t="s">
        <v>160</v>
      </c>
      <c r="X204" s="585" t="s">
        <v>160</v>
      </c>
      <c r="Y204" s="585" t="s">
        <v>160</v>
      </c>
      <c r="Z204" s="585" t="s">
        <v>160</v>
      </c>
      <c r="AA204" s="585" t="s">
        <v>160</v>
      </c>
      <c r="AB204" s="585" t="s">
        <v>160</v>
      </c>
      <c r="AC204" s="585" t="s">
        <v>160</v>
      </c>
      <c r="AD204" s="585" t="s">
        <v>160</v>
      </c>
      <c r="AE204" s="585" t="s">
        <v>160</v>
      </c>
      <c r="AF204" s="585" t="s">
        <v>160</v>
      </c>
      <c r="AG204" s="585" t="s">
        <v>160</v>
      </c>
      <c r="AH204" s="585" t="s">
        <v>160</v>
      </c>
      <c r="AI204" s="585" t="s">
        <v>160</v>
      </c>
      <c r="AJ204" s="585" t="s">
        <v>160</v>
      </c>
      <c r="AK204" s="585" t="s">
        <v>160</v>
      </c>
      <c r="AL204" s="585" t="s">
        <v>160</v>
      </c>
      <c r="AM204" s="585" t="s">
        <v>160</v>
      </c>
      <c r="AN204" s="585" t="s">
        <v>160</v>
      </c>
      <c r="AO204" s="585" t="s">
        <v>160</v>
      </c>
      <c r="AP204" s="585" t="s">
        <v>160</v>
      </c>
      <c r="AQ204" s="585" t="s">
        <v>160</v>
      </c>
      <c r="AR204" s="585" t="s">
        <v>160</v>
      </c>
      <c r="AS204" s="585" t="s">
        <v>160</v>
      </c>
      <c r="AT204" s="585" t="s">
        <v>160</v>
      </c>
      <c r="AU204" s="585" t="s">
        <v>160</v>
      </c>
      <c r="AV204" s="585" t="s">
        <v>160</v>
      </c>
      <c r="AW204" s="585" t="s">
        <v>160</v>
      </c>
      <c r="AX204" s="585" t="s">
        <v>160</v>
      </c>
      <c r="AY204" s="585" t="s">
        <v>160</v>
      </c>
      <c r="AZ204" s="585" t="s">
        <v>160</v>
      </c>
      <c r="BA204" s="585" t="s">
        <v>160</v>
      </c>
      <c r="BB204" s="585" t="s">
        <v>160</v>
      </c>
      <c r="BC204" s="585" t="s">
        <v>160</v>
      </c>
      <c r="BD204" s="585" t="s">
        <v>160</v>
      </c>
      <c r="BE204" s="585" t="s">
        <v>160</v>
      </c>
      <c r="BF204" s="585" t="s">
        <v>160</v>
      </c>
      <c r="BG204" s="585" t="s">
        <v>160</v>
      </c>
      <c r="BH204" s="585" t="s">
        <v>160</v>
      </c>
      <c r="BI204" s="585" t="s">
        <v>160</v>
      </c>
      <c r="BJ204" s="585" t="s">
        <v>160</v>
      </c>
      <c r="BK204" s="585" t="s">
        <v>160</v>
      </c>
      <c r="BL204" s="585" t="s">
        <v>160</v>
      </c>
      <c r="BM204" s="585" t="s">
        <v>160</v>
      </c>
      <c r="BN204" s="585">
        <v>129</v>
      </c>
      <c r="BO204" s="585">
        <v>129</v>
      </c>
      <c r="BP204" s="585">
        <v>129</v>
      </c>
      <c r="BQ204" s="341">
        <v>98</v>
      </c>
      <c r="BR204" s="585">
        <v>98</v>
      </c>
      <c r="BS204" s="585">
        <v>98</v>
      </c>
      <c r="BT204" s="585">
        <v>98</v>
      </c>
      <c r="BU204" s="585">
        <v>98</v>
      </c>
      <c r="BV204" s="585">
        <v>98</v>
      </c>
      <c r="BW204" s="585">
        <v>98</v>
      </c>
      <c r="BX204" s="585">
        <v>98</v>
      </c>
      <c r="BY204" s="585">
        <v>98</v>
      </c>
      <c r="BZ204" s="585">
        <v>98</v>
      </c>
      <c r="CA204" s="585">
        <v>98</v>
      </c>
      <c r="CB204" s="342">
        <v>147</v>
      </c>
      <c r="CC204" s="585">
        <v>147</v>
      </c>
      <c r="CD204" s="585">
        <v>147</v>
      </c>
      <c r="CE204"/>
      <c r="CF204"/>
      <c r="CG204"/>
      <c r="CH204"/>
      <c r="CI204"/>
      <c r="CJ204"/>
      <c r="CK204"/>
      <c r="CL204"/>
      <c r="CM204"/>
      <c r="CN204"/>
      <c r="CO204"/>
      <c r="CP204"/>
      <c r="CQ204"/>
      <c r="CR204"/>
      <c r="CS204"/>
      <c r="CT204"/>
      <c r="CU204"/>
      <c r="CV204"/>
      <c r="CW204"/>
      <c r="CX204"/>
      <c r="CY204"/>
      <c r="CZ204"/>
      <c r="DA204"/>
      <c r="DB204"/>
      <c r="DC204"/>
      <c r="DD204"/>
      <c r="DE204"/>
    </row>
    <row r="205" spans="1:109" x14ac:dyDescent="0.25">
      <c r="A205" s="1068"/>
      <c r="B205" s="765" t="s">
        <v>545</v>
      </c>
      <c r="C205" s="1080" t="s">
        <v>160</v>
      </c>
      <c r="D205" s="1080" t="s">
        <v>160</v>
      </c>
      <c r="E205" s="1080" t="s">
        <v>160</v>
      </c>
      <c r="F205" s="1080" t="s">
        <v>160</v>
      </c>
      <c r="G205" s="1080" t="s">
        <v>160</v>
      </c>
      <c r="H205" s="1081" t="s">
        <v>160</v>
      </c>
      <c r="I205" s="1081" t="s">
        <v>160</v>
      </c>
      <c r="J205" s="1081" t="s">
        <v>160</v>
      </c>
      <c r="K205" s="1081" t="s">
        <v>160</v>
      </c>
      <c r="L205" s="1081" t="s">
        <v>160</v>
      </c>
      <c r="M205" s="1081" t="s">
        <v>160</v>
      </c>
      <c r="N205" s="1081" t="s">
        <v>160</v>
      </c>
      <c r="O205" s="1081" t="s">
        <v>160</v>
      </c>
      <c r="P205" s="1081" t="s">
        <v>160</v>
      </c>
      <c r="Q205" s="1082" t="s">
        <v>160</v>
      </c>
      <c r="R205" s="1082" t="s">
        <v>160</v>
      </c>
      <c r="S205" s="1082" t="s">
        <v>160</v>
      </c>
      <c r="T205" s="1082" t="s">
        <v>160</v>
      </c>
      <c r="U205" s="1082" t="s">
        <v>160</v>
      </c>
      <c r="V205" s="1082" t="s">
        <v>160</v>
      </c>
      <c r="W205" s="1082" t="s">
        <v>160</v>
      </c>
      <c r="X205" s="1082" t="s">
        <v>160</v>
      </c>
      <c r="Y205" s="1082" t="s">
        <v>160</v>
      </c>
      <c r="Z205" s="1082" t="s">
        <v>160</v>
      </c>
      <c r="AA205" s="1082" t="s">
        <v>160</v>
      </c>
      <c r="AB205" s="1082" t="s">
        <v>160</v>
      </c>
      <c r="AC205" s="1082" t="s">
        <v>160</v>
      </c>
      <c r="AD205" s="1082" t="s">
        <v>160</v>
      </c>
      <c r="AE205" s="1082" t="s">
        <v>160</v>
      </c>
      <c r="AF205" s="1082" t="s">
        <v>160</v>
      </c>
      <c r="AG205" s="1081" t="s">
        <v>160</v>
      </c>
      <c r="AH205" s="1081" t="s">
        <v>160</v>
      </c>
      <c r="AI205" s="1081" t="s">
        <v>160</v>
      </c>
      <c r="AJ205" s="1082" t="s">
        <v>160</v>
      </c>
      <c r="AK205" s="1082" t="s">
        <v>160</v>
      </c>
      <c r="AL205" s="1082" t="s">
        <v>160</v>
      </c>
      <c r="AM205" s="1082" t="s">
        <v>160</v>
      </c>
      <c r="AN205" s="1082" t="s">
        <v>160</v>
      </c>
      <c r="AO205" s="1082" t="s">
        <v>160</v>
      </c>
      <c r="AP205" s="1082" t="s">
        <v>160</v>
      </c>
      <c r="AQ205" s="1082" t="s">
        <v>160</v>
      </c>
      <c r="AR205" s="1082" t="s">
        <v>160</v>
      </c>
      <c r="AS205" s="1082" t="s">
        <v>160</v>
      </c>
      <c r="AT205" s="1082" t="s">
        <v>160</v>
      </c>
      <c r="AU205" s="1082" t="s">
        <v>160</v>
      </c>
      <c r="AV205" s="1083" t="s">
        <v>160</v>
      </c>
      <c r="AW205" s="1082" t="s">
        <v>160</v>
      </c>
      <c r="AX205" s="1082" t="s">
        <v>160</v>
      </c>
      <c r="AY205" s="1082" t="s">
        <v>160</v>
      </c>
      <c r="AZ205" s="1082" t="s">
        <v>160</v>
      </c>
      <c r="BA205" s="1082" t="s">
        <v>160</v>
      </c>
      <c r="BB205" s="1082" t="s">
        <v>160</v>
      </c>
      <c r="BC205" s="1082" t="s">
        <v>160</v>
      </c>
      <c r="BD205" s="1082" t="s">
        <v>160</v>
      </c>
      <c r="BE205" s="1082" t="s">
        <v>160</v>
      </c>
      <c r="BF205" s="1082" t="s">
        <v>160</v>
      </c>
      <c r="BG205" s="1082" t="s">
        <v>160</v>
      </c>
      <c r="BH205" s="1082" t="s">
        <v>160</v>
      </c>
      <c r="BI205" s="1082" t="s">
        <v>160</v>
      </c>
      <c r="BJ205" s="1082" t="s">
        <v>160</v>
      </c>
      <c r="BK205" s="1082" t="s">
        <v>160</v>
      </c>
      <c r="BL205" s="1082" t="s">
        <v>160</v>
      </c>
      <c r="BM205" s="1082" t="s">
        <v>160</v>
      </c>
      <c r="BN205" s="1082">
        <v>108</v>
      </c>
      <c r="BO205" s="1082">
        <v>108</v>
      </c>
      <c r="BP205" s="1082">
        <v>108</v>
      </c>
      <c r="BQ205" s="1082">
        <v>108</v>
      </c>
      <c r="BR205" s="1082">
        <v>114</v>
      </c>
      <c r="BS205" s="1082">
        <v>114</v>
      </c>
      <c r="BT205" s="1082" t="s">
        <v>160</v>
      </c>
      <c r="BU205" s="1082" t="s">
        <v>160</v>
      </c>
      <c r="BV205" s="1082" t="s">
        <v>160</v>
      </c>
      <c r="BW205" s="1082" t="s">
        <v>160</v>
      </c>
      <c r="BX205" s="1082" t="s">
        <v>160</v>
      </c>
      <c r="BY205" s="1082" t="s">
        <v>160</v>
      </c>
      <c r="BZ205" s="585" t="s">
        <v>160</v>
      </c>
      <c r="CA205" s="585" t="s">
        <v>160</v>
      </c>
      <c r="CB205" s="585" t="s">
        <v>160</v>
      </c>
      <c r="CC205" s="585" t="s">
        <v>160</v>
      </c>
      <c r="CD205" s="585" t="s">
        <v>160</v>
      </c>
      <c r="CE205"/>
      <c r="CF205"/>
      <c r="CG205"/>
      <c r="CH205"/>
      <c r="CI205"/>
      <c r="CJ205"/>
      <c r="CK205"/>
      <c r="CL205"/>
      <c r="CM205"/>
      <c r="CN205"/>
      <c r="CO205"/>
      <c r="CP205"/>
      <c r="CQ205"/>
      <c r="CR205"/>
      <c r="CS205"/>
      <c r="CT205"/>
      <c r="CU205"/>
      <c r="CV205"/>
      <c r="CW205"/>
      <c r="CX205"/>
      <c r="CY205"/>
      <c r="CZ205"/>
      <c r="DA205"/>
      <c r="DB205"/>
      <c r="DC205"/>
      <c r="DD205"/>
      <c r="DE205"/>
    </row>
    <row r="206" spans="1:109" x14ac:dyDescent="0.25">
      <c r="A206"/>
      <c r="B206" s="1072" t="s">
        <v>557</v>
      </c>
      <c r="C206" s="1073" t="str">
        <f t="shared" ref="C206:BN206" si="149">IFERROR(AVERAGE(C200:C205),"-")</f>
        <v>-</v>
      </c>
      <c r="D206" s="1073" t="str">
        <f t="shared" si="149"/>
        <v>-</v>
      </c>
      <c r="E206" s="1073" t="str">
        <f t="shared" si="149"/>
        <v>-</v>
      </c>
      <c r="F206" s="1073" t="str">
        <f t="shared" si="149"/>
        <v>-</v>
      </c>
      <c r="G206" s="1073" t="str">
        <f t="shared" si="149"/>
        <v>-</v>
      </c>
      <c r="H206" s="1073" t="str">
        <f t="shared" si="149"/>
        <v>-</v>
      </c>
      <c r="I206" s="1073" t="str">
        <f t="shared" si="149"/>
        <v>-</v>
      </c>
      <c r="J206" s="1073" t="str">
        <f t="shared" si="149"/>
        <v>-</v>
      </c>
      <c r="K206" s="1073" t="str">
        <f t="shared" si="149"/>
        <v>-</v>
      </c>
      <c r="L206" s="1075" t="str">
        <f t="shared" si="149"/>
        <v>-</v>
      </c>
      <c r="M206" s="1075" t="str">
        <f t="shared" si="149"/>
        <v>-</v>
      </c>
      <c r="N206" s="1075" t="str">
        <f t="shared" si="149"/>
        <v>-</v>
      </c>
      <c r="O206" s="1075" t="str">
        <f t="shared" si="149"/>
        <v>-</v>
      </c>
      <c r="P206" s="1075" t="str">
        <f t="shared" si="149"/>
        <v>-</v>
      </c>
      <c r="Q206" s="1075" t="str">
        <f t="shared" si="149"/>
        <v>-</v>
      </c>
      <c r="R206" s="1075" t="str">
        <f t="shared" si="149"/>
        <v>-</v>
      </c>
      <c r="S206" s="1075" t="str">
        <f t="shared" si="149"/>
        <v>-</v>
      </c>
      <c r="T206" s="1075" t="str">
        <f t="shared" si="149"/>
        <v>-</v>
      </c>
      <c r="U206" s="1075" t="str">
        <f t="shared" si="149"/>
        <v>-</v>
      </c>
      <c r="V206" s="1076" t="str">
        <f t="shared" si="149"/>
        <v>-</v>
      </c>
      <c r="W206" s="1076" t="str">
        <f t="shared" si="149"/>
        <v>-</v>
      </c>
      <c r="X206" s="1076" t="str">
        <f t="shared" si="149"/>
        <v>-</v>
      </c>
      <c r="Y206" s="1076" t="str">
        <f t="shared" si="149"/>
        <v>-</v>
      </c>
      <c r="Z206" s="1076" t="str">
        <f t="shared" si="149"/>
        <v>-</v>
      </c>
      <c r="AA206" s="1076" t="str">
        <f t="shared" si="149"/>
        <v>-</v>
      </c>
      <c r="AB206" s="1076" t="str">
        <f t="shared" si="149"/>
        <v>-</v>
      </c>
      <c r="AC206" s="1076" t="str">
        <f t="shared" si="149"/>
        <v>-</v>
      </c>
      <c r="AD206" s="1076" t="str">
        <f t="shared" si="149"/>
        <v>-</v>
      </c>
      <c r="AE206" s="1076" t="str">
        <f t="shared" si="149"/>
        <v>-</v>
      </c>
      <c r="AF206" s="1076" t="str">
        <f t="shared" si="149"/>
        <v>-</v>
      </c>
      <c r="AG206" s="1076" t="str">
        <f t="shared" si="149"/>
        <v>-</v>
      </c>
      <c r="AH206" s="1076" t="str">
        <f t="shared" si="149"/>
        <v>-</v>
      </c>
      <c r="AI206" s="1076" t="str">
        <f t="shared" si="149"/>
        <v>-</v>
      </c>
      <c r="AJ206" s="1076" t="str">
        <f t="shared" si="149"/>
        <v>-</v>
      </c>
      <c r="AK206" s="1076" t="str">
        <f t="shared" si="149"/>
        <v>-</v>
      </c>
      <c r="AL206" s="1076" t="str">
        <f t="shared" si="149"/>
        <v>-</v>
      </c>
      <c r="AM206" s="1076" t="str">
        <f t="shared" si="149"/>
        <v>-</v>
      </c>
      <c r="AN206" s="1076" t="str">
        <f t="shared" si="149"/>
        <v>-</v>
      </c>
      <c r="AO206" s="1076" t="str">
        <f t="shared" si="149"/>
        <v>-</v>
      </c>
      <c r="AP206" s="1076" t="str">
        <f t="shared" si="149"/>
        <v>-</v>
      </c>
      <c r="AQ206" s="1076" t="str">
        <f t="shared" si="149"/>
        <v>-</v>
      </c>
      <c r="AR206" s="1076" t="str">
        <f t="shared" si="149"/>
        <v>-</v>
      </c>
      <c r="AS206" s="1075" t="str">
        <f t="shared" si="149"/>
        <v>-</v>
      </c>
      <c r="AT206" s="1075" t="str">
        <f t="shared" si="149"/>
        <v>-</v>
      </c>
      <c r="AU206" s="1075" t="str">
        <f t="shared" si="149"/>
        <v>-</v>
      </c>
      <c r="AV206" s="1075" t="str">
        <f t="shared" si="149"/>
        <v>-</v>
      </c>
      <c r="AW206" s="1075" t="str">
        <f t="shared" si="149"/>
        <v>-</v>
      </c>
      <c r="AX206" s="1075" t="str">
        <f t="shared" si="149"/>
        <v>-</v>
      </c>
      <c r="AY206" s="1075" t="str">
        <f t="shared" si="149"/>
        <v>-</v>
      </c>
      <c r="AZ206" s="1075" t="str">
        <f t="shared" si="149"/>
        <v>-</v>
      </c>
      <c r="BA206" s="1075" t="str">
        <f t="shared" si="149"/>
        <v>-</v>
      </c>
      <c r="BB206" s="1075" t="str">
        <f t="shared" si="149"/>
        <v>-</v>
      </c>
      <c r="BC206" s="1075">
        <f t="shared" si="149"/>
        <v>123</v>
      </c>
      <c r="BD206" s="1075">
        <f t="shared" si="149"/>
        <v>148</v>
      </c>
      <c r="BE206" s="1075">
        <f t="shared" si="149"/>
        <v>150.4</v>
      </c>
      <c r="BF206" s="1075">
        <f t="shared" si="149"/>
        <v>150.4</v>
      </c>
      <c r="BG206" s="1075">
        <f t="shared" si="149"/>
        <v>150.4</v>
      </c>
      <c r="BH206" s="1075">
        <f t="shared" si="149"/>
        <v>150.4</v>
      </c>
      <c r="BI206" s="1075">
        <f t="shared" si="149"/>
        <v>150.4</v>
      </c>
      <c r="BJ206" s="1075">
        <f t="shared" si="149"/>
        <v>150.4</v>
      </c>
      <c r="BK206" s="1075">
        <f t="shared" si="149"/>
        <v>150.4</v>
      </c>
      <c r="BL206" s="1075">
        <f t="shared" si="149"/>
        <v>150.4</v>
      </c>
      <c r="BM206" s="1075">
        <f t="shared" si="149"/>
        <v>150.4</v>
      </c>
      <c r="BN206" s="1075">
        <f t="shared" si="149"/>
        <v>118.5</v>
      </c>
      <c r="BO206" s="1075">
        <f>IFERROR(AVERAGE(BO200:BO205),"-")</f>
        <v>118.5</v>
      </c>
      <c r="BP206" s="1075">
        <f t="shared" ref="BP206:BY206" si="150">IFERROR(AVERAGE(BP200:BP205),"-")</f>
        <v>118.5</v>
      </c>
      <c r="BQ206" s="1075">
        <f t="shared" si="150"/>
        <v>106.4</v>
      </c>
      <c r="BR206" s="1075">
        <f t="shared" si="150"/>
        <v>107.6</v>
      </c>
      <c r="BS206" s="1075">
        <f t="shared" si="150"/>
        <v>107.6</v>
      </c>
      <c r="BT206" s="1075">
        <f t="shared" si="150"/>
        <v>106</v>
      </c>
      <c r="BU206" s="1075">
        <f t="shared" si="150"/>
        <v>106</v>
      </c>
      <c r="BV206" s="1075">
        <f t="shared" si="150"/>
        <v>106</v>
      </c>
      <c r="BW206" s="1075">
        <f t="shared" si="150"/>
        <v>106</v>
      </c>
      <c r="BX206" s="1075">
        <f t="shared" si="150"/>
        <v>106</v>
      </c>
      <c r="BY206" s="1075">
        <f t="shared" si="150"/>
        <v>114</v>
      </c>
      <c r="BZ206" s="1075">
        <f>IFERROR(AVERAGE(BZ200:BZ205),"-")</f>
        <v>114</v>
      </c>
      <c r="CA206" s="1075">
        <f>IFERROR(AVERAGE(CA200:CA205),"-")</f>
        <v>114</v>
      </c>
      <c r="CB206" s="1075">
        <f>IFERROR(AVERAGE(CB200:CB205),"-")</f>
        <v>123.8</v>
      </c>
      <c r="CC206" s="1075">
        <f>IFERROR(AVERAGE(CC200:CC205),"-")</f>
        <v>132</v>
      </c>
      <c r="CD206" s="1075">
        <f>IFERROR(AVERAGE(CD200:CD205),"-")</f>
        <v>137.35999999999999</v>
      </c>
      <c r="CE206"/>
      <c r="CF206"/>
      <c r="CG206"/>
      <c r="CH206"/>
      <c r="CI206"/>
      <c r="CJ206"/>
      <c r="CK206"/>
      <c r="CL206"/>
      <c r="CM206"/>
      <c r="CN206"/>
      <c r="CO206"/>
      <c r="CP206"/>
      <c r="CQ206"/>
      <c r="CR206"/>
      <c r="CS206"/>
      <c r="CT206"/>
      <c r="CU206"/>
      <c r="CV206"/>
      <c r="CW206"/>
      <c r="CX206"/>
      <c r="CY206"/>
      <c r="CZ206"/>
      <c r="DA206"/>
      <c r="DB206"/>
      <c r="DC206"/>
      <c r="DD206"/>
      <c r="DE206"/>
    </row>
    <row r="207" spans="1:109" x14ac:dyDescent="0.25">
      <c r="X207" s="340"/>
      <c r="Y207" s="340"/>
      <c r="Z207" s="340"/>
      <c r="AA207" s="340"/>
      <c r="AB207" s="340"/>
      <c r="AC207" s="340"/>
      <c r="AD207" s="340"/>
      <c r="AE207" s="340"/>
      <c r="AF207" s="340"/>
      <c r="AG207" s="340"/>
      <c r="AH207" s="340"/>
      <c r="AI207" s="340"/>
      <c r="AJ207" s="340"/>
      <c r="AK207" s="340"/>
      <c r="AL207" s="340"/>
      <c r="AM207" s="340"/>
      <c r="AN207" s="340"/>
      <c r="AO207" s="340"/>
      <c r="AP207" s="340"/>
      <c r="AQ207" s="340"/>
      <c r="AR207" s="340"/>
      <c r="AS207" s="340"/>
      <c r="AT207" s="761"/>
      <c r="CE207"/>
      <c r="CF207"/>
      <c r="CG207"/>
      <c r="CH207"/>
      <c r="CI207"/>
      <c r="CJ207"/>
      <c r="CK207"/>
      <c r="CL207"/>
      <c r="CM207"/>
      <c r="CN207"/>
      <c r="CO207"/>
      <c r="CP207"/>
      <c r="CQ207"/>
      <c r="CR207"/>
      <c r="CS207"/>
      <c r="CT207"/>
      <c r="CU207"/>
      <c r="CV207"/>
      <c r="CW207"/>
      <c r="CX207"/>
      <c r="CY207"/>
      <c r="CZ207"/>
      <c r="DA207"/>
      <c r="DB207"/>
      <c r="DC207"/>
      <c r="DD207"/>
      <c r="DE207"/>
    </row>
    <row r="208" spans="1:109" x14ac:dyDescent="0.25">
      <c r="B208" s="113" t="s">
        <v>1105</v>
      </c>
      <c r="C208" s="263">
        <v>42522</v>
      </c>
      <c r="D208" s="263">
        <v>42552</v>
      </c>
      <c r="E208" s="263">
        <v>42583</v>
      </c>
      <c r="F208" s="263">
        <v>42614</v>
      </c>
      <c r="G208" s="263">
        <v>42644</v>
      </c>
      <c r="H208" s="263">
        <v>42675</v>
      </c>
      <c r="I208" s="263">
        <v>42705</v>
      </c>
      <c r="J208" s="263">
        <v>42736</v>
      </c>
      <c r="K208" s="263">
        <v>42767</v>
      </c>
      <c r="L208" s="263">
        <v>42795</v>
      </c>
      <c r="M208" s="263">
        <v>42826</v>
      </c>
      <c r="N208" s="263">
        <v>42856</v>
      </c>
      <c r="O208" s="263">
        <v>42887</v>
      </c>
      <c r="P208" s="263">
        <v>42917</v>
      </c>
      <c r="Q208" s="263">
        <v>42948</v>
      </c>
      <c r="R208" s="263">
        <v>42979</v>
      </c>
      <c r="S208" s="263">
        <v>43009</v>
      </c>
      <c r="T208" s="263">
        <v>43040</v>
      </c>
      <c r="U208" s="263">
        <v>43070</v>
      </c>
      <c r="V208" s="263">
        <v>43101</v>
      </c>
      <c r="W208" s="263">
        <v>43132</v>
      </c>
      <c r="X208" s="263">
        <v>43160</v>
      </c>
      <c r="Y208" s="263">
        <v>43191</v>
      </c>
      <c r="Z208" s="263">
        <v>43221</v>
      </c>
      <c r="AA208" s="263">
        <v>43252</v>
      </c>
      <c r="AB208" s="263">
        <v>43283</v>
      </c>
      <c r="AC208" s="263">
        <v>43314</v>
      </c>
      <c r="AD208" s="263">
        <v>43345</v>
      </c>
      <c r="AE208" s="263">
        <v>43376</v>
      </c>
      <c r="AF208" s="263">
        <v>43407</v>
      </c>
      <c r="AG208" s="263">
        <v>43437</v>
      </c>
      <c r="AH208" s="263">
        <v>43468</v>
      </c>
      <c r="AI208" s="263">
        <v>43499</v>
      </c>
      <c r="AJ208" s="263">
        <v>43527</v>
      </c>
      <c r="AK208" s="263">
        <v>43558</v>
      </c>
      <c r="AL208" s="263">
        <v>43587</v>
      </c>
      <c r="AM208" s="263">
        <v>43618</v>
      </c>
      <c r="AN208" s="263">
        <v>43647</v>
      </c>
      <c r="AO208" s="263">
        <v>43678</v>
      </c>
      <c r="AP208" s="263">
        <v>43709</v>
      </c>
      <c r="AQ208" s="263">
        <v>43739</v>
      </c>
      <c r="AR208" s="263">
        <v>43770</v>
      </c>
      <c r="AS208" s="263">
        <v>43800</v>
      </c>
      <c r="AT208" s="263">
        <v>43831</v>
      </c>
      <c r="AU208" s="263">
        <v>43862</v>
      </c>
      <c r="AV208" s="914">
        <v>43891</v>
      </c>
      <c r="AW208" s="263">
        <v>43922</v>
      </c>
      <c r="AX208" s="263">
        <v>43952</v>
      </c>
      <c r="AY208" s="263">
        <v>43983</v>
      </c>
      <c r="AZ208" s="263">
        <v>44013</v>
      </c>
      <c r="BA208" s="263">
        <v>44044</v>
      </c>
      <c r="BB208" s="263">
        <v>44075</v>
      </c>
      <c r="BC208" s="263">
        <v>44105</v>
      </c>
      <c r="BD208" s="263">
        <v>44136</v>
      </c>
      <c r="BE208" s="263">
        <v>44166</v>
      </c>
      <c r="BF208" s="263">
        <v>44197</v>
      </c>
      <c r="BG208" s="263">
        <v>44228</v>
      </c>
      <c r="BH208" s="263">
        <v>44256</v>
      </c>
      <c r="BI208" s="263">
        <v>44287</v>
      </c>
      <c r="BJ208" s="263">
        <v>44317</v>
      </c>
      <c r="BK208" s="263">
        <v>44348</v>
      </c>
      <c r="BL208" s="263">
        <v>44378</v>
      </c>
      <c r="BM208" s="263">
        <v>44409</v>
      </c>
      <c r="BN208" s="263">
        <v>44440</v>
      </c>
      <c r="BO208" s="263">
        <v>44470</v>
      </c>
      <c r="BP208" s="263">
        <v>44501</v>
      </c>
      <c r="BQ208" s="263">
        <v>44531</v>
      </c>
      <c r="BR208" s="263">
        <v>44562</v>
      </c>
      <c r="BS208" s="263">
        <v>44593</v>
      </c>
      <c r="BT208" s="263">
        <v>44622</v>
      </c>
      <c r="BU208" s="263">
        <v>44654</v>
      </c>
      <c r="BV208" s="263">
        <v>44685</v>
      </c>
      <c r="BW208" s="263">
        <v>44716</v>
      </c>
      <c r="BX208" s="263">
        <v>44746</v>
      </c>
      <c r="BY208" s="263">
        <v>44774</v>
      </c>
      <c r="BZ208" s="263">
        <v>44805</v>
      </c>
      <c r="CA208" s="263">
        <v>44835</v>
      </c>
      <c r="CB208" s="263">
        <v>44866</v>
      </c>
      <c r="CC208" s="263">
        <v>44896</v>
      </c>
      <c r="CD208" s="263">
        <v>44927</v>
      </c>
      <c r="CE208"/>
      <c r="CF208"/>
      <c r="CG208"/>
      <c r="CH208"/>
      <c r="CI208"/>
      <c r="CJ208"/>
      <c r="CK208"/>
      <c r="CL208"/>
      <c r="CM208"/>
      <c r="CN208"/>
      <c r="CO208"/>
      <c r="CP208"/>
      <c r="CQ208"/>
      <c r="CR208"/>
      <c r="CS208"/>
      <c r="CT208"/>
      <c r="CU208"/>
      <c r="CV208"/>
      <c r="CW208"/>
      <c r="CX208"/>
      <c r="CY208"/>
      <c r="CZ208"/>
      <c r="DA208"/>
      <c r="DB208"/>
      <c r="DC208"/>
      <c r="DD208"/>
      <c r="DE208"/>
    </row>
    <row r="209" spans="1:121" x14ac:dyDescent="0.25">
      <c r="B209" s="117" t="s">
        <v>542</v>
      </c>
      <c r="C209" s="345" t="s">
        <v>160</v>
      </c>
      <c r="D209" s="345" t="s">
        <v>160</v>
      </c>
      <c r="E209" s="345" t="s">
        <v>160</v>
      </c>
      <c r="F209" s="345" t="s">
        <v>160</v>
      </c>
      <c r="G209" s="345" t="s">
        <v>160</v>
      </c>
      <c r="H209" s="345" t="s">
        <v>160</v>
      </c>
      <c r="I209" s="345" t="s">
        <v>160</v>
      </c>
      <c r="J209" s="345" t="s">
        <v>160</v>
      </c>
      <c r="K209" s="345" t="s">
        <v>160</v>
      </c>
      <c r="L209" s="345" t="s">
        <v>160</v>
      </c>
      <c r="M209" s="345" t="s">
        <v>160</v>
      </c>
      <c r="N209" s="345" t="s">
        <v>160</v>
      </c>
      <c r="O209" s="345" t="s">
        <v>160</v>
      </c>
      <c r="P209" s="345" t="s">
        <v>160</v>
      </c>
      <c r="Q209" s="345" t="s">
        <v>160</v>
      </c>
      <c r="R209" s="345" t="s">
        <v>160</v>
      </c>
      <c r="S209" s="345" t="s">
        <v>160</v>
      </c>
      <c r="T209" s="345" t="s">
        <v>160</v>
      </c>
      <c r="U209" s="930" t="s">
        <v>160</v>
      </c>
      <c r="V209" s="930" t="s">
        <v>160</v>
      </c>
      <c r="W209" s="930" t="s">
        <v>160</v>
      </c>
      <c r="X209" s="930" t="s">
        <v>160</v>
      </c>
      <c r="Y209" s="930" t="s">
        <v>160</v>
      </c>
      <c r="Z209" s="930" t="s">
        <v>160</v>
      </c>
      <c r="AA209" s="930" t="s">
        <v>160</v>
      </c>
      <c r="AB209" s="930" t="s">
        <v>160</v>
      </c>
      <c r="AC209" s="930" t="s">
        <v>160</v>
      </c>
      <c r="AD209" s="930" t="s">
        <v>160</v>
      </c>
      <c r="AE209" s="930" t="s">
        <v>160</v>
      </c>
      <c r="AF209" s="930" t="s">
        <v>160</v>
      </c>
      <c r="AG209" s="930" t="s">
        <v>160</v>
      </c>
      <c r="AH209" s="930" t="s">
        <v>160</v>
      </c>
      <c r="AI209" s="930" t="s">
        <v>160</v>
      </c>
      <c r="AJ209" s="930" t="s">
        <v>160</v>
      </c>
      <c r="AK209" s="930" t="s">
        <v>160</v>
      </c>
      <c r="AL209" s="930" t="s">
        <v>160</v>
      </c>
      <c r="AM209" s="930" t="s">
        <v>160</v>
      </c>
      <c r="AN209" s="930" t="s">
        <v>160</v>
      </c>
      <c r="AO209" s="930" t="s">
        <v>160</v>
      </c>
      <c r="AP209" s="930" t="s">
        <v>160</v>
      </c>
      <c r="AQ209" s="930" t="s">
        <v>160</v>
      </c>
      <c r="AR209" s="930" t="s">
        <v>160</v>
      </c>
      <c r="AS209" s="930" t="s">
        <v>160</v>
      </c>
      <c r="AT209" s="930" t="s">
        <v>160</v>
      </c>
      <c r="AU209" s="930" t="s">
        <v>160</v>
      </c>
      <c r="AV209" s="930" t="s">
        <v>160</v>
      </c>
      <c r="AW209" s="931" t="s">
        <v>160</v>
      </c>
      <c r="AX209" s="930" t="s">
        <v>160</v>
      </c>
      <c r="AY209" s="930" t="s">
        <v>160</v>
      </c>
      <c r="AZ209" s="930" t="s">
        <v>160</v>
      </c>
      <c r="BA209" s="930" t="s">
        <v>160</v>
      </c>
      <c r="BB209" s="930" t="s">
        <v>160</v>
      </c>
      <c r="BC209" s="930" t="s">
        <v>160</v>
      </c>
      <c r="BD209" s="930" t="s">
        <v>160</v>
      </c>
      <c r="BE209" s="930" t="s">
        <v>160</v>
      </c>
      <c r="BF209" s="930" t="s">
        <v>160</v>
      </c>
      <c r="BG209" s="930" t="s">
        <v>160</v>
      </c>
      <c r="BH209" s="930" t="s">
        <v>160</v>
      </c>
      <c r="BI209" s="930" t="s">
        <v>160</v>
      </c>
      <c r="BJ209" s="930" t="s">
        <v>160</v>
      </c>
      <c r="BK209" s="930" t="s">
        <v>160</v>
      </c>
      <c r="BL209" s="930" t="s">
        <v>160</v>
      </c>
      <c r="BM209" s="930" t="s">
        <v>160</v>
      </c>
      <c r="BN209" s="930" t="s">
        <v>160</v>
      </c>
      <c r="BO209" s="930" t="s">
        <v>160</v>
      </c>
      <c r="BP209" s="930" t="s">
        <v>160</v>
      </c>
      <c r="BQ209" s="930">
        <v>18.5</v>
      </c>
      <c r="BR209" s="930">
        <v>18.5</v>
      </c>
      <c r="BS209" s="930">
        <v>18.5</v>
      </c>
      <c r="BT209" s="930">
        <v>18.5</v>
      </c>
      <c r="BU209" s="930">
        <v>19.5</v>
      </c>
      <c r="BV209" s="930">
        <v>19.5</v>
      </c>
      <c r="BW209" s="930">
        <v>19.5</v>
      </c>
      <c r="BX209" s="930">
        <v>19.5</v>
      </c>
      <c r="BY209" s="930">
        <v>19.5</v>
      </c>
      <c r="BZ209" s="590">
        <v>19.5</v>
      </c>
      <c r="CA209" s="590">
        <v>19.5</v>
      </c>
      <c r="CB209" s="590">
        <v>19.5</v>
      </c>
      <c r="CC209" s="590">
        <v>19.5</v>
      </c>
      <c r="CD209" s="590">
        <v>19.5</v>
      </c>
      <c r="CE209"/>
      <c r="CF209"/>
      <c r="CG209"/>
      <c r="CH209"/>
      <c r="CI209"/>
      <c r="CJ209"/>
      <c r="CK209"/>
      <c r="CL209"/>
      <c r="CM209"/>
      <c r="CN209"/>
      <c r="CO209"/>
      <c r="CP209"/>
      <c r="CQ209"/>
      <c r="CR209"/>
      <c r="CS209"/>
      <c r="CT209"/>
      <c r="CU209"/>
      <c r="CV209"/>
      <c r="CW209"/>
      <c r="CX209"/>
      <c r="CY209"/>
      <c r="CZ209"/>
      <c r="DA209"/>
      <c r="DB209"/>
      <c r="DC209"/>
      <c r="DD209"/>
      <c r="DE209"/>
    </row>
    <row r="210" spans="1:121" x14ac:dyDescent="0.25">
      <c r="B210" s="117" t="s">
        <v>546</v>
      </c>
      <c r="C210" s="352" t="s">
        <v>160</v>
      </c>
      <c r="D210" s="352" t="s">
        <v>160</v>
      </c>
      <c r="E210" s="352" t="s">
        <v>160</v>
      </c>
      <c r="F210" s="352" t="s">
        <v>160</v>
      </c>
      <c r="G210" s="352" t="s">
        <v>160</v>
      </c>
      <c r="H210" s="352" t="s">
        <v>160</v>
      </c>
      <c r="I210" s="352" t="s">
        <v>160</v>
      </c>
      <c r="J210" s="352" t="s">
        <v>160</v>
      </c>
      <c r="K210" s="352" t="s">
        <v>160</v>
      </c>
      <c r="L210" s="352" t="s">
        <v>160</v>
      </c>
      <c r="M210" s="352" t="s">
        <v>160</v>
      </c>
      <c r="N210" s="352" t="s">
        <v>160</v>
      </c>
      <c r="O210" s="352" t="s">
        <v>160</v>
      </c>
      <c r="P210" s="352" t="s">
        <v>160</v>
      </c>
      <c r="Q210" s="352" t="s">
        <v>160</v>
      </c>
      <c r="R210" s="352" t="s">
        <v>160</v>
      </c>
      <c r="S210" s="352" t="s">
        <v>160</v>
      </c>
      <c r="T210" s="352" t="s">
        <v>160</v>
      </c>
      <c r="U210" s="352" t="s">
        <v>160</v>
      </c>
      <c r="V210" s="352" t="s">
        <v>160</v>
      </c>
      <c r="W210" s="352" t="s">
        <v>160</v>
      </c>
      <c r="X210" s="352" t="s">
        <v>160</v>
      </c>
      <c r="Y210" s="352" t="s">
        <v>160</v>
      </c>
      <c r="Z210" s="590" t="s">
        <v>160</v>
      </c>
      <c r="AA210" s="352" t="s">
        <v>160</v>
      </c>
      <c r="AB210" s="352" t="s">
        <v>160</v>
      </c>
      <c r="AC210" s="352" t="s">
        <v>160</v>
      </c>
      <c r="AD210" s="352" t="s">
        <v>160</v>
      </c>
      <c r="AE210" s="352" t="s">
        <v>160</v>
      </c>
      <c r="AF210" s="352" t="s">
        <v>160</v>
      </c>
      <c r="AG210" s="352" t="s">
        <v>160</v>
      </c>
      <c r="AH210" s="352" t="s">
        <v>160</v>
      </c>
      <c r="AI210" s="352" t="s">
        <v>160</v>
      </c>
      <c r="AJ210" s="352" t="s">
        <v>160</v>
      </c>
      <c r="AK210" s="352" t="s">
        <v>160</v>
      </c>
      <c r="AL210" s="352" t="s">
        <v>160</v>
      </c>
      <c r="AM210" s="352" t="s">
        <v>160</v>
      </c>
      <c r="AN210" s="352" t="s">
        <v>160</v>
      </c>
      <c r="AO210" s="352" t="s">
        <v>160</v>
      </c>
      <c r="AP210" s="352" t="s">
        <v>160</v>
      </c>
      <c r="AQ210" s="352" t="s">
        <v>160</v>
      </c>
      <c r="AR210" s="352" t="s">
        <v>160</v>
      </c>
      <c r="AS210" s="352" t="s">
        <v>160</v>
      </c>
      <c r="AT210" s="352" t="s">
        <v>160</v>
      </c>
      <c r="AU210" s="352" t="s">
        <v>160</v>
      </c>
      <c r="AV210" s="352" t="s">
        <v>160</v>
      </c>
      <c r="AW210" s="1000" t="s">
        <v>160</v>
      </c>
      <c r="AX210" s="590" t="s">
        <v>160</v>
      </c>
      <c r="AY210" s="590" t="s">
        <v>160</v>
      </c>
      <c r="AZ210" s="590" t="s">
        <v>160</v>
      </c>
      <c r="BA210" s="590" t="s">
        <v>160</v>
      </c>
      <c r="BB210" s="590" t="s">
        <v>160</v>
      </c>
      <c r="BC210" s="590" t="s">
        <v>160</v>
      </c>
      <c r="BD210" s="590" t="s">
        <v>160</v>
      </c>
      <c r="BE210" s="590" t="s">
        <v>160</v>
      </c>
      <c r="BF210" s="590" t="s">
        <v>160</v>
      </c>
      <c r="BG210" s="590" t="s">
        <v>160</v>
      </c>
      <c r="BH210" s="590" t="s">
        <v>160</v>
      </c>
      <c r="BI210" s="590" t="s">
        <v>160</v>
      </c>
      <c r="BJ210" s="590" t="s">
        <v>160</v>
      </c>
      <c r="BK210" s="590" t="s">
        <v>160</v>
      </c>
      <c r="BL210" s="590" t="s">
        <v>160</v>
      </c>
      <c r="BM210" s="590" t="s">
        <v>160</v>
      </c>
      <c r="BN210" s="590" t="s">
        <v>160</v>
      </c>
      <c r="BO210" s="590" t="s">
        <v>160</v>
      </c>
      <c r="BP210" s="590" t="s">
        <v>160</v>
      </c>
      <c r="BQ210" s="830">
        <v>23</v>
      </c>
      <c r="BR210" s="830">
        <v>23</v>
      </c>
      <c r="BS210" s="590">
        <v>23</v>
      </c>
      <c r="BT210" s="590">
        <v>23</v>
      </c>
      <c r="BU210" s="590">
        <v>24</v>
      </c>
      <c r="BV210" s="590">
        <v>24</v>
      </c>
      <c r="BW210" s="590">
        <v>24</v>
      </c>
      <c r="BX210" s="590">
        <v>24</v>
      </c>
      <c r="BY210" s="590">
        <v>24</v>
      </c>
      <c r="BZ210" s="590">
        <v>24</v>
      </c>
      <c r="CA210" s="590">
        <v>24</v>
      </c>
      <c r="CB210" s="590">
        <v>24</v>
      </c>
      <c r="CC210" s="590">
        <v>24</v>
      </c>
      <c r="CD210" s="590">
        <v>24</v>
      </c>
      <c r="CE210"/>
      <c r="CF210"/>
      <c r="CG210"/>
      <c r="CH210"/>
      <c r="CI210"/>
      <c r="CJ210"/>
      <c r="CK210"/>
      <c r="CL210"/>
      <c r="CM210"/>
      <c r="CN210"/>
      <c r="CO210"/>
      <c r="CP210"/>
      <c r="CQ210"/>
      <c r="CR210"/>
      <c r="CS210"/>
      <c r="CT210"/>
      <c r="CU210"/>
      <c r="CV210"/>
      <c r="CW210"/>
      <c r="CX210"/>
      <c r="CY210"/>
      <c r="CZ210"/>
      <c r="DA210"/>
      <c r="DB210"/>
      <c r="DC210"/>
      <c r="DD210"/>
      <c r="DE210"/>
    </row>
    <row r="211" spans="1:121" x14ac:dyDescent="0.25">
      <c r="B211" s="117" t="s">
        <v>574</v>
      </c>
      <c r="C211" s="352" t="s">
        <v>160</v>
      </c>
      <c r="D211" s="352" t="s">
        <v>160</v>
      </c>
      <c r="E211" s="352" t="s">
        <v>160</v>
      </c>
      <c r="F211" s="352" t="s">
        <v>160</v>
      </c>
      <c r="G211" s="352" t="s">
        <v>160</v>
      </c>
      <c r="H211" s="352" t="s">
        <v>160</v>
      </c>
      <c r="I211" s="352" t="s">
        <v>160</v>
      </c>
      <c r="J211" s="352" t="s">
        <v>160</v>
      </c>
      <c r="K211" s="352" t="s">
        <v>160</v>
      </c>
      <c r="L211" s="352" t="s">
        <v>160</v>
      </c>
      <c r="M211" s="352" t="s">
        <v>160</v>
      </c>
      <c r="N211" s="352" t="s">
        <v>160</v>
      </c>
      <c r="O211" s="352" t="s">
        <v>160</v>
      </c>
      <c r="P211" s="352" t="s">
        <v>160</v>
      </c>
      <c r="Q211" s="352" t="s">
        <v>160</v>
      </c>
      <c r="R211" s="352" t="s">
        <v>160</v>
      </c>
      <c r="S211" s="352" t="s">
        <v>160</v>
      </c>
      <c r="T211" s="352" t="s">
        <v>160</v>
      </c>
      <c r="U211" s="352" t="s">
        <v>160</v>
      </c>
      <c r="V211" s="352" t="s">
        <v>160</v>
      </c>
      <c r="W211" s="590" t="s">
        <v>160</v>
      </c>
      <c r="X211" s="590" t="s">
        <v>160</v>
      </c>
      <c r="Y211" s="590" t="s">
        <v>160</v>
      </c>
      <c r="Z211" s="590" t="s">
        <v>160</v>
      </c>
      <c r="AA211" s="590" t="s">
        <v>160</v>
      </c>
      <c r="AB211" s="590" t="s">
        <v>160</v>
      </c>
      <c r="AC211" s="590" t="s">
        <v>160</v>
      </c>
      <c r="AD211" s="590" t="s">
        <v>160</v>
      </c>
      <c r="AE211" s="590" t="s">
        <v>160</v>
      </c>
      <c r="AF211" s="590" t="s">
        <v>160</v>
      </c>
      <c r="AG211" s="590" t="s">
        <v>160</v>
      </c>
      <c r="AH211" s="590" t="s">
        <v>160</v>
      </c>
      <c r="AI211" s="590" t="s">
        <v>160</v>
      </c>
      <c r="AJ211" s="590" t="s">
        <v>160</v>
      </c>
      <c r="AK211" s="590" t="s">
        <v>160</v>
      </c>
      <c r="AL211" s="590" t="s">
        <v>160</v>
      </c>
      <c r="AM211" s="590" t="s">
        <v>160</v>
      </c>
      <c r="AN211" s="590" t="s">
        <v>160</v>
      </c>
      <c r="AO211" s="590" t="s">
        <v>160</v>
      </c>
      <c r="AP211" s="590" t="s">
        <v>160</v>
      </c>
      <c r="AQ211" s="590" t="s">
        <v>160</v>
      </c>
      <c r="AR211" s="590" t="s">
        <v>160</v>
      </c>
      <c r="AS211" s="590" t="s">
        <v>160</v>
      </c>
      <c r="AT211" s="590" t="s">
        <v>160</v>
      </c>
      <c r="AU211" s="590" t="s">
        <v>160</v>
      </c>
      <c r="AV211" s="590" t="s">
        <v>160</v>
      </c>
      <c r="AW211" s="1000" t="s">
        <v>160</v>
      </c>
      <c r="AX211" s="590" t="s">
        <v>160</v>
      </c>
      <c r="AY211" s="590" t="s">
        <v>160</v>
      </c>
      <c r="AZ211" s="590" t="s">
        <v>160</v>
      </c>
      <c r="BA211" s="590" t="s">
        <v>160</v>
      </c>
      <c r="BB211" s="590" t="s">
        <v>160</v>
      </c>
      <c r="BC211" s="590" t="s">
        <v>160</v>
      </c>
      <c r="BD211" s="590" t="s">
        <v>160</v>
      </c>
      <c r="BE211" s="590" t="s">
        <v>160</v>
      </c>
      <c r="BF211" s="590" t="s">
        <v>160</v>
      </c>
      <c r="BG211" s="590" t="s">
        <v>160</v>
      </c>
      <c r="BH211" s="590" t="s">
        <v>160</v>
      </c>
      <c r="BI211" s="590" t="s">
        <v>160</v>
      </c>
      <c r="BJ211" s="590" t="s">
        <v>160</v>
      </c>
      <c r="BK211" s="590" t="s">
        <v>160</v>
      </c>
      <c r="BL211" s="590" t="s">
        <v>160</v>
      </c>
      <c r="BM211" s="590" t="s">
        <v>160</v>
      </c>
      <c r="BN211" s="590" t="s">
        <v>160</v>
      </c>
      <c r="BO211" s="590" t="s">
        <v>160</v>
      </c>
      <c r="BP211" s="590" t="s">
        <v>160</v>
      </c>
      <c r="BQ211" s="590" t="s">
        <v>160</v>
      </c>
      <c r="BR211" s="590" t="s">
        <v>160</v>
      </c>
      <c r="BS211" s="590" t="s">
        <v>160</v>
      </c>
      <c r="BT211" s="590" t="s">
        <v>160</v>
      </c>
      <c r="BU211" s="590" t="s">
        <v>160</v>
      </c>
      <c r="BV211" s="590" t="s">
        <v>160</v>
      </c>
      <c r="BW211" s="590" t="s">
        <v>160</v>
      </c>
      <c r="BX211" s="590" t="s">
        <v>160</v>
      </c>
      <c r="BY211" s="590" t="s">
        <v>160</v>
      </c>
      <c r="BZ211" s="590" t="s">
        <v>160</v>
      </c>
      <c r="CA211" s="590" t="s">
        <v>160</v>
      </c>
      <c r="CB211" s="590" t="s">
        <v>160</v>
      </c>
      <c r="CC211" s="590" t="s">
        <v>160</v>
      </c>
      <c r="CD211" s="590" t="s">
        <v>160</v>
      </c>
      <c r="CE211"/>
      <c r="CF211"/>
      <c r="CG211"/>
      <c r="CH211"/>
      <c r="CI211"/>
      <c r="CJ211"/>
      <c r="CK211"/>
      <c r="CL211"/>
      <c r="CM211"/>
      <c r="CN211"/>
      <c r="CO211"/>
      <c r="CP211"/>
      <c r="CQ211"/>
      <c r="CR211"/>
      <c r="CS211"/>
      <c r="CT211"/>
      <c r="CU211"/>
      <c r="CV211"/>
      <c r="CW211"/>
      <c r="CX211"/>
      <c r="CY211"/>
      <c r="CZ211"/>
      <c r="DA211"/>
      <c r="DB211"/>
      <c r="DC211"/>
      <c r="DD211"/>
      <c r="DE211"/>
    </row>
    <row r="212" spans="1:121" x14ac:dyDescent="0.25">
      <c r="B212" s="117" t="s">
        <v>547</v>
      </c>
      <c r="C212" s="345" t="s">
        <v>160</v>
      </c>
      <c r="D212" s="345" t="s">
        <v>160</v>
      </c>
      <c r="E212" s="345" t="s">
        <v>160</v>
      </c>
      <c r="F212" s="345" t="s">
        <v>160</v>
      </c>
      <c r="G212" s="345" t="s">
        <v>160</v>
      </c>
      <c r="H212" s="345" t="s">
        <v>160</v>
      </c>
      <c r="I212" s="345" t="s">
        <v>160</v>
      </c>
      <c r="J212" s="345" t="s">
        <v>160</v>
      </c>
      <c r="K212" s="345" t="s">
        <v>160</v>
      </c>
      <c r="L212" s="345" t="s">
        <v>160</v>
      </c>
      <c r="M212" s="345" t="s">
        <v>160</v>
      </c>
      <c r="N212" s="345" t="s">
        <v>160</v>
      </c>
      <c r="O212" s="345" t="s">
        <v>160</v>
      </c>
      <c r="P212" s="345" t="s">
        <v>160</v>
      </c>
      <c r="Q212" s="345" t="s">
        <v>160</v>
      </c>
      <c r="R212" s="345" t="s">
        <v>160</v>
      </c>
      <c r="S212" s="345" t="s">
        <v>160</v>
      </c>
      <c r="T212" s="345" t="s">
        <v>160</v>
      </c>
      <c r="U212" s="345" t="s">
        <v>160</v>
      </c>
      <c r="V212" s="930" t="s">
        <v>160</v>
      </c>
      <c r="W212" s="930" t="s">
        <v>160</v>
      </c>
      <c r="X212" s="930" t="s">
        <v>160</v>
      </c>
      <c r="Y212" s="930" t="s">
        <v>160</v>
      </c>
      <c r="Z212" s="930" t="s">
        <v>160</v>
      </c>
      <c r="AA212" s="930" t="s">
        <v>160</v>
      </c>
      <c r="AB212" s="930" t="s">
        <v>160</v>
      </c>
      <c r="AC212" s="930" t="s">
        <v>160</v>
      </c>
      <c r="AD212" s="930" t="s">
        <v>160</v>
      </c>
      <c r="AE212" s="930" t="s">
        <v>160</v>
      </c>
      <c r="AF212" s="930" t="s">
        <v>160</v>
      </c>
      <c r="AG212" s="930" t="s">
        <v>160</v>
      </c>
      <c r="AH212" s="930" t="s">
        <v>160</v>
      </c>
      <c r="AI212" s="930" t="s">
        <v>160</v>
      </c>
      <c r="AJ212" s="930" t="s">
        <v>160</v>
      </c>
      <c r="AK212" s="930" t="s">
        <v>160</v>
      </c>
      <c r="AL212" s="930" t="s">
        <v>160</v>
      </c>
      <c r="AM212" s="930" t="s">
        <v>160</v>
      </c>
      <c r="AN212" s="930" t="s">
        <v>160</v>
      </c>
      <c r="AO212" s="930" t="s">
        <v>160</v>
      </c>
      <c r="AP212" s="930" t="s">
        <v>160</v>
      </c>
      <c r="AQ212" s="930" t="s">
        <v>160</v>
      </c>
      <c r="AR212" s="930" t="s">
        <v>160</v>
      </c>
      <c r="AS212" s="930" t="s">
        <v>160</v>
      </c>
      <c r="AT212" s="930" t="s">
        <v>160</v>
      </c>
      <c r="AU212" s="930" t="s">
        <v>160</v>
      </c>
      <c r="AV212" s="930" t="s">
        <v>160</v>
      </c>
      <c r="AW212" s="931" t="s">
        <v>160</v>
      </c>
      <c r="AX212" s="930" t="s">
        <v>160</v>
      </c>
      <c r="AY212" s="930" t="s">
        <v>160</v>
      </c>
      <c r="AZ212" s="930" t="s">
        <v>160</v>
      </c>
      <c r="BA212" s="930" t="s">
        <v>160</v>
      </c>
      <c r="BB212" s="930" t="s">
        <v>160</v>
      </c>
      <c r="BC212" s="930" t="s">
        <v>160</v>
      </c>
      <c r="BD212" s="930" t="s">
        <v>160</v>
      </c>
      <c r="BE212" s="930" t="s">
        <v>160</v>
      </c>
      <c r="BF212" s="930" t="s">
        <v>160</v>
      </c>
      <c r="BG212" s="930" t="s">
        <v>160</v>
      </c>
      <c r="BH212" s="930" t="s">
        <v>160</v>
      </c>
      <c r="BI212" s="930" t="s">
        <v>160</v>
      </c>
      <c r="BJ212" s="930" t="s">
        <v>160</v>
      </c>
      <c r="BK212" s="930" t="s">
        <v>160</v>
      </c>
      <c r="BL212" s="930" t="s">
        <v>160</v>
      </c>
      <c r="BM212" s="930" t="s">
        <v>160</v>
      </c>
      <c r="BN212" s="930" t="s">
        <v>160</v>
      </c>
      <c r="BO212" s="930" t="s">
        <v>160</v>
      </c>
      <c r="BP212" s="830">
        <v>22</v>
      </c>
      <c r="BQ212" s="930">
        <v>22</v>
      </c>
      <c r="BR212" s="930">
        <v>22</v>
      </c>
      <c r="BS212" s="930">
        <v>22</v>
      </c>
      <c r="BT212" s="930">
        <v>22</v>
      </c>
      <c r="BU212" s="930">
        <v>23</v>
      </c>
      <c r="BV212" s="930">
        <v>23</v>
      </c>
      <c r="BW212" s="930">
        <v>23</v>
      </c>
      <c r="BX212" s="930">
        <v>23</v>
      </c>
      <c r="BY212" s="930" t="s">
        <v>160</v>
      </c>
      <c r="BZ212" s="590" t="s">
        <v>160</v>
      </c>
      <c r="CA212" s="590" t="s">
        <v>160</v>
      </c>
      <c r="CB212" s="590" t="s">
        <v>160</v>
      </c>
      <c r="CC212" s="590" t="s">
        <v>160</v>
      </c>
      <c r="CD212" s="590" t="s">
        <v>160</v>
      </c>
      <c r="CE212"/>
      <c r="CF212"/>
      <c r="CG212"/>
      <c r="CH212"/>
      <c r="CI212"/>
      <c r="CJ212"/>
      <c r="CK212"/>
      <c r="CL212"/>
      <c r="CM212"/>
      <c r="CN212"/>
      <c r="CO212"/>
      <c r="CP212"/>
      <c r="CQ212"/>
      <c r="CR212"/>
      <c r="CS212"/>
      <c r="CT212"/>
      <c r="CU212"/>
      <c r="CV212"/>
      <c r="CW212"/>
      <c r="CX212"/>
      <c r="CY212"/>
      <c r="CZ212"/>
      <c r="DA212"/>
      <c r="DB212"/>
      <c r="DC212"/>
      <c r="DD212"/>
      <c r="DE212"/>
    </row>
    <row r="213" spans="1:121" x14ac:dyDescent="0.25">
      <c r="B213" s="117" t="s">
        <v>786</v>
      </c>
      <c r="C213" s="352" t="s">
        <v>160</v>
      </c>
      <c r="D213" s="352" t="s">
        <v>160</v>
      </c>
      <c r="E213" s="352" t="s">
        <v>160</v>
      </c>
      <c r="F213" s="352" t="s">
        <v>160</v>
      </c>
      <c r="G213" s="352" t="s">
        <v>160</v>
      </c>
      <c r="H213" s="352" t="s">
        <v>160</v>
      </c>
      <c r="I213" s="352" t="s">
        <v>160</v>
      </c>
      <c r="J213" s="352" t="s">
        <v>160</v>
      </c>
      <c r="K213" s="352" t="s">
        <v>160</v>
      </c>
      <c r="L213" s="352" t="s">
        <v>160</v>
      </c>
      <c r="M213" s="352" t="s">
        <v>160</v>
      </c>
      <c r="N213" s="352" t="s">
        <v>160</v>
      </c>
      <c r="O213" s="352" t="s">
        <v>160</v>
      </c>
      <c r="P213" s="352" t="s">
        <v>160</v>
      </c>
      <c r="Q213" s="352" t="s">
        <v>160</v>
      </c>
      <c r="R213" s="352" t="s">
        <v>160</v>
      </c>
      <c r="S213" s="352" t="s">
        <v>160</v>
      </c>
      <c r="T213" s="352" t="s">
        <v>160</v>
      </c>
      <c r="U213" s="352" t="s">
        <v>160</v>
      </c>
      <c r="V213" s="352" t="s">
        <v>160</v>
      </c>
      <c r="W213" s="590" t="s">
        <v>160</v>
      </c>
      <c r="X213" s="590" t="s">
        <v>160</v>
      </c>
      <c r="Y213" s="590" t="s">
        <v>160</v>
      </c>
      <c r="Z213" s="590" t="s">
        <v>160</v>
      </c>
      <c r="AA213" s="590" t="s">
        <v>160</v>
      </c>
      <c r="AB213" s="590" t="s">
        <v>160</v>
      </c>
      <c r="AC213" s="590" t="s">
        <v>160</v>
      </c>
      <c r="AD213" s="590" t="s">
        <v>160</v>
      </c>
      <c r="AE213" s="590" t="s">
        <v>160</v>
      </c>
      <c r="AF213" s="590" t="s">
        <v>160</v>
      </c>
      <c r="AG213" s="590" t="s">
        <v>160</v>
      </c>
      <c r="AH213" s="590" t="s">
        <v>160</v>
      </c>
      <c r="AI213" s="590" t="s">
        <v>160</v>
      </c>
      <c r="AJ213" s="590" t="s">
        <v>160</v>
      </c>
      <c r="AK213" s="590" t="s">
        <v>160</v>
      </c>
      <c r="AL213" s="590" t="s">
        <v>160</v>
      </c>
      <c r="AM213" s="590" t="s">
        <v>160</v>
      </c>
      <c r="AN213" s="590" t="s">
        <v>160</v>
      </c>
      <c r="AO213" s="590" t="s">
        <v>160</v>
      </c>
      <c r="AP213" s="590" t="s">
        <v>160</v>
      </c>
      <c r="AQ213" s="590" t="s">
        <v>160</v>
      </c>
      <c r="AR213" s="590" t="s">
        <v>160</v>
      </c>
      <c r="AS213" s="590" t="s">
        <v>160</v>
      </c>
      <c r="AT213" s="590" t="s">
        <v>160</v>
      </c>
      <c r="AU213" s="590" t="s">
        <v>160</v>
      </c>
      <c r="AV213" s="590" t="s">
        <v>160</v>
      </c>
      <c r="AW213" s="1000" t="s">
        <v>160</v>
      </c>
      <c r="AX213" s="590" t="s">
        <v>160</v>
      </c>
      <c r="AY213" s="590" t="s">
        <v>160</v>
      </c>
      <c r="AZ213" s="590" t="s">
        <v>160</v>
      </c>
      <c r="BA213" s="590" t="s">
        <v>160</v>
      </c>
      <c r="BB213" s="590" t="s">
        <v>160</v>
      </c>
      <c r="BC213" s="590" t="s">
        <v>160</v>
      </c>
      <c r="BD213" s="590" t="s">
        <v>160</v>
      </c>
      <c r="BE213" s="590" t="s">
        <v>160</v>
      </c>
      <c r="BF213" s="590" t="s">
        <v>160</v>
      </c>
      <c r="BG213" s="590" t="s">
        <v>160</v>
      </c>
      <c r="BH213" s="590" t="s">
        <v>160</v>
      </c>
      <c r="BI213" s="590" t="s">
        <v>160</v>
      </c>
      <c r="BJ213" s="590" t="s">
        <v>160</v>
      </c>
      <c r="BK213" s="590" t="s">
        <v>160</v>
      </c>
      <c r="BL213" s="590" t="s">
        <v>160</v>
      </c>
      <c r="BM213" s="590" t="s">
        <v>160</v>
      </c>
      <c r="BN213" s="590">
        <v>25</v>
      </c>
      <c r="BO213" s="590">
        <v>25</v>
      </c>
      <c r="BP213" s="590">
        <v>25</v>
      </c>
      <c r="BQ213" s="590">
        <v>25</v>
      </c>
      <c r="BR213" s="590">
        <v>25</v>
      </c>
      <c r="BS213" s="590">
        <v>25</v>
      </c>
      <c r="BT213" s="590">
        <v>20</v>
      </c>
      <c r="BU213" s="590">
        <v>21</v>
      </c>
      <c r="BV213" s="590">
        <v>21</v>
      </c>
      <c r="BW213" s="590">
        <v>21</v>
      </c>
      <c r="BX213" s="590">
        <v>21</v>
      </c>
      <c r="BY213" s="590">
        <v>21</v>
      </c>
      <c r="BZ213" s="590">
        <v>21</v>
      </c>
      <c r="CA213" s="590">
        <v>21</v>
      </c>
      <c r="CB213" s="590">
        <v>21</v>
      </c>
      <c r="CC213" s="590">
        <v>21</v>
      </c>
      <c r="CD213" s="590">
        <v>21</v>
      </c>
      <c r="CE213"/>
      <c r="CF213"/>
      <c r="CG213"/>
      <c r="CH213"/>
      <c r="CI213"/>
      <c r="CJ213"/>
      <c r="CK213"/>
      <c r="CL213"/>
      <c r="CM213"/>
      <c r="CN213"/>
      <c r="CO213"/>
      <c r="CP213"/>
      <c r="CQ213"/>
      <c r="CR213"/>
      <c r="CS213"/>
      <c r="CT213"/>
      <c r="CU213"/>
      <c r="CV213"/>
      <c r="CW213"/>
      <c r="CX213"/>
      <c r="CY213"/>
      <c r="CZ213"/>
      <c r="DA213"/>
      <c r="DB213"/>
      <c r="DC213"/>
      <c r="DD213"/>
      <c r="DE213"/>
    </row>
    <row r="214" spans="1:121" x14ac:dyDescent="0.25">
      <c r="A214" s="1068"/>
      <c r="B214" s="765" t="s">
        <v>545</v>
      </c>
      <c r="C214" s="1081" t="s">
        <v>160</v>
      </c>
      <c r="D214" s="1081" t="s">
        <v>160</v>
      </c>
      <c r="E214" s="1081" t="s">
        <v>160</v>
      </c>
      <c r="F214" s="1081" t="s">
        <v>160</v>
      </c>
      <c r="G214" s="1081" t="s">
        <v>160</v>
      </c>
      <c r="H214" s="1081" t="s">
        <v>160</v>
      </c>
      <c r="I214" s="1081" t="s">
        <v>160</v>
      </c>
      <c r="J214" s="1082" t="s">
        <v>160</v>
      </c>
      <c r="K214" s="1082" t="s">
        <v>160</v>
      </c>
      <c r="L214" s="1082" t="s">
        <v>160</v>
      </c>
      <c r="M214" s="1082" t="s">
        <v>160</v>
      </c>
      <c r="N214" s="1082" t="s">
        <v>160</v>
      </c>
      <c r="O214" s="1082" t="s">
        <v>160</v>
      </c>
      <c r="P214" s="1082" t="s">
        <v>160</v>
      </c>
      <c r="Q214" s="1082" t="s">
        <v>160</v>
      </c>
      <c r="R214" s="1082" t="s">
        <v>160</v>
      </c>
      <c r="S214" s="1082" t="s">
        <v>160</v>
      </c>
      <c r="T214" s="1082" t="s">
        <v>160</v>
      </c>
      <c r="U214" s="1082" t="s">
        <v>160</v>
      </c>
      <c r="V214" s="1082" t="s">
        <v>160</v>
      </c>
      <c r="W214" s="1082" t="s">
        <v>160</v>
      </c>
      <c r="X214" s="1082" t="s">
        <v>160</v>
      </c>
      <c r="Y214" s="1082" t="s">
        <v>160</v>
      </c>
      <c r="Z214" s="1082" t="s">
        <v>160</v>
      </c>
      <c r="AA214" s="1082" t="s">
        <v>160</v>
      </c>
      <c r="AB214" s="1082" t="s">
        <v>160</v>
      </c>
      <c r="AC214" s="1082" t="s">
        <v>160</v>
      </c>
      <c r="AD214" s="1082" t="s">
        <v>160</v>
      </c>
      <c r="AE214" s="1082" t="s">
        <v>160</v>
      </c>
      <c r="AF214" s="1082" t="s">
        <v>160</v>
      </c>
      <c r="AG214" s="1082" t="s">
        <v>160</v>
      </c>
      <c r="AH214" s="1082" t="s">
        <v>160</v>
      </c>
      <c r="AI214" s="1082" t="s">
        <v>160</v>
      </c>
      <c r="AJ214" s="1082" t="s">
        <v>160</v>
      </c>
      <c r="AK214" s="1082" t="s">
        <v>160</v>
      </c>
      <c r="AL214" s="1082" t="s">
        <v>160</v>
      </c>
      <c r="AM214" s="1082" t="s">
        <v>160</v>
      </c>
      <c r="AN214" s="1082" t="s">
        <v>160</v>
      </c>
      <c r="AO214" s="1082" t="s">
        <v>160</v>
      </c>
      <c r="AP214" s="1082" t="s">
        <v>160</v>
      </c>
      <c r="AQ214" s="1082" t="s">
        <v>160</v>
      </c>
      <c r="AR214" s="1082" t="s">
        <v>160</v>
      </c>
      <c r="AS214" s="1082" t="s">
        <v>160</v>
      </c>
      <c r="AT214" s="1082" t="s">
        <v>160</v>
      </c>
      <c r="AU214" s="1082" t="s">
        <v>160</v>
      </c>
      <c r="AV214" s="1083" t="s">
        <v>160</v>
      </c>
      <c r="AW214" s="1082" t="s">
        <v>160</v>
      </c>
      <c r="AX214" s="1082" t="s">
        <v>160</v>
      </c>
      <c r="AY214" s="1082" t="s">
        <v>160</v>
      </c>
      <c r="AZ214" s="1082" t="s">
        <v>160</v>
      </c>
      <c r="BA214" s="1082" t="s">
        <v>160</v>
      </c>
      <c r="BB214" s="1082" t="s">
        <v>160</v>
      </c>
      <c r="BC214" s="1082" t="s">
        <v>160</v>
      </c>
      <c r="BD214" s="1082" t="s">
        <v>160</v>
      </c>
      <c r="BE214" s="1082" t="s">
        <v>160</v>
      </c>
      <c r="BF214" s="1082" t="s">
        <v>160</v>
      </c>
      <c r="BG214" s="1082" t="s">
        <v>160</v>
      </c>
      <c r="BH214" s="1082" t="s">
        <v>160</v>
      </c>
      <c r="BI214" s="1082" t="s">
        <v>160</v>
      </c>
      <c r="BJ214" s="1082" t="s">
        <v>160</v>
      </c>
      <c r="BK214" s="1082" t="s">
        <v>160</v>
      </c>
      <c r="BL214" s="1082" t="s">
        <v>160</v>
      </c>
      <c r="BM214" s="1082" t="s">
        <v>160</v>
      </c>
      <c r="BN214" s="1082">
        <v>21</v>
      </c>
      <c r="BO214" s="1082">
        <v>21</v>
      </c>
      <c r="BP214" s="1082">
        <v>21</v>
      </c>
      <c r="BQ214" s="1082">
        <v>21</v>
      </c>
      <c r="BR214" s="1082">
        <v>18</v>
      </c>
      <c r="BS214" s="1082">
        <v>18</v>
      </c>
      <c r="BT214" s="1082" t="s">
        <v>160</v>
      </c>
      <c r="BU214" s="1082" t="s">
        <v>160</v>
      </c>
      <c r="BV214" s="1082" t="s">
        <v>160</v>
      </c>
      <c r="BW214" s="1082" t="s">
        <v>160</v>
      </c>
      <c r="BX214" s="1082" t="s">
        <v>160</v>
      </c>
      <c r="BY214" s="1082" t="s">
        <v>160</v>
      </c>
      <c r="BZ214" s="1082" t="s">
        <v>160</v>
      </c>
      <c r="CA214" s="1082" t="s">
        <v>160</v>
      </c>
      <c r="CB214" s="1082" t="s">
        <v>160</v>
      </c>
      <c r="CC214" s="1082" t="s">
        <v>160</v>
      </c>
      <c r="CD214" s="1082" t="s">
        <v>160</v>
      </c>
      <c r="CE214"/>
      <c r="CF214"/>
      <c r="CG214"/>
      <c r="CH214"/>
      <c r="CI214"/>
      <c r="CJ214"/>
      <c r="CK214"/>
      <c r="CL214"/>
      <c r="CM214"/>
      <c r="CN214"/>
      <c r="CO214"/>
      <c r="CP214"/>
      <c r="CQ214"/>
      <c r="CR214"/>
      <c r="CS214"/>
      <c r="CT214"/>
      <c r="CU214"/>
      <c r="CV214"/>
      <c r="CW214"/>
      <c r="CX214"/>
      <c r="CY214"/>
      <c r="CZ214"/>
      <c r="DA214"/>
      <c r="DB214"/>
      <c r="DC214"/>
      <c r="DD214"/>
      <c r="DE214"/>
    </row>
    <row r="215" spans="1:121" x14ac:dyDescent="0.25">
      <c r="A215"/>
      <c r="B215" s="278" t="s">
        <v>557</v>
      </c>
      <c r="C215" s="279" t="str">
        <f t="shared" ref="C215:AH215" si="151">IFERROR(AVERAGE(C209:C213),"-")</f>
        <v>-</v>
      </c>
      <c r="D215" s="279" t="str">
        <f t="shared" si="151"/>
        <v>-</v>
      </c>
      <c r="E215" s="279" t="str">
        <f t="shared" si="151"/>
        <v>-</v>
      </c>
      <c r="F215" s="279" t="str">
        <f t="shared" si="151"/>
        <v>-</v>
      </c>
      <c r="G215" s="279" t="str">
        <f t="shared" si="151"/>
        <v>-</v>
      </c>
      <c r="H215" s="279" t="str">
        <f t="shared" si="151"/>
        <v>-</v>
      </c>
      <c r="I215" s="279" t="str">
        <f t="shared" si="151"/>
        <v>-</v>
      </c>
      <c r="J215" s="279" t="str">
        <f t="shared" si="151"/>
        <v>-</v>
      </c>
      <c r="K215" s="279" t="str">
        <f t="shared" si="151"/>
        <v>-</v>
      </c>
      <c r="L215" s="279" t="str">
        <f t="shared" si="151"/>
        <v>-</v>
      </c>
      <c r="M215" s="279" t="str">
        <f t="shared" si="151"/>
        <v>-</v>
      </c>
      <c r="N215" s="279" t="str">
        <f t="shared" si="151"/>
        <v>-</v>
      </c>
      <c r="O215" s="279" t="str">
        <f t="shared" si="151"/>
        <v>-</v>
      </c>
      <c r="P215" s="279" t="str">
        <f t="shared" si="151"/>
        <v>-</v>
      </c>
      <c r="Q215" s="279" t="str">
        <f t="shared" si="151"/>
        <v>-</v>
      </c>
      <c r="R215" s="279" t="str">
        <f t="shared" si="151"/>
        <v>-</v>
      </c>
      <c r="S215" s="279" t="str">
        <f t="shared" si="151"/>
        <v>-</v>
      </c>
      <c r="T215" s="279" t="str">
        <f t="shared" si="151"/>
        <v>-</v>
      </c>
      <c r="U215" s="279" t="str">
        <f t="shared" si="151"/>
        <v>-</v>
      </c>
      <c r="V215" s="279" t="str">
        <f t="shared" si="151"/>
        <v>-</v>
      </c>
      <c r="W215" s="279" t="str">
        <f t="shared" si="151"/>
        <v>-</v>
      </c>
      <c r="X215" s="279" t="str">
        <f t="shared" si="151"/>
        <v>-</v>
      </c>
      <c r="Y215" s="279" t="str">
        <f t="shared" si="151"/>
        <v>-</v>
      </c>
      <c r="Z215" s="279" t="str">
        <f t="shared" si="151"/>
        <v>-</v>
      </c>
      <c r="AA215" s="279" t="str">
        <f t="shared" si="151"/>
        <v>-</v>
      </c>
      <c r="AB215" s="279" t="str">
        <f t="shared" si="151"/>
        <v>-</v>
      </c>
      <c r="AC215" s="279" t="str">
        <f t="shared" si="151"/>
        <v>-</v>
      </c>
      <c r="AD215" s="279" t="str">
        <f t="shared" si="151"/>
        <v>-</v>
      </c>
      <c r="AE215" s="279" t="str">
        <f t="shared" si="151"/>
        <v>-</v>
      </c>
      <c r="AF215" s="279" t="str">
        <f t="shared" si="151"/>
        <v>-</v>
      </c>
      <c r="AG215" s="279" t="str">
        <f t="shared" si="151"/>
        <v>-</v>
      </c>
      <c r="AH215" s="279" t="str">
        <f t="shared" si="151"/>
        <v>-</v>
      </c>
      <c r="AI215" s="279" t="str">
        <f t="shared" ref="AI215:BM215" si="152">IFERROR(AVERAGE(AI209:AI213),"-")</f>
        <v>-</v>
      </c>
      <c r="AJ215" s="279" t="str">
        <f t="shared" si="152"/>
        <v>-</v>
      </c>
      <c r="AK215" s="279" t="str">
        <f t="shared" si="152"/>
        <v>-</v>
      </c>
      <c r="AL215" s="279" t="str">
        <f t="shared" si="152"/>
        <v>-</v>
      </c>
      <c r="AM215" s="279" t="str">
        <f t="shared" si="152"/>
        <v>-</v>
      </c>
      <c r="AN215" s="279" t="str">
        <f t="shared" si="152"/>
        <v>-</v>
      </c>
      <c r="AO215" s="279" t="str">
        <f t="shared" si="152"/>
        <v>-</v>
      </c>
      <c r="AP215" s="279" t="str">
        <f t="shared" si="152"/>
        <v>-</v>
      </c>
      <c r="AQ215" s="279" t="str">
        <f t="shared" si="152"/>
        <v>-</v>
      </c>
      <c r="AR215" s="279" t="str">
        <f t="shared" si="152"/>
        <v>-</v>
      </c>
      <c r="AS215" s="279" t="str">
        <f t="shared" si="152"/>
        <v>-</v>
      </c>
      <c r="AT215" s="279" t="str">
        <f t="shared" si="152"/>
        <v>-</v>
      </c>
      <c r="AU215" s="279" t="str">
        <f t="shared" si="152"/>
        <v>-</v>
      </c>
      <c r="AV215" s="279" t="str">
        <f t="shared" si="152"/>
        <v>-</v>
      </c>
      <c r="AW215" s="279" t="str">
        <f t="shared" si="152"/>
        <v>-</v>
      </c>
      <c r="AX215" s="279" t="str">
        <f t="shared" si="152"/>
        <v>-</v>
      </c>
      <c r="AY215" s="279" t="str">
        <f t="shared" si="152"/>
        <v>-</v>
      </c>
      <c r="AZ215" s="279" t="str">
        <f t="shared" si="152"/>
        <v>-</v>
      </c>
      <c r="BA215" s="279" t="str">
        <f t="shared" si="152"/>
        <v>-</v>
      </c>
      <c r="BB215" s="279" t="str">
        <f t="shared" si="152"/>
        <v>-</v>
      </c>
      <c r="BC215" s="279" t="str">
        <f t="shared" si="152"/>
        <v>-</v>
      </c>
      <c r="BD215" s="279" t="str">
        <f t="shared" si="152"/>
        <v>-</v>
      </c>
      <c r="BE215" s="279" t="str">
        <f t="shared" si="152"/>
        <v>-</v>
      </c>
      <c r="BF215" s="279" t="str">
        <f t="shared" si="152"/>
        <v>-</v>
      </c>
      <c r="BG215" s="279" t="str">
        <f t="shared" si="152"/>
        <v>-</v>
      </c>
      <c r="BH215" s="279" t="str">
        <f t="shared" si="152"/>
        <v>-</v>
      </c>
      <c r="BI215" s="279" t="str">
        <f t="shared" si="152"/>
        <v>-</v>
      </c>
      <c r="BJ215" s="279" t="str">
        <f t="shared" si="152"/>
        <v>-</v>
      </c>
      <c r="BK215" s="279" t="str">
        <f t="shared" si="152"/>
        <v>-</v>
      </c>
      <c r="BL215" s="279" t="str">
        <f t="shared" si="152"/>
        <v>-</v>
      </c>
      <c r="BM215" s="279" t="str">
        <f t="shared" si="152"/>
        <v>-</v>
      </c>
      <c r="BN215" s="279">
        <f>IFERROR(AVERAGE(BN209:BN214),"-")</f>
        <v>23</v>
      </c>
      <c r="BO215" s="279">
        <f>IFERROR(AVERAGE(BO209:BO214),"-")</f>
        <v>23</v>
      </c>
      <c r="BP215" s="279">
        <f>IFERROR(AVERAGE(BP209:BP214),"-")</f>
        <v>22.666666666666668</v>
      </c>
      <c r="BQ215" s="279">
        <f>IFERROR(AVERAGE(BQ209:BQ214),"-")</f>
        <v>21.9</v>
      </c>
      <c r="BR215" s="279">
        <f t="shared" ref="BR215:CC215" si="153">IFERROR(AVERAGE(BR209:BR214),"-")</f>
        <v>21.3</v>
      </c>
      <c r="BS215" s="279">
        <f t="shared" si="153"/>
        <v>21.3</v>
      </c>
      <c r="BT215" s="279">
        <f t="shared" si="153"/>
        <v>20.875</v>
      </c>
      <c r="BU215" s="279">
        <f t="shared" si="153"/>
        <v>21.875</v>
      </c>
      <c r="BV215" s="279">
        <f t="shared" si="153"/>
        <v>21.875</v>
      </c>
      <c r="BW215" s="279">
        <f t="shared" si="153"/>
        <v>21.875</v>
      </c>
      <c r="BX215" s="279">
        <f t="shared" si="153"/>
        <v>21.875</v>
      </c>
      <c r="BY215" s="279">
        <f t="shared" si="153"/>
        <v>21.5</v>
      </c>
      <c r="BZ215" s="798">
        <f t="shared" si="153"/>
        <v>21.5</v>
      </c>
      <c r="CA215" s="798">
        <f t="shared" si="153"/>
        <v>21.5</v>
      </c>
      <c r="CB215" s="798">
        <f t="shared" si="153"/>
        <v>21.5</v>
      </c>
      <c r="CC215" s="798">
        <f t="shared" si="153"/>
        <v>21.5</v>
      </c>
      <c r="CD215" s="798">
        <f>IFERROR(AVERAGE(CD209:CD214),"-")</f>
        <v>21.5</v>
      </c>
      <c r="CE215"/>
      <c r="CF215"/>
      <c r="CG215"/>
      <c r="CH215"/>
      <c r="CI215"/>
      <c r="CJ215"/>
      <c r="CK215"/>
      <c r="CL215"/>
      <c r="CM215"/>
      <c r="CN215"/>
      <c r="CO215"/>
      <c r="CP215"/>
      <c r="CQ215"/>
      <c r="CR215"/>
      <c r="CS215"/>
      <c r="CT215"/>
      <c r="CU215"/>
      <c r="CV215"/>
      <c r="CW215"/>
      <c r="CX215"/>
      <c r="CY215"/>
      <c r="CZ215"/>
      <c r="DA215"/>
      <c r="DB215"/>
      <c r="DC215"/>
      <c r="DD215"/>
      <c r="DE215"/>
    </row>
    <row r="216" spans="1:121" x14ac:dyDescent="0.25">
      <c r="X216" s="340"/>
      <c r="Y216" s="340"/>
      <c r="Z216" s="340"/>
      <c r="AA216" s="340"/>
      <c r="AB216" s="340"/>
      <c r="AC216" s="340"/>
      <c r="AD216" s="340"/>
      <c r="AE216" s="340"/>
      <c r="AF216" s="340"/>
      <c r="AG216" s="340"/>
      <c r="AH216" s="340"/>
      <c r="AI216" s="340"/>
      <c r="AJ216" s="340"/>
      <c r="AK216" s="340"/>
      <c r="AL216" s="340"/>
      <c r="AM216" s="340"/>
      <c r="AN216" s="340"/>
      <c r="AO216" s="340"/>
      <c r="AP216" s="340"/>
      <c r="AQ216" s="340"/>
      <c r="AR216" s="340"/>
      <c r="AS216" s="340"/>
      <c r="AV216" s="913"/>
    </row>
    <row r="217" spans="1:121" x14ac:dyDescent="0.25">
      <c r="B217" s="113" t="s">
        <v>1241</v>
      </c>
      <c r="C217" s="263">
        <f>C$4</f>
        <v>42522</v>
      </c>
      <c r="D217" s="263">
        <f t="shared" ref="D217:BO217" si="154">D$4</f>
        <v>42552</v>
      </c>
      <c r="E217" s="263">
        <f t="shared" si="154"/>
        <v>42583</v>
      </c>
      <c r="F217" s="263">
        <f t="shared" si="154"/>
        <v>42614</v>
      </c>
      <c r="G217" s="263">
        <f t="shared" si="154"/>
        <v>42644</v>
      </c>
      <c r="H217" s="263">
        <f t="shared" si="154"/>
        <v>42675</v>
      </c>
      <c r="I217" s="263">
        <f t="shared" si="154"/>
        <v>42705</v>
      </c>
      <c r="J217" s="263">
        <f t="shared" si="154"/>
        <v>42736</v>
      </c>
      <c r="K217" s="263">
        <f t="shared" si="154"/>
        <v>42767</v>
      </c>
      <c r="L217" s="263">
        <f t="shared" si="154"/>
        <v>42795</v>
      </c>
      <c r="M217" s="263">
        <f t="shared" si="154"/>
        <v>42826</v>
      </c>
      <c r="N217" s="263">
        <f t="shared" si="154"/>
        <v>42856</v>
      </c>
      <c r="O217" s="263">
        <f t="shared" si="154"/>
        <v>42887</v>
      </c>
      <c r="P217" s="263">
        <f t="shared" si="154"/>
        <v>42917</v>
      </c>
      <c r="Q217" s="263">
        <f t="shared" si="154"/>
        <v>42948</v>
      </c>
      <c r="R217" s="263">
        <f t="shared" si="154"/>
        <v>42979</v>
      </c>
      <c r="S217" s="263">
        <f t="shared" si="154"/>
        <v>43009</v>
      </c>
      <c r="T217" s="263">
        <f t="shared" si="154"/>
        <v>43040</v>
      </c>
      <c r="U217" s="263">
        <f t="shared" si="154"/>
        <v>43070</v>
      </c>
      <c r="V217" s="263">
        <f t="shared" si="154"/>
        <v>43101</v>
      </c>
      <c r="W217" s="263">
        <f t="shared" si="154"/>
        <v>43132</v>
      </c>
      <c r="X217" s="263">
        <f t="shared" si="154"/>
        <v>43160</v>
      </c>
      <c r="Y217" s="263">
        <f t="shared" si="154"/>
        <v>43191</v>
      </c>
      <c r="Z217" s="263">
        <f t="shared" si="154"/>
        <v>43221</v>
      </c>
      <c r="AA217" s="263">
        <f t="shared" si="154"/>
        <v>43252</v>
      </c>
      <c r="AB217" s="263">
        <f t="shared" si="154"/>
        <v>43283</v>
      </c>
      <c r="AC217" s="263">
        <f t="shared" si="154"/>
        <v>43314</v>
      </c>
      <c r="AD217" s="263">
        <f t="shared" si="154"/>
        <v>43345</v>
      </c>
      <c r="AE217" s="263">
        <f t="shared" si="154"/>
        <v>43376</v>
      </c>
      <c r="AF217" s="263">
        <f t="shared" si="154"/>
        <v>43407</v>
      </c>
      <c r="AG217" s="263">
        <f t="shared" si="154"/>
        <v>43437</v>
      </c>
      <c r="AH217" s="263">
        <f t="shared" si="154"/>
        <v>43468</v>
      </c>
      <c r="AI217" s="263">
        <f t="shared" si="154"/>
        <v>43499</v>
      </c>
      <c r="AJ217" s="263">
        <f t="shared" si="154"/>
        <v>43527</v>
      </c>
      <c r="AK217" s="263">
        <f t="shared" si="154"/>
        <v>43558</v>
      </c>
      <c r="AL217" s="263">
        <f t="shared" si="154"/>
        <v>43587</v>
      </c>
      <c r="AM217" s="263">
        <f t="shared" si="154"/>
        <v>43618</v>
      </c>
      <c r="AN217" s="263">
        <f t="shared" si="154"/>
        <v>43647</v>
      </c>
      <c r="AO217" s="263">
        <f t="shared" si="154"/>
        <v>43678</v>
      </c>
      <c r="AP217" s="263">
        <f t="shared" si="154"/>
        <v>43709</v>
      </c>
      <c r="AQ217" s="263">
        <f t="shared" si="154"/>
        <v>43739</v>
      </c>
      <c r="AR217" s="263">
        <f t="shared" si="154"/>
        <v>43770</v>
      </c>
      <c r="AS217" s="263">
        <f t="shared" si="154"/>
        <v>43800</v>
      </c>
      <c r="AT217" s="263">
        <f t="shared" si="154"/>
        <v>43831</v>
      </c>
      <c r="AU217" s="263">
        <f t="shared" si="154"/>
        <v>43862</v>
      </c>
      <c r="AV217" s="263">
        <f t="shared" si="154"/>
        <v>43891</v>
      </c>
      <c r="AW217" s="263">
        <f t="shared" si="154"/>
        <v>43922</v>
      </c>
      <c r="AX217" s="263">
        <f t="shared" si="154"/>
        <v>43952</v>
      </c>
      <c r="AY217" s="263">
        <f t="shared" si="154"/>
        <v>43983</v>
      </c>
      <c r="AZ217" s="263">
        <f t="shared" si="154"/>
        <v>44013</v>
      </c>
      <c r="BA217" s="263">
        <f t="shared" si="154"/>
        <v>44044</v>
      </c>
      <c r="BB217" s="263">
        <f t="shared" si="154"/>
        <v>44075</v>
      </c>
      <c r="BC217" s="263">
        <f t="shared" si="154"/>
        <v>44105</v>
      </c>
      <c r="BD217" s="263">
        <f t="shared" si="154"/>
        <v>44136</v>
      </c>
      <c r="BE217" s="263">
        <f t="shared" si="154"/>
        <v>44166</v>
      </c>
      <c r="BF217" s="263">
        <f t="shared" si="154"/>
        <v>44197</v>
      </c>
      <c r="BG217" s="263">
        <f t="shared" si="154"/>
        <v>44228</v>
      </c>
      <c r="BH217" s="263">
        <f t="shared" si="154"/>
        <v>44256</v>
      </c>
      <c r="BI217" s="263">
        <f t="shared" si="154"/>
        <v>44287</v>
      </c>
      <c r="BJ217" s="263">
        <f t="shared" si="154"/>
        <v>44317</v>
      </c>
      <c r="BK217" s="263">
        <f t="shared" si="154"/>
        <v>44348</v>
      </c>
      <c r="BL217" s="263">
        <f t="shared" si="154"/>
        <v>44378</v>
      </c>
      <c r="BM217" s="263">
        <f t="shared" si="154"/>
        <v>44409</v>
      </c>
      <c r="BN217" s="263">
        <f t="shared" si="154"/>
        <v>44440</v>
      </c>
      <c r="BO217" s="263">
        <f t="shared" si="154"/>
        <v>44470</v>
      </c>
      <c r="BP217" s="263">
        <f t="shared" ref="BP217:DA217" si="155">BP$4</f>
        <v>44501</v>
      </c>
      <c r="BQ217" s="263">
        <f t="shared" si="155"/>
        <v>44531</v>
      </c>
      <c r="BR217" s="263">
        <f t="shared" si="155"/>
        <v>44562</v>
      </c>
      <c r="BS217" s="263">
        <f t="shared" si="155"/>
        <v>44593</v>
      </c>
      <c r="BT217" s="263">
        <f t="shared" si="155"/>
        <v>44622</v>
      </c>
      <c r="BU217" s="263">
        <f t="shared" si="155"/>
        <v>44654</v>
      </c>
      <c r="BV217" s="263">
        <f t="shared" si="155"/>
        <v>44685</v>
      </c>
      <c r="BW217" s="263">
        <f t="shared" si="155"/>
        <v>44716</v>
      </c>
      <c r="BX217" s="263">
        <f t="shared" si="155"/>
        <v>44746</v>
      </c>
      <c r="BY217" s="263">
        <f t="shared" si="155"/>
        <v>44774</v>
      </c>
      <c r="BZ217" s="263">
        <f t="shared" si="155"/>
        <v>44805</v>
      </c>
      <c r="CA217" s="263">
        <f t="shared" si="155"/>
        <v>44835</v>
      </c>
      <c r="CB217" s="263">
        <f t="shared" si="155"/>
        <v>44866</v>
      </c>
      <c r="CC217" s="263">
        <f t="shared" si="155"/>
        <v>44896</v>
      </c>
      <c r="CD217" s="263">
        <f t="shared" si="155"/>
        <v>44927</v>
      </c>
      <c r="CE217" s="263">
        <f t="shared" si="155"/>
        <v>44958</v>
      </c>
      <c r="CF217" s="263">
        <f t="shared" si="155"/>
        <v>44986</v>
      </c>
      <c r="CG217" s="263">
        <f t="shared" si="155"/>
        <v>45017</v>
      </c>
      <c r="CH217" s="263">
        <f t="shared" si="155"/>
        <v>45047</v>
      </c>
      <c r="CI217" s="263">
        <f t="shared" si="155"/>
        <v>45078</v>
      </c>
      <c r="CJ217" s="263">
        <f t="shared" si="155"/>
        <v>45108</v>
      </c>
      <c r="CK217" s="263">
        <f t="shared" si="155"/>
        <v>45139</v>
      </c>
      <c r="CL217" s="263">
        <f t="shared" si="155"/>
        <v>45170</v>
      </c>
      <c r="CM217" s="263">
        <f t="shared" si="155"/>
        <v>45200</v>
      </c>
      <c r="CN217" s="263">
        <f t="shared" si="155"/>
        <v>45231</v>
      </c>
      <c r="CO217" s="263">
        <f t="shared" si="155"/>
        <v>45261</v>
      </c>
      <c r="CP217" s="263">
        <f t="shared" si="155"/>
        <v>45292</v>
      </c>
      <c r="CQ217" s="263">
        <f t="shared" si="155"/>
        <v>45323</v>
      </c>
      <c r="CR217" s="263">
        <f t="shared" si="155"/>
        <v>45352</v>
      </c>
      <c r="CS217" s="263">
        <f t="shared" si="155"/>
        <v>45383</v>
      </c>
      <c r="CT217" s="263">
        <f t="shared" si="155"/>
        <v>45413</v>
      </c>
      <c r="CU217" s="263">
        <f t="shared" si="155"/>
        <v>45444</v>
      </c>
      <c r="CV217" s="263">
        <f t="shared" si="155"/>
        <v>45474</v>
      </c>
      <c r="CW217" s="263">
        <f t="shared" si="155"/>
        <v>45505</v>
      </c>
      <c r="CX217" s="263">
        <f t="shared" si="155"/>
        <v>45536</v>
      </c>
      <c r="CY217" s="263">
        <f t="shared" si="155"/>
        <v>45566</v>
      </c>
      <c r="CZ217" s="263">
        <f t="shared" si="155"/>
        <v>45597</v>
      </c>
      <c r="DA217" s="263">
        <f t="shared" si="155"/>
        <v>45627</v>
      </c>
      <c r="DB217"/>
      <c r="DC217"/>
      <c r="DD217"/>
      <c r="DE217"/>
    </row>
    <row r="218" spans="1:121" x14ac:dyDescent="0.25">
      <c r="B218" s="117" t="s">
        <v>542</v>
      </c>
      <c r="C218" s="352" t="s">
        <v>160</v>
      </c>
      <c r="D218" s="352" t="s">
        <v>160</v>
      </c>
      <c r="E218" s="352" t="s">
        <v>160</v>
      </c>
      <c r="F218" s="352" t="s">
        <v>160</v>
      </c>
      <c r="G218" s="352" t="s">
        <v>160</v>
      </c>
      <c r="H218" s="352" t="s">
        <v>160</v>
      </c>
      <c r="I218" s="352" t="s">
        <v>160</v>
      </c>
      <c r="J218" s="352" t="s">
        <v>160</v>
      </c>
      <c r="K218" s="352" t="s">
        <v>160</v>
      </c>
      <c r="L218" s="352" t="s">
        <v>160</v>
      </c>
      <c r="M218" s="352" t="s">
        <v>160</v>
      </c>
      <c r="N218" s="352" t="s">
        <v>160</v>
      </c>
      <c r="O218" s="352" t="s">
        <v>160</v>
      </c>
      <c r="P218" s="352" t="s">
        <v>160</v>
      </c>
      <c r="Q218" s="352" t="s">
        <v>160</v>
      </c>
      <c r="R218" s="352" t="s">
        <v>160</v>
      </c>
      <c r="S218" s="352" t="s">
        <v>160</v>
      </c>
      <c r="T218" s="352" t="s">
        <v>160</v>
      </c>
      <c r="U218" s="590" t="s">
        <v>160</v>
      </c>
      <c r="V218" s="590" t="s">
        <v>160</v>
      </c>
      <c r="W218" s="590" t="s">
        <v>160</v>
      </c>
      <c r="X218" s="590" t="s">
        <v>160</v>
      </c>
      <c r="Y218" s="590" t="s">
        <v>160</v>
      </c>
      <c r="Z218" s="590" t="s">
        <v>160</v>
      </c>
      <c r="AA218" s="590" t="s">
        <v>160</v>
      </c>
      <c r="AB218" s="590" t="s">
        <v>160</v>
      </c>
      <c r="AC218" s="590" t="s">
        <v>160</v>
      </c>
      <c r="AD218" s="590" t="s">
        <v>160</v>
      </c>
      <c r="AE218" s="590" t="s">
        <v>160</v>
      </c>
      <c r="AF218" s="590" t="s">
        <v>160</v>
      </c>
      <c r="AG218" s="590" t="s">
        <v>160</v>
      </c>
      <c r="AH218" s="590" t="s">
        <v>160</v>
      </c>
      <c r="AI218" s="590" t="s">
        <v>160</v>
      </c>
      <c r="AJ218" s="590" t="s">
        <v>160</v>
      </c>
      <c r="AK218" s="590" t="s">
        <v>160</v>
      </c>
      <c r="AL218" s="590" t="s">
        <v>160</v>
      </c>
      <c r="AM218" s="590" t="s">
        <v>160</v>
      </c>
      <c r="AN218" s="590" t="s">
        <v>160</v>
      </c>
      <c r="AO218" s="590" t="s">
        <v>160</v>
      </c>
      <c r="AP218" s="590" t="s">
        <v>160</v>
      </c>
      <c r="AQ218" s="590" t="s">
        <v>160</v>
      </c>
      <c r="AR218" s="590" t="s">
        <v>160</v>
      </c>
      <c r="AS218" s="590" t="s">
        <v>160</v>
      </c>
      <c r="AT218" s="590" t="s">
        <v>160</v>
      </c>
      <c r="AU218" s="590" t="s">
        <v>160</v>
      </c>
      <c r="AV218" s="590" t="s">
        <v>160</v>
      </c>
      <c r="AW218" s="1000" t="s">
        <v>160</v>
      </c>
      <c r="AX218" s="590" t="s">
        <v>160</v>
      </c>
      <c r="AY218" s="590" t="s">
        <v>160</v>
      </c>
      <c r="AZ218" s="590" t="s">
        <v>160</v>
      </c>
      <c r="BA218" s="590" t="s">
        <v>160</v>
      </c>
      <c r="BB218" s="590" t="s">
        <v>160</v>
      </c>
      <c r="BC218" s="590" t="s">
        <v>160</v>
      </c>
      <c r="BD218" s="590" t="s">
        <v>160</v>
      </c>
      <c r="BE218" s="590" t="s">
        <v>160</v>
      </c>
      <c r="BF218" s="590" t="s">
        <v>160</v>
      </c>
      <c r="BG218" s="590" t="s">
        <v>160</v>
      </c>
      <c r="BH218" s="590" t="s">
        <v>160</v>
      </c>
      <c r="BI218" s="590" t="s">
        <v>160</v>
      </c>
      <c r="BJ218" s="590" t="s">
        <v>160</v>
      </c>
      <c r="BK218" s="590" t="s">
        <v>160</v>
      </c>
      <c r="BL218" s="590" t="s">
        <v>160</v>
      </c>
      <c r="BM218" s="590" t="s">
        <v>160</v>
      </c>
      <c r="BN218" s="590" t="s">
        <v>160</v>
      </c>
      <c r="BO218" s="590" t="s">
        <v>160</v>
      </c>
      <c r="BP218" s="590" t="s">
        <v>160</v>
      </c>
      <c r="BQ218" s="590" t="s">
        <v>160</v>
      </c>
      <c r="BR218" s="590" t="s">
        <v>160</v>
      </c>
      <c r="BS218" s="590" t="s">
        <v>160</v>
      </c>
      <c r="BT218" s="590" t="s">
        <v>160</v>
      </c>
      <c r="BU218" s="590" t="s">
        <v>160</v>
      </c>
      <c r="BV218" s="590" t="s">
        <v>160</v>
      </c>
      <c r="BW218" s="590" t="s">
        <v>160</v>
      </c>
      <c r="BX218" s="590" t="s">
        <v>160</v>
      </c>
      <c r="BY218" s="590" t="s">
        <v>160</v>
      </c>
      <c r="BZ218" s="590" t="s">
        <v>160</v>
      </c>
      <c r="CA218" s="590" t="s">
        <v>160</v>
      </c>
      <c r="CB218" s="590" t="s">
        <v>160</v>
      </c>
      <c r="CC218" s="590" t="s">
        <v>160</v>
      </c>
      <c r="CD218" s="590" t="s">
        <v>160</v>
      </c>
      <c r="CE218" s="590" t="s">
        <v>160</v>
      </c>
      <c r="CF218" s="590" t="s">
        <v>160</v>
      </c>
      <c r="CG218" s="590" t="s">
        <v>160</v>
      </c>
      <c r="CH218" s="590" t="s">
        <v>160</v>
      </c>
      <c r="CI218" s="590" t="s">
        <v>160</v>
      </c>
      <c r="CJ218" s="590" t="s">
        <v>160</v>
      </c>
      <c r="CK218" s="590" t="s">
        <v>160</v>
      </c>
      <c r="CL218" s="590" t="s">
        <v>160</v>
      </c>
      <c r="CM218" s="590" t="s">
        <v>160</v>
      </c>
      <c r="CN218" s="590" t="s">
        <v>160</v>
      </c>
      <c r="CO218" s="590" t="s">
        <v>160</v>
      </c>
      <c r="CP218" s="590">
        <v>31</v>
      </c>
      <c r="CQ218" s="590">
        <v>31</v>
      </c>
      <c r="CR218" s="590">
        <v>31</v>
      </c>
      <c r="CS218" s="590">
        <v>31</v>
      </c>
      <c r="CT218" s="590">
        <v>31</v>
      </c>
      <c r="CU218" s="590">
        <v>31</v>
      </c>
      <c r="CV218" s="590">
        <v>31</v>
      </c>
      <c r="CW218" s="590">
        <v>31</v>
      </c>
      <c r="CX218" s="590">
        <v>31</v>
      </c>
      <c r="CY218" s="590">
        <v>31</v>
      </c>
      <c r="CZ218" s="590">
        <v>31</v>
      </c>
      <c r="DA218" s="590">
        <v>31</v>
      </c>
      <c r="DB218"/>
      <c r="DC218"/>
      <c r="DD218"/>
      <c r="DE218"/>
    </row>
    <row r="219" spans="1:121" x14ac:dyDescent="0.25">
      <c r="B219" s="117" t="s">
        <v>546</v>
      </c>
      <c r="C219" s="352" t="s">
        <v>160</v>
      </c>
      <c r="D219" s="352" t="s">
        <v>160</v>
      </c>
      <c r="E219" s="352" t="s">
        <v>160</v>
      </c>
      <c r="F219" s="352" t="s">
        <v>160</v>
      </c>
      <c r="G219" s="352" t="s">
        <v>160</v>
      </c>
      <c r="H219" s="352" t="s">
        <v>160</v>
      </c>
      <c r="I219" s="352" t="s">
        <v>160</v>
      </c>
      <c r="J219" s="352" t="s">
        <v>160</v>
      </c>
      <c r="K219" s="352" t="s">
        <v>160</v>
      </c>
      <c r="L219" s="352" t="s">
        <v>160</v>
      </c>
      <c r="M219" s="352" t="s">
        <v>160</v>
      </c>
      <c r="N219" s="352" t="s">
        <v>160</v>
      </c>
      <c r="O219" s="352" t="s">
        <v>160</v>
      </c>
      <c r="P219" s="352" t="s">
        <v>160</v>
      </c>
      <c r="Q219" s="352" t="s">
        <v>160</v>
      </c>
      <c r="R219" s="352" t="s">
        <v>160</v>
      </c>
      <c r="S219" s="352" t="s">
        <v>160</v>
      </c>
      <c r="T219" s="352" t="s">
        <v>160</v>
      </c>
      <c r="U219" s="352" t="s">
        <v>160</v>
      </c>
      <c r="V219" s="352" t="s">
        <v>160</v>
      </c>
      <c r="W219" s="352" t="s">
        <v>160</v>
      </c>
      <c r="X219" s="352" t="s">
        <v>160</v>
      </c>
      <c r="Y219" s="352" t="s">
        <v>160</v>
      </c>
      <c r="Z219" s="590" t="s">
        <v>160</v>
      </c>
      <c r="AA219" s="352" t="s">
        <v>160</v>
      </c>
      <c r="AB219" s="352" t="s">
        <v>160</v>
      </c>
      <c r="AC219" s="352" t="s">
        <v>160</v>
      </c>
      <c r="AD219" s="352" t="s">
        <v>160</v>
      </c>
      <c r="AE219" s="352" t="s">
        <v>160</v>
      </c>
      <c r="AF219" s="352" t="s">
        <v>160</v>
      </c>
      <c r="AG219" s="352" t="s">
        <v>160</v>
      </c>
      <c r="AH219" s="352" t="s">
        <v>160</v>
      </c>
      <c r="AI219" s="352" t="s">
        <v>160</v>
      </c>
      <c r="AJ219" s="352" t="s">
        <v>160</v>
      </c>
      <c r="AK219" s="352" t="s">
        <v>160</v>
      </c>
      <c r="AL219" s="352" t="s">
        <v>160</v>
      </c>
      <c r="AM219" s="352" t="s">
        <v>160</v>
      </c>
      <c r="AN219" s="352" t="s">
        <v>160</v>
      </c>
      <c r="AO219" s="352" t="s">
        <v>160</v>
      </c>
      <c r="AP219" s="352" t="s">
        <v>160</v>
      </c>
      <c r="AQ219" s="352" t="s">
        <v>160</v>
      </c>
      <c r="AR219" s="352" t="s">
        <v>160</v>
      </c>
      <c r="AS219" s="352" t="s">
        <v>160</v>
      </c>
      <c r="AT219" s="352" t="s">
        <v>160</v>
      </c>
      <c r="AU219" s="352" t="s">
        <v>160</v>
      </c>
      <c r="AV219" s="352" t="s">
        <v>160</v>
      </c>
      <c r="AW219" s="1000" t="s">
        <v>160</v>
      </c>
      <c r="AX219" s="590" t="s">
        <v>160</v>
      </c>
      <c r="AY219" s="590" t="s">
        <v>160</v>
      </c>
      <c r="AZ219" s="590" t="s">
        <v>160</v>
      </c>
      <c r="BA219" s="590" t="s">
        <v>160</v>
      </c>
      <c r="BB219" s="590" t="s">
        <v>160</v>
      </c>
      <c r="BC219" s="590" t="s">
        <v>160</v>
      </c>
      <c r="BD219" s="590" t="s">
        <v>160</v>
      </c>
      <c r="BE219" s="590" t="s">
        <v>160</v>
      </c>
      <c r="BF219" s="590" t="s">
        <v>160</v>
      </c>
      <c r="BG219" s="590" t="s">
        <v>160</v>
      </c>
      <c r="BH219" s="590" t="s">
        <v>160</v>
      </c>
      <c r="BI219" s="590" t="s">
        <v>160</v>
      </c>
      <c r="BJ219" s="590" t="s">
        <v>160</v>
      </c>
      <c r="BK219" s="590" t="s">
        <v>160</v>
      </c>
      <c r="BL219" s="590" t="s">
        <v>160</v>
      </c>
      <c r="BM219" s="590" t="s">
        <v>160</v>
      </c>
      <c r="BN219" s="590" t="s">
        <v>160</v>
      </c>
      <c r="BO219" s="590" t="s">
        <v>160</v>
      </c>
      <c r="BP219" s="590" t="s">
        <v>160</v>
      </c>
      <c r="BQ219" s="590" t="s">
        <v>160</v>
      </c>
      <c r="BR219" s="590" t="s">
        <v>160</v>
      </c>
      <c r="BS219" s="590" t="s">
        <v>160</v>
      </c>
      <c r="BT219" s="590" t="s">
        <v>160</v>
      </c>
      <c r="BU219" s="590" t="s">
        <v>160</v>
      </c>
      <c r="BV219" s="590" t="s">
        <v>160</v>
      </c>
      <c r="BW219" s="590" t="s">
        <v>160</v>
      </c>
      <c r="BX219" s="590" t="s">
        <v>160</v>
      </c>
      <c r="BY219" s="590" t="s">
        <v>160</v>
      </c>
      <c r="BZ219" s="590" t="s">
        <v>160</v>
      </c>
      <c r="CA219" s="590" t="s">
        <v>160</v>
      </c>
      <c r="CB219" s="590" t="s">
        <v>160</v>
      </c>
      <c r="CC219" s="590" t="s">
        <v>160</v>
      </c>
      <c r="CD219" s="590" t="s">
        <v>160</v>
      </c>
      <c r="CE219" s="590" t="s">
        <v>160</v>
      </c>
      <c r="CF219" s="590" t="s">
        <v>160</v>
      </c>
      <c r="CG219" s="590" t="s">
        <v>160</v>
      </c>
      <c r="CH219" s="590" t="s">
        <v>160</v>
      </c>
      <c r="CI219" s="590" t="s">
        <v>160</v>
      </c>
      <c r="CJ219" s="590" t="s">
        <v>160</v>
      </c>
      <c r="CK219" s="590" t="s">
        <v>160</v>
      </c>
      <c r="CL219" s="590" t="s">
        <v>160</v>
      </c>
      <c r="CM219" s="590" t="s">
        <v>160</v>
      </c>
      <c r="CN219" s="590" t="s">
        <v>160</v>
      </c>
      <c r="CO219" s="590" t="s">
        <v>160</v>
      </c>
      <c r="CP219" s="590" t="s">
        <v>160</v>
      </c>
      <c r="CQ219" s="590" t="s">
        <v>160</v>
      </c>
      <c r="CR219" s="590" t="s">
        <v>160</v>
      </c>
      <c r="CS219" s="590" t="s">
        <v>160</v>
      </c>
      <c r="CT219" s="590" t="s">
        <v>160</v>
      </c>
      <c r="CU219" s="590" t="s">
        <v>160</v>
      </c>
      <c r="CV219" s="590" t="s">
        <v>160</v>
      </c>
      <c r="CW219" s="590" t="s">
        <v>160</v>
      </c>
      <c r="CX219" s="590" t="s">
        <v>160</v>
      </c>
      <c r="CY219" s="590" t="s">
        <v>160</v>
      </c>
      <c r="CZ219" s="590" t="s">
        <v>160</v>
      </c>
      <c r="DA219" s="590" t="s">
        <v>160</v>
      </c>
      <c r="DB219"/>
      <c r="DC219"/>
      <c r="DD219"/>
      <c r="DE219"/>
    </row>
    <row r="220" spans="1:121" x14ac:dyDescent="0.25">
      <c r="B220" s="117" t="s">
        <v>547</v>
      </c>
      <c r="C220" s="352" t="s">
        <v>160</v>
      </c>
      <c r="D220" s="352" t="s">
        <v>160</v>
      </c>
      <c r="E220" s="352" t="s">
        <v>160</v>
      </c>
      <c r="F220" s="352" t="s">
        <v>160</v>
      </c>
      <c r="G220" s="352" t="s">
        <v>160</v>
      </c>
      <c r="H220" s="352" t="s">
        <v>160</v>
      </c>
      <c r="I220" s="352" t="s">
        <v>160</v>
      </c>
      <c r="J220" s="352" t="s">
        <v>160</v>
      </c>
      <c r="K220" s="352" t="s">
        <v>160</v>
      </c>
      <c r="L220" s="352" t="s">
        <v>160</v>
      </c>
      <c r="M220" s="352" t="s">
        <v>160</v>
      </c>
      <c r="N220" s="352" t="s">
        <v>160</v>
      </c>
      <c r="O220" s="352" t="s">
        <v>160</v>
      </c>
      <c r="P220" s="352" t="s">
        <v>160</v>
      </c>
      <c r="Q220" s="352" t="s">
        <v>160</v>
      </c>
      <c r="R220" s="352" t="s">
        <v>160</v>
      </c>
      <c r="S220" s="352" t="s">
        <v>160</v>
      </c>
      <c r="T220" s="352" t="s">
        <v>160</v>
      </c>
      <c r="U220" s="352" t="s">
        <v>160</v>
      </c>
      <c r="V220" s="590" t="s">
        <v>160</v>
      </c>
      <c r="W220" s="590" t="s">
        <v>160</v>
      </c>
      <c r="X220" s="590" t="s">
        <v>160</v>
      </c>
      <c r="Y220" s="590" t="s">
        <v>160</v>
      </c>
      <c r="Z220" s="590" t="s">
        <v>160</v>
      </c>
      <c r="AA220" s="590" t="s">
        <v>160</v>
      </c>
      <c r="AB220" s="590" t="s">
        <v>160</v>
      </c>
      <c r="AC220" s="590" t="s">
        <v>160</v>
      </c>
      <c r="AD220" s="590" t="s">
        <v>160</v>
      </c>
      <c r="AE220" s="590" t="s">
        <v>160</v>
      </c>
      <c r="AF220" s="590" t="s">
        <v>160</v>
      </c>
      <c r="AG220" s="590" t="s">
        <v>160</v>
      </c>
      <c r="AH220" s="590" t="s">
        <v>160</v>
      </c>
      <c r="AI220" s="590" t="s">
        <v>160</v>
      </c>
      <c r="AJ220" s="590" t="s">
        <v>160</v>
      </c>
      <c r="AK220" s="590" t="s">
        <v>160</v>
      </c>
      <c r="AL220" s="590" t="s">
        <v>160</v>
      </c>
      <c r="AM220" s="590" t="s">
        <v>160</v>
      </c>
      <c r="AN220" s="590" t="s">
        <v>160</v>
      </c>
      <c r="AO220" s="590" t="s">
        <v>160</v>
      </c>
      <c r="AP220" s="590" t="s">
        <v>160</v>
      </c>
      <c r="AQ220" s="590" t="s">
        <v>160</v>
      </c>
      <c r="AR220" s="590" t="s">
        <v>160</v>
      </c>
      <c r="AS220" s="590" t="s">
        <v>160</v>
      </c>
      <c r="AT220" s="590" t="s">
        <v>160</v>
      </c>
      <c r="AU220" s="590" t="s">
        <v>160</v>
      </c>
      <c r="AV220" s="590" t="s">
        <v>160</v>
      </c>
      <c r="AW220" s="1000" t="s">
        <v>160</v>
      </c>
      <c r="AX220" s="590" t="s">
        <v>160</v>
      </c>
      <c r="AY220" s="590" t="s">
        <v>160</v>
      </c>
      <c r="AZ220" s="590" t="s">
        <v>160</v>
      </c>
      <c r="BA220" s="590" t="s">
        <v>160</v>
      </c>
      <c r="BB220" s="590" t="s">
        <v>160</v>
      </c>
      <c r="BC220" s="590" t="s">
        <v>160</v>
      </c>
      <c r="BD220" s="590" t="s">
        <v>160</v>
      </c>
      <c r="BE220" s="590" t="s">
        <v>160</v>
      </c>
      <c r="BF220" s="590" t="s">
        <v>160</v>
      </c>
      <c r="BG220" s="590" t="s">
        <v>160</v>
      </c>
      <c r="BH220" s="590" t="s">
        <v>160</v>
      </c>
      <c r="BI220" s="590" t="s">
        <v>160</v>
      </c>
      <c r="BJ220" s="590" t="s">
        <v>160</v>
      </c>
      <c r="BK220" s="590" t="s">
        <v>160</v>
      </c>
      <c r="BL220" s="590" t="s">
        <v>160</v>
      </c>
      <c r="BM220" s="590" t="s">
        <v>160</v>
      </c>
      <c r="BN220" s="590" t="s">
        <v>160</v>
      </c>
      <c r="BO220" s="590" t="s">
        <v>160</v>
      </c>
      <c r="BP220" s="590" t="s">
        <v>160</v>
      </c>
      <c r="BQ220" s="590" t="s">
        <v>160</v>
      </c>
      <c r="BR220" s="590" t="s">
        <v>160</v>
      </c>
      <c r="BS220" s="590" t="s">
        <v>160</v>
      </c>
      <c r="BT220" s="590" t="s">
        <v>160</v>
      </c>
      <c r="BU220" s="590" t="s">
        <v>160</v>
      </c>
      <c r="BV220" s="590" t="s">
        <v>160</v>
      </c>
      <c r="BW220" s="590" t="s">
        <v>160</v>
      </c>
      <c r="BX220" s="590" t="s">
        <v>160</v>
      </c>
      <c r="BY220" s="590" t="s">
        <v>160</v>
      </c>
      <c r="BZ220" s="590" t="s">
        <v>160</v>
      </c>
      <c r="CA220" s="590" t="s">
        <v>160</v>
      </c>
      <c r="CB220" s="590" t="s">
        <v>160</v>
      </c>
      <c r="CC220" s="590" t="s">
        <v>160</v>
      </c>
      <c r="CD220" s="590" t="s">
        <v>160</v>
      </c>
      <c r="CE220" s="590" t="s">
        <v>160</v>
      </c>
      <c r="CF220" s="590" t="s">
        <v>160</v>
      </c>
      <c r="CG220" s="590" t="s">
        <v>160</v>
      </c>
      <c r="CH220" s="590" t="s">
        <v>160</v>
      </c>
      <c r="CI220" s="590" t="s">
        <v>160</v>
      </c>
      <c r="CJ220" s="590" t="s">
        <v>160</v>
      </c>
      <c r="CK220" s="590" t="s">
        <v>160</v>
      </c>
      <c r="CL220" s="590" t="s">
        <v>160</v>
      </c>
      <c r="CM220" s="590" t="s">
        <v>160</v>
      </c>
      <c r="CN220" s="590" t="s">
        <v>160</v>
      </c>
      <c r="CO220" s="590">
        <v>33</v>
      </c>
      <c r="CP220" s="590">
        <v>33</v>
      </c>
      <c r="CQ220" s="590">
        <v>33</v>
      </c>
      <c r="CR220" s="590">
        <v>33</v>
      </c>
      <c r="CS220" s="590">
        <v>33</v>
      </c>
      <c r="CT220" s="590">
        <v>33</v>
      </c>
      <c r="CU220" s="590">
        <v>33</v>
      </c>
      <c r="CV220" s="590">
        <v>33</v>
      </c>
      <c r="CW220" s="590">
        <v>33</v>
      </c>
      <c r="CX220" s="590">
        <v>33</v>
      </c>
      <c r="CY220" s="590" t="s">
        <v>160</v>
      </c>
      <c r="CZ220" s="590" t="s">
        <v>160</v>
      </c>
      <c r="DA220" s="590" t="s">
        <v>160</v>
      </c>
      <c r="DB220"/>
      <c r="DC220"/>
      <c r="DD220"/>
      <c r="DE220"/>
    </row>
    <row r="221" spans="1:121" customFormat="1" ht="12.75" x14ac:dyDescent="0.2">
      <c r="B221" s="278" t="s">
        <v>557</v>
      </c>
      <c r="C221" s="279" t="str">
        <f t="shared" ref="C221:AH221" si="156">IFERROR(AVERAGE(C218:C220),"-")</f>
        <v>-</v>
      </c>
      <c r="D221" s="279" t="str">
        <f t="shared" si="156"/>
        <v>-</v>
      </c>
      <c r="E221" s="279" t="str">
        <f t="shared" si="156"/>
        <v>-</v>
      </c>
      <c r="F221" s="279" t="str">
        <f t="shared" si="156"/>
        <v>-</v>
      </c>
      <c r="G221" s="279" t="str">
        <f t="shared" si="156"/>
        <v>-</v>
      </c>
      <c r="H221" s="279" t="str">
        <f t="shared" si="156"/>
        <v>-</v>
      </c>
      <c r="I221" s="279" t="str">
        <f t="shared" si="156"/>
        <v>-</v>
      </c>
      <c r="J221" s="279" t="str">
        <f t="shared" si="156"/>
        <v>-</v>
      </c>
      <c r="K221" s="279" t="str">
        <f t="shared" si="156"/>
        <v>-</v>
      </c>
      <c r="L221" s="279" t="str">
        <f t="shared" si="156"/>
        <v>-</v>
      </c>
      <c r="M221" s="279" t="str">
        <f t="shared" si="156"/>
        <v>-</v>
      </c>
      <c r="N221" s="279" t="str">
        <f t="shared" si="156"/>
        <v>-</v>
      </c>
      <c r="O221" s="279" t="str">
        <f t="shared" si="156"/>
        <v>-</v>
      </c>
      <c r="P221" s="279" t="str">
        <f t="shared" si="156"/>
        <v>-</v>
      </c>
      <c r="Q221" s="279" t="str">
        <f t="shared" si="156"/>
        <v>-</v>
      </c>
      <c r="R221" s="279" t="str">
        <f t="shared" si="156"/>
        <v>-</v>
      </c>
      <c r="S221" s="279" t="str">
        <f t="shared" si="156"/>
        <v>-</v>
      </c>
      <c r="T221" s="279" t="str">
        <f t="shared" si="156"/>
        <v>-</v>
      </c>
      <c r="U221" s="279" t="str">
        <f t="shared" si="156"/>
        <v>-</v>
      </c>
      <c r="V221" s="279" t="str">
        <f t="shared" si="156"/>
        <v>-</v>
      </c>
      <c r="W221" s="279" t="str">
        <f t="shared" si="156"/>
        <v>-</v>
      </c>
      <c r="X221" s="279" t="str">
        <f t="shared" si="156"/>
        <v>-</v>
      </c>
      <c r="Y221" s="279" t="str">
        <f t="shared" si="156"/>
        <v>-</v>
      </c>
      <c r="Z221" s="279" t="str">
        <f t="shared" si="156"/>
        <v>-</v>
      </c>
      <c r="AA221" s="279" t="str">
        <f t="shared" si="156"/>
        <v>-</v>
      </c>
      <c r="AB221" s="279" t="str">
        <f t="shared" si="156"/>
        <v>-</v>
      </c>
      <c r="AC221" s="279" t="str">
        <f t="shared" si="156"/>
        <v>-</v>
      </c>
      <c r="AD221" s="279" t="str">
        <f t="shared" si="156"/>
        <v>-</v>
      </c>
      <c r="AE221" s="279" t="str">
        <f t="shared" si="156"/>
        <v>-</v>
      </c>
      <c r="AF221" s="279" t="str">
        <f t="shared" si="156"/>
        <v>-</v>
      </c>
      <c r="AG221" s="279" t="str">
        <f t="shared" si="156"/>
        <v>-</v>
      </c>
      <c r="AH221" s="279" t="str">
        <f t="shared" si="156"/>
        <v>-</v>
      </c>
      <c r="AI221" s="279" t="str">
        <f t="shared" ref="AI221:BN221" si="157">IFERROR(AVERAGE(AI218:AI220),"-")</f>
        <v>-</v>
      </c>
      <c r="AJ221" s="279" t="str">
        <f t="shared" si="157"/>
        <v>-</v>
      </c>
      <c r="AK221" s="279" t="str">
        <f t="shared" si="157"/>
        <v>-</v>
      </c>
      <c r="AL221" s="279" t="str">
        <f t="shared" si="157"/>
        <v>-</v>
      </c>
      <c r="AM221" s="279" t="str">
        <f t="shared" si="157"/>
        <v>-</v>
      </c>
      <c r="AN221" s="279" t="str">
        <f t="shared" si="157"/>
        <v>-</v>
      </c>
      <c r="AO221" s="279" t="str">
        <f t="shared" si="157"/>
        <v>-</v>
      </c>
      <c r="AP221" s="279" t="str">
        <f t="shared" si="157"/>
        <v>-</v>
      </c>
      <c r="AQ221" s="279" t="str">
        <f t="shared" si="157"/>
        <v>-</v>
      </c>
      <c r="AR221" s="279" t="str">
        <f t="shared" si="157"/>
        <v>-</v>
      </c>
      <c r="AS221" s="279" t="str">
        <f t="shared" si="157"/>
        <v>-</v>
      </c>
      <c r="AT221" s="279" t="str">
        <f t="shared" si="157"/>
        <v>-</v>
      </c>
      <c r="AU221" s="279" t="str">
        <f t="shared" si="157"/>
        <v>-</v>
      </c>
      <c r="AV221" s="279" t="str">
        <f t="shared" si="157"/>
        <v>-</v>
      </c>
      <c r="AW221" s="279" t="str">
        <f t="shared" si="157"/>
        <v>-</v>
      </c>
      <c r="AX221" s="279" t="str">
        <f t="shared" si="157"/>
        <v>-</v>
      </c>
      <c r="AY221" s="279" t="str">
        <f t="shared" si="157"/>
        <v>-</v>
      </c>
      <c r="AZ221" s="279" t="str">
        <f t="shared" si="157"/>
        <v>-</v>
      </c>
      <c r="BA221" s="279" t="str">
        <f t="shared" si="157"/>
        <v>-</v>
      </c>
      <c r="BB221" s="279" t="str">
        <f t="shared" si="157"/>
        <v>-</v>
      </c>
      <c r="BC221" s="279" t="str">
        <f t="shared" si="157"/>
        <v>-</v>
      </c>
      <c r="BD221" s="279" t="str">
        <f t="shared" si="157"/>
        <v>-</v>
      </c>
      <c r="BE221" s="279" t="str">
        <f t="shared" si="157"/>
        <v>-</v>
      </c>
      <c r="BF221" s="279" t="str">
        <f t="shared" si="157"/>
        <v>-</v>
      </c>
      <c r="BG221" s="279" t="str">
        <f t="shared" si="157"/>
        <v>-</v>
      </c>
      <c r="BH221" s="279" t="str">
        <f t="shared" si="157"/>
        <v>-</v>
      </c>
      <c r="BI221" s="279" t="str">
        <f t="shared" si="157"/>
        <v>-</v>
      </c>
      <c r="BJ221" s="279" t="str">
        <f t="shared" si="157"/>
        <v>-</v>
      </c>
      <c r="BK221" s="279" t="str">
        <f t="shared" si="157"/>
        <v>-</v>
      </c>
      <c r="BL221" s="279" t="str">
        <f t="shared" si="157"/>
        <v>-</v>
      </c>
      <c r="BM221" s="279" t="str">
        <f t="shared" si="157"/>
        <v>-</v>
      </c>
      <c r="BN221" s="279" t="str">
        <f t="shared" si="157"/>
        <v>-</v>
      </c>
      <c r="BO221" s="279" t="str">
        <f t="shared" ref="BO221:CO221" si="158">IFERROR(AVERAGE(BO218:BO220),"-")</f>
        <v>-</v>
      </c>
      <c r="BP221" s="279" t="str">
        <f t="shared" si="158"/>
        <v>-</v>
      </c>
      <c r="BQ221" s="279" t="str">
        <f t="shared" si="158"/>
        <v>-</v>
      </c>
      <c r="BR221" s="279" t="str">
        <f t="shared" si="158"/>
        <v>-</v>
      </c>
      <c r="BS221" s="279" t="str">
        <f t="shared" si="158"/>
        <v>-</v>
      </c>
      <c r="BT221" s="279" t="str">
        <f t="shared" si="158"/>
        <v>-</v>
      </c>
      <c r="BU221" s="279" t="str">
        <f t="shared" si="158"/>
        <v>-</v>
      </c>
      <c r="BV221" s="279" t="str">
        <f t="shared" si="158"/>
        <v>-</v>
      </c>
      <c r="BW221" s="279" t="str">
        <f t="shared" si="158"/>
        <v>-</v>
      </c>
      <c r="BX221" s="279" t="str">
        <f t="shared" si="158"/>
        <v>-</v>
      </c>
      <c r="BY221" s="279" t="str">
        <f t="shared" si="158"/>
        <v>-</v>
      </c>
      <c r="BZ221" s="798" t="str">
        <f t="shared" si="158"/>
        <v>-</v>
      </c>
      <c r="CA221" s="798" t="str">
        <f t="shared" si="158"/>
        <v>-</v>
      </c>
      <c r="CB221" s="798" t="str">
        <f t="shared" si="158"/>
        <v>-</v>
      </c>
      <c r="CC221" s="798" t="str">
        <f t="shared" si="158"/>
        <v>-</v>
      </c>
      <c r="CD221" s="798" t="str">
        <f t="shared" si="158"/>
        <v>-</v>
      </c>
      <c r="CE221" s="798" t="str">
        <f t="shared" si="158"/>
        <v>-</v>
      </c>
      <c r="CF221" s="798" t="str">
        <f t="shared" si="158"/>
        <v>-</v>
      </c>
      <c r="CG221" s="798" t="str">
        <f t="shared" si="158"/>
        <v>-</v>
      </c>
      <c r="CH221" s="798" t="str">
        <f t="shared" si="158"/>
        <v>-</v>
      </c>
      <c r="CI221" s="798" t="str">
        <f t="shared" si="158"/>
        <v>-</v>
      </c>
      <c r="CJ221" s="798" t="str">
        <f t="shared" si="158"/>
        <v>-</v>
      </c>
      <c r="CK221" s="798" t="str">
        <f t="shared" si="158"/>
        <v>-</v>
      </c>
      <c r="CL221" s="798" t="str">
        <f t="shared" si="158"/>
        <v>-</v>
      </c>
      <c r="CM221" s="798" t="str">
        <f t="shared" si="158"/>
        <v>-</v>
      </c>
      <c r="CN221" s="798" t="str">
        <f t="shared" si="158"/>
        <v>-</v>
      </c>
      <c r="CO221" s="798">
        <f t="shared" si="158"/>
        <v>33</v>
      </c>
      <c r="CP221" s="798">
        <f t="shared" ref="CP221:CV221" si="159">IFERROR(AVERAGE(CP218:CP220),"-")</f>
        <v>32</v>
      </c>
      <c r="CQ221" s="798">
        <f t="shared" si="159"/>
        <v>32</v>
      </c>
      <c r="CR221" s="798">
        <f t="shared" si="159"/>
        <v>32</v>
      </c>
      <c r="CS221" s="798">
        <f t="shared" si="159"/>
        <v>32</v>
      </c>
      <c r="CT221" s="798">
        <f t="shared" si="159"/>
        <v>32</v>
      </c>
      <c r="CU221" s="798">
        <f t="shared" si="159"/>
        <v>32</v>
      </c>
      <c r="CV221" s="798">
        <f t="shared" si="159"/>
        <v>32</v>
      </c>
      <c r="CW221" s="798">
        <f>IFERROR(AVERAGE(CW218:CW220),"-")</f>
        <v>32</v>
      </c>
      <c r="CX221" s="798">
        <f>IFERROR(AVERAGE(CX218:CX220),"-")</f>
        <v>32</v>
      </c>
      <c r="CY221" s="798">
        <f>IFERROR(AVERAGE(CY218:CY220),"-")</f>
        <v>31</v>
      </c>
      <c r="CZ221" s="798">
        <f>IFERROR(AVERAGE(CZ218:CZ220),"-")</f>
        <v>31</v>
      </c>
      <c r="DA221" s="798">
        <f>IFERROR(AVERAGE(DA218:DA220),"-")</f>
        <v>31</v>
      </c>
      <c r="DG221" s="1150"/>
      <c r="DH221" s="1150"/>
      <c r="DI221" s="1150"/>
      <c r="DJ221" s="1150"/>
      <c r="DK221" s="1150"/>
    </row>
    <row r="222" spans="1:121" x14ac:dyDescent="0.25">
      <c r="X222" s="340"/>
      <c r="Y222" s="340"/>
      <c r="Z222" s="340"/>
      <c r="AA222" s="340"/>
      <c r="AB222" s="340"/>
      <c r="AC222" s="340"/>
      <c r="AD222" s="340"/>
      <c r="AE222" s="340"/>
      <c r="AF222" s="340"/>
      <c r="AG222" s="340"/>
      <c r="AH222" s="340"/>
      <c r="AI222" s="340"/>
      <c r="AJ222" s="340"/>
      <c r="AK222" s="340"/>
      <c r="AL222" s="340"/>
      <c r="AM222" s="340"/>
      <c r="AN222" s="340"/>
      <c r="AO222" s="340"/>
      <c r="AP222" s="340"/>
      <c r="AQ222" s="340"/>
      <c r="AR222" s="340"/>
      <c r="AS222" s="340"/>
      <c r="AT222" s="761"/>
      <c r="CO222"/>
      <c r="CP222"/>
      <c r="CQ222"/>
      <c r="CR222"/>
      <c r="CS222"/>
      <c r="CT222"/>
      <c r="CU222"/>
      <c r="CV222"/>
      <c r="CW222"/>
      <c r="CX222"/>
      <c r="CY222"/>
      <c r="CZ222"/>
      <c r="DA222"/>
      <c r="DB222"/>
      <c r="DC222"/>
      <c r="DD222"/>
      <c r="DE222"/>
    </row>
    <row r="223" spans="1:121" x14ac:dyDescent="0.25">
      <c r="B223" s="113" t="s">
        <v>1301</v>
      </c>
      <c r="C223" s="263">
        <f>C$4</f>
        <v>42522</v>
      </c>
      <c r="D223" s="263">
        <f t="shared" ref="D223:BO223" si="160">D$4</f>
        <v>42552</v>
      </c>
      <c r="E223" s="263">
        <f t="shared" si="160"/>
        <v>42583</v>
      </c>
      <c r="F223" s="263">
        <f t="shared" si="160"/>
        <v>42614</v>
      </c>
      <c r="G223" s="263">
        <f t="shared" si="160"/>
        <v>42644</v>
      </c>
      <c r="H223" s="263">
        <f t="shared" si="160"/>
        <v>42675</v>
      </c>
      <c r="I223" s="263">
        <f t="shared" si="160"/>
        <v>42705</v>
      </c>
      <c r="J223" s="263">
        <f t="shared" si="160"/>
        <v>42736</v>
      </c>
      <c r="K223" s="263">
        <f t="shared" si="160"/>
        <v>42767</v>
      </c>
      <c r="L223" s="263">
        <f t="shared" si="160"/>
        <v>42795</v>
      </c>
      <c r="M223" s="263">
        <f t="shared" si="160"/>
        <v>42826</v>
      </c>
      <c r="N223" s="263">
        <f t="shared" si="160"/>
        <v>42856</v>
      </c>
      <c r="O223" s="263">
        <f t="shared" si="160"/>
        <v>42887</v>
      </c>
      <c r="P223" s="263">
        <f t="shared" si="160"/>
        <v>42917</v>
      </c>
      <c r="Q223" s="263">
        <f t="shared" si="160"/>
        <v>42948</v>
      </c>
      <c r="R223" s="263">
        <f t="shared" si="160"/>
        <v>42979</v>
      </c>
      <c r="S223" s="263">
        <f t="shared" si="160"/>
        <v>43009</v>
      </c>
      <c r="T223" s="263">
        <f t="shared" si="160"/>
        <v>43040</v>
      </c>
      <c r="U223" s="263">
        <f t="shared" si="160"/>
        <v>43070</v>
      </c>
      <c r="V223" s="263">
        <f t="shared" si="160"/>
        <v>43101</v>
      </c>
      <c r="W223" s="263">
        <f t="shared" si="160"/>
        <v>43132</v>
      </c>
      <c r="X223" s="263">
        <f t="shared" si="160"/>
        <v>43160</v>
      </c>
      <c r="Y223" s="263">
        <f t="shared" si="160"/>
        <v>43191</v>
      </c>
      <c r="Z223" s="263">
        <f t="shared" si="160"/>
        <v>43221</v>
      </c>
      <c r="AA223" s="263">
        <f t="shared" si="160"/>
        <v>43252</v>
      </c>
      <c r="AB223" s="263">
        <f t="shared" si="160"/>
        <v>43283</v>
      </c>
      <c r="AC223" s="263">
        <f t="shared" si="160"/>
        <v>43314</v>
      </c>
      <c r="AD223" s="263">
        <f t="shared" si="160"/>
        <v>43345</v>
      </c>
      <c r="AE223" s="263">
        <f t="shared" si="160"/>
        <v>43376</v>
      </c>
      <c r="AF223" s="263">
        <f t="shared" si="160"/>
        <v>43407</v>
      </c>
      <c r="AG223" s="263">
        <f t="shared" si="160"/>
        <v>43437</v>
      </c>
      <c r="AH223" s="263">
        <f t="shared" si="160"/>
        <v>43468</v>
      </c>
      <c r="AI223" s="263">
        <f t="shared" si="160"/>
        <v>43499</v>
      </c>
      <c r="AJ223" s="263">
        <f t="shared" si="160"/>
        <v>43527</v>
      </c>
      <c r="AK223" s="263">
        <f t="shared" si="160"/>
        <v>43558</v>
      </c>
      <c r="AL223" s="263">
        <f t="shared" si="160"/>
        <v>43587</v>
      </c>
      <c r="AM223" s="263">
        <f t="shared" si="160"/>
        <v>43618</v>
      </c>
      <c r="AN223" s="263">
        <f t="shared" si="160"/>
        <v>43647</v>
      </c>
      <c r="AO223" s="263">
        <f t="shared" si="160"/>
        <v>43678</v>
      </c>
      <c r="AP223" s="263">
        <f t="shared" si="160"/>
        <v>43709</v>
      </c>
      <c r="AQ223" s="263">
        <f t="shared" si="160"/>
        <v>43739</v>
      </c>
      <c r="AR223" s="263">
        <f t="shared" si="160"/>
        <v>43770</v>
      </c>
      <c r="AS223" s="263">
        <f t="shared" si="160"/>
        <v>43800</v>
      </c>
      <c r="AT223" s="263">
        <f t="shared" si="160"/>
        <v>43831</v>
      </c>
      <c r="AU223" s="263">
        <f t="shared" si="160"/>
        <v>43862</v>
      </c>
      <c r="AV223" s="263">
        <f t="shared" si="160"/>
        <v>43891</v>
      </c>
      <c r="AW223" s="263">
        <f t="shared" si="160"/>
        <v>43922</v>
      </c>
      <c r="AX223" s="263">
        <f t="shared" si="160"/>
        <v>43952</v>
      </c>
      <c r="AY223" s="263">
        <f t="shared" si="160"/>
        <v>43983</v>
      </c>
      <c r="AZ223" s="263">
        <f t="shared" si="160"/>
        <v>44013</v>
      </c>
      <c r="BA223" s="263">
        <f t="shared" si="160"/>
        <v>44044</v>
      </c>
      <c r="BB223" s="263">
        <f t="shared" si="160"/>
        <v>44075</v>
      </c>
      <c r="BC223" s="263">
        <f t="shared" si="160"/>
        <v>44105</v>
      </c>
      <c r="BD223" s="263">
        <f t="shared" si="160"/>
        <v>44136</v>
      </c>
      <c r="BE223" s="263">
        <f t="shared" si="160"/>
        <v>44166</v>
      </c>
      <c r="BF223" s="263">
        <f t="shared" si="160"/>
        <v>44197</v>
      </c>
      <c r="BG223" s="263">
        <f t="shared" si="160"/>
        <v>44228</v>
      </c>
      <c r="BH223" s="263">
        <f t="shared" si="160"/>
        <v>44256</v>
      </c>
      <c r="BI223" s="263">
        <f t="shared" si="160"/>
        <v>44287</v>
      </c>
      <c r="BJ223" s="263">
        <f t="shared" si="160"/>
        <v>44317</v>
      </c>
      <c r="BK223" s="263">
        <f t="shared" si="160"/>
        <v>44348</v>
      </c>
      <c r="BL223" s="263">
        <f t="shared" si="160"/>
        <v>44378</v>
      </c>
      <c r="BM223" s="263">
        <f t="shared" si="160"/>
        <v>44409</v>
      </c>
      <c r="BN223" s="263">
        <f t="shared" si="160"/>
        <v>44440</v>
      </c>
      <c r="BO223" s="263">
        <f t="shared" si="160"/>
        <v>44470</v>
      </c>
      <c r="BP223" s="263">
        <f t="shared" ref="BP223:DM223" si="161">BP$4</f>
        <v>44501</v>
      </c>
      <c r="BQ223" s="263">
        <f t="shared" si="161"/>
        <v>44531</v>
      </c>
      <c r="BR223" s="263">
        <f t="shared" si="161"/>
        <v>44562</v>
      </c>
      <c r="BS223" s="263">
        <f t="shared" si="161"/>
        <v>44593</v>
      </c>
      <c r="BT223" s="263">
        <f t="shared" si="161"/>
        <v>44622</v>
      </c>
      <c r="BU223" s="263">
        <f t="shared" si="161"/>
        <v>44654</v>
      </c>
      <c r="BV223" s="263">
        <f t="shared" si="161"/>
        <v>44685</v>
      </c>
      <c r="BW223" s="263">
        <f t="shared" si="161"/>
        <v>44716</v>
      </c>
      <c r="BX223" s="263">
        <f t="shared" si="161"/>
        <v>44746</v>
      </c>
      <c r="BY223" s="263">
        <f t="shared" si="161"/>
        <v>44774</v>
      </c>
      <c r="BZ223" s="263">
        <f t="shared" si="161"/>
        <v>44805</v>
      </c>
      <c r="CA223" s="263">
        <f t="shared" si="161"/>
        <v>44835</v>
      </c>
      <c r="CB223" s="263">
        <f t="shared" si="161"/>
        <v>44866</v>
      </c>
      <c r="CC223" s="263">
        <f t="shared" si="161"/>
        <v>44896</v>
      </c>
      <c r="CD223" s="263">
        <f t="shared" si="161"/>
        <v>44927</v>
      </c>
      <c r="CE223" s="263">
        <f t="shared" si="161"/>
        <v>44958</v>
      </c>
      <c r="CF223" s="263">
        <f t="shared" si="161"/>
        <v>44986</v>
      </c>
      <c r="CG223" s="263">
        <f t="shared" si="161"/>
        <v>45017</v>
      </c>
      <c r="CH223" s="263">
        <f t="shared" si="161"/>
        <v>45047</v>
      </c>
      <c r="CI223" s="263">
        <f t="shared" si="161"/>
        <v>45078</v>
      </c>
      <c r="CJ223" s="263">
        <f t="shared" si="161"/>
        <v>45108</v>
      </c>
      <c r="CK223" s="263">
        <f t="shared" si="161"/>
        <v>45139</v>
      </c>
      <c r="CL223" s="263">
        <f t="shared" si="161"/>
        <v>45170</v>
      </c>
      <c r="CM223" s="263">
        <f t="shared" si="161"/>
        <v>45200</v>
      </c>
      <c r="CN223" s="263">
        <f t="shared" si="161"/>
        <v>45231</v>
      </c>
      <c r="CO223" s="263">
        <f t="shared" si="161"/>
        <v>45261</v>
      </c>
      <c r="CP223" s="263">
        <f t="shared" si="161"/>
        <v>45292</v>
      </c>
      <c r="CQ223" s="263">
        <f t="shared" si="161"/>
        <v>45323</v>
      </c>
      <c r="CR223" s="263">
        <f t="shared" si="161"/>
        <v>45352</v>
      </c>
      <c r="CS223" s="263">
        <f t="shared" si="161"/>
        <v>45383</v>
      </c>
      <c r="CT223" s="263">
        <f t="shared" si="161"/>
        <v>45413</v>
      </c>
      <c r="CU223" s="263">
        <f t="shared" si="161"/>
        <v>45444</v>
      </c>
      <c r="CV223" s="263">
        <f t="shared" si="161"/>
        <v>45474</v>
      </c>
      <c r="CW223" s="263">
        <f t="shared" si="161"/>
        <v>45505</v>
      </c>
      <c r="CX223" s="263">
        <f t="shared" si="161"/>
        <v>45536</v>
      </c>
      <c r="CY223" s="263">
        <f t="shared" si="161"/>
        <v>45566</v>
      </c>
      <c r="CZ223" s="263">
        <f t="shared" si="161"/>
        <v>45597</v>
      </c>
      <c r="DA223" s="263">
        <f t="shared" si="161"/>
        <v>45627</v>
      </c>
      <c r="DB223" s="263">
        <f t="shared" si="161"/>
        <v>45658</v>
      </c>
      <c r="DC223" s="263">
        <f t="shared" si="161"/>
        <v>45689</v>
      </c>
      <c r="DD223" s="263">
        <f t="shared" si="161"/>
        <v>45717</v>
      </c>
      <c r="DE223" s="263">
        <f t="shared" si="161"/>
        <v>45748</v>
      </c>
      <c r="DF223" s="263">
        <f t="shared" si="161"/>
        <v>45778</v>
      </c>
      <c r="DG223" s="263">
        <f t="shared" si="161"/>
        <v>45809</v>
      </c>
      <c r="DH223" s="263">
        <v>45839</v>
      </c>
      <c r="DI223" s="263">
        <f t="shared" si="161"/>
        <v>45870</v>
      </c>
      <c r="DJ223" s="263">
        <f t="shared" si="161"/>
        <v>45901</v>
      </c>
      <c r="DK223" s="263">
        <f t="shared" si="161"/>
        <v>45931</v>
      </c>
      <c r="DL223" s="263">
        <f t="shared" si="161"/>
        <v>45962</v>
      </c>
      <c r="DM223" s="263">
        <f t="shared" si="161"/>
        <v>45992</v>
      </c>
      <c r="DN223"/>
      <c r="DO223"/>
      <c r="DP223"/>
      <c r="DQ223"/>
    </row>
    <row r="224" spans="1:121" x14ac:dyDescent="0.25">
      <c r="B224" s="117" t="s">
        <v>542</v>
      </c>
      <c r="C224" s="352" t="s">
        <v>160</v>
      </c>
      <c r="D224" s="352" t="s">
        <v>160</v>
      </c>
      <c r="E224" s="352" t="s">
        <v>160</v>
      </c>
      <c r="F224" s="352" t="s">
        <v>160</v>
      </c>
      <c r="G224" s="352" t="s">
        <v>160</v>
      </c>
      <c r="H224" s="352" t="s">
        <v>160</v>
      </c>
      <c r="I224" s="352" t="s">
        <v>160</v>
      </c>
      <c r="J224" s="352" t="s">
        <v>160</v>
      </c>
      <c r="K224" s="352" t="s">
        <v>160</v>
      </c>
      <c r="L224" s="352" t="s">
        <v>160</v>
      </c>
      <c r="M224" s="352" t="s">
        <v>160</v>
      </c>
      <c r="N224" s="352" t="s">
        <v>160</v>
      </c>
      <c r="O224" s="352" t="s">
        <v>160</v>
      </c>
      <c r="P224" s="352" t="s">
        <v>160</v>
      </c>
      <c r="Q224" s="352" t="s">
        <v>160</v>
      </c>
      <c r="R224" s="352" t="s">
        <v>160</v>
      </c>
      <c r="S224" s="352" t="s">
        <v>160</v>
      </c>
      <c r="T224" s="352" t="s">
        <v>160</v>
      </c>
      <c r="U224" s="590" t="s">
        <v>160</v>
      </c>
      <c r="V224" s="590" t="s">
        <v>160</v>
      </c>
      <c r="W224" s="590" t="s">
        <v>160</v>
      </c>
      <c r="X224" s="590" t="s">
        <v>160</v>
      </c>
      <c r="Y224" s="590" t="s">
        <v>160</v>
      </c>
      <c r="Z224" s="590" t="s">
        <v>160</v>
      </c>
      <c r="AA224" s="590" t="s">
        <v>160</v>
      </c>
      <c r="AB224" s="590" t="s">
        <v>160</v>
      </c>
      <c r="AC224" s="590" t="s">
        <v>160</v>
      </c>
      <c r="AD224" s="590" t="s">
        <v>160</v>
      </c>
      <c r="AE224" s="590" t="s">
        <v>160</v>
      </c>
      <c r="AF224" s="590" t="s">
        <v>160</v>
      </c>
      <c r="AG224" s="590" t="s">
        <v>160</v>
      </c>
      <c r="AH224" s="590" t="s">
        <v>160</v>
      </c>
      <c r="AI224" s="590" t="s">
        <v>160</v>
      </c>
      <c r="AJ224" s="590" t="s">
        <v>160</v>
      </c>
      <c r="AK224" s="590" t="s">
        <v>160</v>
      </c>
      <c r="AL224" s="590" t="s">
        <v>160</v>
      </c>
      <c r="AM224" s="590" t="s">
        <v>160</v>
      </c>
      <c r="AN224" s="590" t="s">
        <v>160</v>
      </c>
      <c r="AO224" s="590" t="s">
        <v>160</v>
      </c>
      <c r="AP224" s="590" t="s">
        <v>160</v>
      </c>
      <c r="AQ224" s="590" t="s">
        <v>160</v>
      </c>
      <c r="AR224" s="590" t="s">
        <v>160</v>
      </c>
      <c r="AS224" s="590" t="s">
        <v>160</v>
      </c>
      <c r="AT224" s="590" t="s">
        <v>160</v>
      </c>
      <c r="AU224" s="590" t="s">
        <v>160</v>
      </c>
      <c r="AV224" s="590" t="s">
        <v>160</v>
      </c>
      <c r="AW224" s="1000" t="s">
        <v>160</v>
      </c>
      <c r="AX224" s="590" t="s">
        <v>160</v>
      </c>
      <c r="AY224" s="590" t="s">
        <v>160</v>
      </c>
      <c r="AZ224" s="590" t="s">
        <v>160</v>
      </c>
      <c r="BA224" s="590" t="s">
        <v>160</v>
      </c>
      <c r="BB224" s="590" t="s">
        <v>160</v>
      </c>
      <c r="BC224" s="590" t="s">
        <v>160</v>
      </c>
      <c r="BD224" s="590" t="s">
        <v>160</v>
      </c>
      <c r="BE224" s="590" t="s">
        <v>160</v>
      </c>
      <c r="BF224" s="590" t="s">
        <v>160</v>
      </c>
      <c r="BG224" s="590" t="s">
        <v>160</v>
      </c>
      <c r="BH224" s="590" t="s">
        <v>160</v>
      </c>
      <c r="BI224" s="590" t="s">
        <v>160</v>
      </c>
      <c r="BJ224" s="590" t="s">
        <v>160</v>
      </c>
      <c r="BK224" s="590" t="s">
        <v>160</v>
      </c>
      <c r="BL224" s="590" t="s">
        <v>160</v>
      </c>
      <c r="BM224" s="590" t="s">
        <v>160</v>
      </c>
      <c r="BN224" s="590" t="s">
        <v>160</v>
      </c>
      <c r="BO224" s="590" t="s">
        <v>160</v>
      </c>
      <c r="BP224" s="590" t="s">
        <v>160</v>
      </c>
      <c r="BQ224" s="590" t="s">
        <v>160</v>
      </c>
      <c r="BR224" s="590" t="s">
        <v>160</v>
      </c>
      <c r="BS224" s="590" t="s">
        <v>160</v>
      </c>
      <c r="BT224" s="590" t="s">
        <v>160</v>
      </c>
      <c r="BU224" s="590" t="s">
        <v>160</v>
      </c>
      <c r="BV224" s="590" t="s">
        <v>160</v>
      </c>
      <c r="BW224" s="590" t="s">
        <v>160</v>
      </c>
      <c r="BX224" s="590" t="s">
        <v>160</v>
      </c>
      <c r="BY224" s="590" t="s">
        <v>160</v>
      </c>
      <c r="BZ224" s="590" t="s">
        <v>160</v>
      </c>
      <c r="CA224" s="590" t="s">
        <v>160</v>
      </c>
      <c r="CB224" s="590" t="s">
        <v>160</v>
      </c>
      <c r="CC224" s="590" t="s">
        <v>160</v>
      </c>
      <c r="CD224" s="590" t="s">
        <v>160</v>
      </c>
      <c r="CE224" s="590" t="s">
        <v>160</v>
      </c>
      <c r="CF224" s="590" t="s">
        <v>160</v>
      </c>
      <c r="CG224" s="590" t="s">
        <v>160</v>
      </c>
      <c r="CH224" s="590" t="s">
        <v>160</v>
      </c>
      <c r="CI224" s="590" t="s">
        <v>160</v>
      </c>
      <c r="CJ224" s="590" t="s">
        <v>160</v>
      </c>
      <c r="CK224" s="590" t="s">
        <v>160</v>
      </c>
      <c r="CL224" s="590" t="s">
        <v>160</v>
      </c>
      <c r="CM224" s="590" t="s">
        <v>160</v>
      </c>
      <c r="CN224" s="590" t="s">
        <v>160</v>
      </c>
      <c r="CO224" s="590" t="s">
        <v>160</v>
      </c>
      <c r="CP224" s="590" t="s">
        <v>160</v>
      </c>
      <c r="CQ224" s="590" t="s">
        <v>160</v>
      </c>
      <c r="CR224" s="590" t="s">
        <v>160</v>
      </c>
      <c r="CS224" s="590" t="s">
        <v>160</v>
      </c>
      <c r="CT224" s="590" t="s">
        <v>160</v>
      </c>
      <c r="CU224" s="590" t="s">
        <v>160</v>
      </c>
      <c r="CV224" s="590" t="s">
        <v>160</v>
      </c>
      <c r="CW224" s="590" t="s">
        <v>160</v>
      </c>
      <c r="CX224" s="590" t="s">
        <v>160</v>
      </c>
      <c r="CY224" s="590" t="s">
        <v>160</v>
      </c>
      <c r="CZ224" s="590" t="s">
        <v>160</v>
      </c>
      <c r="DA224" s="590" t="s">
        <v>160</v>
      </c>
      <c r="DB224" s="590" t="s">
        <v>160</v>
      </c>
      <c r="DC224" s="590" t="s">
        <v>160</v>
      </c>
      <c r="DD224" s="590" t="s">
        <v>160</v>
      </c>
      <c r="DE224" s="590" t="s">
        <v>160</v>
      </c>
      <c r="DF224" s="680">
        <v>35.700000000000003</v>
      </c>
      <c r="DG224" s="590">
        <v>35.700000000000003</v>
      </c>
      <c r="DH224" s="590">
        <v>35.700000000000003</v>
      </c>
      <c r="DI224" s="590">
        <v>35.700000000000003</v>
      </c>
      <c r="DJ224" s="590">
        <v>35.700000000000003</v>
      </c>
      <c r="DK224" s="590">
        <v>35.700000000000003</v>
      </c>
      <c r="DL224" s="590">
        <v>35.700000000000003</v>
      </c>
      <c r="DM224" s="590">
        <v>35.700000000000003</v>
      </c>
      <c r="DN224"/>
      <c r="DO224"/>
      <c r="DP224"/>
      <c r="DQ224"/>
    </row>
    <row r="225" spans="1:121" x14ac:dyDescent="0.25">
      <c r="B225" s="117" t="s">
        <v>546</v>
      </c>
      <c r="C225" s="352" t="s">
        <v>160</v>
      </c>
      <c r="D225" s="352" t="s">
        <v>160</v>
      </c>
      <c r="E225" s="352" t="s">
        <v>160</v>
      </c>
      <c r="F225" s="352" t="s">
        <v>160</v>
      </c>
      <c r="G225" s="352" t="s">
        <v>160</v>
      </c>
      <c r="H225" s="352" t="s">
        <v>160</v>
      </c>
      <c r="I225" s="352" t="s">
        <v>160</v>
      </c>
      <c r="J225" s="352" t="s">
        <v>160</v>
      </c>
      <c r="K225" s="352" t="s">
        <v>160</v>
      </c>
      <c r="L225" s="352" t="s">
        <v>160</v>
      </c>
      <c r="M225" s="352" t="s">
        <v>160</v>
      </c>
      <c r="N225" s="352" t="s">
        <v>160</v>
      </c>
      <c r="O225" s="352" t="s">
        <v>160</v>
      </c>
      <c r="P225" s="352" t="s">
        <v>160</v>
      </c>
      <c r="Q225" s="352" t="s">
        <v>160</v>
      </c>
      <c r="R225" s="352" t="s">
        <v>160</v>
      </c>
      <c r="S225" s="352" t="s">
        <v>160</v>
      </c>
      <c r="T225" s="352" t="s">
        <v>160</v>
      </c>
      <c r="U225" s="352" t="s">
        <v>160</v>
      </c>
      <c r="V225" s="352" t="s">
        <v>160</v>
      </c>
      <c r="W225" s="352" t="s">
        <v>160</v>
      </c>
      <c r="X225" s="352" t="s">
        <v>160</v>
      </c>
      <c r="Y225" s="352" t="s">
        <v>160</v>
      </c>
      <c r="Z225" s="590" t="s">
        <v>160</v>
      </c>
      <c r="AA225" s="352" t="s">
        <v>160</v>
      </c>
      <c r="AB225" s="352" t="s">
        <v>160</v>
      </c>
      <c r="AC225" s="352" t="s">
        <v>160</v>
      </c>
      <c r="AD225" s="352" t="s">
        <v>160</v>
      </c>
      <c r="AE225" s="352" t="s">
        <v>160</v>
      </c>
      <c r="AF225" s="352" t="s">
        <v>160</v>
      </c>
      <c r="AG225" s="352" t="s">
        <v>160</v>
      </c>
      <c r="AH225" s="352" t="s">
        <v>160</v>
      </c>
      <c r="AI225" s="352" t="s">
        <v>160</v>
      </c>
      <c r="AJ225" s="352" t="s">
        <v>160</v>
      </c>
      <c r="AK225" s="352" t="s">
        <v>160</v>
      </c>
      <c r="AL225" s="352" t="s">
        <v>160</v>
      </c>
      <c r="AM225" s="352" t="s">
        <v>160</v>
      </c>
      <c r="AN225" s="352" t="s">
        <v>160</v>
      </c>
      <c r="AO225" s="352" t="s">
        <v>160</v>
      </c>
      <c r="AP225" s="352" t="s">
        <v>160</v>
      </c>
      <c r="AQ225" s="352" t="s">
        <v>160</v>
      </c>
      <c r="AR225" s="352" t="s">
        <v>160</v>
      </c>
      <c r="AS225" s="352" t="s">
        <v>160</v>
      </c>
      <c r="AT225" s="352" t="s">
        <v>160</v>
      </c>
      <c r="AU225" s="352" t="s">
        <v>160</v>
      </c>
      <c r="AV225" s="352" t="s">
        <v>160</v>
      </c>
      <c r="AW225" s="1000" t="s">
        <v>160</v>
      </c>
      <c r="AX225" s="590" t="s">
        <v>160</v>
      </c>
      <c r="AY225" s="590" t="s">
        <v>160</v>
      </c>
      <c r="AZ225" s="590" t="s">
        <v>160</v>
      </c>
      <c r="BA225" s="590" t="s">
        <v>160</v>
      </c>
      <c r="BB225" s="590" t="s">
        <v>160</v>
      </c>
      <c r="BC225" s="590" t="s">
        <v>160</v>
      </c>
      <c r="BD225" s="590" t="s">
        <v>160</v>
      </c>
      <c r="BE225" s="590" t="s">
        <v>160</v>
      </c>
      <c r="BF225" s="590" t="s">
        <v>160</v>
      </c>
      <c r="BG225" s="590" t="s">
        <v>160</v>
      </c>
      <c r="BH225" s="590" t="s">
        <v>160</v>
      </c>
      <c r="BI225" s="590" t="s">
        <v>160</v>
      </c>
      <c r="BJ225" s="590" t="s">
        <v>160</v>
      </c>
      <c r="BK225" s="590" t="s">
        <v>160</v>
      </c>
      <c r="BL225" s="590" t="s">
        <v>160</v>
      </c>
      <c r="BM225" s="590" t="s">
        <v>160</v>
      </c>
      <c r="BN225" s="590" t="s">
        <v>160</v>
      </c>
      <c r="BO225" s="590" t="s">
        <v>160</v>
      </c>
      <c r="BP225" s="590" t="s">
        <v>160</v>
      </c>
      <c r="BQ225" s="590" t="s">
        <v>160</v>
      </c>
      <c r="BR225" s="590" t="s">
        <v>160</v>
      </c>
      <c r="BS225" s="590" t="s">
        <v>160</v>
      </c>
      <c r="BT225" s="590" t="s">
        <v>160</v>
      </c>
      <c r="BU225" s="590" t="s">
        <v>160</v>
      </c>
      <c r="BV225" s="590" t="s">
        <v>160</v>
      </c>
      <c r="BW225" s="590" t="s">
        <v>160</v>
      </c>
      <c r="BX225" s="590" t="s">
        <v>160</v>
      </c>
      <c r="BY225" s="590" t="s">
        <v>160</v>
      </c>
      <c r="BZ225" s="590" t="s">
        <v>160</v>
      </c>
      <c r="CA225" s="590" t="s">
        <v>160</v>
      </c>
      <c r="CB225" s="590" t="s">
        <v>160</v>
      </c>
      <c r="CC225" s="590" t="s">
        <v>160</v>
      </c>
      <c r="CD225" s="590" t="s">
        <v>160</v>
      </c>
      <c r="CE225" s="590" t="s">
        <v>160</v>
      </c>
      <c r="CF225" s="590" t="s">
        <v>160</v>
      </c>
      <c r="CG225" s="590" t="s">
        <v>160</v>
      </c>
      <c r="CH225" s="590" t="s">
        <v>160</v>
      </c>
      <c r="CI225" s="590" t="s">
        <v>160</v>
      </c>
      <c r="CJ225" s="590" t="s">
        <v>160</v>
      </c>
      <c r="CK225" s="590" t="s">
        <v>160</v>
      </c>
      <c r="CL225" s="590" t="s">
        <v>160</v>
      </c>
      <c r="CM225" s="590" t="s">
        <v>160</v>
      </c>
      <c r="CN225" s="590" t="s">
        <v>160</v>
      </c>
      <c r="CO225" s="590" t="s">
        <v>160</v>
      </c>
      <c r="CP225" s="590" t="s">
        <v>160</v>
      </c>
      <c r="CQ225" s="590" t="s">
        <v>160</v>
      </c>
      <c r="CR225" s="590" t="s">
        <v>160</v>
      </c>
      <c r="CS225" s="590" t="s">
        <v>160</v>
      </c>
      <c r="CT225" s="590" t="s">
        <v>160</v>
      </c>
      <c r="CU225" s="590" t="s">
        <v>160</v>
      </c>
      <c r="CV225" s="590" t="s">
        <v>160</v>
      </c>
      <c r="CW225" s="590" t="s">
        <v>160</v>
      </c>
      <c r="CX225" s="590" t="s">
        <v>160</v>
      </c>
      <c r="CY225" s="590" t="s">
        <v>160</v>
      </c>
      <c r="CZ225" s="590" t="s">
        <v>160</v>
      </c>
      <c r="DA225" s="590" t="s">
        <v>160</v>
      </c>
      <c r="DB225" s="590" t="s">
        <v>160</v>
      </c>
      <c r="DC225" s="590" t="s">
        <v>160</v>
      </c>
      <c r="DD225" s="590" t="s">
        <v>160</v>
      </c>
      <c r="DE225" s="590" t="s">
        <v>160</v>
      </c>
      <c r="DF225" s="590" t="s">
        <v>160</v>
      </c>
      <c r="DG225" s="590" t="s">
        <v>160</v>
      </c>
      <c r="DH225" s="590" t="s">
        <v>160</v>
      </c>
      <c r="DI225" s="590" t="s">
        <v>160</v>
      </c>
      <c r="DJ225" s="590" t="s">
        <v>160</v>
      </c>
      <c r="DK225" s="590" t="s">
        <v>160</v>
      </c>
      <c r="DL225" s="590" t="s">
        <v>160</v>
      </c>
      <c r="DM225" s="590" t="s">
        <v>160</v>
      </c>
      <c r="DN225"/>
      <c r="DO225"/>
      <c r="DP225"/>
      <c r="DQ225"/>
    </row>
    <row r="226" spans="1:121" x14ac:dyDescent="0.25">
      <c r="B226" s="117" t="s">
        <v>547</v>
      </c>
      <c r="C226" s="352" t="s">
        <v>160</v>
      </c>
      <c r="D226" s="352" t="s">
        <v>160</v>
      </c>
      <c r="E226" s="352" t="s">
        <v>160</v>
      </c>
      <c r="F226" s="352" t="s">
        <v>160</v>
      </c>
      <c r="G226" s="352" t="s">
        <v>160</v>
      </c>
      <c r="H226" s="352" t="s">
        <v>160</v>
      </c>
      <c r="I226" s="352" t="s">
        <v>160</v>
      </c>
      <c r="J226" s="352" t="s">
        <v>160</v>
      </c>
      <c r="K226" s="352" t="s">
        <v>160</v>
      </c>
      <c r="L226" s="352" t="s">
        <v>160</v>
      </c>
      <c r="M226" s="352" t="s">
        <v>160</v>
      </c>
      <c r="N226" s="352" t="s">
        <v>160</v>
      </c>
      <c r="O226" s="352" t="s">
        <v>160</v>
      </c>
      <c r="P226" s="352" t="s">
        <v>160</v>
      </c>
      <c r="Q226" s="352" t="s">
        <v>160</v>
      </c>
      <c r="R226" s="352" t="s">
        <v>160</v>
      </c>
      <c r="S226" s="352" t="s">
        <v>160</v>
      </c>
      <c r="T226" s="352" t="s">
        <v>160</v>
      </c>
      <c r="U226" s="352" t="s">
        <v>160</v>
      </c>
      <c r="V226" s="590" t="s">
        <v>160</v>
      </c>
      <c r="W226" s="590" t="s">
        <v>160</v>
      </c>
      <c r="X226" s="590" t="s">
        <v>160</v>
      </c>
      <c r="Y226" s="590" t="s">
        <v>160</v>
      </c>
      <c r="Z226" s="590" t="s">
        <v>160</v>
      </c>
      <c r="AA226" s="590" t="s">
        <v>160</v>
      </c>
      <c r="AB226" s="590" t="s">
        <v>160</v>
      </c>
      <c r="AC226" s="590" t="s">
        <v>160</v>
      </c>
      <c r="AD226" s="590" t="s">
        <v>160</v>
      </c>
      <c r="AE226" s="590" t="s">
        <v>160</v>
      </c>
      <c r="AF226" s="590" t="s">
        <v>160</v>
      </c>
      <c r="AG226" s="590" t="s">
        <v>160</v>
      </c>
      <c r="AH226" s="590" t="s">
        <v>160</v>
      </c>
      <c r="AI226" s="590" t="s">
        <v>160</v>
      </c>
      <c r="AJ226" s="590" t="s">
        <v>160</v>
      </c>
      <c r="AK226" s="590" t="s">
        <v>160</v>
      </c>
      <c r="AL226" s="590" t="s">
        <v>160</v>
      </c>
      <c r="AM226" s="590" t="s">
        <v>160</v>
      </c>
      <c r="AN226" s="590" t="s">
        <v>160</v>
      </c>
      <c r="AO226" s="590" t="s">
        <v>160</v>
      </c>
      <c r="AP226" s="590" t="s">
        <v>160</v>
      </c>
      <c r="AQ226" s="590" t="s">
        <v>160</v>
      </c>
      <c r="AR226" s="590" t="s">
        <v>160</v>
      </c>
      <c r="AS226" s="590" t="s">
        <v>160</v>
      </c>
      <c r="AT226" s="590" t="s">
        <v>160</v>
      </c>
      <c r="AU226" s="590" t="s">
        <v>160</v>
      </c>
      <c r="AV226" s="590" t="s">
        <v>160</v>
      </c>
      <c r="AW226" s="1000" t="s">
        <v>160</v>
      </c>
      <c r="AX226" s="590" t="s">
        <v>160</v>
      </c>
      <c r="AY226" s="590" t="s">
        <v>160</v>
      </c>
      <c r="AZ226" s="590" t="s">
        <v>160</v>
      </c>
      <c r="BA226" s="590" t="s">
        <v>160</v>
      </c>
      <c r="BB226" s="590" t="s">
        <v>160</v>
      </c>
      <c r="BC226" s="590" t="s">
        <v>160</v>
      </c>
      <c r="BD226" s="590" t="s">
        <v>160</v>
      </c>
      <c r="BE226" s="590" t="s">
        <v>160</v>
      </c>
      <c r="BF226" s="590" t="s">
        <v>160</v>
      </c>
      <c r="BG226" s="590" t="s">
        <v>160</v>
      </c>
      <c r="BH226" s="590" t="s">
        <v>160</v>
      </c>
      <c r="BI226" s="590" t="s">
        <v>160</v>
      </c>
      <c r="BJ226" s="590" t="s">
        <v>160</v>
      </c>
      <c r="BK226" s="590" t="s">
        <v>160</v>
      </c>
      <c r="BL226" s="590" t="s">
        <v>160</v>
      </c>
      <c r="BM226" s="590" t="s">
        <v>160</v>
      </c>
      <c r="BN226" s="590" t="s">
        <v>160</v>
      </c>
      <c r="BO226" s="590" t="s">
        <v>160</v>
      </c>
      <c r="BP226" s="590" t="s">
        <v>160</v>
      </c>
      <c r="BQ226" s="590" t="s">
        <v>160</v>
      </c>
      <c r="BR226" s="590" t="s">
        <v>160</v>
      </c>
      <c r="BS226" s="590" t="s">
        <v>160</v>
      </c>
      <c r="BT226" s="590" t="s">
        <v>160</v>
      </c>
      <c r="BU226" s="590" t="s">
        <v>160</v>
      </c>
      <c r="BV226" s="590" t="s">
        <v>160</v>
      </c>
      <c r="BW226" s="590" t="s">
        <v>160</v>
      </c>
      <c r="BX226" s="590" t="s">
        <v>160</v>
      </c>
      <c r="BY226" s="590" t="s">
        <v>160</v>
      </c>
      <c r="BZ226" s="590" t="s">
        <v>160</v>
      </c>
      <c r="CA226" s="590" t="s">
        <v>160</v>
      </c>
      <c r="CB226" s="590" t="s">
        <v>160</v>
      </c>
      <c r="CC226" s="590" t="s">
        <v>160</v>
      </c>
      <c r="CD226" s="590" t="s">
        <v>160</v>
      </c>
      <c r="CE226" s="590" t="s">
        <v>160</v>
      </c>
      <c r="CF226" s="590" t="s">
        <v>160</v>
      </c>
      <c r="CG226" s="590" t="s">
        <v>160</v>
      </c>
      <c r="CH226" s="590" t="s">
        <v>160</v>
      </c>
      <c r="CI226" s="590" t="s">
        <v>160</v>
      </c>
      <c r="CJ226" s="590" t="s">
        <v>160</v>
      </c>
      <c r="CK226" s="590" t="s">
        <v>160</v>
      </c>
      <c r="CL226" s="590" t="s">
        <v>160</v>
      </c>
      <c r="CM226" s="590" t="s">
        <v>160</v>
      </c>
      <c r="CN226" s="590" t="s">
        <v>160</v>
      </c>
      <c r="CO226" s="590" t="s">
        <v>160</v>
      </c>
      <c r="CP226" s="590" t="s">
        <v>160</v>
      </c>
      <c r="CQ226" s="590" t="s">
        <v>160</v>
      </c>
      <c r="CR226" s="590" t="s">
        <v>160</v>
      </c>
      <c r="CS226" s="590" t="s">
        <v>160</v>
      </c>
      <c r="CT226" s="590" t="s">
        <v>160</v>
      </c>
      <c r="CU226" s="590" t="s">
        <v>160</v>
      </c>
      <c r="CV226" s="590" t="s">
        <v>160</v>
      </c>
      <c r="CW226" s="590" t="s">
        <v>160</v>
      </c>
      <c r="CX226" s="590" t="s">
        <v>160</v>
      </c>
      <c r="CY226" s="590">
        <v>42</v>
      </c>
      <c r="CZ226" s="590">
        <v>42</v>
      </c>
      <c r="DA226" s="590">
        <v>42</v>
      </c>
      <c r="DB226" s="680">
        <v>44</v>
      </c>
      <c r="DC226" s="590">
        <v>44</v>
      </c>
      <c r="DD226" s="590">
        <v>44</v>
      </c>
      <c r="DE226" s="590">
        <v>44</v>
      </c>
      <c r="DF226" s="590">
        <v>44</v>
      </c>
      <c r="DG226" s="590">
        <v>44</v>
      </c>
      <c r="DH226" s="590">
        <v>44</v>
      </c>
      <c r="DI226" s="590">
        <v>44</v>
      </c>
      <c r="DJ226" s="590">
        <v>44</v>
      </c>
      <c r="DK226" s="590">
        <v>44</v>
      </c>
      <c r="DL226" s="590">
        <v>44</v>
      </c>
      <c r="DM226" s="590">
        <v>44</v>
      </c>
      <c r="DN226"/>
      <c r="DO226"/>
      <c r="DP226"/>
      <c r="DQ226"/>
    </row>
    <row r="227" spans="1:121" customFormat="1" ht="12.75" x14ac:dyDescent="0.2">
      <c r="B227" s="278" t="s">
        <v>557</v>
      </c>
      <c r="C227" s="279" t="str">
        <f t="shared" ref="C227:BN227" si="162">IFERROR(AVERAGE(C224:C226),"-")</f>
        <v>-</v>
      </c>
      <c r="D227" s="279" t="str">
        <f t="shared" si="162"/>
        <v>-</v>
      </c>
      <c r="E227" s="279" t="str">
        <f t="shared" si="162"/>
        <v>-</v>
      </c>
      <c r="F227" s="279" t="str">
        <f t="shared" si="162"/>
        <v>-</v>
      </c>
      <c r="G227" s="279" t="str">
        <f t="shared" si="162"/>
        <v>-</v>
      </c>
      <c r="H227" s="279" t="str">
        <f t="shared" si="162"/>
        <v>-</v>
      </c>
      <c r="I227" s="279" t="str">
        <f t="shared" si="162"/>
        <v>-</v>
      </c>
      <c r="J227" s="279" t="str">
        <f t="shared" si="162"/>
        <v>-</v>
      </c>
      <c r="K227" s="279" t="str">
        <f t="shared" si="162"/>
        <v>-</v>
      </c>
      <c r="L227" s="279" t="str">
        <f t="shared" si="162"/>
        <v>-</v>
      </c>
      <c r="M227" s="279" t="str">
        <f t="shared" si="162"/>
        <v>-</v>
      </c>
      <c r="N227" s="279" t="str">
        <f t="shared" si="162"/>
        <v>-</v>
      </c>
      <c r="O227" s="279" t="str">
        <f t="shared" si="162"/>
        <v>-</v>
      </c>
      <c r="P227" s="279" t="str">
        <f t="shared" si="162"/>
        <v>-</v>
      </c>
      <c r="Q227" s="279" t="str">
        <f t="shared" si="162"/>
        <v>-</v>
      </c>
      <c r="R227" s="279" t="str">
        <f t="shared" si="162"/>
        <v>-</v>
      </c>
      <c r="S227" s="279" t="str">
        <f t="shared" si="162"/>
        <v>-</v>
      </c>
      <c r="T227" s="279" t="str">
        <f t="shared" si="162"/>
        <v>-</v>
      </c>
      <c r="U227" s="279" t="str">
        <f t="shared" si="162"/>
        <v>-</v>
      </c>
      <c r="V227" s="279" t="str">
        <f t="shared" si="162"/>
        <v>-</v>
      </c>
      <c r="W227" s="279" t="str">
        <f t="shared" si="162"/>
        <v>-</v>
      </c>
      <c r="X227" s="279" t="str">
        <f t="shared" si="162"/>
        <v>-</v>
      </c>
      <c r="Y227" s="279" t="str">
        <f t="shared" si="162"/>
        <v>-</v>
      </c>
      <c r="Z227" s="279" t="str">
        <f t="shared" si="162"/>
        <v>-</v>
      </c>
      <c r="AA227" s="279" t="str">
        <f t="shared" si="162"/>
        <v>-</v>
      </c>
      <c r="AB227" s="279" t="str">
        <f t="shared" si="162"/>
        <v>-</v>
      </c>
      <c r="AC227" s="279" t="str">
        <f t="shared" si="162"/>
        <v>-</v>
      </c>
      <c r="AD227" s="279" t="str">
        <f t="shared" si="162"/>
        <v>-</v>
      </c>
      <c r="AE227" s="279" t="str">
        <f t="shared" si="162"/>
        <v>-</v>
      </c>
      <c r="AF227" s="279" t="str">
        <f t="shared" si="162"/>
        <v>-</v>
      </c>
      <c r="AG227" s="279" t="str">
        <f t="shared" si="162"/>
        <v>-</v>
      </c>
      <c r="AH227" s="279" t="str">
        <f t="shared" si="162"/>
        <v>-</v>
      </c>
      <c r="AI227" s="279" t="str">
        <f t="shared" si="162"/>
        <v>-</v>
      </c>
      <c r="AJ227" s="279" t="str">
        <f t="shared" si="162"/>
        <v>-</v>
      </c>
      <c r="AK227" s="279" t="str">
        <f t="shared" si="162"/>
        <v>-</v>
      </c>
      <c r="AL227" s="279" t="str">
        <f t="shared" si="162"/>
        <v>-</v>
      </c>
      <c r="AM227" s="279" t="str">
        <f t="shared" si="162"/>
        <v>-</v>
      </c>
      <c r="AN227" s="279" t="str">
        <f t="shared" si="162"/>
        <v>-</v>
      </c>
      <c r="AO227" s="279" t="str">
        <f t="shared" si="162"/>
        <v>-</v>
      </c>
      <c r="AP227" s="279" t="str">
        <f t="shared" si="162"/>
        <v>-</v>
      </c>
      <c r="AQ227" s="279" t="str">
        <f t="shared" si="162"/>
        <v>-</v>
      </c>
      <c r="AR227" s="279" t="str">
        <f t="shared" si="162"/>
        <v>-</v>
      </c>
      <c r="AS227" s="279" t="str">
        <f t="shared" si="162"/>
        <v>-</v>
      </c>
      <c r="AT227" s="279" t="str">
        <f t="shared" si="162"/>
        <v>-</v>
      </c>
      <c r="AU227" s="279" t="str">
        <f t="shared" si="162"/>
        <v>-</v>
      </c>
      <c r="AV227" s="279" t="str">
        <f t="shared" si="162"/>
        <v>-</v>
      </c>
      <c r="AW227" s="279" t="str">
        <f t="shared" si="162"/>
        <v>-</v>
      </c>
      <c r="AX227" s="279" t="str">
        <f t="shared" si="162"/>
        <v>-</v>
      </c>
      <c r="AY227" s="279" t="str">
        <f t="shared" si="162"/>
        <v>-</v>
      </c>
      <c r="AZ227" s="279" t="str">
        <f t="shared" si="162"/>
        <v>-</v>
      </c>
      <c r="BA227" s="279" t="str">
        <f t="shared" si="162"/>
        <v>-</v>
      </c>
      <c r="BB227" s="279" t="str">
        <f t="shared" si="162"/>
        <v>-</v>
      </c>
      <c r="BC227" s="279" t="str">
        <f t="shared" si="162"/>
        <v>-</v>
      </c>
      <c r="BD227" s="279" t="str">
        <f t="shared" si="162"/>
        <v>-</v>
      </c>
      <c r="BE227" s="279" t="str">
        <f t="shared" si="162"/>
        <v>-</v>
      </c>
      <c r="BF227" s="279" t="str">
        <f t="shared" si="162"/>
        <v>-</v>
      </c>
      <c r="BG227" s="279" t="str">
        <f t="shared" si="162"/>
        <v>-</v>
      </c>
      <c r="BH227" s="279" t="str">
        <f t="shared" si="162"/>
        <v>-</v>
      </c>
      <c r="BI227" s="279" t="str">
        <f t="shared" si="162"/>
        <v>-</v>
      </c>
      <c r="BJ227" s="279" t="str">
        <f t="shared" si="162"/>
        <v>-</v>
      </c>
      <c r="BK227" s="279" t="str">
        <f t="shared" si="162"/>
        <v>-</v>
      </c>
      <c r="BL227" s="279" t="str">
        <f t="shared" si="162"/>
        <v>-</v>
      </c>
      <c r="BM227" s="279" t="str">
        <f t="shared" si="162"/>
        <v>-</v>
      </c>
      <c r="BN227" s="279" t="str">
        <f t="shared" si="162"/>
        <v>-</v>
      </c>
      <c r="BO227" s="279" t="str">
        <f t="shared" ref="BO227:DG227" si="163">IFERROR(AVERAGE(BO224:BO226),"-")</f>
        <v>-</v>
      </c>
      <c r="BP227" s="279" t="str">
        <f t="shared" si="163"/>
        <v>-</v>
      </c>
      <c r="BQ227" s="279" t="str">
        <f t="shared" si="163"/>
        <v>-</v>
      </c>
      <c r="BR227" s="279" t="str">
        <f t="shared" si="163"/>
        <v>-</v>
      </c>
      <c r="BS227" s="279" t="str">
        <f t="shared" si="163"/>
        <v>-</v>
      </c>
      <c r="BT227" s="279" t="str">
        <f t="shared" si="163"/>
        <v>-</v>
      </c>
      <c r="BU227" s="279" t="str">
        <f t="shared" si="163"/>
        <v>-</v>
      </c>
      <c r="BV227" s="279" t="str">
        <f t="shared" si="163"/>
        <v>-</v>
      </c>
      <c r="BW227" s="279" t="str">
        <f t="shared" si="163"/>
        <v>-</v>
      </c>
      <c r="BX227" s="279" t="str">
        <f t="shared" si="163"/>
        <v>-</v>
      </c>
      <c r="BY227" s="279" t="str">
        <f t="shared" si="163"/>
        <v>-</v>
      </c>
      <c r="BZ227" s="798" t="str">
        <f t="shared" si="163"/>
        <v>-</v>
      </c>
      <c r="CA227" s="798" t="str">
        <f t="shared" si="163"/>
        <v>-</v>
      </c>
      <c r="CB227" s="798" t="str">
        <f t="shared" si="163"/>
        <v>-</v>
      </c>
      <c r="CC227" s="798" t="str">
        <f t="shared" si="163"/>
        <v>-</v>
      </c>
      <c r="CD227" s="798" t="str">
        <f t="shared" si="163"/>
        <v>-</v>
      </c>
      <c r="CE227" s="798" t="str">
        <f t="shared" si="163"/>
        <v>-</v>
      </c>
      <c r="CF227" s="798" t="str">
        <f t="shared" si="163"/>
        <v>-</v>
      </c>
      <c r="CG227" s="798" t="str">
        <f t="shared" si="163"/>
        <v>-</v>
      </c>
      <c r="CH227" s="798" t="str">
        <f t="shared" si="163"/>
        <v>-</v>
      </c>
      <c r="CI227" s="798" t="str">
        <f t="shared" si="163"/>
        <v>-</v>
      </c>
      <c r="CJ227" s="798" t="str">
        <f t="shared" si="163"/>
        <v>-</v>
      </c>
      <c r="CK227" s="798" t="str">
        <f t="shared" si="163"/>
        <v>-</v>
      </c>
      <c r="CL227" s="798" t="str">
        <f t="shared" si="163"/>
        <v>-</v>
      </c>
      <c r="CM227" s="798" t="str">
        <f t="shared" si="163"/>
        <v>-</v>
      </c>
      <c r="CN227" s="798" t="str">
        <f t="shared" si="163"/>
        <v>-</v>
      </c>
      <c r="CO227" s="798" t="str">
        <f t="shared" si="163"/>
        <v>-</v>
      </c>
      <c r="CP227" s="798" t="str">
        <f t="shared" si="163"/>
        <v>-</v>
      </c>
      <c r="CQ227" s="798" t="str">
        <f t="shared" si="163"/>
        <v>-</v>
      </c>
      <c r="CR227" s="798" t="str">
        <f t="shared" si="163"/>
        <v>-</v>
      </c>
      <c r="CS227" s="798" t="str">
        <f t="shared" si="163"/>
        <v>-</v>
      </c>
      <c r="CT227" s="798" t="str">
        <f t="shared" si="163"/>
        <v>-</v>
      </c>
      <c r="CU227" s="798" t="str">
        <f t="shared" si="163"/>
        <v>-</v>
      </c>
      <c r="CV227" s="798" t="str">
        <f t="shared" si="163"/>
        <v>-</v>
      </c>
      <c r="CW227" s="798" t="str">
        <f t="shared" si="163"/>
        <v>-</v>
      </c>
      <c r="CX227" s="798" t="str">
        <f t="shared" si="163"/>
        <v>-</v>
      </c>
      <c r="CY227" s="798">
        <f t="shared" si="163"/>
        <v>42</v>
      </c>
      <c r="CZ227" s="798">
        <f t="shared" si="163"/>
        <v>42</v>
      </c>
      <c r="DA227" s="798">
        <f t="shared" si="163"/>
        <v>42</v>
      </c>
      <c r="DB227" s="798">
        <f t="shared" si="163"/>
        <v>44</v>
      </c>
      <c r="DC227" s="798">
        <f t="shared" si="163"/>
        <v>44</v>
      </c>
      <c r="DD227" s="798">
        <f t="shared" si="163"/>
        <v>44</v>
      </c>
      <c r="DE227" s="798">
        <f t="shared" si="163"/>
        <v>44</v>
      </c>
      <c r="DF227" s="798">
        <f t="shared" si="163"/>
        <v>39.85</v>
      </c>
      <c r="DG227" s="798">
        <f t="shared" si="163"/>
        <v>39.85</v>
      </c>
      <c r="DH227" s="798">
        <v>39.85</v>
      </c>
      <c r="DI227" s="798">
        <f t="shared" ref="DI227:DM227" si="164">IFERROR(AVERAGE(DI224:DI226),"-")</f>
        <v>39.85</v>
      </c>
      <c r="DJ227" s="798">
        <f t="shared" si="164"/>
        <v>39.85</v>
      </c>
      <c r="DK227" s="798">
        <f t="shared" si="164"/>
        <v>39.85</v>
      </c>
      <c r="DL227" s="798">
        <f t="shared" si="164"/>
        <v>39.85</v>
      </c>
      <c r="DM227" s="798">
        <f t="shared" si="164"/>
        <v>39.85</v>
      </c>
    </row>
    <row r="228" spans="1:121" x14ac:dyDescent="0.25">
      <c r="X228" s="340"/>
      <c r="Y228" s="340"/>
      <c r="Z228" s="340"/>
      <c r="AA228" s="340"/>
      <c r="AB228" s="340"/>
      <c r="AC228" s="340"/>
      <c r="AD228" s="340"/>
      <c r="AE228" s="340"/>
      <c r="AF228" s="340"/>
      <c r="AG228" s="340"/>
      <c r="AH228" s="340"/>
      <c r="AI228" s="340"/>
      <c r="AJ228" s="340"/>
      <c r="AK228" s="340"/>
      <c r="AL228" s="340"/>
      <c r="AM228" s="340"/>
      <c r="AN228" s="340"/>
      <c r="AO228" s="340"/>
      <c r="AP228" s="340"/>
      <c r="AQ228" s="340"/>
      <c r="AR228" s="340"/>
      <c r="AS228" s="340"/>
      <c r="AT228" s="761"/>
      <c r="CO228"/>
      <c r="CP228"/>
      <c r="CQ228"/>
      <c r="CR228"/>
      <c r="CS228"/>
      <c r="CT228"/>
      <c r="CU228"/>
      <c r="CV228"/>
      <c r="CW228"/>
      <c r="CX228"/>
      <c r="CY228"/>
      <c r="CZ228"/>
      <c r="DA228"/>
      <c r="DB228"/>
      <c r="DC228"/>
      <c r="DD228"/>
      <c r="DE228"/>
    </row>
    <row r="229" spans="1:121" x14ac:dyDescent="0.25">
      <c r="B229" s="113" t="s">
        <v>1143</v>
      </c>
      <c r="C229" s="263">
        <f>C$4</f>
        <v>42522</v>
      </c>
      <c r="D229" s="263">
        <f t="shared" ref="D229:BO229" si="165">D$4</f>
        <v>42552</v>
      </c>
      <c r="E229" s="263">
        <f t="shared" si="165"/>
        <v>42583</v>
      </c>
      <c r="F229" s="263">
        <f t="shared" si="165"/>
        <v>42614</v>
      </c>
      <c r="G229" s="263">
        <f t="shared" si="165"/>
        <v>42644</v>
      </c>
      <c r="H229" s="263">
        <f t="shared" si="165"/>
        <v>42675</v>
      </c>
      <c r="I229" s="263">
        <f t="shared" si="165"/>
        <v>42705</v>
      </c>
      <c r="J229" s="263">
        <f t="shared" si="165"/>
        <v>42736</v>
      </c>
      <c r="K229" s="263">
        <f t="shared" si="165"/>
        <v>42767</v>
      </c>
      <c r="L229" s="263">
        <f t="shared" si="165"/>
        <v>42795</v>
      </c>
      <c r="M229" s="263">
        <f t="shared" si="165"/>
        <v>42826</v>
      </c>
      <c r="N229" s="263">
        <f t="shared" si="165"/>
        <v>42856</v>
      </c>
      <c r="O229" s="263">
        <f t="shared" si="165"/>
        <v>42887</v>
      </c>
      <c r="P229" s="263">
        <f t="shared" si="165"/>
        <v>42917</v>
      </c>
      <c r="Q229" s="263">
        <f t="shared" si="165"/>
        <v>42948</v>
      </c>
      <c r="R229" s="263">
        <f t="shared" si="165"/>
        <v>42979</v>
      </c>
      <c r="S229" s="263">
        <f t="shared" si="165"/>
        <v>43009</v>
      </c>
      <c r="T229" s="263">
        <f t="shared" si="165"/>
        <v>43040</v>
      </c>
      <c r="U229" s="263">
        <f t="shared" si="165"/>
        <v>43070</v>
      </c>
      <c r="V229" s="263">
        <f t="shared" si="165"/>
        <v>43101</v>
      </c>
      <c r="W229" s="263">
        <f t="shared" si="165"/>
        <v>43132</v>
      </c>
      <c r="X229" s="263">
        <f t="shared" si="165"/>
        <v>43160</v>
      </c>
      <c r="Y229" s="263">
        <f t="shared" si="165"/>
        <v>43191</v>
      </c>
      <c r="Z229" s="263">
        <f t="shared" si="165"/>
        <v>43221</v>
      </c>
      <c r="AA229" s="263">
        <f t="shared" si="165"/>
        <v>43252</v>
      </c>
      <c r="AB229" s="263">
        <f t="shared" si="165"/>
        <v>43283</v>
      </c>
      <c r="AC229" s="263">
        <f t="shared" si="165"/>
        <v>43314</v>
      </c>
      <c r="AD229" s="263">
        <f t="shared" si="165"/>
        <v>43345</v>
      </c>
      <c r="AE229" s="263">
        <f t="shared" si="165"/>
        <v>43376</v>
      </c>
      <c r="AF229" s="263">
        <f t="shared" si="165"/>
        <v>43407</v>
      </c>
      <c r="AG229" s="263">
        <f t="shared" si="165"/>
        <v>43437</v>
      </c>
      <c r="AH229" s="263">
        <f t="shared" si="165"/>
        <v>43468</v>
      </c>
      <c r="AI229" s="263">
        <f t="shared" si="165"/>
        <v>43499</v>
      </c>
      <c r="AJ229" s="263">
        <f t="shared" si="165"/>
        <v>43527</v>
      </c>
      <c r="AK229" s="263">
        <f t="shared" si="165"/>
        <v>43558</v>
      </c>
      <c r="AL229" s="263">
        <f t="shared" si="165"/>
        <v>43587</v>
      </c>
      <c r="AM229" s="263">
        <f t="shared" si="165"/>
        <v>43618</v>
      </c>
      <c r="AN229" s="263">
        <f t="shared" si="165"/>
        <v>43647</v>
      </c>
      <c r="AO229" s="263">
        <f t="shared" si="165"/>
        <v>43678</v>
      </c>
      <c r="AP229" s="263">
        <f t="shared" si="165"/>
        <v>43709</v>
      </c>
      <c r="AQ229" s="263">
        <f t="shared" si="165"/>
        <v>43739</v>
      </c>
      <c r="AR229" s="263">
        <f t="shared" si="165"/>
        <v>43770</v>
      </c>
      <c r="AS229" s="263">
        <f t="shared" si="165"/>
        <v>43800</v>
      </c>
      <c r="AT229" s="263">
        <f t="shared" si="165"/>
        <v>43831</v>
      </c>
      <c r="AU229" s="263">
        <f t="shared" si="165"/>
        <v>43862</v>
      </c>
      <c r="AV229" s="263">
        <f t="shared" si="165"/>
        <v>43891</v>
      </c>
      <c r="AW229" s="263">
        <f t="shared" si="165"/>
        <v>43922</v>
      </c>
      <c r="AX229" s="263">
        <f t="shared" si="165"/>
        <v>43952</v>
      </c>
      <c r="AY229" s="263">
        <f t="shared" si="165"/>
        <v>43983</v>
      </c>
      <c r="AZ229" s="263">
        <f t="shared" si="165"/>
        <v>44013</v>
      </c>
      <c r="BA229" s="263">
        <f t="shared" si="165"/>
        <v>44044</v>
      </c>
      <c r="BB229" s="263">
        <f t="shared" si="165"/>
        <v>44075</v>
      </c>
      <c r="BC229" s="263">
        <f t="shared" si="165"/>
        <v>44105</v>
      </c>
      <c r="BD229" s="263">
        <f t="shared" si="165"/>
        <v>44136</v>
      </c>
      <c r="BE229" s="263">
        <f t="shared" si="165"/>
        <v>44166</v>
      </c>
      <c r="BF229" s="263">
        <f t="shared" si="165"/>
        <v>44197</v>
      </c>
      <c r="BG229" s="263">
        <f t="shared" si="165"/>
        <v>44228</v>
      </c>
      <c r="BH229" s="263">
        <f t="shared" si="165"/>
        <v>44256</v>
      </c>
      <c r="BI229" s="263">
        <f t="shared" si="165"/>
        <v>44287</v>
      </c>
      <c r="BJ229" s="263">
        <f t="shared" si="165"/>
        <v>44317</v>
      </c>
      <c r="BK229" s="263">
        <f t="shared" si="165"/>
        <v>44348</v>
      </c>
      <c r="BL229" s="263">
        <f t="shared" si="165"/>
        <v>44378</v>
      </c>
      <c r="BM229" s="263">
        <f t="shared" si="165"/>
        <v>44409</v>
      </c>
      <c r="BN229" s="263">
        <f t="shared" si="165"/>
        <v>44440</v>
      </c>
      <c r="BO229" s="263">
        <f t="shared" si="165"/>
        <v>44470</v>
      </c>
      <c r="BP229" s="263">
        <f t="shared" ref="BP229:CN229" si="166">BP$4</f>
        <v>44501</v>
      </c>
      <c r="BQ229" s="263">
        <f t="shared" si="166"/>
        <v>44531</v>
      </c>
      <c r="BR229" s="263">
        <f t="shared" si="166"/>
        <v>44562</v>
      </c>
      <c r="BS229" s="263">
        <f t="shared" si="166"/>
        <v>44593</v>
      </c>
      <c r="BT229" s="263">
        <f t="shared" si="166"/>
        <v>44622</v>
      </c>
      <c r="BU229" s="263">
        <f t="shared" si="166"/>
        <v>44654</v>
      </c>
      <c r="BV229" s="263">
        <f t="shared" si="166"/>
        <v>44685</v>
      </c>
      <c r="BW229" s="263">
        <f t="shared" si="166"/>
        <v>44716</v>
      </c>
      <c r="BX229" s="263">
        <f t="shared" si="166"/>
        <v>44746</v>
      </c>
      <c r="BY229" s="263">
        <f t="shared" si="166"/>
        <v>44774</v>
      </c>
      <c r="BZ229" s="263">
        <f t="shared" si="166"/>
        <v>44805</v>
      </c>
      <c r="CA229" s="263">
        <f t="shared" si="166"/>
        <v>44835</v>
      </c>
      <c r="CB229" s="263">
        <f t="shared" si="166"/>
        <v>44866</v>
      </c>
      <c r="CC229" s="263">
        <f t="shared" si="166"/>
        <v>44896</v>
      </c>
      <c r="CD229" s="263">
        <f t="shared" si="166"/>
        <v>44927</v>
      </c>
      <c r="CE229" s="263">
        <f t="shared" si="166"/>
        <v>44958</v>
      </c>
      <c r="CF229" s="263">
        <f t="shared" si="166"/>
        <v>44986</v>
      </c>
      <c r="CG229" s="263">
        <f t="shared" si="166"/>
        <v>45017</v>
      </c>
      <c r="CH229" s="263">
        <f t="shared" si="166"/>
        <v>45047</v>
      </c>
      <c r="CI229" s="263">
        <f t="shared" si="166"/>
        <v>45078</v>
      </c>
      <c r="CJ229" s="263">
        <f t="shared" si="166"/>
        <v>45108</v>
      </c>
      <c r="CK229" s="263">
        <f t="shared" si="166"/>
        <v>45139</v>
      </c>
      <c r="CL229" s="263">
        <f t="shared" si="166"/>
        <v>45170</v>
      </c>
      <c r="CM229" s="263">
        <f t="shared" si="166"/>
        <v>45200</v>
      </c>
      <c r="CN229" s="263">
        <f t="shared" si="166"/>
        <v>45231</v>
      </c>
      <c r="CO229"/>
      <c r="CP229"/>
      <c r="CQ229"/>
      <c r="CR229"/>
      <c r="CS229"/>
      <c r="CT229"/>
      <c r="CU229"/>
      <c r="CV229"/>
      <c r="CW229"/>
      <c r="CX229"/>
      <c r="CY229"/>
      <c r="CZ229"/>
      <c r="DA229"/>
      <c r="DB229"/>
      <c r="DC229"/>
      <c r="DD229"/>
      <c r="DE229"/>
    </row>
    <row r="230" spans="1:121" x14ac:dyDescent="0.25">
      <c r="B230" s="117" t="s">
        <v>542</v>
      </c>
      <c r="C230" s="345" t="s">
        <v>160</v>
      </c>
      <c r="D230" s="345" t="s">
        <v>160</v>
      </c>
      <c r="E230" s="345" t="s">
        <v>160</v>
      </c>
      <c r="F230" s="345" t="s">
        <v>160</v>
      </c>
      <c r="G230" s="345" t="s">
        <v>160</v>
      </c>
      <c r="H230" s="345" t="s">
        <v>160</v>
      </c>
      <c r="I230" s="345" t="s">
        <v>160</v>
      </c>
      <c r="J230" s="345" t="s">
        <v>160</v>
      </c>
      <c r="K230" s="345" t="s">
        <v>160</v>
      </c>
      <c r="L230" s="345" t="s">
        <v>160</v>
      </c>
      <c r="M230" s="345" t="s">
        <v>160</v>
      </c>
      <c r="N230" s="345" t="s">
        <v>160</v>
      </c>
      <c r="O230" s="345" t="s">
        <v>160</v>
      </c>
      <c r="P230" s="345" t="s">
        <v>160</v>
      </c>
      <c r="Q230" s="345" t="s">
        <v>160</v>
      </c>
      <c r="R230" s="345" t="s">
        <v>160</v>
      </c>
      <c r="S230" s="345" t="s">
        <v>160</v>
      </c>
      <c r="T230" s="345" t="s">
        <v>160</v>
      </c>
      <c r="U230" s="930" t="s">
        <v>160</v>
      </c>
      <c r="V230" s="930" t="s">
        <v>160</v>
      </c>
      <c r="W230" s="930" t="s">
        <v>160</v>
      </c>
      <c r="X230" s="930" t="s">
        <v>160</v>
      </c>
      <c r="Y230" s="930" t="s">
        <v>160</v>
      </c>
      <c r="Z230" s="930" t="s">
        <v>160</v>
      </c>
      <c r="AA230" s="930" t="s">
        <v>160</v>
      </c>
      <c r="AB230" s="930" t="s">
        <v>160</v>
      </c>
      <c r="AC230" s="930" t="s">
        <v>160</v>
      </c>
      <c r="AD230" s="930" t="s">
        <v>160</v>
      </c>
      <c r="AE230" s="930" t="s">
        <v>160</v>
      </c>
      <c r="AF230" s="930" t="s">
        <v>160</v>
      </c>
      <c r="AG230" s="930" t="s">
        <v>160</v>
      </c>
      <c r="AH230" s="930" t="s">
        <v>160</v>
      </c>
      <c r="AI230" s="930" t="s">
        <v>160</v>
      </c>
      <c r="AJ230" s="930" t="s">
        <v>160</v>
      </c>
      <c r="AK230" s="930" t="s">
        <v>160</v>
      </c>
      <c r="AL230" s="930" t="s">
        <v>160</v>
      </c>
      <c r="AM230" s="930" t="s">
        <v>160</v>
      </c>
      <c r="AN230" s="930" t="s">
        <v>160</v>
      </c>
      <c r="AO230" s="930" t="s">
        <v>160</v>
      </c>
      <c r="AP230" s="930" t="s">
        <v>160</v>
      </c>
      <c r="AQ230" s="930" t="s">
        <v>160</v>
      </c>
      <c r="AR230" s="930" t="s">
        <v>160</v>
      </c>
      <c r="AS230" s="930" t="s">
        <v>160</v>
      </c>
      <c r="AT230" s="930" t="s">
        <v>160</v>
      </c>
      <c r="AU230" s="930" t="s">
        <v>160</v>
      </c>
      <c r="AV230" s="930" t="s">
        <v>160</v>
      </c>
      <c r="AW230" s="931" t="s">
        <v>160</v>
      </c>
      <c r="AX230" s="930" t="s">
        <v>160</v>
      </c>
      <c r="AY230" s="930" t="s">
        <v>160</v>
      </c>
      <c r="AZ230" s="930" t="s">
        <v>160</v>
      </c>
      <c r="BA230" s="930" t="s">
        <v>160</v>
      </c>
      <c r="BB230" s="930" t="s">
        <v>160</v>
      </c>
      <c r="BC230" s="930" t="s">
        <v>160</v>
      </c>
      <c r="BD230" s="930" t="s">
        <v>160</v>
      </c>
      <c r="BE230" s="930" t="s">
        <v>160</v>
      </c>
      <c r="BF230" s="930" t="s">
        <v>160</v>
      </c>
      <c r="BG230" s="930" t="s">
        <v>160</v>
      </c>
      <c r="BH230" s="930" t="s">
        <v>160</v>
      </c>
      <c r="BI230" s="930" t="s">
        <v>160</v>
      </c>
      <c r="BJ230" s="930" t="s">
        <v>160</v>
      </c>
      <c r="BK230" s="930" t="s">
        <v>160</v>
      </c>
      <c r="BL230" s="930" t="s">
        <v>160</v>
      </c>
      <c r="BM230" s="930" t="s">
        <v>160</v>
      </c>
      <c r="BN230" s="590" t="s">
        <v>160</v>
      </c>
      <c r="BO230" s="590" t="s">
        <v>160</v>
      </c>
      <c r="BP230" s="590" t="s">
        <v>160</v>
      </c>
      <c r="BQ230" s="590" t="s">
        <v>160</v>
      </c>
      <c r="BR230" s="590" t="s">
        <v>160</v>
      </c>
      <c r="BS230" s="590" t="s">
        <v>160</v>
      </c>
      <c r="BT230" s="590" t="s">
        <v>160</v>
      </c>
      <c r="BU230" s="590" t="s">
        <v>160</v>
      </c>
      <c r="BV230" s="590" t="s">
        <v>160</v>
      </c>
      <c r="BW230" s="590" t="s">
        <v>160</v>
      </c>
      <c r="BX230" s="590" t="s">
        <v>160</v>
      </c>
      <c r="BY230" s="590" t="s">
        <v>160</v>
      </c>
      <c r="BZ230" s="590" t="s">
        <v>160</v>
      </c>
      <c r="CA230" s="590" t="s">
        <v>160</v>
      </c>
      <c r="CB230" s="590" t="s">
        <v>160</v>
      </c>
      <c r="CC230" s="590">
        <v>25</v>
      </c>
      <c r="CD230" s="590">
        <v>25</v>
      </c>
      <c r="CE230" s="590">
        <v>25</v>
      </c>
      <c r="CF230" s="590">
        <v>25</v>
      </c>
      <c r="CG230" s="590">
        <v>25</v>
      </c>
      <c r="CH230" s="590">
        <v>25</v>
      </c>
      <c r="CI230" s="590">
        <v>25</v>
      </c>
      <c r="CJ230" s="590">
        <v>25</v>
      </c>
      <c r="CK230" s="590">
        <v>25</v>
      </c>
      <c r="CL230" s="590">
        <v>25</v>
      </c>
      <c r="CM230" s="590">
        <v>25</v>
      </c>
      <c r="CN230" s="590">
        <v>25</v>
      </c>
      <c r="CO230"/>
      <c r="CP230"/>
      <c r="CQ230"/>
      <c r="CR230"/>
      <c r="CS230"/>
      <c r="CT230"/>
      <c r="CU230"/>
      <c r="CV230"/>
      <c r="CW230"/>
      <c r="CX230"/>
      <c r="CY230"/>
      <c r="CZ230"/>
      <c r="DA230"/>
      <c r="DB230"/>
      <c r="DC230"/>
      <c r="DD230"/>
      <c r="DE230"/>
    </row>
    <row r="231" spans="1:121" x14ac:dyDescent="0.25">
      <c r="B231" s="117" t="s">
        <v>546</v>
      </c>
      <c r="C231" s="352" t="s">
        <v>160</v>
      </c>
      <c r="D231" s="352" t="s">
        <v>160</v>
      </c>
      <c r="E231" s="352" t="s">
        <v>160</v>
      </c>
      <c r="F231" s="352" t="s">
        <v>160</v>
      </c>
      <c r="G231" s="352" t="s">
        <v>160</v>
      </c>
      <c r="H231" s="352" t="s">
        <v>160</v>
      </c>
      <c r="I231" s="352" t="s">
        <v>160</v>
      </c>
      <c r="J231" s="352" t="s">
        <v>160</v>
      </c>
      <c r="K231" s="352" t="s">
        <v>160</v>
      </c>
      <c r="L231" s="352" t="s">
        <v>160</v>
      </c>
      <c r="M231" s="352" t="s">
        <v>160</v>
      </c>
      <c r="N231" s="352" t="s">
        <v>160</v>
      </c>
      <c r="O231" s="352" t="s">
        <v>160</v>
      </c>
      <c r="P231" s="352" t="s">
        <v>160</v>
      </c>
      <c r="Q231" s="352" t="s">
        <v>160</v>
      </c>
      <c r="R231" s="352" t="s">
        <v>160</v>
      </c>
      <c r="S231" s="352" t="s">
        <v>160</v>
      </c>
      <c r="T231" s="352" t="s">
        <v>160</v>
      </c>
      <c r="U231" s="352" t="s">
        <v>160</v>
      </c>
      <c r="V231" s="352" t="s">
        <v>160</v>
      </c>
      <c r="W231" s="352" t="s">
        <v>160</v>
      </c>
      <c r="X231" s="352" t="s">
        <v>160</v>
      </c>
      <c r="Y231" s="352" t="s">
        <v>160</v>
      </c>
      <c r="Z231" s="590" t="s">
        <v>160</v>
      </c>
      <c r="AA231" s="352" t="s">
        <v>160</v>
      </c>
      <c r="AB231" s="352" t="s">
        <v>160</v>
      </c>
      <c r="AC231" s="352" t="s">
        <v>160</v>
      </c>
      <c r="AD231" s="352" t="s">
        <v>160</v>
      </c>
      <c r="AE231" s="352" t="s">
        <v>160</v>
      </c>
      <c r="AF231" s="352" t="s">
        <v>160</v>
      </c>
      <c r="AG231" s="352" t="s">
        <v>160</v>
      </c>
      <c r="AH231" s="352" t="s">
        <v>160</v>
      </c>
      <c r="AI231" s="352" t="s">
        <v>160</v>
      </c>
      <c r="AJ231" s="352" t="s">
        <v>160</v>
      </c>
      <c r="AK231" s="352" t="s">
        <v>160</v>
      </c>
      <c r="AL231" s="352" t="s">
        <v>160</v>
      </c>
      <c r="AM231" s="352" t="s">
        <v>160</v>
      </c>
      <c r="AN231" s="352" t="s">
        <v>160</v>
      </c>
      <c r="AO231" s="352" t="s">
        <v>160</v>
      </c>
      <c r="AP231" s="352" t="s">
        <v>160</v>
      </c>
      <c r="AQ231" s="352" t="s">
        <v>160</v>
      </c>
      <c r="AR231" s="352" t="s">
        <v>160</v>
      </c>
      <c r="AS231" s="352" t="s">
        <v>160</v>
      </c>
      <c r="AT231" s="352" t="s">
        <v>160</v>
      </c>
      <c r="AU231" s="352" t="s">
        <v>160</v>
      </c>
      <c r="AV231" s="352" t="s">
        <v>160</v>
      </c>
      <c r="AW231" s="1000" t="s">
        <v>160</v>
      </c>
      <c r="AX231" s="590" t="s">
        <v>160</v>
      </c>
      <c r="AY231" s="590" t="s">
        <v>160</v>
      </c>
      <c r="AZ231" s="590" t="s">
        <v>160</v>
      </c>
      <c r="BA231" s="590" t="s">
        <v>160</v>
      </c>
      <c r="BB231" s="590" t="s">
        <v>160</v>
      </c>
      <c r="BC231" s="590" t="s">
        <v>160</v>
      </c>
      <c r="BD231" s="590" t="s">
        <v>160</v>
      </c>
      <c r="BE231" s="590" t="s">
        <v>160</v>
      </c>
      <c r="BF231" s="590" t="s">
        <v>160</v>
      </c>
      <c r="BG231" s="590" t="s">
        <v>160</v>
      </c>
      <c r="BH231" s="590" t="s">
        <v>160</v>
      </c>
      <c r="BI231" s="590" t="s">
        <v>160</v>
      </c>
      <c r="BJ231" s="590" t="s">
        <v>160</v>
      </c>
      <c r="BK231" s="590" t="s">
        <v>160</v>
      </c>
      <c r="BL231" s="590" t="s">
        <v>160</v>
      </c>
      <c r="BM231" s="590" t="s">
        <v>160</v>
      </c>
      <c r="BN231" s="590" t="s">
        <v>160</v>
      </c>
      <c r="BO231" s="590" t="s">
        <v>160</v>
      </c>
      <c r="BP231" s="590" t="s">
        <v>160</v>
      </c>
      <c r="BQ231" s="590" t="s">
        <v>160</v>
      </c>
      <c r="BR231" s="590" t="s">
        <v>160</v>
      </c>
      <c r="BS231" s="590" t="s">
        <v>160</v>
      </c>
      <c r="BT231" s="590" t="s">
        <v>160</v>
      </c>
      <c r="BU231" s="590" t="s">
        <v>160</v>
      </c>
      <c r="BV231" s="590" t="s">
        <v>160</v>
      </c>
      <c r="BW231" s="590" t="s">
        <v>160</v>
      </c>
      <c r="BX231" s="590" t="s">
        <v>160</v>
      </c>
      <c r="BY231" s="590">
        <v>23</v>
      </c>
      <c r="BZ231" s="590">
        <v>23</v>
      </c>
      <c r="CA231" s="590">
        <v>23</v>
      </c>
      <c r="CB231" s="590">
        <v>23</v>
      </c>
      <c r="CC231" s="590">
        <v>23</v>
      </c>
      <c r="CD231" s="590">
        <v>23</v>
      </c>
      <c r="CE231" s="590">
        <v>23</v>
      </c>
      <c r="CF231" s="590">
        <v>23</v>
      </c>
      <c r="CG231" s="590">
        <v>23</v>
      </c>
      <c r="CH231" s="590">
        <v>23</v>
      </c>
      <c r="CI231" s="590">
        <v>23</v>
      </c>
      <c r="CJ231" s="590">
        <v>23</v>
      </c>
      <c r="CK231" s="590">
        <v>23</v>
      </c>
      <c r="CL231" s="590">
        <v>23</v>
      </c>
      <c r="CM231" s="590">
        <v>23</v>
      </c>
      <c r="CN231" s="590">
        <v>23</v>
      </c>
      <c r="CO231"/>
      <c r="CP231"/>
      <c r="CQ231"/>
      <c r="CR231"/>
      <c r="CS231"/>
      <c r="CT231"/>
      <c r="CU231"/>
      <c r="CV231"/>
      <c r="CW231"/>
      <c r="CX231"/>
      <c r="CY231"/>
      <c r="CZ231"/>
      <c r="DA231"/>
      <c r="DB231"/>
      <c r="DC231"/>
      <c r="DD231"/>
      <c r="DE231"/>
    </row>
    <row r="232" spans="1:121" x14ac:dyDescent="0.25">
      <c r="B232" s="117" t="s">
        <v>574</v>
      </c>
      <c r="C232" s="352" t="s">
        <v>160</v>
      </c>
      <c r="D232" s="352" t="s">
        <v>160</v>
      </c>
      <c r="E232" s="352" t="s">
        <v>160</v>
      </c>
      <c r="F232" s="352" t="s">
        <v>160</v>
      </c>
      <c r="G232" s="352" t="s">
        <v>160</v>
      </c>
      <c r="H232" s="352" t="s">
        <v>160</v>
      </c>
      <c r="I232" s="352" t="s">
        <v>160</v>
      </c>
      <c r="J232" s="352" t="s">
        <v>160</v>
      </c>
      <c r="K232" s="352" t="s">
        <v>160</v>
      </c>
      <c r="L232" s="352" t="s">
        <v>160</v>
      </c>
      <c r="M232" s="352" t="s">
        <v>160</v>
      </c>
      <c r="N232" s="352" t="s">
        <v>160</v>
      </c>
      <c r="O232" s="352" t="s">
        <v>160</v>
      </c>
      <c r="P232" s="352" t="s">
        <v>160</v>
      </c>
      <c r="Q232" s="352" t="s">
        <v>160</v>
      </c>
      <c r="R232" s="352" t="s">
        <v>160</v>
      </c>
      <c r="S232" s="352" t="s">
        <v>160</v>
      </c>
      <c r="T232" s="352" t="s">
        <v>160</v>
      </c>
      <c r="U232" s="352" t="s">
        <v>160</v>
      </c>
      <c r="V232" s="352" t="s">
        <v>160</v>
      </c>
      <c r="W232" s="590" t="s">
        <v>160</v>
      </c>
      <c r="X232" s="590" t="s">
        <v>160</v>
      </c>
      <c r="Y232" s="590" t="s">
        <v>160</v>
      </c>
      <c r="Z232" s="590" t="s">
        <v>160</v>
      </c>
      <c r="AA232" s="590" t="s">
        <v>160</v>
      </c>
      <c r="AB232" s="590" t="s">
        <v>160</v>
      </c>
      <c r="AC232" s="590" t="s">
        <v>160</v>
      </c>
      <c r="AD232" s="590" t="s">
        <v>160</v>
      </c>
      <c r="AE232" s="590" t="s">
        <v>160</v>
      </c>
      <c r="AF232" s="590" t="s">
        <v>160</v>
      </c>
      <c r="AG232" s="590" t="s">
        <v>160</v>
      </c>
      <c r="AH232" s="590" t="s">
        <v>160</v>
      </c>
      <c r="AI232" s="590" t="s">
        <v>160</v>
      </c>
      <c r="AJ232" s="590" t="s">
        <v>160</v>
      </c>
      <c r="AK232" s="590" t="s">
        <v>160</v>
      </c>
      <c r="AL232" s="590" t="s">
        <v>160</v>
      </c>
      <c r="AM232" s="590" t="s">
        <v>160</v>
      </c>
      <c r="AN232" s="590" t="s">
        <v>160</v>
      </c>
      <c r="AO232" s="590" t="s">
        <v>160</v>
      </c>
      <c r="AP232" s="590" t="s">
        <v>160</v>
      </c>
      <c r="AQ232" s="590" t="s">
        <v>160</v>
      </c>
      <c r="AR232" s="590" t="s">
        <v>160</v>
      </c>
      <c r="AS232" s="590" t="s">
        <v>160</v>
      </c>
      <c r="AT232" s="590" t="s">
        <v>160</v>
      </c>
      <c r="AU232" s="590" t="s">
        <v>160</v>
      </c>
      <c r="AV232" s="590" t="s">
        <v>160</v>
      </c>
      <c r="AW232" s="1000" t="s">
        <v>160</v>
      </c>
      <c r="AX232" s="590" t="s">
        <v>160</v>
      </c>
      <c r="AY232" s="590" t="s">
        <v>160</v>
      </c>
      <c r="AZ232" s="590" t="s">
        <v>160</v>
      </c>
      <c r="BA232" s="590" t="s">
        <v>160</v>
      </c>
      <c r="BB232" s="590" t="s">
        <v>160</v>
      </c>
      <c r="BC232" s="590" t="s">
        <v>160</v>
      </c>
      <c r="BD232" s="590" t="s">
        <v>160</v>
      </c>
      <c r="BE232" s="590" t="s">
        <v>160</v>
      </c>
      <c r="BF232" s="590" t="s">
        <v>160</v>
      </c>
      <c r="BG232" s="590" t="s">
        <v>160</v>
      </c>
      <c r="BH232" s="590" t="s">
        <v>160</v>
      </c>
      <c r="BI232" s="590" t="s">
        <v>160</v>
      </c>
      <c r="BJ232" s="590" t="s">
        <v>160</v>
      </c>
      <c r="BK232" s="590" t="s">
        <v>160</v>
      </c>
      <c r="BL232" s="590" t="s">
        <v>160</v>
      </c>
      <c r="BM232" s="590" t="s">
        <v>160</v>
      </c>
      <c r="BN232" s="590" t="s">
        <v>160</v>
      </c>
      <c r="BO232" s="590" t="s">
        <v>160</v>
      </c>
      <c r="BP232" s="590" t="s">
        <v>160</v>
      </c>
      <c r="BQ232" s="590" t="s">
        <v>160</v>
      </c>
      <c r="BR232" s="590" t="s">
        <v>160</v>
      </c>
      <c r="BS232" s="590" t="s">
        <v>160</v>
      </c>
      <c r="BT232" s="590" t="s">
        <v>160</v>
      </c>
      <c r="BU232" s="590" t="s">
        <v>160</v>
      </c>
      <c r="BV232" s="590" t="s">
        <v>160</v>
      </c>
      <c r="BW232" s="590" t="s">
        <v>160</v>
      </c>
      <c r="BX232" s="590" t="s">
        <v>160</v>
      </c>
      <c r="BY232" s="590">
        <v>32.799999999999997</v>
      </c>
      <c r="BZ232" s="590">
        <v>32.799999999999997</v>
      </c>
      <c r="CA232" s="590">
        <v>32.799999999999997</v>
      </c>
      <c r="CB232" s="590">
        <v>32.799999999999997</v>
      </c>
      <c r="CC232" s="590">
        <v>32.799999999999997</v>
      </c>
      <c r="CD232" s="590">
        <v>32.799999999999997</v>
      </c>
      <c r="CE232" s="590">
        <v>32.799999999999997</v>
      </c>
      <c r="CF232" s="590">
        <v>32.799999999999997</v>
      </c>
      <c r="CG232" s="590">
        <v>32.799999999999997</v>
      </c>
      <c r="CH232" s="590">
        <v>32.799999999999997</v>
      </c>
      <c r="CI232" s="590">
        <v>32.799999999999997</v>
      </c>
      <c r="CJ232" s="590" t="s">
        <v>160</v>
      </c>
      <c r="CK232" s="590" t="s">
        <v>160</v>
      </c>
      <c r="CL232" s="590" t="s">
        <v>160</v>
      </c>
      <c r="CM232" s="590" t="s">
        <v>160</v>
      </c>
      <c r="CN232" s="590" t="s">
        <v>160</v>
      </c>
      <c r="CO232"/>
      <c r="CP232"/>
      <c r="CQ232"/>
      <c r="CR232"/>
      <c r="CS232"/>
      <c r="CT232"/>
      <c r="CU232"/>
      <c r="CV232"/>
      <c r="CW232"/>
      <c r="CX232"/>
      <c r="CY232"/>
      <c r="CZ232"/>
      <c r="DA232"/>
      <c r="DB232"/>
      <c r="DC232"/>
      <c r="DD232"/>
      <c r="DE232"/>
    </row>
    <row r="233" spans="1:121" x14ac:dyDescent="0.25">
      <c r="B233" s="117" t="s">
        <v>547</v>
      </c>
      <c r="C233" s="345" t="s">
        <v>160</v>
      </c>
      <c r="D233" s="345" t="s">
        <v>160</v>
      </c>
      <c r="E233" s="345" t="s">
        <v>160</v>
      </c>
      <c r="F233" s="345" t="s">
        <v>160</v>
      </c>
      <c r="G233" s="345" t="s">
        <v>160</v>
      </c>
      <c r="H233" s="345" t="s">
        <v>160</v>
      </c>
      <c r="I233" s="345" t="s">
        <v>160</v>
      </c>
      <c r="J233" s="345" t="s">
        <v>160</v>
      </c>
      <c r="K233" s="345" t="s">
        <v>160</v>
      </c>
      <c r="L233" s="345" t="s">
        <v>160</v>
      </c>
      <c r="M233" s="345" t="s">
        <v>160</v>
      </c>
      <c r="N233" s="345" t="s">
        <v>160</v>
      </c>
      <c r="O233" s="345" t="s">
        <v>160</v>
      </c>
      <c r="P233" s="345" t="s">
        <v>160</v>
      </c>
      <c r="Q233" s="345" t="s">
        <v>160</v>
      </c>
      <c r="R233" s="345" t="s">
        <v>160</v>
      </c>
      <c r="S233" s="345" t="s">
        <v>160</v>
      </c>
      <c r="T233" s="345" t="s">
        <v>160</v>
      </c>
      <c r="U233" s="345" t="s">
        <v>160</v>
      </c>
      <c r="V233" s="930" t="s">
        <v>160</v>
      </c>
      <c r="W233" s="930" t="s">
        <v>160</v>
      </c>
      <c r="X233" s="930" t="s">
        <v>160</v>
      </c>
      <c r="Y233" s="930" t="s">
        <v>160</v>
      </c>
      <c r="Z233" s="930" t="s">
        <v>160</v>
      </c>
      <c r="AA233" s="930" t="s">
        <v>160</v>
      </c>
      <c r="AB233" s="930" t="s">
        <v>160</v>
      </c>
      <c r="AC233" s="930" t="s">
        <v>160</v>
      </c>
      <c r="AD233" s="930" t="s">
        <v>160</v>
      </c>
      <c r="AE233" s="930" t="s">
        <v>160</v>
      </c>
      <c r="AF233" s="930" t="s">
        <v>160</v>
      </c>
      <c r="AG233" s="930" t="s">
        <v>160</v>
      </c>
      <c r="AH233" s="930" t="s">
        <v>160</v>
      </c>
      <c r="AI233" s="930" t="s">
        <v>160</v>
      </c>
      <c r="AJ233" s="930" t="s">
        <v>160</v>
      </c>
      <c r="AK233" s="930" t="s">
        <v>160</v>
      </c>
      <c r="AL233" s="930" t="s">
        <v>160</v>
      </c>
      <c r="AM233" s="930" t="s">
        <v>160</v>
      </c>
      <c r="AN233" s="930" t="s">
        <v>160</v>
      </c>
      <c r="AO233" s="930" t="s">
        <v>160</v>
      </c>
      <c r="AP233" s="930" t="s">
        <v>160</v>
      </c>
      <c r="AQ233" s="930" t="s">
        <v>160</v>
      </c>
      <c r="AR233" s="930" t="s">
        <v>160</v>
      </c>
      <c r="AS233" s="930" t="s">
        <v>160</v>
      </c>
      <c r="AT233" s="930" t="s">
        <v>160</v>
      </c>
      <c r="AU233" s="930" t="s">
        <v>160</v>
      </c>
      <c r="AV233" s="930" t="s">
        <v>160</v>
      </c>
      <c r="AW233" s="931" t="s">
        <v>160</v>
      </c>
      <c r="AX233" s="930" t="s">
        <v>160</v>
      </c>
      <c r="AY233" s="930" t="s">
        <v>160</v>
      </c>
      <c r="AZ233" s="930" t="s">
        <v>160</v>
      </c>
      <c r="BA233" s="930" t="s">
        <v>160</v>
      </c>
      <c r="BB233" s="930" t="s">
        <v>160</v>
      </c>
      <c r="BC233" s="930" t="s">
        <v>160</v>
      </c>
      <c r="BD233" s="930" t="s">
        <v>160</v>
      </c>
      <c r="BE233" s="930" t="s">
        <v>160</v>
      </c>
      <c r="BF233" s="930" t="s">
        <v>160</v>
      </c>
      <c r="BG233" s="930" t="s">
        <v>160</v>
      </c>
      <c r="BH233" s="930" t="s">
        <v>160</v>
      </c>
      <c r="BI233" s="930" t="s">
        <v>160</v>
      </c>
      <c r="BJ233" s="930" t="s">
        <v>160</v>
      </c>
      <c r="BK233" s="930" t="s">
        <v>160</v>
      </c>
      <c r="BL233" s="930" t="s">
        <v>160</v>
      </c>
      <c r="BM233" s="930" t="s">
        <v>160</v>
      </c>
      <c r="BN233" s="590" t="s">
        <v>160</v>
      </c>
      <c r="BO233" s="590" t="s">
        <v>160</v>
      </c>
      <c r="BP233" s="590" t="s">
        <v>160</v>
      </c>
      <c r="BQ233" s="590" t="s">
        <v>160</v>
      </c>
      <c r="BR233" s="590" t="s">
        <v>160</v>
      </c>
      <c r="BS233" s="590" t="s">
        <v>160</v>
      </c>
      <c r="BT233" s="590" t="s">
        <v>160</v>
      </c>
      <c r="BU233" s="590" t="s">
        <v>160</v>
      </c>
      <c r="BV233" s="590" t="s">
        <v>160</v>
      </c>
      <c r="BW233" s="590" t="s">
        <v>160</v>
      </c>
      <c r="BX233" s="590" t="s">
        <v>160</v>
      </c>
      <c r="BY233" s="590">
        <v>22</v>
      </c>
      <c r="BZ233" s="590">
        <v>22</v>
      </c>
      <c r="CA233" s="590">
        <v>22</v>
      </c>
      <c r="CB233" s="590">
        <v>22</v>
      </c>
      <c r="CC233" s="590">
        <v>22</v>
      </c>
      <c r="CD233" s="590">
        <v>22</v>
      </c>
      <c r="CE233" s="590">
        <v>24</v>
      </c>
      <c r="CF233" s="590">
        <v>24</v>
      </c>
      <c r="CG233" s="590">
        <v>24</v>
      </c>
      <c r="CH233" s="590">
        <v>24</v>
      </c>
      <c r="CI233" s="590">
        <v>24</v>
      </c>
      <c r="CJ233" s="590">
        <v>24</v>
      </c>
      <c r="CK233" s="590">
        <v>24</v>
      </c>
      <c r="CL233" s="590">
        <v>24</v>
      </c>
      <c r="CM233" s="590">
        <v>24</v>
      </c>
      <c r="CN233" s="590">
        <v>24</v>
      </c>
      <c r="CO233"/>
      <c r="CP233"/>
      <c r="CQ233"/>
      <c r="CR233"/>
      <c r="CS233"/>
      <c r="CT233"/>
      <c r="CU233"/>
      <c r="CV233"/>
      <c r="CW233"/>
      <c r="CX233"/>
      <c r="CY233"/>
      <c r="CZ233"/>
      <c r="DA233"/>
      <c r="DB233"/>
      <c r="DC233"/>
      <c r="DD233"/>
      <c r="DE233"/>
    </row>
    <row r="234" spans="1:121" x14ac:dyDescent="0.25">
      <c r="B234" s="117" t="s">
        <v>786</v>
      </c>
      <c r="C234" s="352" t="s">
        <v>160</v>
      </c>
      <c r="D234" s="352" t="s">
        <v>160</v>
      </c>
      <c r="E234" s="352" t="s">
        <v>160</v>
      </c>
      <c r="F234" s="352" t="s">
        <v>160</v>
      </c>
      <c r="G234" s="352" t="s">
        <v>160</v>
      </c>
      <c r="H234" s="352" t="s">
        <v>160</v>
      </c>
      <c r="I234" s="352" t="s">
        <v>160</v>
      </c>
      <c r="J234" s="352" t="s">
        <v>160</v>
      </c>
      <c r="K234" s="352" t="s">
        <v>160</v>
      </c>
      <c r="L234" s="352" t="s">
        <v>160</v>
      </c>
      <c r="M234" s="352" t="s">
        <v>160</v>
      </c>
      <c r="N234" s="352" t="s">
        <v>160</v>
      </c>
      <c r="O234" s="352" t="s">
        <v>160</v>
      </c>
      <c r="P234" s="352" t="s">
        <v>160</v>
      </c>
      <c r="Q234" s="352" t="s">
        <v>160</v>
      </c>
      <c r="R234" s="352" t="s">
        <v>160</v>
      </c>
      <c r="S234" s="352" t="s">
        <v>160</v>
      </c>
      <c r="T234" s="352" t="s">
        <v>160</v>
      </c>
      <c r="U234" s="352" t="s">
        <v>160</v>
      </c>
      <c r="V234" s="352" t="s">
        <v>160</v>
      </c>
      <c r="W234" s="590" t="s">
        <v>160</v>
      </c>
      <c r="X234" s="590" t="s">
        <v>160</v>
      </c>
      <c r="Y234" s="590" t="s">
        <v>160</v>
      </c>
      <c r="Z234" s="590" t="s">
        <v>160</v>
      </c>
      <c r="AA234" s="590" t="s">
        <v>160</v>
      </c>
      <c r="AB234" s="590" t="s">
        <v>160</v>
      </c>
      <c r="AC234" s="590" t="s">
        <v>160</v>
      </c>
      <c r="AD234" s="590" t="s">
        <v>160</v>
      </c>
      <c r="AE234" s="590" t="s">
        <v>160</v>
      </c>
      <c r="AF234" s="590" t="s">
        <v>160</v>
      </c>
      <c r="AG234" s="590" t="s">
        <v>160</v>
      </c>
      <c r="AH234" s="590" t="s">
        <v>160</v>
      </c>
      <c r="AI234" s="590" t="s">
        <v>160</v>
      </c>
      <c r="AJ234" s="590" t="s">
        <v>160</v>
      </c>
      <c r="AK234" s="590" t="s">
        <v>160</v>
      </c>
      <c r="AL234" s="590" t="s">
        <v>160</v>
      </c>
      <c r="AM234" s="590" t="s">
        <v>160</v>
      </c>
      <c r="AN234" s="590" t="s">
        <v>160</v>
      </c>
      <c r="AO234" s="590" t="s">
        <v>160</v>
      </c>
      <c r="AP234" s="590" t="s">
        <v>160</v>
      </c>
      <c r="AQ234" s="590" t="s">
        <v>160</v>
      </c>
      <c r="AR234" s="590" t="s">
        <v>160</v>
      </c>
      <c r="AS234" s="590" t="s">
        <v>160</v>
      </c>
      <c r="AT234" s="590" t="s">
        <v>160</v>
      </c>
      <c r="AU234" s="590" t="s">
        <v>160</v>
      </c>
      <c r="AV234" s="590" t="s">
        <v>160</v>
      </c>
      <c r="AW234" s="1000" t="s">
        <v>160</v>
      </c>
      <c r="AX234" s="590" t="s">
        <v>160</v>
      </c>
      <c r="AY234" s="590" t="s">
        <v>160</v>
      </c>
      <c r="AZ234" s="590" t="s">
        <v>160</v>
      </c>
      <c r="BA234" s="590" t="s">
        <v>160</v>
      </c>
      <c r="BB234" s="590" t="s">
        <v>160</v>
      </c>
      <c r="BC234" s="590" t="s">
        <v>160</v>
      </c>
      <c r="BD234" s="590" t="s">
        <v>160</v>
      </c>
      <c r="BE234" s="590" t="s">
        <v>160</v>
      </c>
      <c r="BF234" s="590" t="s">
        <v>160</v>
      </c>
      <c r="BG234" s="590" t="s">
        <v>160</v>
      </c>
      <c r="BH234" s="590" t="s">
        <v>160</v>
      </c>
      <c r="BI234" s="590" t="s">
        <v>160</v>
      </c>
      <c r="BJ234" s="590" t="s">
        <v>160</v>
      </c>
      <c r="BK234" s="590" t="s">
        <v>160</v>
      </c>
      <c r="BL234" s="590" t="s">
        <v>160</v>
      </c>
      <c r="BM234" s="590" t="s">
        <v>160</v>
      </c>
      <c r="BN234" s="590" t="s">
        <v>160</v>
      </c>
      <c r="BO234" s="590" t="s">
        <v>160</v>
      </c>
      <c r="BP234" s="590" t="s">
        <v>160</v>
      </c>
      <c r="BQ234" s="590" t="s">
        <v>160</v>
      </c>
      <c r="BR234" s="590" t="s">
        <v>160</v>
      </c>
      <c r="BS234" s="590" t="s">
        <v>160</v>
      </c>
      <c r="BT234" s="590" t="s">
        <v>160</v>
      </c>
      <c r="BU234" s="590" t="s">
        <v>160</v>
      </c>
      <c r="BV234" s="590" t="s">
        <v>160</v>
      </c>
      <c r="BW234" s="590" t="s">
        <v>160</v>
      </c>
      <c r="BX234" s="590" t="s">
        <v>160</v>
      </c>
      <c r="BY234" s="590" t="s">
        <v>160</v>
      </c>
      <c r="BZ234" s="590" t="s">
        <v>160</v>
      </c>
      <c r="CA234" s="590" t="s">
        <v>160</v>
      </c>
      <c r="CB234" s="590">
        <v>30</v>
      </c>
      <c r="CC234" s="590">
        <v>30</v>
      </c>
      <c r="CD234" s="590">
        <v>30</v>
      </c>
      <c r="CE234" s="590">
        <v>30</v>
      </c>
      <c r="CF234" s="590">
        <v>30</v>
      </c>
      <c r="CG234" s="590">
        <v>30</v>
      </c>
      <c r="CH234" s="590">
        <v>30</v>
      </c>
      <c r="CI234" s="590" t="s">
        <v>160</v>
      </c>
      <c r="CJ234" s="590" t="s">
        <v>160</v>
      </c>
      <c r="CK234" s="590" t="s">
        <v>160</v>
      </c>
      <c r="CL234" s="590" t="s">
        <v>160</v>
      </c>
      <c r="CM234" s="590" t="s">
        <v>160</v>
      </c>
      <c r="CN234" s="590" t="s">
        <v>160</v>
      </c>
      <c r="CO234"/>
      <c r="CP234"/>
      <c r="CQ234"/>
      <c r="CR234"/>
      <c r="CS234"/>
      <c r="CT234"/>
      <c r="CU234"/>
      <c r="CV234"/>
      <c r="CW234"/>
      <c r="CX234"/>
      <c r="CY234"/>
      <c r="CZ234"/>
      <c r="DA234"/>
      <c r="DB234"/>
      <c r="DC234"/>
      <c r="DD234"/>
      <c r="DE234"/>
    </row>
    <row r="235" spans="1:121" customFormat="1" ht="12.75" x14ac:dyDescent="0.2">
      <c r="B235" s="278" t="s">
        <v>557</v>
      </c>
      <c r="C235" s="279" t="str">
        <f t="shared" ref="C235:AH235" si="167">IFERROR(AVERAGE(C230:C234),"-")</f>
        <v>-</v>
      </c>
      <c r="D235" s="279" t="str">
        <f t="shared" si="167"/>
        <v>-</v>
      </c>
      <c r="E235" s="279" t="str">
        <f t="shared" si="167"/>
        <v>-</v>
      </c>
      <c r="F235" s="279" t="str">
        <f t="shared" si="167"/>
        <v>-</v>
      </c>
      <c r="G235" s="279" t="str">
        <f t="shared" si="167"/>
        <v>-</v>
      </c>
      <c r="H235" s="279" t="str">
        <f t="shared" si="167"/>
        <v>-</v>
      </c>
      <c r="I235" s="279" t="str">
        <f t="shared" si="167"/>
        <v>-</v>
      </c>
      <c r="J235" s="279" t="str">
        <f t="shared" si="167"/>
        <v>-</v>
      </c>
      <c r="K235" s="279" t="str">
        <f t="shared" si="167"/>
        <v>-</v>
      </c>
      <c r="L235" s="279" t="str">
        <f t="shared" si="167"/>
        <v>-</v>
      </c>
      <c r="M235" s="279" t="str">
        <f t="shared" si="167"/>
        <v>-</v>
      </c>
      <c r="N235" s="279" t="str">
        <f t="shared" si="167"/>
        <v>-</v>
      </c>
      <c r="O235" s="279" t="str">
        <f t="shared" si="167"/>
        <v>-</v>
      </c>
      <c r="P235" s="279" t="str">
        <f t="shared" si="167"/>
        <v>-</v>
      </c>
      <c r="Q235" s="279" t="str">
        <f t="shared" si="167"/>
        <v>-</v>
      </c>
      <c r="R235" s="279" t="str">
        <f t="shared" si="167"/>
        <v>-</v>
      </c>
      <c r="S235" s="279" t="str">
        <f t="shared" si="167"/>
        <v>-</v>
      </c>
      <c r="T235" s="279" t="str">
        <f t="shared" si="167"/>
        <v>-</v>
      </c>
      <c r="U235" s="279" t="str">
        <f t="shared" si="167"/>
        <v>-</v>
      </c>
      <c r="V235" s="279" t="str">
        <f t="shared" si="167"/>
        <v>-</v>
      </c>
      <c r="W235" s="279" t="str">
        <f t="shared" si="167"/>
        <v>-</v>
      </c>
      <c r="X235" s="279" t="str">
        <f t="shared" si="167"/>
        <v>-</v>
      </c>
      <c r="Y235" s="279" t="str">
        <f t="shared" si="167"/>
        <v>-</v>
      </c>
      <c r="Z235" s="279" t="str">
        <f t="shared" si="167"/>
        <v>-</v>
      </c>
      <c r="AA235" s="279" t="str">
        <f t="shared" si="167"/>
        <v>-</v>
      </c>
      <c r="AB235" s="279" t="str">
        <f t="shared" si="167"/>
        <v>-</v>
      </c>
      <c r="AC235" s="279" t="str">
        <f t="shared" si="167"/>
        <v>-</v>
      </c>
      <c r="AD235" s="279" t="str">
        <f t="shared" si="167"/>
        <v>-</v>
      </c>
      <c r="AE235" s="279" t="str">
        <f t="shared" si="167"/>
        <v>-</v>
      </c>
      <c r="AF235" s="279" t="str">
        <f t="shared" si="167"/>
        <v>-</v>
      </c>
      <c r="AG235" s="279" t="str">
        <f t="shared" si="167"/>
        <v>-</v>
      </c>
      <c r="AH235" s="279" t="str">
        <f t="shared" si="167"/>
        <v>-</v>
      </c>
      <c r="AI235" s="279" t="str">
        <f t="shared" ref="AI235:BN235" si="168">IFERROR(AVERAGE(AI230:AI234),"-")</f>
        <v>-</v>
      </c>
      <c r="AJ235" s="279" t="str">
        <f t="shared" si="168"/>
        <v>-</v>
      </c>
      <c r="AK235" s="279" t="str">
        <f t="shared" si="168"/>
        <v>-</v>
      </c>
      <c r="AL235" s="279" t="str">
        <f t="shared" si="168"/>
        <v>-</v>
      </c>
      <c r="AM235" s="279" t="str">
        <f t="shared" si="168"/>
        <v>-</v>
      </c>
      <c r="AN235" s="279" t="str">
        <f t="shared" si="168"/>
        <v>-</v>
      </c>
      <c r="AO235" s="279" t="str">
        <f t="shared" si="168"/>
        <v>-</v>
      </c>
      <c r="AP235" s="279" t="str">
        <f t="shared" si="168"/>
        <v>-</v>
      </c>
      <c r="AQ235" s="279" t="str">
        <f t="shared" si="168"/>
        <v>-</v>
      </c>
      <c r="AR235" s="279" t="str">
        <f t="shared" si="168"/>
        <v>-</v>
      </c>
      <c r="AS235" s="279" t="str">
        <f t="shared" si="168"/>
        <v>-</v>
      </c>
      <c r="AT235" s="279" t="str">
        <f t="shared" si="168"/>
        <v>-</v>
      </c>
      <c r="AU235" s="279" t="str">
        <f t="shared" si="168"/>
        <v>-</v>
      </c>
      <c r="AV235" s="279" t="str">
        <f t="shared" si="168"/>
        <v>-</v>
      </c>
      <c r="AW235" s="279" t="str">
        <f t="shared" si="168"/>
        <v>-</v>
      </c>
      <c r="AX235" s="279" t="str">
        <f t="shared" si="168"/>
        <v>-</v>
      </c>
      <c r="AY235" s="279" t="str">
        <f t="shared" si="168"/>
        <v>-</v>
      </c>
      <c r="AZ235" s="279" t="str">
        <f t="shared" si="168"/>
        <v>-</v>
      </c>
      <c r="BA235" s="279" t="str">
        <f t="shared" si="168"/>
        <v>-</v>
      </c>
      <c r="BB235" s="279" t="str">
        <f t="shared" si="168"/>
        <v>-</v>
      </c>
      <c r="BC235" s="279" t="str">
        <f t="shared" si="168"/>
        <v>-</v>
      </c>
      <c r="BD235" s="279" t="str">
        <f t="shared" si="168"/>
        <v>-</v>
      </c>
      <c r="BE235" s="279" t="str">
        <f t="shared" si="168"/>
        <v>-</v>
      </c>
      <c r="BF235" s="279" t="str">
        <f t="shared" si="168"/>
        <v>-</v>
      </c>
      <c r="BG235" s="279" t="str">
        <f t="shared" si="168"/>
        <v>-</v>
      </c>
      <c r="BH235" s="279" t="str">
        <f t="shared" si="168"/>
        <v>-</v>
      </c>
      <c r="BI235" s="279" t="str">
        <f t="shared" si="168"/>
        <v>-</v>
      </c>
      <c r="BJ235" s="279" t="str">
        <f t="shared" si="168"/>
        <v>-</v>
      </c>
      <c r="BK235" s="279" t="str">
        <f t="shared" si="168"/>
        <v>-</v>
      </c>
      <c r="BL235" s="279" t="str">
        <f t="shared" si="168"/>
        <v>-</v>
      </c>
      <c r="BM235" s="279" t="str">
        <f t="shared" si="168"/>
        <v>-</v>
      </c>
      <c r="BN235" s="279" t="str">
        <f t="shared" si="168"/>
        <v>-</v>
      </c>
      <c r="BO235" s="279" t="str">
        <f t="shared" ref="BO235:CC235" si="169">IFERROR(AVERAGE(BO230:BO234),"-")</f>
        <v>-</v>
      </c>
      <c r="BP235" s="279" t="str">
        <f t="shared" si="169"/>
        <v>-</v>
      </c>
      <c r="BQ235" s="279" t="str">
        <f t="shared" si="169"/>
        <v>-</v>
      </c>
      <c r="BR235" s="279" t="str">
        <f t="shared" si="169"/>
        <v>-</v>
      </c>
      <c r="BS235" s="279" t="str">
        <f t="shared" si="169"/>
        <v>-</v>
      </c>
      <c r="BT235" s="279" t="str">
        <f t="shared" si="169"/>
        <v>-</v>
      </c>
      <c r="BU235" s="279" t="str">
        <f t="shared" si="169"/>
        <v>-</v>
      </c>
      <c r="BV235" s="279" t="str">
        <f t="shared" si="169"/>
        <v>-</v>
      </c>
      <c r="BW235" s="279" t="str">
        <f t="shared" si="169"/>
        <v>-</v>
      </c>
      <c r="BX235" s="279" t="str">
        <f t="shared" si="169"/>
        <v>-</v>
      </c>
      <c r="BY235" s="279">
        <f t="shared" si="169"/>
        <v>25.933333333333334</v>
      </c>
      <c r="BZ235" s="798">
        <f t="shared" si="169"/>
        <v>25.933333333333334</v>
      </c>
      <c r="CA235" s="798">
        <f t="shared" si="169"/>
        <v>25.933333333333334</v>
      </c>
      <c r="CB235" s="798">
        <f t="shared" si="169"/>
        <v>26.95</v>
      </c>
      <c r="CC235" s="798">
        <f t="shared" si="169"/>
        <v>26.560000000000002</v>
      </c>
      <c r="CD235" s="798">
        <f t="shared" ref="CD235:CN235" si="170">IFERROR(AVERAGE(CD230:CD234),"-")</f>
        <v>26.560000000000002</v>
      </c>
      <c r="CE235" s="798">
        <f t="shared" si="170"/>
        <v>26.96</v>
      </c>
      <c r="CF235" s="798">
        <f t="shared" si="170"/>
        <v>26.96</v>
      </c>
      <c r="CG235" s="798">
        <f t="shared" si="170"/>
        <v>26.96</v>
      </c>
      <c r="CH235" s="798">
        <f t="shared" si="170"/>
        <v>26.96</v>
      </c>
      <c r="CI235" s="798">
        <f t="shared" si="170"/>
        <v>26.2</v>
      </c>
      <c r="CJ235" s="798">
        <f t="shared" si="170"/>
        <v>24</v>
      </c>
      <c r="CK235" s="798">
        <f t="shared" si="170"/>
        <v>24</v>
      </c>
      <c r="CL235" s="798">
        <f t="shared" si="170"/>
        <v>24</v>
      </c>
      <c r="CM235" s="798">
        <f t="shared" si="170"/>
        <v>24</v>
      </c>
      <c r="CN235" s="798">
        <f t="shared" si="170"/>
        <v>24</v>
      </c>
      <c r="DG235" s="1150"/>
      <c r="DH235" s="1150"/>
      <c r="DI235" s="1150"/>
      <c r="DJ235" s="1150"/>
      <c r="DK235" s="1150"/>
    </row>
    <row r="236" spans="1:121" x14ac:dyDescent="0.25">
      <c r="A236"/>
      <c r="B236" s="990"/>
      <c r="C236" s="991"/>
      <c r="D236" s="991"/>
      <c r="E236" s="991"/>
      <c r="F236" s="991"/>
      <c r="G236" s="991"/>
      <c r="H236" s="991"/>
      <c r="I236" s="991"/>
      <c r="J236" s="991"/>
      <c r="K236" s="991"/>
      <c r="L236" s="992"/>
      <c r="M236" s="992"/>
      <c r="N236" s="992"/>
      <c r="O236" s="992"/>
      <c r="P236" s="992"/>
      <c r="Q236" s="992"/>
      <c r="R236" s="992"/>
      <c r="S236" s="992"/>
      <c r="T236" s="992"/>
      <c r="U236" s="992"/>
      <c r="V236" s="993"/>
      <c r="W236" s="993"/>
      <c r="X236" s="993"/>
      <c r="Y236" s="993"/>
      <c r="Z236" s="993"/>
      <c r="AA236" s="993"/>
      <c r="AB236" s="993"/>
      <c r="AC236" s="993"/>
      <c r="AD236" s="993"/>
      <c r="AE236" s="993"/>
      <c r="AF236" s="993"/>
      <c r="AG236" s="993"/>
      <c r="AH236" s="993"/>
      <c r="AI236" s="993"/>
      <c r="AJ236" s="993"/>
      <c r="AK236" s="993"/>
      <c r="AL236" s="993"/>
      <c r="AM236" s="993"/>
      <c r="AN236" s="993"/>
      <c r="AO236" s="993"/>
      <c r="AP236" s="993"/>
      <c r="AQ236" s="993"/>
      <c r="AR236" s="993"/>
      <c r="AS236" s="993"/>
      <c r="AT236" s="992"/>
      <c r="AU236" s="992"/>
      <c r="AV236" s="994"/>
      <c r="AW236" s="995"/>
      <c r="AX236" s="995"/>
      <c r="AY236" s="995"/>
      <c r="AZ236" s="992"/>
      <c r="BA236" s="992"/>
      <c r="BB236" s="992"/>
      <c r="BC236" s="992"/>
      <c r="BD236" s="992"/>
      <c r="BE236" s="992"/>
      <c r="BF236" s="992"/>
      <c r="BG236" s="992"/>
      <c r="BH236" s="992"/>
      <c r="BI236" s="992"/>
      <c r="BJ236" s="992"/>
      <c r="BK236" s="992"/>
      <c r="BL236" s="992"/>
      <c r="BM236" s="992"/>
      <c r="BN236" s="992"/>
      <c r="BO236" s="992"/>
      <c r="BP236" s="992"/>
      <c r="BQ236" s="992"/>
      <c r="BR236" s="992"/>
      <c r="BS236" s="992"/>
      <c r="BT236" s="992"/>
      <c r="BU236" s="992"/>
      <c r="BV236" s="992"/>
      <c r="BW236" s="992"/>
      <c r="BX236" s="992"/>
      <c r="BY236" s="992"/>
      <c r="BZ236" s="992"/>
      <c r="CA236" s="992"/>
      <c r="CB236" s="992"/>
      <c r="CC236" s="992"/>
      <c r="CD236" s="992"/>
      <c r="CE236" s="992"/>
      <c r="CF236" s="992"/>
      <c r="CG236" s="992"/>
      <c r="CH236" s="992"/>
      <c r="CI236" s="992"/>
      <c r="CJ236" s="992"/>
      <c r="CK236" s="992"/>
      <c r="CL236" s="992"/>
      <c r="CM236" s="992"/>
      <c r="CN236" s="992"/>
      <c r="CO236"/>
      <c r="CP236"/>
      <c r="CQ236"/>
      <c r="CR236"/>
      <c r="CS236"/>
      <c r="CT236"/>
      <c r="CU236"/>
      <c r="CV236"/>
      <c r="CW236"/>
      <c r="CX236"/>
      <c r="CY236"/>
      <c r="CZ236"/>
      <c r="DA236"/>
      <c r="DB236"/>
      <c r="DC236"/>
      <c r="DD236"/>
      <c r="DE236"/>
    </row>
    <row r="237" spans="1:121" x14ac:dyDescent="0.25">
      <c r="B237" s="113" t="s">
        <v>1096</v>
      </c>
      <c r="C237" s="263">
        <f>C$4</f>
        <v>42522</v>
      </c>
      <c r="D237" s="263">
        <f t="shared" ref="D237:BO237" si="171">D$4</f>
        <v>42552</v>
      </c>
      <c r="E237" s="263">
        <f t="shared" si="171"/>
        <v>42583</v>
      </c>
      <c r="F237" s="263">
        <f t="shared" si="171"/>
        <v>42614</v>
      </c>
      <c r="G237" s="263">
        <f t="shared" si="171"/>
        <v>42644</v>
      </c>
      <c r="H237" s="263">
        <f t="shared" si="171"/>
        <v>42675</v>
      </c>
      <c r="I237" s="263">
        <f t="shared" si="171"/>
        <v>42705</v>
      </c>
      <c r="J237" s="263">
        <f t="shared" si="171"/>
        <v>42736</v>
      </c>
      <c r="K237" s="263">
        <f t="shared" si="171"/>
        <v>42767</v>
      </c>
      <c r="L237" s="263">
        <f t="shared" si="171"/>
        <v>42795</v>
      </c>
      <c r="M237" s="263">
        <f t="shared" si="171"/>
        <v>42826</v>
      </c>
      <c r="N237" s="263">
        <f t="shared" si="171"/>
        <v>42856</v>
      </c>
      <c r="O237" s="263">
        <f t="shared" si="171"/>
        <v>42887</v>
      </c>
      <c r="P237" s="263">
        <f t="shared" si="171"/>
        <v>42917</v>
      </c>
      <c r="Q237" s="263">
        <f t="shared" si="171"/>
        <v>42948</v>
      </c>
      <c r="R237" s="263">
        <f t="shared" si="171"/>
        <v>42979</v>
      </c>
      <c r="S237" s="263">
        <f t="shared" si="171"/>
        <v>43009</v>
      </c>
      <c r="T237" s="263">
        <f t="shared" si="171"/>
        <v>43040</v>
      </c>
      <c r="U237" s="263">
        <f t="shared" si="171"/>
        <v>43070</v>
      </c>
      <c r="V237" s="263">
        <f t="shared" si="171"/>
        <v>43101</v>
      </c>
      <c r="W237" s="263">
        <f t="shared" si="171"/>
        <v>43132</v>
      </c>
      <c r="X237" s="263">
        <f t="shared" si="171"/>
        <v>43160</v>
      </c>
      <c r="Y237" s="263">
        <f t="shared" si="171"/>
        <v>43191</v>
      </c>
      <c r="Z237" s="263">
        <f t="shared" si="171"/>
        <v>43221</v>
      </c>
      <c r="AA237" s="263">
        <f t="shared" si="171"/>
        <v>43252</v>
      </c>
      <c r="AB237" s="263">
        <f t="shared" si="171"/>
        <v>43283</v>
      </c>
      <c r="AC237" s="263">
        <f t="shared" si="171"/>
        <v>43314</v>
      </c>
      <c r="AD237" s="263">
        <f t="shared" si="171"/>
        <v>43345</v>
      </c>
      <c r="AE237" s="263">
        <f t="shared" si="171"/>
        <v>43376</v>
      </c>
      <c r="AF237" s="263">
        <f t="shared" si="171"/>
        <v>43407</v>
      </c>
      <c r="AG237" s="263">
        <f t="shared" si="171"/>
        <v>43437</v>
      </c>
      <c r="AH237" s="263">
        <f t="shared" si="171"/>
        <v>43468</v>
      </c>
      <c r="AI237" s="263">
        <f t="shared" si="171"/>
        <v>43499</v>
      </c>
      <c r="AJ237" s="263">
        <f t="shared" si="171"/>
        <v>43527</v>
      </c>
      <c r="AK237" s="263">
        <f t="shared" si="171"/>
        <v>43558</v>
      </c>
      <c r="AL237" s="263">
        <f t="shared" si="171"/>
        <v>43587</v>
      </c>
      <c r="AM237" s="263">
        <f t="shared" si="171"/>
        <v>43618</v>
      </c>
      <c r="AN237" s="263">
        <f t="shared" si="171"/>
        <v>43647</v>
      </c>
      <c r="AO237" s="263">
        <f t="shared" si="171"/>
        <v>43678</v>
      </c>
      <c r="AP237" s="263">
        <f t="shared" si="171"/>
        <v>43709</v>
      </c>
      <c r="AQ237" s="263">
        <f t="shared" si="171"/>
        <v>43739</v>
      </c>
      <c r="AR237" s="263">
        <f t="shared" si="171"/>
        <v>43770</v>
      </c>
      <c r="AS237" s="263">
        <f t="shared" si="171"/>
        <v>43800</v>
      </c>
      <c r="AT237" s="263">
        <f t="shared" si="171"/>
        <v>43831</v>
      </c>
      <c r="AU237" s="263">
        <f t="shared" si="171"/>
        <v>43862</v>
      </c>
      <c r="AV237" s="263">
        <f t="shared" si="171"/>
        <v>43891</v>
      </c>
      <c r="AW237" s="263">
        <f t="shared" si="171"/>
        <v>43922</v>
      </c>
      <c r="AX237" s="263">
        <f t="shared" si="171"/>
        <v>43952</v>
      </c>
      <c r="AY237" s="263">
        <f t="shared" si="171"/>
        <v>43983</v>
      </c>
      <c r="AZ237" s="263">
        <f t="shared" si="171"/>
        <v>44013</v>
      </c>
      <c r="BA237" s="263">
        <f t="shared" si="171"/>
        <v>44044</v>
      </c>
      <c r="BB237" s="263">
        <f t="shared" si="171"/>
        <v>44075</v>
      </c>
      <c r="BC237" s="263">
        <f t="shared" si="171"/>
        <v>44105</v>
      </c>
      <c r="BD237" s="263">
        <f t="shared" si="171"/>
        <v>44136</v>
      </c>
      <c r="BE237" s="263">
        <f t="shared" si="171"/>
        <v>44166</v>
      </c>
      <c r="BF237" s="263">
        <f t="shared" si="171"/>
        <v>44197</v>
      </c>
      <c r="BG237" s="263">
        <f t="shared" si="171"/>
        <v>44228</v>
      </c>
      <c r="BH237" s="263">
        <f t="shared" si="171"/>
        <v>44256</v>
      </c>
      <c r="BI237" s="263">
        <f t="shared" si="171"/>
        <v>44287</v>
      </c>
      <c r="BJ237" s="263">
        <f t="shared" si="171"/>
        <v>44317</v>
      </c>
      <c r="BK237" s="263">
        <f t="shared" si="171"/>
        <v>44348</v>
      </c>
      <c r="BL237" s="263">
        <f t="shared" si="171"/>
        <v>44378</v>
      </c>
      <c r="BM237" s="263">
        <f t="shared" si="171"/>
        <v>44409</v>
      </c>
      <c r="BN237" s="263">
        <f t="shared" si="171"/>
        <v>44440</v>
      </c>
      <c r="BO237" s="263">
        <f t="shared" si="171"/>
        <v>44470</v>
      </c>
      <c r="BP237" s="263">
        <f t="shared" ref="BP237:CN237" si="172">BP$4</f>
        <v>44501</v>
      </c>
      <c r="BQ237" s="263">
        <f t="shared" si="172"/>
        <v>44531</v>
      </c>
      <c r="BR237" s="263">
        <f t="shared" si="172"/>
        <v>44562</v>
      </c>
      <c r="BS237" s="263">
        <f t="shared" si="172"/>
        <v>44593</v>
      </c>
      <c r="BT237" s="263">
        <f t="shared" si="172"/>
        <v>44622</v>
      </c>
      <c r="BU237" s="263">
        <f t="shared" si="172"/>
        <v>44654</v>
      </c>
      <c r="BV237" s="263">
        <f t="shared" si="172"/>
        <v>44685</v>
      </c>
      <c r="BW237" s="263">
        <f t="shared" si="172"/>
        <v>44716</v>
      </c>
      <c r="BX237" s="263">
        <f t="shared" si="172"/>
        <v>44746</v>
      </c>
      <c r="BY237" s="263">
        <f t="shared" si="172"/>
        <v>44774</v>
      </c>
      <c r="BZ237" s="263">
        <f t="shared" si="172"/>
        <v>44805</v>
      </c>
      <c r="CA237" s="263">
        <f t="shared" si="172"/>
        <v>44835</v>
      </c>
      <c r="CB237" s="263">
        <f t="shared" si="172"/>
        <v>44866</v>
      </c>
      <c r="CC237" s="263">
        <f t="shared" si="172"/>
        <v>44896</v>
      </c>
      <c r="CD237" s="263">
        <f t="shared" si="172"/>
        <v>44927</v>
      </c>
      <c r="CE237" s="263">
        <f t="shared" si="172"/>
        <v>44958</v>
      </c>
      <c r="CF237" s="263">
        <f t="shared" si="172"/>
        <v>44986</v>
      </c>
      <c r="CG237" s="263">
        <f t="shared" si="172"/>
        <v>45017</v>
      </c>
      <c r="CH237" s="263">
        <f t="shared" si="172"/>
        <v>45047</v>
      </c>
      <c r="CI237" s="263">
        <f t="shared" si="172"/>
        <v>45078</v>
      </c>
      <c r="CJ237" s="263">
        <f t="shared" si="172"/>
        <v>45108</v>
      </c>
      <c r="CK237" s="263">
        <f t="shared" si="172"/>
        <v>45139</v>
      </c>
      <c r="CL237" s="263">
        <f t="shared" si="172"/>
        <v>45170</v>
      </c>
      <c r="CM237" s="263">
        <f t="shared" si="172"/>
        <v>45200</v>
      </c>
      <c r="CN237" s="263">
        <f t="shared" si="172"/>
        <v>45231</v>
      </c>
      <c r="CO237"/>
      <c r="CP237"/>
      <c r="CQ237"/>
      <c r="CR237"/>
      <c r="CS237"/>
      <c r="CT237"/>
      <c r="CU237"/>
      <c r="CV237"/>
      <c r="CW237"/>
      <c r="CX237"/>
      <c r="CY237"/>
      <c r="CZ237"/>
      <c r="DA237"/>
      <c r="DB237"/>
      <c r="DC237"/>
      <c r="DD237"/>
      <c r="DE237"/>
    </row>
    <row r="238" spans="1:121" x14ac:dyDescent="0.25">
      <c r="B238" s="117" t="s">
        <v>542</v>
      </c>
      <c r="C238" s="265" t="s">
        <v>160</v>
      </c>
      <c r="D238" s="265" t="s">
        <v>160</v>
      </c>
      <c r="E238" s="265" t="s">
        <v>160</v>
      </c>
      <c r="F238" s="265" t="s">
        <v>160</v>
      </c>
      <c r="G238" s="265" t="s">
        <v>160</v>
      </c>
      <c r="H238" s="265" t="s">
        <v>160</v>
      </c>
      <c r="I238" s="265" t="s">
        <v>160</v>
      </c>
      <c r="J238" s="337" t="s">
        <v>160</v>
      </c>
      <c r="K238" s="337" t="s">
        <v>160</v>
      </c>
      <c r="L238" s="585" t="s">
        <v>160</v>
      </c>
      <c r="M238" s="585" t="s">
        <v>160</v>
      </c>
      <c r="N238" s="585" t="s">
        <v>160</v>
      </c>
      <c r="O238" s="585" t="s">
        <v>160</v>
      </c>
      <c r="P238" s="585" t="s">
        <v>160</v>
      </c>
      <c r="Q238" s="585" t="s">
        <v>160</v>
      </c>
      <c r="R238" s="585" t="s">
        <v>160</v>
      </c>
      <c r="S238" s="585" t="s">
        <v>160</v>
      </c>
      <c r="T238" s="585" t="s">
        <v>160</v>
      </c>
      <c r="U238" s="585" t="s">
        <v>160</v>
      </c>
      <c r="V238" s="585" t="s">
        <v>160</v>
      </c>
      <c r="W238" s="585" t="s">
        <v>160</v>
      </c>
      <c r="X238" s="585" t="s">
        <v>160</v>
      </c>
      <c r="Y238" s="585" t="s">
        <v>160</v>
      </c>
      <c r="Z238" s="585" t="s">
        <v>160</v>
      </c>
      <c r="AA238" s="585" t="s">
        <v>160</v>
      </c>
      <c r="AB238" s="585" t="s">
        <v>160</v>
      </c>
      <c r="AC238" s="585" t="s">
        <v>160</v>
      </c>
      <c r="AD238" s="585" t="s">
        <v>160</v>
      </c>
      <c r="AE238" s="585" t="s">
        <v>160</v>
      </c>
      <c r="AF238" s="585" t="s">
        <v>160</v>
      </c>
      <c r="AG238" s="585" t="s">
        <v>160</v>
      </c>
      <c r="AH238" s="585" t="s">
        <v>160</v>
      </c>
      <c r="AI238" s="585" t="s">
        <v>160</v>
      </c>
      <c r="AJ238" s="347" t="s">
        <v>160</v>
      </c>
      <c r="AK238" s="347" t="s">
        <v>160</v>
      </c>
      <c r="AL238" s="347" t="s">
        <v>160</v>
      </c>
      <c r="AM238" s="347" t="s">
        <v>160</v>
      </c>
      <c r="AN238" s="347" t="s">
        <v>160</v>
      </c>
      <c r="AO238" s="347" t="s">
        <v>160</v>
      </c>
      <c r="AP238" s="347" t="s">
        <v>160</v>
      </c>
      <c r="AQ238" s="347" t="s">
        <v>160</v>
      </c>
      <c r="AR238" s="347" t="s">
        <v>160</v>
      </c>
      <c r="AS238" s="347" t="s">
        <v>160</v>
      </c>
      <c r="AT238" s="347" t="s">
        <v>160</v>
      </c>
      <c r="AU238" s="347" t="s">
        <v>160</v>
      </c>
      <c r="AV238" s="928" t="s">
        <v>160</v>
      </c>
      <c r="AW238" s="347" t="s">
        <v>160</v>
      </c>
      <c r="AX238" s="347" t="s">
        <v>160</v>
      </c>
      <c r="AY238" s="347" t="s">
        <v>160</v>
      </c>
      <c r="AZ238" s="347" t="s">
        <v>160</v>
      </c>
      <c r="BA238" s="347" t="s">
        <v>160</v>
      </c>
      <c r="BB238" s="347" t="s">
        <v>160</v>
      </c>
      <c r="BC238" s="347" t="s">
        <v>160</v>
      </c>
      <c r="BD238" s="347" t="s">
        <v>160</v>
      </c>
      <c r="BE238" s="347" t="s">
        <v>160</v>
      </c>
      <c r="BF238" s="585" t="s">
        <v>160</v>
      </c>
      <c r="BG238" s="585" t="s">
        <v>160</v>
      </c>
      <c r="BH238" s="585" t="s">
        <v>160</v>
      </c>
      <c r="BI238" s="585" t="s">
        <v>160</v>
      </c>
      <c r="BJ238" s="585" t="s">
        <v>160</v>
      </c>
      <c r="BK238" s="585" t="s">
        <v>160</v>
      </c>
      <c r="BL238" s="585" t="s">
        <v>160</v>
      </c>
      <c r="BM238" s="585" t="s">
        <v>160</v>
      </c>
      <c r="BN238" s="585" t="s">
        <v>160</v>
      </c>
      <c r="BO238" s="585" t="s">
        <v>160</v>
      </c>
      <c r="BP238" s="585" t="s">
        <v>160</v>
      </c>
      <c r="BQ238" s="585">
        <v>1296</v>
      </c>
      <c r="BR238" s="585">
        <v>1296</v>
      </c>
      <c r="BS238" s="585">
        <v>1296</v>
      </c>
      <c r="BT238" s="585">
        <v>1296</v>
      </c>
      <c r="BU238" s="585">
        <v>1296</v>
      </c>
      <c r="BV238" s="585">
        <v>1296</v>
      </c>
      <c r="BW238" s="585">
        <v>1296</v>
      </c>
      <c r="BX238" s="585">
        <v>1296</v>
      </c>
      <c r="BY238" s="585">
        <v>1296</v>
      </c>
      <c r="BZ238" s="585">
        <v>1296</v>
      </c>
      <c r="CA238" s="585">
        <v>1296</v>
      </c>
      <c r="CB238" s="585">
        <v>1296</v>
      </c>
      <c r="CC238" s="342">
        <v>1478</v>
      </c>
      <c r="CD238" s="585">
        <v>1478</v>
      </c>
      <c r="CE238" s="585">
        <v>1478</v>
      </c>
      <c r="CF238" s="585">
        <v>1478</v>
      </c>
      <c r="CG238" s="585">
        <v>1478</v>
      </c>
      <c r="CH238" s="585">
        <v>1478</v>
      </c>
      <c r="CI238" s="585">
        <v>1478</v>
      </c>
      <c r="CJ238" s="585">
        <v>1478</v>
      </c>
      <c r="CK238" s="585">
        <v>1478</v>
      </c>
      <c r="CL238" s="585">
        <v>1478</v>
      </c>
      <c r="CM238" s="585">
        <v>1478</v>
      </c>
      <c r="CN238" s="585">
        <v>1478</v>
      </c>
      <c r="CO238"/>
      <c r="CP238"/>
      <c r="CQ238"/>
      <c r="CR238"/>
      <c r="CS238"/>
      <c r="CT238"/>
      <c r="CU238"/>
      <c r="CV238"/>
      <c r="CW238"/>
      <c r="CX238"/>
      <c r="CY238"/>
      <c r="CZ238"/>
      <c r="DA238"/>
      <c r="DB238"/>
      <c r="DC238"/>
      <c r="DD238"/>
      <c r="DE238"/>
    </row>
    <row r="239" spans="1:121" x14ac:dyDescent="0.25">
      <c r="B239" s="117" t="s">
        <v>546</v>
      </c>
      <c r="C239" s="265" t="s">
        <v>160</v>
      </c>
      <c r="D239" s="265" t="s">
        <v>160</v>
      </c>
      <c r="E239" s="265" t="s">
        <v>160</v>
      </c>
      <c r="F239" s="265" t="s">
        <v>160</v>
      </c>
      <c r="G239" s="265" t="s">
        <v>160</v>
      </c>
      <c r="H239" s="265" t="s">
        <v>160</v>
      </c>
      <c r="I239" s="265" t="s">
        <v>160</v>
      </c>
      <c r="J239" s="337" t="s">
        <v>160</v>
      </c>
      <c r="K239" s="337" t="s">
        <v>160</v>
      </c>
      <c r="L239" s="585" t="s">
        <v>160</v>
      </c>
      <c r="M239" s="585" t="s">
        <v>160</v>
      </c>
      <c r="N239" s="585" t="s">
        <v>160</v>
      </c>
      <c r="O239" s="585" t="s">
        <v>160</v>
      </c>
      <c r="P239" s="585" t="s">
        <v>160</v>
      </c>
      <c r="Q239" s="585" t="s">
        <v>160</v>
      </c>
      <c r="R239" s="585" t="s">
        <v>160</v>
      </c>
      <c r="S239" s="585" t="s">
        <v>160</v>
      </c>
      <c r="T239" s="585" t="s">
        <v>160</v>
      </c>
      <c r="U239" s="585" t="s">
        <v>160</v>
      </c>
      <c r="V239" s="585" t="s">
        <v>160</v>
      </c>
      <c r="W239" s="585" t="s">
        <v>160</v>
      </c>
      <c r="X239" s="585" t="s">
        <v>160</v>
      </c>
      <c r="Y239" s="585" t="s">
        <v>160</v>
      </c>
      <c r="Z239" s="585" t="s">
        <v>160</v>
      </c>
      <c r="AA239" s="585" t="s">
        <v>160</v>
      </c>
      <c r="AB239" s="585" t="s">
        <v>160</v>
      </c>
      <c r="AC239" s="585" t="s">
        <v>160</v>
      </c>
      <c r="AD239" s="585" t="s">
        <v>160</v>
      </c>
      <c r="AE239" s="585" t="s">
        <v>160</v>
      </c>
      <c r="AF239" s="585" t="s">
        <v>160</v>
      </c>
      <c r="AG239" s="585" t="s">
        <v>160</v>
      </c>
      <c r="AH239" s="585" t="s">
        <v>160</v>
      </c>
      <c r="AI239" s="585" t="s">
        <v>160</v>
      </c>
      <c r="AJ239" s="347" t="s">
        <v>160</v>
      </c>
      <c r="AK239" s="347" t="s">
        <v>160</v>
      </c>
      <c r="AL239" s="347" t="s">
        <v>160</v>
      </c>
      <c r="AM239" s="347" t="s">
        <v>160</v>
      </c>
      <c r="AN239" s="347" t="s">
        <v>160</v>
      </c>
      <c r="AO239" s="347" t="s">
        <v>160</v>
      </c>
      <c r="AP239" s="347" t="s">
        <v>160</v>
      </c>
      <c r="AQ239" s="347" t="s">
        <v>160</v>
      </c>
      <c r="AR239" s="347" t="s">
        <v>160</v>
      </c>
      <c r="AS239" s="347" t="s">
        <v>160</v>
      </c>
      <c r="AT239" s="347" t="s">
        <v>160</v>
      </c>
      <c r="AU239" s="347" t="s">
        <v>160</v>
      </c>
      <c r="AV239" s="928" t="s">
        <v>160</v>
      </c>
      <c r="AW239" s="347" t="s">
        <v>160</v>
      </c>
      <c r="AX239" s="347" t="s">
        <v>160</v>
      </c>
      <c r="AY239" s="347" t="s">
        <v>160</v>
      </c>
      <c r="AZ239" s="347" t="s">
        <v>160</v>
      </c>
      <c r="BA239" s="347" t="s">
        <v>160</v>
      </c>
      <c r="BB239" s="347" t="s">
        <v>160</v>
      </c>
      <c r="BC239" s="347" t="s">
        <v>160</v>
      </c>
      <c r="BD239" s="347" t="s">
        <v>160</v>
      </c>
      <c r="BE239" s="347" t="s">
        <v>160</v>
      </c>
      <c r="BF239" s="347" t="s">
        <v>160</v>
      </c>
      <c r="BG239" s="347" t="s">
        <v>160</v>
      </c>
      <c r="BH239" s="347" t="s">
        <v>160</v>
      </c>
      <c r="BI239" s="347" t="s">
        <v>160</v>
      </c>
      <c r="BJ239" s="347" t="s">
        <v>160</v>
      </c>
      <c r="BK239" s="347" t="s">
        <v>160</v>
      </c>
      <c r="BL239" s="347" t="s">
        <v>160</v>
      </c>
      <c r="BM239" s="347" t="s">
        <v>160</v>
      </c>
      <c r="BN239" s="347" t="s">
        <v>160</v>
      </c>
      <c r="BO239" s="347" t="s">
        <v>160</v>
      </c>
      <c r="BP239" s="347" t="s">
        <v>160</v>
      </c>
      <c r="BQ239" s="347">
        <v>1478</v>
      </c>
      <c r="BR239" s="347">
        <v>1478</v>
      </c>
      <c r="BS239" s="347">
        <v>1478</v>
      </c>
      <c r="BT239" s="347">
        <v>1478</v>
      </c>
      <c r="BU239" s="347">
        <v>1478</v>
      </c>
      <c r="BV239" s="347">
        <v>1478</v>
      </c>
      <c r="BW239" s="347">
        <v>1478</v>
      </c>
      <c r="BX239" s="347">
        <v>1478</v>
      </c>
      <c r="BY239" s="347">
        <v>1478</v>
      </c>
      <c r="BZ239" s="585">
        <v>1478</v>
      </c>
      <c r="CA239" s="585">
        <v>1478</v>
      </c>
      <c r="CB239" s="585">
        <v>1478</v>
      </c>
      <c r="CC239" s="585">
        <v>1478</v>
      </c>
      <c r="CD239" s="585">
        <v>1478</v>
      </c>
      <c r="CE239" s="585">
        <v>1478</v>
      </c>
      <c r="CF239" s="585">
        <v>1478</v>
      </c>
      <c r="CG239" s="585">
        <v>1478</v>
      </c>
      <c r="CH239" s="585">
        <v>1478</v>
      </c>
      <c r="CI239" s="585">
        <v>1478</v>
      </c>
      <c r="CJ239" s="585">
        <v>1478</v>
      </c>
      <c r="CK239" s="585">
        <v>1478</v>
      </c>
      <c r="CL239" s="585">
        <v>1478</v>
      </c>
      <c r="CM239" s="585">
        <v>1478</v>
      </c>
      <c r="CN239" s="585">
        <v>1478</v>
      </c>
      <c r="CO239"/>
      <c r="CP239"/>
      <c r="CQ239"/>
      <c r="CR239"/>
      <c r="CS239"/>
      <c r="CT239"/>
      <c r="CU239"/>
      <c r="CV239"/>
      <c r="CW239"/>
      <c r="CX239"/>
      <c r="CY239"/>
      <c r="CZ239"/>
      <c r="DA239"/>
      <c r="DB239"/>
      <c r="DC239"/>
      <c r="DD239"/>
      <c r="DE239"/>
    </row>
    <row r="240" spans="1:121" x14ac:dyDescent="0.25">
      <c r="B240" s="117" t="s">
        <v>574</v>
      </c>
      <c r="C240" s="264" t="s">
        <v>160</v>
      </c>
      <c r="D240" s="264" t="s">
        <v>160</v>
      </c>
      <c r="E240" s="264" t="s">
        <v>160</v>
      </c>
      <c r="F240" s="264" t="s">
        <v>160</v>
      </c>
      <c r="G240" s="264" t="s">
        <v>160</v>
      </c>
      <c r="H240" s="264" t="s">
        <v>160</v>
      </c>
      <c r="I240" s="264" t="s">
        <v>160</v>
      </c>
      <c r="J240" s="337" t="s">
        <v>160</v>
      </c>
      <c r="K240" s="337" t="s">
        <v>160</v>
      </c>
      <c r="L240" s="585" t="s">
        <v>160</v>
      </c>
      <c r="M240" s="585" t="s">
        <v>160</v>
      </c>
      <c r="N240" s="585" t="s">
        <v>160</v>
      </c>
      <c r="O240" s="585" t="s">
        <v>160</v>
      </c>
      <c r="P240" s="585" t="s">
        <v>160</v>
      </c>
      <c r="Q240" s="585" t="s">
        <v>160</v>
      </c>
      <c r="R240" s="585" t="s">
        <v>160</v>
      </c>
      <c r="S240" s="585" t="s">
        <v>160</v>
      </c>
      <c r="T240" s="585" t="s">
        <v>160</v>
      </c>
      <c r="U240" s="585" t="s">
        <v>160</v>
      </c>
      <c r="V240" s="585" t="s">
        <v>160</v>
      </c>
      <c r="W240" s="585" t="s">
        <v>160</v>
      </c>
      <c r="X240" s="585" t="s">
        <v>160</v>
      </c>
      <c r="Y240" s="585" t="s">
        <v>160</v>
      </c>
      <c r="Z240" s="585" t="s">
        <v>160</v>
      </c>
      <c r="AA240" s="585" t="s">
        <v>160</v>
      </c>
      <c r="AB240" s="585" t="s">
        <v>160</v>
      </c>
      <c r="AC240" s="585" t="s">
        <v>160</v>
      </c>
      <c r="AD240" s="585" t="s">
        <v>160</v>
      </c>
      <c r="AE240" s="585" t="s">
        <v>160</v>
      </c>
      <c r="AF240" s="585" t="s">
        <v>160</v>
      </c>
      <c r="AG240" s="585" t="s">
        <v>160</v>
      </c>
      <c r="AH240" s="585" t="s">
        <v>160</v>
      </c>
      <c r="AI240" s="585" t="s">
        <v>160</v>
      </c>
      <c r="AJ240" s="347" t="s">
        <v>160</v>
      </c>
      <c r="AK240" s="347" t="s">
        <v>160</v>
      </c>
      <c r="AL240" s="347" t="s">
        <v>160</v>
      </c>
      <c r="AM240" s="347" t="s">
        <v>160</v>
      </c>
      <c r="AN240" s="347" t="s">
        <v>160</v>
      </c>
      <c r="AO240" s="347" t="s">
        <v>160</v>
      </c>
      <c r="AP240" s="347" t="s">
        <v>160</v>
      </c>
      <c r="AQ240" s="347" t="s">
        <v>160</v>
      </c>
      <c r="AR240" s="347" t="s">
        <v>160</v>
      </c>
      <c r="AS240" s="347" t="s">
        <v>160</v>
      </c>
      <c r="AT240" s="347" t="s">
        <v>160</v>
      </c>
      <c r="AU240" s="347" t="s">
        <v>160</v>
      </c>
      <c r="AV240" s="928" t="s">
        <v>160</v>
      </c>
      <c r="AW240" s="349" t="s">
        <v>160</v>
      </c>
      <c r="AX240" s="349" t="s">
        <v>160</v>
      </c>
      <c r="AY240" s="347" t="s">
        <v>160</v>
      </c>
      <c r="AZ240" s="347" t="s">
        <v>160</v>
      </c>
      <c r="BA240" s="347" t="s">
        <v>160</v>
      </c>
      <c r="BB240" s="347" t="s">
        <v>160</v>
      </c>
      <c r="BC240" s="347" t="s">
        <v>160</v>
      </c>
      <c r="BD240" s="347" t="s">
        <v>160</v>
      </c>
      <c r="BE240" s="347" t="s">
        <v>160</v>
      </c>
      <c r="BF240" s="347" t="s">
        <v>160</v>
      </c>
      <c r="BG240" s="347" t="s">
        <v>160</v>
      </c>
      <c r="BH240" s="347" t="s">
        <v>160</v>
      </c>
      <c r="BI240" s="347" t="s">
        <v>160</v>
      </c>
      <c r="BJ240" s="347" t="s">
        <v>160</v>
      </c>
      <c r="BK240" s="347" t="s">
        <v>160</v>
      </c>
      <c r="BL240" s="347" t="s">
        <v>160</v>
      </c>
      <c r="BM240" s="347" t="s">
        <v>160</v>
      </c>
      <c r="BN240" s="347" t="s">
        <v>160</v>
      </c>
      <c r="BO240" s="347" t="s">
        <v>160</v>
      </c>
      <c r="BP240" s="347" t="s">
        <v>160</v>
      </c>
      <c r="BQ240" s="347" t="s">
        <v>160</v>
      </c>
      <c r="BR240" s="347" t="s">
        <v>160</v>
      </c>
      <c r="BS240" s="347" t="s">
        <v>160</v>
      </c>
      <c r="BT240" s="347" t="s">
        <v>160</v>
      </c>
      <c r="BU240" s="347" t="s">
        <v>160</v>
      </c>
      <c r="BV240" s="347" t="s">
        <v>160</v>
      </c>
      <c r="BW240" s="347" t="s">
        <v>160</v>
      </c>
      <c r="BX240" s="347" t="s">
        <v>160</v>
      </c>
      <c r="BY240" s="342">
        <v>1699</v>
      </c>
      <c r="BZ240" s="585">
        <v>1699</v>
      </c>
      <c r="CA240" s="585">
        <v>1699</v>
      </c>
      <c r="CB240" s="585">
        <v>1699</v>
      </c>
      <c r="CC240" s="585">
        <v>1699</v>
      </c>
      <c r="CD240" s="585">
        <v>1699</v>
      </c>
      <c r="CE240" s="585">
        <v>1699</v>
      </c>
      <c r="CF240" s="585">
        <v>1699</v>
      </c>
      <c r="CG240" s="585">
        <v>1699</v>
      </c>
      <c r="CH240" s="585">
        <v>1699</v>
      </c>
      <c r="CI240" s="585">
        <v>1699</v>
      </c>
      <c r="CJ240" s="585" t="s">
        <v>160</v>
      </c>
      <c r="CK240" s="585" t="s">
        <v>160</v>
      </c>
      <c r="CL240" s="585" t="s">
        <v>160</v>
      </c>
      <c r="CM240" s="585" t="s">
        <v>160</v>
      </c>
      <c r="CN240" s="585" t="s">
        <v>160</v>
      </c>
      <c r="CO240"/>
      <c r="CP240"/>
      <c r="CQ240"/>
      <c r="CR240"/>
      <c r="CS240"/>
      <c r="CT240"/>
      <c r="CU240"/>
      <c r="CV240"/>
      <c r="CW240"/>
      <c r="CX240"/>
      <c r="CY240"/>
      <c r="CZ240"/>
      <c r="DA240"/>
      <c r="DB240"/>
      <c r="DC240"/>
      <c r="DD240"/>
      <c r="DE240"/>
    </row>
    <row r="241" spans="1:115" x14ac:dyDescent="0.25">
      <c r="B241" s="117" t="s">
        <v>547</v>
      </c>
      <c r="C241" s="265" t="s">
        <v>160</v>
      </c>
      <c r="D241" s="265" t="s">
        <v>160</v>
      </c>
      <c r="E241" s="265" t="s">
        <v>160</v>
      </c>
      <c r="F241" s="265" t="s">
        <v>160</v>
      </c>
      <c r="G241" s="265" t="s">
        <v>160</v>
      </c>
      <c r="H241" s="265" t="s">
        <v>160</v>
      </c>
      <c r="I241" s="265" t="s">
        <v>160</v>
      </c>
      <c r="J241" s="337" t="s">
        <v>160</v>
      </c>
      <c r="K241" s="337" t="s">
        <v>160</v>
      </c>
      <c r="L241" s="585" t="s">
        <v>160</v>
      </c>
      <c r="M241" s="585" t="s">
        <v>160</v>
      </c>
      <c r="N241" s="585" t="s">
        <v>160</v>
      </c>
      <c r="O241" s="585" t="s">
        <v>160</v>
      </c>
      <c r="P241" s="585" t="s">
        <v>160</v>
      </c>
      <c r="Q241" s="585" t="s">
        <v>160</v>
      </c>
      <c r="R241" s="585" t="s">
        <v>160</v>
      </c>
      <c r="S241" s="585" t="s">
        <v>160</v>
      </c>
      <c r="T241" s="585" t="s">
        <v>160</v>
      </c>
      <c r="U241" s="585" t="s">
        <v>160</v>
      </c>
      <c r="V241" s="585" t="s">
        <v>160</v>
      </c>
      <c r="W241" s="585" t="s">
        <v>160</v>
      </c>
      <c r="X241" s="585" t="s">
        <v>160</v>
      </c>
      <c r="Y241" s="585" t="s">
        <v>160</v>
      </c>
      <c r="Z241" s="585" t="s">
        <v>160</v>
      </c>
      <c r="AA241" s="585" t="s">
        <v>160</v>
      </c>
      <c r="AB241" s="585" t="s">
        <v>160</v>
      </c>
      <c r="AC241" s="585" t="s">
        <v>160</v>
      </c>
      <c r="AD241" s="585" t="s">
        <v>160</v>
      </c>
      <c r="AE241" s="585" t="s">
        <v>160</v>
      </c>
      <c r="AF241" s="585" t="s">
        <v>160</v>
      </c>
      <c r="AG241" s="585" t="s">
        <v>160</v>
      </c>
      <c r="AH241" s="585" t="s">
        <v>160</v>
      </c>
      <c r="AI241" s="585" t="s">
        <v>160</v>
      </c>
      <c r="AJ241" s="347" t="s">
        <v>160</v>
      </c>
      <c r="AK241" s="347" t="s">
        <v>160</v>
      </c>
      <c r="AL241" s="347" t="s">
        <v>160</v>
      </c>
      <c r="AM241" s="347" t="s">
        <v>160</v>
      </c>
      <c r="AN241" s="347" t="s">
        <v>160</v>
      </c>
      <c r="AO241" s="347" t="s">
        <v>160</v>
      </c>
      <c r="AP241" s="347" t="s">
        <v>160</v>
      </c>
      <c r="AQ241" s="347" t="s">
        <v>160</v>
      </c>
      <c r="AR241" s="347" t="s">
        <v>160</v>
      </c>
      <c r="AS241" s="347" t="s">
        <v>160</v>
      </c>
      <c r="AT241" s="347" t="s">
        <v>160</v>
      </c>
      <c r="AU241" s="347" t="s">
        <v>160</v>
      </c>
      <c r="AV241" s="928" t="s">
        <v>160</v>
      </c>
      <c r="AW241" s="347" t="s">
        <v>160</v>
      </c>
      <c r="AX241" s="347" t="s">
        <v>160</v>
      </c>
      <c r="AY241" s="347" t="s">
        <v>160</v>
      </c>
      <c r="AZ241" s="347" t="s">
        <v>160</v>
      </c>
      <c r="BA241" s="347" t="s">
        <v>160</v>
      </c>
      <c r="BB241" s="347" t="s">
        <v>160</v>
      </c>
      <c r="BC241" s="347" t="s">
        <v>160</v>
      </c>
      <c r="BD241" s="347" t="s">
        <v>160</v>
      </c>
      <c r="BE241" s="347" t="s">
        <v>160</v>
      </c>
      <c r="BF241" s="347" t="s">
        <v>160</v>
      </c>
      <c r="BG241" s="347" t="s">
        <v>160</v>
      </c>
      <c r="BH241" s="347" t="s">
        <v>160</v>
      </c>
      <c r="BI241" s="347" t="s">
        <v>160</v>
      </c>
      <c r="BJ241" s="347" t="s">
        <v>160</v>
      </c>
      <c r="BK241" s="347" t="s">
        <v>160</v>
      </c>
      <c r="BL241" s="347" t="s">
        <v>160</v>
      </c>
      <c r="BM241" s="347" t="s">
        <v>160</v>
      </c>
      <c r="BN241" s="347" t="s">
        <v>160</v>
      </c>
      <c r="BO241" s="347" t="s">
        <v>160</v>
      </c>
      <c r="BP241" s="347" t="s">
        <v>160</v>
      </c>
      <c r="BQ241" s="347">
        <v>1296</v>
      </c>
      <c r="BR241" s="347">
        <v>1296</v>
      </c>
      <c r="BS241" s="347">
        <v>1296</v>
      </c>
      <c r="BT241" s="347">
        <v>1296</v>
      </c>
      <c r="BU241" s="347">
        <v>1297</v>
      </c>
      <c r="BV241" s="347">
        <v>1297</v>
      </c>
      <c r="BW241" s="347">
        <v>1297</v>
      </c>
      <c r="BX241" s="347">
        <v>1297</v>
      </c>
      <c r="BY241" s="342">
        <v>1552</v>
      </c>
      <c r="BZ241" s="585">
        <v>1552</v>
      </c>
      <c r="CA241" s="585">
        <v>1552</v>
      </c>
      <c r="CB241" s="585">
        <v>1552</v>
      </c>
      <c r="CC241" s="585">
        <v>1552</v>
      </c>
      <c r="CD241" s="342">
        <v>1573.5</v>
      </c>
      <c r="CE241" s="585">
        <v>1573.5</v>
      </c>
      <c r="CF241" s="585">
        <v>1573.5</v>
      </c>
      <c r="CG241" s="585">
        <v>1573.5</v>
      </c>
      <c r="CH241" s="585">
        <v>1573.5</v>
      </c>
      <c r="CI241" s="585">
        <v>1573.5</v>
      </c>
      <c r="CJ241" s="585">
        <v>1573.5</v>
      </c>
      <c r="CK241" s="585">
        <v>1573.5</v>
      </c>
      <c r="CL241" s="585">
        <v>1573.5</v>
      </c>
      <c r="CM241" s="585">
        <v>1573.5</v>
      </c>
      <c r="CN241" s="585">
        <v>1573.5</v>
      </c>
      <c r="CO241"/>
      <c r="CP241"/>
      <c r="CQ241"/>
      <c r="CR241"/>
      <c r="CS241"/>
      <c r="CT241"/>
      <c r="CU241"/>
      <c r="CV241"/>
      <c r="CW241"/>
      <c r="CX241"/>
      <c r="CY241"/>
      <c r="CZ241"/>
      <c r="DA241"/>
      <c r="DB241"/>
      <c r="DC241"/>
      <c r="DD241"/>
      <c r="DE241"/>
    </row>
    <row r="242" spans="1:115" x14ac:dyDescent="0.25">
      <c r="B242" s="117" t="s">
        <v>1150</v>
      </c>
      <c r="C242" s="265" t="s">
        <v>160</v>
      </c>
      <c r="D242" s="265" t="s">
        <v>160</v>
      </c>
      <c r="E242" s="265" t="s">
        <v>160</v>
      </c>
      <c r="F242" s="265" t="s">
        <v>160</v>
      </c>
      <c r="G242" s="265" t="s">
        <v>160</v>
      </c>
      <c r="H242" s="265" t="s">
        <v>160</v>
      </c>
      <c r="I242" s="265" t="s">
        <v>160</v>
      </c>
      <c r="J242" s="265" t="s">
        <v>160</v>
      </c>
      <c r="K242" s="265" t="s">
        <v>160</v>
      </c>
      <c r="L242" s="265" t="s">
        <v>160</v>
      </c>
      <c r="M242" s="265" t="s">
        <v>160</v>
      </c>
      <c r="N242" s="265" t="s">
        <v>160</v>
      </c>
      <c r="O242" s="265" t="s">
        <v>160</v>
      </c>
      <c r="P242" s="265" t="s">
        <v>160</v>
      </c>
      <c r="Q242" s="265" t="s">
        <v>160</v>
      </c>
      <c r="R242" s="265" t="s">
        <v>160</v>
      </c>
      <c r="S242" s="265" t="s">
        <v>160</v>
      </c>
      <c r="T242" s="265" t="s">
        <v>160</v>
      </c>
      <c r="U242" s="265" t="s">
        <v>160</v>
      </c>
      <c r="V242" s="265" t="s">
        <v>160</v>
      </c>
      <c r="W242" s="265" t="s">
        <v>160</v>
      </c>
      <c r="X242" s="265" t="s">
        <v>160</v>
      </c>
      <c r="Y242" s="265" t="s">
        <v>160</v>
      </c>
      <c r="Z242" s="265" t="s">
        <v>160</v>
      </c>
      <c r="AA242" s="265" t="s">
        <v>160</v>
      </c>
      <c r="AB242" s="265" t="s">
        <v>160</v>
      </c>
      <c r="AC242" s="265" t="s">
        <v>160</v>
      </c>
      <c r="AD242" s="265" t="s">
        <v>160</v>
      </c>
      <c r="AE242" s="265" t="s">
        <v>160</v>
      </c>
      <c r="AF242" s="265" t="s">
        <v>160</v>
      </c>
      <c r="AG242" s="265" t="s">
        <v>160</v>
      </c>
      <c r="AH242" s="265" t="s">
        <v>160</v>
      </c>
      <c r="AI242" s="265" t="s">
        <v>160</v>
      </c>
      <c r="AJ242" s="265" t="s">
        <v>160</v>
      </c>
      <c r="AK242" s="265" t="s">
        <v>160</v>
      </c>
      <c r="AL242" s="265" t="s">
        <v>160</v>
      </c>
      <c r="AM242" s="265" t="s">
        <v>160</v>
      </c>
      <c r="AN242" s="265" t="s">
        <v>160</v>
      </c>
      <c r="AO242" s="265" t="s">
        <v>160</v>
      </c>
      <c r="AP242" s="265" t="s">
        <v>160</v>
      </c>
      <c r="AQ242" s="265" t="s">
        <v>160</v>
      </c>
      <c r="AR242" s="265" t="s">
        <v>160</v>
      </c>
      <c r="AS242" s="265" t="s">
        <v>160</v>
      </c>
      <c r="AT242" s="265" t="s">
        <v>160</v>
      </c>
      <c r="AU242" s="265" t="s">
        <v>160</v>
      </c>
      <c r="AV242" s="265" t="s">
        <v>160</v>
      </c>
      <c r="AW242" s="265" t="s">
        <v>160</v>
      </c>
      <c r="AX242" s="265" t="s">
        <v>160</v>
      </c>
      <c r="AY242" s="265" t="s">
        <v>160</v>
      </c>
      <c r="AZ242" s="265" t="s">
        <v>160</v>
      </c>
      <c r="BA242" s="265" t="s">
        <v>160</v>
      </c>
      <c r="BB242" s="265" t="s">
        <v>160</v>
      </c>
      <c r="BC242" s="265" t="s">
        <v>160</v>
      </c>
      <c r="BD242" s="265" t="s">
        <v>160</v>
      </c>
      <c r="BE242" s="265" t="s">
        <v>160</v>
      </c>
      <c r="BF242" s="265" t="s">
        <v>160</v>
      </c>
      <c r="BG242" s="265" t="s">
        <v>160</v>
      </c>
      <c r="BH242" s="265" t="s">
        <v>160</v>
      </c>
      <c r="BI242" s="265" t="s">
        <v>160</v>
      </c>
      <c r="BJ242" s="265" t="s">
        <v>160</v>
      </c>
      <c r="BK242" s="265" t="s">
        <v>160</v>
      </c>
      <c r="BL242" s="265" t="s">
        <v>160</v>
      </c>
      <c r="BM242" s="265" t="s">
        <v>160</v>
      </c>
      <c r="BN242" s="347">
        <v>1513</v>
      </c>
      <c r="BO242" s="347">
        <v>1513</v>
      </c>
      <c r="BP242" s="347">
        <v>1513</v>
      </c>
      <c r="BQ242" s="342">
        <v>1396</v>
      </c>
      <c r="BR242" s="347">
        <v>1396</v>
      </c>
      <c r="BS242" s="347">
        <v>1396</v>
      </c>
      <c r="BT242" s="347">
        <v>1387</v>
      </c>
      <c r="BU242" s="347">
        <v>1387</v>
      </c>
      <c r="BV242" s="347">
        <v>1387</v>
      </c>
      <c r="BW242" s="347">
        <v>1387</v>
      </c>
      <c r="BX242" s="347">
        <v>1387</v>
      </c>
      <c r="BY242" s="347">
        <v>1387</v>
      </c>
      <c r="BZ242" s="585">
        <v>1387</v>
      </c>
      <c r="CA242" s="585">
        <v>1387</v>
      </c>
      <c r="CB242" s="342">
        <v>1624</v>
      </c>
      <c r="CC242" s="585">
        <v>1624</v>
      </c>
      <c r="CD242" s="585">
        <v>1624</v>
      </c>
      <c r="CE242" s="585">
        <v>1624</v>
      </c>
      <c r="CF242" s="585">
        <v>1624</v>
      </c>
      <c r="CG242" s="585">
        <v>1624</v>
      </c>
      <c r="CH242" s="585">
        <v>1624</v>
      </c>
      <c r="CI242" s="585" t="s">
        <v>160</v>
      </c>
      <c r="CJ242" s="585" t="s">
        <v>160</v>
      </c>
      <c r="CK242" s="585" t="s">
        <v>160</v>
      </c>
      <c r="CL242" s="585" t="s">
        <v>160</v>
      </c>
      <c r="CM242" s="585" t="s">
        <v>160</v>
      </c>
      <c r="CN242" s="585" t="s">
        <v>160</v>
      </c>
      <c r="CO242"/>
      <c r="CP242"/>
      <c r="CQ242"/>
      <c r="CR242"/>
      <c r="CS242"/>
      <c r="CT242"/>
      <c r="CU242"/>
      <c r="CV242"/>
      <c r="CW242"/>
      <c r="CX242"/>
      <c r="CY242"/>
      <c r="CZ242"/>
      <c r="DA242"/>
      <c r="DB242"/>
      <c r="DC242"/>
      <c r="DD242"/>
      <c r="DE242"/>
    </row>
    <row r="243" spans="1:115" x14ac:dyDescent="0.25">
      <c r="A243"/>
      <c r="B243" s="1072" t="s">
        <v>557</v>
      </c>
      <c r="C243" s="1079" t="str">
        <f t="shared" ref="C243:AH243" si="173">IFERROR(AVERAGE(C238:C242),"-")</f>
        <v>-</v>
      </c>
      <c r="D243" s="1079" t="str">
        <f t="shared" si="173"/>
        <v>-</v>
      </c>
      <c r="E243" s="1079" t="str">
        <f t="shared" si="173"/>
        <v>-</v>
      </c>
      <c r="F243" s="1079" t="str">
        <f t="shared" si="173"/>
        <v>-</v>
      </c>
      <c r="G243" s="1079" t="str">
        <f t="shared" si="173"/>
        <v>-</v>
      </c>
      <c r="H243" s="1079" t="str">
        <f t="shared" si="173"/>
        <v>-</v>
      </c>
      <c r="I243" s="1079" t="str">
        <f t="shared" si="173"/>
        <v>-</v>
      </c>
      <c r="J243" s="1079" t="str">
        <f t="shared" si="173"/>
        <v>-</v>
      </c>
      <c r="K243" s="1079" t="str">
        <f t="shared" si="173"/>
        <v>-</v>
      </c>
      <c r="L243" s="1079" t="str">
        <f t="shared" si="173"/>
        <v>-</v>
      </c>
      <c r="M243" s="1079" t="str">
        <f t="shared" si="173"/>
        <v>-</v>
      </c>
      <c r="N243" s="1079" t="str">
        <f t="shared" si="173"/>
        <v>-</v>
      </c>
      <c r="O243" s="1079" t="str">
        <f t="shared" si="173"/>
        <v>-</v>
      </c>
      <c r="P243" s="1079" t="str">
        <f t="shared" si="173"/>
        <v>-</v>
      </c>
      <c r="Q243" s="1079" t="str">
        <f t="shared" si="173"/>
        <v>-</v>
      </c>
      <c r="R243" s="1079" t="str">
        <f t="shared" si="173"/>
        <v>-</v>
      </c>
      <c r="S243" s="1079" t="str">
        <f t="shared" si="173"/>
        <v>-</v>
      </c>
      <c r="T243" s="1079" t="str">
        <f t="shared" si="173"/>
        <v>-</v>
      </c>
      <c r="U243" s="1079" t="str">
        <f t="shared" si="173"/>
        <v>-</v>
      </c>
      <c r="V243" s="1079" t="str">
        <f t="shared" si="173"/>
        <v>-</v>
      </c>
      <c r="W243" s="1079" t="str">
        <f t="shared" si="173"/>
        <v>-</v>
      </c>
      <c r="X243" s="1079" t="str">
        <f t="shared" si="173"/>
        <v>-</v>
      </c>
      <c r="Y243" s="1079" t="str">
        <f t="shared" si="173"/>
        <v>-</v>
      </c>
      <c r="Z243" s="1079" t="str">
        <f t="shared" si="173"/>
        <v>-</v>
      </c>
      <c r="AA243" s="1079" t="str">
        <f t="shared" si="173"/>
        <v>-</v>
      </c>
      <c r="AB243" s="1079" t="str">
        <f t="shared" si="173"/>
        <v>-</v>
      </c>
      <c r="AC243" s="1079" t="str">
        <f t="shared" si="173"/>
        <v>-</v>
      </c>
      <c r="AD243" s="1079" t="str">
        <f t="shared" si="173"/>
        <v>-</v>
      </c>
      <c r="AE243" s="1079" t="str">
        <f t="shared" si="173"/>
        <v>-</v>
      </c>
      <c r="AF243" s="1079" t="str">
        <f t="shared" si="173"/>
        <v>-</v>
      </c>
      <c r="AG243" s="1079" t="str">
        <f t="shared" si="173"/>
        <v>-</v>
      </c>
      <c r="AH243" s="1079" t="str">
        <f t="shared" si="173"/>
        <v>-</v>
      </c>
      <c r="AI243" s="1079" t="str">
        <f t="shared" ref="AI243:BN243" si="174">IFERROR(AVERAGE(AI238:AI242),"-")</f>
        <v>-</v>
      </c>
      <c r="AJ243" s="1079" t="str">
        <f t="shared" si="174"/>
        <v>-</v>
      </c>
      <c r="AK243" s="1079" t="str">
        <f t="shared" si="174"/>
        <v>-</v>
      </c>
      <c r="AL243" s="1079" t="str">
        <f t="shared" si="174"/>
        <v>-</v>
      </c>
      <c r="AM243" s="1079" t="str">
        <f t="shared" si="174"/>
        <v>-</v>
      </c>
      <c r="AN243" s="1079" t="str">
        <f t="shared" si="174"/>
        <v>-</v>
      </c>
      <c r="AO243" s="1079" t="str">
        <f t="shared" si="174"/>
        <v>-</v>
      </c>
      <c r="AP243" s="1079" t="str">
        <f t="shared" si="174"/>
        <v>-</v>
      </c>
      <c r="AQ243" s="1079" t="str">
        <f t="shared" si="174"/>
        <v>-</v>
      </c>
      <c r="AR243" s="1079" t="str">
        <f t="shared" si="174"/>
        <v>-</v>
      </c>
      <c r="AS243" s="1079" t="str">
        <f t="shared" si="174"/>
        <v>-</v>
      </c>
      <c r="AT243" s="1079" t="str">
        <f t="shared" si="174"/>
        <v>-</v>
      </c>
      <c r="AU243" s="1079" t="str">
        <f t="shared" si="174"/>
        <v>-</v>
      </c>
      <c r="AV243" s="1079" t="str">
        <f t="shared" si="174"/>
        <v>-</v>
      </c>
      <c r="AW243" s="1079" t="str">
        <f t="shared" si="174"/>
        <v>-</v>
      </c>
      <c r="AX243" s="1079" t="str">
        <f t="shared" si="174"/>
        <v>-</v>
      </c>
      <c r="AY243" s="1079" t="str">
        <f t="shared" si="174"/>
        <v>-</v>
      </c>
      <c r="AZ243" s="1079" t="str">
        <f t="shared" si="174"/>
        <v>-</v>
      </c>
      <c r="BA243" s="1079" t="str">
        <f t="shared" si="174"/>
        <v>-</v>
      </c>
      <c r="BB243" s="1079" t="str">
        <f t="shared" si="174"/>
        <v>-</v>
      </c>
      <c r="BC243" s="1079" t="str">
        <f t="shared" si="174"/>
        <v>-</v>
      </c>
      <c r="BD243" s="1079" t="str">
        <f t="shared" si="174"/>
        <v>-</v>
      </c>
      <c r="BE243" s="1079" t="str">
        <f t="shared" si="174"/>
        <v>-</v>
      </c>
      <c r="BF243" s="1079" t="str">
        <f t="shared" si="174"/>
        <v>-</v>
      </c>
      <c r="BG243" s="1079" t="str">
        <f t="shared" si="174"/>
        <v>-</v>
      </c>
      <c r="BH243" s="1079" t="str">
        <f t="shared" si="174"/>
        <v>-</v>
      </c>
      <c r="BI243" s="1079" t="str">
        <f t="shared" si="174"/>
        <v>-</v>
      </c>
      <c r="BJ243" s="1079" t="str">
        <f t="shared" si="174"/>
        <v>-</v>
      </c>
      <c r="BK243" s="1079" t="str">
        <f t="shared" si="174"/>
        <v>-</v>
      </c>
      <c r="BL243" s="1079" t="str">
        <f t="shared" si="174"/>
        <v>-</v>
      </c>
      <c r="BM243" s="1079" t="str">
        <f t="shared" si="174"/>
        <v>-</v>
      </c>
      <c r="BN243" s="1079">
        <f t="shared" si="174"/>
        <v>1513</v>
      </c>
      <c r="BO243" s="1079">
        <f t="shared" ref="BO243:CN243" si="175">IFERROR(AVERAGE(BO238:BO242),"-")</f>
        <v>1513</v>
      </c>
      <c r="BP243" s="1079">
        <f t="shared" si="175"/>
        <v>1513</v>
      </c>
      <c r="BQ243" s="1079">
        <f t="shared" si="175"/>
        <v>1366.5</v>
      </c>
      <c r="BR243" s="1079">
        <f t="shared" si="175"/>
        <v>1366.5</v>
      </c>
      <c r="BS243" s="1079">
        <f t="shared" si="175"/>
        <v>1366.5</v>
      </c>
      <c r="BT243" s="1079">
        <f t="shared" si="175"/>
        <v>1364.25</v>
      </c>
      <c r="BU243" s="1079">
        <f t="shared" si="175"/>
        <v>1364.5</v>
      </c>
      <c r="BV243" s="1079">
        <f t="shared" si="175"/>
        <v>1364.5</v>
      </c>
      <c r="BW243" s="1079">
        <f t="shared" si="175"/>
        <v>1364.5</v>
      </c>
      <c r="BX243" s="1079">
        <f t="shared" si="175"/>
        <v>1364.5</v>
      </c>
      <c r="BY243" s="1079">
        <f t="shared" si="175"/>
        <v>1482.4</v>
      </c>
      <c r="BZ243" s="1079">
        <f t="shared" si="175"/>
        <v>1482.4</v>
      </c>
      <c r="CA243" s="1079">
        <f t="shared" si="175"/>
        <v>1482.4</v>
      </c>
      <c r="CB243" s="1079">
        <f t="shared" si="175"/>
        <v>1529.8</v>
      </c>
      <c r="CC243" s="1079">
        <f t="shared" si="175"/>
        <v>1566.2</v>
      </c>
      <c r="CD243" s="1079">
        <f t="shared" si="175"/>
        <v>1570.5</v>
      </c>
      <c r="CE243" s="1079">
        <f t="shared" si="175"/>
        <v>1570.5</v>
      </c>
      <c r="CF243" s="1079">
        <f t="shared" si="175"/>
        <v>1570.5</v>
      </c>
      <c r="CG243" s="1079">
        <f t="shared" si="175"/>
        <v>1570.5</v>
      </c>
      <c r="CH243" s="1079">
        <f t="shared" si="175"/>
        <v>1570.5</v>
      </c>
      <c r="CI243" s="1079">
        <f t="shared" si="175"/>
        <v>1557.125</v>
      </c>
      <c r="CJ243" s="1079">
        <f t="shared" si="175"/>
        <v>1509.8333333333333</v>
      </c>
      <c r="CK243" s="1079">
        <f t="shared" si="175"/>
        <v>1509.8333333333333</v>
      </c>
      <c r="CL243" s="1079">
        <f t="shared" si="175"/>
        <v>1509.8333333333333</v>
      </c>
      <c r="CM243" s="1079">
        <f t="shared" si="175"/>
        <v>1509.8333333333333</v>
      </c>
      <c r="CN243" s="1079">
        <f t="shared" si="175"/>
        <v>1509.8333333333333</v>
      </c>
      <c r="CO243"/>
      <c r="CP243"/>
      <c r="CQ243"/>
      <c r="CR243"/>
      <c r="CS243"/>
      <c r="CT243"/>
      <c r="CU243"/>
      <c r="CV243"/>
      <c r="CW243"/>
      <c r="CX243"/>
      <c r="CY243"/>
      <c r="CZ243"/>
      <c r="DA243"/>
      <c r="DB243"/>
      <c r="DC243"/>
      <c r="DD243"/>
      <c r="DE243"/>
    </row>
    <row r="244" spans="1:115" customFormat="1" x14ac:dyDescent="0.25">
      <c r="A244" s="262"/>
      <c r="B244" s="262"/>
      <c r="C244" s="262"/>
      <c r="D244" s="262"/>
      <c r="E244" s="262"/>
      <c r="F244" s="262"/>
      <c r="G244" s="262"/>
      <c r="H244" s="262"/>
      <c r="I244" s="262"/>
      <c r="J244" s="262"/>
      <c r="K244" s="262"/>
      <c r="L244" s="262"/>
      <c r="M244" s="262"/>
      <c r="N244" s="262"/>
      <c r="O244" s="262"/>
      <c r="P244" s="262"/>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V244" s="918"/>
      <c r="DG244" s="1150"/>
      <c r="DH244" s="1150"/>
      <c r="DI244" s="1150"/>
      <c r="DJ244" s="1150"/>
      <c r="DK244" s="1150"/>
    </row>
    <row r="245" spans="1:115" customFormat="1" x14ac:dyDescent="0.25">
      <c r="A245" s="262"/>
      <c r="B245" s="113" t="s">
        <v>1097</v>
      </c>
      <c r="C245" s="263">
        <f>C$4</f>
        <v>42522</v>
      </c>
      <c r="D245" s="263">
        <f t="shared" ref="D245:BO245" si="176">D$4</f>
        <v>42552</v>
      </c>
      <c r="E245" s="263">
        <f t="shared" si="176"/>
        <v>42583</v>
      </c>
      <c r="F245" s="263">
        <f t="shared" si="176"/>
        <v>42614</v>
      </c>
      <c r="G245" s="263">
        <f t="shared" si="176"/>
        <v>42644</v>
      </c>
      <c r="H245" s="263">
        <f t="shared" si="176"/>
        <v>42675</v>
      </c>
      <c r="I245" s="263">
        <f t="shared" si="176"/>
        <v>42705</v>
      </c>
      <c r="J245" s="263">
        <f t="shared" si="176"/>
        <v>42736</v>
      </c>
      <c r="K245" s="263">
        <f t="shared" si="176"/>
        <v>42767</v>
      </c>
      <c r="L245" s="263">
        <f t="shared" si="176"/>
        <v>42795</v>
      </c>
      <c r="M245" s="263">
        <f t="shared" si="176"/>
        <v>42826</v>
      </c>
      <c r="N245" s="263">
        <f t="shared" si="176"/>
        <v>42856</v>
      </c>
      <c r="O245" s="263">
        <f t="shared" si="176"/>
        <v>42887</v>
      </c>
      <c r="P245" s="263">
        <f t="shared" si="176"/>
        <v>42917</v>
      </c>
      <c r="Q245" s="263">
        <f t="shared" si="176"/>
        <v>42948</v>
      </c>
      <c r="R245" s="263">
        <f t="shared" si="176"/>
        <v>42979</v>
      </c>
      <c r="S245" s="263">
        <f t="shared" si="176"/>
        <v>43009</v>
      </c>
      <c r="T245" s="263">
        <f t="shared" si="176"/>
        <v>43040</v>
      </c>
      <c r="U245" s="263">
        <f t="shared" si="176"/>
        <v>43070</v>
      </c>
      <c r="V245" s="263">
        <f t="shared" si="176"/>
        <v>43101</v>
      </c>
      <c r="W245" s="263">
        <f t="shared" si="176"/>
        <v>43132</v>
      </c>
      <c r="X245" s="263">
        <f t="shared" si="176"/>
        <v>43160</v>
      </c>
      <c r="Y245" s="263">
        <f t="shared" si="176"/>
        <v>43191</v>
      </c>
      <c r="Z245" s="263">
        <f t="shared" si="176"/>
        <v>43221</v>
      </c>
      <c r="AA245" s="263">
        <f t="shared" si="176"/>
        <v>43252</v>
      </c>
      <c r="AB245" s="263">
        <f t="shared" si="176"/>
        <v>43283</v>
      </c>
      <c r="AC245" s="263">
        <f t="shared" si="176"/>
        <v>43314</v>
      </c>
      <c r="AD245" s="263">
        <f t="shared" si="176"/>
        <v>43345</v>
      </c>
      <c r="AE245" s="263">
        <f t="shared" si="176"/>
        <v>43376</v>
      </c>
      <c r="AF245" s="263">
        <f t="shared" si="176"/>
        <v>43407</v>
      </c>
      <c r="AG245" s="263">
        <f t="shared" si="176"/>
        <v>43437</v>
      </c>
      <c r="AH245" s="263">
        <f t="shared" si="176"/>
        <v>43468</v>
      </c>
      <c r="AI245" s="263">
        <f t="shared" si="176"/>
        <v>43499</v>
      </c>
      <c r="AJ245" s="263">
        <f t="shared" si="176"/>
        <v>43527</v>
      </c>
      <c r="AK245" s="263">
        <f t="shared" si="176"/>
        <v>43558</v>
      </c>
      <c r="AL245" s="263">
        <f t="shared" si="176"/>
        <v>43587</v>
      </c>
      <c r="AM245" s="263">
        <f t="shared" si="176"/>
        <v>43618</v>
      </c>
      <c r="AN245" s="263">
        <f t="shared" si="176"/>
        <v>43647</v>
      </c>
      <c r="AO245" s="263">
        <f t="shared" si="176"/>
        <v>43678</v>
      </c>
      <c r="AP245" s="263">
        <f t="shared" si="176"/>
        <v>43709</v>
      </c>
      <c r="AQ245" s="263">
        <f t="shared" si="176"/>
        <v>43739</v>
      </c>
      <c r="AR245" s="263">
        <f t="shared" si="176"/>
        <v>43770</v>
      </c>
      <c r="AS245" s="263">
        <f t="shared" si="176"/>
        <v>43800</v>
      </c>
      <c r="AT245" s="263">
        <f t="shared" si="176"/>
        <v>43831</v>
      </c>
      <c r="AU245" s="263">
        <f t="shared" si="176"/>
        <v>43862</v>
      </c>
      <c r="AV245" s="263">
        <f t="shared" si="176"/>
        <v>43891</v>
      </c>
      <c r="AW245" s="263">
        <f t="shared" si="176"/>
        <v>43922</v>
      </c>
      <c r="AX245" s="263">
        <f t="shared" si="176"/>
        <v>43952</v>
      </c>
      <c r="AY245" s="263">
        <f t="shared" si="176"/>
        <v>43983</v>
      </c>
      <c r="AZ245" s="263">
        <f t="shared" si="176"/>
        <v>44013</v>
      </c>
      <c r="BA245" s="263">
        <f t="shared" si="176"/>
        <v>44044</v>
      </c>
      <c r="BB245" s="263">
        <f t="shared" si="176"/>
        <v>44075</v>
      </c>
      <c r="BC245" s="263">
        <f t="shared" si="176"/>
        <v>44105</v>
      </c>
      <c r="BD245" s="263">
        <f t="shared" si="176"/>
        <v>44136</v>
      </c>
      <c r="BE245" s="263">
        <f t="shared" si="176"/>
        <v>44166</v>
      </c>
      <c r="BF245" s="263">
        <f t="shared" si="176"/>
        <v>44197</v>
      </c>
      <c r="BG245" s="263">
        <f t="shared" si="176"/>
        <v>44228</v>
      </c>
      <c r="BH245" s="263">
        <f t="shared" si="176"/>
        <v>44256</v>
      </c>
      <c r="BI245" s="263">
        <f t="shared" si="176"/>
        <v>44287</v>
      </c>
      <c r="BJ245" s="263">
        <f t="shared" si="176"/>
        <v>44317</v>
      </c>
      <c r="BK245" s="263">
        <f t="shared" si="176"/>
        <v>44348</v>
      </c>
      <c r="BL245" s="263">
        <f t="shared" si="176"/>
        <v>44378</v>
      </c>
      <c r="BM245" s="263">
        <f t="shared" si="176"/>
        <v>44409</v>
      </c>
      <c r="BN245" s="263">
        <f t="shared" si="176"/>
        <v>44440</v>
      </c>
      <c r="BO245" s="263">
        <f t="shared" si="176"/>
        <v>44470</v>
      </c>
      <c r="BP245" s="263">
        <f t="shared" ref="BP245:CN245" si="177">BP$4</f>
        <v>44501</v>
      </c>
      <c r="BQ245" s="263">
        <f t="shared" si="177"/>
        <v>44531</v>
      </c>
      <c r="BR245" s="263">
        <f t="shared" si="177"/>
        <v>44562</v>
      </c>
      <c r="BS245" s="263">
        <f t="shared" si="177"/>
        <v>44593</v>
      </c>
      <c r="BT245" s="263">
        <f t="shared" si="177"/>
        <v>44622</v>
      </c>
      <c r="BU245" s="263">
        <f t="shared" si="177"/>
        <v>44654</v>
      </c>
      <c r="BV245" s="263">
        <f t="shared" si="177"/>
        <v>44685</v>
      </c>
      <c r="BW245" s="263">
        <f t="shared" si="177"/>
        <v>44716</v>
      </c>
      <c r="BX245" s="263">
        <f t="shared" si="177"/>
        <v>44746</v>
      </c>
      <c r="BY245" s="263">
        <f t="shared" si="177"/>
        <v>44774</v>
      </c>
      <c r="BZ245" s="263">
        <f t="shared" si="177"/>
        <v>44805</v>
      </c>
      <c r="CA245" s="263">
        <f t="shared" si="177"/>
        <v>44835</v>
      </c>
      <c r="CB245" s="263">
        <f t="shared" si="177"/>
        <v>44866</v>
      </c>
      <c r="CC245" s="263">
        <f t="shared" si="177"/>
        <v>44896</v>
      </c>
      <c r="CD245" s="263">
        <f t="shared" si="177"/>
        <v>44927</v>
      </c>
      <c r="CE245" s="263">
        <f t="shared" si="177"/>
        <v>44958</v>
      </c>
      <c r="CF245" s="263">
        <f t="shared" si="177"/>
        <v>44986</v>
      </c>
      <c r="CG245" s="263">
        <f t="shared" si="177"/>
        <v>45017</v>
      </c>
      <c r="CH245" s="263">
        <f t="shared" si="177"/>
        <v>45047</v>
      </c>
      <c r="CI245" s="263">
        <f t="shared" si="177"/>
        <v>45078</v>
      </c>
      <c r="CJ245" s="263">
        <f t="shared" si="177"/>
        <v>45108</v>
      </c>
      <c r="CK245" s="263">
        <f t="shared" si="177"/>
        <v>45139</v>
      </c>
      <c r="CL245" s="263">
        <f t="shared" si="177"/>
        <v>45170</v>
      </c>
      <c r="CM245" s="263">
        <f t="shared" si="177"/>
        <v>45200</v>
      </c>
      <c r="CN245" s="263">
        <f t="shared" si="177"/>
        <v>45231</v>
      </c>
      <c r="DG245" s="1150"/>
      <c r="DH245" s="1150"/>
      <c r="DI245" s="1150"/>
      <c r="DJ245" s="1150"/>
      <c r="DK245" s="1150"/>
    </row>
    <row r="246" spans="1:115" customFormat="1" x14ac:dyDescent="0.25">
      <c r="A246" s="262"/>
      <c r="B246" s="117" t="s">
        <v>542</v>
      </c>
      <c r="C246" s="264" t="s">
        <v>160</v>
      </c>
      <c r="D246" s="264" t="s">
        <v>160</v>
      </c>
      <c r="E246" s="264" t="s">
        <v>160</v>
      </c>
      <c r="F246" s="265" t="s">
        <v>160</v>
      </c>
      <c r="G246" s="265" t="s">
        <v>160</v>
      </c>
      <c r="H246" s="265" t="s">
        <v>160</v>
      </c>
      <c r="I246" s="265" t="s">
        <v>160</v>
      </c>
      <c r="J246" s="265" t="s">
        <v>160</v>
      </c>
      <c r="K246" s="265" t="s">
        <v>160</v>
      </c>
      <c r="L246" s="586" t="s">
        <v>160</v>
      </c>
      <c r="M246" s="586" t="s">
        <v>160</v>
      </c>
      <c r="N246" s="586" t="s">
        <v>160</v>
      </c>
      <c r="O246" s="586" t="s">
        <v>160</v>
      </c>
      <c r="P246" s="586" t="s">
        <v>160</v>
      </c>
      <c r="Q246" s="586" t="s">
        <v>160</v>
      </c>
      <c r="R246" s="586" t="s">
        <v>160</v>
      </c>
      <c r="S246" s="586" t="s">
        <v>160</v>
      </c>
      <c r="T246" s="586" t="s">
        <v>160</v>
      </c>
      <c r="U246" s="585" t="s">
        <v>160</v>
      </c>
      <c r="V246" s="585" t="s">
        <v>160</v>
      </c>
      <c r="W246" s="585" t="s">
        <v>160</v>
      </c>
      <c r="X246" s="585" t="s">
        <v>160</v>
      </c>
      <c r="Y246" s="585" t="s">
        <v>160</v>
      </c>
      <c r="Z246" s="585" t="s">
        <v>160</v>
      </c>
      <c r="AA246" s="585" t="s">
        <v>160</v>
      </c>
      <c r="AB246" s="585" t="s">
        <v>160</v>
      </c>
      <c r="AC246" s="585" t="s">
        <v>160</v>
      </c>
      <c r="AD246" s="585" t="s">
        <v>160</v>
      </c>
      <c r="AE246" s="585" t="s">
        <v>160</v>
      </c>
      <c r="AF246" s="585" t="s">
        <v>160</v>
      </c>
      <c r="AG246" s="585" t="s">
        <v>160</v>
      </c>
      <c r="AH246" s="585" t="s">
        <v>160</v>
      </c>
      <c r="AI246" s="585" t="s">
        <v>160</v>
      </c>
      <c r="AJ246" s="347" t="s">
        <v>160</v>
      </c>
      <c r="AK246" s="347" t="s">
        <v>160</v>
      </c>
      <c r="AL246" s="347" t="s">
        <v>160</v>
      </c>
      <c r="AM246" s="347" t="s">
        <v>160</v>
      </c>
      <c r="AN246" s="347" t="s">
        <v>160</v>
      </c>
      <c r="AO246" s="347" t="s">
        <v>160</v>
      </c>
      <c r="AP246" s="347" t="s">
        <v>160</v>
      </c>
      <c r="AQ246" s="347" t="s">
        <v>160</v>
      </c>
      <c r="AR246" s="347" t="s">
        <v>160</v>
      </c>
      <c r="AS246" s="347" t="s">
        <v>160</v>
      </c>
      <c r="AT246" s="347" t="s">
        <v>160</v>
      </c>
      <c r="AU246" s="347" t="s">
        <v>160</v>
      </c>
      <c r="AV246" s="928" t="s">
        <v>160</v>
      </c>
      <c r="AW246" s="347" t="s">
        <v>160</v>
      </c>
      <c r="AX246" s="347" t="s">
        <v>160</v>
      </c>
      <c r="AY246" s="347" t="s">
        <v>160</v>
      </c>
      <c r="AZ246" s="347" t="s">
        <v>160</v>
      </c>
      <c r="BA246" s="347" t="s">
        <v>160</v>
      </c>
      <c r="BB246" s="347" t="s">
        <v>160</v>
      </c>
      <c r="BC246" s="347" t="s">
        <v>160</v>
      </c>
      <c r="BD246" s="347" t="s">
        <v>160</v>
      </c>
      <c r="BE246" s="347" t="s">
        <v>160</v>
      </c>
      <c r="BF246" s="585" t="s">
        <v>160</v>
      </c>
      <c r="BG246" s="585" t="s">
        <v>160</v>
      </c>
      <c r="BH246" s="585" t="s">
        <v>160</v>
      </c>
      <c r="BI246" s="585" t="s">
        <v>160</v>
      </c>
      <c r="BJ246" s="585" t="s">
        <v>160</v>
      </c>
      <c r="BK246" s="585" t="s">
        <v>160</v>
      </c>
      <c r="BL246" s="585" t="s">
        <v>160</v>
      </c>
      <c r="BM246" s="585" t="s">
        <v>160</v>
      </c>
      <c r="BN246" s="585" t="s">
        <v>160</v>
      </c>
      <c r="BO246" s="585" t="s">
        <v>160</v>
      </c>
      <c r="BP246" s="585" t="s">
        <v>160</v>
      </c>
      <c r="BQ246" s="585">
        <v>208</v>
      </c>
      <c r="BR246" s="585">
        <v>208</v>
      </c>
      <c r="BS246" s="585">
        <v>208</v>
      </c>
      <c r="BT246" s="585">
        <v>208</v>
      </c>
      <c r="BU246" s="585">
        <v>208</v>
      </c>
      <c r="BV246" s="585">
        <v>208</v>
      </c>
      <c r="BW246" s="585">
        <v>208</v>
      </c>
      <c r="BX246" s="585">
        <v>208</v>
      </c>
      <c r="BY246" s="585">
        <v>208</v>
      </c>
      <c r="BZ246" s="585">
        <v>208</v>
      </c>
      <c r="CA246" s="585">
        <v>208</v>
      </c>
      <c r="CB246" s="585">
        <v>208</v>
      </c>
      <c r="CC246" s="342">
        <v>242</v>
      </c>
      <c r="CD246" s="585">
        <v>242</v>
      </c>
      <c r="CE246" s="585">
        <v>242</v>
      </c>
      <c r="CF246" s="585">
        <v>242</v>
      </c>
      <c r="CG246" s="585">
        <v>242</v>
      </c>
      <c r="CH246" s="585">
        <v>242</v>
      </c>
      <c r="CI246" s="585">
        <v>242</v>
      </c>
      <c r="CJ246" s="585">
        <v>242</v>
      </c>
      <c r="CK246" s="585">
        <v>242</v>
      </c>
      <c r="CL246" s="585">
        <v>242</v>
      </c>
      <c r="CM246" s="585">
        <v>242</v>
      </c>
      <c r="CN246" s="585">
        <v>242</v>
      </c>
      <c r="DG246" s="1150"/>
      <c r="DH246" s="1150"/>
      <c r="DI246" s="1150"/>
      <c r="DJ246" s="1150"/>
      <c r="DK246" s="1150"/>
    </row>
    <row r="247" spans="1:115" x14ac:dyDescent="0.25">
      <c r="B247" s="117" t="s">
        <v>546</v>
      </c>
      <c r="C247" s="264" t="s">
        <v>160</v>
      </c>
      <c r="D247" s="264" t="s">
        <v>160</v>
      </c>
      <c r="E247" s="264" t="s">
        <v>160</v>
      </c>
      <c r="F247" s="264" t="s">
        <v>160</v>
      </c>
      <c r="G247" s="264" t="s">
        <v>160</v>
      </c>
      <c r="H247" s="265" t="s">
        <v>160</v>
      </c>
      <c r="I247" s="265" t="s">
        <v>160</v>
      </c>
      <c r="J247" s="265" t="s">
        <v>160</v>
      </c>
      <c r="K247" s="265" t="s">
        <v>160</v>
      </c>
      <c r="L247" s="586" t="s">
        <v>160</v>
      </c>
      <c r="M247" s="586" t="s">
        <v>160</v>
      </c>
      <c r="N247" s="586" t="s">
        <v>160</v>
      </c>
      <c r="O247" s="586" t="s">
        <v>160</v>
      </c>
      <c r="P247" s="586" t="s">
        <v>160</v>
      </c>
      <c r="Q247" s="586" t="s">
        <v>160</v>
      </c>
      <c r="R247" s="586" t="s">
        <v>160</v>
      </c>
      <c r="S247" s="586" t="s">
        <v>160</v>
      </c>
      <c r="T247" s="586" t="s">
        <v>160</v>
      </c>
      <c r="U247" s="586" t="s">
        <v>160</v>
      </c>
      <c r="V247" s="586" t="s">
        <v>160</v>
      </c>
      <c r="W247" s="586" t="s">
        <v>160</v>
      </c>
      <c r="X247" s="586" t="s">
        <v>160</v>
      </c>
      <c r="Y247" s="586" t="s">
        <v>160</v>
      </c>
      <c r="Z247" s="586" t="s">
        <v>160</v>
      </c>
      <c r="AA247" s="586" t="s">
        <v>160</v>
      </c>
      <c r="AB247" s="586" t="s">
        <v>160</v>
      </c>
      <c r="AC247" s="586" t="s">
        <v>160</v>
      </c>
      <c r="AD247" s="586" t="s">
        <v>160</v>
      </c>
      <c r="AE247" s="586" t="s">
        <v>160</v>
      </c>
      <c r="AF247" s="585" t="s">
        <v>160</v>
      </c>
      <c r="AG247" s="586" t="s">
        <v>160</v>
      </c>
      <c r="AH247" s="586" t="s">
        <v>160</v>
      </c>
      <c r="AI247" s="586" t="s">
        <v>160</v>
      </c>
      <c r="AJ247" s="347" t="s">
        <v>160</v>
      </c>
      <c r="AK247" s="347" t="s">
        <v>160</v>
      </c>
      <c r="AL247" s="347" t="s">
        <v>160</v>
      </c>
      <c r="AM247" s="347" t="s">
        <v>160</v>
      </c>
      <c r="AN247" s="347" t="s">
        <v>160</v>
      </c>
      <c r="AO247" s="347" t="s">
        <v>160</v>
      </c>
      <c r="AP247" s="347" t="s">
        <v>160</v>
      </c>
      <c r="AQ247" s="347" t="s">
        <v>160</v>
      </c>
      <c r="AR247" s="347" t="s">
        <v>160</v>
      </c>
      <c r="AS247" s="347" t="s">
        <v>160</v>
      </c>
      <c r="AT247" s="347" t="s">
        <v>160</v>
      </c>
      <c r="AU247" s="347" t="s">
        <v>160</v>
      </c>
      <c r="AV247" s="928" t="s">
        <v>160</v>
      </c>
      <c r="AW247" s="347" t="s">
        <v>160</v>
      </c>
      <c r="AX247" s="347" t="s">
        <v>160</v>
      </c>
      <c r="AY247" s="347" t="s">
        <v>160</v>
      </c>
      <c r="AZ247" s="347" t="s">
        <v>160</v>
      </c>
      <c r="BA247" s="347" t="s">
        <v>160</v>
      </c>
      <c r="BB247" s="347" t="s">
        <v>160</v>
      </c>
      <c r="BC247" s="347" t="s">
        <v>160</v>
      </c>
      <c r="BD247" s="347" t="s">
        <v>160</v>
      </c>
      <c r="BE247" s="347" t="s">
        <v>160</v>
      </c>
      <c r="BF247" s="347" t="s">
        <v>160</v>
      </c>
      <c r="BG247" s="347" t="s">
        <v>160</v>
      </c>
      <c r="BH247" s="347" t="s">
        <v>160</v>
      </c>
      <c r="BI247" s="347" t="s">
        <v>160</v>
      </c>
      <c r="BJ247" s="347" t="s">
        <v>160</v>
      </c>
      <c r="BK247" s="347" t="s">
        <v>160</v>
      </c>
      <c r="BL247" s="347" t="s">
        <v>160</v>
      </c>
      <c r="BM247" s="347" t="s">
        <v>160</v>
      </c>
      <c r="BN247" s="347" t="s">
        <v>160</v>
      </c>
      <c r="BO247" s="347" t="s">
        <v>160</v>
      </c>
      <c r="BP247" s="347" t="s">
        <v>160</v>
      </c>
      <c r="BQ247" s="347">
        <v>243</v>
      </c>
      <c r="BR247" s="347">
        <v>243</v>
      </c>
      <c r="BS247" s="347">
        <v>243</v>
      </c>
      <c r="BT247" s="347">
        <v>243</v>
      </c>
      <c r="BU247" s="347">
        <v>243</v>
      </c>
      <c r="BV247" s="347">
        <v>243</v>
      </c>
      <c r="BW247" s="347">
        <v>243</v>
      </c>
      <c r="BX247" s="347">
        <v>243</v>
      </c>
      <c r="BY247" s="347">
        <v>243</v>
      </c>
      <c r="BZ247" s="585">
        <v>243</v>
      </c>
      <c r="CA247" s="585">
        <v>243</v>
      </c>
      <c r="CB247" s="585">
        <v>243</v>
      </c>
      <c r="CC247" s="585">
        <v>243</v>
      </c>
      <c r="CD247" s="585">
        <v>243</v>
      </c>
      <c r="CE247" s="585">
        <v>243</v>
      </c>
      <c r="CF247" s="585">
        <v>243</v>
      </c>
      <c r="CG247" s="585">
        <v>243</v>
      </c>
      <c r="CH247" s="585">
        <v>243</v>
      </c>
      <c r="CI247" s="585">
        <v>243</v>
      </c>
      <c r="CJ247" s="585">
        <v>243</v>
      </c>
      <c r="CK247" s="585">
        <v>243</v>
      </c>
      <c r="CL247" s="585">
        <v>243</v>
      </c>
      <c r="CM247" s="585">
        <v>243</v>
      </c>
      <c r="CN247" s="585">
        <v>243</v>
      </c>
      <c r="CO247"/>
      <c r="CP247"/>
      <c r="CQ247"/>
      <c r="CR247"/>
      <c r="CS247"/>
      <c r="CT247"/>
      <c r="CU247"/>
      <c r="CV247"/>
      <c r="CW247"/>
      <c r="CX247"/>
      <c r="CY247"/>
      <c r="CZ247"/>
      <c r="DA247"/>
      <c r="DB247"/>
      <c r="DC247"/>
      <c r="DD247"/>
      <c r="DE247"/>
    </row>
    <row r="248" spans="1:115" x14ac:dyDescent="0.25">
      <c r="B248" s="117" t="s">
        <v>574</v>
      </c>
      <c r="C248" s="264" t="s">
        <v>160</v>
      </c>
      <c r="D248" s="264" t="s">
        <v>160</v>
      </c>
      <c r="E248" s="264" t="s">
        <v>160</v>
      </c>
      <c r="F248" s="264" t="s">
        <v>160</v>
      </c>
      <c r="G248" s="264" t="s">
        <v>160</v>
      </c>
      <c r="H248" s="264" t="s">
        <v>160</v>
      </c>
      <c r="I248" s="264" t="s">
        <v>160</v>
      </c>
      <c r="J248" s="264" t="s">
        <v>160</v>
      </c>
      <c r="K248" s="264" t="s">
        <v>160</v>
      </c>
      <c r="L248" s="352" t="s">
        <v>160</v>
      </c>
      <c r="M248" s="352" t="s">
        <v>160</v>
      </c>
      <c r="N248" s="352" t="s">
        <v>160</v>
      </c>
      <c r="O248" s="586" t="s">
        <v>160</v>
      </c>
      <c r="P248" s="586" t="s">
        <v>160</v>
      </c>
      <c r="Q248" s="586" t="s">
        <v>160</v>
      </c>
      <c r="R248" s="586" t="s">
        <v>160</v>
      </c>
      <c r="S248" s="586" t="s">
        <v>160</v>
      </c>
      <c r="T248" s="586" t="s">
        <v>160</v>
      </c>
      <c r="U248" s="586" t="s">
        <v>160</v>
      </c>
      <c r="V248" s="586" t="s">
        <v>160</v>
      </c>
      <c r="W248" s="585" t="s">
        <v>160</v>
      </c>
      <c r="X248" s="585" t="s">
        <v>160</v>
      </c>
      <c r="Y248" s="585" t="s">
        <v>160</v>
      </c>
      <c r="Z248" s="585" t="s">
        <v>160</v>
      </c>
      <c r="AA248" s="585" t="s">
        <v>160</v>
      </c>
      <c r="AB248" s="585" t="s">
        <v>160</v>
      </c>
      <c r="AC248" s="585" t="s">
        <v>160</v>
      </c>
      <c r="AD248" s="585" t="s">
        <v>160</v>
      </c>
      <c r="AE248" s="585" t="s">
        <v>160</v>
      </c>
      <c r="AF248" s="585" t="s">
        <v>160</v>
      </c>
      <c r="AG248" s="586" t="s">
        <v>160</v>
      </c>
      <c r="AH248" s="586" t="s">
        <v>160</v>
      </c>
      <c r="AI248" s="586" t="s">
        <v>160</v>
      </c>
      <c r="AJ248" s="347" t="s">
        <v>160</v>
      </c>
      <c r="AK248" s="347" t="s">
        <v>160</v>
      </c>
      <c r="AL248" s="347" t="s">
        <v>160</v>
      </c>
      <c r="AM248" s="347" t="s">
        <v>160</v>
      </c>
      <c r="AN248" s="347" t="s">
        <v>160</v>
      </c>
      <c r="AO248" s="347" t="s">
        <v>160</v>
      </c>
      <c r="AP248" s="347" t="s">
        <v>160</v>
      </c>
      <c r="AQ248" s="347" t="s">
        <v>160</v>
      </c>
      <c r="AR248" s="347" t="s">
        <v>160</v>
      </c>
      <c r="AS248" s="347" t="s">
        <v>160</v>
      </c>
      <c r="AT248" s="347" t="s">
        <v>160</v>
      </c>
      <c r="AU248" s="347" t="s">
        <v>160</v>
      </c>
      <c r="AV248" s="928" t="s">
        <v>160</v>
      </c>
      <c r="AW248" s="349" t="s">
        <v>160</v>
      </c>
      <c r="AX248" s="349" t="s">
        <v>160</v>
      </c>
      <c r="AY248" s="347" t="s">
        <v>160</v>
      </c>
      <c r="AZ248" s="347" t="s">
        <v>160</v>
      </c>
      <c r="BA248" s="347" t="s">
        <v>160</v>
      </c>
      <c r="BB248" s="347" t="s">
        <v>160</v>
      </c>
      <c r="BC248" s="347" t="s">
        <v>160</v>
      </c>
      <c r="BD248" s="347" t="s">
        <v>160</v>
      </c>
      <c r="BE248" s="347" t="s">
        <v>160</v>
      </c>
      <c r="BF248" s="347" t="s">
        <v>160</v>
      </c>
      <c r="BG248" s="347" t="s">
        <v>160</v>
      </c>
      <c r="BH248" s="347" t="s">
        <v>160</v>
      </c>
      <c r="BI248" s="347" t="s">
        <v>160</v>
      </c>
      <c r="BJ248" s="347" t="s">
        <v>160</v>
      </c>
      <c r="BK248" s="347" t="s">
        <v>160</v>
      </c>
      <c r="BL248" s="347" t="s">
        <v>160</v>
      </c>
      <c r="BM248" s="347" t="s">
        <v>160</v>
      </c>
      <c r="BN248" s="347" t="s">
        <v>160</v>
      </c>
      <c r="BO248" s="347" t="s">
        <v>160</v>
      </c>
      <c r="BP248" s="347" t="s">
        <v>160</v>
      </c>
      <c r="BQ248" s="347" t="s">
        <v>160</v>
      </c>
      <c r="BR248" s="347" t="s">
        <v>160</v>
      </c>
      <c r="BS248" s="347" t="s">
        <v>160</v>
      </c>
      <c r="BT248" s="347" t="s">
        <v>160</v>
      </c>
      <c r="BU248" s="347" t="s">
        <v>160</v>
      </c>
      <c r="BV248" s="347" t="s">
        <v>160</v>
      </c>
      <c r="BW248" s="347" t="s">
        <v>160</v>
      </c>
      <c r="BX248" s="347" t="s">
        <v>160</v>
      </c>
      <c r="BY248" s="342">
        <v>290</v>
      </c>
      <c r="BZ248" s="585">
        <v>290</v>
      </c>
      <c r="CA248" s="585">
        <v>290</v>
      </c>
      <c r="CB248" s="585">
        <v>290</v>
      </c>
      <c r="CC248" s="585">
        <v>290</v>
      </c>
      <c r="CD248" s="585">
        <v>290</v>
      </c>
      <c r="CE248" s="585">
        <v>290</v>
      </c>
      <c r="CF248" s="585">
        <v>290</v>
      </c>
      <c r="CG248" s="585">
        <v>290</v>
      </c>
      <c r="CH248" s="585">
        <v>290</v>
      </c>
      <c r="CI248" s="585">
        <v>290</v>
      </c>
      <c r="CJ248" s="585" t="s">
        <v>160</v>
      </c>
      <c r="CK248" s="585" t="s">
        <v>160</v>
      </c>
      <c r="CL248" s="585" t="s">
        <v>160</v>
      </c>
      <c r="CM248" s="585" t="s">
        <v>160</v>
      </c>
      <c r="CN248" s="585" t="s">
        <v>160</v>
      </c>
      <c r="CO248"/>
      <c r="CP248"/>
      <c r="CQ248"/>
      <c r="CR248"/>
      <c r="CS248"/>
      <c r="CT248"/>
      <c r="CU248"/>
      <c r="CV248"/>
      <c r="CW248"/>
      <c r="CX248"/>
      <c r="CY248"/>
      <c r="CZ248"/>
      <c r="DA248"/>
      <c r="DB248"/>
      <c r="DC248"/>
      <c r="DD248"/>
      <c r="DE248"/>
    </row>
    <row r="249" spans="1:115" x14ac:dyDescent="0.25">
      <c r="B249" s="117" t="s">
        <v>547</v>
      </c>
      <c r="C249" s="264" t="s">
        <v>160</v>
      </c>
      <c r="D249" s="264" t="s">
        <v>160</v>
      </c>
      <c r="E249" s="264" t="s">
        <v>160</v>
      </c>
      <c r="F249" s="264" t="s">
        <v>160</v>
      </c>
      <c r="G249" s="265" t="s">
        <v>160</v>
      </c>
      <c r="H249" s="265" t="s">
        <v>160</v>
      </c>
      <c r="I249" s="265" t="s">
        <v>160</v>
      </c>
      <c r="J249" s="265" t="s">
        <v>160</v>
      </c>
      <c r="K249" s="265" t="s">
        <v>160</v>
      </c>
      <c r="L249" s="586" t="s">
        <v>160</v>
      </c>
      <c r="M249" s="586" t="s">
        <v>160</v>
      </c>
      <c r="N249" s="586" t="s">
        <v>160</v>
      </c>
      <c r="O249" s="586" t="s">
        <v>160</v>
      </c>
      <c r="P249" s="586" t="s">
        <v>160</v>
      </c>
      <c r="Q249" s="586" t="s">
        <v>160</v>
      </c>
      <c r="R249" s="586" t="s">
        <v>160</v>
      </c>
      <c r="S249" s="586" t="s">
        <v>160</v>
      </c>
      <c r="T249" s="586" t="s">
        <v>160</v>
      </c>
      <c r="U249" s="586" t="s">
        <v>160</v>
      </c>
      <c r="V249" s="585" t="s">
        <v>160</v>
      </c>
      <c r="W249" s="586" t="s">
        <v>160</v>
      </c>
      <c r="X249" s="586" t="s">
        <v>160</v>
      </c>
      <c r="Y249" s="586" t="s">
        <v>160</v>
      </c>
      <c r="Z249" s="586" t="s">
        <v>160</v>
      </c>
      <c r="AA249" s="586" t="s">
        <v>160</v>
      </c>
      <c r="AB249" s="586" t="s">
        <v>160</v>
      </c>
      <c r="AC249" s="586" t="s">
        <v>160</v>
      </c>
      <c r="AD249" s="585" t="s">
        <v>160</v>
      </c>
      <c r="AE249" s="586" t="s">
        <v>160</v>
      </c>
      <c r="AF249" s="586" t="s">
        <v>160</v>
      </c>
      <c r="AG249" s="586" t="s">
        <v>160</v>
      </c>
      <c r="AH249" s="586" t="s">
        <v>160</v>
      </c>
      <c r="AI249" s="586" t="s">
        <v>160</v>
      </c>
      <c r="AJ249" s="347" t="s">
        <v>160</v>
      </c>
      <c r="AK249" s="347" t="s">
        <v>160</v>
      </c>
      <c r="AL249" s="347" t="s">
        <v>160</v>
      </c>
      <c r="AM249" s="347" t="s">
        <v>160</v>
      </c>
      <c r="AN249" s="347" t="s">
        <v>160</v>
      </c>
      <c r="AO249" s="347" t="s">
        <v>160</v>
      </c>
      <c r="AP249" s="347" t="s">
        <v>160</v>
      </c>
      <c r="AQ249" s="347" t="s">
        <v>160</v>
      </c>
      <c r="AR249" s="347" t="s">
        <v>160</v>
      </c>
      <c r="AS249" s="347" t="s">
        <v>160</v>
      </c>
      <c r="AT249" s="347" t="s">
        <v>160</v>
      </c>
      <c r="AU249" s="347" t="s">
        <v>160</v>
      </c>
      <c r="AV249" s="928" t="s">
        <v>160</v>
      </c>
      <c r="AW249" s="347" t="s">
        <v>160</v>
      </c>
      <c r="AX249" s="347" t="s">
        <v>160</v>
      </c>
      <c r="AY249" s="347" t="s">
        <v>160</v>
      </c>
      <c r="AZ249" s="347" t="s">
        <v>160</v>
      </c>
      <c r="BA249" s="347" t="s">
        <v>160</v>
      </c>
      <c r="BB249" s="347" t="s">
        <v>160</v>
      </c>
      <c r="BC249" s="347" t="s">
        <v>160</v>
      </c>
      <c r="BD249" s="347" t="s">
        <v>160</v>
      </c>
      <c r="BE249" s="347" t="s">
        <v>160</v>
      </c>
      <c r="BF249" s="347" t="s">
        <v>160</v>
      </c>
      <c r="BG249" s="347" t="s">
        <v>160</v>
      </c>
      <c r="BH249" s="347" t="s">
        <v>160</v>
      </c>
      <c r="BI249" s="347" t="s">
        <v>160</v>
      </c>
      <c r="BJ249" s="347" t="s">
        <v>160</v>
      </c>
      <c r="BK249" s="347" t="s">
        <v>160</v>
      </c>
      <c r="BL249" s="347" t="s">
        <v>160</v>
      </c>
      <c r="BM249" s="347" t="s">
        <v>160</v>
      </c>
      <c r="BN249" s="347" t="s">
        <v>160</v>
      </c>
      <c r="BO249" s="347" t="s">
        <v>160</v>
      </c>
      <c r="BP249" s="347" t="s">
        <v>160</v>
      </c>
      <c r="BQ249" s="347">
        <v>217</v>
      </c>
      <c r="BR249" s="347">
        <v>217</v>
      </c>
      <c r="BS249" s="347">
        <v>217</v>
      </c>
      <c r="BT249" s="347">
        <v>217</v>
      </c>
      <c r="BU249" s="347">
        <v>217</v>
      </c>
      <c r="BV249" s="347">
        <v>217</v>
      </c>
      <c r="BW249" s="347">
        <v>217</v>
      </c>
      <c r="BX249" s="347">
        <v>217</v>
      </c>
      <c r="BY249" s="342">
        <v>247</v>
      </c>
      <c r="BZ249" s="585">
        <v>247</v>
      </c>
      <c r="CA249" s="585">
        <v>247</v>
      </c>
      <c r="CB249" s="585">
        <v>247</v>
      </c>
      <c r="CC249" s="585">
        <v>247</v>
      </c>
      <c r="CD249" s="342">
        <v>267.7</v>
      </c>
      <c r="CE249" s="585">
        <v>267.7</v>
      </c>
      <c r="CF249" s="585">
        <v>267.7</v>
      </c>
      <c r="CG249" s="585">
        <v>267.7</v>
      </c>
      <c r="CH249" s="585">
        <v>267.7</v>
      </c>
      <c r="CI249" s="585">
        <v>267.7</v>
      </c>
      <c r="CJ249" s="585">
        <v>267.7</v>
      </c>
      <c r="CK249" s="585">
        <v>267.7</v>
      </c>
      <c r="CL249" s="585">
        <v>267.7</v>
      </c>
      <c r="CM249" s="585">
        <v>267.7</v>
      </c>
      <c r="CN249" s="585">
        <v>267.7</v>
      </c>
      <c r="CO249"/>
      <c r="CP249"/>
      <c r="CQ249"/>
      <c r="CR249"/>
      <c r="CS249"/>
      <c r="CT249"/>
      <c r="CU249"/>
      <c r="CV249"/>
      <c r="CW249"/>
      <c r="CX249"/>
      <c r="CY249"/>
      <c r="CZ249"/>
      <c r="DA249"/>
      <c r="DB249"/>
      <c r="DC249"/>
      <c r="DD249"/>
      <c r="DE249"/>
    </row>
    <row r="250" spans="1:115" x14ac:dyDescent="0.25">
      <c r="B250" s="117" t="s">
        <v>1150</v>
      </c>
      <c r="C250" s="347" t="s">
        <v>160</v>
      </c>
      <c r="D250" s="347" t="s">
        <v>160</v>
      </c>
      <c r="E250" s="347" t="s">
        <v>160</v>
      </c>
      <c r="F250" s="347" t="s">
        <v>160</v>
      </c>
      <c r="G250" s="347" t="s">
        <v>160</v>
      </c>
      <c r="H250" s="347" t="s">
        <v>160</v>
      </c>
      <c r="I250" s="347" t="s">
        <v>160</v>
      </c>
      <c r="J250" s="347" t="s">
        <v>160</v>
      </c>
      <c r="K250" s="347" t="s">
        <v>160</v>
      </c>
      <c r="L250" s="347" t="s">
        <v>160</v>
      </c>
      <c r="M250" s="347" t="s">
        <v>160</v>
      </c>
      <c r="N250" s="347" t="s">
        <v>160</v>
      </c>
      <c r="O250" s="347" t="s">
        <v>160</v>
      </c>
      <c r="P250" s="347" t="s">
        <v>160</v>
      </c>
      <c r="Q250" s="347" t="s">
        <v>160</v>
      </c>
      <c r="R250" s="347" t="s">
        <v>160</v>
      </c>
      <c r="S250" s="347" t="s">
        <v>160</v>
      </c>
      <c r="T250" s="347" t="s">
        <v>160</v>
      </c>
      <c r="U250" s="347" t="s">
        <v>160</v>
      </c>
      <c r="V250" s="347" t="s">
        <v>160</v>
      </c>
      <c r="W250" s="347" t="s">
        <v>160</v>
      </c>
      <c r="X250" s="347" t="s">
        <v>160</v>
      </c>
      <c r="Y250" s="347" t="s">
        <v>160</v>
      </c>
      <c r="Z250" s="347" t="s">
        <v>160</v>
      </c>
      <c r="AA250" s="347" t="s">
        <v>160</v>
      </c>
      <c r="AB250" s="347" t="s">
        <v>160</v>
      </c>
      <c r="AC250" s="347" t="s">
        <v>160</v>
      </c>
      <c r="AD250" s="347" t="s">
        <v>160</v>
      </c>
      <c r="AE250" s="347" t="s">
        <v>160</v>
      </c>
      <c r="AF250" s="347" t="s">
        <v>160</v>
      </c>
      <c r="AG250" s="347" t="s">
        <v>160</v>
      </c>
      <c r="AH250" s="347" t="s">
        <v>160</v>
      </c>
      <c r="AI250" s="347" t="s">
        <v>160</v>
      </c>
      <c r="AJ250" s="347" t="s">
        <v>160</v>
      </c>
      <c r="AK250" s="347" t="s">
        <v>160</v>
      </c>
      <c r="AL250" s="347" t="s">
        <v>160</v>
      </c>
      <c r="AM250" s="347" t="s">
        <v>160</v>
      </c>
      <c r="AN250" s="347" t="s">
        <v>160</v>
      </c>
      <c r="AO250" s="347" t="s">
        <v>160</v>
      </c>
      <c r="AP250" s="347" t="s">
        <v>160</v>
      </c>
      <c r="AQ250" s="347" t="s">
        <v>160</v>
      </c>
      <c r="AR250" s="347" t="s">
        <v>160</v>
      </c>
      <c r="AS250" s="347" t="s">
        <v>160</v>
      </c>
      <c r="AT250" s="347" t="s">
        <v>160</v>
      </c>
      <c r="AU250" s="347" t="s">
        <v>160</v>
      </c>
      <c r="AV250" s="347" t="s">
        <v>160</v>
      </c>
      <c r="AW250" s="347" t="s">
        <v>160</v>
      </c>
      <c r="AX250" s="347" t="s">
        <v>160</v>
      </c>
      <c r="AY250" s="347" t="s">
        <v>160</v>
      </c>
      <c r="AZ250" s="347" t="s">
        <v>160</v>
      </c>
      <c r="BA250" s="347" t="s">
        <v>160</v>
      </c>
      <c r="BB250" s="347" t="s">
        <v>160</v>
      </c>
      <c r="BC250" s="347" t="s">
        <v>160</v>
      </c>
      <c r="BD250" s="347" t="s">
        <v>160</v>
      </c>
      <c r="BE250" s="347" t="s">
        <v>160</v>
      </c>
      <c r="BF250" s="347" t="s">
        <v>160</v>
      </c>
      <c r="BG250" s="347" t="s">
        <v>160</v>
      </c>
      <c r="BH250" s="347" t="s">
        <v>160</v>
      </c>
      <c r="BI250" s="347" t="s">
        <v>160</v>
      </c>
      <c r="BJ250" s="347" t="s">
        <v>160</v>
      </c>
      <c r="BK250" s="347" t="s">
        <v>160</v>
      </c>
      <c r="BL250" s="347" t="s">
        <v>160</v>
      </c>
      <c r="BM250" s="347" t="s">
        <v>160</v>
      </c>
      <c r="BN250" s="347">
        <v>263</v>
      </c>
      <c r="BO250" s="347">
        <v>263</v>
      </c>
      <c r="BP250" s="347">
        <v>263</v>
      </c>
      <c r="BQ250" s="342">
        <v>256</v>
      </c>
      <c r="BR250" s="347">
        <v>256</v>
      </c>
      <c r="BS250" s="347">
        <v>256</v>
      </c>
      <c r="BT250" s="347">
        <v>233</v>
      </c>
      <c r="BU250" s="347">
        <v>233</v>
      </c>
      <c r="BV250" s="347">
        <v>233</v>
      </c>
      <c r="BW250" s="347">
        <v>233</v>
      </c>
      <c r="BX250" s="347">
        <v>233</v>
      </c>
      <c r="BY250" s="347">
        <v>233</v>
      </c>
      <c r="BZ250" s="585">
        <v>233</v>
      </c>
      <c r="CA250" s="585">
        <v>233</v>
      </c>
      <c r="CB250" s="342">
        <v>264</v>
      </c>
      <c r="CC250" s="585">
        <v>264</v>
      </c>
      <c r="CD250" s="585">
        <v>264</v>
      </c>
      <c r="CE250" s="585">
        <v>264</v>
      </c>
      <c r="CF250" s="585">
        <v>264</v>
      </c>
      <c r="CG250" s="585">
        <v>264</v>
      </c>
      <c r="CH250" s="585">
        <v>264</v>
      </c>
      <c r="CI250" s="585" t="s">
        <v>160</v>
      </c>
      <c r="CJ250" s="585" t="s">
        <v>160</v>
      </c>
      <c r="CK250" s="585" t="s">
        <v>160</v>
      </c>
      <c r="CL250" s="585" t="s">
        <v>160</v>
      </c>
      <c r="CM250" s="585" t="s">
        <v>160</v>
      </c>
      <c r="CN250" s="585" t="s">
        <v>160</v>
      </c>
      <c r="CO250"/>
      <c r="CP250"/>
      <c r="CQ250"/>
      <c r="CR250"/>
      <c r="CS250"/>
      <c r="CT250"/>
      <c r="CU250"/>
      <c r="CV250"/>
      <c r="CW250"/>
      <c r="CX250"/>
      <c r="CY250"/>
      <c r="CZ250"/>
      <c r="DA250"/>
      <c r="DB250"/>
      <c r="DC250"/>
      <c r="DD250"/>
      <c r="DE250"/>
    </row>
    <row r="251" spans="1:115" x14ac:dyDescent="0.25">
      <c r="A251"/>
      <c r="B251" s="1072" t="s">
        <v>557</v>
      </c>
      <c r="C251" s="1073" t="str">
        <f t="shared" ref="C251:AH251" si="178">IFERROR(AVERAGE(C246:C250),"-")</f>
        <v>-</v>
      </c>
      <c r="D251" s="1073" t="str">
        <f t="shared" si="178"/>
        <v>-</v>
      </c>
      <c r="E251" s="1073" t="str">
        <f t="shared" si="178"/>
        <v>-</v>
      </c>
      <c r="F251" s="1073" t="str">
        <f t="shared" si="178"/>
        <v>-</v>
      </c>
      <c r="G251" s="1073" t="str">
        <f t="shared" si="178"/>
        <v>-</v>
      </c>
      <c r="H251" s="1073" t="str">
        <f t="shared" si="178"/>
        <v>-</v>
      </c>
      <c r="I251" s="1073" t="str">
        <f t="shared" si="178"/>
        <v>-</v>
      </c>
      <c r="J251" s="1073" t="str">
        <f t="shared" si="178"/>
        <v>-</v>
      </c>
      <c r="K251" s="1073" t="str">
        <f t="shared" si="178"/>
        <v>-</v>
      </c>
      <c r="L251" s="1075" t="str">
        <f t="shared" si="178"/>
        <v>-</v>
      </c>
      <c r="M251" s="1075" t="str">
        <f t="shared" si="178"/>
        <v>-</v>
      </c>
      <c r="N251" s="1075" t="str">
        <f t="shared" si="178"/>
        <v>-</v>
      </c>
      <c r="O251" s="1075" t="str">
        <f t="shared" si="178"/>
        <v>-</v>
      </c>
      <c r="P251" s="1075" t="str">
        <f t="shared" si="178"/>
        <v>-</v>
      </c>
      <c r="Q251" s="1075" t="str">
        <f t="shared" si="178"/>
        <v>-</v>
      </c>
      <c r="R251" s="1075" t="str">
        <f t="shared" si="178"/>
        <v>-</v>
      </c>
      <c r="S251" s="1075" t="str">
        <f t="shared" si="178"/>
        <v>-</v>
      </c>
      <c r="T251" s="1075" t="str">
        <f t="shared" si="178"/>
        <v>-</v>
      </c>
      <c r="U251" s="1075" t="str">
        <f t="shared" si="178"/>
        <v>-</v>
      </c>
      <c r="V251" s="1076" t="str">
        <f t="shared" si="178"/>
        <v>-</v>
      </c>
      <c r="W251" s="1076" t="str">
        <f t="shared" si="178"/>
        <v>-</v>
      </c>
      <c r="X251" s="1076" t="str">
        <f t="shared" si="178"/>
        <v>-</v>
      </c>
      <c r="Y251" s="1076" t="str">
        <f t="shared" si="178"/>
        <v>-</v>
      </c>
      <c r="Z251" s="1076" t="str">
        <f t="shared" si="178"/>
        <v>-</v>
      </c>
      <c r="AA251" s="1076" t="str">
        <f t="shared" si="178"/>
        <v>-</v>
      </c>
      <c r="AB251" s="1076" t="str">
        <f t="shared" si="178"/>
        <v>-</v>
      </c>
      <c r="AC251" s="1076" t="str">
        <f t="shared" si="178"/>
        <v>-</v>
      </c>
      <c r="AD251" s="1076" t="str">
        <f t="shared" si="178"/>
        <v>-</v>
      </c>
      <c r="AE251" s="1076" t="str">
        <f t="shared" si="178"/>
        <v>-</v>
      </c>
      <c r="AF251" s="1076" t="str">
        <f t="shared" si="178"/>
        <v>-</v>
      </c>
      <c r="AG251" s="1076" t="str">
        <f t="shared" si="178"/>
        <v>-</v>
      </c>
      <c r="AH251" s="1076" t="str">
        <f t="shared" si="178"/>
        <v>-</v>
      </c>
      <c r="AI251" s="1076" t="str">
        <f t="shared" ref="AI251:BN251" si="179">IFERROR(AVERAGE(AI246:AI250),"-")</f>
        <v>-</v>
      </c>
      <c r="AJ251" s="1076" t="str">
        <f t="shared" si="179"/>
        <v>-</v>
      </c>
      <c r="AK251" s="1076" t="str">
        <f t="shared" si="179"/>
        <v>-</v>
      </c>
      <c r="AL251" s="1076" t="str">
        <f t="shared" si="179"/>
        <v>-</v>
      </c>
      <c r="AM251" s="1076" t="str">
        <f t="shared" si="179"/>
        <v>-</v>
      </c>
      <c r="AN251" s="1076" t="str">
        <f t="shared" si="179"/>
        <v>-</v>
      </c>
      <c r="AO251" s="1076" t="str">
        <f t="shared" si="179"/>
        <v>-</v>
      </c>
      <c r="AP251" s="1076" t="str">
        <f t="shared" si="179"/>
        <v>-</v>
      </c>
      <c r="AQ251" s="1076" t="str">
        <f t="shared" si="179"/>
        <v>-</v>
      </c>
      <c r="AR251" s="1076" t="str">
        <f t="shared" si="179"/>
        <v>-</v>
      </c>
      <c r="AS251" s="1075" t="str">
        <f t="shared" si="179"/>
        <v>-</v>
      </c>
      <c r="AT251" s="1075" t="str">
        <f t="shared" si="179"/>
        <v>-</v>
      </c>
      <c r="AU251" s="1075" t="str">
        <f t="shared" si="179"/>
        <v>-</v>
      </c>
      <c r="AV251" s="1075" t="str">
        <f t="shared" si="179"/>
        <v>-</v>
      </c>
      <c r="AW251" s="1075" t="str">
        <f t="shared" si="179"/>
        <v>-</v>
      </c>
      <c r="AX251" s="1075" t="str">
        <f t="shared" si="179"/>
        <v>-</v>
      </c>
      <c r="AY251" s="1075" t="str">
        <f t="shared" si="179"/>
        <v>-</v>
      </c>
      <c r="AZ251" s="1075" t="str">
        <f t="shared" si="179"/>
        <v>-</v>
      </c>
      <c r="BA251" s="1075" t="str">
        <f t="shared" si="179"/>
        <v>-</v>
      </c>
      <c r="BB251" s="1075" t="str">
        <f t="shared" si="179"/>
        <v>-</v>
      </c>
      <c r="BC251" s="1075" t="str">
        <f t="shared" si="179"/>
        <v>-</v>
      </c>
      <c r="BD251" s="1075" t="str">
        <f t="shared" si="179"/>
        <v>-</v>
      </c>
      <c r="BE251" s="1075" t="str">
        <f t="shared" si="179"/>
        <v>-</v>
      </c>
      <c r="BF251" s="1075" t="str">
        <f t="shared" si="179"/>
        <v>-</v>
      </c>
      <c r="BG251" s="1075" t="str">
        <f t="shared" si="179"/>
        <v>-</v>
      </c>
      <c r="BH251" s="1075" t="str">
        <f t="shared" si="179"/>
        <v>-</v>
      </c>
      <c r="BI251" s="1075" t="str">
        <f t="shared" si="179"/>
        <v>-</v>
      </c>
      <c r="BJ251" s="1075" t="str">
        <f t="shared" si="179"/>
        <v>-</v>
      </c>
      <c r="BK251" s="1075" t="str">
        <f t="shared" si="179"/>
        <v>-</v>
      </c>
      <c r="BL251" s="1075" t="str">
        <f t="shared" si="179"/>
        <v>-</v>
      </c>
      <c r="BM251" s="1075" t="str">
        <f t="shared" si="179"/>
        <v>-</v>
      </c>
      <c r="BN251" s="1075">
        <f t="shared" si="179"/>
        <v>263</v>
      </c>
      <c r="BO251" s="1075">
        <f t="shared" ref="BO251:CN251" si="180">IFERROR(AVERAGE(BO246:BO250),"-")</f>
        <v>263</v>
      </c>
      <c r="BP251" s="1075">
        <f t="shared" si="180"/>
        <v>263</v>
      </c>
      <c r="BQ251" s="1075">
        <f t="shared" si="180"/>
        <v>231</v>
      </c>
      <c r="BR251" s="1075">
        <f t="shared" si="180"/>
        <v>231</v>
      </c>
      <c r="BS251" s="1075">
        <f t="shared" si="180"/>
        <v>231</v>
      </c>
      <c r="BT251" s="1075">
        <f t="shared" si="180"/>
        <v>225.25</v>
      </c>
      <c r="BU251" s="1075">
        <f t="shared" si="180"/>
        <v>225.25</v>
      </c>
      <c r="BV251" s="1075">
        <f t="shared" si="180"/>
        <v>225.25</v>
      </c>
      <c r="BW251" s="1075">
        <f t="shared" si="180"/>
        <v>225.25</v>
      </c>
      <c r="BX251" s="1075">
        <f t="shared" si="180"/>
        <v>225.25</v>
      </c>
      <c r="BY251" s="1075">
        <f t="shared" si="180"/>
        <v>244.2</v>
      </c>
      <c r="BZ251" s="1075">
        <f t="shared" si="180"/>
        <v>244.2</v>
      </c>
      <c r="CA251" s="1075">
        <f t="shared" si="180"/>
        <v>244.2</v>
      </c>
      <c r="CB251" s="1075">
        <f t="shared" si="180"/>
        <v>250.4</v>
      </c>
      <c r="CC251" s="1075">
        <f t="shared" si="180"/>
        <v>257.2</v>
      </c>
      <c r="CD251" s="1075">
        <f t="shared" si="180"/>
        <v>261.34000000000003</v>
      </c>
      <c r="CE251" s="1075">
        <f t="shared" si="180"/>
        <v>261.34000000000003</v>
      </c>
      <c r="CF251" s="1075">
        <f t="shared" si="180"/>
        <v>261.34000000000003</v>
      </c>
      <c r="CG251" s="1075">
        <f t="shared" si="180"/>
        <v>261.34000000000003</v>
      </c>
      <c r="CH251" s="1075">
        <f t="shared" si="180"/>
        <v>261.34000000000003</v>
      </c>
      <c r="CI251" s="1075">
        <f t="shared" si="180"/>
        <v>260.67500000000001</v>
      </c>
      <c r="CJ251" s="1075">
        <f t="shared" si="180"/>
        <v>250.9</v>
      </c>
      <c r="CK251" s="1075">
        <f t="shared" si="180"/>
        <v>250.9</v>
      </c>
      <c r="CL251" s="1075">
        <f t="shared" si="180"/>
        <v>250.9</v>
      </c>
      <c r="CM251" s="1075">
        <f t="shared" si="180"/>
        <v>250.9</v>
      </c>
      <c r="CN251" s="1075">
        <f t="shared" si="180"/>
        <v>250.9</v>
      </c>
      <c r="CO251"/>
      <c r="CP251"/>
      <c r="CQ251"/>
      <c r="CR251"/>
      <c r="CS251"/>
      <c r="CT251"/>
      <c r="CU251"/>
      <c r="CV251"/>
      <c r="CW251"/>
      <c r="CX251"/>
      <c r="CY251"/>
      <c r="CZ251"/>
      <c r="DA251"/>
      <c r="DB251"/>
      <c r="DC251"/>
      <c r="DD251"/>
      <c r="DE251"/>
    </row>
    <row r="252" spans="1:115" x14ac:dyDescent="0.25">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c r="AS252" s="340"/>
      <c r="AT252" s="801"/>
      <c r="AU252" s="801"/>
      <c r="AV252" s="922"/>
      <c r="AW252" s="801"/>
      <c r="AX252" s="801"/>
      <c r="AY252" s="801"/>
      <c r="AZ252" s="801"/>
      <c r="BA252" s="801"/>
      <c r="BB252" s="801"/>
      <c r="BC252" s="801"/>
      <c r="BD252" s="801"/>
      <c r="BE252" s="801"/>
      <c r="BF252" s="801"/>
      <c r="BG252" s="801"/>
      <c r="BH252" s="801"/>
      <c r="BI252" s="801"/>
      <c r="BJ252" s="801"/>
      <c r="BK252" s="801"/>
      <c r="BL252" s="801"/>
      <c r="BM252" s="801"/>
      <c r="BN252" s="801"/>
      <c r="BO252" s="801"/>
      <c r="BP252" s="801"/>
      <c r="BQ252" s="801"/>
      <c r="BR252" s="801"/>
      <c r="BS252" s="801"/>
      <c r="BT252" s="801"/>
      <c r="BU252" s="801"/>
      <c r="BV252" s="801"/>
      <c r="BW252" s="801"/>
      <c r="BX252" s="801"/>
      <c r="BY252" s="801"/>
      <c r="BZ252" s="801"/>
      <c r="CA252" s="801"/>
      <c r="CB252" s="801"/>
      <c r="CC252" s="801"/>
      <c r="CD252" s="801"/>
      <c r="CE252" s="801"/>
      <c r="CF252" s="801"/>
      <c r="CG252" s="801"/>
      <c r="CH252" s="801"/>
      <c r="CI252" s="801"/>
      <c r="CJ252" s="801"/>
      <c r="CK252" s="801"/>
      <c r="CL252" s="801"/>
      <c r="CM252" s="801"/>
      <c r="CN252" s="801"/>
      <c r="CO252"/>
      <c r="CP252"/>
      <c r="CQ252"/>
      <c r="CR252"/>
      <c r="CS252"/>
      <c r="CT252"/>
      <c r="CU252"/>
      <c r="CV252"/>
      <c r="CW252"/>
      <c r="CX252"/>
      <c r="CY252"/>
      <c r="CZ252"/>
      <c r="DA252"/>
      <c r="DB252"/>
      <c r="DC252"/>
      <c r="DD252"/>
      <c r="DE252"/>
    </row>
    <row r="253" spans="1:115" x14ac:dyDescent="0.25">
      <c r="B253" s="113" t="s">
        <v>1098</v>
      </c>
      <c r="C253" s="263">
        <f>C$4</f>
        <v>42522</v>
      </c>
      <c r="D253" s="263">
        <f t="shared" ref="D253:BO253" si="181">D$4</f>
        <v>42552</v>
      </c>
      <c r="E253" s="263">
        <f t="shared" si="181"/>
        <v>42583</v>
      </c>
      <c r="F253" s="263">
        <f t="shared" si="181"/>
        <v>42614</v>
      </c>
      <c r="G253" s="263">
        <f t="shared" si="181"/>
        <v>42644</v>
      </c>
      <c r="H253" s="263">
        <f t="shared" si="181"/>
        <v>42675</v>
      </c>
      <c r="I253" s="263">
        <f t="shared" si="181"/>
        <v>42705</v>
      </c>
      <c r="J253" s="263">
        <f t="shared" si="181"/>
        <v>42736</v>
      </c>
      <c r="K253" s="263">
        <f t="shared" si="181"/>
        <v>42767</v>
      </c>
      <c r="L253" s="263">
        <f t="shared" si="181"/>
        <v>42795</v>
      </c>
      <c r="M253" s="263">
        <f t="shared" si="181"/>
        <v>42826</v>
      </c>
      <c r="N253" s="263">
        <f t="shared" si="181"/>
        <v>42856</v>
      </c>
      <c r="O253" s="263">
        <f t="shared" si="181"/>
        <v>42887</v>
      </c>
      <c r="P253" s="263">
        <f t="shared" si="181"/>
        <v>42917</v>
      </c>
      <c r="Q253" s="263">
        <f t="shared" si="181"/>
        <v>42948</v>
      </c>
      <c r="R253" s="263">
        <f t="shared" si="181"/>
        <v>42979</v>
      </c>
      <c r="S253" s="263">
        <f t="shared" si="181"/>
        <v>43009</v>
      </c>
      <c r="T253" s="263">
        <f t="shared" si="181"/>
        <v>43040</v>
      </c>
      <c r="U253" s="263">
        <f t="shared" si="181"/>
        <v>43070</v>
      </c>
      <c r="V253" s="263">
        <f t="shared" si="181"/>
        <v>43101</v>
      </c>
      <c r="W253" s="263">
        <f t="shared" si="181"/>
        <v>43132</v>
      </c>
      <c r="X253" s="263">
        <f t="shared" si="181"/>
        <v>43160</v>
      </c>
      <c r="Y253" s="263">
        <f t="shared" si="181"/>
        <v>43191</v>
      </c>
      <c r="Z253" s="263">
        <f t="shared" si="181"/>
        <v>43221</v>
      </c>
      <c r="AA253" s="263">
        <f t="shared" si="181"/>
        <v>43252</v>
      </c>
      <c r="AB253" s="263">
        <f t="shared" si="181"/>
        <v>43283</v>
      </c>
      <c r="AC253" s="263">
        <f t="shared" si="181"/>
        <v>43314</v>
      </c>
      <c r="AD253" s="263">
        <f t="shared" si="181"/>
        <v>43345</v>
      </c>
      <c r="AE253" s="263">
        <f t="shared" si="181"/>
        <v>43376</v>
      </c>
      <c r="AF253" s="263">
        <f t="shared" si="181"/>
        <v>43407</v>
      </c>
      <c r="AG253" s="263">
        <f t="shared" si="181"/>
        <v>43437</v>
      </c>
      <c r="AH253" s="263">
        <f t="shared" si="181"/>
        <v>43468</v>
      </c>
      <c r="AI253" s="263">
        <f t="shared" si="181"/>
        <v>43499</v>
      </c>
      <c r="AJ253" s="263">
        <f t="shared" si="181"/>
        <v>43527</v>
      </c>
      <c r="AK253" s="263">
        <f t="shared" si="181"/>
        <v>43558</v>
      </c>
      <c r="AL253" s="263">
        <f t="shared" si="181"/>
        <v>43587</v>
      </c>
      <c r="AM253" s="263">
        <f t="shared" si="181"/>
        <v>43618</v>
      </c>
      <c r="AN253" s="263">
        <f t="shared" si="181"/>
        <v>43647</v>
      </c>
      <c r="AO253" s="263">
        <f t="shared" si="181"/>
        <v>43678</v>
      </c>
      <c r="AP253" s="263">
        <f t="shared" si="181"/>
        <v>43709</v>
      </c>
      <c r="AQ253" s="263">
        <f t="shared" si="181"/>
        <v>43739</v>
      </c>
      <c r="AR253" s="263">
        <f t="shared" si="181"/>
        <v>43770</v>
      </c>
      <c r="AS253" s="263">
        <f t="shared" si="181"/>
        <v>43800</v>
      </c>
      <c r="AT253" s="263">
        <f t="shared" si="181"/>
        <v>43831</v>
      </c>
      <c r="AU253" s="263">
        <f t="shared" si="181"/>
        <v>43862</v>
      </c>
      <c r="AV253" s="263">
        <f t="shared" si="181"/>
        <v>43891</v>
      </c>
      <c r="AW253" s="263">
        <f t="shared" si="181"/>
        <v>43922</v>
      </c>
      <c r="AX253" s="263">
        <f t="shared" si="181"/>
        <v>43952</v>
      </c>
      <c r="AY253" s="263">
        <f t="shared" si="181"/>
        <v>43983</v>
      </c>
      <c r="AZ253" s="263">
        <f t="shared" si="181"/>
        <v>44013</v>
      </c>
      <c r="BA253" s="263">
        <f t="shared" si="181"/>
        <v>44044</v>
      </c>
      <c r="BB253" s="263">
        <f t="shared" si="181"/>
        <v>44075</v>
      </c>
      <c r="BC253" s="263">
        <f t="shared" si="181"/>
        <v>44105</v>
      </c>
      <c r="BD253" s="263">
        <f t="shared" si="181"/>
        <v>44136</v>
      </c>
      <c r="BE253" s="263">
        <f t="shared" si="181"/>
        <v>44166</v>
      </c>
      <c r="BF253" s="263">
        <f t="shared" si="181"/>
        <v>44197</v>
      </c>
      <c r="BG253" s="263">
        <f t="shared" si="181"/>
        <v>44228</v>
      </c>
      <c r="BH253" s="263">
        <f t="shared" si="181"/>
        <v>44256</v>
      </c>
      <c r="BI253" s="263">
        <f t="shared" si="181"/>
        <v>44287</v>
      </c>
      <c r="BJ253" s="263">
        <f t="shared" si="181"/>
        <v>44317</v>
      </c>
      <c r="BK253" s="263">
        <f t="shared" si="181"/>
        <v>44348</v>
      </c>
      <c r="BL253" s="263">
        <f t="shared" si="181"/>
        <v>44378</v>
      </c>
      <c r="BM253" s="263">
        <f t="shared" si="181"/>
        <v>44409</v>
      </c>
      <c r="BN253" s="263">
        <f t="shared" si="181"/>
        <v>44440</v>
      </c>
      <c r="BO253" s="263">
        <f t="shared" si="181"/>
        <v>44470</v>
      </c>
      <c r="BP253" s="263">
        <f t="shared" ref="BP253:CN253" si="182">BP$4</f>
        <v>44501</v>
      </c>
      <c r="BQ253" s="263">
        <f t="shared" si="182"/>
        <v>44531</v>
      </c>
      <c r="BR253" s="263">
        <f t="shared" si="182"/>
        <v>44562</v>
      </c>
      <c r="BS253" s="263">
        <f t="shared" si="182"/>
        <v>44593</v>
      </c>
      <c r="BT253" s="263">
        <f t="shared" si="182"/>
        <v>44622</v>
      </c>
      <c r="BU253" s="263">
        <f t="shared" si="182"/>
        <v>44654</v>
      </c>
      <c r="BV253" s="263">
        <f t="shared" si="182"/>
        <v>44685</v>
      </c>
      <c r="BW253" s="263">
        <f t="shared" si="182"/>
        <v>44716</v>
      </c>
      <c r="BX253" s="263">
        <f t="shared" si="182"/>
        <v>44746</v>
      </c>
      <c r="BY253" s="263">
        <f t="shared" si="182"/>
        <v>44774</v>
      </c>
      <c r="BZ253" s="263">
        <f t="shared" si="182"/>
        <v>44805</v>
      </c>
      <c r="CA253" s="263">
        <f t="shared" si="182"/>
        <v>44835</v>
      </c>
      <c r="CB253" s="263">
        <f t="shared" si="182"/>
        <v>44866</v>
      </c>
      <c r="CC253" s="263">
        <f t="shared" si="182"/>
        <v>44896</v>
      </c>
      <c r="CD253" s="263">
        <f t="shared" si="182"/>
        <v>44927</v>
      </c>
      <c r="CE253" s="263">
        <f t="shared" si="182"/>
        <v>44958</v>
      </c>
      <c r="CF253" s="263">
        <f t="shared" si="182"/>
        <v>44986</v>
      </c>
      <c r="CG253" s="263">
        <f t="shared" si="182"/>
        <v>45017</v>
      </c>
      <c r="CH253" s="263">
        <f t="shared" si="182"/>
        <v>45047</v>
      </c>
      <c r="CI253" s="263">
        <f t="shared" si="182"/>
        <v>45078</v>
      </c>
      <c r="CJ253" s="263">
        <f t="shared" si="182"/>
        <v>45108</v>
      </c>
      <c r="CK253" s="263">
        <f t="shared" si="182"/>
        <v>45139</v>
      </c>
      <c r="CL253" s="263">
        <f t="shared" si="182"/>
        <v>45170</v>
      </c>
      <c r="CM253" s="263">
        <f t="shared" si="182"/>
        <v>45200</v>
      </c>
      <c r="CN253" s="263">
        <f t="shared" si="182"/>
        <v>45231</v>
      </c>
      <c r="CO253"/>
      <c r="CP253"/>
      <c r="CQ253"/>
      <c r="CR253"/>
      <c r="CS253"/>
      <c r="CT253"/>
      <c r="CU253"/>
      <c r="CV253"/>
      <c r="CW253"/>
      <c r="CX253"/>
      <c r="CY253"/>
      <c r="CZ253"/>
      <c r="DA253"/>
      <c r="DB253"/>
      <c r="DC253"/>
      <c r="DD253"/>
      <c r="DE253"/>
    </row>
    <row r="254" spans="1:115" customFormat="1" x14ac:dyDescent="0.25">
      <c r="A254" s="262"/>
      <c r="B254" s="117" t="s">
        <v>542</v>
      </c>
      <c r="C254" s="264" t="s">
        <v>160</v>
      </c>
      <c r="D254" s="264" t="s">
        <v>160</v>
      </c>
      <c r="E254" s="264" t="s">
        <v>160</v>
      </c>
      <c r="F254" s="265" t="s">
        <v>160</v>
      </c>
      <c r="G254" s="265" t="s">
        <v>160</v>
      </c>
      <c r="H254" s="265" t="s">
        <v>160</v>
      </c>
      <c r="I254" s="265" t="s">
        <v>160</v>
      </c>
      <c r="J254" s="265" t="s">
        <v>160</v>
      </c>
      <c r="K254" s="265" t="s">
        <v>160</v>
      </c>
      <c r="L254" s="586" t="s">
        <v>160</v>
      </c>
      <c r="M254" s="586" t="s">
        <v>160</v>
      </c>
      <c r="N254" s="586" t="s">
        <v>160</v>
      </c>
      <c r="O254" s="586" t="s">
        <v>160</v>
      </c>
      <c r="P254" s="586" t="s">
        <v>160</v>
      </c>
      <c r="Q254" s="586" t="s">
        <v>160</v>
      </c>
      <c r="R254" s="586" t="s">
        <v>160</v>
      </c>
      <c r="S254" s="586" t="s">
        <v>160</v>
      </c>
      <c r="T254" s="586" t="s">
        <v>160</v>
      </c>
      <c r="U254" s="585" t="s">
        <v>160</v>
      </c>
      <c r="V254" s="585" t="s">
        <v>160</v>
      </c>
      <c r="W254" s="585" t="s">
        <v>160</v>
      </c>
      <c r="X254" s="585" t="s">
        <v>160</v>
      </c>
      <c r="Y254" s="585" t="s">
        <v>160</v>
      </c>
      <c r="Z254" s="585" t="s">
        <v>160</v>
      </c>
      <c r="AA254" s="585" t="s">
        <v>160</v>
      </c>
      <c r="AB254" s="585" t="s">
        <v>160</v>
      </c>
      <c r="AC254" s="585" t="s">
        <v>160</v>
      </c>
      <c r="AD254" s="585" t="s">
        <v>160</v>
      </c>
      <c r="AE254" s="585" t="s">
        <v>160</v>
      </c>
      <c r="AF254" s="585" t="s">
        <v>160</v>
      </c>
      <c r="AG254" s="585" t="s">
        <v>160</v>
      </c>
      <c r="AH254" s="585" t="s">
        <v>160</v>
      </c>
      <c r="AI254" s="585" t="s">
        <v>160</v>
      </c>
      <c r="AJ254" s="347" t="s">
        <v>160</v>
      </c>
      <c r="AK254" s="347" t="s">
        <v>160</v>
      </c>
      <c r="AL254" s="347" t="s">
        <v>160</v>
      </c>
      <c r="AM254" s="347" t="s">
        <v>160</v>
      </c>
      <c r="AN254" s="347" t="s">
        <v>160</v>
      </c>
      <c r="AO254" s="347" t="s">
        <v>160</v>
      </c>
      <c r="AP254" s="347" t="s">
        <v>160</v>
      </c>
      <c r="AQ254" s="347" t="s">
        <v>160</v>
      </c>
      <c r="AR254" s="347" t="s">
        <v>160</v>
      </c>
      <c r="AS254" s="347" t="s">
        <v>160</v>
      </c>
      <c r="AT254" s="347" t="s">
        <v>160</v>
      </c>
      <c r="AU254" s="347" t="s">
        <v>160</v>
      </c>
      <c r="AV254" s="928" t="s">
        <v>160</v>
      </c>
      <c r="AW254" s="347" t="s">
        <v>160</v>
      </c>
      <c r="AX254" s="347" t="s">
        <v>160</v>
      </c>
      <c r="AY254" s="347" t="s">
        <v>160</v>
      </c>
      <c r="AZ254" s="347" t="s">
        <v>160</v>
      </c>
      <c r="BA254" s="347" t="s">
        <v>160</v>
      </c>
      <c r="BB254" s="347" t="s">
        <v>160</v>
      </c>
      <c r="BC254" s="347" t="s">
        <v>160</v>
      </c>
      <c r="BD254" s="347" t="s">
        <v>160</v>
      </c>
      <c r="BE254" s="347" t="s">
        <v>160</v>
      </c>
      <c r="BF254" s="585" t="s">
        <v>160</v>
      </c>
      <c r="BG254" s="585" t="s">
        <v>160</v>
      </c>
      <c r="BH254" s="585" t="s">
        <v>160</v>
      </c>
      <c r="BI254" s="585" t="s">
        <v>160</v>
      </c>
      <c r="BJ254" s="585" t="s">
        <v>160</v>
      </c>
      <c r="BK254" s="585" t="s">
        <v>160</v>
      </c>
      <c r="BL254" s="585" t="s">
        <v>160</v>
      </c>
      <c r="BM254" s="585" t="s">
        <v>160</v>
      </c>
      <c r="BN254" s="585" t="s">
        <v>160</v>
      </c>
      <c r="BO254" s="585" t="s">
        <v>160</v>
      </c>
      <c r="BP254" s="585" t="s">
        <v>160</v>
      </c>
      <c r="BQ254" s="585">
        <v>117</v>
      </c>
      <c r="BR254" s="585">
        <v>117</v>
      </c>
      <c r="BS254" s="585">
        <v>117</v>
      </c>
      <c r="BT254" s="585">
        <v>117</v>
      </c>
      <c r="BU254" s="585">
        <v>117</v>
      </c>
      <c r="BV254" s="585">
        <v>117</v>
      </c>
      <c r="BW254" s="585">
        <v>117</v>
      </c>
      <c r="BX254" s="585">
        <v>117</v>
      </c>
      <c r="BY254" s="585">
        <v>117</v>
      </c>
      <c r="BZ254" s="585">
        <v>117</v>
      </c>
      <c r="CA254" s="585">
        <v>117</v>
      </c>
      <c r="CB254" s="585">
        <v>117</v>
      </c>
      <c r="CC254" s="342">
        <v>144</v>
      </c>
      <c r="CD254" s="585">
        <v>144</v>
      </c>
      <c r="CE254" s="585">
        <v>144</v>
      </c>
      <c r="CF254" s="585">
        <v>144</v>
      </c>
      <c r="CG254" s="585">
        <v>144</v>
      </c>
      <c r="CH254" s="585">
        <v>144</v>
      </c>
      <c r="CI254" s="585">
        <v>144</v>
      </c>
      <c r="CJ254" s="585">
        <v>144</v>
      </c>
      <c r="CK254" s="585">
        <v>144</v>
      </c>
      <c r="CL254" s="585">
        <v>144</v>
      </c>
      <c r="CM254" s="585">
        <v>144</v>
      </c>
      <c r="CN254" s="585">
        <v>144</v>
      </c>
      <c r="DG254" s="1150"/>
      <c r="DH254" s="1150"/>
      <c r="DI254" s="1150"/>
      <c r="DJ254" s="1150"/>
      <c r="DK254" s="1150"/>
    </row>
    <row r="255" spans="1:115" customFormat="1" x14ac:dyDescent="0.25">
      <c r="A255" s="262"/>
      <c r="B255" s="117" t="s">
        <v>546</v>
      </c>
      <c r="C255" s="264" t="s">
        <v>160</v>
      </c>
      <c r="D255" s="264" t="s">
        <v>160</v>
      </c>
      <c r="E255" s="264" t="s">
        <v>160</v>
      </c>
      <c r="F255" s="264" t="s">
        <v>160</v>
      </c>
      <c r="G255" s="264" t="s">
        <v>160</v>
      </c>
      <c r="H255" s="265" t="s">
        <v>160</v>
      </c>
      <c r="I255" s="265" t="s">
        <v>160</v>
      </c>
      <c r="J255" s="265" t="s">
        <v>160</v>
      </c>
      <c r="K255" s="265" t="s">
        <v>160</v>
      </c>
      <c r="L255" s="586" t="s">
        <v>160</v>
      </c>
      <c r="M255" s="586" t="s">
        <v>160</v>
      </c>
      <c r="N255" s="586" t="s">
        <v>160</v>
      </c>
      <c r="O255" s="586" t="s">
        <v>160</v>
      </c>
      <c r="P255" s="586" t="s">
        <v>160</v>
      </c>
      <c r="Q255" s="586" t="s">
        <v>160</v>
      </c>
      <c r="R255" s="586" t="s">
        <v>160</v>
      </c>
      <c r="S255" s="586" t="s">
        <v>160</v>
      </c>
      <c r="T255" s="586" t="s">
        <v>160</v>
      </c>
      <c r="U255" s="586" t="s">
        <v>160</v>
      </c>
      <c r="V255" s="586" t="s">
        <v>160</v>
      </c>
      <c r="W255" s="586" t="s">
        <v>160</v>
      </c>
      <c r="X255" s="586" t="s">
        <v>160</v>
      </c>
      <c r="Y255" s="586" t="s">
        <v>160</v>
      </c>
      <c r="Z255" s="586" t="s">
        <v>160</v>
      </c>
      <c r="AA255" s="586" t="s">
        <v>160</v>
      </c>
      <c r="AB255" s="586" t="s">
        <v>160</v>
      </c>
      <c r="AC255" s="586" t="s">
        <v>160</v>
      </c>
      <c r="AD255" s="586" t="s">
        <v>160</v>
      </c>
      <c r="AE255" s="586" t="s">
        <v>160</v>
      </c>
      <c r="AF255" s="585" t="s">
        <v>160</v>
      </c>
      <c r="AG255" s="585" t="s">
        <v>160</v>
      </c>
      <c r="AH255" s="585" t="s">
        <v>160</v>
      </c>
      <c r="AI255" s="585" t="s">
        <v>160</v>
      </c>
      <c r="AJ255" s="347" t="s">
        <v>160</v>
      </c>
      <c r="AK255" s="347" t="s">
        <v>160</v>
      </c>
      <c r="AL255" s="347" t="s">
        <v>160</v>
      </c>
      <c r="AM255" s="347" t="s">
        <v>160</v>
      </c>
      <c r="AN255" s="347" t="s">
        <v>160</v>
      </c>
      <c r="AO255" s="347" t="s">
        <v>160</v>
      </c>
      <c r="AP255" s="347" t="s">
        <v>160</v>
      </c>
      <c r="AQ255" s="347" t="s">
        <v>160</v>
      </c>
      <c r="AR255" s="347" t="s">
        <v>160</v>
      </c>
      <c r="AS255" s="347" t="s">
        <v>160</v>
      </c>
      <c r="AT255" s="347" t="s">
        <v>160</v>
      </c>
      <c r="AU255" s="347" t="s">
        <v>160</v>
      </c>
      <c r="AV255" s="928" t="s">
        <v>160</v>
      </c>
      <c r="AW255" s="347" t="s">
        <v>160</v>
      </c>
      <c r="AX255" s="347" t="s">
        <v>160</v>
      </c>
      <c r="AY255" s="347" t="s">
        <v>160</v>
      </c>
      <c r="AZ255" s="347" t="s">
        <v>160</v>
      </c>
      <c r="BA255" s="347" t="s">
        <v>160</v>
      </c>
      <c r="BB255" s="347" t="s">
        <v>160</v>
      </c>
      <c r="BC255" s="347" t="s">
        <v>160</v>
      </c>
      <c r="BD255" s="347" t="s">
        <v>160</v>
      </c>
      <c r="BE255" s="347" t="s">
        <v>160</v>
      </c>
      <c r="BF255" s="347" t="s">
        <v>160</v>
      </c>
      <c r="BG255" s="347" t="s">
        <v>160</v>
      </c>
      <c r="BH255" s="347" t="s">
        <v>160</v>
      </c>
      <c r="BI255" s="347" t="s">
        <v>160</v>
      </c>
      <c r="BJ255" s="347" t="s">
        <v>160</v>
      </c>
      <c r="BK255" s="347" t="s">
        <v>160</v>
      </c>
      <c r="BL255" s="347" t="s">
        <v>160</v>
      </c>
      <c r="BM255" s="347" t="s">
        <v>160</v>
      </c>
      <c r="BN255" s="347" t="s">
        <v>160</v>
      </c>
      <c r="BO255" s="347" t="s">
        <v>160</v>
      </c>
      <c r="BP255" s="347" t="s">
        <v>160</v>
      </c>
      <c r="BQ255" s="347">
        <v>147</v>
      </c>
      <c r="BR255" s="347">
        <v>147</v>
      </c>
      <c r="BS255" s="347">
        <v>147</v>
      </c>
      <c r="BT255" s="347">
        <v>147</v>
      </c>
      <c r="BU255" s="347">
        <v>147</v>
      </c>
      <c r="BV255" s="347">
        <v>147</v>
      </c>
      <c r="BW255" s="347">
        <v>147</v>
      </c>
      <c r="BX255" s="347">
        <v>147</v>
      </c>
      <c r="BY255" s="347">
        <v>147</v>
      </c>
      <c r="BZ255" s="585">
        <v>147</v>
      </c>
      <c r="CA255" s="585">
        <v>147</v>
      </c>
      <c r="CB255" s="585">
        <v>147</v>
      </c>
      <c r="CC255" s="585">
        <v>147</v>
      </c>
      <c r="CD255" s="585">
        <v>147</v>
      </c>
      <c r="CE255" s="585">
        <v>147</v>
      </c>
      <c r="CF255" s="585">
        <v>147</v>
      </c>
      <c r="CG255" s="585">
        <v>147</v>
      </c>
      <c r="CH255" s="585">
        <v>147</v>
      </c>
      <c r="CI255" s="585">
        <v>147</v>
      </c>
      <c r="CJ255" s="585">
        <v>147</v>
      </c>
      <c r="CK255" s="585">
        <v>147</v>
      </c>
      <c r="CL255" s="585">
        <v>147</v>
      </c>
      <c r="CM255" s="585">
        <v>147</v>
      </c>
      <c r="CN255" s="585">
        <v>147</v>
      </c>
      <c r="DG255" s="1150"/>
      <c r="DH255" s="1150"/>
      <c r="DI255" s="1150"/>
      <c r="DJ255" s="1150"/>
      <c r="DK255" s="1150"/>
    </row>
    <row r="256" spans="1:115" x14ac:dyDescent="0.25">
      <c r="B256" s="117" t="s">
        <v>574</v>
      </c>
      <c r="C256" s="264" t="s">
        <v>160</v>
      </c>
      <c r="D256" s="264" t="s">
        <v>160</v>
      </c>
      <c r="E256" s="264" t="s">
        <v>160</v>
      </c>
      <c r="F256" s="264" t="s">
        <v>160</v>
      </c>
      <c r="G256" s="264" t="s">
        <v>160</v>
      </c>
      <c r="H256" s="264" t="s">
        <v>160</v>
      </c>
      <c r="I256" s="264" t="s">
        <v>160</v>
      </c>
      <c r="J256" s="264" t="s">
        <v>160</v>
      </c>
      <c r="K256" s="264" t="s">
        <v>160</v>
      </c>
      <c r="L256" s="352" t="s">
        <v>160</v>
      </c>
      <c r="M256" s="352" t="s">
        <v>160</v>
      </c>
      <c r="N256" s="352" t="s">
        <v>160</v>
      </c>
      <c r="O256" s="586" t="s">
        <v>160</v>
      </c>
      <c r="P256" s="586" t="s">
        <v>160</v>
      </c>
      <c r="Q256" s="586" t="s">
        <v>160</v>
      </c>
      <c r="R256" s="586" t="s">
        <v>160</v>
      </c>
      <c r="S256" s="586" t="s">
        <v>160</v>
      </c>
      <c r="T256" s="586" t="s">
        <v>160</v>
      </c>
      <c r="U256" s="586" t="s">
        <v>160</v>
      </c>
      <c r="V256" s="586" t="s">
        <v>160</v>
      </c>
      <c r="W256" s="585" t="s">
        <v>160</v>
      </c>
      <c r="X256" s="586" t="s">
        <v>160</v>
      </c>
      <c r="Y256" s="586" t="s">
        <v>160</v>
      </c>
      <c r="Z256" s="586" t="s">
        <v>160</v>
      </c>
      <c r="AA256" s="586" t="s">
        <v>160</v>
      </c>
      <c r="AB256" s="586" t="s">
        <v>160</v>
      </c>
      <c r="AC256" s="586" t="s">
        <v>160</v>
      </c>
      <c r="AD256" s="586" t="s">
        <v>160</v>
      </c>
      <c r="AE256" s="586" t="s">
        <v>160</v>
      </c>
      <c r="AF256" s="586" t="s">
        <v>160</v>
      </c>
      <c r="AG256" s="586" t="s">
        <v>160</v>
      </c>
      <c r="AH256" s="586" t="s">
        <v>160</v>
      </c>
      <c r="AI256" s="586" t="s">
        <v>160</v>
      </c>
      <c r="AJ256" s="347" t="s">
        <v>160</v>
      </c>
      <c r="AK256" s="347" t="s">
        <v>160</v>
      </c>
      <c r="AL256" s="347" t="s">
        <v>160</v>
      </c>
      <c r="AM256" s="347" t="s">
        <v>160</v>
      </c>
      <c r="AN256" s="347" t="s">
        <v>160</v>
      </c>
      <c r="AO256" s="347" t="s">
        <v>160</v>
      </c>
      <c r="AP256" s="347" t="s">
        <v>160</v>
      </c>
      <c r="AQ256" s="347" t="s">
        <v>160</v>
      </c>
      <c r="AR256" s="347" t="s">
        <v>160</v>
      </c>
      <c r="AS256" s="347" t="s">
        <v>160</v>
      </c>
      <c r="AT256" s="347" t="s">
        <v>160</v>
      </c>
      <c r="AU256" s="347" t="s">
        <v>160</v>
      </c>
      <c r="AV256" s="928" t="s">
        <v>160</v>
      </c>
      <c r="AW256" s="349" t="s">
        <v>160</v>
      </c>
      <c r="AX256" s="349" t="s">
        <v>160</v>
      </c>
      <c r="AY256" s="347" t="s">
        <v>160</v>
      </c>
      <c r="AZ256" s="347" t="s">
        <v>160</v>
      </c>
      <c r="BA256" s="347" t="s">
        <v>160</v>
      </c>
      <c r="BB256" s="347" t="s">
        <v>160</v>
      </c>
      <c r="BC256" s="347" t="s">
        <v>160</v>
      </c>
      <c r="BD256" s="347" t="s">
        <v>160</v>
      </c>
      <c r="BE256" s="347" t="s">
        <v>160</v>
      </c>
      <c r="BF256" s="347" t="s">
        <v>160</v>
      </c>
      <c r="BG256" s="347" t="s">
        <v>160</v>
      </c>
      <c r="BH256" s="347" t="s">
        <v>160</v>
      </c>
      <c r="BI256" s="347" t="s">
        <v>160</v>
      </c>
      <c r="BJ256" s="347" t="s">
        <v>160</v>
      </c>
      <c r="BK256" s="347" t="s">
        <v>160</v>
      </c>
      <c r="BL256" s="347" t="s">
        <v>160</v>
      </c>
      <c r="BM256" s="347" t="s">
        <v>160</v>
      </c>
      <c r="BN256" s="347" t="s">
        <v>160</v>
      </c>
      <c r="BO256" s="347" t="s">
        <v>160</v>
      </c>
      <c r="BP256" s="347" t="s">
        <v>160</v>
      </c>
      <c r="BQ256" s="347" t="s">
        <v>160</v>
      </c>
      <c r="BR256" s="347" t="s">
        <v>160</v>
      </c>
      <c r="BS256" s="347" t="s">
        <v>160</v>
      </c>
      <c r="BT256" s="347" t="s">
        <v>160</v>
      </c>
      <c r="BU256" s="347" t="s">
        <v>160</v>
      </c>
      <c r="BV256" s="347" t="s">
        <v>160</v>
      </c>
      <c r="BW256" s="347" t="s">
        <v>160</v>
      </c>
      <c r="BX256" s="347" t="s">
        <v>160</v>
      </c>
      <c r="BY256" s="342">
        <v>205</v>
      </c>
      <c r="BZ256" s="585">
        <v>205</v>
      </c>
      <c r="CA256" s="585">
        <v>205</v>
      </c>
      <c r="CB256" s="585">
        <v>205</v>
      </c>
      <c r="CC256" s="585">
        <v>205</v>
      </c>
      <c r="CD256" s="585">
        <v>205</v>
      </c>
      <c r="CE256" s="585">
        <v>205</v>
      </c>
      <c r="CF256" s="585">
        <v>205</v>
      </c>
      <c r="CG256" s="585">
        <v>205</v>
      </c>
      <c r="CH256" s="585">
        <v>205</v>
      </c>
      <c r="CI256" s="585">
        <v>205</v>
      </c>
      <c r="CJ256" s="585" t="s">
        <v>160</v>
      </c>
      <c r="CK256" s="585" t="s">
        <v>160</v>
      </c>
      <c r="CL256" s="585" t="s">
        <v>160</v>
      </c>
      <c r="CM256" s="585" t="s">
        <v>160</v>
      </c>
      <c r="CN256" s="585" t="s">
        <v>160</v>
      </c>
      <c r="CO256"/>
      <c r="CP256"/>
      <c r="CQ256"/>
      <c r="CR256"/>
      <c r="CS256"/>
      <c r="CT256"/>
      <c r="CU256"/>
      <c r="CV256"/>
      <c r="CW256"/>
      <c r="CX256"/>
      <c r="CY256"/>
      <c r="CZ256"/>
      <c r="DA256"/>
      <c r="DB256"/>
      <c r="DC256"/>
      <c r="DD256"/>
      <c r="DE256"/>
    </row>
    <row r="257" spans="1:115" x14ac:dyDescent="0.25">
      <c r="B257" s="117" t="s">
        <v>547</v>
      </c>
      <c r="C257" s="264" t="s">
        <v>160</v>
      </c>
      <c r="D257" s="264" t="s">
        <v>160</v>
      </c>
      <c r="E257" s="264" t="s">
        <v>160</v>
      </c>
      <c r="F257" s="264" t="s">
        <v>160</v>
      </c>
      <c r="G257" s="265" t="s">
        <v>160</v>
      </c>
      <c r="H257" s="265" t="s">
        <v>160</v>
      </c>
      <c r="I257" s="265" t="s">
        <v>160</v>
      </c>
      <c r="J257" s="265" t="s">
        <v>160</v>
      </c>
      <c r="K257" s="265" t="s">
        <v>160</v>
      </c>
      <c r="L257" s="586" t="s">
        <v>160</v>
      </c>
      <c r="M257" s="586" t="s">
        <v>160</v>
      </c>
      <c r="N257" s="586" t="s">
        <v>160</v>
      </c>
      <c r="O257" s="586" t="s">
        <v>160</v>
      </c>
      <c r="P257" s="586" t="s">
        <v>160</v>
      </c>
      <c r="Q257" s="585" t="s">
        <v>160</v>
      </c>
      <c r="R257" s="585" t="s">
        <v>160</v>
      </c>
      <c r="S257" s="585" t="s">
        <v>160</v>
      </c>
      <c r="T257" s="585" t="s">
        <v>160</v>
      </c>
      <c r="U257" s="585" t="s">
        <v>160</v>
      </c>
      <c r="V257" s="585" t="s">
        <v>160</v>
      </c>
      <c r="W257" s="585" t="s">
        <v>160</v>
      </c>
      <c r="X257" s="585" t="s">
        <v>160</v>
      </c>
      <c r="Y257" s="585" t="s">
        <v>160</v>
      </c>
      <c r="Z257" s="585" t="s">
        <v>160</v>
      </c>
      <c r="AA257" s="585" t="s">
        <v>160</v>
      </c>
      <c r="AB257" s="585" t="s">
        <v>160</v>
      </c>
      <c r="AC257" s="585" t="s">
        <v>160</v>
      </c>
      <c r="AD257" s="585" t="s">
        <v>160</v>
      </c>
      <c r="AE257" s="585" t="s">
        <v>160</v>
      </c>
      <c r="AF257" s="585" t="s">
        <v>160</v>
      </c>
      <c r="AG257" s="585" t="s">
        <v>160</v>
      </c>
      <c r="AH257" s="585" t="s">
        <v>160</v>
      </c>
      <c r="AI257" s="585" t="s">
        <v>160</v>
      </c>
      <c r="AJ257" s="347" t="s">
        <v>160</v>
      </c>
      <c r="AK257" s="347" t="s">
        <v>160</v>
      </c>
      <c r="AL257" s="347" t="s">
        <v>160</v>
      </c>
      <c r="AM257" s="347" t="s">
        <v>160</v>
      </c>
      <c r="AN257" s="347" t="s">
        <v>160</v>
      </c>
      <c r="AO257" s="347" t="s">
        <v>160</v>
      </c>
      <c r="AP257" s="347" t="s">
        <v>160</v>
      </c>
      <c r="AQ257" s="347" t="s">
        <v>160</v>
      </c>
      <c r="AR257" s="347" t="s">
        <v>160</v>
      </c>
      <c r="AS257" s="347" t="s">
        <v>160</v>
      </c>
      <c r="AT257" s="347" t="s">
        <v>160</v>
      </c>
      <c r="AU257" s="347" t="s">
        <v>160</v>
      </c>
      <c r="AV257" s="928" t="s">
        <v>160</v>
      </c>
      <c r="AW257" s="347" t="s">
        <v>160</v>
      </c>
      <c r="AX257" s="347" t="s">
        <v>160</v>
      </c>
      <c r="AY257" s="347" t="s">
        <v>160</v>
      </c>
      <c r="AZ257" s="347" t="s">
        <v>160</v>
      </c>
      <c r="BA257" s="347" t="s">
        <v>160</v>
      </c>
      <c r="BB257" s="347" t="s">
        <v>160</v>
      </c>
      <c r="BC257" s="347" t="s">
        <v>160</v>
      </c>
      <c r="BD257" s="347" t="s">
        <v>160</v>
      </c>
      <c r="BE257" s="347" t="s">
        <v>160</v>
      </c>
      <c r="BF257" s="347" t="s">
        <v>160</v>
      </c>
      <c r="BG257" s="347" t="s">
        <v>160</v>
      </c>
      <c r="BH257" s="347" t="s">
        <v>160</v>
      </c>
      <c r="BI257" s="347" t="s">
        <v>160</v>
      </c>
      <c r="BJ257" s="347" t="s">
        <v>160</v>
      </c>
      <c r="BK257" s="347" t="s">
        <v>160</v>
      </c>
      <c r="BL257" s="347" t="s">
        <v>160</v>
      </c>
      <c r="BM257" s="347" t="s">
        <v>160</v>
      </c>
      <c r="BN257" s="347" t="s">
        <v>160</v>
      </c>
      <c r="BO257" s="347" t="s">
        <v>160</v>
      </c>
      <c r="BP257" s="347">
        <v>128</v>
      </c>
      <c r="BQ257" s="347">
        <v>128</v>
      </c>
      <c r="BR257" s="347">
        <v>128</v>
      </c>
      <c r="BS257" s="347">
        <v>128</v>
      </c>
      <c r="BT257" s="347">
        <v>128</v>
      </c>
      <c r="BU257" s="347">
        <v>129</v>
      </c>
      <c r="BV257" s="347">
        <v>129</v>
      </c>
      <c r="BW257" s="347">
        <v>129</v>
      </c>
      <c r="BX257" s="347">
        <v>129</v>
      </c>
      <c r="BY257" s="342">
        <v>153</v>
      </c>
      <c r="BZ257" s="585">
        <v>153</v>
      </c>
      <c r="CA257" s="585">
        <v>153</v>
      </c>
      <c r="CB257" s="585">
        <v>153</v>
      </c>
      <c r="CC257" s="585">
        <v>153</v>
      </c>
      <c r="CD257" s="342">
        <v>174.3</v>
      </c>
      <c r="CE257" s="585">
        <v>174.3</v>
      </c>
      <c r="CF257" s="585">
        <v>174.3</v>
      </c>
      <c r="CG257" s="585">
        <v>174.3</v>
      </c>
      <c r="CH257" s="585">
        <v>174.3</v>
      </c>
      <c r="CI257" s="585">
        <v>174.3</v>
      </c>
      <c r="CJ257" s="585">
        <v>174.3</v>
      </c>
      <c r="CK257" s="585">
        <v>174.3</v>
      </c>
      <c r="CL257" s="585">
        <v>174.3</v>
      </c>
      <c r="CM257" s="585">
        <v>174.3</v>
      </c>
      <c r="CN257" s="585">
        <v>174.3</v>
      </c>
      <c r="CO257"/>
      <c r="CP257"/>
      <c r="CQ257"/>
      <c r="CR257"/>
      <c r="CS257"/>
      <c r="CT257"/>
      <c r="CU257"/>
      <c r="CV257"/>
      <c r="CW257"/>
      <c r="CX257"/>
      <c r="CY257"/>
      <c r="CZ257"/>
      <c r="DA257"/>
      <c r="DB257"/>
      <c r="DC257"/>
      <c r="DD257"/>
      <c r="DE257"/>
    </row>
    <row r="258" spans="1:115" x14ac:dyDescent="0.25">
      <c r="B258" s="117" t="s">
        <v>1150</v>
      </c>
      <c r="C258" s="347" t="s">
        <v>160</v>
      </c>
      <c r="D258" s="347" t="s">
        <v>160</v>
      </c>
      <c r="E258" s="347" t="s">
        <v>160</v>
      </c>
      <c r="F258" s="347" t="s">
        <v>160</v>
      </c>
      <c r="G258" s="347" t="s">
        <v>160</v>
      </c>
      <c r="H258" s="347" t="s">
        <v>160</v>
      </c>
      <c r="I258" s="347" t="s">
        <v>160</v>
      </c>
      <c r="J258" s="347" t="s">
        <v>160</v>
      </c>
      <c r="K258" s="347" t="s">
        <v>160</v>
      </c>
      <c r="L258" s="347" t="s">
        <v>160</v>
      </c>
      <c r="M258" s="347" t="s">
        <v>160</v>
      </c>
      <c r="N258" s="347" t="s">
        <v>160</v>
      </c>
      <c r="O258" s="347" t="s">
        <v>160</v>
      </c>
      <c r="P258" s="347" t="s">
        <v>160</v>
      </c>
      <c r="Q258" s="347" t="s">
        <v>160</v>
      </c>
      <c r="R258" s="347" t="s">
        <v>160</v>
      </c>
      <c r="S258" s="347" t="s">
        <v>160</v>
      </c>
      <c r="T258" s="347" t="s">
        <v>160</v>
      </c>
      <c r="U258" s="347" t="s">
        <v>160</v>
      </c>
      <c r="V258" s="347" t="s">
        <v>160</v>
      </c>
      <c r="W258" s="347" t="s">
        <v>160</v>
      </c>
      <c r="X258" s="347" t="s">
        <v>160</v>
      </c>
      <c r="Y258" s="347" t="s">
        <v>160</v>
      </c>
      <c r="Z258" s="347" t="s">
        <v>160</v>
      </c>
      <c r="AA258" s="347" t="s">
        <v>160</v>
      </c>
      <c r="AB258" s="347" t="s">
        <v>160</v>
      </c>
      <c r="AC258" s="347" t="s">
        <v>160</v>
      </c>
      <c r="AD258" s="347" t="s">
        <v>160</v>
      </c>
      <c r="AE258" s="347" t="s">
        <v>160</v>
      </c>
      <c r="AF258" s="347" t="s">
        <v>160</v>
      </c>
      <c r="AG258" s="347" t="s">
        <v>160</v>
      </c>
      <c r="AH258" s="347" t="s">
        <v>160</v>
      </c>
      <c r="AI258" s="347" t="s">
        <v>160</v>
      </c>
      <c r="AJ258" s="347" t="s">
        <v>160</v>
      </c>
      <c r="AK258" s="347" t="s">
        <v>160</v>
      </c>
      <c r="AL258" s="347" t="s">
        <v>160</v>
      </c>
      <c r="AM258" s="347" t="s">
        <v>160</v>
      </c>
      <c r="AN258" s="347" t="s">
        <v>160</v>
      </c>
      <c r="AO258" s="347" t="s">
        <v>160</v>
      </c>
      <c r="AP258" s="347" t="s">
        <v>160</v>
      </c>
      <c r="AQ258" s="347" t="s">
        <v>160</v>
      </c>
      <c r="AR258" s="347" t="s">
        <v>160</v>
      </c>
      <c r="AS258" s="347" t="s">
        <v>160</v>
      </c>
      <c r="AT258" s="347" t="s">
        <v>160</v>
      </c>
      <c r="AU258" s="347" t="s">
        <v>160</v>
      </c>
      <c r="AV258" s="347" t="s">
        <v>160</v>
      </c>
      <c r="AW258" s="347" t="s">
        <v>160</v>
      </c>
      <c r="AX258" s="347" t="s">
        <v>160</v>
      </c>
      <c r="AY258" s="347" t="s">
        <v>160</v>
      </c>
      <c r="AZ258" s="347" t="s">
        <v>160</v>
      </c>
      <c r="BA258" s="347" t="s">
        <v>160</v>
      </c>
      <c r="BB258" s="347" t="s">
        <v>160</v>
      </c>
      <c r="BC258" s="347" t="s">
        <v>160</v>
      </c>
      <c r="BD258" s="347" t="s">
        <v>160</v>
      </c>
      <c r="BE258" s="347" t="s">
        <v>160</v>
      </c>
      <c r="BF258" s="347" t="s">
        <v>160</v>
      </c>
      <c r="BG258" s="347" t="s">
        <v>160</v>
      </c>
      <c r="BH258" s="347" t="s">
        <v>160</v>
      </c>
      <c r="BI258" s="347" t="s">
        <v>160</v>
      </c>
      <c r="BJ258" s="347" t="s">
        <v>160</v>
      </c>
      <c r="BK258" s="347" t="s">
        <v>160</v>
      </c>
      <c r="BL258" s="347" t="s">
        <v>160</v>
      </c>
      <c r="BM258" s="347" t="s">
        <v>160</v>
      </c>
      <c r="BN258" s="347">
        <v>179</v>
      </c>
      <c r="BO258" s="347">
        <v>179</v>
      </c>
      <c r="BP258" s="347">
        <v>179</v>
      </c>
      <c r="BQ258" s="342">
        <v>174</v>
      </c>
      <c r="BR258" s="347">
        <v>174</v>
      </c>
      <c r="BS258" s="347">
        <v>174</v>
      </c>
      <c r="BT258" s="347">
        <v>150</v>
      </c>
      <c r="BU258" s="347">
        <v>150</v>
      </c>
      <c r="BV258" s="347">
        <v>150</v>
      </c>
      <c r="BW258" s="347">
        <v>150</v>
      </c>
      <c r="BX258" s="347">
        <v>150</v>
      </c>
      <c r="BY258" s="347">
        <v>150</v>
      </c>
      <c r="BZ258" s="585">
        <v>150</v>
      </c>
      <c r="CA258" s="585">
        <v>150</v>
      </c>
      <c r="CB258" s="342">
        <v>169</v>
      </c>
      <c r="CC258" s="585">
        <v>169</v>
      </c>
      <c r="CD258" s="585">
        <v>169</v>
      </c>
      <c r="CE258" s="585">
        <v>169</v>
      </c>
      <c r="CF258" s="585">
        <v>169</v>
      </c>
      <c r="CG258" s="585">
        <v>169</v>
      </c>
      <c r="CH258" s="585">
        <v>169</v>
      </c>
      <c r="CI258" s="585" t="s">
        <v>160</v>
      </c>
      <c r="CJ258" s="585" t="s">
        <v>160</v>
      </c>
      <c r="CK258" s="585" t="s">
        <v>160</v>
      </c>
      <c r="CL258" s="585" t="s">
        <v>160</v>
      </c>
      <c r="CM258" s="585" t="s">
        <v>160</v>
      </c>
      <c r="CN258" s="585" t="s">
        <v>160</v>
      </c>
      <c r="CO258"/>
      <c r="CP258"/>
      <c r="CQ258"/>
      <c r="CR258"/>
      <c r="CS258"/>
      <c r="CT258"/>
      <c r="CU258"/>
      <c r="CV258"/>
      <c r="CW258"/>
      <c r="CX258"/>
      <c r="CY258"/>
      <c r="CZ258"/>
      <c r="DA258"/>
      <c r="DB258"/>
      <c r="DC258"/>
      <c r="DD258"/>
      <c r="DE258"/>
    </row>
    <row r="259" spans="1:115" x14ac:dyDescent="0.25">
      <c r="A259"/>
      <c r="B259" s="1072" t="s">
        <v>557</v>
      </c>
      <c r="C259" s="1075" t="str">
        <f t="shared" ref="C259:AH259" si="183">IFERROR(AVERAGE(C254:C258),"-")</f>
        <v>-</v>
      </c>
      <c r="D259" s="1075" t="str">
        <f t="shared" si="183"/>
        <v>-</v>
      </c>
      <c r="E259" s="1075" t="str">
        <f t="shared" si="183"/>
        <v>-</v>
      </c>
      <c r="F259" s="1075" t="str">
        <f t="shared" si="183"/>
        <v>-</v>
      </c>
      <c r="G259" s="1075" t="str">
        <f t="shared" si="183"/>
        <v>-</v>
      </c>
      <c r="H259" s="1075" t="str">
        <f t="shared" si="183"/>
        <v>-</v>
      </c>
      <c r="I259" s="1075" t="str">
        <f t="shared" si="183"/>
        <v>-</v>
      </c>
      <c r="J259" s="1075" t="str">
        <f t="shared" si="183"/>
        <v>-</v>
      </c>
      <c r="K259" s="1075" t="str">
        <f t="shared" si="183"/>
        <v>-</v>
      </c>
      <c r="L259" s="1075" t="str">
        <f t="shared" si="183"/>
        <v>-</v>
      </c>
      <c r="M259" s="1075" t="str">
        <f t="shared" si="183"/>
        <v>-</v>
      </c>
      <c r="N259" s="1075" t="str">
        <f t="shared" si="183"/>
        <v>-</v>
      </c>
      <c r="O259" s="1075" t="str">
        <f t="shared" si="183"/>
        <v>-</v>
      </c>
      <c r="P259" s="1075" t="str">
        <f t="shared" si="183"/>
        <v>-</v>
      </c>
      <c r="Q259" s="1075" t="str">
        <f t="shared" si="183"/>
        <v>-</v>
      </c>
      <c r="R259" s="1075" t="str">
        <f t="shared" si="183"/>
        <v>-</v>
      </c>
      <c r="S259" s="1075" t="str">
        <f t="shared" si="183"/>
        <v>-</v>
      </c>
      <c r="T259" s="1075" t="str">
        <f t="shared" si="183"/>
        <v>-</v>
      </c>
      <c r="U259" s="1075" t="str">
        <f t="shared" si="183"/>
        <v>-</v>
      </c>
      <c r="V259" s="1075" t="str">
        <f t="shared" si="183"/>
        <v>-</v>
      </c>
      <c r="W259" s="1075" t="str">
        <f t="shared" si="183"/>
        <v>-</v>
      </c>
      <c r="X259" s="1075" t="str">
        <f t="shared" si="183"/>
        <v>-</v>
      </c>
      <c r="Y259" s="1075" t="str">
        <f t="shared" si="183"/>
        <v>-</v>
      </c>
      <c r="Z259" s="1075" t="str">
        <f t="shared" si="183"/>
        <v>-</v>
      </c>
      <c r="AA259" s="1075" t="str">
        <f t="shared" si="183"/>
        <v>-</v>
      </c>
      <c r="AB259" s="1075" t="str">
        <f t="shared" si="183"/>
        <v>-</v>
      </c>
      <c r="AC259" s="1075" t="str">
        <f t="shared" si="183"/>
        <v>-</v>
      </c>
      <c r="AD259" s="1075" t="str">
        <f t="shared" si="183"/>
        <v>-</v>
      </c>
      <c r="AE259" s="1075" t="str">
        <f t="shared" si="183"/>
        <v>-</v>
      </c>
      <c r="AF259" s="1075" t="str">
        <f t="shared" si="183"/>
        <v>-</v>
      </c>
      <c r="AG259" s="1075" t="str">
        <f t="shared" si="183"/>
        <v>-</v>
      </c>
      <c r="AH259" s="1075" t="str">
        <f t="shared" si="183"/>
        <v>-</v>
      </c>
      <c r="AI259" s="1075" t="str">
        <f t="shared" ref="AI259:BN259" si="184">IFERROR(AVERAGE(AI254:AI258),"-")</f>
        <v>-</v>
      </c>
      <c r="AJ259" s="1075" t="str">
        <f t="shared" si="184"/>
        <v>-</v>
      </c>
      <c r="AK259" s="1075" t="str">
        <f t="shared" si="184"/>
        <v>-</v>
      </c>
      <c r="AL259" s="1075" t="str">
        <f t="shared" si="184"/>
        <v>-</v>
      </c>
      <c r="AM259" s="1075" t="str">
        <f t="shared" si="184"/>
        <v>-</v>
      </c>
      <c r="AN259" s="1075" t="str">
        <f t="shared" si="184"/>
        <v>-</v>
      </c>
      <c r="AO259" s="1075" t="str">
        <f t="shared" si="184"/>
        <v>-</v>
      </c>
      <c r="AP259" s="1075" t="str">
        <f t="shared" si="184"/>
        <v>-</v>
      </c>
      <c r="AQ259" s="1075" t="str">
        <f t="shared" si="184"/>
        <v>-</v>
      </c>
      <c r="AR259" s="1075" t="str">
        <f t="shared" si="184"/>
        <v>-</v>
      </c>
      <c r="AS259" s="1075" t="str">
        <f t="shared" si="184"/>
        <v>-</v>
      </c>
      <c r="AT259" s="1075" t="str">
        <f t="shared" si="184"/>
        <v>-</v>
      </c>
      <c r="AU259" s="1075" t="str">
        <f t="shared" si="184"/>
        <v>-</v>
      </c>
      <c r="AV259" s="1075" t="str">
        <f t="shared" si="184"/>
        <v>-</v>
      </c>
      <c r="AW259" s="1075" t="str">
        <f t="shared" si="184"/>
        <v>-</v>
      </c>
      <c r="AX259" s="1075" t="str">
        <f t="shared" si="184"/>
        <v>-</v>
      </c>
      <c r="AY259" s="1075" t="str">
        <f t="shared" si="184"/>
        <v>-</v>
      </c>
      <c r="AZ259" s="1075" t="str">
        <f t="shared" si="184"/>
        <v>-</v>
      </c>
      <c r="BA259" s="1075" t="str">
        <f t="shared" si="184"/>
        <v>-</v>
      </c>
      <c r="BB259" s="1075" t="str">
        <f t="shared" si="184"/>
        <v>-</v>
      </c>
      <c r="BC259" s="1075" t="str">
        <f t="shared" si="184"/>
        <v>-</v>
      </c>
      <c r="BD259" s="1075" t="str">
        <f t="shared" si="184"/>
        <v>-</v>
      </c>
      <c r="BE259" s="1075" t="str">
        <f t="shared" si="184"/>
        <v>-</v>
      </c>
      <c r="BF259" s="1075" t="str">
        <f t="shared" si="184"/>
        <v>-</v>
      </c>
      <c r="BG259" s="1075" t="str">
        <f t="shared" si="184"/>
        <v>-</v>
      </c>
      <c r="BH259" s="1075" t="str">
        <f t="shared" si="184"/>
        <v>-</v>
      </c>
      <c r="BI259" s="1075" t="str">
        <f t="shared" si="184"/>
        <v>-</v>
      </c>
      <c r="BJ259" s="1075" t="str">
        <f t="shared" si="184"/>
        <v>-</v>
      </c>
      <c r="BK259" s="1075" t="str">
        <f t="shared" si="184"/>
        <v>-</v>
      </c>
      <c r="BL259" s="1075" t="str">
        <f t="shared" si="184"/>
        <v>-</v>
      </c>
      <c r="BM259" s="1075" t="str">
        <f t="shared" si="184"/>
        <v>-</v>
      </c>
      <c r="BN259" s="1075">
        <f t="shared" si="184"/>
        <v>179</v>
      </c>
      <c r="BO259" s="1075">
        <f t="shared" ref="BO259:CN259" si="185">IFERROR(AVERAGE(BO254:BO258),"-")</f>
        <v>179</v>
      </c>
      <c r="BP259" s="1075">
        <f t="shared" si="185"/>
        <v>153.5</v>
      </c>
      <c r="BQ259" s="1075">
        <f t="shared" si="185"/>
        <v>141.5</v>
      </c>
      <c r="BR259" s="1075">
        <f t="shared" si="185"/>
        <v>141.5</v>
      </c>
      <c r="BS259" s="1075">
        <f t="shared" si="185"/>
        <v>141.5</v>
      </c>
      <c r="BT259" s="1075">
        <f t="shared" si="185"/>
        <v>135.5</v>
      </c>
      <c r="BU259" s="1075">
        <f t="shared" si="185"/>
        <v>135.75</v>
      </c>
      <c r="BV259" s="1075">
        <f t="shared" si="185"/>
        <v>135.75</v>
      </c>
      <c r="BW259" s="1075">
        <f t="shared" si="185"/>
        <v>135.75</v>
      </c>
      <c r="BX259" s="1075">
        <f t="shared" si="185"/>
        <v>135.75</v>
      </c>
      <c r="BY259" s="1075">
        <f t="shared" si="185"/>
        <v>154.4</v>
      </c>
      <c r="BZ259" s="1075">
        <f t="shared" si="185"/>
        <v>154.4</v>
      </c>
      <c r="CA259" s="1075">
        <f t="shared" si="185"/>
        <v>154.4</v>
      </c>
      <c r="CB259" s="1075">
        <f t="shared" si="185"/>
        <v>158.19999999999999</v>
      </c>
      <c r="CC259" s="1075">
        <f t="shared" si="185"/>
        <v>163.6</v>
      </c>
      <c r="CD259" s="1075">
        <f t="shared" si="185"/>
        <v>167.85999999999999</v>
      </c>
      <c r="CE259" s="1075">
        <f t="shared" si="185"/>
        <v>167.85999999999999</v>
      </c>
      <c r="CF259" s="1075">
        <f t="shared" si="185"/>
        <v>167.85999999999999</v>
      </c>
      <c r="CG259" s="1075">
        <f t="shared" si="185"/>
        <v>167.85999999999999</v>
      </c>
      <c r="CH259" s="1075">
        <f t="shared" si="185"/>
        <v>167.85999999999999</v>
      </c>
      <c r="CI259" s="1075">
        <f t="shared" si="185"/>
        <v>167.57499999999999</v>
      </c>
      <c r="CJ259" s="1075">
        <f t="shared" si="185"/>
        <v>155.1</v>
      </c>
      <c r="CK259" s="1075">
        <f t="shared" si="185"/>
        <v>155.1</v>
      </c>
      <c r="CL259" s="1075">
        <f t="shared" si="185"/>
        <v>155.1</v>
      </c>
      <c r="CM259" s="1075">
        <f t="shared" si="185"/>
        <v>155.1</v>
      </c>
      <c r="CN259" s="1075">
        <f t="shared" si="185"/>
        <v>155.1</v>
      </c>
      <c r="CO259"/>
      <c r="CP259"/>
      <c r="CQ259"/>
      <c r="CR259"/>
      <c r="CS259"/>
      <c r="CT259"/>
      <c r="CU259"/>
      <c r="CV259"/>
      <c r="CW259"/>
      <c r="CX259"/>
      <c r="CY259"/>
      <c r="CZ259"/>
      <c r="DA259"/>
      <c r="DB259"/>
      <c r="DC259"/>
      <c r="DD259"/>
      <c r="DE259"/>
    </row>
    <row r="260" spans="1:115" x14ac:dyDescent="0.25">
      <c r="X260" s="340"/>
      <c r="Y260" s="340"/>
      <c r="Z260" s="340"/>
      <c r="AA260" s="340"/>
      <c r="AB260" s="340"/>
      <c r="AC260" s="340"/>
      <c r="AD260" s="340"/>
      <c r="AE260" s="340"/>
      <c r="AF260" s="340"/>
      <c r="AG260" s="340"/>
      <c r="AH260" s="340"/>
      <c r="AI260" s="340"/>
      <c r="AJ260" s="340"/>
      <c r="AK260" s="340"/>
      <c r="AL260" s="340"/>
      <c r="AM260" s="340"/>
      <c r="AN260" s="340"/>
      <c r="AO260" s="340"/>
      <c r="AP260" s="340"/>
      <c r="AQ260" s="340"/>
      <c r="AR260" s="340"/>
      <c r="AS260" s="340"/>
      <c r="AT260" s="761"/>
      <c r="AV260" s="913"/>
      <c r="BZ260" s="761"/>
      <c r="CA260" s="761"/>
      <c r="CB260" s="761"/>
      <c r="CC260" s="761"/>
      <c r="CD260" s="761"/>
      <c r="CE260" s="761"/>
      <c r="CF260" s="761"/>
      <c r="CG260" s="761"/>
      <c r="CH260" s="761"/>
      <c r="CI260" s="761"/>
      <c r="CJ260" s="761"/>
      <c r="CK260" s="761"/>
      <c r="CL260" s="761"/>
      <c r="CM260" s="761"/>
      <c r="CN260" s="761"/>
      <c r="CO260"/>
      <c r="CP260"/>
      <c r="CQ260"/>
      <c r="CR260"/>
      <c r="CS260"/>
      <c r="CT260"/>
      <c r="CU260"/>
      <c r="CV260"/>
      <c r="CW260"/>
      <c r="CX260"/>
      <c r="CY260"/>
      <c r="CZ260"/>
      <c r="DA260"/>
      <c r="DB260"/>
      <c r="DC260"/>
      <c r="DD260"/>
      <c r="DE260"/>
    </row>
    <row r="261" spans="1:115" x14ac:dyDescent="0.25">
      <c r="B261" s="113" t="s">
        <v>1147</v>
      </c>
      <c r="C261" s="263">
        <v>42522</v>
      </c>
      <c r="D261" s="263">
        <v>42552</v>
      </c>
      <c r="E261" s="263">
        <v>42583</v>
      </c>
      <c r="F261" s="263">
        <v>42614</v>
      </c>
      <c r="G261" s="263">
        <v>42644</v>
      </c>
      <c r="H261" s="263">
        <v>42675</v>
      </c>
      <c r="I261" s="263">
        <v>42705</v>
      </c>
      <c r="J261" s="263">
        <v>42736</v>
      </c>
      <c r="K261" s="263">
        <v>42767</v>
      </c>
      <c r="L261" s="263">
        <v>42795</v>
      </c>
      <c r="M261" s="263">
        <v>42826</v>
      </c>
      <c r="N261" s="263">
        <v>42856</v>
      </c>
      <c r="O261" s="263">
        <v>42887</v>
      </c>
      <c r="P261" s="263">
        <v>42917</v>
      </c>
      <c r="Q261" s="263">
        <v>42948</v>
      </c>
      <c r="R261" s="263">
        <v>42979</v>
      </c>
      <c r="S261" s="263">
        <v>43009</v>
      </c>
      <c r="T261" s="263">
        <v>43040</v>
      </c>
      <c r="U261" s="263">
        <v>43070</v>
      </c>
      <c r="V261" s="263">
        <v>43101</v>
      </c>
      <c r="W261" s="263">
        <v>43132</v>
      </c>
      <c r="X261" s="263">
        <v>43160</v>
      </c>
      <c r="Y261" s="263">
        <v>43191</v>
      </c>
      <c r="Z261" s="263">
        <v>43221</v>
      </c>
      <c r="AA261" s="263">
        <v>43252</v>
      </c>
      <c r="AB261" s="263">
        <v>43283</v>
      </c>
      <c r="AC261" s="263">
        <v>43314</v>
      </c>
      <c r="AD261" s="263">
        <v>43345</v>
      </c>
      <c r="AE261" s="263">
        <v>43376</v>
      </c>
      <c r="AF261" s="263">
        <v>43407</v>
      </c>
      <c r="AG261" s="263">
        <v>43437</v>
      </c>
      <c r="AH261" s="263">
        <v>43468</v>
      </c>
      <c r="AI261" s="263">
        <v>43499</v>
      </c>
      <c r="AJ261" s="263">
        <v>43527</v>
      </c>
      <c r="AK261" s="263">
        <v>43558</v>
      </c>
      <c r="AL261" s="263">
        <v>43587</v>
      </c>
      <c r="AM261" s="263">
        <v>43618</v>
      </c>
      <c r="AN261" s="263">
        <v>43647</v>
      </c>
      <c r="AO261" s="263">
        <v>43678</v>
      </c>
      <c r="AP261" s="263">
        <v>43709</v>
      </c>
      <c r="AQ261" s="263">
        <v>43739</v>
      </c>
      <c r="AR261" s="263">
        <v>43770</v>
      </c>
      <c r="AS261" s="263">
        <v>43800</v>
      </c>
      <c r="AT261" s="263">
        <v>43831</v>
      </c>
      <c r="AU261" s="263">
        <v>43862</v>
      </c>
      <c r="AV261" s="914">
        <v>43891</v>
      </c>
      <c r="AW261" s="263">
        <v>43922</v>
      </c>
      <c r="AX261" s="263">
        <v>43952</v>
      </c>
      <c r="AY261" s="263">
        <v>43983</v>
      </c>
      <c r="AZ261" s="263">
        <v>44013</v>
      </c>
      <c r="BA261" s="263">
        <v>44044</v>
      </c>
      <c r="BB261" s="263">
        <v>44075</v>
      </c>
      <c r="BC261" s="263">
        <v>44105</v>
      </c>
      <c r="BD261" s="263">
        <v>44136</v>
      </c>
      <c r="BE261" s="263">
        <v>44166</v>
      </c>
      <c r="BF261" s="263">
        <v>44197</v>
      </c>
      <c r="BG261" s="263">
        <v>44228</v>
      </c>
      <c r="BH261" s="263">
        <v>44256</v>
      </c>
      <c r="BI261" s="263">
        <v>44287</v>
      </c>
      <c r="BJ261" s="263">
        <v>44317</v>
      </c>
      <c r="BK261" s="263">
        <v>44348</v>
      </c>
      <c r="BL261" s="263">
        <v>44378</v>
      </c>
      <c r="BM261" s="263">
        <v>44409</v>
      </c>
      <c r="BN261" s="263">
        <v>44440</v>
      </c>
      <c r="BO261" s="263">
        <v>44470</v>
      </c>
      <c r="BP261" s="263">
        <v>44501</v>
      </c>
      <c r="BQ261" s="263">
        <v>44531</v>
      </c>
      <c r="BR261" s="263">
        <v>44562</v>
      </c>
      <c r="BS261" s="263">
        <v>44593</v>
      </c>
      <c r="BT261" s="263">
        <v>44622</v>
      </c>
      <c r="BU261" s="263">
        <v>44654</v>
      </c>
      <c r="BV261" s="263">
        <v>44685</v>
      </c>
      <c r="BW261" s="263">
        <v>44716</v>
      </c>
      <c r="BX261" s="263">
        <v>44746</v>
      </c>
      <c r="BY261" s="263">
        <v>44774</v>
      </c>
      <c r="BZ261" s="263">
        <v>44805</v>
      </c>
      <c r="CA261" s="263">
        <v>44835</v>
      </c>
      <c r="CB261" s="263">
        <v>44866</v>
      </c>
      <c r="CC261" s="263">
        <v>44896</v>
      </c>
      <c r="CD261" s="263">
        <v>44927</v>
      </c>
      <c r="CE261" s="263">
        <v>44958</v>
      </c>
      <c r="CF261" s="263">
        <v>44986</v>
      </c>
      <c r="CG261" s="263">
        <v>45017</v>
      </c>
      <c r="CH261" s="263">
        <v>45047</v>
      </c>
      <c r="CI261" s="263">
        <v>45078</v>
      </c>
      <c r="CJ261" s="263">
        <v>45108</v>
      </c>
      <c r="CK261" s="263">
        <v>45139</v>
      </c>
      <c r="CL261" s="263">
        <v>45170</v>
      </c>
      <c r="CM261" s="263">
        <v>45200</v>
      </c>
      <c r="CN261" s="263">
        <v>45231</v>
      </c>
      <c r="CO261" s="263">
        <v>45261</v>
      </c>
      <c r="CP261" s="263">
        <v>45292</v>
      </c>
      <c r="CQ261" s="263">
        <v>45323</v>
      </c>
      <c r="CR261" s="263">
        <v>45352</v>
      </c>
      <c r="CS261" s="263">
        <v>45383</v>
      </c>
      <c r="CT261" s="263">
        <v>45413</v>
      </c>
      <c r="CU261" s="263">
        <v>45444</v>
      </c>
      <c r="CV261" s="263">
        <v>45474</v>
      </c>
      <c r="CW261" s="263">
        <v>45505</v>
      </c>
      <c r="CX261" s="263">
        <v>45536</v>
      </c>
      <c r="CY261" s="263">
        <v>45566</v>
      </c>
      <c r="CZ261" s="263">
        <v>45597</v>
      </c>
      <c r="DA261" s="263">
        <v>45627</v>
      </c>
      <c r="DB261"/>
      <c r="DC261"/>
      <c r="DD261"/>
      <c r="DE261"/>
      <c r="DF261"/>
      <c r="DG261"/>
      <c r="DH261"/>
      <c r="DI261"/>
      <c r="DJ261"/>
      <c r="DK261"/>
    </row>
    <row r="262" spans="1:115" x14ac:dyDescent="0.25">
      <c r="B262" s="117" t="s">
        <v>542</v>
      </c>
      <c r="C262" s="265" t="s">
        <v>160</v>
      </c>
      <c r="D262" s="265" t="s">
        <v>160</v>
      </c>
      <c r="E262" s="265" t="s">
        <v>160</v>
      </c>
      <c r="F262" s="265" t="s">
        <v>160</v>
      </c>
      <c r="G262" s="265" t="s">
        <v>160</v>
      </c>
      <c r="H262" s="265" t="s">
        <v>160</v>
      </c>
      <c r="I262" s="265" t="s">
        <v>160</v>
      </c>
      <c r="J262" s="337" t="s">
        <v>160</v>
      </c>
      <c r="K262" s="337" t="s">
        <v>160</v>
      </c>
      <c r="L262" s="585" t="s">
        <v>160</v>
      </c>
      <c r="M262" s="585" t="s">
        <v>160</v>
      </c>
      <c r="N262" s="585" t="s">
        <v>160</v>
      </c>
      <c r="O262" s="585" t="s">
        <v>160</v>
      </c>
      <c r="P262" s="585" t="s">
        <v>160</v>
      </c>
      <c r="Q262" s="585" t="s">
        <v>160</v>
      </c>
      <c r="R262" s="585" t="s">
        <v>160</v>
      </c>
      <c r="S262" s="585" t="s">
        <v>160</v>
      </c>
      <c r="T262" s="585" t="s">
        <v>160</v>
      </c>
      <c r="U262" s="585" t="s">
        <v>160</v>
      </c>
      <c r="V262" s="585" t="s">
        <v>160</v>
      </c>
      <c r="W262" s="585" t="s">
        <v>160</v>
      </c>
      <c r="X262" s="585" t="s">
        <v>160</v>
      </c>
      <c r="Y262" s="585" t="s">
        <v>160</v>
      </c>
      <c r="Z262" s="585" t="s">
        <v>160</v>
      </c>
      <c r="AA262" s="585" t="s">
        <v>160</v>
      </c>
      <c r="AB262" s="585" t="s">
        <v>160</v>
      </c>
      <c r="AC262" s="585" t="s">
        <v>160</v>
      </c>
      <c r="AD262" s="585" t="s">
        <v>160</v>
      </c>
      <c r="AE262" s="585" t="s">
        <v>160</v>
      </c>
      <c r="AF262" s="585" t="s">
        <v>160</v>
      </c>
      <c r="AG262" s="585" t="s">
        <v>160</v>
      </c>
      <c r="AH262" s="585" t="s">
        <v>160</v>
      </c>
      <c r="AI262" s="585" t="s">
        <v>160</v>
      </c>
      <c r="AJ262" s="347" t="s">
        <v>160</v>
      </c>
      <c r="AK262" s="347" t="s">
        <v>160</v>
      </c>
      <c r="AL262" s="347" t="s">
        <v>160</v>
      </c>
      <c r="AM262" s="347" t="s">
        <v>160</v>
      </c>
      <c r="AN262" s="347" t="s">
        <v>160</v>
      </c>
      <c r="AO262" s="347" t="s">
        <v>160</v>
      </c>
      <c r="AP262" s="347" t="s">
        <v>160</v>
      </c>
      <c r="AQ262" s="347" t="s">
        <v>160</v>
      </c>
      <c r="AR262" s="347" t="s">
        <v>160</v>
      </c>
      <c r="AS262" s="347" t="s">
        <v>160</v>
      </c>
      <c r="AT262" s="347" t="s">
        <v>160</v>
      </c>
      <c r="AU262" s="347" t="s">
        <v>160</v>
      </c>
      <c r="AV262" s="928" t="s">
        <v>160</v>
      </c>
      <c r="AW262" s="347" t="s">
        <v>160</v>
      </c>
      <c r="AX262" s="347" t="s">
        <v>160</v>
      </c>
      <c r="AY262" s="347" t="s">
        <v>160</v>
      </c>
      <c r="AZ262" s="347" t="s">
        <v>160</v>
      </c>
      <c r="BA262" s="347" t="s">
        <v>160</v>
      </c>
      <c r="BB262" s="347" t="s">
        <v>160</v>
      </c>
      <c r="BC262" s="347" t="s">
        <v>160</v>
      </c>
      <c r="BD262" s="347" t="s">
        <v>160</v>
      </c>
      <c r="BE262" s="347" t="s">
        <v>160</v>
      </c>
      <c r="BF262" s="585" t="s">
        <v>160</v>
      </c>
      <c r="BG262" s="585" t="s">
        <v>160</v>
      </c>
      <c r="BH262" s="585" t="s">
        <v>160</v>
      </c>
      <c r="BI262" s="585" t="s">
        <v>160</v>
      </c>
      <c r="BJ262" s="585" t="s">
        <v>160</v>
      </c>
      <c r="BK262" s="585" t="s">
        <v>160</v>
      </c>
      <c r="BL262" s="585" t="s">
        <v>160</v>
      </c>
      <c r="BM262" s="585" t="s">
        <v>160</v>
      </c>
      <c r="BN262" s="585" t="s">
        <v>160</v>
      </c>
      <c r="BO262" s="585" t="s">
        <v>160</v>
      </c>
      <c r="BP262" s="585" t="s">
        <v>160</v>
      </c>
      <c r="BQ262" s="585" t="s">
        <v>160</v>
      </c>
      <c r="BR262" s="585" t="s">
        <v>160</v>
      </c>
      <c r="BS262" s="585" t="s">
        <v>160</v>
      </c>
      <c r="BT262" s="585" t="s">
        <v>160</v>
      </c>
      <c r="BU262" s="585" t="s">
        <v>160</v>
      </c>
      <c r="BV262" s="585" t="s">
        <v>160</v>
      </c>
      <c r="BW262" s="585" t="s">
        <v>160</v>
      </c>
      <c r="BX262" s="585" t="s">
        <v>160</v>
      </c>
      <c r="BY262" s="585" t="s">
        <v>160</v>
      </c>
      <c r="BZ262" s="585" t="s">
        <v>160</v>
      </c>
      <c r="CA262" s="585" t="s">
        <v>160</v>
      </c>
      <c r="CB262" s="585" t="s">
        <v>160</v>
      </c>
      <c r="CC262" s="342">
        <v>1614</v>
      </c>
      <c r="CD262" s="585">
        <v>1614</v>
      </c>
      <c r="CE262" s="585">
        <v>1614</v>
      </c>
      <c r="CF262" s="585">
        <v>1614</v>
      </c>
      <c r="CG262" s="585">
        <v>1614</v>
      </c>
      <c r="CH262" s="585">
        <v>1614</v>
      </c>
      <c r="CI262" s="585">
        <v>1614</v>
      </c>
      <c r="CJ262" s="585">
        <v>1614</v>
      </c>
      <c r="CK262" s="585">
        <v>1614</v>
      </c>
      <c r="CL262" s="585">
        <v>1614</v>
      </c>
      <c r="CM262" s="585">
        <v>1614</v>
      </c>
      <c r="CN262" s="585">
        <v>1614</v>
      </c>
      <c r="CO262" s="585">
        <v>1614</v>
      </c>
      <c r="CP262" s="585">
        <v>1631</v>
      </c>
      <c r="CQ262" s="585">
        <v>1631</v>
      </c>
      <c r="CR262" s="585">
        <v>1631</v>
      </c>
      <c r="CS262" s="585">
        <v>1631</v>
      </c>
      <c r="CT262" s="585">
        <v>1631</v>
      </c>
      <c r="CU262" s="585">
        <v>1631</v>
      </c>
      <c r="CV262" s="585">
        <v>1631</v>
      </c>
      <c r="CW262" s="585">
        <v>1631</v>
      </c>
      <c r="CX262" s="585">
        <v>1631</v>
      </c>
      <c r="CY262" s="585">
        <v>1631</v>
      </c>
      <c r="CZ262" s="585">
        <v>1631</v>
      </c>
      <c r="DA262" s="585">
        <v>1631</v>
      </c>
      <c r="DB262"/>
      <c r="DC262"/>
      <c r="DD262"/>
      <c r="DE262"/>
      <c r="DF262"/>
      <c r="DG262"/>
      <c r="DH262"/>
      <c r="DI262"/>
      <c r="DJ262"/>
      <c r="DK262"/>
    </row>
    <row r="263" spans="1:115" x14ac:dyDescent="0.25">
      <c r="B263" s="117" t="s">
        <v>546</v>
      </c>
      <c r="C263" s="265" t="s">
        <v>160</v>
      </c>
      <c r="D263" s="265" t="s">
        <v>160</v>
      </c>
      <c r="E263" s="265" t="s">
        <v>160</v>
      </c>
      <c r="F263" s="265" t="s">
        <v>160</v>
      </c>
      <c r="G263" s="265" t="s">
        <v>160</v>
      </c>
      <c r="H263" s="265" t="s">
        <v>160</v>
      </c>
      <c r="I263" s="265" t="s">
        <v>160</v>
      </c>
      <c r="J263" s="337" t="s">
        <v>160</v>
      </c>
      <c r="K263" s="337" t="s">
        <v>160</v>
      </c>
      <c r="L263" s="585" t="s">
        <v>160</v>
      </c>
      <c r="M263" s="585" t="s">
        <v>160</v>
      </c>
      <c r="N263" s="585" t="s">
        <v>160</v>
      </c>
      <c r="O263" s="585" t="s">
        <v>160</v>
      </c>
      <c r="P263" s="585" t="s">
        <v>160</v>
      </c>
      <c r="Q263" s="585" t="s">
        <v>160</v>
      </c>
      <c r="R263" s="585" t="s">
        <v>160</v>
      </c>
      <c r="S263" s="585" t="s">
        <v>160</v>
      </c>
      <c r="T263" s="585" t="s">
        <v>160</v>
      </c>
      <c r="U263" s="585" t="s">
        <v>160</v>
      </c>
      <c r="V263" s="585" t="s">
        <v>160</v>
      </c>
      <c r="W263" s="585" t="s">
        <v>160</v>
      </c>
      <c r="X263" s="585" t="s">
        <v>160</v>
      </c>
      <c r="Y263" s="585" t="s">
        <v>160</v>
      </c>
      <c r="Z263" s="585" t="s">
        <v>160</v>
      </c>
      <c r="AA263" s="585" t="s">
        <v>160</v>
      </c>
      <c r="AB263" s="585" t="s">
        <v>160</v>
      </c>
      <c r="AC263" s="585" t="s">
        <v>160</v>
      </c>
      <c r="AD263" s="585" t="s">
        <v>160</v>
      </c>
      <c r="AE263" s="585" t="s">
        <v>160</v>
      </c>
      <c r="AF263" s="585" t="s">
        <v>160</v>
      </c>
      <c r="AG263" s="585" t="s">
        <v>160</v>
      </c>
      <c r="AH263" s="585" t="s">
        <v>160</v>
      </c>
      <c r="AI263" s="585" t="s">
        <v>160</v>
      </c>
      <c r="AJ263" s="347" t="s">
        <v>160</v>
      </c>
      <c r="AK263" s="347" t="s">
        <v>160</v>
      </c>
      <c r="AL263" s="347" t="s">
        <v>160</v>
      </c>
      <c r="AM263" s="347" t="s">
        <v>160</v>
      </c>
      <c r="AN263" s="347" t="s">
        <v>160</v>
      </c>
      <c r="AO263" s="347" t="s">
        <v>160</v>
      </c>
      <c r="AP263" s="347" t="s">
        <v>160</v>
      </c>
      <c r="AQ263" s="347" t="s">
        <v>160</v>
      </c>
      <c r="AR263" s="347" t="s">
        <v>160</v>
      </c>
      <c r="AS263" s="347" t="s">
        <v>160</v>
      </c>
      <c r="AT263" s="347" t="s">
        <v>160</v>
      </c>
      <c r="AU263" s="347" t="s">
        <v>160</v>
      </c>
      <c r="AV263" s="928" t="s">
        <v>160</v>
      </c>
      <c r="AW263" s="347" t="s">
        <v>160</v>
      </c>
      <c r="AX263" s="347" t="s">
        <v>160</v>
      </c>
      <c r="AY263" s="347" t="s">
        <v>160</v>
      </c>
      <c r="AZ263" s="347" t="s">
        <v>160</v>
      </c>
      <c r="BA263" s="347" t="s">
        <v>160</v>
      </c>
      <c r="BB263" s="347" t="s">
        <v>160</v>
      </c>
      <c r="BC263" s="347" t="s">
        <v>160</v>
      </c>
      <c r="BD263" s="347" t="s">
        <v>160</v>
      </c>
      <c r="BE263" s="347" t="s">
        <v>160</v>
      </c>
      <c r="BF263" s="347" t="s">
        <v>160</v>
      </c>
      <c r="BG263" s="347" t="s">
        <v>160</v>
      </c>
      <c r="BH263" s="347" t="s">
        <v>160</v>
      </c>
      <c r="BI263" s="347" t="s">
        <v>160</v>
      </c>
      <c r="BJ263" s="347" t="s">
        <v>160</v>
      </c>
      <c r="BK263" s="347" t="s">
        <v>160</v>
      </c>
      <c r="BL263" s="347" t="s">
        <v>160</v>
      </c>
      <c r="BM263" s="347" t="s">
        <v>160</v>
      </c>
      <c r="BN263" s="585" t="s">
        <v>160</v>
      </c>
      <c r="BO263" s="585" t="s">
        <v>160</v>
      </c>
      <c r="BP263" s="585" t="s">
        <v>160</v>
      </c>
      <c r="BQ263" s="585" t="s">
        <v>160</v>
      </c>
      <c r="BR263" s="585" t="s">
        <v>160</v>
      </c>
      <c r="BS263" s="585" t="s">
        <v>160</v>
      </c>
      <c r="BT263" s="585" t="s">
        <v>160</v>
      </c>
      <c r="BU263" s="585" t="s">
        <v>160</v>
      </c>
      <c r="BV263" s="585" t="s">
        <v>160</v>
      </c>
      <c r="BW263" s="585" t="s">
        <v>160</v>
      </c>
      <c r="BX263" s="585" t="s">
        <v>160</v>
      </c>
      <c r="BY263" s="585" t="s">
        <v>160</v>
      </c>
      <c r="BZ263" s="585" t="s">
        <v>160</v>
      </c>
      <c r="CA263" s="585" t="s">
        <v>160</v>
      </c>
      <c r="CB263" s="585" t="s">
        <v>160</v>
      </c>
      <c r="CC263" s="585" t="s">
        <v>160</v>
      </c>
      <c r="CD263" s="585" t="s">
        <v>160</v>
      </c>
      <c r="CE263" s="585" t="s">
        <v>160</v>
      </c>
      <c r="CF263" s="585" t="s">
        <v>160</v>
      </c>
      <c r="CG263" s="585" t="s">
        <v>160</v>
      </c>
      <c r="CH263" s="585" t="s">
        <v>160</v>
      </c>
      <c r="CI263" s="585" t="s">
        <v>160</v>
      </c>
      <c r="CJ263" s="585" t="s">
        <v>160</v>
      </c>
      <c r="CK263" s="585" t="s">
        <v>160</v>
      </c>
      <c r="CL263" s="585" t="s">
        <v>160</v>
      </c>
      <c r="CM263" s="585" t="s">
        <v>160</v>
      </c>
      <c r="CN263" s="585" t="s">
        <v>160</v>
      </c>
      <c r="CO263" s="585" t="s">
        <v>160</v>
      </c>
      <c r="CP263" s="585" t="s">
        <v>160</v>
      </c>
      <c r="CQ263" s="585" t="s">
        <v>160</v>
      </c>
      <c r="CR263" s="585" t="s">
        <v>160</v>
      </c>
      <c r="CS263" s="585" t="s">
        <v>160</v>
      </c>
      <c r="CT263" s="585" t="s">
        <v>160</v>
      </c>
      <c r="CU263" s="585" t="s">
        <v>160</v>
      </c>
      <c r="CV263" s="585" t="s">
        <v>160</v>
      </c>
      <c r="CW263" s="585" t="s">
        <v>160</v>
      </c>
      <c r="CX263" s="585" t="s">
        <v>160</v>
      </c>
      <c r="CY263" s="585" t="s">
        <v>160</v>
      </c>
      <c r="CZ263" s="585" t="s">
        <v>160</v>
      </c>
      <c r="DA263" s="585" t="s">
        <v>160</v>
      </c>
      <c r="DB263"/>
      <c r="DC263"/>
      <c r="DD263"/>
      <c r="DE263"/>
      <c r="DF263"/>
      <c r="DG263"/>
      <c r="DH263"/>
      <c r="DI263"/>
      <c r="DJ263"/>
      <c r="DK263"/>
    </row>
    <row r="264" spans="1:115" x14ac:dyDescent="0.25">
      <c r="B264" s="117" t="s">
        <v>574</v>
      </c>
      <c r="C264" s="264" t="s">
        <v>160</v>
      </c>
      <c r="D264" s="264" t="s">
        <v>160</v>
      </c>
      <c r="E264" s="264" t="s">
        <v>160</v>
      </c>
      <c r="F264" s="264" t="s">
        <v>160</v>
      </c>
      <c r="G264" s="264" t="s">
        <v>160</v>
      </c>
      <c r="H264" s="264" t="s">
        <v>160</v>
      </c>
      <c r="I264" s="264" t="s">
        <v>160</v>
      </c>
      <c r="J264" s="337" t="s">
        <v>160</v>
      </c>
      <c r="K264" s="337" t="s">
        <v>160</v>
      </c>
      <c r="L264" s="585" t="s">
        <v>160</v>
      </c>
      <c r="M264" s="585" t="s">
        <v>160</v>
      </c>
      <c r="N264" s="585" t="s">
        <v>160</v>
      </c>
      <c r="O264" s="585" t="s">
        <v>160</v>
      </c>
      <c r="P264" s="585" t="s">
        <v>160</v>
      </c>
      <c r="Q264" s="585" t="s">
        <v>160</v>
      </c>
      <c r="R264" s="585" t="s">
        <v>160</v>
      </c>
      <c r="S264" s="585" t="s">
        <v>160</v>
      </c>
      <c r="T264" s="585" t="s">
        <v>160</v>
      </c>
      <c r="U264" s="585" t="s">
        <v>160</v>
      </c>
      <c r="V264" s="585" t="s">
        <v>160</v>
      </c>
      <c r="W264" s="585" t="s">
        <v>160</v>
      </c>
      <c r="X264" s="585" t="s">
        <v>160</v>
      </c>
      <c r="Y264" s="585" t="s">
        <v>160</v>
      </c>
      <c r="Z264" s="585" t="s">
        <v>160</v>
      </c>
      <c r="AA264" s="585" t="s">
        <v>160</v>
      </c>
      <c r="AB264" s="585" t="s">
        <v>160</v>
      </c>
      <c r="AC264" s="585" t="s">
        <v>160</v>
      </c>
      <c r="AD264" s="585" t="s">
        <v>160</v>
      </c>
      <c r="AE264" s="585" t="s">
        <v>160</v>
      </c>
      <c r="AF264" s="585" t="s">
        <v>160</v>
      </c>
      <c r="AG264" s="585" t="s">
        <v>160</v>
      </c>
      <c r="AH264" s="585" t="s">
        <v>160</v>
      </c>
      <c r="AI264" s="585" t="s">
        <v>160</v>
      </c>
      <c r="AJ264" s="347" t="s">
        <v>160</v>
      </c>
      <c r="AK264" s="347" t="s">
        <v>160</v>
      </c>
      <c r="AL264" s="347" t="s">
        <v>160</v>
      </c>
      <c r="AM264" s="347" t="s">
        <v>160</v>
      </c>
      <c r="AN264" s="347" t="s">
        <v>160</v>
      </c>
      <c r="AO264" s="347" t="s">
        <v>160</v>
      </c>
      <c r="AP264" s="347" t="s">
        <v>160</v>
      </c>
      <c r="AQ264" s="347" t="s">
        <v>160</v>
      </c>
      <c r="AR264" s="347" t="s">
        <v>160</v>
      </c>
      <c r="AS264" s="347" t="s">
        <v>160</v>
      </c>
      <c r="AT264" s="347" t="s">
        <v>160</v>
      </c>
      <c r="AU264" s="347" t="s">
        <v>160</v>
      </c>
      <c r="AV264" s="928" t="s">
        <v>160</v>
      </c>
      <c r="AW264" s="349" t="s">
        <v>160</v>
      </c>
      <c r="AX264" s="349" t="s">
        <v>160</v>
      </c>
      <c r="AY264" s="347" t="s">
        <v>160</v>
      </c>
      <c r="AZ264" s="347" t="s">
        <v>160</v>
      </c>
      <c r="BA264" s="347" t="s">
        <v>160</v>
      </c>
      <c r="BB264" s="347" t="s">
        <v>160</v>
      </c>
      <c r="BC264" s="347" t="s">
        <v>160</v>
      </c>
      <c r="BD264" s="347" t="s">
        <v>160</v>
      </c>
      <c r="BE264" s="347" t="s">
        <v>160</v>
      </c>
      <c r="BF264" s="347" t="s">
        <v>160</v>
      </c>
      <c r="BG264" s="347" t="s">
        <v>160</v>
      </c>
      <c r="BH264" s="347" t="s">
        <v>160</v>
      </c>
      <c r="BI264" s="347" t="s">
        <v>160</v>
      </c>
      <c r="BJ264" s="347" t="s">
        <v>160</v>
      </c>
      <c r="BK264" s="347" t="s">
        <v>160</v>
      </c>
      <c r="BL264" s="347" t="s">
        <v>160</v>
      </c>
      <c r="BM264" s="347" t="s">
        <v>160</v>
      </c>
      <c r="BN264" s="585" t="s">
        <v>160</v>
      </c>
      <c r="BO264" s="585" t="s">
        <v>160</v>
      </c>
      <c r="BP264" s="585" t="s">
        <v>160</v>
      </c>
      <c r="BQ264" s="585" t="s">
        <v>160</v>
      </c>
      <c r="BR264" s="585" t="s">
        <v>160</v>
      </c>
      <c r="BS264" s="585" t="s">
        <v>160</v>
      </c>
      <c r="BT264" s="585" t="s">
        <v>160</v>
      </c>
      <c r="BU264" s="585" t="s">
        <v>160</v>
      </c>
      <c r="BV264" s="585" t="s">
        <v>160</v>
      </c>
      <c r="BW264" s="585" t="s">
        <v>160</v>
      </c>
      <c r="BX264" s="585" t="s">
        <v>160</v>
      </c>
      <c r="BY264" s="585">
        <v>1784</v>
      </c>
      <c r="BZ264" s="585">
        <v>1784</v>
      </c>
      <c r="CA264" s="585">
        <v>1784</v>
      </c>
      <c r="CB264" s="585">
        <v>1784</v>
      </c>
      <c r="CC264" s="585">
        <v>1784</v>
      </c>
      <c r="CD264" s="585">
        <v>1784</v>
      </c>
      <c r="CE264" s="585">
        <v>1784</v>
      </c>
      <c r="CF264" s="585">
        <v>1784</v>
      </c>
      <c r="CG264" s="585">
        <v>1784</v>
      </c>
      <c r="CH264" s="585">
        <v>1784</v>
      </c>
      <c r="CI264" s="585">
        <v>1784</v>
      </c>
      <c r="CJ264" s="585" t="s">
        <v>160</v>
      </c>
      <c r="CK264" s="585" t="s">
        <v>160</v>
      </c>
      <c r="CL264" s="585" t="s">
        <v>160</v>
      </c>
      <c r="CM264" s="585" t="s">
        <v>160</v>
      </c>
      <c r="CN264" s="585" t="s">
        <v>160</v>
      </c>
      <c r="CO264" s="585" t="s">
        <v>160</v>
      </c>
      <c r="CP264" s="585" t="s">
        <v>160</v>
      </c>
      <c r="CQ264" s="585" t="s">
        <v>160</v>
      </c>
      <c r="CR264" s="585" t="s">
        <v>160</v>
      </c>
      <c r="CS264" s="585" t="s">
        <v>160</v>
      </c>
      <c r="CT264" s="585" t="s">
        <v>160</v>
      </c>
      <c r="CU264" s="585" t="s">
        <v>160</v>
      </c>
      <c r="CV264" s="585" t="s">
        <v>160</v>
      </c>
      <c r="CW264" s="585" t="s">
        <v>160</v>
      </c>
      <c r="CX264" s="585" t="s">
        <v>160</v>
      </c>
      <c r="CY264" s="585" t="s">
        <v>160</v>
      </c>
      <c r="CZ264" s="585" t="s">
        <v>160</v>
      </c>
      <c r="DA264" s="585" t="s">
        <v>160</v>
      </c>
      <c r="DB264"/>
      <c r="DC264"/>
      <c r="DD264"/>
      <c r="DE264"/>
      <c r="DF264"/>
      <c r="DG264"/>
      <c r="DH264"/>
      <c r="DI264"/>
      <c r="DJ264"/>
      <c r="DK264"/>
    </row>
    <row r="265" spans="1:115" x14ac:dyDescent="0.25">
      <c r="B265" s="117" t="s">
        <v>547</v>
      </c>
      <c r="C265" s="265" t="s">
        <v>160</v>
      </c>
      <c r="D265" s="265" t="s">
        <v>160</v>
      </c>
      <c r="E265" s="265" t="s">
        <v>160</v>
      </c>
      <c r="F265" s="265" t="s">
        <v>160</v>
      </c>
      <c r="G265" s="265" t="s">
        <v>160</v>
      </c>
      <c r="H265" s="265" t="s">
        <v>160</v>
      </c>
      <c r="I265" s="265" t="s">
        <v>160</v>
      </c>
      <c r="J265" s="337" t="s">
        <v>160</v>
      </c>
      <c r="K265" s="337" t="s">
        <v>160</v>
      </c>
      <c r="L265" s="585" t="s">
        <v>160</v>
      </c>
      <c r="M265" s="585" t="s">
        <v>160</v>
      </c>
      <c r="N265" s="585" t="s">
        <v>160</v>
      </c>
      <c r="O265" s="585" t="s">
        <v>160</v>
      </c>
      <c r="P265" s="585" t="s">
        <v>160</v>
      </c>
      <c r="Q265" s="585" t="s">
        <v>160</v>
      </c>
      <c r="R265" s="585" t="s">
        <v>160</v>
      </c>
      <c r="S265" s="585" t="s">
        <v>160</v>
      </c>
      <c r="T265" s="585" t="s">
        <v>160</v>
      </c>
      <c r="U265" s="585" t="s">
        <v>160</v>
      </c>
      <c r="V265" s="585" t="s">
        <v>160</v>
      </c>
      <c r="W265" s="585" t="s">
        <v>160</v>
      </c>
      <c r="X265" s="585" t="s">
        <v>160</v>
      </c>
      <c r="Y265" s="585" t="s">
        <v>160</v>
      </c>
      <c r="Z265" s="585" t="s">
        <v>160</v>
      </c>
      <c r="AA265" s="585" t="s">
        <v>160</v>
      </c>
      <c r="AB265" s="585" t="s">
        <v>160</v>
      </c>
      <c r="AC265" s="585" t="s">
        <v>160</v>
      </c>
      <c r="AD265" s="585" t="s">
        <v>160</v>
      </c>
      <c r="AE265" s="585" t="s">
        <v>160</v>
      </c>
      <c r="AF265" s="585" t="s">
        <v>160</v>
      </c>
      <c r="AG265" s="585" t="s">
        <v>160</v>
      </c>
      <c r="AH265" s="585" t="s">
        <v>160</v>
      </c>
      <c r="AI265" s="585" t="s">
        <v>160</v>
      </c>
      <c r="AJ265" s="347" t="s">
        <v>160</v>
      </c>
      <c r="AK265" s="347" t="s">
        <v>160</v>
      </c>
      <c r="AL265" s="347" t="s">
        <v>160</v>
      </c>
      <c r="AM265" s="347" t="s">
        <v>160</v>
      </c>
      <c r="AN265" s="347" t="s">
        <v>160</v>
      </c>
      <c r="AO265" s="347" t="s">
        <v>160</v>
      </c>
      <c r="AP265" s="347" t="s">
        <v>160</v>
      </c>
      <c r="AQ265" s="347" t="s">
        <v>160</v>
      </c>
      <c r="AR265" s="347" t="s">
        <v>160</v>
      </c>
      <c r="AS265" s="347" t="s">
        <v>160</v>
      </c>
      <c r="AT265" s="347" t="s">
        <v>160</v>
      </c>
      <c r="AU265" s="347" t="s">
        <v>160</v>
      </c>
      <c r="AV265" s="928" t="s">
        <v>160</v>
      </c>
      <c r="AW265" s="347" t="s">
        <v>160</v>
      </c>
      <c r="AX265" s="347" t="s">
        <v>160</v>
      </c>
      <c r="AY265" s="347" t="s">
        <v>160</v>
      </c>
      <c r="AZ265" s="347" t="s">
        <v>160</v>
      </c>
      <c r="BA265" s="347" t="s">
        <v>160</v>
      </c>
      <c r="BB265" s="347" t="s">
        <v>160</v>
      </c>
      <c r="BC265" s="347" t="s">
        <v>160</v>
      </c>
      <c r="BD265" s="347" t="s">
        <v>160</v>
      </c>
      <c r="BE265" s="347" t="s">
        <v>160</v>
      </c>
      <c r="BF265" s="347" t="s">
        <v>160</v>
      </c>
      <c r="BG265" s="347" t="s">
        <v>160</v>
      </c>
      <c r="BH265" s="347" t="s">
        <v>160</v>
      </c>
      <c r="BI265" s="347" t="s">
        <v>160</v>
      </c>
      <c r="BJ265" s="347" t="s">
        <v>160</v>
      </c>
      <c r="BK265" s="347" t="s">
        <v>160</v>
      </c>
      <c r="BL265" s="347" t="s">
        <v>160</v>
      </c>
      <c r="BM265" s="347" t="s">
        <v>160</v>
      </c>
      <c r="BN265" s="585" t="s">
        <v>160</v>
      </c>
      <c r="BO265" s="585" t="s">
        <v>160</v>
      </c>
      <c r="BP265" s="585" t="s">
        <v>160</v>
      </c>
      <c r="BQ265" s="585" t="s">
        <v>160</v>
      </c>
      <c r="BR265" s="585" t="s">
        <v>160</v>
      </c>
      <c r="BS265" s="585" t="s">
        <v>160</v>
      </c>
      <c r="BT265" s="585" t="s">
        <v>160</v>
      </c>
      <c r="BU265" s="585" t="s">
        <v>160</v>
      </c>
      <c r="BV265" s="585" t="s">
        <v>160</v>
      </c>
      <c r="BW265" s="585" t="s">
        <v>160</v>
      </c>
      <c r="BX265" s="585" t="s">
        <v>160</v>
      </c>
      <c r="BY265" s="585">
        <v>1728</v>
      </c>
      <c r="BZ265" s="585">
        <v>1728</v>
      </c>
      <c r="CA265" s="585">
        <v>1728</v>
      </c>
      <c r="CB265" s="585">
        <v>1728</v>
      </c>
      <c r="CC265" s="585">
        <v>1728</v>
      </c>
      <c r="CD265" s="341">
        <v>1661.1</v>
      </c>
      <c r="CE265" s="585">
        <v>1661.1</v>
      </c>
      <c r="CF265" s="585">
        <v>1661.1</v>
      </c>
      <c r="CG265" s="585">
        <v>1661.1</v>
      </c>
      <c r="CH265" s="585">
        <v>1661.1</v>
      </c>
      <c r="CI265" s="585">
        <v>1661.1</v>
      </c>
      <c r="CJ265" s="585">
        <v>1661.1</v>
      </c>
      <c r="CK265" s="585">
        <v>1661.1</v>
      </c>
      <c r="CL265" s="585">
        <v>1661.1</v>
      </c>
      <c r="CM265" s="585">
        <v>1661.1</v>
      </c>
      <c r="CN265" s="585">
        <v>1661.1</v>
      </c>
      <c r="CO265" s="585">
        <v>1712</v>
      </c>
      <c r="CP265" s="585">
        <v>1712</v>
      </c>
      <c r="CQ265" s="585">
        <v>1712</v>
      </c>
      <c r="CR265" s="585">
        <v>1712</v>
      </c>
      <c r="CS265" s="585">
        <v>1712</v>
      </c>
      <c r="CT265" s="585">
        <v>1712</v>
      </c>
      <c r="CU265" s="585">
        <v>1712</v>
      </c>
      <c r="CV265" s="585">
        <v>1712</v>
      </c>
      <c r="CW265" s="585">
        <v>1712</v>
      </c>
      <c r="CX265" s="585">
        <v>1712</v>
      </c>
      <c r="CY265" s="679">
        <v>1923</v>
      </c>
      <c r="CZ265" s="585">
        <v>1923</v>
      </c>
      <c r="DA265" s="585">
        <v>1923</v>
      </c>
      <c r="DB265"/>
      <c r="DC265"/>
      <c r="DD265"/>
      <c r="DE265"/>
      <c r="DF265"/>
      <c r="DG265"/>
      <c r="DH265"/>
      <c r="DI265"/>
      <c r="DJ265"/>
      <c r="DK265"/>
    </row>
    <row r="266" spans="1:115" x14ac:dyDescent="0.25">
      <c r="B266" s="117" t="s">
        <v>1150</v>
      </c>
      <c r="C266" s="265" t="s">
        <v>160</v>
      </c>
      <c r="D266" s="265" t="s">
        <v>160</v>
      </c>
      <c r="E266" s="265" t="s">
        <v>160</v>
      </c>
      <c r="F266" s="265" t="s">
        <v>160</v>
      </c>
      <c r="G266" s="265" t="s">
        <v>160</v>
      </c>
      <c r="H266" s="265" t="s">
        <v>160</v>
      </c>
      <c r="I266" s="265" t="s">
        <v>160</v>
      </c>
      <c r="J266" s="265" t="s">
        <v>160</v>
      </c>
      <c r="K266" s="265" t="s">
        <v>160</v>
      </c>
      <c r="L266" s="265" t="s">
        <v>160</v>
      </c>
      <c r="M266" s="265" t="s">
        <v>160</v>
      </c>
      <c r="N266" s="265" t="s">
        <v>160</v>
      </c>
      <c r="O266" s="265" t="s">
        <v>160</v>
      </c>
      <c r="P266" s="265" t="s">
        <v>160</v>
      </c>
      <c r="Q266" s="265" t="s">
        <v>160</v>
      </c>
      <c r="R266" s="265" t="s">
        <v>160</v>
      </c>
      <c r="S266" s="265" t="s">
        <v>160</v>
      </c>
      <c r="T266" s="265" t="s">
        <v>160</v>
      </c>
      <c r="U266" s="265" t="s">
        <v>160</v>
      </c>
      <c r="V266" s="265" t="s">
        <v>160</v>
      </c>
      <c r="W266" s="265" t="s">
        <v>160</v>
      </c>
      <c r="X266" s="265" t="s">
        <v>160</v>
      </c>
      <c r="Y266" s="265" t="s">
        <v>160</v>
      </c>
      <c r="Z266" s="265" t="s">
        <v>160</v>
      </c>
      <c r="AA266" s="265" t="s">
        <v>160</v>
      </c>
      <c r="AB266" s="265" t="s">
        <v>160</v>
      </c>
      <c r="AC266" s="265" t="s">
        <v>160</v>
      </c>
      <c r="AD266" s="265" t="s">
        <v>160</v>
      </c>
      <c r="AE266" s="265" t="s">
        <v>160</v>
      </c>
      <c r="AF266" s="265" t="s">
        <v>160</v>
      </c>
      <c r="AG266" s="265" t="s">
        <v>160</v>
      </c>
      <c r="AH266" s="265" t="s">
        <v>160</v>
      </c>
      <c r="AI266" s="265" t="s">
        <v>160</v>
      </c>
      <c r="AJ266" s="265" t="s">
        <v>160</v>
      </c>
      <c r="AK266" s="265" t="s">
        <v>160</v>
      </c>
      <c r="AL266" s="265" t="s">
        <v>160</v>
      </c>
      <c r="AM266" s="265" t="s">
        <v>160</v>
      </c>
      <c r="AN266" s="265" t="s">
        <v>160</v>
      </c>
      <c r="AO266" s="265" t="s">
        <v>160</v>
      </c>
      <c r="AP266" s="265" t="s">
        <v>160</v>
      </c>
      <c r="AQ266" s="265" t="s">
        <v>160</v>
      </c>
      <c r="AR266" s="265" t="s">
        <v>160</v>
      </c>
      <c r="AS266" s="265" t="s">
        <v>160</v>
      </c>
      <c r="AT266" s="265" t="s">
        <v>160</v>
      </c>
      <c r="AU266" s="265" t="s">
        <v>160</v>
      </c>
      <c r="AV266" s="265" t="s">
        <v>160</v>
      </c>
      <c r="AW266" s="265" t="s">
        <v>160</v>
      </c>
      <c r="AX266" s="265" t="s">
        <v>160</v>
      </c>
      <c r="AY266" s="265" t="s">
        <v>160</v>
      </c>
      <c r="AZ266" s="265" t="s">
        <v>160</v>
      </c>
      <c r="BA266" s="265" t="s">
        <v>160</v>
      </c>
      <c r="BB266" s="265" t="s">
        <v>160</v>
      </c>
      <c r="BC266" s="265" t="s">
        <v>160</v>
      </c>
      <c r="BD266" s="265" t="s">
        <v>160</v>
      </c>
      <c r="BE266" s="265" t="s">
        <v>160</v>
      </c>
      <c r="BF266" s="265" t="s">
        <v>160</v>
      </c>
      <c r="BG266" s="265" t="s">
        <v>160</v>
      </c>
      <c r="BH266" s="265" t="s">
        <v>160</v>
      </c>
      <c r="BI266" s="265" t="s">
        <v>160</v>
      </c>
      <c r="BJ266" s="265" t="s">
        <v>160</v>
      </c>
      <c r="BK266" s="265" t="s">
        <v>160</v>
      </c>
      <c r="BL266" s="265" t="s">
        <v>160</v>
      </c>
      <c r="BM266" s="265" t="s">
        <v>160</v>
      </c>
      <c r="BN266" s="585" t="s">
        <v>160</v>
      </c>
      <c r="BO266" s="585" t="s">
        <v>160</v>
      </c>
      <c r="BP266" s="585" t="s">
        <v>160</v>
      </c>
      <c r="BQ266" s="585" t="s">
        <v>160</v>
      </c>
      <c r="BR266" s="585" t="s">
        <v>160</v>
      </c>
      <c r="BS266" s="585" t="s">
        <v>160</v>
      </c>
      <c r="BT266" s="585" t="s">
        <v>160</v>
      </c>
      <c r="BU266" s="585" t="s">
        <v>160</v>
      </c>
      <c r="BV266" s="585" t="s">
        <v>160</v>
      </c>
      <c r="BW266" s="585" t="s">
        <v>160</v>
      </c>
      <c r="BX266" s="585" t="s">
        <v>160</v>
      </c>
      <c r="BY266" s="585" t="s">
        <v>160</v>
      </c>
      <c r="BZ266" s="585" t="s">
        <v>160</v>
      </c>
      <c r="CA266" s="585" t="s">
        <v>160</v>
      </c>
      <c r="CB266" s="585">
        <v>1759</v>
      </c>
      <c r="CC266" s="585">
        <v>1759</v>
      </c>
      <c r="CD266" s="585">
        <v>1759</v>
      </c>
      <c r="CE266" s="585">
        <v>1759</v>
      </c>
      <c r="CF266" s="585">
        <v>1759</v>
      </c>
      <c r="CG266" s="585">
        <v>1759</v>
      </c>
      <c r="CH266" s="585">
        <v>1759</v>
      </c>
      <c r="CI266" s="585" t="s">
        <v>160</v>
      </c>
      <c r="CJ266" s="585" t="s">
        <v>160</v>
      </c>
      <c r="CK266" s="585" t="s">
        <v>160</v>
      </c>
      <c r="CL266" s="585" t="s">
        <v>160</v>
      </c>
      <c r="CM266" s="585" t="s">
        <v>160</v>
      </c>
      <c r="CN266" s="585" t="s">
        <v>160</v>
      </c>
      <c r="CO266" s="585" t="s">
        <v>160</v>
      </c>
      <c r="CP266" s="585" t="s">
        <v>160</v>
      </c>
      <c r="CQ266" s="585" t="s">
        <v>160</v>
      </c>
      <c r="CR266" s="585" t="s">
        <v>160</v>
      </c>
      <c r="CS266" s="585" t="s">
        <v>160</v>
      </c>
      <c r="CT266" s="585" t="s">
        <v>160</v>
      </c>
      <c r="CU266" s="585" t="s">
        <v>160</v>
      </c>
      <c r="CV266" s="585" t="s">
        <v>160</v>
      </c>
      <c r="CW266" s="585" t="s">
        <v>160</v>
      </c>
      <c r="CX266" s="585" t="s">
        <v>160</v>
      </c>
      <c r="CY266" s="585" t="s">
        <v>160</v>
      </c>
      <c r="CZ266" s="585" t="s">
        <v>160</v>
      </c>
      <c r="DA266" s="585" t="s">
        <v>160</v>
      </c>
      <c r="DB266"/>
      <c r="DC266"/>
      <c r="DD266"/>
      <c r="DE266"/>
      <c r="DF266"/>
      <c r="DG266"/>
      <c r="DH266"/>
      <c r="DI266"/>
      <c r="DJ266"/>
      <c r="DK266"/>
    </row>
    <row r="267" spans="1:115" x14ac:dyDescent="0.25">
      <c r="B267" s="1072" t="s">
        <v>557</v>
      </c>
      <c r="C267" s="1079" t="s">
        <v>160</v>
      </c>
      <c r="D267" s="1079" t="s">
        <v>160</v>
      </c>
      <c r="E267" s="1079" t="s">
        <v>160</v>
      </c>
      <c r="F267" s="1079" t="s">
        <v>160</v>
      </c>
      <c r="G267" s="1079" t="s">
        <v>160</v>
      </c>
      <c r="H267" s="1079" t="s">
        <v>160</v>
      </c>
      <c r="I267" s="1079" t="s">
        <v>160</v>
      </c>
      <c r="J267" s="1079" t="s">
        <v>160</v>
      </c>
      <c r="K267" s="1079" t="s">
        <v>160</v>
      </c>
      <c r="L267" s="1079" t="s">
        <v>160</v>
      </c>
      <c r="M267" s="1079" t="s">
        <v>160</v>
      </c>
      <c r="N267" s="1079" t="s">
        <v>160</v>
      </c>
      <c r="O267" s="1079" t="s">
        <v>160</v>
      </c>
      <c r="P267" s="1079" t="s">
        <v>160</v>
      </c>
      <c r="Q267" s="1079" t="s">
        <v>160</v>
      </c>
      <c r="R267" s="1079" t="s">
        <v>160</v>
      </c>
      <c r="S267" s="1079" t="s">
        <v>160</v>
      </c>
      <c r="T267" s="1079" t="s">
        <v>160</v>
      </c>
      <c r="U267" s="1079" t="s">
        <v>160</v>
      </c>
      <c r="V267" s="1079" t="s">
        <v>160</v>
      </c>
      <c r="W267" s="1079" t="s">
        <v>160</v>
      </c>
      <c r="X267" s="1079" t="s">
        <v>160</v>
      </c>
      <c r="Y267" s="1079" t="s">
        <v>160</v>
      </c>
      <c r="Z267" s="1079" t="s">
        <v>160</v>
      </c>
      <c r="AA267" s="1079" t="s">
        <v>160</v>
      </c>
      <c r="AB267" s="1079" t="s">
        <v>160</v>
      </c>
      <c r="AC267" s="1079" t="s">
        <v>160</v>
      </c>
      <c r="AD267" s="1079" t="s">
        <v>160</v>
      </c>
      <c r="AE267" s="1079" t="s">
        <v>160</v>
      </c>
      <c r="AF267" s="1079" t="s">
        <v>160</v>
      </c>
      <c r="AG267" s="1079" t="s">
        <v>160</v>
      </c>
      <c r="AH267" s="1079" t="s">
        <v>160</v>
      </c>
      <c r="AI267" s="1079" t="s">
        <v>160</v>
      </c>
      <c r="AJ267" s="1079" t="s">
        <v>160</v>
      </c>
      <c r="AK267" s="1079" t="s">
        <v>160</v>
      </c>
      <c r="AL267" s="1079" t="s">
        <v>160</v>
      </c>
      <c r="AM267" s="1079" t="s">
        <v>160</v>
      </c>
      <c r="AN267" s="1079" t="s">
        <v>160</v>
      </c>
      <c r="AO267" s="1079" t="s">
        <v>160</v>
      </c>
      <c r="AP267" s="1079" t="s">
        <v>160</v>
      </c>
      <c r="AQ267" s="1079" t="s">
        <v>160</v>
      </c>
      <c r="AR267" s="1079" t="s">
        <v>160</v>
      </c>
      <c r="AS267" s="1079" t="s">
        <v>160</v>
      </c>
      <c r="AT267" s="1079" t="s">
        <v>160</v>
      </c>
      <c r="AU267" s="1079" t="s">
        <v>160</v>
      </c>
      <c r="AV267" s="1079" t="s">
        <v>160</v>
      </c>
      <c r="AW267" s="1079" t="s">
        <v>160</v>
      </c>
      <c r="AX267" s="1079" t="s">
        <v>160</v>
      </c>
      <c r="AY267" s="1079" t="s">
        <v>160</v>
      </c>
      <c r="AZ267" s="1079" t="s">
        <v>160</v>
      </c>
      <c r="BA267" s="1079" t="s">
        <v>160</v>
      </c>
      <c r="BB267" s="1079" t="s">
        <v>160</v>
      </c>
      <c r="BC267" s="1079" t="s">
        <v>160</v>
      </c>
      <c r="BD267" s="1079" t="s">
        <v>160</v>
      </c>
      <c r="BE267" s="1079" t="s">
        <v>160</v>
      </c>
      <c r="BF267" s="1079" t="s">
        <v>160</v>
      </c>
      <c r="BG267" s="1079" t="s">
        <v>160</v>
      </c>
      <c r="BH267" s="1079" t="s">
        <v>160</v>
      </c>
      <c r="BI267" s="1079" t="s">
        <v>160</v>
      </c>
      <c r="BJ267" s="1079" t="s">
        <v>160</v>
      </c>
      <c r="BK267" s="1079" t="s">
        <v>160</v>
      </c>
      <c r="BL267" s="1079" t="s">
        <v>160</v>
      </c>
      <c r="BM267" s="1079" t="s">
        <v>160</v>
      </c>
      <c r="BN267" s="1079" t="s">
        <v>160</v>
      </c>
      <c r="BO267" s="1079" t="s">
        <v>160</v>
      </c>
      <c r="BP267" s="1079" t="s">
        <v>160</v>
      </c>
      <c r="BQ267" s="1079" t="s">
        <v>160</v>
      </c>
      <c r="BR267" s="1079" t="s">
        <v>160</v>
      </c>
      <c r="BS267" s="1079" t="s">
        <v>160</v>
      </c>
      <c r="BT267" s="1079" t="s">
        <v>160</v>
      </c>
      <c r="BU267" s="1079" t="s">
        <v>160</v>
      </c>
      <c r="BV267" s="1079" t="s">
        <v>160</v>
      </c>
      <c r="BW267" s="1079" t="s">
        <v>160</v>
      </c>
      <c r="BX267" s="1079" t="s">
        <v>160</v>
      </c>
      <c r="BY267" s="1079">
        <v>1756</v>
      </c>
      <c r="BZ267" s="1079">
        <v>1756</v>
      </c>
      <c r="CA267" s="1079">
        <v>1756</v>
      </c>
      <c r="CB267" s="1079">
        <v>1757</v>
      </c>
      <c r="CC267" s="1079">
        <v>1721.25</v>
      </c>
      <c r="CD267" s="1079">
        <v>1704.5250000000001</v>
      </c>
      <c r="CE267" s="1079">
        <v>1704.5250000000001</v>
      </c>
      <c r="CF267" s="1079">
        <v>1704.5250000000001</v>
      </c>
      <c r="CG267" s="1079">
        <v>1704.5250000000001</v>
      </c>
      <c r="CH267" s="1079">
        <v>1704.5250000000001</v>
      </c>
      <c r="CI267" s="1079">
        <v>1686.3666666666668</v>
      </c>
      <c r="CJ267" s="1079">
        <v>1637.55</v>
      </c>
      <c r="CK267" s="1079">
        <v>1637.55</v>
      </c>
      <c r="CL267" s="1079">
        <v>1637.55</v>
      </c>
      <c r="CM267" s="1079">
        <v>1637.55</v>
      </c>
      <c r="CN267" s="1079">
        <v>1637.55</v>
      </c>
      <c r="CO267" s="1079">
        <v>1663</v>
      </c>
      <c r="CP267" s="1079">
        <v>1671.5</v>
      </c>
      <c r="CQ267" s="1079">
        <v>1671.5</v>
      </c>
      <c r="CR267" s="1079">
        <v>1671.5</v>
      </c>
      <c r="CS267" s="1079">
        <v>1671.5</v>
      </c>
      <c r="CT267" s="1079">
        <v>1671.5</v>
      </c>
      <c r="CU267" s="1079">
        <v>1671.5</v>
      </c>
      <c r="CV267" s="1079">
        <v>1671.5</v>
      </c>
      <c r="CW267" s="1079">
        <v>1671.5</v>
      </c>
      <c r="CX267" s="1079">
        <v>1671.5</v>
      </c>
      <c r="CY267" s="1079">
        <v>1777</v>
      </c>
      <c r="CZ267" s="1079">
        <v>1777</v>
      </c>
      <c r="DA267" s="1079">
        <v>1777</v>
      </c>
      <c r="DB267"/>
      <c r="DC267"/>
      <c r="DD267"/>
      <c r="DE267"/>
      <c r="DF267"/>
      <c r="DG267"/>
      <c r="DH267"/>
      <c r="DI267"/>
      <c r="DJ267"/>
      <c r="DK267"/>
    </row>
    <row r="268" spans="1:115" x14ac:dyDescent="0.25">
      <c r="X268" s="340"/>
      <c r="Y268" s="340"/>
      <c r="Z268" s="340"/>
      <c r="AA268" s="340"/>
      <c r="AB268" s="340"/>
      <c r="AC268" s="340"/>
      <c r="AD268" s="340"/>
      <c r="AE268" s="340"/>
      <c r="AF268" s="340"/>
      <c r="AG268" s="340"/>
      <c r="AH268" s="340"/>
      <c r="AI268" s="340"/>
      <c r="AJ268" s="340"/>
      <c r="AK268" s="340"/>
      <c r="AL268" s="340"/>
      <c r="AM268" s="340"/>
      <c r="AN268" s="340"/>
      <c r="AO268" s="340"/>
      <c r="AP268" s="340"/>
      <c r="AQ268" s="340"/>
      <c r="AR268" s="340"/>
      <c r="AS268" s="340"/>
      <c r="AT268"/>
      <c r="AU268"/>
      <c r="AV268" s="91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row>
    <row r="269" spans="1:115" x14ac:dyDescent="0.25">
      <c r="B269" s="113" t="s">
        <v>1148</v>
      </c>
      <c r="C269" s="263">
        <v>42522</v>
      </c>
      <c r="D269" s="263">
        <v>42552</v>
      </c>
      <c r="E269" s="263">
        <v>42583</v>
      </c>
      <c r="F269" s="263">
        <v>42614</v>
      </c>
      <c r="G269" s="263">
        <v>42644</v>
      </c>
      <c r="H269" s="263">
        <v>42675</v>
      </c>
      <c r="I269" s="263">
        <v>42705</v>
      </c>
      <c r="J269" s="263">
        <v>42736</v>
      </c>
      <c r="K269" s="263">
        <v>42767</v>
      </c>
      <c r="L269" s="263">
        <v>42795</v>
      </c>
      <c r="M269" s="263">
        <v>42826</v>
      </c>
      <c r="N269" s="263">
        <v>42856</v>
      </c>
      <c r="O269" s="263">
        <v>42887</v>
      </c>
      <c r="P269" s="263">
        <v>42917</v>
      </c>
      <c r="Q269" s="263">
        <v>42948</v>
      </c>
      <c r="R269" s="263">
        <v>42979</v>
      </c>
      <c r="S269" s="263">
        <v>43009</v>
      </c>
      <c r="T269" s="263">
        <v>43040</v>
      </c>
      <c r="U269" s="263">
        <v>43070</v>
      </c>
      <c r="V269" s="263">
        <v>43101</v>
      </c>
      <c r="W269" s="263">
        <v>43132</v>
      </c>
      <c r="X269" s="263">
        <v>43160</v>
      </c>
      <c r="Y269" s="263">
        <v>43191</v>
      </c>
      <c r="Z269" s="263">
        <v>43221</v>
      </c>
      <c r="AA269" s="263">
        <v>43252</v>
      </c>
      <c r="AB269" s="263">
        <v>43283</v>
      </c>
      <c r="AC269" s="263">
        <v>43314</v>
      </c>
      <c r="AD269" s="263">
        <v>43345</v>
      </c>
      <c r="AE269" s="263">
        <v>43376</v>
      </c>
      <c r="AF269" s="263">
        <v>43407</v>
      </c>
      <c r="AG269" s="263">
        <v>43437</v>
      </c>
      <c r="AH269" s="263">
        <v>43468</v>
      </c>
      <c r="AI269" s="263">
        <v>43499</v>
      </c>
      <c r="AJ269" s="263">
        <v>43527</v>
      </c>
      <c r="AK269" s="263">
        <v>43558</v>
      </c>
      <c r="AL269" s="263">
        <v>43587</v>
      </c>
      <c r="AM269" s="263">
        <v>43618</v>
      </c>
      <c r="AN269" s="263">
        <v>43647</v>
      </c>
      <c r="AO269" s="263">
        <v>43678</v>
      </c>
      <c r="AP269" s="263">
        <v>43709</v>
      </c>
      <c r="AQ269" s="263">
        <v>43739</v>
      </c>
      <c r="AR269" s="263">
        <v>43770</v>
      </c>
      <c r="AS269" s="263">
        <v>43800</v>
      </c>
      <c r="AT269" s="263">
        <v>43831</v>
      </c>
      <c r="AU269" s="263">
        <v>43862</v>
      </c>
      <c r="AV269" s="914">
        <v>43891</v>
      </c>
      <c r="AW269" s="263">
        <v>43922</v>
      </c>
      <c r="AX269" s="263">
        <v>43952</v>
      </c>
      <c r="AY269" s="263">
        <v>43983</v>
      </c>
      <c r="AZ269" s="263">
        <v>44013</v>
      </c>
      <c r="BA269" s="263">
        <v>44044</v>
      </c>
      <c r="BB269" s="263">
        <v>44075</v>
      </c>
      <c r="BC269" s="263">
        <v>44105</v>
      </c>
      <c r="BD269" s="263">
        <v>44136</v>
      </c>
      <c r="BE269" s="263">
        <v>44166</v>
      </c>
      <c r="BF269" s="263">
        <v>44197</v>
      </c>
      <c r="BG269" s="263">
        <v>44228</v>
      </c>
      <c r="BH269" s="263">
        <v>44256</v>
      </c>
      <c r="BI269" s="263">
        <v>44287</v>
      </c>
      <c r="BJ269" s="263">
        <v>44317</v>
      </c>
      <c r="BK269" s="263">
        <v>44348</v>
      </c>
      <c r="BL269" s="263">
        <v>44378</v>
      </c>
      <c r="BM269" s="263">
        <v>44409</v>
      </c>
      <c r="BN269" s="263">
        <v>44440</v>
      </c>
      <c r="BO269" s="263">
        <v>44470</v>
      </c>
      <c r="BP269" s="263">
        <v>44501</v>
      </c>
      <c r="BQ269" s="263">
        <v>44531</v>
      </c>
      <c r="BR269" s="263">
        <v>44562</v>
      </c>
      <c r="BS269" s="263">
        <v>44593</v>
      </c>
      <c r="BT269" s="263">
        <v>44622</v>
      </c>
      <c r="BU269" s="263">
        <v>44654</v>
      </c>
      <c r="BV269" s="263">
        <v>44685</v>
      </c>
      <c r="BW269" s="263">
        <v>44716</v>
      </c>
      <c r="BX269" s="263">
        <v>44746</v>
      </c>
      <c r="BY269" s="263">
        <v>44774</v>
      </c>
      <c r="BZ269" s="263">
        <v>44805</v>
      </c>
      <c r="CA269" s="263">
        <v>44835</v>
      </c>
      <c r="CB269" s="263">
        <v>44866</v>
      </c>
      <c r="CC269" s="263">
        <v>44896</v>
      </c>
      <c r="CD269" s="263">
        <v>44927</v>
      </c>
      <c r="CE269" s="263">
        <v>44958</v>
      </c>
      <c r="CF269" s="263">
        <v>44986</v>
      </c>
      <c r="CG269" s="263">
        <v>45017</v>
      </c>
      <c r="CH269" s="263">
        <v>45047</v>
      </c>
      <c r="CI269" s="263">
        <v>45078</v>
      </c>
      <c r="CJ269" s="263">
        <v>45108</v>
      </c>
      <c r="CK269" s="263">
        <v>45139</v>
      </c>
      <c r="CL269" s="263">
        <v>45170</v>
      </c>
      <c r="CM269" s="263">
        <v>45200</v>
      </c>
      <c r="CN269" s="263">
        <v>45231</v>
      </c>
      <c r="CO269" s="263">
        <v>45261</v>
      </c>
      <c r="CP269" s="263">
        <v>45292</v>
      </c>
      <c r="CQ269" s="263">
        <v>45323</v>
      </c>
      <c r="CR269" s="263">
        <v>45352</v>
      </c>
      <c r="CS269" s="263">
        <v>45383</v>
      </c>
      <c r="CT269" s="263">
        <v>45413</v>
      </c>
      <c r="CU269" s="263">
        <v>45444</v>
      </c>
      <c r="CV269" s="263">
        <v>45474</v>
      </c>
      <c r="CW269" s="263">
        <v>45505</v>
      </c>
      <c r="CX269" s="263">
        <v>45536</v>
      </c>
      <c r="CY269" s="263">
        <v>45566</v>
      </c>
      <c r="CZ269" s="263">
        <v>45597</v>
      </c>
      <c r="DA269" s="263">
        <v>45627</v>
      </c>
      <c r="DB269"/>
      <c r="DC269"/>
      <c r="DD269"/>
      <c r="DE269"/>
      <c r="DF269"/>
      <c r="DG269"/>
      <c r="DH269"/>
      <c r="DI269"/>
      <c r="DJ269"/>
      <c r="DK269"/>
    </row>
    <row r="270" spans="1:115" x14ac:dyDescent="0.25">
      <c r="B270" s="117" t="s">
        <v>542</v>
      </c>
      <c r="C270" s="264" t="s">
        <v>160</v>
      </c>
      <c r="D270" s="264" t="s">
        <v>160</v>
      </c>
      <c r="E270" s="264" t="s">
        <v>160</v>
      </c>
      <c r="F270" s="265" t="s">
        <v>160</v>
      </c>
      <c r="G270" s="265" t="s">
        <v>160</v>
      </c>
      <c r="H270" s="265" t="s">
        <v>160</v>
      </c>
      <c r="I270" s="265" t="s">
        <v>160</v>
      </c>
      <c r="J270" s="265" t="s">
        <v>160</v>
      </c>
      <c r="K270" s="265" t="s">
        <v>160</v>
      </c>
      <c r="L270" s="586" t="s">
        <v>160</v>
      </c>
      <c r="M270" s="586" t="s">
        <v>160</v>
      </c>
      <c r="N270" s="586" t="s">
        <v>160</v>
      </c>
      <c r="O270" s="586" t="s">
        <v>160</v>
      </c>
      <c r="P270" s="586" t="s">
        <v>160</v>
      </c>
      <c r="Q270" s="586" t="s">
        <v>160</v>
      </c>
      <c r="R270" s="586" t="s">
        <v>160</v>
      </c>
      <c r="S270" s="586" t="s">
        <v>160</v>
      </c>
      <c r="T270" s="586" t="s">
        <v>160</v>
      </c>
      <c r="U270" s="585" t="s">
        <v>160</v>
      </c>
      <c r="V270" s="585" t="s">
        <v>160</v>
      </c>
      <c r="W270" s="585" t="s">
        <v>160</v>
      </c>
      <c r="X270" s="585" t="s">
        <v>160</v>
      </c>
      <c r="Y270" s="585" t="s">
        <v>160</v>
      </c>
      <c r="Z270" s="585" t="s">
        <v>160</v>
      </c>
      <c r="AA270" s="585" t="s">
        <v>160</v>
      </c>
      <c r="AB270" s="585" t="s">
        <v>160</v>
      </c>
      <c r="AC270" s="585" t="s">
        <v>160</v>
      </c>
      <c r="AD270" s="585" t="s">
        <v>160</v>
      </c>
      <c r="AE270" s="585" t="s">
        <v>160</v>
      </c>
      <c r="AF270" s="585" t="s">
        <v>160</v>
      </c>
      <c r="AG270" s="585" t="s">
        <v>160</v>
      </c>
      <c r="AH270" s="585" t="s">
        <v>160</v>
      </c>
      <c r="AI270" s="585" t="s">
        <v>160</v>
      </c>
      <c r="AJ270" s="347" t="s">
        <v>160</v>
      </c>
      <c r="AK270" s="347" t="s">
        <v>160</v>
      </c>
      <c r="AL270" s="347" t="s">
        <v>160</v>
      </c>
      <c r="AM270" s="347" t="s">
        <v>160</v>
      </c>
      <c r="AN270" s="347" t="s">
        <v>160</v>
      </c>
      <c r="AO270" s="347" t="s">
        <v>160</v>
      </c>
      <c r="AP270" s="347" t="s">
        <v>160</v>
      </c>
      <c r="AQ270" s="347" t="s">
        <v>160</v>
      </c>
      <c r="AR270" s="347" t="s">
        <v>160</v>
      </c>
      <c r="AS270" s="347" t="s">
        <v>160</v>
      </c>
      <c r="AT270" s="347" t="s">
        <v>160</v>
      </c>
      <c r="AU270" s="347" t="s">
        <v>160</v>
      </c>
      <c r="AV270" s="928" t="s">
        <v>160</v>
      </c>
      <c r="AW270" s="347" t="s">
        <v>160</v>
      </c>
      <c r="AX270" s="347" t="s">
        <v>160</v>
      </c>
      <c r="AY270" s="347" t="s">
        <v>160</v>
      </c>
      <c r="AZ270" s="347" t="s">
        <v>160</v>
      </c>
      <c r="BA270" s="347" t="s">
        <v>160</v>
      </c>
      <c r="BB270" s="347" t="s">
        <v>160</v>
      </c>
      <c r="BC270" s="347" t="s">
        <v>160</v>
      </c>
      <c r="BD270" s="347" t="s">
        <v>160</v>
      </c>
      <c r="BE270" s="347" t="s">
        <v>160</v>
      </c>
      <c r="BF270" s="585" t="s">
        <v>160</v>
      </c>
      <c r="BG270" s="585" t="s">
        <v>160</v>
      </c>
      <c r="BH270" s="585" t="s">
        <v>160</v>
      </c>
      <c r="BI270" s="585" t="s">
        <v>160</v>
      </c>
      <c r="BJ270" s="585" t="s">
        <v>160</v>
      </c>
      <c r="BK270" s="585" t="s">
        <v>160</v>
      </c>
      <c r="BL270" s="585" t="s">
        <v>160</v>
      </c>
      <c r="BM270" s="585" t="s">
        <v>160</v>
      </c>
      <c r="BN270" s="585" t="s">
        <v>160</v>
      </c>
      <c r="BO270" s="585" t="s">
        <v>160</v>
      </c>
      <c r="BP270" s="585" t="s">
        <v>160</v>
      </c>
      <c r="BQ270" s="585" t="s">
        <v>160</v>
      </c>
      <c r="BR270" s="585" t="s">
        <v>160</v>
      </c>
      <c r="BS270" s="585" t="s">
        <v>160</v>
      </c>
      <c r="BT270" s="585" t="s">
        <v>160</v>
      </c>
      <c r="BU270" s="585" t="s">
        <v>160</v>
      </c>
      <c r="BV270" s="585" t="s">
        <v>160</v>
      </c>
      <c r="BW270" s="585" t="s">
        <v>160</v>
      </c>
      <c r="BX270" s="585" t="s">
        <v>160</v>
      </c>
      <c r="BY270" s="585" t="s">
        <v>160</v>
      </c>
      <c r="BZ270" s="585" t="s">
        <v>160</v>
      </c>
      <c r="CA270" s="585" t="s">
        <v>160</v>
      </c>
      <c r="CB270" s="585" t="s">
        <v>160</v>
      </c>
      <c r="CC270" s="342">
        <v>265</v>
      </c>
      <c r="CD270" s="585">
        <v>265</v>
      </c>
      <c r="CE270" s="585">
        <v>265</v>
      </c>
      <c r="CF270" s="585">
        <v>265</v>
      </c>
      <c r="CG270" s="585">
        <v>265</v>
      </c>
      <c r="CH270" s="585">
        <v>265</v>
      </c>
      <c r="CI270" s="585">
        <v>265</v>
      </c>
      <c r="CJ270" s="585">
        <v>265</v>
      </c>
      <c r="CK270" s="585">
        <v>265</v>
      </c>
      <c r="CL270" s="585">
        <v>265</v>
      </c>
      <c r="CM270" s="585">
        <v>265</v>
      </c>
      <c r="CN270" s="585">
        <v>265</v>
      </c>
      <c r="CO270" s="585">
        <v>265</v>
      </c>
      <c r="CP270" s="679">
        <v>278</v>
      </c>
      <c r="CQ270" s="585">
        <v>278</v>
      </c>
      <c r="CR270" s="585">
        <v>278</v>
      </c>
      <c r="CS270" s="585">
        <v>278</v>
      </c>
      <c r="CT270" s="585">
        <v>278</v>
      </c>
      <c r="CU270" s="585">
        <v>278</v>
      </c>
      <c r="CV270" s="585">
        <v>278</v>
      </c>
      <c r="CW270" s="585">
        <v>278</v>
      </c>
      <c r="CX270" s="585">
        <v>278</v>
      </c>
      <c r="CY270" s="585">
        <v>278</v>
      </c>
      <c r="CZ270" s="585">
        <v>278</v>
      </c>
      <c r="DA270" s="585">
        <v>278</v>
      </c>
      <c r="DB270"/>
      <c r="DC270"/>
      <c r="DD270"/>
      <c r="DE270"/>
      <c r="DF270"/>
      <c r="DG270"/>
      <c r="DH270"/>
      <c r="DI270"/>
      <c r="DJ270"/>
      <c r="DK270"/>
    </row>
    <row r="271" spans="1:115" x14ac:dyDescent="0.25">
      <c r="B271" s="117" t="s">
        <v>546</v>
      </c>
      <c r="C271" s="264" t="s">
        <v>160</v>
      </c>
      <c r="D271" s="264" t="s">
        <v>160</v>
      </c>
      <c r="E271" s="264" t="s">
        <v>160</v>
      </c>
      <c r="F271" s="264" t="s">
        <v>160</v>
      </c>
      <c r="G271" s="264" t="s">
        <v>160</v>
      </c>
      <c r="H271" s="265" t="s">
        <v>160</v>
      </c>
      <c r="I271" s="265" t="s">
        <v>160</v>
      </c>
      <c r="J271" s="265" t="s">
        <v>160</v>
      </c>
      <c r="K271" s="265" t="s">
        <v>160</v>
      </c>
      <c r="L271" s="586" t="s">
        <v>160</v>
      </c>
      <c r="M271" s="586" t="s">
        <v>160</v>
      </c>
      <c r="N271" s="586" t="s">
        <v>160</v>
      </c>
      <c r="O271" s="586" t="s">
        <v>160</v>
      </c>
      <c r="P271" s="586" t="s">
        <v>160</v>
      </c>
      <c r="Q271" s="586" t="s">
        <v>160</v>
      </c>
      <c r="R271" s="586" t="s">
        <v>160</v>
      </c>
      <c r="S271" s="586" t="s">
        <v>160</v>
      </c>
      <c r="T271" s="586" t="s">
        <v>160</v>
      </c>
      <c r="U271" s="586" t="s">
        <v>160</v>
      </c>
      <c r="V271" s="586" t="s">
        <v>160</v>
      </c>
      <c r="W271" s="586" t="s">
        <v>160</v>
      </c>
      <c r="X271" s="586" t="s">
        <v>160</v>
      </c>
      <c r="Y271" s="586" t="s">
        <v>160</v>
      </c>
      <c r="Z271" s="586" t="s">
        <v>160</v>
      </c>
      <c r="AA271" s="586" t="s">
        <v>160</v>
      </c>
      <c r="AB271" s="586" t="s">
        <v>160</v>
      </c>
      <c r="AC271" s="586" t="s">
        <v>160</v>
      </c>
      <c r="AD271" s="586" t="s">
        <v>160</v>
      </c>
      <c r="AE271" s="586" t="s">
        <v>160</v>
      </c>
      <c r="AF271" s="585" t="s">
        <v>160</v>
      </c>
      <c r="AG271" s="586" t="s">
        <v>160</v>
      </c>
      <c r="AH271" s="586" t="s">
        <v>160</v>
      </c>
      <c r="AI271" s="586" t="s">
        <v>160</v>
      </c>
      <c r="AJ271" s="347" t="s">
        <v>160</v>
      </c>
      <c r="AK271" s="347" t="s">
        <v>160</v>
      </c>
      <c r="AL271" s="347" t="s">
        <v>160</v>
      </c>
      <c r="AM271" s="347" t="s">
        <v>160</v>
      </c>
      <c r="AN271" s="347" t="s">
        <v>160</v>
      </c>
      <c r="AO271" s="347" t="s">
        <v>160</v>
      </c>
      <c r="AP271" s="347" t="s">
        <v>160</v>
      </c>
      <c r="AQ271" s="347" t="s">
        <v>160</v>
      </c>
      <c r="AR271" s="347" t="s">
        <v>160</v>
      </c>
      <c r="AS271" s="347" t="s">
        <v>160</v>
      </c>
      <c r="AT271" s="347" t="s">
        <v>160</v>
      </c>
      <c r="AU271" s="347" t="s">
        <v>160</v>
      </c>
      <c r="AV271" s="928" t="s">
        <v>160</v>
      </c>
      <c r="AW271" s="347" t="s">
        <v>160</v>
      </c>
      <c r="AX271" s="347" t="s">
        <v>160</v>
      </c>
      <c r="AY271" s="347" t="s">
        <v>160</v>
      </c>
      <c r="AZ271" s="347" t="s">
        <v>160</v>
      </c>
      <c r="BA271" s="347" t="s">
        <v>160</v>
      </c>
      <c r="BB271" s="347" t="s">
        <v>160</v>
      </c>
      <c r="BC271" s="347" t="s">
        <v>160</v>
      </c>
      <c r="BD271" s="347" t="s">
        <v>160</v>
      </c>
      <c r="BE271" s="347" t="s">
        <v>160</v>
      </c>
      <c r="BF271" s="347" t="s">
        <v>160</v>
      </c>
      <c r="BG271" s="347" t="s">
        <v>160</v>
      </c>
      <c r="BH271" s="347" t="s">
        <v>160</v>
      </c>
      <c r="BI271" s="347" t="s">
        <v>160</v>
      </c>
      <c r="BJ271" s="347" t="s">
        <v>160</v>
      </c>
      <c r="BK271" s="347" t="s">
        <v>160</v>
      </c>
      <c r="BL271" s="347" t="s">
        <v>160</v>
      </c>
      <c r="BM271" s="347" t="s">
        <v>160</v>
      </c>
      <c r="BN271" s="585" t="s">
        <v>160</v>
      </c>
      <c r="BO271" s="585" t="s">
        <v>160</v>
      </c>
      <c r="BP271" s="585" t="s">
        <v>160</v>
      </c>
      <c r="BQ271" s="585" t="s">
        <v>160</v>
      </c>
      <c r="BR271" s="585" t="s">
        <v>160</v>
      </c>
      <c r="BS271" s="585" t="s">
        <v>160</v>
      </c>
      <c r="BT271" s="585" t="s">
        <v>160</v>
      </c>
      <c r="BU271" s="585" t="s">
        <v>160</v>
      </c>
      <c r="BV271" s="585" t="s">
        <v>160</v>
      </c>
      <c r="BW271" s="585" t="s">
        <v>160</v>
      </c>
      <c r="BX271" s="585" t="s">
        <v>160</v>
      </c>
      <c r="BY271" s="585" t="s">
        <v>160</v>
      </c>
      <c r="BZ271" s="585" t="s">
        <v>160</v>
      </c>
      <c r="CA271" s="585" t="s">
        <v>160</v>
      </c>
      <c r="CB271" s="585" t="s">
        <v>160</v>
      </c>
      <c r="CC271" s="585" t="s">
        <v>160</v>
      </c>
      <c r="CD271" s="585" t="s">
        <v>160</v>
      </c>
      <c r="CE271" s="585" t="s">
        <v>160</v>
      </c>
      <c r="CF271" s="585" t="s">
        <v>160</v>
      </c>
      <c r="CG271" s="585" t="s">
        <v>160</v>
      </c>
      <c r="CH271" s="585" t="s">
        <v>160</v>
      </c>
      <c r="CI271" s="585" t="s">
        <v>160</v>
      </c>
      <c r="CJ271" s="585" t="s">
        <v>160</v>
      </c>
      <c r="CK271" s="585" t="s">
        <v>160</v>
      </c>
      <c r="CL271" s="585" t="s">
        <v>160</v>
      </c>
      <c r="CM271" s="585" t="s">
        <v>160</v>
      </c>
      <c r="CN271" s="585" t="s">
        <v>160</v>
      </c>
      <c r="CO271" s="585" t="s">
        <v>160</v>
      </c>
      <c r="CP271" s="585" t="s">
        <v>160</v>
      </c>
      <c r="CQ271" s="585" t="s">
        <v>160</v>
      </c>
      <c r="CR271" s="585" t="s">
        <v>160</v>
      </c>
      <c r="CS271" s="585" t="s">
        <v>160</v>
      </c>
      <c r="CT271" s="585" t="s">
        <v>160</v>
      </c>
      <c r="CU271" s="585" t="s">
        <v>160</v>
      </c>
      <c r="CV271" s="585" t="s">
        <v>160</v>
      </c>
      <c r="CW271" s="585" t="s">
        <v>160</v>
      </c>
      <c r="CX271" s="585" t="s">
        <v>160</v>
      </c>
      <c r="CY271" s="585" t="s">
        <v>160</v>
      </c>
      <c r="CZ271" s="585" t="s">
        <v>160</v>
      </c>
      <c r="DA271" s="585" t="s">
        <v>160</v>
      </c>
      <c r="DB271"/>
      <c r="DC271"/>
      <c r="DD271"/>
      <c r="DE271"/>
      <c r="DF271"/>
      <c r="DG271"/>
      <c r="DH271"/>
      <c r="DI271"/>
      <c r="DJ271"/>
      <c r="DK271"/>
    </row>
    <row r="272" spans="1:115" x14ac:dyDescent="0.25">
      <c r="B272" s="117" t="s">
        <v>574</v>
      </c>
      <c r="C272" s="264" t="s">
        <v>160</v>
      </c>
      <c r="D272" s="264" t="s">
        <v>160</v>
      </c>
      <c r="E272" s="264" t="s">
        <v>160</v>
      </c>
      <c r="F272" s="264" t="s">
        <v>160</v>
      </c>
      <c r="G272" s="264" t="s">
        <v>160</v>
      </c>
      <c r="H272" s="264" t="s">
        <v>160</v>
      </c>
      <c r="I272" s="264" t="s">
        <v>160</v>
      </c>
      <c r="J272" s="264" t="s">
        <v>160</v>
      </c>
      <c r="K272" s="264" t="s">
        <v>160</v>
      </c>
      <c r="L272" s="352" t="s">
        <v>160</v>
      </c>
      <c r="M272" s="352" t="s">
        <v>160</v>
      </c>
      <c r="N272" s="352" t="s">
        <v>160</v>
      </c>
      <c r="O272" s="586" t="s">
        <v>160</v>
      </c>
      <c r="P272" s="586" t="s">
        <v>160</v>
      </c>
      <c r="Q272" s="586" t="s">
        <v>160</v>
      </c>
      <c r="R272" s="586" t="s">
        <v>160</v>
      </c>
      <c r="S272" s="586" t="s">
        <v>160</v>
      </c>
      <c r="T272" s="586" t="s">
        <v>160</v>
      </c>
      <c r="U272" s="586" t="s">
        <v>160</v>
      </c>
      <c r="V272" s="586" t="s">
        <v>160</v>
      </c>
      <c r="W272" s="585" t="s">
        <v>160</v>
      </c>
      <c r="X272" s="585" t="s">
        <v>160</v>
      </c>
      <c r="Y272" s="585" t="s">
        <v>160</v>
      </c>
      <c r="Z272" s="585" t="s">
        <v>160</v>
      </c>
      <c r="AA272" s="585" t="s">
        <v>160</v>
      </c>
      <c r="AB272" s="585" t="s">
        <v>160</v>
      </c>
      <c r="AC272" s="585" t="s">
        <v>160</v>
      </c>
      <c r="AD272" s="585" t="s">
        <v>160</v>
      </c>
      <c r="AE272" s="585" t="s">
        <v>160</v>
      </c>
      <c r="AF272" s="585" t="s">
        <v>160</v>
      </c>
      <c r="AG272" s="586" t="s">
        <v>160</v>
      </c>
      <c r="AH272" s="586" t="s">
        <v>160</v>
      </c>
      <c r="AI272" s="586" t="s">
        <v>160</v>
      </c>
      <c r="AJ272" s="347" t="s">
        <v>160</v>
      </c>
      <c r="AK272" s="347" t="s">
        <v>160</v>
      </c>
      <c r="AL272" s="347" t="s">
        <v>160</v>
      </c>
      <c r="AM272" s="347" t="s">
        <v>160</v>
      </c>
      <c r="AN272" s="347" t="s">
        <v>160</v>
      </c>
      <c r="AO272" s="347" t="s">
        <v>160</v>
      </c>
      <c r="AP272" s="347" t="s">
        <v>160</v>
      </c>
      <c r="AQ272" s="347" t="s">
        <v>160</v>
      </c>
      <c r="AR272" s="347" t="s">
        <v>160</v>
      </c>
      <c r="AS272" s="347" t="s">
        <v>160</v>
      </c>
      <c r="AT272" s="347" t="s">
        <v>160</v>
      </c>
      <c r="AU272" s="347" t="s">
        <v>160</v>
      </c>
      <c r="AV272" s="928" t="s">
        <v>160</v>
      </c>
      <c r="AW272" s="349" t="s">
        <v>160</v>
      </c>
      <c r="AX272" s="349" t="s">
        <v>160</v>
      </c>
      <c r="AY272" s="347" t="s">
        <v>160</v>
      </c>
      <c r="AZ272" s="347" t="s">
        <v>160</v>
      </c>
      <c r="BA272" s="347" t="s">
        <v>160</v>
      </c>
      <c r="BB272" s="347" t="s">
        <v>160</v>
      </c>
      <c r="BC272" s="347" t="s">
        <v>160</v>
      </c>
      <c r="BD272" s="347" t="s">
        <v>160</v>
      </c>
      <c r="BE272" s="347" t="s">
        <v>160</v>
      </c>
      <c r="BF272" s="347" t="s">
        <v>160</v>
      </c>
      <c r="BG272" s="347" t="s">
        <v>160</v>
      </c>
      <c r="BH272" s="347" t="s">
        <v>160</v>
      </c>
      <c r="BI272" s="347" t="s">
        <v>160</v>
      </c>
      <c r="BJ272" s="347" t="s">
        <v>160</v>
      </c>
      <c r="BK272" s="347" t="s">
        <v>160</v>
      </c>
      <c r="BL272" s="347" t="s">
        <v>160</v>
      </c>
      <c r="BM272" s="347" t="s">
        <v>160</v>
      </c>
      <c r="BN272" s="585" t="s">
        <v>160</v>
      </c>
      <c r="BO272" s="585" t="s">
        <v>160</v>
      </c>
      <c r="BP272" s="585" t="s">
        <v>160</v>
      </c>
      <c r="BQ272" s="585" t="s">
        <v>160</v>
      </c>
      <c r="BR272" s="585" t="s">
        <v>160</v>
      </c>
      <c r="BS272" s="585" t="s">
        <v>160</v>
      </c>
      <c r="BT272" s="585" t="s">
        <v>160</v>
      </c>
      <c r="BU272" s="585" t="s">
        <v>160</v>
      </c>
      <c r="BV272" s="585" t="s">
        <v>160</v>
      </c>
      <c r="BW272" s="585" t="s">
        <v>160</v>
      </c>
      <c r="BX272" s="585" t="s">
        <v>160</v>
      </c>
      <c r="BY272" s="585">
        <v>304</v>
      </c>
      <c r="BZ272" s="585">
        <v>304</v>
      </c>
      <c r="CA272" s="585">
        <v>304</v>
      </c>
      <c r="CB272" s="585">
        <v>304</v>
      </c>
      <c r="CC272" s="585">
        <v>304</v>
      </c>
      <c r="CD272" s="585">
        <v>304</v>
      </c>
      <c r="CE272" s="585">
        <v>304</v>
      </c>
      <c r="CF272" s="585">
        <v>304</v>
      </c>
      <c r="CG272" s="585">
        <v>304</v>
      </c>
      <c r="CH272" s="585">
        <v>304</v>
      </c>
      <c r="CI272" s="585">
        <v>304</v>
      </c>
      <c r="CJ272" s="585" t="s">
        <v>160</v>
      </c>
      <c r="CK272" s="585" t="s">
        <v>160</v>
      </c>
      <c r="CL272" s="585" t="s">
        <v>160</v>
      </c>
      <c r="CM272" s="585" t="s">
        <v>160</v>
      </c>
      <c r="CN272" s="585" t="s">
        <v>160</v>
      </c>
      <c r="CO272" s="585" t="s">
        <v>160</v>
      </c>
      <c r="CP272" s="585" t="s">
        <v>160</v>
      </c>
      <c r="CQ272" s="585" t="s">
        <v>160</v>
      </c>
      <c r="CR272" s="585" t="s">
        <v>160</v>
      </c>
      <c r="CS272" s="585" t="s">
        <v>160</v>
      </c>
      <c r="CT272" s="585" t="s">
        <v>160</v>
      </c>
      <c r="CU272" s="585" t="s">
        <v>160</v>
      </c>
      <c r="CV272" s="585" t="s">
        <v>160</v>
      </c>
      <c r="CW272" s="585" t="s">
        <v>160</v>
      </c>
      <c r="CX272" s="585" t="s">
        <v>160</v>
      </c>
      <c r="CY272" s="585" t="s">
        <v>160</v>
      </c>
      <c r="CZ272" s="585" t="s">
        <v>160</v>
      </c>
      <c r="DA272" s="585" t="s">
        <v>160</v>
      </c>
      <c r="DB272"/>
      <c r="DC272"/>
      <c r="DD272"/>
      <c r="DE272"/>
      <c r="DF272"/>
      <c r="DG272"/>
      <c r="DH272"/>
      <c r="DI272"/>
      <c r="DJ272"/>
      <c r="DK272"/>
    </row>
    <row r="273" spans="2:121" x14ac:dyDescent="0.25">
      <c r="B273" s="117" t="s">
        <v>547</v>
      </c>
      <c r="C273" s="264" t="s">
        <v>160</v>
      </c>
      <c r="D273" s="264" t="s">
        <v>160</v>
      </c>
      <c r="E273" s="264" t="s">
        <v>160</v>
      </c>
      <c r="F273" s="264" t="s">
        <v>160</v>
      </c>
      <c r="G273" s="265" t="s">
        <v>160</v>
      </c>
      <c r="H273" s="265" t="s">
        <v>160</v>
      </c>
      <c r="I273" s="265" t="s">
        <v>160</v>
      </c>
      <c r="J273" s="265" t="s">
        <v>160</v>
      </c>
      <c r="K273" s="265" t="s">
        <v>160</v>
      </c>
      <c r="L273" s="586" t="s">
        <v>160</v>
      </c>
      <c r="M273" s="586" t="s">
        <v>160</v>
      </c>
      <c r="N273" s="586" t="s">
        <v>160</v>
      </c>
      <c r="O273" s="586" t="s">
        <v>160</v>
      </c>
      <c r="P273" s="586" t="s">
        <v>160</v>
      </c>
      <c r="Q273" s="586" t="s">
        <v>160</v>
      </c>
      <c r="R273" s="586" t="s">
        <v>160</v>
      </c>
      <c r="S273" s="586" t="s">
        <v>160</v>
      </c>
      <c r="T273" s="586" t="s">
        <v>160</v>
      </c>
      <c r="U273" s="586" t="s">
        <v>160</v>
      </c>
      <c r="V273" s="585" t="s">
        <v>160</v>
      </c>
      <c r="W273" s="586" t="s">
        <v>160</v>
      </c>
      <c r="X273" s="586" t="s">
        <v>160</v>
      </c>
      <c r="Y273" s="586" t="s">
        <v>160</v>
      </c>
      <c r="Z273" s="586" t="s">
        <v>160</v>
      </c>
      <c r="AA273" s="586" t="s">
        <v>160</v>
      </c>
      <c r="AB273" s="586" t="s">
        <v>160</v>
      </c>
      <c r="AC273" s="586" t="s">
        <v>160</v>
      </c>
      <c r="AD273" s="585" t="s">
        <v>160</v>
      </c>
      <c r="AE273" s="586" t="s">
        <v>160</v>
      </c>
      <c r="AF273" s="586" t="s">
        <v>160</v>
      </c>
      <c r="AG273" s="586" t="s">
        <v>160</v>
      </c>
      <c r="AH273" s="586" t="s">
        <v>160</v>
      </c>
      <c r="AI273" s="586" t="s">
        <v>160</v>
      </c>
      <c r="AJ273" s="347" t="s">
        <v>160</v>
      </c>
      <c r="AK273" s="347" t="s">
        <v>160</v>
      </c>
      <c r="AL273" s="347" t="s">
        <v>160</v>
      </c>
      <c r="AM273" s="347" t="s">
        <v>160</v>
      </c>
      <c r="AN273" s="347" t="s">
        <v>160</v>
      </c>
      <c r="AO273" s="347" t="s">
        <v>160</v>
      </c>
      <c r="AP273" s="347" t="s">
        <v>160</v>
      </c>
      <c r="AQ273" s="347" t="s">
        <v>160</v>
      </c>
      <c r="AR273" s="347" t="s">
        <v>160</v>
      </c>
      <c r="AS273" s="347" t="s">
        <v>160</v>
      </c>
      <c r="AT273" s="347" t="s">
        <v>160</v>
      </c>
      <c r="AU273" s="347" t="s">
        <v>160</v>
      </c>
      <c r="AV273" s="928" t="s">
        <v>160</v>
      </c>
      <c r="AW273" s="347" t="s">
        <v>160</v>
      </c>
      <c r="AX273" s="347" t="s">
        <v>160</v>
      </c>
      <c r="AY273" s="347" t="s">
        <v>160</v>
      </c>
      <c r="AZ273" s="347" t="s">
        <v>160</v>
      </c>
      <c r="BA273" s="347" t="s">
        <v>160</v>
      </c>
      <c r="BB273" s="347" t="s">
        <v>160</v>
      </c>
      <c r="BC273" s="347" t="s">
        <v>160</v>
      </c>
      <c r="BD273" s="347" t="s">
        <v>160</v>
      </c>
      <c r="BE273" s="347" t="s">
        <v>160</v>
      </c>
      <c r="BF273" s="347" t="s">
        <v>160</v>
      </c>
      <c r="BG273" s="347" t="s">
        <v>160</v>
      </c>
      <c r="BH273" s="347" t="s">
        <v>160</v>
      </c>
      <c r="BI273" s="347" t="s">
        <v>160</v>
      </c>
      <c r="BJ273" s="347" t="s">
        <v>160</v>
      </c>
      <c r="BK273" s="347" t="s">
        <v>160</v>
      </c>
      <c r="BL273" s="347" t="s">
        <v>160</v>
      </c>
      <c r="BM273" s="347" t="s">
        <v>160</v>
      </c>
      <c r="BN273" s="585" t="s">
        <v>160</v>
      </c>
      <c r="BO273" s="585" t="s">
        <v>160</v>
      </c>
      <c r="BP273" s="585" t="s">
        <v>160</v>
      </c>
      <c r="BQ273" s="585" t="s">
        <v>160</v>
      </c>
      <c r="BR273" s="585" t="s">
        <v>160</v>
      </c>
      <c r="BS273" s="585" t="s">
        <v>160</v>
      </c>
      <c r="BT273" s="585" t="s">
        <v>160</v>
      </c>
      <c r="BU273" s="585" t="s">
        <v>160</v>
      </c>
      <c r="BV273" s="585" t="s">
        <v>160</v>
      </c>
      <c r="BW273" s="585" t="s">
        <v>160</v>
      </c>
      <c r="BX273" s="585" t="s">
        <v>160</v>
      </c>
      <c r="BY273" s="585">
        <v>285</v>
      </c>
      <c r="BZ273" s="585">
        <v>285</v>
      </c>
      <c r="CA273" s="585">
        <v>285</v>
      </c>
      <c r="CB273" s="585">
        <v>285</v>
      </c>
      <c r="CC273" s="585">
        <v>285</v>
      </c>
      <c r="CD273" s="342">
        <v>286.2</v>
      </c>
      <c r="CE273" s="585">
        <v>286.2</v>
      </c>
      <c r="CF273" s="585">
        <v>286.2</v>
      </c>
      <c r="CG273" s="585">
        <v>286.2</v>
      </c>
      <c r="CH273" s="585">
        <v>286.2</v>
      </c>
      <c r="CI273" s="585">
        <v>286.2</v>
      </c>
      <c r="CJ273" s="585">
        <v>286.2</v>
      </c>
      <c r="CK273" s="585">
        <v>286.2</v>
      </c>
      <c r="CL273" s="585">
        <v>286.2</v>
      </c>
      <c r="CM273" s="585">
        <v>286.2</v>
      </c>
      <c r="CN273" s="585">
        <v>286.2</v>
      </c>
      <c r="CO273" s="585">
        <v>299</v>
      </c>
      <c r="CP273" s="585">
        <v>299</v>
      </c>
      <c r="CQ273" s="585">
        <v>299</v>
      </c>
      <c r="CR273" s="585">
        <v>299</v>
      </c>
      <c r="CS273" s="585">
        <v>299</v>
      </c>
      <c r="CT273" s="585">
        <v>299</v>
      </c>
      <c r="CU273" s="585">
        <v>299</v>
      </c>
      <c r="CV273" s="585">
        <v>299</v>
      </c>
      <c r="CW273" s="585">
        <v>299</v>
      </c>
      <c r="CX273" s="585">
        <v>299</v>
      </c>
      <c r="CY273" s="679">
        <v>352</v>
      </c>
      <c r="CZ273" s="585">
        <v>352</v>
      </c>
      <c r="DA273" s="585">
        <v>352</v>
      </c>
      <c r="DB273"/>
      <c r="DC273"/>
      <c r="DD273"/>
      <c r="DE273"/>
      <c r="DF273"/>
      <c r="DG273"/>
      <c r="DH273"/>
      <c r="DI273"/>
      <c r="DJ273"/>
      <c r="DK273"/>
    </row>
    <row r="274" spans="2:121" x14ac:dyDescent="0.25">
      <c r="B274" s="117" t="s">
        <v>1150</v>
      </c>
      <c r="C274" s="347" t="s">
        <v>160</v>
      </c>
      <c r="D274" s="347" t="s">
        <v>160</v>
      </c>
      <c r="E274" s="347" t="s">
        <v>160</v>
      </c>
      <c r="F274" s="347" t="s">
        <v>160</v>
      </c>
      <c r="G274" s="347" t="s">
        <v>160</v>
      </c>
      <c r="H274" s="347" t="s">
        <v>160</v>
      </c>
      <c r="I274" s="347" t="s">
        <v>160</v>
      </c>
      <c r="J274" s="347" t="s">
        <v>160</v>
      </c>
      <c r="K274" s="347" t="s">
        <v>160</v>
      </c>
      <c r="L274" s="347" t="s">
        <v>160</v>
      </c>
      <c r="M274" s="347" t="s">
        <v>160</v>
      </c>
      <c r="N274" s="347" t="s">
        <v>160</v>
      </c>
      <c r="O274" s="347" t="s">
        <v>160</v>
      </c>
      <c r="P274" s="347" t="s">
        <v>160</v>
      </c>
      <c r="Q274" s="347" t="s">
        <v>160</v>
      </c>
      <c r="R274" s="347" t="s">
        <v>160</v>
      </c>
      <c r="S274" s="347" t="s">
        <v>160</v>
      </c>
      <c r="T274" s="347" t="s">
        <v>160</v>
      </c>
      <c r="U274" s="347" t="s">
        <v>160</v>
      </c>
      <c r="V274" s="347" t="s">
        <v>160</v>
      </c>
      <c r="W274" s="347" t="s">
        <v>160</v>
      </c>
      <c r="X274" s="347" t="s">
        <v>160</v>
      </c>
      <c r="Y274" s="347" t="s">
        <v>160</v>
      </c>
      <c r="Z274" s="347" t="s">
        <v>160</v>
      </c>
      <c r="AA274" s="347" t="s">
        <v>160</v>
      </c>
      <c r="AB274" s="347" t="s">
        <v>160</v>
      </c>
      <c r="AC274" s="347" t="s">
        <v>160</v>
      </c>
      <c r="AD274" s="347" t="s">
        <v>160</v>
      </c>
      <c r="AE274" s="347" t="s">
        <v>160</v>
      </c>
      <c r="AF274" s="347" t="s">
        <v>160</v>
      </c>
      <c r="AG274" s="347" t="s">
        <v>160</v>
      </c>
      <c r="AH274" s="347" t="s">
        <v>160</v>
      </c>
      <c r="AI274" s="347" t="s">
        <v>160</v>
      </c>
      <c r="AJ274" s="347" t="s">
        <v>160</v>
      </c>
      <c r="AK274" s="347" t="s">
        <v>160</v>
      </c>
      <c r="AL274" s="347" t="s">
        <v>160</v>
      </c>
      <c r="AM274" s="347" t="s">
        <v>160</v>
      </c>
      <c r="AN274" s="347" t="s">
        <v>160</v>
      </c>
      <c r="AO274" s="347" t="s">
        <v>160</v>
      </c>
      <c r="AP274" s="347" t="s">
        <v>160</v>
      </c>
      <c r="AQ274" s="347" t="s">
        <v>160</v>
      </c>
      <c r="AR274" s="347" t="s">
        <v>160</v>
      </c>
      <c r="AS274" s="347" t="s">
        <v>160</v>
      </c>
      <c r="AT274" s="347" t="s">
        <v>160</v>
      </c>
      <c r="AU274" s="347" t="s">
        <v>160</v>
      </c>
      <c r="AV274" s="347" t="s">
        <v>160</v>
      </c>
      <c r="AW274" s="347" t="s">
        <v>160</v>
      </c>
      <c r="AX274" s="347" t="s">
        <v>160</v>
      </c>
      <c r="AY274" s="347" t="s">
        <v>160</v>
      </c>
      <c r="AZ274" s="347" t="s">
        <v>160</v>
      </c>
      <c r="BA274" s="347" t="s">
        <v>160</v>
      </c>
      <c r="BB274" s="347" t="s">
        <v>160</v>
      </c>
      <c r="BC274" s="347" t="s">
        <v>160</v>
      </c>
      <c r="BD274" s="347" t="s">
        <v>160</v>
      </c>
      <c r="BE274" s="347" t="s">
        <v>160</v>
      </c>
      <c r="BF274" s="347" t="s">
        <v>160</v>
      </c>
      <c r="BG274" s="347" t="s">
        <v>160</v>
      </c>
      <c r="BH274" s="347" t="s">
        <v>160</v>
      </c>
      <c r="BI274" s="347" t="s">
        <v>160</v>
      </c>
      <c r="BJ274" s="347" t="s">
        <v>160</v>
      </c>
      <c r="BK274" s="347" t="s">
        <v>160</v>
      </c>
      <c r="BL274" s="347" t="s">
        <v>160</v>
      </c>
      <c r="BM274" s="347" t="s">
        <v>160</v>
      </c>
      <c r="BN274" s="585" t="s">
        <v>160</v>
      </c>
      <c r="BO274" s="585" t="s">
        <v>160</v>
      </c>
      <c r="BP274" s="585" t="s">
        <v>160</v>
      </c>
      <c r="BQ274" s="585" t="s">
        <v>160</v>
      </c>
      <c r="BR274" s="585" t="s">
        <v>160</v>
      </c>
      <c r="BS274" s="585" t="s">
        <v>160</v>
      </c>
      <c r="BT274" s="585" t="s">
        <v>160</v>
      </c>
      <c r="BU274" s="585" t="s">
        <v>160</v>
      </c>
      <c r="BV274" s="585" t="s">
        <v>160</v>
      </c>
      <c r="BW274" s="585" t="s">
        <v>160</v>
      </c>
      <c r="BX274" s="585" t="s">
        <v>160</v>
      </c>
      <c r="BY274" s="585" t="s">
        <v>160</v>
      </c>
      <c r="BZ274" s="585" t="s">
        <v>160</v>
      </c>
      <c r="CA274" s="585" t="s">
        <v>160</v>
      </c>
      <c r="CB274" s="585">
        <v>293</v>
      </c>
      <c r="CC274" s="585">
        <v>293</v>
      </c>
      <c r="CD274" s="585">
        <v>293</v>
      </c>
      <c r="CE274" s="585">
        <v>293</v>
      </c>
      <c r="CF274" s="585">
        <v>293</v>
      </c>
      <c r="CG274" s="585">
        <v>293</v>
      </c>
      <c r="CH274" s="585">
        <v>293</v>
      </c>
      <c r="CI274" s="585" t="s">
        <v>160</v>
      </c>
      <c r="CJ274" s="585" t="s">
        <v>160</v>
      </c>
      <c r="CK274" s="585" t="s">
        <v>160</v>
      </c>
      <c r="CL274" s="585" t="s">
        <v>160</v>
      </c>
      <c r="CM274" s="585" t="s">
        <v>160</v>
      </c>
      <c r="CN274" s="585" t="s">
        <v>160</v>
      </c>
      <c r="CO274" s="585" t="s">
        <v>160</v>
      </c>
      <c r="CP274" s="585" t="s">
        <v>160</v>
      </c>
      <c r="CQ274" s="585" t="s">
        <v>160</v>
      </c>
      <c r="CR274" s="585" t="s">
        <v>160</v>
      </c>
      <c r="CS274" s="585" t="s">
        <v>160</v>
      </c>
      <c r="CT274" s="585" t="s">
        <v>160</v>
      </c>
      <c r="CU274" s="585" t="s">
        <v>160</v>
      </c>
      <c r="CV274" s="585" t="s">
        <v>160</v>
      </c>
      <c r="CW274" s="585" t="s">
        <v>160</v>
      </c>
      <c r="CX274" s="585" t="s">
        <v>160</v>
      </c>
      <c r="CY274" s="585" t="s">
        <v>160</v>
      </c>
      <c r="CZ274" s="585" t="s">
        <v>160</v>
      </c>
      <c r="DA274" s="585" t="s">
        <v>160</v>
      </c>
      <c r="DB274"/>
      <c r="DC274"/>
      <c r="DD274"/>
      <c r="DE274"/>
      <c r="DF274"/>
      <c r="DG274"/>
      <c r="DH274"/>
      <c r="DI274"/>
      <c r="DJ274"/>
      <c r="DK274"/>
    </row>
    <row r="275" spans="2:121" x14ac:dyDescent="0.25">
      <c r="B275" s="1072" t="s">
        <v>557</v>
      </c>
      <c r="C275" s="1073" t="s">
        <v>160</v>
      </c>
      <c r="D275" s="1073" t="s">
        <v>160</v>
      </c>
      <c r="E275" s="1073" t="s">
        <v>160</v>
      </c>
      <c r="F275" s="1073" t="s">
        <v>160</v>
      </c>
      <c r="G275" s="1073" t="s">
        <v>160</v>
      </c>
      <c r="H275" s="1073" t="s">
        <v>160</v>
      </c>
      <c r="I275" s="1073" t="s">
        <v>160</v>
      </c>
      <c r="J275" s="1073" t="s">
        <v>160</v>
      </c>
      <c r="K275" s="1073" t="s">
        <v>160</v>
      </c>
      <c r="L275" s="1075" t="s">
        <v>160</v>
      </c>
      <c r="M275" s="1075" t="s">
        <v>160</v>
      </c>
      <c r="N275" s="1075" t="s">
        <v>160</v>
      </c>
      <c r="O275" s="1075" t="s">
        <v>160</v>
      </c>
      <c r="P275" s="1075" t="s">
        <v>160</v>
      </c>
      <c r="Q275" s="1075" t="s">
        <v>160</v>
      </c>
      <c r="R275" s="1075" t="s">
        <v>160</v>
      </c>
      <c r="S275" s="1075" t="s">
        <v>160</v>
      </c>
      <c r="T275" s="1075" t="s">
        <v>160</v>
      </c>
      <c r="U275" s="1075" t="s">
        <v>160</v>
      </c>
      <c r="V275" s="1076" t="s">
        <v>160</v>
      </c>
      <c r="W275" s="1076" t="s">
        <v>160</v>
      </c>
      <c r="X275" s="1076" t="s">
        <v>160</v>
      </c>
      <c r="Y275" s="1076" t="s">
        <v>160</v>
      </c>
      <c r="Z275" s="1076" t="s">
        <v>160</v>
      </c>
      <c r="AA275" s="1076" t="s">
        <v>160</v>
      </c>
      <c r="AB275" s="1076" t="s">
        <v>160</v>
      </c>
      <c r="AC275" s="1076" t="s">
        <v>160</v>
      </c>
      <c r="AD275" s="1076" t="s">
        <v>160</v>
      </c>
      <c r="AE275" s="1076" t="s">
        <v>160</v>
      </c>
      <c r="AF275" s="1076" t="s">
        <v>160</v>
      </c>
      <c r="AG275" s="1076" t="s">
        <v>160</v>
      </c>
      <c r="AH275" s="1076" t="s">
        <v>160</v>
      </c>
      <c r="AI275" s="1076" t="s">
        <v>160</v>
      </c>
      <c r="AJ275" s="1076" t="s">
        <v>160</v>
      </c>
      <c r="AK275" s="1076" t="s">
        <v>160</v>
      </c>
      <c r="AL275" s="1076" t="s">
        <v>160</v>
      </c>
      <c r="AM275" s="1076" t="s">
        <v>160</v>
      </c>
      <c r="AN275" s="1076" t="s">
        <v>160</v>
      </c>
      <c r="AO275" s="1076" t="s">
        <v>160</v>
      </c>
      <c r="AP275" s="1076" t="s">
        <v>160</v>
      </c>
      <c r="AQ275" s="1076" t="s">
        <v>160</v>
      </c>
      <c r="AR275" s="1076" t="s">
        <v>160</v>
      </c>
      <c r="AS275" s="1075" t="s">
        <v>160</v>
      </c>
      <c r="AT275" s="1075" t="s">
        <v>160</v>
      </c>
      <c r="AU275" s="1075" t="s">
        <v>160</v>
      </c>
      <c r="AV275" s="1075" t="s">
        <v>160</v>
      </c>
      <c r="AW275" s="1075" t="s">
        <v>160</v>
      </c>
      <c r="AX275" s="1075" t="s">
        <v>160</v>
      </c>
      <c r="AY275" s="1075" t="s">
        <v>160</v>
      </c>
      <c r="AZ275" s="1075" t="s">
        <v>160</v>
      </c>
      <c r="BA275" s="1075" t="s">
        <v>160</v>
      </c>
      <c r="BB275" s="1075" t="s">
        <v>160</v>
      </c>
      <c r="BC275" s="1075" t="s">
        <v>160</v>
      </c>
      <c r="BD275" s="1075" t="s">
        <v>160</v>
      </c>
      <c r="BE275" s="1075" t="s">
        <v>160</v>
      </c>
      <c r="BF275" s="1075" t="s">
        <v>160</v>
      </c>
      <c r="BG275" s="1075" t="s">
        <v>160</v>
      </c>
      <c r="BH275" s="1075" t="s">
        <v>160</v>
      </c>
      <c r="BI275" s="1075" t="s">
        <v>160</v>
      </c>
      <c r="BJ275" s="1075" t="s">
        <v>160</v>
      </c>
      <c r="BK275" s="1075" t="s">
        <v>160</v>
      </c>
      <c r="BL275" s="1075" t="s">
        <v>160</v>
      </c>
      <c r="BM275" s="1075" t="s">
        <v>160</v>
      </c>
      <c r="BN275" s="1075" t="s">
        <v>160</v>
      </c>
      <c r="BO275" s="1075" t="s">
        <v>160</v>
      </c>
      <c r="BP275" s="1075" t="s">
        <v>160</v>
      </c>
      <c r="BQ275" s="1075" t="s">
        <v>160</v>
      </c>
      <c r="BR275" s="1075" t="s">
        <v>160</v>
      </c>
      <c r="BS275" s="1075" t="s">
        <v>160</v>
      </c>
      <c r="BT275" s="1075" t="s">
        <v>160</v>
      </c>
      <c r="BU275" s="1075" t="s">
        <v>160</v>
      </c>
      <c r="BV275" s="1075" t="s">
        <v>160</v>
      </c>
      <c r="BW275" s="1075" t="s">
        <v>160</v>
      </c>
      <c r="BX275" s="1075" t="s">
        <v>160</v>
      </c>
      <c r="BY275" s="1075">
        <v>294.5</v>
      </c>
      <c r="BZ275" s="1075">
        <v>294.5</v>
      </c>
      <c r="CA275" s="1075">
        <v>294.5</v>
      </c>
      <c r="CB275" s="1075">
        <v>294</v>
      </c>
      <c r="CC275" s="1075">
        <v>286.75</v>
      </c>
      <c r="CD275" s="1075">
        <v>287.05</v>
      </c>
      <c r="CE275" s="1075">
        <v>287.05</v>
      </c>
      <c r="CF275" s="1075">
        <v>287.05</v>
      </c>
      <c r="CG275" s="1075">
        <v>287.05</v>
      </c>
      <c r="CH275" s="1075">
        <v>287.05</v>
      </c>
      <c r="CI275" s="1075">
        <v>285.06666666666666</v>
      </c>
      <c r="CJ275" s="1075">
        <v>275.60000000000002</v>
      </c>
      <c r="CK275" s="1075">
        <v>275.60000000000002</v>
      </c>
      <c r="CL275" s="1075">
        <v>275.60000000000002</v>
      </c>
      <c r="CM275" s="1075">
        <v>275.60000000000002</v>
      </c>
      <c r="CN275" s="1075">
        <v>275.60000000000002</v>
      </c>
      <c r="CO275" s="1075">
        <v>282</v>
      </c>
      <c r="CP275" s="1075">
        <v>288.5</v>
      </c>
      <c r="CQ275" s="1075">
        <v>288.5</v>
      </c>
      <c r="CR275" s="1075">
        <v>288.5</v>
      </c>
      <c r="CS275" s="1075">
        <v>288.5</v>
      </c>
      <c r="CT275" s="1075">
        <v>288.5</v>
      </c>
      <c r="CU275" s="1075">
        <v>288.5</v>
      </c>
      <c r="CV275" s="1075">
        <v>288.5</v>
      </c>
      <c r="CW275" s="1075">
        <v>288.5</v>
      </c>
      <c r="CX275" s="1075">
        <v>288.5</v>
      </c>
      <c r="CY275" s="1075">
        <v>315</v>
      </c>
      <c r="CZ275" s="1075">
        <v>315</v>
      </c>
      <c r="DA275" s="1075">
        <v>315</v>
      </c>
      <c r="DB275"/>
      <c r="DC275"/>
      <c r="DD275"/>
      <c r="DE275"/>
      <c r="DF275"/>
      <c r="DG275"/>
      <c r="DH275"/>
      <c r="DI275"/>
      <c r="DJ275"/>
      <c r="DK275"/>
    </row>
    <row r="276" spans="2:121" x14ac:dyDescent="0.25">
      <c r="X276" s="340"/>
      <c r="Y276" s="340"/>
      <c r="Z276" s="340"/>
      <c r="AA276" s="340"/>
      <c r="AB276" s="340"/>
      <c r="AC276" s="340"/>
      <c r="AD276" s="340"/>
      <c r="AE276" s="340"/>
      <c r="AF276" s="340"/>
      <c r="AG276" s="340"/>
      <c r="AH276" s="340"/>
      <c r="AI276" s="340"/>
      <c r="AJ276" s="340"/>
      <c r="AK276" s="340"/>
      <c r="AL276" s="340"/>
      <c r="AM276" s="340"/>
      <c r="AN276" s="340"/>
      <c r="AO276" s="340"/>
      <c r="AP276" s="340"/>
      <c r="AQ276" s="340"/>
      <c r="AR276" s="340"/>
      <c r="AS276" s="340"/>
      <c r="AT276" s="801"/>
      <c r="AU276" s="801"/>
      <c r="AV276" s="922"/>
      <c r="AW276" s="801"/>
      <c r="AX276" s="801"/>
      <c r="AY276" s="801"/>
      <c r="AZ276" s="801"/>
      <c r="BA276" s="801"/>
      <c r="BB276" s="801"/>
      <c r="BC276" s="801"/>
      <c r="BD276" s="801"/>
      <c r="BE276" s="801"/>
      <c r="BF276" s="801"/>
      <c r="BG276" s="801"/>
      <c r="BH276" s="801"/>
      <c r="BI276" s="801"/>
      <c r="BJ276" s="801"/>
      <c r="BK276" s="801"/>
      <c r="BL276" s="801"/>
      <c r="BM276" s="801"/>
      <c r="BN276" s="801"/>
      <c r="BO276" s="801"/>
      <c r="BP276" s="801"/>
      <c r="BQ276" s="801"/>
      <c r="BR276" s="801"/>
      <c r="BS276" s="801"/>
      <c r="BT276" s="801"/>
      <c r="BU276" s="801"/>
      <c r="BV276" s="801"/>
      <c r="BW276" s="801"/>
      <c r="BX276" s="801"/>
      <c r="BY276" s="801"/>
      <c r="BZ276" s="801"/>
      <c r="CA276" s="801"/>
      <c r="CB276" s="801"/>
      <c r="CC276" s="801"/>
      <c r="CD276" s="801"/>
      <c r="CE276" s="801"/>
      <c r="CF276" s="801"/>
      <c r="CG276" s="801"/>
      <c r="CH276" s="801"/>
      <c r="CI276" s="801"/>
      <c r="CJ276" s="801"/>
      <c r="CK276" s="801"/>
      <c r="CL276" s="801"/>
      <c r="CM276" s="801"/>
      <c r="CN276" s="801"/>
      <c r="CO276" s="801"/>
      <c r="CP276" s="801"/>
      <c r="CQ276" s="801"/>
      <c r="CR276" s="801"/>
      <c r="CS276" s="801"/>
      <c r="CT276" s="801"/>
      <c r="CU276" s="801"/>
      <c r="CV276" s="801"/>
      <c r="CW276" s="801"/>
      <c r="CX276" s="801"/>
      <c r="CY276" s="801"/>
      <c r="CZ276" s="801"/>
      <c r="DA276" s="801"/>
      <c r="DB276"/>
      <c r="DC276"/>
      <c r="DD276"/>
      <c r="DE276"/>
      <c r="DF276"/>
      <c r="DG276"/>
      <c r="DH276"/>
      <c r="DI276"/>
      <c r="DJ276"/>
      <c r="DK276"/>
    </row>
    <row r="277" spans="2:121" x14ac:dyDescent="0.25">
      <c r="B277" s="113" t="s">
        <v>1149</v>
      </c>
      <c r="C277" s="263">
        <v>42522</v>
      </c>
      <c r="D277" s="263">
        <v>42552</v>
      </c>
      <c r="E277" s="263">
        <v>42583</v>
      </c>
      <c r="F277" s="263">
        <v>42614</v>
      </c>
      <c r="G277" s="263">
        <v>42644</v>
      </c>
      <c r="H277" s="263">
        <v>42675</v>
      </c>
      <c r="I277" s="263">
        <v>42705</v>
      </c>
      <c r="J277" s="263">
        <v>42736</v>
      </c>
      <c r="K277" s="263">
        <v>42767</v>
      </c>
      <c r="L277" s="263">
        <v>42795</v>
      </c>
      <c r="M277" s="263">
        <v>42826</v>
      </c>
      <c r="N277" s="263">
        <v>42856</v>
      </c>
      <c r="O277" s="263">
        <v>42887</v>
      </c>
      <c r="P277" s="263">
        <v>42917</v>
      </c>
      <c r="Q277" s="263">
        <v>42948</v>
      </c>
      <c r="R277" s="263">
        <v>42979</v>
      </c>
      <c r="S277" s="263">
        <v>43009</v>
      </c>
      <c r="T277" s="263">
        <v>43040</v>
      </c>
      <c r="U277" s="263">
        <v>43070</v>
      </c>
      <c r="V277" s="263">
        <v>43101</v>
      </c>
      <c r="W277" s="263">
        <v>43132</v>
      </c>
      <c r="X277" s="263">
        <v>43160</v>
      </c>
      <c r="Y277" s="263">
        <v>43191</v>
      </c>
      <c r="Z277" s="263">
        <v>43221</v>
      </c>
      <c r="AA277" s="263">
        <v>43252</v>
      </c>
      <c r="AB277" s="263">
        <v>43283</v>
      </c>
      <c r="AC277" s="263">
        <v>43314</v>
      </c>
      <c r="AD277" s="263">
        <v>43345</v>
      </c>
      <c r="AE277" s="263">
        <v>43376</v>
      </c>
      <c r="AF277" s="263">
        <v>43407</v>
      </c>
      <c r="AG277" s="263">
        <v>43437</v>
      </c>
      <c r="AH277" s="263">
        <v>43468</v>
      </c>
      <c r="AI277" s="263">
        <v>43499</v>
      </c>
      <c r="AJ277" s="263">
        <v>43527</v>
      </c>
      <c r="AK277" s="263">
        <v>43558</v>
      </c>
      <c r="AL277" s="263">
        <v>43587</v>
      </c>
      <c r="AM277" s="263">
        <v>43618</v>
      </c>
      <c r="AN277" s="263">
        <v>43647</v>
      </c>
      <c r="AO277" s="263">
        <v>43678</v>
      </c>
      <c r="AP277" s="263">
        <v>43709</v>
      </c>
      <c r="AQ277" s="263">
        <v>43739</v>
      </c>
      <c r="AR277" s="263">
        <v>43770</v>
      </c>
      <c r="AS277" s="263">
        <v>43800</v>
      </c>
      <c r="AT277" s="263">
        <v>43831</v>
      </c>
      <c r="AU277" s="263">
        <v>43862</v>
      </c>
      <c r="AV277" s="914">
        <v>43891</v>
      </c>
      <c r="AW277" s="263">
        <v>43922</v>
      </c>
      <c r="AX277" s="263">
        <v>43952</v>
      </c>
      <c r="AY277" s="263">
        <v>43983</v>
      </c>
      <c r="AZ277" s="263">
        <v>44013</v>
      </c>
      <c r="BA277" s="263">
        <v>44044</v>
      </c>
      <c r="BB277" s="263">
        <v>44075</v>
      </c>
      <c r="BC277" s="263">
        <v>44105</v>
      </c>
      <c r="BD277" s="263">
        <v>44136</v>
      </c>
      <c r="BE277" s="263">
        <v>44166</v>
      </c>
      <c r="BF277" s="263">
        <v>44197</v>
      </c>
      <c r="BG277" s="263">
        <v>44228</v>
      </c>
      <c r="BH277" s="263">
        <v>44256</v>
      </c>
      <c r="BI277" s="263">
        <v>44287</v>
      </c>
      <c r="BJ277" s="263">
        <v>44317</v>
      </c>
      <c r="BK277" s="263">
        <v>44348</v>
      </c>
      <c r="BL277" s="263">
        <v>44378</v>
      </c>
      <c r="BM277" s="263">
        <v>44409</v>
      </c>
      <c r="BN277" s="263">
        <v>44440</v>
      </c>
      <c r="BO277" s="263">
        <v>44470</v>
      </c>
      <c r="BP277" s="263">
        <v>44501</v>
      </c>
      <c r="BQ277" s="263">
        <v>44531</v>
      </c>
      <c r="BR277" s="263">
        <v>44562</v>
      </c>
      <c r="BS277" s="263">
        <v>44593</v>
      </c>
      <c r="BT277" s="263">
        <v>44622</v>
      </c>
      <c r="BU277" s="263">
        <v>44654</v>
      </c>
      <c r="BV277" s="263">
        <v>44685</v>
      </c>
      <c r="BW277" s="263">
        <v>44716</v>
      </c>
      <c r="BX277" s="263">
        <v>44746</v>
      </c>
      <c r="BY277" s="263">
        <v>44774</v>
      </c>
      <c r="BZ277" s="263">
        <v>44805</v>
      </c>
      <c r="CA277" s="263">
        <v>44835</v>
      </c>
      <c r="CB277" s="263">
        <v>44866</v>
      </c>
      <c r="CC277" s="263">
        <v>44896</v>
      </c>
      <c r="CD277" s="263">
        <v>44927</v>
      </c>
      <c r="CE277" s="263">
        <v>44958</v>
      </c>
      <c r="CF277" s="263">
        <v>44986</v>
      </c>
      <c r="CG277" s="263">
        <v>45017</v>
      </c>
      <c r="CH277" s="263">
        <v>45047</v>
      </c>
      <c r="CI277" s="263">
        <v>45078</v>
      </c>
      <c r="CJ277" s="263">
        <v>45108</v>
      </c>
      <c r="CK277" s="263">
        <v>45139</v>
      </c>
      <c r="CL277" s="263">
        <v>45170</v>
      </c>
      <c r="CM277" s="263">
        <v>45200</v>
      </c>
      <c r="CN277" s="263">
        <v>45231</v>
      </c>
      <c r="CO277" s="263">
        <v>45261</v>
      </c>
      <c r="CP277" s="263">
        <v>45292</v>
      </c>
      <c r="CQ277" s="263">
        <v>45323</v>
      </c>
      <c r="CR277" s="263">
        <v>45352</v>
      </c>
      <c r="CS277" s="263">
        <v>45383</v>
      </c>
      <c r="CT277" s="263">
        <v>45413</v>
      </c>
      <c r="CU277" s="263">
        <v>45444</v>
      </c>
      <c r="CV277" s="263">
        <v>45474</v>
      </c>
      <c r="CW277" s="263">
        <v>45505</v>
      </c>
      <c r="CX277" s="263">
        <v>45536</v>
      </c>
      <c r="CY277" s="263">
        <v>45566</v>
      </c>
      <c r="CZ277" s="263">
        <v>45597</v>
      </c>
      <c r="DA277" s="263">
        <v>45627</v>
      </c>
      <c r="DB277"/>
      <c r="DC277"/>
      <c r="DD277"/>
      <c r="DE277"/>
      <c r="DF277"/>
      <c r="DG277"/>
      <c r="DH277"/>
      <c r="DI277"/>
      <c r="DJ277"/>
      <c r="DK277"/>
    </row>
    <row r="278" spans="2:121" x14ac:dyDescent="0.25">
      <c r="B278" s="117" t="s">
        <v>542</v>
      </c>
      <c r="C278" s="264" t="s">
        <v>160</v>
      </c>
      <c r="D278" s="264" t="s">
        <v>160</v>
      </c>
      <c r="E278" s="264" t="s">
        <v>160</v>
      </c>
      <c r="F278" s="265" t="s">
        <v>160</v>
      </c>
      <c r="G278" s="265" t="s">
        <v>160</v>
      </c>
      <c r="H278" s="265" t="s">
        <v>160</v>
      </c>
      <c r="I278" s="265" t="s">
        <v>160</v>
      </c>
      <c r="J278" s="265" t="s">
        <v>160</v>
      </c>
      <c r="K278" s="265" t="s">
        <v>160</v>
      </c>
      <c r="L278" s="586" t="s">
        <v>160</v>
      </c>
      <c r="M278" s="586" t="s">
        <v>160</v>
      </c>
      <c r="N278" s="586" t="s">
        <v>160</v>
      </c>
      <c r="O278" s="586" t="s">
        <v>160</v>
      </c>
      <c r="P278" s="586" t="s">
        <v>160</v>
      </c>
      <c r="Q278" s="586" t="s">
        <v>160</v>
      </c>
      <c r="R278" s="586" t="s">
        <v>160</v>
      </c>
      <c r="S278" s="586" t="s">
        <v>160</v>
      </c>
      <c r="T278" s="586" t="s">
        <v>160</v>
      </c>
      <c r="U278" s="585" t="s">
        <v>160</v>
      </c>
      <c r="V278" s="585" t="s">
        <v>160</v>
      </c>
      <c r="W278" s="585" t="s">
        <v>160</v>
      </c>
      <c r="X278" s="585" t="s">
        <v>160</v>
      </c>
      <c r="Y278" s="585" t="s">
        <v>160</v>
      </c>
      <c r="Z278" s="585" t="s">
        <v>160</v>
      </c>
      <c r="AA278" s="585" t="s">
        <v>160</v>
      </c>
      <c r="AB278" s="585" t="s">
        <v>160</v>
      </c>
      <c r="AC278" s="585" t="s">
        <v>160</v>
      </c>
      <c r="AD278" s="585" t="s">
        <v>160</v>
      </c>
      <c r="AE278" s="585" t="s">
        <v>160</v>
      </c>
      <c r="AF278" s="585" t="s">
        <v>160</v>
      </c>
      <c r="AG278" s="585" t="s">
        <v>160</v>
      </c>
      <c r="AH278" s="585" t="s">
        <v>160</v>
      </c>
      <c r="AI278" s="585" t="s">
        <v>160</v>
      </c>
      <c r="AJ278" s="347" t="s">
        <v>160</v>
      </c>
      <c r="AK278" s="347" t="s">
        <v>160</v>
      </c>
      <c r="AL278" s="347" t="s">
        <v>160</v>
      </c>
      <c r="AM278" s="347" t="s">
        <v>160</v>
      </c>
      <c r="AN278" s="347" t="s">
        <v>160</v>
      </c>
      <c r="AO278" s="347" t="s">
        <v>160</v>
      </c>
      <c r="AP278" s="347" t="s">
        <v>160</v>
      </c>
      <c r="AQ278" s="347" t="s">
        <v>160</v>
      </c>
      <c r="AR278" s="347" t="s">
        <v>160</v>
      </c>
      <c r="AS278" s="347" t="s">
        <v>160</v>
      </c>
      <c r="AT278" s="347" t="s">
        <v>160</v>
      </c>
      <c r="AU278" s="347" t="s">
        <v>160</v>
      </c>
      <c r="AV278" s="928" t="s">
        <v>160</v>
      </c>
      <c r="AW278" s="347" t="s">
        <v>160</v>
      </c>
      <c r="AX278" s="347" t="s">
        <v>160</v>
      </c>
      <c r="AY278" s="347" t="s">
        <v>160</v>
      </c>
      <c r="AZ278" s="347" t="s">
        <v>160</v>
      </c>
      <c r="BA278" s="347" t="s">
        <v>160</v>
      </c>
      <c r="BB278" s="347" t="s">
        <v>160</v>
      </c>
      <c r="BC278" s="347" t="s">
        <v>160</v>
      </c>
      <c r="BD278" s="347" t="s">
        <v>160</v>
      </c>
      <c r="BE278" s="347" t="s">
        <v>160</v>
      </c>
      <c r="BF278" s="585" t="s">
        <v>160</v>
      </c>
      <c r="BG278" s="585" t="s">
        <v>160</v>
      </c>
      <c r="BH278" s="585" t="s">
        <v>160</v>
      </c>
      <c r="BI278" s="585" t="s">
        <v>160</v>
      </c>
      <c r="BJ278" s="585" t="s">
        <v>160</v>
      </c>
      <c r="BK278" s="585" t="s">
        <v>160</v>
      </c>
      <c r="BL278" s="585" t="s">
        <v>160</v>
      </c>
      <c r="BM278" s="585" t="s">
        <v>160</v>
      </c>
      <c r="BN278" s="585" t="s">
        <v>160</v>
      </c>
      <c r="BO278" s="585" t="s">
        <v>160</v>
      </c>
      <c r="BP278" s="585" t="s">
        <v>160</v>
      </c>
      <c r="BQ278" s="585" t="s">
        <v>160</v>
      </c>
      <c r="BR278" s="585" t="s">
        <v>160</v>
      </c>
      <c r="BS278" s="585" t="s">
        <v>160</v>
      </c>
      <c r="BT278" s="585" t="s">
        <v>160</v>
      </c>
      <c r="BU278" s="585" t="s">
        <v>160</v>
      </c>
      <c r="BV278" s="585" t="s">
        <v>160</v>
      </c>
      <c r="BW278" s="585" t="s">
        <v>160</v>
      </c>
      <c r="BX278" s="585" t="s">
        <v>160</v>
      </c>
      <c r="BY278" s="585" t="s">
        <v>160</v>
      </c>
      <c r="BZ278" s="585" t="s">
        <v>160</v>
      </c>
      <c r="CA278" s="585" t="s">
        <v>160</v>
      </c>
      <c r="CB278" s="585" t="s">
        <v>160</v>
      </c>
      <c r="CC278" s="342">
        <v>166</v>
      </c>
      <c r="CD278" s="585">
        <v>166</v>
      </c>
      <c r="CE278" s="585">
        <v>166</v>
      </c>
      <c r="CF278" s="585">
        <v>166</v>
      </c>
      <c r="CG278" s="585">
        <v>166</v>
      </c>
      <c r="CH278" s="585">
        <v>166</v>
      </c>
      <c r="CI278" s="585">
        <v>166</v>
      </c>
      <c r="CJ278" s="585">
        <v>166</v>
      </c>
      <c r="CK278" s="585">
        <v>166</v>
      </c>
      <c r="CL278" s="585">
        <v>166</v>
      </c>
      <c r="CM278" s="585">
        <v>166</v>
      </c>
      <c r="CN278" s="585">
        <v>166</v>
      </c>
      <c r="CO278" s="585">
        <v>166</v>
      </c>
      <c r="CP278" s="585">
        <v>181</v>
      </c>
      <c r="CQ278" s="585">
        <v>181</v>
      </c>
      <c r="CR278" s="585">
        <v>181</v>
      </c>
      <c r="CS278" s="585">
        <v>181</v>
      </c>
      <c r="CT278" s="585">
        <v>181</v>
      </c>
      <c r="CU278" s="585">
        <v>181</v>
      </c>
      <c r="CV278" s="585">
        <v>181</v>
      </c>
      <c r="CW278" s="585">
        <v>181</v>
      </c>
      <c r="CX278" s="585">
        <v>181</v>
      </c>
      <c r="CY278" s="585">
        <v>181</v>
      </c>
      <c r="CZ278" s="585">
        <v>181</v>
      </c>
      <c r="DA278" s="585">
        <v>181</v>
      </c>
      <c r="DB278"/>
      <c r="DC278"/>
      <c r="DD278"/>
      <c r="DE278"/>
      <c r="DF278"/>
      <c r="DG278"/>
      <c r="DH278"/>
      <c r="DI278"/>
      <c r="DJ278"/>
      <c r="DK278"/>
    </row>
    <row r="279" spans="2:121" x14ac:dyDescent="0.25">
      <c r="B279" s="117" t="s">
        <v>546</v>
      </c>
      <c r="C279" s="264" t="s">
        <v>160</v>
      </c>
      <c r="D279" s="264" t="s">
        <v>160</v>
      </c>
      <c r="E279" s="264" t="s">
        <v>160</v>
      </c>
      <c r="F279" s="264" t="s">
        <v>160</v>
      </c>
      <c r="G279" s="264" t="s">
        <v>160</v>
      </c>
      <c r="H279" s="265" t="s">
        <v>160</v>
      </c>
      <c r="I279" s="265" t="s">
        <v>160</v>
      </c>
      <c r="J279" s="265" t="s">
        <v>160</v>
      </c>
      <c r="K279" s="265" t="s">
        <v>160</v>
      </c>
      <c r="L279" s="586" t="s">
        <v>160</v>
      </c>
      <c r="M279" s="586" t="s">
        <v>160</v>
      </c>
      <c r="N279" s="586" t="s">
        <v>160</v>
      </c>
      <c r="O279" s="586" t="s">
        <v>160</v>
      </c>
      <c r="P279" s="586" t="s">
        <v>160</v>
      </c>
      <c r="Q279" s="586" t="s">
        <v>160</v>
      </c>
      <c r="R279" s="586" t="s">
        <v>160</v>
      </c>
      <c r="S279" s="586" t="s">
        <v>160</v>
      </c>
      <c r="T279" s="586" t="s">
        <v>160</v>
      </c>
      <c r="U279" s="586" t="s">
        <v>160</v>
      </c>
      <c r="V279" s="586" t="s">
        <v>160</v>
      </c>
      <c r="W279" s="586" t="s">
        <v>160</v>
      </c>
      <c r="X279" s="586" t="s">
        <v>160</v>
      </c>
      <c r="Y279" s="586" t="s">
        <v>160</v>
      </c>
      <c r="Z279" s="586" t="s">
        <v>160</v>
      </c>
      <c r="AA279" s="586" t="s">
        <v>160</v>
      </c>
      <c r="AB279" s="586" t="s">
        <v>160</v>
      </c>
      <c r="AC279" s="586" t="s">
        <v>160</v>
      </c>
      <c r="AD279" s="586" t="s">
        <v>160</v>
      </c>
      <c r="AE279" s="586" t="s">
        <v>160</v>
      </c>
      <c r="AF279" s="585" t="s">
        <v>160</v>
      </c>
      <c r="AG279" s="585" t="s">
        <v>160</v>
      </c>
      <c r="AH279" s="585" t="s">
        <v>160</v>
      </c>
      <c r="AI279" s="585" t="s">
        <v>160</v>
      </c>
      <c r="AJ279" s="347" t="s">
        <v>160</v>
      </c>
      <c r="AK279" s="347" t="s">
        <v>160</v>
      </c>
      <c r="AL279" s="347" t="s">
        <v>160</v>
      </c>
      <c r="AM279" s="347" t="s">
        <v>160</v>
      </c>
      <c r="AN279" s="347" t="s">
        <v>160</v>
      </c>
      <c r="AO279" s="347" t="s">
        <v>160</v>
      </c>
      <c r="AP279" s="347" t="s">
        <v>160</v>
      </c>
      <c r="AQ279" s="347" t="s">
        <v>160</v>
      </c>
      <c r="AR279" s="347" t="s">
        <v>160</v>
      </c>
      <c r="AS279" s="347" t="s">
        <v>160</v>
      </c>
      <c r="AT279" s="347" t="s">
        <v>160</v>
      </c>
      <c r="AU279" s="347" t="s">
        <v>160</v>
      </c>
      <c r="AV279" s="928" t="s">
        <v>160</v>
      </c>
      <c r="AW279" s="347" t="s">
        <v>160</v>
      </c>
      <c r="AX279" s="347" t="s">
        <v>160</v>
      </c>
      <c r="AY279" s="347" t="s">
        <v>160</v>
      </c>
      <c r="AZ279" s="347" t="s">
        <v>160</v>
      </c>
      <c r="BA279" s="347" t="s">
        <v>160</v>
      </c>
      <c r="BB279" s="347" t="s">
        <v>160</v>
      </c>
      <c r="BC279" s="347" t="s">
        <v>160</v>
      </c>
      <c r="BD279" s="347" t="s">
        <v>160</v>
      </c>
      <c r="BE279" s="347" t="s">
        <v>160</v>
      </c>
      <c r="BF279" s="347" t="s">
        <v>160</v>
      </c>
      <c r="BG279" s="347" t="s">
        <v>160</v>
      </c>
      <c r="BH279" s="347" t="s">
        <v>160</v>
      </c>
      <c r="BI279" s="347" t="s">
        <v>160</v>
      </c>
      <c r="BJ279" s="347" t="s">
        <v>160</v>
      </c>
      <c r="BK279" s="347" t="s">
        <v>160</v>
      </c>
      <c r="BL279" s="347" t="s">
        <v>160</v>
      </c>
      <c r="BM279" s="347" t="s">
        <v>160</v>
      </c>
      <c r="BN279" s="585" t="s">
        <v>160</v>
      </c>
      <c r="BO279" s="585" t="s">
        <v>160</v>
      </c>
      <c r="BP279" s="585" t="s">
        <v>160</v>
      </c>
      <c r="BQ279" s="585" t="s">
        <v>160</v>
      </c>
      <c r="BR279" s="585" t="s">
        <v>160</v>
      </c>
      <c r="BS279" s="585" t="s">
        <v>160</v>
      </c>
      <c r="BT279" s="585" t="s">
        <v>160</v>
      </c>
      <c r="BU279" s="585" t="s">
        <v>160</v>
      </c>
      <c r="BV279" s="585" t="s">
        <v>160</v>
      </c>
      <c r="BW279" s="585" t="s">
        <v>160</v>
      </c>
      <c r="BX279" s="585" t="s">
        <v>160</v>
      </c>
      <c r="BY279" s="585" t="s">
        <v>160</v>
      </c>
      <c r="BZ279" s="585" t="s">
        <v>160</v>
      </c>
      <c r="CA279" s="585" t="s">
        <v>160</v>
      </c>
      <c r="CB279" s="585" t="s">
        <v>160</v>
      </c>
      <c r="CC279" s="585" t="s">
        <v>160</v>
      </c>
      <c r="CD279" s="585" t="s">
        <v>160</v>
      </c>
      <c r="CE279" s="585" t="s">
        <v>160</v>
      </c>
      <c r="CF279" s="585" t="s">
        <v>160</v>
      </c>
      <c r="CG279" s="585" t="s">
        <v>160</v>
      </c>
      <c r="CH279" s="585" t="s">
        <v>160</v>
      </c>
      <c r="CI279" s="585" t="s">
        <v>160</v>
      </c>
      <c r="CJ279" s="585" t="s">
        <v>160</v>
      </c>
      <c r="CK279" s="585" t="s">
        <v>160</v>
      </c>
      <c r="CL279" s="585" t="s">
        <v>160</v>
      </c>
      <c r="CM279" s="585" t="s">
        <v>160</v>
      </c>
      <c r="CN279" s="585" t="s">
        <v>160</v>
      </c>
      <c r="CO279" s="585" t="s">
        <v>160</v>
      </c>
      <c r="CP279" s="585" t="s">
        <v>160</v>
      </c>
      <c r="CQ279" s="585" t="s">
        <v>160</v>
      </c>
      <c r="CR279" s="585" t="s">
        <v>160</v>
      </c>
      <c r="CS279" s="585" t="s">
        <v>160</v>
      </c>
      <c r="CT279" s="585" t="s">
        <v>160</v>
      </c>
      <c r="CU279" s="585" t="s">
        <v>160</v>
      </c>
      <c r="CV279" s="585" t="s">
        <v>160</v>
      </c>
      <c r="CW279" s="585" t="s">
        <v>160</v>
      </c>
      <c r="CX279" s="585" t="s">
        <v>160</v>
      </c>
      <c r="CY279" s="585" t="s">
        <v>160</v>
      </c>
      <c r="CZ279" s="585" t="s">
        <v>160</v>
      </c>
      <c r="DA279" s="585" t="s">
        <v>160</v>
      </c>
      <c r="DB279"/>
      <c r="DC279"/>
      <c r="DD279"/>
      <c r="DE279"/>
      <c r="DF279"/>
      <c r="DG279"/>
      <c r="DH279"/>
      <c r="DI279"/>
      <c r="DJ279"/>
      <c r="DK279"/>
    </row>
    <row r="280" spans="2:121" x14ac:dyDescent="0.25">
      <c r="B280" s="117" t="s">
        <v>574</v>
      </c>
      <c r="C280" s="264" t="s">
        <v>160</v>
      </c>
      <c r="D280" s="264" t="s">
        <v>160</v>
      </c>
      <c r="E280" s="264" t="s">
        <v>160</v>
      </c>
      <c r="F280" s="264" t="s">
        <v>160</v>
      </c>
      <c r="G280" s="264" t="s">
        <v>160</v>
      </c>
      <c r="H280" s="264" t="s">
        <v>160</v>
      </c>
      <c r="I280" s="264" t="s">
        <v>160</v>
      </c>
      <c r="J280" s="264" t="s">
        <v>160</v>
      </c>
      <c r="K280" s="264" t="s">
        <v>160</v>
      </c>
      <c r="L280" s="352" t="s">
        <v>160</v>
      </c>
      <c r="M280" s="352" t="s">
        <v>160</v>
      </c>
      <c r="N280" s="352" t="s">
        <v>160</v>
      </c>
      <c r="O280" s="586" t="s">
        <v>160</v>
      </c>
      <c r="P280" s="586" t="s">
        <v>160</v>
      </c>
      <c r="Q280" s="586" t="s">
        <v>160</v>
      </c>
      <c r="R280" s="586" t="s">
        <v>160</v>
      </c>
      <c r="S280" s="586" t="s">
        <v>160</v>
      </c>
      <c r="T280" s="586" t="s">
        <v>160</v>
      </c>
      <c r="U280" s="586" t="s">
        <v>160</v>
      </c>
      <c r="V280" s="586" t="s">
        <v>160</v>
      </c>
      <c r="W280" s="585" t="s">
        <v>160</v>
      </c>
      <c r="X280" s="586" t="s">
        <v>160</v>
      </c>
      <c r="Y280" s="586" t="s">
        <v>160</v>
      </c>
      <c r="Z280" s="586" t="s">
        <v>160</v>
      </c>
      <c r="AA280" s="586" t="s">
        <v>160</v>
      </c>
      <c r="AB280" s="586" t="s">
        <v>160</v>
      </c>
      <c r="AC280" s="586" t="s">
        <v>160</v>
      </c>
      <c r="AD280" s="586" t="s">
        <v>160</v>
      </c>
      <c r="AE280" s="586" t="s">
        <v>160</v>
      </c>
      <c r="AF280" s="586" t="s">
        <v>160</v>
      </c>
      <c r="AG280" s="586" t="s">
        <v>160</v>
      </c>
      <c r="AH280" s="586" t="s">
        <v>160</v>
      </c>
      <c r="AI280" s="586" t="s">
        <v>160</v>
      </c>
      <c r="AJ280" s="347" t="s">
        <v>160</v>
      </c>
      <c r="AK280" s="347" t="s">
        <v>160</v>
      </c>
      <c r="AL280" s="347" t="s">
        <v>160</v>
      </c>
      <c r="AM280" s="347" t="s">
        <v>160</v>
      </c>
      <c r="AN280" s="347" t="s">
        <v>160</v>
      </c>
      <c r="AO280" s="347" t="s">
        <v>160</v>
      </c>
      <c r="AP280" s="347" t="s">
        <v>160</v>
      </c>
      <c r="AQ280" s="347" t="s">
        <v>160</v>
      </c>
      <c r="AR280" s="347" t="s">
        <v>160</v>
      </c>
      <c r="AS280" s="347" t="s">
        <v>160</v>
      </c>
      <c r="AT280" s="347" t="s">
        <v>160</v>
      </c>
      <c r="AU280" s="347" t="s">
        <v>160</v>
      </c>
      <c r="AV280" s="928" t="s">
        <v>160</v>
      </c>
      <c r="AW280" s="349" t="s">
        <v>160</v>
      </c>
      <c r="AX280" s="349" t="s">
        <v>160</v>
      </c>
      <c r="AY280" s="347" t="s">
        <v>160</v>
      </c>
      <c r="AZ280" s="347" t="s">
        <v>160</v>
      </c>
      <c r="BA280" s="347" t="s">
        <v>160</v>
      </c>
      <c r="BB280" s="347" t="s">
        <v>160</v>
      </c>
      <c r="BC280" s="347" t="s">
        <v>160</v>
      </c>
      <c r="BD280" s="347" t="s">
        <v>160</v>
      </c>
      <c r="BE280" s="347" t="s">
        <v>160</v>
      </c>
      <c r="BF280" s="347" t="s">
        <v>160</v>
      </c>
      <c r="BG280" s="347" t="s">
        <v>160</v>
      </c>
      <c r="BH280" s="347" t="s">
        <v>160</v>
      </c>
      <c r="BI280" s="347" t="s">
        <v>160</v>
      </c>
      <c r="BJ280" s="347" t="s">
        <v>160</v>
      </c>
      <c r="BK280" s="347" t="s">
        <v>160</v>
      </c>
      <c r="BL280" s="347" t="s">
        <v>160</v>
      </c>
      <c r="BM280" s="347" t="s">
        <v>160</v>
      </c>
      <c r="BN280" s="585" t="s">
        <v>160</v>
      </c>
      <c r="BO280" s="585" t="s">
        <v>160</v>
      </c>
      <c r="BP280" s="585" t="s">
        <v>160</v>
      </c>
      <c r="BQ280" s="585" t="s">
        <v>160</v>
      </c>
      <c r="BR280" s="585" t="s">
        <v>160</v>
      </c>
      <c r="BS280" s="585" t="s">
        <v>160</v>
      </c>
      <c r="BT280" s="585" t="s">
        <v>160</v>
      </c>
      <c r="BU280" s="585" t="s">
        <v>160</v>
      </c>
      <c r="BV280" s="585" t="s">
        <v>160</v>
      </c>
      <c r="BW280" s="585" t="s">
        <v>160</v>
      </c>
      <c r="BX280" s="585" t="s">
        <v>160</v>
      </c>
      <c r="BY280" s="585">
        <v>205</v>
      </c>
      <c r="BZ280" s="585">
        <v>205</v>
      </c>
      <c r="CA280" s="585">
        <v>205</v>
      </c>
      <c r="CB280" s="585">
        <v>205</v>
      </c>
      <c r="CC280" s="585">
        <v>205</v>
      </c>
      <c r="CD280" s="585">
        <v>205</v>
      </c>
      <c r="CE280" s="585">
        <v>205</v>
      </c>
      <c r="CF280" s="585">
        <v>205</v>
      </c>
      <c r="CG280" s="585">
        <v>205</v>
      </c>
      <c r="CH280" s="585">
        <v>205</v>
      </c>
      <c r="CI280" s="585">
        <v>205</v>
      </c>
      <c r="CJ280" s="585" t="s">
        <v>160</v>
      </c>
      <c r="CK280" s="585" t="s">
        <v>160</v>
      </c>
      <c r="CL280" s="585" t="s">
        <v>160</v>
      </c>
      <c r="CM280" s="585" t="s">
        <v>160</v>
      </c>
      <c r="CN280" s="585" t="s">
        <v>160</v>
      </c>
      <c r="CO280" s="585" t="s">
        <v>160</v>
      </c>
      <c r="CP280" s="585" t="s">
        <v>160</v>
      </c>
      <c r="CQ280" s="585" t="s">
        <v>160</v>
      </c>
      <c r="CR280" s="585" t="s">
        <v>160</v>
      </c>
      <c r="CS280" s="585" t="s">
        <v>160</v>
      </c>
      <c r="CT280" s="585" t="s">
        <v>160</v>
      </c>
      <c r="CU280" s="585" t="s">
        <v>160</v>
      </c>
      <c r="CV280" s="585" t="s">
        <v>160</v>
      </c>
      <c r="CW280" s="585" t="s">
        <v>160</v>
      </c>
      <c r="CX280" s="585" t="s">
        <v>160</v>
      </c>
      <c r="CY280" s="585" t="s">
        <v>160</v>
      </c>
      <c r="CZ280" s="585" t="s">
        <v>160</v>
      </c>
      <c r="DA280" s="585" t="s">
        <v>160</v>
      </c>
      <c r="DB280"/>
      <c r="DC280"/>
      <c r="DD280"/>
      <c r="DE280"/>
      <c r="DF280"/>
      <c r="DG280"/>
      <c r="DH280"/>
      <c r="DI280"/>
      <c r="DJ280"/>
      <c r="DK280"/>
    </row>
    <row r="281" spans="2:121" x14ac:dyDescent="0.25">
      <c r="B281" s="117" t="s">
        <v>547</v>
      </c>
      <c r="C281" s="264" t="s">
        <v>160</v>
      </c>
      <c r="D281" s="264" t="s">
        <v>160</v>
      </c>
      <c r="E281" s="264" t="s">
        <v>160</v>
      </c>
      <c r="F281" s="264" t="s">
        <v>160</v>
      </c>
      <c r="G281" s="265" t="s">
        <v>160</v>
      </c>
      <c r="H281" s="265" t="s">
        <v>160</v>
      </c>
      <c r="I281" s="265" t="s">
        <v>160</v>
      </c>
      <c r="J281" s="265" t="s">
        <v>160</v>
      </c>
      <c r="K281" s="265" t="s">
        <v>160</v>
      </c>
      <c r="L281" s="586" t="s">
        <v>160</v>
      </c>
      <c r="M281" s="586" t="s">
        <v>160</v>
      </c>
      <c r="N281" s="586" t="s">
        <v>160</v>
      </c>
      <c r="O281" s="586" t="s">
        <v>160</v>
      </c>
      <c r="P281" s="586" t="s">
        <v>160</v>
      </c>
      <c r="Q281" s="585" t="s">
        <v>160</v>
      </c>
      <c r="R281" s="585" t="s">
        <v>160</v>
      </c>
      <c r="S281" s="585" t="s">
        <v>160</v>
      </c>
      <c r="T281" s="585" t="s">
        <v>160</v>
      </c>
      <c r="U281" s="585" t="s">
        <v>160</v>
      </c>
      <c r="V281" s="585" t="s">
        <v>160</v>
      </c>
      <c r="W281" s="585" t="s">
        <v>160</v>
      </c>
      <c r="X281" s="585" t="s">
        <v>160</v>
      </c>
      <c r="Y281" s="585" t="s">
        <v>160</v>
      </c>
      <c r="Z281" s="585" t="s">
        <v>160</v>
      </c>
      <c r="AA281" s="585" t="s">
        <v>160</v>
      </c>
      <c r="AB281" s="585" t="s">
        <v>160</v>
      </c>
      <c r="AC281" s="585" t="s">
        <v>160</v>
      </c>
      <c r="AD281" s="585" t="s">
        <v>160</v>
      </c>
      <c r="AE281" s="585" t="s">
        <v>160</v>
      </c>
      <c r="AF281" s="585" t="s">
        <v>160</v>
      </c>
      <c r="AG281" s="585" t="s">
        <v>160</v>
      </c>
      <c r="AH281" s="585" t="s">
        <v>160</v>
      </c>
      <c r="AI281" s="585" t="s">
        <v>160</v>
      </c>
      <c r="AJ281" s="347" t="s">
        <v>160</v>
      </c>
      <c r="AK281" s="347" t="s">
        <v>160</v>
      </c>
      <c r="AL281" s="347" t="s">
        <v>160</v>
      </c>
      <c r="AM281" s="347" t="s">
        <v>160</v>
      </c>
      <c r="AN281" s="347" t="s">
        <v>160</v>
      </c>
      <c r="AO281" s="347" t="s">
        <v>160</v>
      </c>
      <c r="AP281" s="347" t="s">
        <v>160</v>
      </c>
      <c r="AQ281" s="347" t="s">
        <v>160</v>
      </c>
      <c r="AR281" s="347" t="s">
        <v>160</v>
      </c>
      <c r="AS281" s="347" t="s">
        <v>160</v>
      </c>
      <c r="AT281" s="347" t="s">
        <v>160</v>
      </c>
      <c r="AU281" s="347" t="s">
        <v>160</v>
      </c>
      <c r="AV281" s="928" t="s">
        <v>160</v>
      </c>
      <c r="AW281" s="347" t="s">
        <v>160</v>
      </c>
      <c r="AX281" s="347" t="s">
        <v>160</v>
      </c>
      <c r="AY281" s="347" t="s">
        <v>160</v>
      </c>
      <c r="AZ281" s="347" t="s">
        <v>160</v>
      </c>
      <c r="BA281" s="347" t="s">
        <v>160</v>
      </c>
      <c r="BB281" s="347" t="s">
        <v>160</v>
      </c>
      <c r="BC281" s="347" t="s">
        <v>160</v>
      </c>
      <c r="BD281" s="347" t="s">
        <v>160</v>
      </c>
      <c r="BE281" s="347" t="s">
        <v>160</v>
      </c>
      <c r="BF281" s="347" t="s">
        <v>160</v>
      </c>
      <c r="BG281" s="347" t="s">
        <v>160</v>
      </c>
      <c r="BH281" s="347" t="s">
        <v>160</v>
      </c>
      <c r="BI281" s="347" t="s">
        <v>160</v>
      </c>
      <c r="BJ281" s="347" t="s">
        <v>160</v>
      </c>
      <c r="BK281" s="347" t="s">
        <v>160</v>
      </c>
      <c r="BL281" s="347" t="s">
        <v>160</v>
      </c>
      <c r="BM281" s="347" t="s">
        <v>160</v>
      </c>
      <c r="BN281" s="585" t="s">
        <v>160</v>
      </c>
      <c r="BO281" s="585" t="s">
        <v>160</v>
      </c>
      <c r="BP281" s="585" t="s">
        <v>160</v>
      </c>
      <c r="BQ281" s="585" t="s">
        <v>160</v>
      </c>
      <c r="BR281" s="585" t="s">
        <v>160</v>
      </c>
      <c r="BS281" s="585" t="s">
        <v>160</v>
      </c>
      <c r="BT281" s="585" t="s">
        <v>160</v>
      </c>
      <c r="BU281" s="585" t="s">
        <v>160</v>
      </c>
      <c r="BV281" s="585" t="s">
        <v>160</v>
      </c>
      <c r="BW281" s="585" t="s">
        <v>160</v>
      </c>
      <c r="BX281" s="585" t="s">
        <v>160</v>
      </c>
      <c r="BY281" s="585">
        <v>173</v>
      </c>
      <c r="BZ281" s="585">
        <v>173</v>
      </c>
      <c r="CA281" s="585">
        <v>173</v>
      </c>
      <c r="CB281" s="585">
        <v>173</v>
      </c>
      <c r="CC281" s="585">
        <v>173</v>
      </c>
      <c r="CD281" s="342">
        <v>183.1</v>
      </c>
      <c r="CE281" s="585">
        <v>183.1</v>
      </c>
      <c r="CF281" s="585">
        <v>183.1</v>
      </c>
      <c r="CG281" s="585">
        <v>183.1</v>
      </c>
      <c r="CH281" s="585">
        <v>183.1</v>
      </c>
      <c r="CI281" s="585">
        <v>183.1</v>
      </c>
      <c r="CJ281" s="585">
        <v>183.1</v>
      </c>
      <c r="CK281" s="585">
        <v>183.1</v>
      </c>
      <c r="CL281" s="585">
        <v>183.1</v>
      </c>
      <c r="CM281" s="585">
        <v>183.1</v>
      </c>
      <c r="CN281" s="585">
        <v>183.1</v>
      </c>
      <c r="CO281" s="585">
        <v>202</v>
      </c>
      <c r="CP281" s="585">
        <v>202</v>
      </c>
      <c r="CQ281" s="585">
        <v>202</v>
      </c>
      <c r="CR281" s="585">
        <v>202</v>
      </c>
      <c r="CS281" s="585">
        <v>202</v>
      </c>
      <c r="CT281" s="585">
        <v>202</v>
      </c>
      <c r="CU281" s="585">
        <v>202</v>
      </c>
      <c r="CV281" s="585">
        <v>202</v>
      </c>
      <c r="CW281" s="585">
        <v>202</v>
      </c>
      <c r="CX281" s="585">
        <v>202</v>
      </c>
      <c r="CY281" s="679">
        <v>249</v>
      </c>
      <c r="CZ281" s="585">
        <v>249</v>
      </c>
      <c r="DA281" s="585">
        <v>249</v>
      </c>
      <c r="DB281"/>
      <c r="DC281"/>
      <c r="DD281"/>
      <c r="DE281"/>
      <c r="DF281"/>
      <c r="DG281"/>
      <c r="DH281"/>
      <c r="DI281"/>
      <c r="DJ281"/>
      <c r="DK281"/>
    </row>
    <row r="282" spans="2:121" x14ac:dyDescent="0.25">
      <c r="B282" s="117" t="s">
        <v>1150</v>
      </c>
      <c r="C282" s="347" t="s">
        <v>160</v>
      </c>
      <c r="D282" s="347" t="s">
        <v>160</v>
      </c>
      <c r="E282" s="347" t="s">
        <v>160</v>
      </c>
      <c r="F282" s="347" t="s">
        <v>160</v>
      </c>
      <c r="G282" s="347" t="s">
        <v>160</v>
      </c>
      <c r="H282" s="347" t="s">
        <v>160</v>
      </c>
      <c r="I282" s="347" t="s">
        <v>160</v>
      </c>
      <c r="J282" s="347" t="s">
        <v>160</v>
      </c>
      <c r="K282" s="347" t="s">
        <v>160</v>
      </c>
      <c r="L282" s="347" t="s">
        <v>160</v>
      </c>
      <c r="M282" s="347" t="s">
        <v>160</v>
      </c>
      <c r="N282" s="347" t="s">
        <v>160</v>
      </c>
      <c r="O282" s="347" t="s">
        <v>160</v>
      </c>
      <c r="P282" s="347" t="s">
        <v>160</v>
      </c>
      <c r="Q282" s="347" t="s">
        <v>160</v>
      </c>
      <c r="R282" s="347" t="s">
        <v>160</v>
      </c>
      <c r="S282" s="347" t="s">
        <v>160</v>
      </c>
      <c r="T282" s="347" t="s">
        <v>160</v>
      </c>
      <c r="U282" s="347" t="s">
        <v>160</v>
      </c>
      <c r="V282" s="347" t="s">
        <v>160</v>
      </c>
      <c r="W282" s="347" t="s">
        <v>160</v>
      </c>
      <c r="X282" s="347" t="s">
        <v>160</v>
      </c>
      <c r="Y282" s="347" t="s">
        <v>160</v>
      </c>
      <c r="Z282" s="347" t="s">
        <v>160</v>
      </c>
      <c r="AA282" s="347" t="s">
        <v>160</v>
      </c>
      <c r="AB282" s="347" t="s">
        <v>160</v>
      </c>
      <c r="AC282" s="347" t="s">
        <v>160</v>
      </c>
      <c r="AD282" s="347" t="s">
        <v>160</v>
      </c>
      <c r="AE282" s="347" t="s">
        <v>160</v>
      </c>
      <c r="AF282" s="347" t="s">
        <v>160</v>
      </c>
      <c r="AG282" s="347" t="s">
        <v>160</v>
      </c>
      <c r="AH282" s="347" t="s">
        <v>160</v>
      </c>
      <c r="AI282" s="347" t="s">
        <v>160</v>
      </c>
      <c r="AJ282" s="347" t="s">
        <v>160</v>
      </c>
      <c r="AK282" s="347" t="s">
        <v>160</v>
      </c>
      <c r="AL282" s="347" t="s">
        <v>160</v>
      </c>
      <c r="AM282" s="347" t="s">
        <v>160</v>
      </c>
      <c r="AN282" s="347" t="s">
        <v>160</v>
      </c>
      <c r="AO282" s="347" t="s">
        <v>160</v>
      </c>
      <c r="AP282" s="347" t="s">
        <v>160</v>
      </c>
      <c r="AQ282" s="347" t="s">
        <v>160</v>
      </c>
      <c r="AR282" s="347" t="s">
        <v>160</v>
      </c>
      <c r="AS282" s="347" t="s">
        <v>160</v>
      </c>
      <c r="AT282" s="347" t="s">
        <v>160</v>
      </c>
      <c r="AU282" s="347" t="s">
        <v>160</v>
      </c>
      <c r="AV282" s="347" t="s">
        <v>160</v>
      </c>
      <c r="AW282" s="347" t="s">
        <v>160</v>
      </c>
      <c r="AX282" s="347" t="s">
        <v>160</v>
      </c>
      <c r="AY282" s="347" t="s">
        <v>160</v>
      </c>
      <c r="AZ282" s="347" t="s">
        <v>160</v>
      </c>
      <c r="BA282" s="347" t="s">
        <v>160</v>
      </c>
      <c r="BB282" s="347" t="s">
        <v>160</v>
      </c>
      <c r="BC282" s="347" t="s">
        <v>160</v>
      </c>
      <c r="BD282" s="347" t="s">
        <v>160</v>
      </c>
      <c r="BE282" s="347" t="s">
        <v>160</v>
      </c>
      <c r="BF282" s="347" t="s">
        <v>160</v>
      </c>
      <c r="BG282" s="347" t="s">
        <v>160</v>
      </c>
      <c r="BH282" s="347" t="s">
        <v>160</v>
      </c>
      <c r="BI282" s="347" t="s">
        <v>160</v>
      </c>
      <c r="BJ282" s="347" t="s">
        <v>160</v>
      </c>
      <c r="BK282" s="347" t="s">
        <v>160</v>
      </c>
      <c r="BL282" s="347" t="s">
        <v>160</v>
      </c>
      <c r="BM282" s="347" t="s">
        <v>160</v>
      </c>
      <c r="BN282" s="585" t="s">
        <v>160</v>
      </c>
      <c r="BO282" s="585" t="s">
        <v>160</v>
      </c>
      <c r="BP282" s="585" t="s">
        <v>160</v>
      </c>
      <c r="BQ282" s="585" t="s">
        <v>160</v>
      </c>
      <c r="BR282" s="585" t="s">
        <v>160</v>
      </c>
      <c r="BS282" s="585" t="s">
        <v>160</v>
      </c>
      <c r="BT282" s="585" t="s">
        <v>160</v>
      </c>
      <c r="BU282" s="585" t="s">
        <v>160</v>
      </c>
      <c r="BV282" s="585" t="s">
        <v>160</v>
      </c>
      <c r="BW282" s="585" t="s">
        <v>160</v>
      </c>
      <c r="BX282" s="585" t="s">
        <v>160</v>
      </c>
      <c r="BY282" s="585" t="s">
        <v>160</v>
      </c>
      <c r="BZ282" s="585" t="s">
        <v>160</v>
      </c>
      <c r="CA282" s="585" t="s">
        <v>160</v>
      </c>
      <c r="CB282" s="585">
        <v>195</v>
      </c>
      <c r="CC282" s="585">
        <v>195</v>
      </c>
      <c r="CD282" s="585">
        <v>195</v>
      </c>
      <c r="CE282" s="585">
        <v>195</v>
      </c>
      <c r="CF282" s="585">
        <v>195</v>
      </c>
      <c r="CG282" s="585">
        <v>195</v>
      </c>
      <c r="CH282" s="585">
        <v>195</v>
      </c>
      <c r="CI282" s="585" t="s">
        <v>160</v>
      </c>
      <c r="CJ282" s="585" t="s">
        <v>160</v>
      </c>
      <c r="CK282" s="585" t="s">
        <v>160</v>
      </c>
      <c r="CL282" s="585" t="s">
        <v>160</v>
      </c>
      <c r="CM282" s="585" t="s">
        <v>160</v>
      </c>
      <c r="CN282" s="585" t="s">
        <v>160</v>
      </c>
      <c r="CO282" s="585" t="s">
        <v>160</v>
      </c>
      <c r="CP282" s="585" t="s">
        <v>160</v>
      </c>
      <c r="CQ282" s="585" t="s">
        <v>160</v>
      </c>
      <c r="CR282" s="585" t="s">
        <v>160</v>
      </c>
      <c r="CS282" s="585" t="s">
        <v>160</v>
      </c>
      <c r="CT282" s="585" t="s">
        <v>160</v>
      </c>
      <c r="CU282" s="585" t="s">
        <v>160</v>
      </c>
      <c r="CV282" s="585" t="s">
        <v>160</v>
      </c>
      <c r="CW282" s="585" t="s">
        <v>160</v>
      </c>
      <c r="CX282" s="585" t="s">
        <v>160</v>
      </c>
      <c r="CY282" s="585" t="s">
        <v>160</v>
      </c>
      <c r="CZ282" s="585" t="s">
        <v>160</v>
      </c>
      <c r="DA282" s="585" t="s">
        <v>160</v>
      </c>
      <c r="DB282"/>
      <c r="DC282"/>
      <c r="DD282"/>
      <c r="DE282"/>
      <c r="DF282"/>
      <c r="DG282"/>
      <c r="DH282"/>
      <c r="DI282"/>
      <c r="DJ282"/>
      <c r="DK282"/>
    </row>
    <row r="283" spans="2:121" x14ac:dyDescent="0.25">
      <c r="B283" s="1072" t="s">
        <v>557</v>
      </c>
      <c r="C283" s="1075" t="s">
        <v>160</v>
      </c>
      <c r="D283" s="1075" t="s">
        <v>160</v>
      </c>
      <c r="E283" s="1075" t="s">
        <v>160</v>
      </c>
      <c r="F283" s="1075" t="s">
        <v>160</v>
      </c>
      <c r="G283" s="1075" t="s">
        <v>160</v>
      </c>
      <c r="H283" s="1075" t="s">
        <v>160</v>
      </c>
      <c r="I283" s="1075" t="s">
        <v>160</v>
      </c>
      <c r="J283" s="1075" t="s">
        <v>160</v>
      </c>
      <c r="K283" s="1075" t="s">
        <v>160</v>
      </c>
      <c r="L283" s="1075" t="s">
        <v>160</v>
      </c>
      <c r="M283" s="1075" t="s">
        <v>160</v>
      </c>
      <c r="N283" s="1075" t="s">
        <v>160</v>
      </c>
      <c r="O283" s="1075" t="s">
        <v>160</v>
      </c>
      <c r="P283" s="1075" t="s">
        <v>160</v>
      </c>
      <c r="Q283" s="1075" t="s">
        <v>160</v>
      </c>
      <c r="R283" s="1075" t="s">
        <v>160</v>
      </c>
      <c r="S283" s="1075" t="s">
        <v>160</v>
      </c>
      <c r="T283" s="1075" t="s">
        <v>160</v>
      </c>
      <c r="U283" s="1075" t="s">
        <v>160</v>
      </c>
      <c r="V283" s="1075" t="s">
        <v>160</v>
      </c>
      <c r="W283" s="1075" t="s">
        <v>160</v>
      </c>
      <c r="X283" s="1075" t="s">
        <v>160</v>
      </c>
      <c r="Y283" s="1075" t="s">
        <v>160</v>
      </c>
      <c r="Z283" s="1075" t="s">
        <v>160</v>
      </c>
      <c r="AA283" s="1075" t="s">
        <v>160</v>
      </c>
      <c r="AB283" s="1075" t="s">
        <v>160</v>
      </c>
      <c r="AC283" s="1075" t="s">
        <v>160</v>
      </c>
      <c r="AD283" s="1075" t="s">
        <v>160</v>
      </c>
      <c r="AE283" s="1075" t="s">
        <v>160</v>
      </c>
      <c r="AF283" s="1075" t="s">
        <v>160</v>
      </c>
      <c r="AG283" s="1075" t="s">
        <v>160</v>
      </c>
      <c r="AH283" s="1075" t="s">
        <v>160</v>
      </c>
      <c r="AI283" s="1075" t="s">
        <v>160</v>
      </c>
      <c r="AJ283" s="1075" t="s">
        <v>160</v>
      </c>
      <c r="AK283" s="1075" t="s">
        <v>160</v>
      </c>
      <c r="AL283" s="1075" t="s">
        <v>160</v>
      </c>
      <c r="AM283" s="1075" t="s">
        <v>160</v>
      </c>
      <c r="AN283" s="1075" t="s">
        <v>160</v>
      </c>
      <c r="AO283" s="1075" t="s">
        <v>160</v>
      </c>
      <c r="AP283" s="1075" t="s">
        <v>160</v>
      </c>
      <c r="AQ283" s="1075" t="s">
        <v>160</v>
      </c>
      <c r="AR283" s="1075" t="s">
        <v>160</v>
      </c>
      <c r="AS283" s="1075" t="s">
        <v>160</v>
      </c>
      <c r="AT283" s="1075" t="s">
        <v>160</v>
      </c>
      <c r="AU283" s="1075" t="s">
        <v>160</v>
      </c>
      <c r="AV283" s="1075" t="s">
        <v>160</v>
      </c>
      <c r="AW283" s="1075" t="s">
        <v>160</v>
      </c>
      <c r="AX283" s="1075" t="s">
        <v>160</v>
      </c>
      <c r="AY283" s="1075" t="s">
        <v>160</v>
      </c>
      <c r="AZ283" s="1075" t="s">
        <v>160</v>
      </c>
      <c r="BA283" s="1075" t="s">
        <v>160</v>
      </c>
      <c r="BB283" s="1075" t="s">
        <v>160</v>
      </c>
      <c r="BC283" s="1075" t="s">
        <v>160</v>
      </c>
      <c r="BD283" s="1075" t="s">
        <v>160</v>
      </c>
      <c r="BE283" s="1075" t="s">
        <v>160</v>
      </c>
      <c r="BF283" s="1075" t="s">
        <v>160</v>
      </c>
      <c r="BG283" s="1075" t="s">
        <v>160</v>
      </c>
      <c r="BH283" s="1075" t="s">
        <v>160</v>
      </c>
      <c r="BI283" s="1075" t="s">
        <v>160</v>
      </c>
      <c r="BJ283" s="1075" t="s">
        <v>160</v>
      </c>
      <c r="BK283" s="1075" t="s">
        <v>160</v>
      </c>
      <c r="BL283" s="1075" t="s">
        <v>160</v>
      </c>
      <c r="BM283" s="1075" t="s">
        <v>160</v>
      </c>
      <c r="BN283" s="1075" t="s">
        <v>160</v>
      </c>
      <c r="BO283" s="1075" t="s">
        <v>160</v>
      </c>
      <c r="BP283" s="1075" t="s">
        <v>160</v>
      </c>
      <c r="BQ283" s="1075" t="s">
        <v>160</v>
      </c>
      <c r="BR283" s="1075" t="s">
        <v>160</v>
      </c>
      <c r="BS283" s="1075" t="s">
        <v>160</v>
      </c>
      <c r="BT283" s="1075" t="s">
        <v>160</v>
      </c>
      <c r="BU283" s="1075" t="s">
        <v>160</v>
      </c>
      <c r="BV283" s="1075" t="s">
        <v>160</v>
      </c>
      <c r="BW283" s="1075" t="s">
        <v>160</v>
      </c>
      <c r="BX283" s="1075" t="s">
        <v>160</v>
      </c>
      <c r="BY283" s="1075">
        <v>189</v>
      </c>
      <c r="BZ283" s="1075">
        <v>189</v>
      </c>
      <c r="CA283" s="1075">
        <v>189</v>
      </c>
      <c r="CB283" s="1075">
        <v>191</v>
      </c>
      <c r="CC283" s="1075">
        <v>184.75</v>
      </c>
      <c r="CD283" s="1075">
        <v>187.27500000000001</v>
      </c>
      <c r="CE283" s="1075">
        <v>187.27500000000001</v>
      </c>
      <c r="CF283" s="1075">
        <v>187.27500000000001</v>
      </c>
      <c r="CG283" s="1075">
        <v>187.27500000000001</v>
      </c>
      <c r="CH283" s="1075">
        <v>187.27500000000001</v>
      </c>
      <c r="CI283" s="1075">
        <v>184.70000000000002</v>
      </c>
      <c r="CJ283" s="1075">
        <v>174.55</v>
      </c>
      <c r="CK283" s="1075">
        <v>174.55</v>
      </c>
      <c r="CL283" s="1075">
        <v>174.55</v>
      </c>
      <c r="CM283" s="1075">
        <v>174.55</v>
      </c>
      <c r="CN283" s="1075">
        <v>174.55</v>
      </c>
      <c r="CO283" s="1075">
        <v>184</v>
      </c>
      <c r="CP283" s="1075">
        <v>191.5</v>
      </c>
      <c r="CQ283" s="1075">
        <v>191.5</v>
      </c>
      <c r="CR283" s="1075">
        <v>191.5</v>
      </c>
      <c r="CS283" s="1075">
        <v>191.5</v>
      </c>
      <c r="CT283" s="1075">
        <v>191.5</v>
      </c>
      <c r="CU283" s="1075">
        <v>191.5</v>
      </c>
      <c r="CV283" s="1075">
        <v>191.5</v>
      </c>
      <c r="CW283" s="1075">
        <v>191.5</v>
      </c>
      <c r="CX283" s="1075">
        <v>191.5</v>
      </c>
      <c r="CY283" s="1075">
        <v>215</v>
      </c>
      <c r="CZ283" s="1075">
        <v>215</v>
      </c>
      <c r="DA283" s="1075">
        <v>215</v>
      </c>
      <c r="DB283"/>
      <c r="DC283"/>
      <c r="DD283"/>
      <c r="DE283"/>
      <c r="DF283"/>
      <c r="DG283"/>
      <c r="DH283"/>
      <c r="DI283"/>
      <c r="DJ283"/>
      <c r="DK283"/>
    </row>
    <row r="284" spans="2:121" x14ac:dyDescent="0.25">
      <c r="X284" s="340"/>
      <c r="Y284" s="340"/>
      <c r="Z284" s="340"/>
      <c r="AA284" s="340"/>
      <c r="AB284" s="340"/>
      <c r="AC284" s="340"/>
      <c r="AD284" s="340"/>
      <c r="AE284" s="340"/>
      <c r="AF284" s="340"/>
      <c r="AG284" s="340"/>
      <c r="AH284" s="340"/>
      <c r="AI284" s="340"/>
      <c r="AJ284" s="340"/>
      <c r="AK284" s="340"/>
      <c r="AL284" s="340"/>
      <c r="AM284" s="340"/>
      <c r="AN284" s="340"/>
      <c r="AO284" s="340"/>
      <c r="AP284" s="340"/>
      <c r="AQ284" s="340"/>
      <c r="AR284" s="340"/>
      <c r="AS284" s="340"/>
      <c r="AT284" s="761"/>
    </row>
    <row r="285" spans="2:121" x14ac:dyDescent="0.25">
      <c r="B285" s="113" t="s">
        <v>1298</v>
      </c>
      <c r="C285" s="263">
        <f t="shared" ref="C285:BN285" si="186">C$11</f>
        <v>42522</v>
      </c>
      <c r="D285" s="263">
        <f t="shared" si="186"/>
        <v>42552</v>
      </c>
      <c r="E285" s="263">
        <f t="shared" si="186"/>
        <v>42583</v>
      </c>
      <c r="F285" s="263">
        <f t="shared" si="186"/>
        <v>42614</v>
      </c>
      <c r="G285" s="263">
        <f t="shared" si="186"/>
        <v>42644</v>
      </c>
      <c r="H285" s="263">
        <f t="shared" si="186"/>
        <v>42675</v>
      </c>
      <c r="I285" s="263">
        <f t="shared" si="186"/>
        <v>42705</v>
      </c>
      <c r="J285" s="263">
        <f t="shared" si="186"/>
        <v>42736</v>
      </c>
      <c r="K285" s="263">
        <f t="shared" si="186"/>
        <v>42767</v>
      </c>
      <c r="L285" s="263">
        <f t="shared" si="186"/>
        <v>42795</v>
      </c>
      <c r="M285" s="263">
        <f t="shared" si="186"/>
        <v>42826</v>
      </c>
      <c r="N285" s="263">
        <f t="shared" si="186"/>
        <v>42856</v>
      </c>
      <c r="O285" s="263">
        <f t="shared" si="186"/>
        <v>42887</v>
      </c>
      <c r="P285" s="263">
        <f t="shared" si="186"/>
        <v>42917</v>
      </c>
      <c r="Q285" s="263">
        <f t="shared" si="186"/>
        <v>42948</v>
      </c>
      <c r="R285" s="263">
        <f t="shared" si="186"/>
        <v>42979</v>
      </c>
      <c r="S285" s="263">
        <f t="shared" si="186"/>
        <v>43009</v>
      </c>
      <c r="T285" s="263">
        <f t="shared" si="186"/>
        <v>43040</v>
      </c>
      <c r="U285" s="263">
        <f t="shared" si="186"/>
        <v>43070</v>
      </c>
      <c r="V285" s="263">
        <f t="shared" si="186"/>
        <v>43101</v>
      </c>
      <c r="W285" s="263">
        <f t="shared" si="186"/>
        <v>43132</v>
      </c>
      <c r="X285" s="263">
        <f t="shared" si="186"/>
        <v>43160</v>
      </c>
      <c r="Y285" s="263">
        <f t="shared" si="186"/>
        <v>43191</v>
      </c>
      <c r="Z285" s="263">
        <f t="shared" si="186"/>
        <v>43221</v>
      </c>
      <c r="AA285" s="263">
        <f t="shared" si="186"/>
        <v>43252</v>
      </c>
      <c r="AB285" s="263">
        <f t="shared" si="186"/>
        <v>43283</v>
      </c>
      <c r="AC285" s="263">
        <f t="shared" si="186"/>
        <v>43314</v>
      </c>
      <c r="AD285" s="263">
        <f t="shared" si="186"/>
        <v>43345</v>
      </c>
      <c r="AE285" s="263">
        <f t="shared" si="186"/>
        <v>43376</v>
      </c>
      <c r="AF285" s="263">
        <f t="shared" si="186"/>
        <v>43407</v>
      </c>
      <c r="AG285" s="263">
        <f t="shared" si="186"/>
        <v>43437</v>
      </c>
      <c r="AH285" s="263">
        <f t="shared" si="186"/>
        <v>43468</v>
      </c>
      <c r="AI285" s="263">
        <f t="shared" si="186"/>
        <v>43499</v>
      </c>
      <c r="AJ285" s="263">
        <f t="shared" si="186"/>
        <v>43527</v>
      </c>
      <c r="AK285" s="263">
        <f t="shared" si="186"/>
        <v>43558</v>
      </c>
      <c r="AL285" s="263">
        <f t="shared" si="186"/>
        <v>43587</v>
      </c>
      <c r="AM285" s="263">
        <f t="shared" si="186"/>
        <v>43618</v>
      </c>
      <c r="AN285" s="263">
        <f t="shared" si="186"/>
        <v>43647</v>
      </c>
      <c r="AO285" s="263">
        <f t="shared" si="186"/>
        <v>43678</v>
      </c>
      <c r="AP285" s="263">
        <f t="shared" si="186"/>
        <v>43709</v>
      </c>
      <c r="AQ285" s="263">
        <f t="shared" si="186"/>
        <v>43739</v>
      </c>
      <c r="AR285" s="263">
        <f t="shared" si="186"/>
        <v>43770</v>
      </c>
      <c r="AS285" s="263">
        <f t="shared" si="186"/>
        <v>43800</v>
      </c>
      <c r="AT285" s="263">
        <f t="shared" si="186"/>
        <v>43831</v>
      </c>
      <c r="AU285" s="263">
        <f t="shared" si="186"/>
        <v>43862</v>
      </c>
      <c r="AV285" s="914">
        <f t="shared" si="186"/>
        <v>43891</v>
      </c>
      <c r="AW285" s="263">
        <f t="shared" si="186"/>
        <v>43922</v>
      </c>
      <c r="AX285" s="263">
        <f t="shared" si="186"/>
        <v>43952</v>
      </c>
      <c r="AY285" s="263">
        <f t="shared" si="186"/>
        <v>43983</v>
      </c>
      <c r="AZ285" s="263">
        <f t="shared" si="186"/>
        <v>44013</v>
      </c>
      <c r="BA285" s="263">
        <f t="shared" si="186"/>
        <v>44044</v>
      </c>
      <c r="BB285" s="263">
        <f t="shared" si="186"/>
        <v>44075</v>
      </c>
      <c r="BC285" s="263">
        <f t="shared" si="186"/>
        <v>44105</v>
      </c>
      <c r="BD285" s="263">
        <f t="shared" si="186"/>
        <v>44136</v>
      </c>
      <c r="BE285" s="263">
        <f t="shared" si="186"/>
        <v>44166</v>
      </c>
      <c r="BF285" s="263">
        <f t="shared" si="186"/>
        <v>44197</v>
      </c>
      <c r="BG285" s="263">
        <f t="shared" si="186"/>
        <v>44228</v>
      </c>
      <c r="BH285" s="263">
        <f t="shared" si="186"/>
        <v>44256</v>
      </c>
      <c r="BI285" s="263">
        <f t="shared" si="186"/>
        <v>44287</v>
      </c>
      <c r="BJ285" s="263">
        <f t="shared" si="186"/>
        <v>44317</v>
      </c>
      <c r="BK285" s="263">
        <f t="shared" si="186"/>
        <v>44348</v>
      </c>
      <c r="BL285" s="263">
        <f t="shared" si="186"/>
        <v>44378</v>
      </c>
      <c r="BM285" s="263">
        <f t="shared" si="186"/>
        <v>44409</v>
      </c>
      <c r="BN285" s="263">
        <f t="shared" si="186"/>
        <v>44440</v>
      </c>
      <c r="BO285" s="263">
        <f t="shared" ref="BO285:DM285" si="187">BO$11</f>
        <v>44470</v>
      </c>
      <c r="BP285" s="263">
        <f t="shared" si="187"/>
        <v>44501</v>
      </c>
      <c r="BQ285" s="263">
        <f t="shared" si="187"/>
        <v>44531</v>
      </c>
      <c r="BR285" s="263">
        <f t="shared" si="187"/>
        <v>44562</v>
      </c>
      <c r="BS285" s="263">
        <f t="shared" si="187"/>
        <v>44593</v>
      </c>
      <c r="BT285" s="263">
        <f t="shared" si="187"/>
        <v>44622</v>
      </c>
      <c r="BU285" s="263">
        <f t="shared" si="187"/>
        <v>44654</v>
      </c>
      <c r="BV285" s="263">
        <f t="shared" si="187"/>
        <v>44685</v>
      </c>
      <c r="BW285" s="263">
        <f t="shared" si="187"/>
        <v>44716</v>
      </c>
      <c r="BX285" s="263">
        <f t="shared" si="187"/>
        <v>44746</v>
      </c>
      <c r="BY285" s="263">
        <f t="shared" si="187"/>
        <v>44774</v>
      </c>
      <c r="BZ285" s="263">
        <f t="shared" si="187"/>
        <v>44805</v>
      </c>
      <c r="CA285" s="263">
        <f t="shared" si="187"/>
        <v>44835</v>
      </c>
      <c r="CB285" s="263">
        <f t="shared" si="187"/>
        <v>44866</v>
      </c>
      <c r="CC285" s="263">
        <f t="shared" si="187"/>
        <v>44896</v>
      </c>
      <c r="CD285" s="263">
        <f t="shared" si="187"/>
        <v>44927</v>
      </c>
      <c r="CE285" s="263">
        <f t="shared" si="187"/>
        <v>44958</v>
      </c>
      <c r="CF285" s="263">
        <f t="shared" si="187"/>
        <v>44986</v>
      </c>
      <c r="CG285" s="263">
        <f t="shared" si="187"/>
        <v>45017</v>
      </c>
      <c r="CH285" s="263">
        <f t="shared" si="187"/>
        <v>45047</v>
      </c>
      <c r="CI285" s="263">
        <f t="shared" si="187"/>
        <v>45078</v>
      </c>
      <c r="CJ285" s="263">
        <f t="shared" si="187"/>
        <v>45108</v>
      </c>
      <c r="CK285" s="263">
        <f t="shared" si="187"/>
        <v>45139</v>
      </c>
      <c r="CL285" s="263">
        <f t="shared" si="187"/>
        <v>45170</v>
      </c>
      <c r="CM285" s="263">
        <f t="shared" si="187"/>
        <v>45200</v>
      </c>
      <c r="CN285" s="263">
        <f t="shared" si="187"/>
        <v>45231</v>
      </c>
      <c r="CO285" s="263">
        <f t="shared" si="187"/>
        <v>45261</v>
      </c>
      <c r="CP285" s="263">
        <f t="shared" si="187"/>
        <v>45292</v>
      </c>
      <c r="CQ285" s="263">
        <f t="shared" si="187"/>
        <v>45323</v>
      </c>
      <c r="CR285" s="263">
        <f t="shared" si="187"/>
        <v>45352</v>
      </c>
      <c r="CS285" s="263">
        <f t="shared" si="187"/>
        <v>45383</v>
      </c>
      <c r="CT285" s="263">
        <f t="shared" si="187"/>
        <v>45413</v>
      </c>
      <c r="CU285" s="263">
        <f t="shared" si="187"/>
        <v>45444</v>
      </c>
      <c r="CV285" s="263">
        <f t="shared" si="187"/>
        <v>45474</v>
      </c>
      <c r="CW285" s="263">
        <f t="shared" si="187"/>
        <v>45505</v>
      </c>
      <c r="CX285" s="263">
        <f t="shared" si="187"/>
        <v>45536</v>
      </c>
      <c r="CY285" s="263">
        <f t="shared" si="187"/>
        <v>45566</v>
      </c>
      <c r="CZ285" s="263">
        <f t="shared" si="187"/>
        <v>45597</v>
      </c>
      <c r="DA285" s="263">
        <f t="shared" si="187"/>
        <v>45627</v>
      </c>
      <c r="DB285" s="263">
        <f t="shared" si="187"/>
        <v>45658</v>
      </c>
      <c r="DC285" s="263">
        <f t="shared" si="187"/>
        <v>45689</v>
      </c>
      <c r="DD285" s="263">
        <f t="shared" si="187"/>
        <v>45717</v>
      </c>
      <c r="DE285" s="263">
        <f t="shared" si="187"/>
        <v>45748</v>
      </c>
      <c r="DF285" s="263">
        <f t="shared" si="187"/>
        <v>45778</v>
      </c>
      <c r="DG285" s="263">
        <f t="shared" si="187"/>
        <v>45809</v>
      </c>
      <c r="DH285" s="263">
        <v>45839</v>
      </c>
      <c r="DI285" s="263">
        <f t="shared" si="187"/>
        <v>45870</v>
      </c>
      <c r="DJ285" s="263">
        <f t="shared" si="187"/>
        <v>45901</v>
      </c>
      <c r="DK285" s="263">
        <f t="shared" si="187"/>
        <v>45931</v>
      </c>
      <c r="DL285" s="263">
        <f t="shared" si="187"/>
        <v>45962</v>
      </c>
      <c r="DM285" s="263">
        <f t="shared" si="187"/>
        <v>45992</v>
      </c>
      <c r="DN285"/>
      <c r="DO285"/>
      <c r="DP285"/>
      <c r="DQ285"/>
    </row>
    <row r="286" spans="2:121" x14ac:dyDescent="0.25">
      <c r="B286" s="117" t="s">
        <v>542</v>
      </c>
      <c r="C286" s="586" t="s">
        <v>160</v>
      </c>
      <c r="D286" s="586" t="s">
        <v>160</v>
      </c>
      <c r="E286" s="586" t="s">
        <v>160</v>
      </c>
      <c r="F286" s="586" t="s">
        <v>160</v>
      </c>
      <c r="G286" s="586" t="s">
        <v>160</v>
      </c>
      <c r="H286" s="586" t="s">
        <v>160</v>
      </c>
      <c r="I286" s="586" t="s">
        <v>160</v>
      </c>
      <c r="J286" s="585" t="s">
        <v>160</v>
      </c>
      <c r="K286" s="585" t="s">
        <v>160</v>
      </c>
      <c r="L286" s="585" t="s">
        <v>160</v>
      </c>
      <c r="M286" s="585" t="s">
        <v>160</v>
      </c>
      <c r="N286" s="585" t="s">
        <v>160</v>
      </c>
      <c r="O286" s="585" t="s">
        <v>160</v>
      </c>
      <c r="P286" s="585" t="s">
        <v>160</v>
      </c>
      <c r="Q286" s="585" t="s">
        <v>160</v>
      </c>
      <c r="R286" s="585" t="s">
        <v>160</v>
      </c>
      <c r="S286" s="585" t="s">
        <v>160</v>
      </c>
      <c r="T286" s="585" t="s">
        <v>160</v>
      </c>
      <c r="U286" s="585" t="s">
        <v>160</v>
      </c>
      <c r="V286" s="585" t="s">
        <v>160</v>
      </c>
      <c r="W286" s="585" t="s">
        <v>160</v>
      </c>
      <c r="X286" s="585" t="s">
        <v>160</v>
      </c>
      <c r="Y286" s="585" t="s">
        <v>160</v>
      </c>
      <c r="Z286" s="585" t="s">
        <v>160</v>
      </c>
      <c r="AA286" s="585" t="s">
        <v>160</v>
      </c>
      <c r="AB286" s="585" t="s">
        <v>160</v>
      </c>
      <c r="AC286" s="585" t="s">
        <v>160</v>
      </c>
      <c r="AD286" s="585" t="s">
        <v>160</v>
      </c>
      <c r="AE286" s="585" t="s">
        <v>160</v>
      </c>
      <c r="AF286" s="585" t="s">
        <v>160</v>
      </c>
      <c r="AG286" s="585" t="s">
        <v>160</v>
      </c>
      <c r="AH286" s="585" t="s">
        <v>160</v>
      </c>
      <c r="AI286" s="585" t="s">
        <v>160</v>
      </c>
      <c r="AJ286" s="585" t="s">
        <v>160</v>
      </c>
      <c r="AK286" s="585" t="s">
        <v>160</v>
      </c>
      <c r="AL286" s="585" t="s">
        <v>160</v>
      </c>
      <c r="AM286" s="585" t="s">
        <v>160</v>
      </c>
      <c r="AN286" s="585" t="s">
        <v>160</v>
      </c>
      <c r="AO286" s="585" t="s">
        <v>160</v>
      </c>
      <c r="AP286" s="585" t="s">
        <v>160</v>
      </c>
      <c r="AQ286" s="585" t="s">
        <v>160</v>
      </c>
      <c r="AR286" s="585" t="s">
        <v>160</v>
      </c>
      <c r="AS286" s="585" t="s">
        <v>160</v>
      </c>
      <c r="AT286" s="585" t="s">
        <v>160</v>
      </c>
      <c r="AU286" s="585" t="s">
        <v>160</v>
      </c>
      <c r="AV286" s="916" t="s">
        <v>160</v>
      </c>
      <c r="AW286" s="585" t="s">
        <v>160</v>
      </c>
      <c r="AX286" s="585" t="s">
        <v>160</v>
      </c>
      <c r="AY286" s="585" t="s">
        <v>160</v>
      </c>
      <c r="AZ286" s="585" t="s">
        <v>160</v>
      </c>
      <c r="BA286" s="585" t="s">
        <v>160</v>
      </c>
      <c r="BB286" s="585" t="s">
        <v>160</v>
      </c>
      <c r="BC286" s="585" t="s">
        <v>160</v>
      </c>
      <c r="BD286" s="585" t="s">
        <v>160</v>
      </c>
      <c r="BE286" s="585" t="s">
        <v>160</v>
      </c>
      <c r="BF286" s="585" t="s">
        <v>160</v>
      </c>
      <c r="BG286" s="585" t="s">
        <v>160</v>
      </c>
      <c r="BH286" s="585" t="s">
        <v>160</v>
      </c>
      <c r="BI286" s="585" t="s">
        <v>160</v>
      </c>
      <c r="BJ286" s="585" t="s">
        <v>160</v>
      </c>
      <c r="BK286" s="585" t="s">
        <v>160</v>
      </c>
      <c r="BL286" s="585" t="s">
        <v>160</v>
      </c>
      <c r="BM286" s="585" t="s">
        <v>160</v>
      </c>
      <c r="BN286" s="585" t="s">
        <v>160</v>
      </c>
      <c r="BO286" s="585" t="s">
        <v>160</v>
      </c>
      <c r="BP286" s="585" t="s">
        <v>160</v>
      </c>
      <c r="BQ286" s="585" t="s">
        <v>160</v>
      </c>
      <c r="BR286" s="585" t="s">
        <v>160</v>
      </c>
      <c r="BS286" s="585" t="s">
        <v>160</v>
      </c>
      <c r="BT286" s="585" t="s">
        <v>160</v>
      </c>
      <c r="BU286" s="585" t="s">
        <v>160</v>
      </c>
      <c r="BV286" s="585" t="s">
        <v>160</v>
      </c>
      <c r="BW286" s="585" t="s">
        <v>160</v>
      </c>
      <c r="BX286" s="585" t="s">
        <v>160</v>
      </c>
      <c r="BY286" s="585" t="s">
        <v>160</v>
      </c>
      <c r="BZ286" s="585" t="s">
        <v>160</v>
      </c>
      <c r="CA286" s="585" t="s">
        <v>160</v>
      </c>
      <c r="CB286" s="585" t="s">
        <v>160</v>
      </c>
      <c r="CC286" s="585" t="s">
        <v>160</v>
      </c>
      <c r="CD286" s="585" t="s">
        <v>160</v>
      </c>
      <c r="CE286" s="585" t="s">
        <v>160</v>
      </c>
      <c r="CF286" s="585" t="s">
        <v>160</v>
      </c>
      <c r="CG286" s="585" t="s">
        <v>160</v>
      </c>
      <c r="CH286" s="585" t="s">
        <v>160</v>
      </c>
      <c r="CI286" s="585" t="s">
        <v>160</v>
      </c>
      <c r="CJ286" s="585" t="s">
        <v>160</v>
      </c>
      <c r="CK286" s="585" t="s">
        <v>160</v>
      </c>
      <c r="CL286" s="585" t="s">
        <v>160</v>
      </c>
      <c r="CM286" s="585" t="s">
        <v>160</v>
      </c>
      <c r="CN286" s="585" t="s">
        <v>160</v>
      </c>
      <c r="CO286" s="585" t="s">
        <v>160</v>
      </c>
      <c r="CP286" s="585" t="s">
        <v>160</v>
      </c>
      <c r="CQ286" s="585" t="s">
        <v>160</v>
      </c>
      <c r="CR286" s="585" t="s">
        <v>160</v>
      </c>
      <c r="CS286" s="585" t="s">
        <v>160</v>
      </c>
      <c r="CT286" s="585" t="s">
        <v>160</v>
      </c>
      <c r="CU286" s="585" t="s">
        <v>160</v>
      </c>
      <c r="CV286" s="585" t="s">
        <v>160</v>
      </c>
      <c r="CW286" s="585" t="s">
        <v>160</v>
      </c>
      <c r="CX286" s="585" t="s">
        <v>160</v>
      </c>
      <c r="CY286" s="585" t="s">
        <v>160</v>
      </c>
      <c r="CZ286" s="585" t="s">
        <v>160</v>
      </c>
      <c r="DA286" s="585" t="s">
        <v>160</v>
      </c>
      <c r="DB286" s="585" t="s">
        <v>160</v>
      </c>
      <c r="DC286" s="585" t="s">
        <v>160</v>
      </c>
      <c r="DD286" s="585" t="s">
        <v>160</v>
      </c>
      <c r="DE286" s="585" t="s">
        <v>160</v>
      </c>
      <c r="DF286" s="679">
        <v>2217</v>
      </c>
      <c r="DG286" s="585">
        <v>2217</v>
      </c>
      <c r="DH286" s="585">
        <v>2217</v>
      </c>
      <c r="DI286" s="585">
        <v>2217</v>
      </c>
      <c r="DJ286" s="585">
        <v>2217</v>
      </c>
      <c r="DK286" s="585">
        <v>2217</v>
      </c>
      <c r="DL286" s="585">
        <v>2217</v>
      </c>
      <c r="DM286" s="585">
        <v>2217</v>
      </c>
      <c r="DN286"/>
      <c r="DO286"/>
      <c r="DP286"/>
      <c r="DQ286"/>
    </row>
    <row r="287" spans="2:121" x14ac:dyDescent="0.25">
      <c r="B287" s="117" t="s">
        <v>546</v>
      </c>
      <c r="C287" s="265" t="s">
        <v>160</v>
      </c>
      <c r="D287" s="265" t="s">
        <v>160</v>
      </c>
      <c r="E287" s="265" t="s">
        <v>160</v>
      </c>
      <c r="F287" s="265" t="s">
        <v>160</v>
      </c>
      <c r="G287" s="265" t="s">
        <v>160</v>
      </c>
      <c r="H287" s="265" t="s">
        <v>160</v>
      </c>
      <c r="I287" s="265" t="s">
        <v>160</v>
      </c>
      <c r="J287" s="337" t="s">
        <v>160</v>
      </c>
      <c r="K287" s="337" t="s">
        <v>160</v>
      </c>
      <c r="L287" s="585" t="s">
        <v>160</v>
      </c>
      <c r="M287" s="585" t="s">
        <v>160</v>
      </c>
      <c r="N287" s="585" t="s">
        <v>160</v>
      </c>
      <c r="O287" s="585" t="s">
        <v>160</v>
      </c>
      <c r="P287" s="585" t="s">
        <v>160</v>
      </c>
      <c r="Q287" s="585" t="s">
        <v>160</v>
      </c>
      <c r="R287" s="585" t="s">
        <v>160</v>
      </c>
      <c r="S287" s="585" t="s">
        <v>160</v>
      </c>
      <c r="T287" s="585" t="s">
        <v>160</v>
      </c>
      <c r="U287" s="585" t="s">
        <v>160</v>
      </c>
      <c r="V287" s="585" t="s">
        <v>160</v>
      </c>
      <c r="W287" s="585" t="s">
        <v>160</v>
      </c>
      <c r="X287" s="585" t="s">
        <v>160</v>
      </c>
      <c r="Y287" s="585" t="s">
        <v>160</v>
      </c>
      <c r="Z287" s="585" t="s">
        <v>160</v>
      </c>
      <c r="AA287" s="585" t="s">
        <v>160</v>
      </c>
      <c r="AB287" s="585" t="s">
        <v>160</v>
      </c>
      <c r="AC287" s="585" t="s">
        <v>160</v>
      </c>
      <c r="AD287" s="585" t="s">
        <v>160</v>
      </c>
      <c r="AE287" s="585" t="s">
        <v>160</v>
      </c>
      <c r="AF287" s="585" t="s">
        <v>160</v>
      </c>
      <c r="AG287" s="585" t="s">
        <v>160</v>
      </c>
      <c r="AH287" s="585" t="s">
        <v>160</v>
      </c>
      <c r="AI287" s="585" t="s">
        <v>160</v>
      </c>
      <c r="AJ287" s="347" t="s">
        <v>160</v>
      </c>
      <c r="AK287" s="347" t="s">
        <v>160</v>
      </c>
      <c r="AL287" s="347" t="s">
        <v>160</v>
      </c>
      <c r="AM287" s="347" t="s">
        <v>160</v>
      </c>
      <c r="AN287" s="347" t="s">
        <v>160</v>
      </c>
      <c r="AO287" s="347" t="s">
        <v>160</v>
      </c>
      <c r="AP287" s="347" t="s">
        <v>160</v>
      </c>
      <c r="AQ287" s="347" t="s">
        <v>160</v>
      </c>
      <c r="AR287" s="347" t="s">
        <v>160</v>
      </c>
      <c r="AS287" s="347" t="s">
        <v>160</v>
      </c>
      <c r="AT287" s="347" t="s">
        <v>160</v>
      </c>
      <c r="AU287" s="347" t="s">
        <v>160</v>
      </c>
      <c r="AV287" s="928" t="s">
        <v>160</v>
      </c>
      <c r="AW287" s="347" t="s">
        <v>160</v>
      </c>
      <c r="AX287" s="347" t="s">
        <v>160</v>
      </c>
      <c r="AY287" s="347" t="s">
        <v>160</v>
      </c>
      <c r="AZ287" s="347" t="s">
        <v>160</v>
      </c>
      <c r="BA287" s="347" t="s">
        <v>160</v>
      </c>
      <c r="BB287" s="347" t="s">
        <v>160</v>
      </c>
      <c r="BC287" s="347" t="s">
        <v>160</v>
      </c>
      <c r="BD287" s="347" t="s">
        <v>160</v>
      </c>
      <c r="BE287" s="347" t="s">
        <v>160</v>
      </c>
      <c r="BF287" s="347" t="s">
        <v>160</v>
      </c>
      <c r="BG287" s="347" t="s">
        <v>160</v>
      </c>
      <c r="BH287" s="347" t="s">
        <v>160</v>
      </c>
      <c r="BI287" s="347" t="s">
        <v>160</v>
      </c>
      <c r="BJ287" s="347" t="s">
        <v>160</v>
      </c>
      <c r="BK287" s="347" t="s">
        <v>160</v>
      </c>
      <c r="BL287" s="347" t="s">
        <v>160</v>
      </c>
      <c r="BM287" s="347" t="s">
        <v>160</v>
      </c>
      <c r="BN287" s="585" t="s">
        <v>160</v>
      </c>
      <c r="BO287" s="585" t="s">
        <v>160</v>
      </c>
      <c r="BP287" s="585" t="s">
        <v>160</v>
      </c>
      <c r="BQ287" s="585" t="s">
        <v>160</v>
      </c>
      <c r="BR287" s="585" t="s">
        <v>160</v>
      </c>
      <c r="BS287" s="585" t="s">
        <v>160</v>
      </c>
      <c r="BT287" s="585" t="s">
        <v>160</v>
      </c>
      <c r="BU287" s="585" t="s">
        <v>160</v>
      </c>
      <c r="BV287" s="585" t="s">
        <v>160</v>
      </c>
      <c r="BW287" s="585" t="s">
        <v>160</v>
      </c>
      <c r="BX287" s="585" t="s">
        <v>160</v>
      </c>
      <c r="BY287" s="585" t="s">
        <v>160</v>
      </c>
      <c r="BZ287" s="585" t="s">
        <v>160</v>
      </c>
      <c r="CA287" s="585" t="s">
        <v>160</v>
      </c>
      <c r="CB287" s="585" t="s">
        <v>160</v>
      </c>
      <c r="CC287" s="585" t="s">
        <v>160</v>
      </c>
      <c r="CD287" s="585" t="s">
        <v>160</v>
      </c>
      <c r="CE287" s="585" t="s">
        <v>160</v>
      </c>
      <c r="CF287" s="585" t="s">
        <v>160</v>
      </c>
      <c r="CG287" s="585" t="s">
        <v>160</v>
      </c>
      <c r="CH287" s="585" t="s">
        <v>160</v>
      </c>
      <c r="CI287" s="585" t="s">
        <v>160</v>
      </c>
      <c r="CJ287" s="585" t="s">
        <v>160</v>
      </c>
      <c r="CK287" s="585" t="s">
        <v>160</v>
      </c>
      <c r="CL287" s="585" t="s">
        <v>160</v>
      </c>
      <c r="CM287" s="585" t="s">
        <v>160</v>
      </c>
      <c r="CN287" s="585" t="s">
        <v>160</v>
      </c>
      <c r="CO287" s="585" t="s">
        <v>160</v>
      </c>
      <c r="CP287" s="585" t="s">
        <v>160</v>
      </c>
      <c r="CQ287" s="585" t="s">
        <v>160</v>
      </c>
      <c r="CR287" s="585" t="s">
        <v>160</v>
      </c>
      <c r="CS287" s="585" t="s">
        <v>160</v>
      </c>
      <c r="CT287" s="585" t="s">
        <v>160</v>
      </c>
      <c r="CU287" s="585" t="s">
        <v>160</v>
      </c>
      <c r="CV287" s="585" t="s">
        <v>160</v>
      </c>
      <c r="CW287" s="585" t="s">
        <v>160</v>
      </c>
      <c r="CX287" s="585" t="s">
        <v>160</v>
      </c>
      <c r="CY287" s="585" t="s">
        <v>160</v>
      </c>
      <c r="CZ287" s="585" t="s">
        <v>160</v>
      </c>
      <c r="DA287" s="585" t="s">
        <v>160</v>
      </c>
      <c r="DB287" s="585" t="s">
        <v>160</v>
      </c>
      <c r="DC287" s="585" t="s">
        <v>160</v>
      </c>
      <c r="DD287" s="585" t="s">
        <v>160</v>
      </c>
      <c r="DE287" s="585" t="s">
        <v>160</v>
      </c>
      <c r="DF287" s="585" t="s">
        <v>160</v>
      </c>
      <c r="DG287" s="585" t="s">
        <v>160</v>
      </c>
      <c r="DH287" s="585" t="s">
        <v>160</v>
      </c>
      <c r="DI287" s="585" t="s">
        <v>160</v>
      </c>
      <c r="DJ287" s="585" t="s">
        <v>160</v>
      </c>
      <c r="DK287" s="585" t="s">
        <v>160</v>
      </c>
      <c r="DL287" s="585" t="s">
        <v>160</v>
      </c>
      <c r="DM287" s="585" t="s">
        <v>160</v>
      </c>
      <c r="DN287"/>
      <c r="DO287"/>
      <c r="DP287"/>
      <c r="DQ287"/>
    </row>
    <row r="288" spans="2:121" x14ac:dyDescent="0.25">
      <c r="B288" s="117" t="s">
        <v>547</v>
      </c>
      <c r="C288" s="265" t="s">
        <v>160</v>
      </c>
      <c r="D288" s="265" t="s">
        <v>160</v>
      </c>
      <c r="E288" s="265" t="s">
        <v>160</v>
      </c>
      <c r="F288" s="265" t="s">
        <v>160</v>
      </c>
      <c r="G288" s="265" t="s">
        <v>160</v>
      </c>
      <c r="H288" s="265" t="s">
        <v>160</v>
      </c>
      <c r="I288" s="265" t="s">
        <v>160</v>
      </c>
      <c r="J288" s="337" t="s">
        <v>160</v>
      </c>
      <c r="K288" s="337" t="s">
        <v>160</v>
      </c>
      <c r="L288" s="337" t="s">
        <v>160</v>
      </c>
      <c r="M288" s="337" t="s">
        <v>160</v>
      </c>
      <c r="N288" s="337" t="s">
        <v>160</v>
      </c>
      <c r="O288" s="337" t="s">
        <v>160</v>
      </c>
      <c r="P288" s="337" t="s">
        <v>160</v>
      </c>
      <c r="Q288" s="337" t="s">
        <v>160</v>
      </c>
      <c r="R288" s="337" t="s">
        <v>160</v>
      </c>
      <c r="S288" s="337" t="s">
        <v>160</v>
      </c>
      <c r="T288" s="337" t="s">
        <v>160</v>
      </c>
      <c r="U288" s="337" t="s">
        <v>160</v>
      </c>
      <c r="V288" s="337" t="s">
        <v>160</v>
      </c>
      <c r="W288" s="337" t="s">
        <v>160</v>
      </c>
      <c r="X288" s="337" t="s">
        <v>160</v>
      </c>
      <c r="Y288" s="337" t="s">
        <v>160</v>
      </c>
      <c r="Z288" s="337" t="s">
        <v>160</v>
      </c>
      <c r="AA288" s="337" t="s">
        <v>160</v>
      </c>
      <c r="AB288" s="337" t="s">
        <v>160</v>
      </c>
      <c r="AC288" s="337" t="s">
        <v>160</v>
      </c>
      <c r="AD288" s="337" t="s">
        <v>160</v>
      </c>
      <c r="AE288" s="337" t="s">
        <v>160</v>
      </c>
      <c r="AF288" s="337" t="s">
        <v>160</v>
      </c>
      <c r="AG288" s="337" t="s">
        <v>160</v>
      </c>
      <c r="AH288" s="337" t="s">
        <v>160</v>
      </c>
      <c r="AI288" s="337" t="s">
        <v>160</v>
      </c>
      <c r="AJ288" s="337" t="s">
        <v>160</v>
      </c>
      <c r="AK288" s="337" t="s">
        <v>160</v>
      </c>
      <c r="AL288" s="337" t="s">
        <v>160</v>
      </c>
      <c r="AM288" s="337" t="s">
        <v>160</v>
      </c>
      <c r="AN288" s="337" t="s">
        <v>160</v>
      </c>
      <c r="AO288" s="337" t="s">
        <v>160</v>
      </c>
      <c r="AP288" s="337" t="s">
        <v>160</v>
      </c>
      <c r="AQ288" s="337" t="s">
        <v>160</v>
      </c>
      <c r="AR288" s="337" t="s">
        <v>160</v>
      </c>
      <c r="AS288" s="337" t="s">
        <v>160</v>
      </c>
      <c r="AT288" s="337" t="s">
        <v>160</v>
      </c>
      <c r="AU288" s="337" t="s">
        <v>160</v>
      </c>
      <c r="AV288" s="1158" t="s">
        <v>160</v>
      </c>
      <c r="AW288" s="337" t="s">
        <v>160</v>
      </c>
      <c r="AX288" s="337" t="s">
        <v>160</v>
      </c>
      <c r="AY288" s="337" t="s">
        <v>160</v>
      </c>
      <c r="AZ288" s="337" t="s">
        <v>160</v>
      </c>
      <c r="BA288" s="337" t="s">
        <v>160</v>
      </c>
      <c r="BB288" s="337" t="s">
        <v>160</v>
      </c>
      <c r="BC288" s="337" t="s">
        <v>160</v>
      </c>
      <c r="BD288" s="337" t="s">
        <v>160</v>
      </c>
      <c r="BE288" s="337" t="s">
        <v>160</v>
      </c>
      <c r="BF288" s="337" t="s">
        <v>160</v>
      </c>
      <c r="BG288" s="337" t="s">
        <v>160</v>
      </c>
      <c r="BH288" s="337" t="s">
        <v>160</v>
      </c>
      <c r="BI288" s="337" t="s">
        <v>160</v>
      </c>
      <c r="BJ288" s="337" t="s">
        <v>160</v>
      </c>
      <c r="BK288" s="337" t="s">
        <v>160</v>
      </c>
      <c r="BL288" s="337" t="s">
        <v>160</v>
      </c>
      <c r="BM288" s="337" t="s">
        <v>160</v>
      </c>
      <c r="BN288" s="337" t="s">
        <v>160</v>
      </c>
      <c r="BO288" s="337" t="s">
        <v>160</v>
      </c>
      <c r="BP288" s="337" t="s">
        <v>160</v>
      </c>
      <c r="BQ288" s="337" t="s">
        <v>160</v>
      </c>
      <c r="BR288" s="337" t="s">
        <v>160</v>
      </c>
      <c r="BS288" s="337" t="s">
        <v>160</v>
      </c>
      <c r="BT288" s="337" t="s">
        <v>160</v>
      </c>
      <c r="BU288" s="337" t="s">
        <v>160</v>
      </c>
      <c r="BV288" s="337" t="s">
        <v>160</v>
      </c>
      <c r="BW288" s="337" t="s">
        <v>160</v>
      </c>
      <c r="BX288" s="337" t="s">
        <v>160</v>
      </c>
      <c r="BY288" s="337" t="s">
        <v>160</v>
      </c>
      <c r="BZ288" s="337" t="s">
        <v>160</v>
      </c>
      <c r="CA288" s="337" t="s">
        <v>160</v>
      </c>
      <c r="CB288" s="337" t="s">
        <v>160</v>
      </c>
      <c r="CC288" s="337" t="s">
        <v>160</v>
      </c>
      <c r="CD288" s="337" t="s">
        <v>160</v>
      </c>
      <c r="CE288" s="337" t="s">
        <v>160</v>
      </c>
      <c r="CF288" s="337" t="s">
        <v>160</v>
      </c>
      <c r="CG288" s="337" t="s">
        <v>160</v>
      </c>
      <c r="CH288" s="337" t="s">
        <v>160</v>
      </c>
      <c r="CI288" s="337" t="s">
        <v>160</v>
      </c>
      <c r="CJ288" s="337" t="s">
        <v>160</v>
      </c>
      <c r="CK288" s="337" t="s">
        <v>160</v>
      </c>
      <c r="CL288" s="337" t="s">
        <v>160</v>
      </c>
      <c r="CM288" s="337" t="s">
        <v>160</v>
      </c>
      <c r="CN288" s="337" t="s">
        <v>160</v>
      </c>
      <c r="CO288" s="337" t="s">
        <v>160</v>
      </c>
      <c r="CP288" s="337" t="s">
        <v>160</v>
      </c>
      <c r="CQ288" s="337" t="s">
        <v>160</v>
      </c>
      <c r="CR288" s="337" t="s">
        <v>160</v>
      </c>
      <c r="CS288" s="337" t="s">
        <v>160</v>
      </c>
      <c r="CT288" s="337" t="s">
        <v>160</v>
      </c>
      <c r="CU288" s="337" t="s">
        <v>160</v>
      </c>
      <c r="CV288" s="337" t="s">
        <v>160</v>
      </c>
      <c r="CW288" s="337" t="s">
        <v>160</v>
      </c>
      <c r="CX288" s="337" t="s">
        <v>160</v>
      </c>
      <c r="CY288" s="337">
        <v>2039</v>
      </c>
      <c r="CZ288" s="337">
        <v>2039</v>
      </c>
      <c r="DA288" s="337">
        <v>2039</v>
      </c>
      <c r="DB288" s="679">
        <v>2267</v>
      </c>
      <c r="DC288" s="585">
        <v>2267</v>
      </c>
      <c r="DD288" s="585">
        <v>2267</v>
      </c>
      <c r="DE288" s="585">
        <v>2267</v>
      </c>
      <c r="DF288" s="585">
        <v>2267</v>
      </c>
      <c r="DG288" s="585">
        <v>2267</v>
      </c>
      <c r="DH288" s="585">
        <v>2267</v>
      </c>
      <c r="DI288" s="585">
        <v>2267</v>
      </c>
      <c r="DJ288" s="585">
        <v>2267</v>
      </c>
      <c r="DK288" s="585">
        <v>2267</v>
      </c>
      <c r="DL288" s="585">
        <v>2267</v>
      </c>
      <c r="DM288" s="585">
        <v>2234</v>
      </c>
      <c r="DN288"/>
      <c r="DO288"/>
      <c r="DP288"/>
      <c r="DQ288"/>
    </row>
    <row r="289" spans="1:121" x14ac:dyDescent="0.25">
      <c r="A289"/>
      <c r="B289" s="1072" t="s">
        <v>557</v>
      </c>
      <c r="C289" s="1079" t="str">
        <f t="shared" ref="C289:AH289" si="188">IFERROR(AVERAGE(C286:C288),"-")</f>
        <v>-</v>
      </c>
      <c r="D289" s="1079" t="str">
        <f t="shared" si="188"/>
        <v>-</v>
      </c>
      <c r="E289" s="1079" t="str">
        <f t="shared" si="188"/>
        <v>-</v>
      </c>
      <c r="F289" s="1079" t="str">
        <f t="shared" si="188"/>
        <v>-</v>
      </c>
      <c r="G289" s="1079" t="str">
        <f t="shared" si="188"/>
        <v>-</v>
      </c>
      <c r="H289" s="1079" t="str">
        <f t="shared" si="188"/>
        <v>-</v>
      </c>
      <c r="I289" s="1079" t="str">
        <f t="shared" si="188"/>
        <v>-</v>
      </c>
      <c r="J289" s="1079" t="str">
        <f t="shared" si="188"/>
        <v>-</v>
      </c>
      <c r="K289" s="1079" t="str">
        <f t="shared" si="188"/>
        <v>-</v>
      </c>
      <c r="L289" s="1079" t="str">
        <f t="shared" si="188"/>
        <v>-</v>
      </c>
      <c r="M289" s="1079" t="str">
        <f t="shared" si="188"/>
        <v>-</v>
      </c>
      <c r="N289" s="1079" t="str">
        <f t="shared" si="188"/>
        <v>-</v>
      </c>
      <c r="O289" s="1079" t="str">
        <f t="shared" si="188"/>
        <v>-</v>
      </c>
      <c r="P289" s="1079" t="str">
        <f t="shared" si="188"/>
        <v>-</v>
      </c>
      <c r="Q289" s="1079" t="str">
        <f t="shared" si="188"/>
        <v>-</v>
      </c>
      <c r="R289" s="1079" t="str">
        <f t="shared" si="188"/>
        <v>-</v>
      </c>
      <c r="S289" s="1079" t="str">
        <f t="shared" si="188"/>
        <v>-</v>
      </c>
      <c r="T289" s="1079" t="str">
        <f t="shared" si="188"/>
        <v>-</v>
      </c>
      <c r="U289" s="1079" t="str">
        <f t="shared" si="188"/>
        <v>-</v>
      </c>
      <c r="V289" s="1079" t="str">
        <f t="shared" si="188"/>
        <v>-</v>
      </c>
      <c r="W289" s="1079" t="str">
        <f t="shared" si="188"/>
        <v>-</v>
      </c>
      <c r="X289" s="1079" t="str">
        <f t="shared" si="188"/>
        <v>-</v>
      </c>
      <c r="Y289" s="1079" t="str">
        <f t="shared" si="188"/>
        <v>-</v>
      </c>
      <c r="Z289" s="1079" t="str">
        <f t="shared" si="188"/>
        <v>-</v>
      </c>
      <c r="AA289" s="1079" t="str">
        <f t="shared" si="188"/>
        <v>-</v>
      </c>
      <c r="AB289" s="1079" t="str">
        <f t="shared" si="188"/>
        <v>-</v>
      </c>
      <c r="AC289" s="1079" t="str">
        <f t="shared" si="188"/>
        <v>-</v>
      </c>
      <c r="AD289" s="1079" t="str">
        <f t="shared" si="188"/>
        <v>-</v>
      </c>
      <c r="AE289" s="1079" t="str">
        <f t="shared" si="188"/>
        <v>-</v>
      </c>
      <c r="AF289" s="1079" t="str">
        <f t="shared" si="188"/>
        <v>-</v>
      </c>
      <c r="AG289" s="1079" t="str">
        <f t="shared" si="188"/>
        <v>-</v>
      </c>
      <c r="AH289" s="1079" t="str">
        <f t="shared" si="188"/>
        <v>-</v>
      </c>
      <c r="AI289" s="1079" t="str">
        <f t="shared" ref="AI289:BN289" si="189">IFERROR(AVERAGE(AI286:AI288),"-")</f>
        <v>-</v>
      </c>
      <c r="AJ289" s="1079" t="str">
        <f t="shared" si="189"/>
        <v>-</v>
      </c>
      <c r="AK289" s="1079" t="str">
        <f t="shared" si="189"/>
        <v>-</v>
      </c>
      <c r="AL289" s="1079" t="str">
        <f t="shared" si="189"/>
        <v>-</v>
      </c>
      <c r="AM289" s="1079" t="str">
        <f t="shared" si="189"/>
        <v>-</v>
      </c>
      <c r="AN289" s="1079" t="str">
        <f t="shared" si="189"/>
        <v>-</v>
      </c>
      <c r="AO289" s="1079" t="str">
        <f t="shared" si="189"/>
        <v>-</v>
      </c>
      <c r="AP289" s="1079" t="str">
        <f t="shared" si="189"/>
        <v>-</v>
      </c>
      <c r="AQ289" s="1079" t="str">
        <f t="shared" si="189"/>
        <v>-</v>
      </c>
      <c r="AR289" s="1079" t="str">
        <f t="shared" si="189"/>
        <v>-</v>
      </c>
      <c r="AS289" s="1079" t="str">
        <f t="shared" si="189"/>
        <v>-</v>
      </c>
      <c r="AT289" s="1079" t="str">
        <f t="shared" si="189"/>
        <v>-</v>
      </c>
      <c r="AU289" s="1079" t="str">
        <f t="shared" si="189"/>
        <v>-</v>
      </c>
      <c r="AV289" s="1079" t="str">
        <f t="shared" si="189"/>
        <v>-</v>
      </c>
      <c r="AW289" s="1079" t="str">
        <f t="shared" si="189"/>
        <v>-</v>
      </c>
      <c r="AX289" s="1079" t="str">
        <f t="shared" si="189"/>
        <v>-</v>
      </c>
      <c r="AY289" s="1079" t="str">
        <f t="shared" si="189"/>
        <v>-</v>
      </c>
      <c r="AZ289" s="1079" t="str">
        <f t="shared" si="189"/>
        <v>-</v>
      </c>
      <c r="BA289" s="1079" t="str">
        <f t="shared" si="189"/>
        <v>-</v>
      </c>
      <c r="BB289" s="1079" t="str">
        <f t="shared" si="189"/>
        <v>-</v>
      </c>
      <c r="BC289" s="1079" t="str">
        <f t="shared" si="189"/>
        <v>-</v>
      </c>
      <c r="BD289" s="1079" t="str">
        <f t="shared" si="189"/>
        <v>-</v>
      </c>
      <c r="BE289" s="1079" t="str">
        <f t="shared" si="189"/>
        <v>-</v>
      </c>
      <c r="BF289" s="1079" t="str">
        <f t="shared" si="189"/>
        <v>-</v>
      </c>
      <c r="BG289" s="1079" t="str">
        <f t="shared" si="189"/>
        <v>-</v>
      </c>
      <c r="BH289" s="1079" t="str">
        <f t="shared" si="189"/>
        <v>-</v>
      </c>
      <c r="BI289" s="1079" t="str">
        <f t="shared" si="189"/>
        <v>-</v>
      </c>
      <c r="BJ289" s="1079" t="str">
        <f t="shared" si="189"/>
        <v>-</v>
      </c>
      <c r="BK289" s="1079" t="str">
        <f t="shared" si="189"/>
        <v>-</v>
      </c>
      <c r="BL289" s="1079" t="str">
        <f t="shared" si="189"/>
        <v>-</v>
      </c>
      <c r="BM289" s="1079" t="str">
        <f t="shared" si="189"/>
        <v>-</v>
      </c>
      <c r="BN289" s="1079" t="str">
        <f t="shared" si="189"/>
        <v>-</v>
      </c>
      <c r="BO289" s="1079" t="str">
        <f t="shared" ref="BO289:CT289" si="190">IFERROR(AVERAGE(BO286:BO288),"-")</f>
        <v>-</v>
      </c>
      <c r="BP289" s="1079" t="str">
        <f t="shared" si="190"/>
        <v>-</v>
      </c>
      <c r="BQ289" s="1079" t="str">
        <f t="shared" si="190"/>
        <v>-</v>
      </c>
      <c r="BR289" s="1079" t="str">
        <f t="shared" si="190"/>
        <v>-</v>
      </c>
      <c r="BS289" s="1079" t="str">
        <f t="shared" si="190"/>
        <v>-</v>
      </c>
      <c r="BT289" s="1079" t="str">
        <f t="shared" si="190"/>
        <v>-</v>
      </c>
      <c r="BU289" s="1079" t="str">
        <f t="shared" si="190"/>
        <v>-</v>
      </c>
      <c r="BV289" s="1079" t="str">
        <f t="shared" si="190"/>
        <v>-</v>
      </c>
      <c r="BW289" s="1079" t="str">
        <f t="shared" si="190"/>
        <v>-</v>
      </c>
      <c r="BX289" s="1079" t="str">
        <f t="shared" si="190"/>
        <v>-</v>
      </c>
      <c r="BY289" s="1079" t="str">
        <f t="shared" si="190"/>
        <v>-</v>
      </c>
      <c r="BZ289" s="1079" t="str">
        <f t="shared" si="190"/>
        <v>-</v>
      </c>
      <c r="CA289" s="1079" t="str">
        <f t="shared" si="190"/>
        <v>-</v>
      </c>
      <c r="CB289" s="1079" t="str">
        <f t="shared" si="190"/>
        <v>-</v>
      </c>
      <c r="CC289" s="1079" t="str">
        <f t="shared" si="190"/>
        <v>-</v>
      </c>
      <c r="CD289" s="1079" t="str">
        <f t="shared" si="190"/>
        <v>-</v>
      </c>
      <c r="CE289" s="1079" t="str">
        <f t="shared" si="190"/>
        <v>-</v>
      </c>
      <c r="CF289" s="1079" t="str">
        <f t="shared" si="190"/>
        <v>-</v>
      </c>
      <c r="CG289" s="1079" t="str">
        <f t="shared" si="190"/>
        <v>-</v>
      </c>
      <c r="CH289" s="1079" t="str">
        <f t="shared" si="190"/>
        <v>-</v>
      </c>
      <c r="CI289" s="1079" t="str">
        <f t="shared" si="190"/>
        <v>-</v>
      </c>
      <c r="CJ289" s="1079" t="str">
        <f t="shared" si="190"/>
        <v>-</v>
      </c>
      <c r="CK289" s="1079" t="str">
        <f t="shared" si="190"/>
        <v>-</v>
      </c>
      <c r="CL289" s="1079" t="str">
        <f t="shared" si="190"/>
        <v>-</v>
      </c>
      <c r="CM289" s="1079" t="str">
        <f t="shared" si="190"/>
        <v>-</v>
      </c>
      <c r="CN289" s="1079" t="str">
        <f t="shared" si="190"/>
        <v>-</v>
      </c>
      <c r="CO289" s="1079" t="str">
        <f t="shared" si="190"/>
        <v>-</v>
      </c>
      <c r="CP289" s="1079" t="str">
        <f t="shared" si="190"/>
        <v>-</v>
      </c>
      <c r="CQ289" s="1079" t="str">
        <f t="shared" si="190"/>
        <v>-</v>
      </c>
      <c r="CR289" s="1079" t="str">
        <f t="shared" si="190"/>
        <v>-</v>
      </c>
      <c r="CS289" s="1079" t="str">
        <f t="shared" si="190"/>
        <v>-</v>
      </c>
      <c r="CT289" s="1079" t="str">
        <f t="shared" si="190"/>
        <v>-</v>
      </c>
      <c r="CU289" s="1079" t="str">
        <f t="shared" ref="CU289:DG289" si="191">IFERROR(AVERAGE(CU286:CU288),"-")</f>
        <v>-</v>
      </c>
      <c r="CV289" s="1079" t="str">
        <f t="shared" si="191"/>
        <v>-</v>
      </c>
      <c r="CW289" s="1079" t="str">
        <f t="shared" si="191"/>
        <v>-</v>
      </c>
      <c r="CX289" s="1079" t="str">
        <f t="shared" si="191"/>
        <v>-</v>
      </c>
      <c r="CY289" s="1079">
        <f t="shared" si="191"/>
        <v>2039</v>
      </c>
      <c r="CZ289" s="1079">
        <f t="shared" si="191"/>
        <v>2039</v>
      </c>
      <c r="DA289" s="1079">
        <f t="shared" si="191"/>
        <v>2039</v>
      </c>
      <c r="DB289" s="1079">
        <f t="shared" si="191"/>
        <v>2267</v>
      </c>
      <c r="DC289" s="1079">
        <f t="shared" si="191"/>
        <v>2267</v>
      </c>
      <c r="DD289" s="1079">
        <f t="shared" si="191"/>
        <v>2267</v>
      </c>
      <c r="DE289" s="1079">
        <f t="shared" si="191"/>
        <v>2267</v>
      </c>
      <c r="DF289" s="1079">
        <f t="shared" si="191"/>
        <v>2242</v>
      </c>
      <c r="DG289" s="1079">
        <f t="shared" si="191"/>
        <v>2242</v>
      </c>
      <c r="DH289" s="1079">
        <v>2242</v>
      </c>
      <c r="DI289" s="1079">
        <f t="shared" ref="DI289:DM289" si="192">IFERROR(AVERAGE(DI286:DI288),"-")</f>
        <v>2242</v>
      </c>
      <c r="DJ289" s="1079">
        <f t="shared" si="192"/>
        <v>2242</v>
      </c>
      <c r="DK289" s="1079">
        <f t="shared" si="192"/>
        <v>2242</v>
      </c>
      <c r="DL289" s="1079">
        <f t="shared" si="192"/>
        <v>2242</v>
      </c>
      <c r="DM289" s="1079">
        <f t="shared" si="192"/>
        <v>2225.5</v>
      </c>
      <c r="DN289"/>
      <c r="DO289"/>
      <c r="DP289"/>
      <c r="DQ289"/>
    </row>
    <row r="290" spans="1:121" customFormat="1" x14ac:dyDescent="0.25">
      <c r="A290" s="262"/>
      <c r="B290" s="262"/>
      <c r="C290" s="262"/>
      <c r="D290" s="262"/>
      <c r="E290" s="262"/>
      <c r="F290" s="262"/>
      <c r="G290" s="262"/>
      <c r="H290" s="262"/>
      <c r="I290" s="262"/>
      <c r="J290" s="262"/>
      <c r="K290" s="262"/>
      <c r="L290" s="262"/>
      <c r="M290" s="262"/>
      <c r="N290" s="262"/>
      <c r="O290" s="262"/>
      <c r="P290" s="262"/>
      <c r="Q290" s="340"/>
      <c r="R290" s="340"/>
      <c r="S290" s="340"/>
      <c r="T290" s="340"/>
      <c r="U290" s="340"/>
      <c r="V290" s="340"/>
      <c r="W290" s="340"/>
      <c r="X290" s="340"/>
      <c r="Y290" s="340"/>
      <c r="Z290" s="340"/>
      <c r="AA290" s="340"/>
      <c r="AB290" s="340"/>
      <c r="AC290" s="340"/>
      <c r="AD290" s="340"/>
      <c r="AE290" s="340"/>
      <c r="AF290" s="340"/>
      <c r="AG290" s="340"/>
      <c r="AH290" s="340"/>
      <c r="AI290" s="340"/>
      <c r="AJ290" s="340"/>
      <c r="AK290" s="340"/>
      <c r="AL290" s="340"/>
      <c r="AM290" s="340"/>
      <c r="AN290" s="340"/>
      <c r="AO290" s="340"/>
      <c r="AP290" s="340"/>
      <c r="AQ290" s="340"/>
      <c r="AR290" s="340"/>
      <c r="AS290" s="340"/>
      <c r="AV290" s="918"/>
      <c r="DG290" s="1150"/>
      <c r="DH290" s="1150"/>
      <c r="DI290" s="1150"/>
      <c r="DJ290" s="1150"/>
      <c r="DK290" s="1150"/>
      <c r="DL290" s="1150"/>
      <c r="DM290" s="1150"/>
    </row>
    <row r="291" spans="1:121" customFormat="1" x14ac:dyDescent="0.25">
      <c r="A291" s="262"/>
      <c r="B291" s="113" t="s">
        <v>1299</v>
      </c>
      <c r="C291" s="263">
        <f t="shared" ref="C291:BN291" si="193">C$11</f>
        <v>42522</v>
      </c>
      <c r="D291" s="263">
        <f t="shared" si="193"/>
        <v>42552</v>
      </c>
      <c r="E291" s="263">
        <f t="shared" si="193"/>
        <v>42583</v>
      </c>
      <c r="F291" s="263">
        <f t="shared" si="193"/>
        <v>42614</v>
      </c>
      <c r="G291" s="263">
        <f t="shared" si="193"/>
        <v>42644</v>
      </c>
      <c r="H291" s="263">
        <f t="shared" si="193"/>
        <v>42675</v>
      </c>
      <c r="I291" s="263">
        <f t="shared" si="193"/>
        <v>42705</v>
      </c>
      <c r="J291" s="263">
        <f t="shared" si="193"/>
        <v>42736</v>
      </c>
      <c r="K291" s="263">
        <f t="shared" si="193"/>
        <v>42767</v>
      </c>
      <c r="L291" s="263">
        <f t="shared" si="193"/>
        <v>42795</v>
      </c>
      <c r="M291" s="263">
        <f t="shared" si="193"/>
        <v>42826</v>
      </c>
      <c r="N291" s="263">
        <f t="shared" si="193"/>
        <v>42856</v>
      </c>
      <c r="O291" s="263">
        <f t="shared" si="193"/>
        <v>42887</v>
      </c>
      <c r="P291" s="263">
        <f t="shared" si="193"/>
        <v>42917</v>
      </c>
      <c r="Q291" s="263">
        <f t="shared" si="193"/>
        <v>42948</v>
      </c>
      <c r="R291" s="263">
        <f t="shared" si="193"/>
        <v>42979</v>
      </c>
      <c r="S291" s="263">
        <f t="shared" si="193"/>
        <v>43009</v>
      </c>
      <c r="T291" s="263">
        <f t="shared" si="193"/>
        <v>43040</v>
      </c>
      <c r="U291" s="263">
        <f t="shared" si="193"/>
        <v>43070</v>
      </c>
      <c r="V291" s="263">
        <f t="shared" si="193"/>
        <v>43101</v>
      </c>
      <c r="W291" s="263">
        <f t="shared" si="193"/>
        <v>43132</v>
      </c>
      <c r="X291" s="263">
        <f t="shared" si="193"/>
        <v>43160</v>
      </c>
      <c r="Y291" s="263">
        <f t="shared" si="193"/>
        <v>43191</v>
      </c>
      <c r="Z291" s="263">
        <f t="shared" si="193"/>
        <v>43221</v>
      </c>
      <c r="AA291" s="263">
        <f t="shared" si="193"/>
        <v>43252</v>
      </c>
      <c r="AB291" s="263">
        <f t="shared" si="193"/>
        <v>43283</v>
      </c>
      <c r="AC291" s="263">
        <f t="shared" si="193"/>
        <v>43314</v>
      </c>
      <c r="AD291" s="263">
        <f t="shared" si="193"/>
        <v>43345</v>
      </c>
      <c r="AE291" s="263">
        <f t="shared" si="193"/>
        <v>43376</v>
      </c>
      <c r="AF291" s="263">
        <f t="shared" si="193"/>
        <v>43407</v>
      </c>
      <c r="AG291" s="263">
        <f t="shared" si="193"/>
        <v>43437</v>
      </c>
      <c r="AH291" s="263">
        <f t="shared" si="193"/>
        <v>43468</v>
      </c>
      <c r="AI291" s="263">
        <f t="shared" si="193"/>
        <v>43499</v>
      </c>
      <c r="AJ291" s="263">
        <f t="shared" si="193"/>
        <v>43527</v>
      </c>
      <c r="AK291" s="263">
        <f t="shared" si="193"/>
        <v>43558</v>
      </c>
      <c r="AL291" s="263">
        <f t="shared" si="193"/>
        <v>43587</v>
      </c>
      <c r="AM291" s="263">
        <f t="shared" si="193"/>
        <v>43618</v>
      </c>
      <c r="AN291" s="263">
        <f t="shared" si="193"/>
        <v>43647</v>
      </c>
      <c r="AO291" s="263">
        <f t="shared" si="193"/>
        <v>43678</v>
      </c>
      <c r="AP291" s="263">
        <f t="shared" si="193"/>
        <v>43709</v>
      </c>
      <c r="AQ291" s="263">
        <f t="shared" si="193"/>
        <v>43739</v>
      </c>
      <c r="AR291" s="263">
        <f t="shared" si="193"/>
        <v>43770</v>
      </c>
      <c r="AS291" s="263">
        <f t="shared" si="193"/>
        <v>43800</v>
      </c>
      <c r="AT291" s="263">
        <f t="shared" si="193"/>
        <v>43831</v>
      </c>
      <c r="AU291" s="263">
        <f t="shared" si="193"/>
        <v>43862</v>
      </c>
      <c r="AV291" s="914">
        <f t="shared" si="193"/>
        <v>43891</v>
      </c>
      <c r="AW291" s="263">
        <f t="shared" si="193"/>
        <v>43922</v>
      </c>
      <c r="AX291" s="263">
        <f t="shared" si="193"/>
        <v>43952</v>
      </c>
      <c r="AY291" s="263">
        <f t="shared" si="193"/>
        <v>43983</v>
      </c>
      <c r="AZ291" s="263">
        <f t="shared" si="193"/>
        <v>44013</v>
      </c>
      <c r="BA291" s="263">
        <f t="shared" si="193"/>
        <v>44044</v>
      </c>
      <c r="BB291" s="263">
        <f t="shared" si="193"/>
        <v>44075</v>
      </c>
      <c r="BC291" s="263">
        <f t="shared" si="193"/>
        <v>44105</v>
      </c>
      <c r="BD291" s="263">
        <f t="shared" si="193"/>
        <v>44136</v>
      </c>
      <c r="BE291" s="263">
        <f t="shared" si="193"/>
        <v>44166</v>
      </c>
      <c r="BF291" s="263">
        <f t="shared" si="193"/>
        <v>44197</v>
      </c>
      <c r="BG291" s="263">
        <f t="shared" si="193"/>
        <v>44228</v>
      </c>
      <c r="BH291" s="263">
        <f t="shared" si="193"/>
        <v>44256</v>
      </c>
      <c r="BI291" s="263">
        <f t="shared" si="193"/>
        <v>44287</v>
      </c>
      <c r="BJ291" s="263">
        <f t="shared" si="193"/>
        <v>44317</v>
      </c>
      <c r="BK291" s="263">
        <f t="shared" si="193"/>
        <v>44348</v>
      </c>
      <c r="BL291" s="263">
        <f t="shared" si="193"/>
        <v>44378</v>
      </c>
      <c r="BM291" s="263">
        <f t="shared" si="193"/>
        <v>44409</v>
      </c>
      <c r="BN291" s="263">
        <f t="shared" si="193"/>
        <v>44440</v>
      </c>
      <c r="BO291" s="263">
        <f t="shared" ref="BO291:DM291" si="194">BO$11</f>
        <v>44470</v>
      </c>
      <c r="BP291" s="263">
        <f t="shared" si="194"/>
        <v>44501</v>
      </c>
      <c r="BQ291" s="263">
        <f t="shared" si="194"/>
        <v>44531</v>
      </c>
      <c r="BR291" s="263">
        <f t="shared" si="194"/>
        <v>44562</v>
      </c>
      <c r="BS291" s="263">
        <f t="shared" si="194"/>
        <v>44593</v>
      </c>
      <c r="BT291" s="263">
        <f t="shared" si="194"/>
        <v>44622</v>
      </c>
      <c r="BU291" s="263">
        <f t="shared" si="194"/>
        <v>44654</v>
      </c>
      <c r="BV291" s="263">
        <f t="shared" si="194"/>
        <v>44685</v>
      </c>
      <c r="BW291" s="263">
        <f t="shared" si="194"/>
        <v>44716</v>
      </c>
      <c r="BX291" s="263">
        <f t="shared" si="194"/>
        <v>44746</v>
      </c>
      <c r="BY291" s="263">
        <f t="shared" si="194"/>
        <v>44774</v>
      </c>
      <c r="BZ291" s="263">
        <f t="shared" si="194"/>
        <v>44805</v>
      </c>
      <c r="CA291" s="263">
        <f t="shared" si="194"/>
        <v>44835</v>
      </c>
      <c r="CB291" s="263">
        <f t="shared" si="194"/>
        <v>44866</v>
      </c>
      <c r="CC291" s="263">
        <f t="shared" si="194"/>
        <v>44896</v>
      </c>
      <c r="CD291" s="263">
        <f t="shared" si="194"/>
        <v>44927</v>
      </c>
      <c r="CE291" s="263">
        <f t="shared" si="194"/>
        <v>44958</v>
      </c>
      <c r="CF291" s="263">
        <f t="shared" si="194"/>
        <v>44986</v>
      </c>
      <c r="CG291" s="263">
        <f t="shared" si="194"/>
        <v>45017</v>
      </c>
      <c r="CH291" s="263">
        <f t="shared" si="194"/>
        <v>45047</v>
      </c>
      <c r="CI291" s="263">
        <f t="shared" si="194"/>
        <v>45078</v>
      </c>
      <c r="CJ291" s="263">
        <f t="shared" si="194"/>
        <v>45108</v>
      </c>
      <c r="CK291" s="263">
        <f t="shared" si="194"/>
        <v>45139</v>
      </c>
      <c r="CL291" s="263">
        <f t="shared" si="194"/>
        <v>45170</v>
      </c>
      <c r="CM291" s="263">
        <f t="shared" si="194"/>
        <v>45200</v>
      </c>
      <c r="CN291" s="263">
        <f t="shared" si="194"/>
        <v>45231</v>
      </c>
      <c r="CO291" s="263">
        <f t="shared" si="194"/>
        <v>45261</v>
      </c>
      <c r="CP291" s="263">
        <f t="shared" si="194"/>
        <v>45292</v>
      </c>
      <c r="CQ291" s="263">
        <f t="shared" si="194"/>
        <v>45323</v>
      </c>
      <c r="CR291" s="263">
        <f t="shared" si="194"/>
        <v>45352</v>
      </c>
      <c r="CS291" s="263">
        <f t="shared" si="194"/>
        <v>45383</v>
      </c>
      <c r="CT291" s="263">
        <f t="shared" si="194"/>
        <v>45413</v>
      </c>
      <c r="CU291" s="263">
        <f t="shared" si="194"/>
        <v>45444</v>
      </c>
      <c r="CV291" s="263">
        <f t="shared" si="194"/>
        <v>45474</v>
      </c>
      <c r="CW291" s="263">
        <f t="shared" si="194"/>
        <v>45505</v>
      </c>
      <c r="CX291" s="263">
        <f t="shared" si="194"/>
        <v>45536</v>
      </c>
      <c r="CY291" s="263">
        <f t="shared" si="194"/>
        <v>45566</v>
      </c>
      <c r="CZ291" s="263">
        <f t="shared" si="194"/>
        <v>45597</v>
      </c>
      <c r="DA291" s="263">
        <f t="shared" si="194"/>
        <v>45627</v>
      </c>
      <c r="DB291" s="263">
        <f t="shared" si="194"/>
        <v>45658</v>
      </c>
      <c r="DC291" s="263">
        <f t="shared" si="194"/>
        <v>45689</v>
      </c>
      <c r="DD291" s="263">
        <f t="shared" si="194"/>
        <v>45717</v>
      </c>
      <c r="DE291" s="263">
        <f t="shared" si="194"/>
        <v>45748</v>
      </c>
      <c r="DF291" s="263">
        <f t="shared" si="194"/>
        <v>45778</v>
      </c>
      <c r="DG291" s="263">
        <f t="shared" si="194"/>
        <v>45809</v>
      </c>
      <c r="DH291" s="263">
        <v>45839</v>
      </c>
      <c r="DI291" s="263">
        <f t="shared" si="194"/>
        <v>45870</v>
      </c>
      <c r="DJ291" s="263">
        <f t="shared" si="194"/>
        <v>45901</v>
      </c>
      <c r="DK291" s="263">
        <f t="shared" si="194"/>
        <v>45931</v>
      </c>
      <c r="DL291" s="263">
        <f t="shared" si="194"/>
        <v>45962</v>
      </c>
      <c r="DM291" s="263">
        <f t="shared" si="194"/>
        <v>45992</v>
      </c>
    </row>
    <row r="292" spans="1:121" customFormat="1" x14ac:dyDescent="0.25">
      <c r="A292" s="262"/>
      <c r="B292" s="117" t="s">
        <v>542</v>
      </c>
      <c r="C292" s="264" t="s">
        <v>160</v>
      </c>
      <c r="D292" s="264" t="s">
        <v>160</v>
      </c>
      <c r="E292" s="264" t="s">
        <v>160</v>
      </c>
      <c r="F292" s="265" t="s">
        <v>160</v>
      </c>
      <c r="G292" s="265" t="s">
        <v>160</v>
      </c>
      <c r="H292" s="265" t="s">
        <v>160</v>
      </c>
      <c r="I292" s="265" t="s">
        <v>160</v>
      </c>
      <c r="J292" s="265" t="s">
        <v>160</v>
      </c>
      <c r="K292" s="265" t="s">
        <v>160</v>
      </c>
      <c r="L292" s="265" t="s">
        <v>160</v>
      </c>
      <c r="M292" s="265" t="s">
        <v>160</v>
      </c>
      <c r="N292" s="265" t="s">
        <v>160</v>
      </c>
      <c r="O292" s="265" t="s">
        <v>160</v>
      </c>
      <c r="P292" s="265" t="s">
        <v>160</v>
      </c>
      <c r="Q292" s="265" t="s">
        <v>160</v>
      </c>
      <c r="R292" s="265" t="s">
        <v>160</v>
      </c>
      <c r="S292" s="265" t="s">
        <v>160</v>
      </c>
      <c r="T292" s="265" t="s">
        <v>160</v>
      </c>
      <c r="U292" s="337" t="s">
        <v>160</v>
      </c>
      <c r="V292" s="337" t="s">
        <v>160</v>
      </c>
      <c r="W292" s="337" t="s">
        <v>160</v>
      </c>
      <c r="X292" s="337" t="s">
        <v>160</v>
      </c>
      <c r="Y292" s="337" t="s">
        <v>160</v>
      </c>
      <c r="Z292" s="337" t="s">
        <v>160</v>
      </c>
      <c r="AA292" s="337" t="s">
        <v>160</v>
      </c>
      <c r="AB292" s="337" t="s">
        <v>160</v>
      </c>
      <c r="AC292" s="337" t="s">
        <v>160</v>
      </c>
      <c r="AD292" s="337" t="s">
        <v>160</v>
      </c>
      <c r="AE292" s="337" t="s">
        <v>160</v>
      </c>
      <c r="AF292" s="337" t="s">
        <v>160</v>
      </c>
      <c r="AG292" s="337" t="s">
        <v>160</v>
      </c>
      <c r="AH292" s="337" t="s">
        <v>160</v>
      </c>
      <c r="AI292" s="337" t="s">
        <v>160</v>
      </c>
      <c r="AJ292" s="337" t="s">
        <v>160</v>
      </c>
      <c r="AK292" s="337" t="s">
        <v>160</v>
      </c>
      <c r="AL292" s="337" t="s">
        <v>160</v>
      </c>
      <c r="AM292" s="337" t="s">
        <v>160</v>
      </c>
      <c r="AN292" s="337" t="s">
        <v>160</v>
      </c>
      <c r="AO292" s="337" t="s">
        <v>160</v>
      </c>
      <c r="AP292" s="337" t="s">
        <v>160</v>
      </c>
      <c r="AQ292" s="337" t="s">
        <v>160</v>
      </c>
      <c r="AR292" s="337" t="s">
        <v>160</v>
      </c>
      <c r="AS292" s="337" t="s">
        <v>160</v>
      </c>
      <c r="AT292" s="337" t="s">
        <v>160</v>
      </c>
      <c r="AU292" s="337" t="s">
        <v>160</v>
      </c>
      <c r="AV292" s="1158" t="s">
        <v>160</v>
      </c>
      <c r="AW292" s="337" t="s">
        <v>160</v>
      </c>
      <c r="AX292" s="337" t="s">
        <v>160</v>
      </c>
      <c r="AY292" s="337" t="s">
        <v>160</v>
      </c>
      <c r="AZ292" s="337" t="s">
        <v>160</v>
      </c>
      <c r="BA292" s="337" t="s">
        <v>160</v>
      </c>
      <c r="BB292" s="337" t="s">
        <v>160</v>
      </c>
      <c r="BC292" s="337" t="s">
        <v>160</v>
      </c>
      <c r="BD292" s="337" t="s">
        <v>160</v>
      </c>
      <c r="BE292" s="337" t="s">
        <v>160</v>
      </c>
      <c r="BF292" s="337" t="s">
        <v>160</v>
      </c>
      <c r="BG292" s="337" t="s">
        <v>160</v>
      </c>
      <c r="BH292" s="337" t="s">
        <v>160</v>
      </c>
      <c r="BI292" s="337" t="s">
        <v>160</v>
      </c>
      <c r="BJ292" s="337" t="s">
        <v>160</v>
      </c>
      <c r="BK292" s="337" t="s">
        <v>160</v>
      </c>
      <c r="BL292" s="337" t="s">
        <v>160</v>
      </c>
      <c r="BM292" s="337" t="s">
        <v>160</v>
      </c>
      <c r="BN292" s="337" t="s">
        <v>160</v>
      </c>
      <c r="BO292" s="337" t="s">
        <v>160</v>
      </c>
      <c r="BP292" s="337" t="s">
        <v>160</v>
      </c>
      <c r="BQ292" s="337" t="s">
        <v>160</v>
      </c>
      <c r="BR292" s="337" t="s">
        <v>160</v>
      </c>
      <c r="BS292" s="337" t="s">
        <v>160</v>
      </c>
      <c r="BT292" s="337" t="s">
        <v>160</v>
      </c>
      <c r="BU292" s="337" t="s">
        <v>160</v>
      </c>
      <c r="BV292" s="337" t="s">
        <v>160</v>
      </c>
      <c r="BW292" s="337" t="s">
        <v>160</v>
      </c>
      <c r="BX292" s="337" t="s">
        <v>160</v>
      </c>
      <c r="BY292" s="337" t="s">
        <v>160</v>
      </c>
      <c r="BZ292" s="337" t="s">
        <v>160</v>
      </c>
      <c r="CA292" s="337" t="s">
        <v>160</v>
      </c>
      <c r="CB292" s="337" t="s">
        <v>160</v>
      </c>
      <c r="CC292" s="337" t="s">
        <v>160</v>
      </c>
      <c r="CD292" s="337" t="s">
        <v>160</v>
      </c>
      <c r="CE292" s="337" t="s">
        <v>160</v>
      </c>
      <c r="CF292" s="337" t="s">
        <v>160</v>
      </c>
      <c r="CG292" s="337" t="s">
        <v>160</v>
      </c>
      <c r="CH292" s="337" t="s">
        <v>160</v>
      </c>
      <c r="CI292" s="337" t="s">
        <v>160</v>
      </c>
      <c r="CJ292" s="337" t="s">
        <v>160</v>
      </c>
      <c r="CK292" s="337" t="s">
        <v>160</v>
      </c>
      <c r="CL292" s="337" t="s">
        <v>160</v>
      </c>
      <c r="CM292" s="337" t="s">
        <v>160</v>
      </c>
      <c r="CN292" s="337" t="s">
        <v>160</v>
      </c>
      <c r="CO292" s="337" t="s">
        <v>160</v>
      </c>
      <c r="CP292" s="337" t="s">
        <v>160</v>
      </c>
      <c r="CQ292" s="337" t="s">
        <v>160</v>
      </c>
      <c r="CR292" s="337" t="s">
        <v>160</v>
      </c>
      <c r="CS292" s="337" t="s">
        <v>160</v>
      </c>
      <c r="CT292" s="337" t="s">
        <v>160</v>
      </c>
      <c r="CU292" s="337" t="s">
        <v>160</v>
      </c>
      <c r="CV292" s="337" t="s">
        <v>160</v>
      </c>
      <c r="CW292" s="337" t="s">
        <v>160</v>
      </c>
      <c r="CX292" s="337" t="s">
        <v>160</v>
      </c>
      <c r="CY292" s="337" t="s">
        <v>160</v>
      </c>
      <c r="CZ292" s="337" t="s">
        <v>160</v>
      </c>
      <c r="DA292" s="337" t="s">
        <v>160</v>
      </c>
      <c r="DB292" s="337" t="s">
        <v>160</v>
      </c>
      <c r="DC292" s="337" t="s">
        <v>160</v>
      </c>
      <c r="DD292" s="337" t="s">
        <v>160</v>
      </c>
      <c r="DE292" s="337" t="s">
        <v>160</v>
      </c>
      <c r="DF292" s="679">
        <v>407</v>
      </c>
      <c r="DG292" s="585">
        <v>407</v>
      </c>
      <c r="DH292" s="585">
        <v>407</v>
      </c>
      <c r="DI292" s="585">
        <v>407</v>
      </c>
      <c r="DJ292" s="585">
        <v>407</v>
      </c>
      <c r="DK292" s="585">
        <v>407</v>
      </c>
      <c r="DL292" s="585">
        <v>407</v>
      </c>
      <c r="DM292" s="585">
        <v>407</v>
      </c>
    </row>
    <row r="293" spans="1:121" x14ac:dyDescent="0.25">
      <c r="B293" s="117" t="s">
        <v>546</v>
      </c>
      <c r="C293" s="264" t="s">
        <v>160</v>
      </c>
      <c r="D293" s="264" t="s">
        <v>160</v>
      </c>
      <c r="E293" s="264" t="s">
        <v>160</v>
      </c>
      <c r="F293" s="264" t="s">
        <v>160</v>
      </c>
      <c r="G293" s="264" t="s">
        <v>160</v>
      </c>
      <c r="H293" s="265" t="s">
        <v>160</v>
      </c>
      <c r="I293" s="265" t="s">
        <v>160</v>
      </c>
      <c r="J293" s="265" t="s">
        <v>160</v>
      </c>
      <c r="K293" s="265" t="s">
        <v>160</v>
      </c>
      <c r="L293" s="586" t="s">
        <v>160</v>
      </c>
      <c r="M293" s="586" t="s">
        <v>160</v>
      </c>
      <c r="N293" s="586" t="s">
        <v>160</v>
      </c>
      <c r="O293" s="586" t="s">
        <v>160</v>
      </c>
      <c r="P293" s="586" t="s">
        <v>160</v>
      </c>
      <c r="Q293" s="586" t="s">
        <v>160</v>
      </c>
      <c r="R293" s="586" t="s">
        <v>160</v>
      </c>
      <c r="S293" s="586" t="s">
        <v>160</v>
      </c>
      <c r="T293" s="586" t="s">
        <v>160</v>
      </c>
      <c r="U293" s="586" t="s">
        <v>160</v>
      </c>
      <c r="V293" s="586" t="s">
        <v>160</v>
      </c>
      <c r="W293" s="586" t="s">
        <v>160</v>
      </c>
      <c r="X293" s="586" t="s">
        <v>160</v>
      </c>
      <c r="Y293" s="586" t="s">
        <v>160</v>
      </c>
      <c r="Z293" s="586" t="s">
        <v>160</v>
      </c>
      <c r="AA293" s="586" t="s">
        <v>160</v>
      </c>
      <c r="AB293" s="586" t="s">
        <v>160</v>
      </c>
      <c r="AC293" s="586" t="s">
        <v>160</v>
      </c>
      <c r="AD293" s="586" t="s">
        <v>160</v>
      </c>
      <c r="AE293" s="586" t="s">
        <v>160</v>
      </c>
      <c r="AF293" s="585" t="s">
        <v>160</v>
      </c>
      <c r="AG293" s="586" t="s">
        <v>160</v>
      </c>
      <c r="AH293" s="586" t="s">
        <v>160</v>
      </c>
      <c r="AI293" s="586" t="s">
        <v>160</v>
      </c>
      <c r="AJ293" s="347" t="s">
        <v>160</v>
      </c>
      <c r="AK293" s="347" t="s">
        <v>160</v>
      </c>
      <c r="AL293" s="347" t="s">
        <v>160</v>
      </c>
      <c r="AM293" s="347" t="s">
        <v>160</v>
      </c>
      <c r="AN293" s="347" t="s">
        <v>160</v>
      </c>
      <c r="AO293" s="347" t="s">
        <v>160</v>
      </c>
      <c r="AP293" s="347" t="s">
        <v>160</v>
      </c>
      <c r="AQ293" s="347" t="s">
        <v>160</v>
      </c>
      <c r="AR293" s="347" t="s">
        <v>160</v>
      </c>
      <c r="AS293" s="347" t="s">
        <v>160</v>
      </c>
      <c r="AT293" s="347" t="s">
        <v>160</v>
      </c>
      <c r="AU293" s="347" t="s">
        <v>160</v>
      </c>
      <c r="AV293" s="928" t="s">
        <v>160</v>
      </c>
      <c r="AW293" s="347" t="s">
        <v>160</v>
      </c>
      <c r="AX293" s="347" t="s">
        <v>160</v>
      </c>
      <c r="AY293" s="347" t="s">
        <v>160</v>
      </c>
      <c r="AZ293" s="347" t="s">
        <v>160</v>
      </c>
      <c r="BA293" s="347" t="s">
        <v>160</v>
      </c>
      <c r="BB293" s="347" t="s">
        <v>160</v>
      </c>
      <c r="BC293" s="347" t="s">
        <v>160</v>
      </c>
      <c r="BD293" s="347" t="s">
        <v>160</v>
      </c>
      <c r="BE293" s="347" t="s">
        <v>160</v>
      </c>
      <c r="BF293" s="347" t="s">
        <v>160</v>
      </c>
      <c r="BG293" s="347" t="s">
        <v>160</v>
      </c>
      <c r="BH293" s="347" t="s">
        <v>160</v>
      </c>
      <c r="BI293" s="347" t="s">
        <v>160</v>
      </c>
      <c r="BJ293" s="347" t="s">
        <v>160</v>
      </c>
      <c r="BK293" s="347" t="s">
        <v>160</v>
      </c>
      <c r="BL293" s="347" t="s">
        <v>160</v>
      </c>
      <c r="BM293" s="347" t="s">
        <v>160</v>
      </c>
      <c r="BN293" s="585" t="s">
        <v>160</v>
      </c>
      <c r="BO293" s="585" t="s">
        <v>160</v>
      </c>
      <c r="BP293" s="585" t="s">
        <v>160</v>
      </c>
      <c r="BQ293" s="585" t="s">
        <v>160</v>
      </c>
      <c r="BR293" s="585" t="s">
        <v>160</v>
      </c>
      <c r="BS293" s="585" t="s">
        <v>160</v>
      </c>
      <c r="BT293" s="585" t="s">
        <v>160</v>
      </c>
      <c r="BU293" s="585" t="s">
        <v>160</v>
      </c>
      <c r="BV293" s="585" t="s">
        <v>160</v>
      </c>
      <c r="BW293" s="585" t="s">
        <v>160</v>
      </c>
      <c r="BX293" s="585" t="s">
        <v>160</v>
      </c>
      <c r="BY293" s="585" t="s">
        <v>160</v>
      </c>
      <c r="BZ293" s="585" t="s">
        <v>160</v>
      </c>
      <c r="CA293" s="585" t="s">
        <v>160</v>
      </c>
      <c r="CB293" s="585" t="s">
        <v>160</v>
      </c>
      <c r="CC293" s="585" t="s">
        <v>160</v>
      </c>
      <c r="CD293" s="585" t="s">
        <v>160</v>
      </c>
      <c r="CE293" s="585" t="s">
        <v>160</v>
      </c>
      <c r="CF293" s="585" t="s">
        <v>160</v>
      </c>
      <c r="CG293" s="585" t="s">
        <v>160</v>
      </c>
      <c r="CH293" s="585" t="s">
        <v>160</v>
      </c>
      <c r="CI293" s="585" t="s">
        <v>160</v>
      </c>
      <c r="CJ293" s="585" t="s">
        <v>160</v>
      </c>
      <c r="CK293" s="585" t="s">
        <v>160</v>
      </c>
      <c r="CL293" s="585" t="s">
        <v>160</v>
      </c>
      <c r="CM293" s="585" t="s">
        <v>160</v>
      </c>
      <c r="CN293" s="585" t="s">
        <v>160</v>
      </c>
      <c r="CO293" s="585" t="s">
        <v>160</v>
      </c>
      <c r="CP293" s="585" t="s">
        <v>160</v>
      </c>
      <c r="CQ293" s="585" t="s">
        <v>160</v>
      </c>
      <c r="CR293" s="585" t="s">
        <v>160</v>
      </c>
      <c r="CS293" s="585" t="s">
        <v>160</v>
      </c>
      <c r="CT293" s="585" t="s">
        <v>160</v>
      </c>
      <c r="CU293" s="585" t="s">
        <v>160</v>
      </c>
      <c r="CV293" s="585" t="s">
        <v>160</v>
      </c>
      <c r="CW293" s="585" t="s">
        <v>160</v>
      </c>
      <c r="CX293" s="585" t="s">
        <v>160</v>
      </c>
      <c r="CY293" s="585" t="s">
        <v>160</v>
      </c>
      <c r="CZ293" s="585" t="s">
        <v>160</v>
      </c>
      <c r="DA293" s="585" t="s">
        <v>160</v>
      </c>
      <c r="DB293" s="585" t="s">
        <v>160</v>
      </c>
      <c r="DC293" s="585" t="s">
        <v>160</v>
      </c>
      <c r="DD293" s="585" t="s">
        <v>160</v>
      </c>
      <c r="DE293" s="585" t="s">
        <v>160</v>
      </c>
      <c r="DF293" s="585" t="s">
        <v>160</v>
      </c>
      <c r="DG293" s="585" t="s">
        <v>160</v>
      </c>
      <c r="DH293" s="585" t="s">
        <v>160</v>
      </c>
      <c r="DI293" s="585" t="s">
        <v>160</v>
      </c>
      <c r="DJ293" s="585" t="s">
        <v>160</v>
      </c>
      <c r="DK293" s="585" t="s">
        <v>160</v>
      </c>
      <c r="DL293" s="585" t="s">
        <v>160</v>
      </c>
      <c r="DM293" s="585" t="s">
        <v>160</v>
      </c>
      <c r="DN293"/>
      <c r="DO293"/>
      <c r="DP293"/>
      <c r="DQ293"/>
    </row>
    <row r="294" spans="1:121" x14ac:dyDescent="0.25">
      <c r="B294" s="117" t="s">
        <v>547</v>
      </c>
      <c r="C294" s="264" t="s">
        <v>160</v>
      </c>
      <c r="D294" s="264" t="s">
        <v>160</v>
      </c>
      <c r="E294" s="264" t="s">
        <v>160</v>
      </c>
      <c r="F294" s="264" t="s">
        <v>160</v>
      </c>
      <c r="G294" s="265" t="s">
        <v>160</v>
      </c>
      <c r="H294" s="265" t="s">
        <v>160</v>
      </c>
      <c r="I294" s="265" t="s">
        <v>160</v>
      </c>
      <c r="J294" s="265" t="s">
        <v>160</v>
      </c>
      <c r="K294" s="265" t="s">
        <v>160</v>
      </c>
      <c r="L294" s="265" t="s">
        <v>160</v>
      </c>
      <c r="M294" s="265" t="s">
        <v>160</v>
      </c>
      <c r="N294" s="265" t="s">
        <v>160</v>
      </c>
      <c r="O294" s="265" t="s">
        <v>160</v>
      </c>
      <c r="P294" s="265" t="s">
        <v>160</v>
      </c>
      <c r="Q294" s="265" t="s">
        <v>160</v>
      </c>
      <c r="R294" s="265" t="s">
        <v>160</v>
      </c>
      <c r="S294" s="265" t="s">
        <v>160</v>
      </c>
      <c r="T294" s="265" t="s">
        <v>160</v>
      </c>
      <c r="U294" s="265" t="s">
        <v>160</v>
      </c>
      <c r="V294" s="337" t="s">
        <v>160</v>
      </c>
      <c r="W294" s="265" t="s">
        <v>160</v>
      </c>
      <c r="X294" s="265" t="s">
        <v>160</v>
      </c>
      <c r="Y294" s="265" t="s">
        <v>160</v>
      </c>
      <c r="Z294" s="265" t="s">
        <v>160</v>
      </c>
      <c r="AA294" s="265" t="s">
        <v>160</v>
      </c>
      <c r="AB294" s="265" t="s">
        <v>160</v>
      </c>
      <c r="AC294" s="265" t="s">
        <v>160</v>
      </c>
      <c r="AD294" s="337" t="s">
        <v>160</v>
      </c>
      <c r="AE294" s="265" t="s">
        <v>160</v>
      </c>
      <c r="AF294" s="265" t="s">
        <v>160</v>
      </c>
      <c r="AG294" s="265" t="s">
        <v>160</v>
      </c>
      <c r="AH294" s="265" t="s">
        <v>160</v>
      </c>
      <c r="AI294" s="265" t="s">
        <v>160</v>
      </c>
      <c r="AJ294" s="337" t="s">
        <v>160</v>
      </c>
      <c r="AK294" s="337" t="s">
        <v>160</v>
      </c>
      <c r="AL294" s="337" t="s">
        <v>160</v>
      </c>
      <c r="AM294" s="337" t="s">
        <v>160</v>
      </c>
      <c r="AN294" s="337" t="s">
        <v>160</v>
      </c>
      <c r="AO294" s="337" t="s">
        <v>160</v>
      </c>
      <c r="AP294" s="337" t="s">
        <v>160</v>
      </c>
      <c r="AQ294" s="337" t="s">
        <v>160</v>
      </c>
      <c r="AR294" s="337" t="s">
        <v>160</v>
      </c>
      <c r="AS294" s="337" t="s">
        <v>160</v>
      </c>
      <c r="AT294" s="337" t="s">
        <v>160</v>
      </c>
      <c r="AU294" s="337" t="s">
        <v>160</v>
      </c>
      <c r="AV294" s="1158" t="s">
        <v>160</v>
      </c>
      <c r="AW294" s="337" t="s">
        <v>160</v>
      </c>
      <c r="AX294" s="337" t="s">
        <v>160</v>
      </c>
      <c r="AY294" s="337" t="s">
        <v>160</v>
      </c>
      <c r="AZ294" s="337" t="s">
        <v>160</v>
      </c>
      <c r="BA294" s="337" t="s">
        <v>160</v>
      </c>
      <c r="BB294" s="337" t="s">
        <v>160</v>
      </c>
      <c r="BC294" s="337" t="s">
        <v>160</v>
      </c>
      <c r="BD294" s="337" t="s">
        <v>160</v>
      </c>
      <c r="BE294" s="337" t="s">
        <v>160</v>
      </c>
      <c r="BF294" s="337" t="s">
        <v>160</v>
      </c>
      <c r="BG294" s="337" t="s">
        <v>160</v>
      </c>
      <c r="BH294" s="337" t="s">
        <v>160</v>
      </c>
      <c r="BI294" s="337" t="s">
        <v>160</v>
      </c>
      <c r="BJ294" s="337" t="s">
        <v>160</v>
      </c>
      <c r="BK294" s="337" t="s">
        <v>160</v>
      </c>
      <c r="BL294" s="337" t="s">
        <v>160</v>
      </c>
      <c r="BM294" s="337" t="s">
        <v>160</v>
      </c>
      <c r="BN294" s="337" t="s">
        <v>160</v>
      </c>
      <c r="BO294" s="337" t="s">
        <v>160</v>
      </c>
      <c r="BP294" s="337" t="s">
        <v>160</v>
      </c>
      <c r="BQ294" s="337" t="s">
        <v>160</v>
      </c>
      <c r="BR294" s="337" t="s">
        <v>160</v>
      </c>
      <c r="BS294" s="337" t="s">
        <v>160</v>
      </c>
      <c r="BT294" s="337" t="s">
        <v>160</v>
      </c>
      <c r="BU294" s="337" t="s">
        <v>160</v>
      </c>
      <c r="BV294" s="337" t="s">
        <v>160</v>
      </c>
      <c r="BW294" s="337" t="s">
        <v>160</v>
      </c>
      <c r="BX294" s="337" t="s">
        <v>160</v>
      </c>
      <c r="BY294" s="337" t="s">
        <v>160</v>
      </c>
      <c r="BZ294" s="337" t="s">
        <v>160</v>
      </c>
      <c r="CA294" s="337" t="s">
        <v>160</v>
      </c>
      <c r="CB294" s="337" t="s">
        <v>160</v>
      </c>
      <c r="CC294" s="337" t="s">
        <v>160</v>
      </c>
      <c r="CD294" s="337" t="s">
        <v>160</v>
      </c>
      <c r="CE294" s="337" t="s">
        <v>160</v>
      </c>
      <c r="CF294" s="337" t="s">
        <v>160</v>
      </c>
      <c r="CG294" s="337" t="s">
        <v>160</v>
      </c>
      <c r="CH294" s="337" t="s">
        <v>160</v>
      </c>
      <c r="CI294" s="337" t="s">
        <v>160</v>
      </c>
      <c r="CJ294" s="337" t="s">
        <v>160</v>
      </c>
      <c r="CK294" s="337" t="s">
        <v>160</v>
      </c>
      <c r="CL294" s="337" t="s">
        <v>160</v>
      </c>
      <c r="CM294" s="337" t="s">
        <v>160</v>
      </c>
      <c r="CN294" s="337" t="s">
        <v>160</v>
      </c>
      <c r="CO294" s="337" t="s">
        <v>160</v>
      </c>
      <c r="CP294" s="337" t="s">
        <v>160</v>
      </c>
      <c r="CQ294" s="337" t="s">
        <v>160</v>
      </c>
      <c r="CR294" s="337" t="s">
        <v>160</v>
      </c>
      <c r="CS294" s="337" t="s">
        <v>160</v>
      </c>
      <c r="CT294" s="337" t="s">
        <v>160</v>
      </c>
      <c r="CU294" s="337" t="s">
        <v>160</v>
      </c>
      <c r="CV294" s="337" t="s">
        <v>160</v>
      </c>
      <c r="CW294" s="337" t="s">
        <v>160</v>
      </c>
      <c r="CX294" s="337" t="s">
        <v>160</v>
      </c>
      <c r="CY294" s="337">
        <v>378</v>
      </c>
      <c r="CZ294" s="337">
        <v>378</v>
      </c>
      <c r="DA294" s="337">
        <v>378</v>
      </c>
      <c r="DB294" s="679">
        <v>443</v>
      </c>
      <c r="DC294" s="585">
        <v>443</v>
      </c>
      <c r="DD294" s="585">
        <v>443</v>
      </c>
      <c r="DE294" s="585">
        <v>443</v>
      </c>
      <c r="DF294" s="585">
        <v>443</v>
      </c>
      <c r="DG294" s="585">
        <v>443</v>
      </c>
      <c r="DH294" s="585">
        <v>443</v>
      </c>
      <c r="DI294" s="585">
        <v>443</v>
      </c>
      <c r="DJ294" s="585">
        <v>443</v>
      </c>
      <c r="DK294" s="585">
        <v>443</v>
      </c>
      <c r="DL294" s="585">
        <v>443</v>
      </c>
      <c r="DM294" s="585">
        <v>399</v>
      </c>
      <c r="DN294"/>
      <c r="DO294"/>
      <c r="DP294"/>
      <c r="DQ294"/>
    </row>
    <row r="295" spans="1:121" x14ac:dyDescent="0.25">
      <c r="A295"/>
      <c r="B295" s="1072" t="s">
        <v>557</v>
      </c>
      <c r="C295" s="1073" t="str">
        <f t="shared" ref="C295:K295" si="195">IFERROR(AVERAGE(C292:C294),"-")</f>
        <v>-</v>
      </c>
      <c r="D295" s="1073" t="str">
        <f t="shared" si="195"/>
        <v>-</v>
      </c>
      <c r="E295" s="1073" t="str">
        <f t="shared" si="195"/>
        <v>-</v>
      </c>
      <c r="F295" s="1073" t="str">
        <f t="shared" si="195"/>
        <v>-</v>
      </c>
      <c r="G295" s="1073" t="str">
        <f t="shared" si="195"/>
        <v>-</v>
      </c>
      <c r="H295" s="1073" t="str">
        <f t="shared" si="195"/>
        <v>-</v>
      </c>
      <c r="I295" s="1073" t="str">
        <f t="shared" si="195"/>
        <v>-</v>
      </c>
      <c r="J295" s="1073" t="str">
        <f t="shared" si="195"/>
        <v>-</v>
      </c>
      <c r="K295" s="1073" t="str">
        <f t="shared" si="195"/>
        <v>-</v>
      </c>
      <c r="L295" s="1075" t="s">
        <v>160</v>
      </c>
      <c r="M295" s="1075" t="s">
        <v>160</v>
      </c>
      <c r="N295" s="1075" t="s">
        <v>160</v>
      </c>
      <c r="O295" s="1075" t="s">
        <v>160</v>
      </c>
      <c r="P295" s="1075" t="s">
        <v>160</v>
      </c>
      <c r="Q295" s="1075" t="s">
        <v>160</v>
      </c>
      <c r="R295" s="1075" t="s">
        <v>160</v>
      </c>
      <c r="S295" s="1075" t="s">
        <v>160</v>
      </c>
      <c r="T295" s="1075" t="s">
        <v>160</v>
      </c>
      <c r="U295" s="1075" t="s">
        <v>160</v>
      </c>
      <c r="V295" s="1076" t="str">
        <f t="shared" ref="V295:BA295" si="196">IFERROR(AVERAGE(V292:V294),"-")</f>
        <v>-</v>
      </c>
      <c r="W295" s="1076" t="str">
        <f t="shared" si="196"/>
        <v>-</v>
      </c>
      <c r="X295" s="1076" t="str">
        <f t="shared" si="196"/>
        <v>-</v>
      </c>
      <c r="Y295" s="1076" t="str">
        <f t="shared" si="196"/>
        <v>-</v>
      </c>
      <c r="Z295" s="1076" t="str">
        <f t="shared" si="196"/>
        <v>-</v>
      </c>
      <c r="AA295" s="1076" t="str">
        <f t="shared" si="196"/>
        <v>-</v>
      </c>
      <c r="AB295" s="1076" t="str">
        <f t="shared" si="196"/>
        <v>-</v>
      </c>
      <c r="AC295" s="1076" t="str">
        <f t="shared" si="196"/>
        <v>-</v>
      </c>
      <c r="AD295" s="1076" t="str">
        <f t="shared" si="196"/>
        <v>-</v>
      </c>
      <c r="AE295" s="1076" t="str">
        <f t="shared" si="196"/>
        <v>-</v>
      </c>
      <c r="AF295" s="1076" t="str">
        <f t="shared" si="196"/>
        <v>-</v>
      </c>
      <c r="AG295" s="1076" t="str">
        <f t="shared" si="196"/>
        <v>-</v>
      </c>
      <c r="AH295" s="1076" t="str">
        <f t="shared" si="196"/>
        <v>-</v>
      </c>
      <c r="AI295" s="1076" t="str">
        <f t="shared" si="196"/>
        <v>-</v>
      </c>
      <c r="AJ295" s="1076" t="str">
        <f t="shared" si="196"/>
        <v>-</v>
      </c>
      <c r="AK295" s="1076" t="str">
        <f t="shared" si="196"/>
        <v>-</v>
      </c>
      <c r="AL295" s="1076" t="str">
        <f t="shared" si="196"/>
        <v>-</v>
      </c>
      <c r="AM295" s="1076" t="str">
        <f t="shared" si="196"/>
        <v>-</v>
      </c>
      <c r="AN295" s="1076" t="str">
        <f t="shared" si="196"/>
        <v>-</v>
      </c>
      <c r="AO295" s="1076" t="str">
        <f t="shared" si="196"/>
        <v>-</v>
      </c>
      <c r="AP295" s="1076" t="str">
        <f t="shared" si="196"/>
        <v>-</v>
      </c>
      <c r="AQ295" s="1076" t="str">
        <f t="shared" si="196"/>
        <v>-</v>
      </c>
      <c r="AR295" s="1076" t="str">
        <f t="shared" si="196"/>
        <v>-</v>
      </c>
      <c r="AS295" s="1075" t="str">
        <f t="shared" si="196"/>
        <v>-</v>
      </c>
      <c r="AT295" s="1075" t="str">
        <f t="shared" si="196"/>
        <v>-</v>
      </c>
      <c r="AU295" s="1075" t="str">
        <f t="shared" si="196"/>
        <v>-</v>
      </c>
      <c r="AV295" s="1075" t="str">
        <f t="shared" si="196"/>
        <v>-</v>
      </c>
      <c r="AW295" s="1075" t="str">
        <f t="shared" si="196"/>
        <v>-</v>
      </c>
      <c r="AX295" s="1075" t="str">
        <f t="shared" si="196"/>
        <v>-</v>
      </c>
      <c r="AY295" s="1075" t="str">
        <f t="shared" si="196"/>
        <v>-</v>
      </c>
      <c r="AZ295" s="1075" t="str">
        <f t="shared" si="196"/>
        <v>-</v>
      </c>
      <c r="BA295" s="1075" t="str">
        <f t="shared" si="196"/>
        <v>-</v>
      </c>
      <c r="BB295" s="1075" t="str">
        <f t="shared" ref="BB295:CG295" si="197">IFERROR(AVERAGE(BB292:BB294),"-")</f>
        <v>-</v>
      </c>
      <c r="BC295" s="1075" t="str">
        <f t="shared" si="197"/>
        <v>-</v>
      </c>
      <c r="BD295" s="1075" t="str">
        <f t="shared" si="197"/>
        <v>-</v>
      </c>
      <c r="BE295" s="1075" t="str">
        <f t="shared" si="197"/>
        <v>-</v>
      </c>
      <c r="BF295" s="1075" t="str">
        <f t="shared" si="197"/>
        <v>-</v>
      </c>
      <c r="BG295" s="1075" t="str">
        <f t="shared" si="197"/>
        <v>-</v>
      </c>
      <c r="BH295" s="1075" t="str">
        <f t="shared" si="197"/>
        <v>-</v>
      </c>
      <c r="BI295" s="1075" t="str">
        <f t="shared" si="197"/>
        <v>-</v>
      </c>
      <c r="BJ295" s="1075" t="str">
        <f t="shared" si="197"/>
        <v>-</v>
      </c>
      <c r="BK295" s="1075" t="str">
        <f t="shared" si="197"/>
        <v>-</v>
      </c>
      <c r="BL295" s="1075" t="str">
        <f t="shared" si="197"/>
        <v>-</v>
      </c>
      <c r="BM295" s="1075" t="str">
        <f t="shared" si="197"/>
        <v>-</v>
      </c>
      <c r="BN295" s="1075" t="str">
        <f t="shared" si="197"/>
        <v>-</v>
      </c>
      <c r="BO295" s="1075" t="str">
        <f t="shared" si="197"/>
        <v>-</v>
      </c>
      <c r="BP295" s="1075" t="str">
        <f t="shared" si="197"/>
        <v>-</v>
      </c>
      <c r="BQ295" s="1075" t="str">
        <f t="shared" si="197"/>
        <v>-</v>
      </c>
      <c r="BR295" s="1075" t="str">
        <f t="shared" si="197"/>
        <v>-</v>
      </c>
      <c r="BS295" s="1075" t="str">
        <f t="shared" si="197"/>
        <v>-</v>
      </c>
      <c r="BT295" s="1075" t="str">
        <f t="shared" si="197"/>
        <v>-</v>
      </c>
      <c r="BU295" s="1075" t="str">
        <f t="shared" si="197"/>
        <v>-</v>
      </c>
      <c r="BV295" s="1075" t="str">
        <f t="shared" si="197"/>
        <v>-</v>
      </c>
      <c r="BW295" s="1075" t="str">
        <f t="shared" si="197"/>
        <v>-</v>
      </c>
      <c r="BX295" s="1075" t="str">
        <f t="shared" si="197"/>
        <v>-</v>
      </c>
      <c r="BY295" s="1075" t="str">
        <f t="shared" si="197"/>
        <v>-</v>
      </c>
      <c r="BZ295" s="1075" t="str">
        <f t="shared" si="197"/>
        <v>-</v>
      </c>
      <c r="CA295" s="1075" t="str">
        <f t="shared" si="197"/>
        <v>-</v>
      </c>
      <c r="CB295" s="1075" t="str">
        <f t="shared" si="197"/>
        <v>-</v>
      </c>
      <c r="CC295" s="1075" t="str">
        <f t="shared" si="197"/>
        <v>-</v>
      </c>
      <c r="CD295" s="1075" t="str">
        <f t="shared" si="197"/>
        <v>-</v>
      </c>
      <c r="CE295" s="1075" t="str">
        <f t="shared" si="197"/>
        <v>-</v>
      </c>
      <c r="CF295" s="1075" t="str">
        <f t="shared" si="197"/>
        <v>-</v>
      </c>
      <c r="CG295" s="1075" t="str">
        <f t="shared" si="197"/>
        <v>-</v>
      </c>
      <c r="CH295" s="1075" t="str">
        <f t="shared" ref="CH295:CY295" si="198">IFERROR(AVERAGE(CH292:CH294),"-")</f>
        <v>-</v>
      </c>
      <c r="CI295" s="1075" t="str">
        <f t="shared" si="198"/>
        <v>-</v>
      </c>
      <c r="CJ295" s="1075" t="str">
        <f t="shared" si="198"/>
        <v>-</v>
      </c>
      <c r="CK295" s="1075" t="str">
        <f t="shared" si="198"/>
        <v>-</v>
      </c>
      <c r="CL295" s="1075" t="str">
        <f t="shared" si="198"/>
        <v>-</v>
      </c>
      <c r="CM295" s="1075" t="str">
        <f t="shared" si="198"/>
        <v>-</v>
      </c>
      <c r="CN295" s="1075" t="str">
        <f t="shared" si="198"/>
        <v>-</v>
      </c>
      <c r="CO295" s="1075" t="str">
        <f t="shared" si="198"/>
        <v>-</v>
      </c>
      <c r="CP295" s="1075" t="str">
        <f t="shared" si="198"/>
        <v>-</v>
      </c>
      <c r="CQ295" s="1075" t="str">
        <f t="shared" si="198"/>
        <v>-</v>
      </c>
      <c r="CR295" s="1075" t="str">
        <f t="shared" si="198"/>
        <v>-</v>
      </c>
      <c r="CS295" s="1075" t="str">
        <f t="shared" si="198"/>
        <v>-</v>
      </c>
      <c r="CT295" s="1075" t="str">
        <f t="shared" si="198"/>
        <v>-</v>
      </c>
      <c r="CU295" s="1075" t="str">
        <f t="shared" si="198"/>
        <v>-</v>
      </c>
      <c r="CV295" s="1075" t="str">
        <f t="shared" si="198"/>
        <v>-</v>
      </c>
      <c r="CW295" s="1075" t="str">
        <f t="shared" si="198"/>
        <v>-</v>
      </c>
      <c r="CX295" s="1075" t="str">
        <f t="shared" si="198"/>
        <v>-</v>
      </c>
      <c r="CY295" s="1075">
        <f t="shared" si="198"/>
        <v>378</v>
      </c>
      <c r="CZ295" s="1075">
        <f t="shared" ref="CZ295:DG295" si="199">IFERROR(AVERAGE(CZ292:CZ294),"-")</f>
        <v>378</v>
      </c>
      <c r="DA295" s="1075">
        <f t="shared" si="199"/>
        <v>378</v>
      </c>
      <c r="DB295" s="1075">
        <f t="shared" si="199"/>
        <v>443</v>
      </c>
      <c r="DC295" s="1075">
        <f t="shared" si="199"/>
        <v>443</v>
      </c>
      <c r="DD295" s="1075">
        <f t="shared" si="199"/>
        <v>443</v>
      </c>
      <c r="DE295" s="1075">
        <f t="shared" si="199"/>
        <v>443</v>
      </c>
      <c r="DF295" s="1075">
        <f t="shared" si="199"/>
        <v>425</v>
      </c>
      <c r="DG295" s="1075">
        <f t="shared" si="199"/>
        <v>425</v>
      </c>
      <c r="DH295" s="1075">
        <v>425</v>
      </c>
      <c r="DI295" s="1075">
        <f t="shared" ref="DI295:DM295" si="200">IFERROR(AVERAGE(DI292:DI294),"-")</f>
        <v>425</v>
      </c>
      <c r="DJ295" s="1075">
        <f t="shared" si="200"/>
        <v>425</v>
      </c>
      <c r="DK295" s="1075">
        <f t="shared" si="200"/>
        <v>425</v>
      </c>
      <c r="DL295" s="1075">
        <f t="shared" si="200"/>
        <v>425</v>
      </c>
      <c r="DM295" s="1075">
        <f t="shared" si="200"/>
        <v>403</v>
      </c>
      <c r="DN295"/>
      <c r="DO295"/>
      <c r="DP295"/>
      <c r="DQ295"/>
    </row>
    <row r="296" spans="1:121" x14ac:dyDescent="0.25">
      <c r="X296" s="340"/>
      <c r="Y296" s="340"/>
      <c r="Z296" s="340"/>
      <c r="AA296" s="340"/>
      <c r="AB296" s="340"/>
      <c r="AC296" s="340"/>
      <c r="AD296" s="340"/>
      <c r="AE296" s="340"/>
      <c r="AF296" s="340"/>
      <c r="AG296" s="340"/>
      <c r="AH296" s="340"/>
      <c r="AI296" s="340"/>
      <c r="AJ296" s="340"/>
      <c r="AK296" s="340"/>
      <c r="AL296" s="340"/>
      <c r="AM296" s="340"/>
      <c r="AN296" s="340"/>
      <c r="AO296" s="340"/>
      <c r="AP296" s="340"/>
      <c r="AQ296" s="340"/>
      <c r="AR296" s="340"/>
      <c r="AS296" s="340"/>
      <c r="AT296" s="801"/>
      <c r="AU296" s="801"/>
      <c r="AV296" s="922"/>
      <c r="AW296" s="801"/>
      <c r="AX296" s="801"/>
      <c r="AY296" s="801"/>
      <c r="AZ296" s="801"/>
      <c r="BA296" s="801"/>
      <c r="BB296" s="801"/>
      <c r="BC296" s="801"/>
      <c r="BD296" s="801"/>
      <c r="BE296" s="801"/>
      <c r="BF296" s="801"/>
      <c r="BG296" s="801"/>
      <c r="BH296" s="801"/>
      <c r="BI296" s="801"/>
      <c r="BJ296" s="801"/>
      <c r="BK296" s="801"/>
      <c r="BL296" s="801"/>
      <c r="BM296" s="801"/>
      <c r="BN296" s="801"/>
      <c r="BO296" s="801"/>
      <c r="BP296" s="801"/>
      <c r="BQ296" s="801"/>
      <c r="BR296" s="801"/>
      <c r="BS296" s="801"/>
      <c r="BT296" s="801"/>
      <c r="BU296" s="801"/>
      <c r="BV296" s="801"/>
      <c r="BW296" s="801"/>
      <c r="BX296" s="801"/>
      <c r="BY296" s="801"/>
      <c r="BZ296" s="801"/>
      <c r="CA296" s="801"/>
      <c r="CB296" s="801"/>
      <c r="CC296" s="801"/>
      <c r="CD296" s="801"/>
      <c r="CE296" s="801"/>
      <c r="CF296" s="801"/>
      <c r="CG296" s="801"/>
      <c r="CH296" s="801"/>
      <c r="CI296" s="801"/>
      <c r="CJ296" s="801"/>
      <c r="CK296" s="801"/>
      <c r="CL296" s="801"/>
      <c r="CM296" s="801"/>
      <c r="CN296" s="801"/>
      <c r="CO296" s="801"/>
      <c r="CP296" s="801"/>
      <c r="CQ296" s="801"/>
      <c r="CR296" s="801"/>
      <c r="CS296" s="801"/>
      <c r="CT296" s="801"/>
      <c r="CU296" s="801"/>
      <c r="CV296" s="801"/>
      <c r="CW296" s="801"/>
      <c r="CX296" s="801"/>
      <c r="CY296" s="801"/>
      <c r="CZ296" s="801"/>
      <c r="DA296" s="801"/>
      <c r="DB296" s="801"/>
      <c r="DC296" s="801"/>
      <c r="DD296" s="801"/>
      <c r="DE296" s="801"/>
      <c r="DF296" s="801"/>
      <c r="DG296" s="801"/>
      <c r="DH296" s="801"/>
      <c r="DI296" s="801"/>
      <c r="DJ296" s="801"/>
      <c r="DK296" s="801"/>
      <c r="DL296" s="801"/>
      <c r="DM296" s="801"/>
      <c r="DN296"/>
      <c r="DO296"/>
      <c r="DP296"/>
      <c r="DQ296"/>
    </row>
    <row r="297" spans="1:121" x14ac:dyDescent="0.25">
      <c r="B297" s="113" t="s">
        <v>1300</v>
      </c>
      <c r="C297" s="263">
        <f t="shared" ref="C297:BN297" si="201">C$11</f>
        <v>42522</v>
      </c>
      <c r="D297" s="263">
        <f t="shared" si="201"/>
        <v>42552</v>
      </c>
      <c r="E297" s="263">
        <f t="shared" si="201"/>
        <v>42583</v>
      </c>
      <c r="F297" s="263">
        <f t="shared" si="201"/>
        <v>42614</v>
      </c>
      <c r="G297" s="263">
        <f t="shared" si="201"/>
        <v>42644</v>
      </c>
      <c r="H297" s="263">
        <f t="shared" si="201"/>
        <v>42675</v>
      </c>
      <c r="I297" s="263">
        <f t="shared" si="201"/>
        <v>42705</v>
      </c>
      <c r="J297" s="263">
        <f t="shared" si="201"/>
        <v>42736</v>
      </c>
      <c r="K297" s="263">
        <f t="shared" si="201"/>
        <v>42767</v>
      </c>
      <c r="L297" s="263">
        <f t="shared" si="201"/>
        <v>42795</v>
      </c>
      <c r="M297" s="263">
        <f t="shared" si="201"/>
        <v>42826</v>
      </c>
      <c r="N297" s="263">
        <f t="shared" si="201"/>
        <v>42856</v>
      </c>
      <c r="O297" s="263">
        <f t="shared" si="201"/>
        <v>42887</v>
      </c>
      <c r="P297" s="263">
        <f t="shared" si="201"/>
        <v>42917</v>
      </c>
      <c r="Q297" s="263">
        <f t="shared" si="201"/>
        <v>42948</v>
      </c>
      <c r="R297" s="263">
        <f t="shared" si="201"/>
        <v>42979</v>
      </c>
      <c r="S297" s="263">
        <f t="shared" si="201"/>
        <v>43009</v>
      </c>
      <c r="T297" s="263">
        <f t="shared" si="201"/>
        <v>43040</v>
      </c>
      <c r="U297" s="263">
        <f t="shared" si="201"/>
        <v>43070</v>
      </c>
      <c r="V297" s="263">
        <f t="shared" si="201"/>
        <v>43101</v>
      </c>
      <c r="W297" s="263">
        <f t="shared" si="201"/>
        <v>43132</v>
      </c>
      <c r="X297" s="263">
        <f t="shared" si="201"/>
        <v>43160</v>
      </c>
      <c r="Y297" s="263">
        <f t="shared" si="201"/>
        <v>43191</v>
      </c>
      <c r="Z297" s="263">
        <f t="shared" si="201"/>
        <v>43221</v>
      </c>
      <c r="AA297" s="263">
        <f t="shared" si="201"/>
        <v>43252</v>
      </c>
      <c r="AB297" s="263">
        <f t="shared" si="201"/>
        <v>43283</v>
      </c>
      <c r="AC297" s="263">
        <f t="shared" si="201"/>
        <v>43314</v>
      </c>
      <c r="AD297" s="263">
        <f t="shared" si="201"/>
        <v>43345</v>
      </c>
      <c r="AE297" s="263">
        <f t="shared" si="201"/>
        <v>43376</v>
      </c>
      <c r="AF297" s="263">
        <f t="shared" si="201"/>
        <v>43407</v>
      </c>
      <c r="AG297" s="263">
        <f t="shared" si="201"/>
        <v>43437</v>
      </c>
      <c r="AH297" s="263">
        <f t="shared" si="201"/>
        <v>43468</v>
      </c>
      <c r="AI297" s="263">
        <f t="shared" si="201"/>
        <v>43499</v>
      </c>
      <c r="AJ297" s="263">
        <f t="shared" si="201"/>
        <v>43527</v>
      </c>
      <c r="AK297" s="263">
        <f t="shared" si="201"/>
        <v>43558</v>
      </c>
      <c r="AL297" s="263">
        <f t="shared" si="201"/>
        <v>43587</v>
      </c>
      <c r="AM297" s="263">
        <f t="shared" si="201"/>
        <v>43618</v>
      </c>
      <c r="AN297" s="263">
        <f t="shared" si="201"/>
        <v>43647</v>
      </c>
      <c r="AO297" s="263">
        <f t="shared" si="201"/>
        <v>43678</v>
      </c>
      <c r="AP297" s="263">
        <f t="shared" si="201"/>
        <v>43709</v>
      </c>
      <c r="AQ297" s="263">
        <f t="shared" si="201"/>
        <v>43739</v>
      </c>
      <c r="AR297" s="263">
        <f t="shared" si="201"/>
        <v>43770</v>
      </c>
      <c r="AS297" s="263">
        <f t="shared" si="201"/>
        <v>43800</v>
      </c>
      <c r="AT297" s="263">
        <f t="shared" si="201"/>
        <v>43831</v>
      </c>
      <c r="AU297" s="263">
        <f t="shared" si="201"/>
        <v>43862</v>
      </c>
      <c r="AV297" s="914">
        <f t="shared" si="201"/>
        <v>43891</v>
      </c>
      <c r="AW297" s="263">
        <f t="shared" si="201"/>
        <v>43922</v>
      </c>
      <c r="AX297" s="263">
        <f t="shared" si="201"/>
        <v>43952</v>
      </c>
      <c r="AY297" s="263">
        <f t="shared" si="201"/>
        <v>43983</v>
      </c>
      <c r="AZ297" s="263">
        <f t="shared" si="201"/>
        <v>44013</v>
      </c>
      <c r="BA297" s="263">
        <f t="shared" si="201"/>
        <v>44044</v>
      </c>
      <c r="BB297" s="263">
        <f t="shared" si="201"/>
        <v>44075</v>
      </c>
      <c r="BC297" s="263">
        <f t="shared" si="201"/>
        <v>44105</v>
      </c>
      <c r="BD297" s="263">
        <f t="shared" si="201"/>
        <v>44136</v>
      </c>
      <c r="BE297" s="263">
        <f t="shared" si="201"/>
        <v>44166</v>
      </c>
      <c r="BF297" s="263">
        <f t="shared" si="201"/>
        <v>44197</v>
      </c>
      <c r="BG297" s="263">
        <f t="shared" si="201"/>
        <v>44228</v>
      </c>
      <c r="BH297" s="263">
        <f t="shared" si="201"/>
        <v>44256</v>
      </c>
      <c r="BI297" s="263">
        <f t="shared" si="201"/>
        <v>44287</v>
      </c>
      <c r="BJ297" s="263">
        <f t="shared" si="201"/>
        <v>44317</v>
      </c>
      <c r="BK297" s="263">
        <f t="shared" si="201"/>
        <v>44348</v>
      </c>
      <c r="BL297" s="263">
        <f t="shared" si="201"/>
        <v>44378</v>
      </c>
      <c r="BM297" s="263">
        <f t="shared" si="201"/>
        <v>44409</v>
      </c>
      <c r="BN297" s="263">
        <f t="shared" si="201"/>
        <v>44440</v>
      </c>
      <c r="BO297" s="263">
        <f t="shared" ref="BO297:DM297" si="202">BO$11</f>
        <v>44470</v>
      </c>
      <c r="BP297" s="263">
        <f t="shared" si="202"/>
        <v>44501</v>
      </c>
      <c r="BQ297" s="263">
        <f t="shared" si="202"/>
        <v>44531</v>
      </c>
      <c r="BR297" s="263">
        <f t="shared" si="202"/>
        <v>44562</v>
      </c>
      <c r="BS297" s="263">
        <f t="shared" si="202"/>
        <v>44593</v>
      </c>
      <c r="BT297" s="263">
        <f t="shared" si="202"/>
        <v>44622</v>
      </c>
      <c r="BU297" s="263">
        <f t="shared" si="202"/>
        <v>44654</v>
      </c>
      <c r="BV297" s="263">
        <f t="shared" si="202"/>
        <v>44685</v>
      </c>
      <c r="BW297" s="263">
        <f t="shared" si="202"/>
        <v>44716</v>
      </c>
      <c r="BX297" s="263">
        <f t="shared" si="202"/>
        <v>44746</v>
      </c>
      <c r="BY297" s="263">
        <f t="shared" si="202"/>
        <v>44774</v>
      </c>
      <c r="BZ297" s="263">
        <f t="shared" si="202"/>
        <v>44805</v>
      </c>
      <c r="CA297" s="263">
        <f t="shared" si="202"/>
        <v>44835</v>
      </c>
      <c r="CB297" s="263">
        <f t="shared" si="202"/>
        <v>44866</v>
      </c>
      <c r="CC297" s="263">
        <f t="shared" si="202"/>
        <v>44896</v>
      </c>
      <c r="CD297" s="263">
        <f t="shared" si="202"/>
        <v>44927</v>
      </c>
      <c r="CE297" s="263">
        <f t="shared" si="202"/>
        <v>44958</v>
      </c>
      <c r="CF297" s="263">
        <f t="shared" si="202"/>
        <v>44986</v>
      </c>
      <c r="CG297" s="263">
        <f t="shared" si="202"/>
        <v>45017</v>
      </c>
      <c r="CH297" s="263">
        <f t="shared" si="202"/>
        <v>45047</v>
      </c>
      <c r="CI297" s="263">
        <f t="shared" si="202"/>
        <v>45078</v>
      </c>
      <c r="CJ297" s="263">
        <f t="shared" si="202"/>
        <v>45108</v>
      </c>
      <c r="CK297" s="263">
        <f t="shared" si="202"/>
        <v>45139</v>
      </c>
      <c r="CL297" s="263">
        <f t="shared" si="202"/>
        <v>45170</v>
      </c>
      <c r="CM297" s="263">
        <f t="shared" si="202"/>
        <v>45200</v>
      </c>
      <c r="CN297" s="263">
        <f t="shared" si="202"/>
        <v>45231</v>
      </c>
      <c r="CO297" s="263">
        <f t="shared" si="202"/>
        <v>45261</v>
      </c>
      <c r="CP297" s="263">
        <f t="shared" si="202"/>
        <v>45292</v>
      </c>
      <c r="CQ297" s="263">
        <f t="shared" si="202"/>
        <v>45323</v>
      </c>
      <c r="CR297" s="263">
        <f t="shared" si="202"/>
        <v>45352</v>
      </c>
      <c r="CS297" s="263">
        <f t="shared" si="202"/>
        <v>45383</v>
      </c>
      <c r="CT297" s="263">
        <f t="shared" si="202"/>
        <v>45413</v>
      </c>
      <c r="CU297" s="263">
        <f t="shared" si="202"/>
        <v>45444</v>
      </c>
      <c r="CV297" s="263">
        <f t="shared" si="202"/>
        <v>45474</v>
      </c>
      <c r="CW297" s="263">
        <f t="shared" si="202"/>
        <v>45505</v>
      </c>
      <c r="CX297" s="263">
        <f t="shared" si="202"/>
        <v>45536</v>
      </c>
      <c r="CY297" s="263">
        <f t="shared" si="202"/>
        <v>45566</v>
      </c>
      <c r="CZ297" s="263">
        <f t="shared" si="202"/>
        <v>45597</v>
      </c>
      <c r="DA297" s="263">
        <f t="shared" si="202"/>
        <v>45627</v>
      </c>
      <c r="DB297" s="263">
        <f t="shared" si="202"/>
        <v>45658</v>
      </c>
      <c r="DC297" s="263">
        <f t="shared" si="202"/>
        <v>45689</v>
      </c>
      <c r="DD297" s="263">
        <f t="shared" si="202"/>
        <v>45717</v>
      </c>
      <c r="DE297" s="263">
        <f t="shared" si="202"/>
        <v>45748</v>
      </c>
      <c r="DF297" s="263">
        <f t="shared" si="202"/>
        <v>45778</v>
      </c>
      <c r="DG297" s="263">
        <f t="shared" si="202"/>
        <v>45809</v>
      </c>
      <c r="DH297" s="263">
        <v>45839</v>
      </c>
      <c r="DI297" s="263">
        <f t="shared" si="202"/>
        <v>45870</v>
      </c>
      <c r="DJ297" s="263">
        <f t="shared" si="202"/>
        <v>45901</v>
      </c>
      <c r="DK297" s="263">
        <f t="shared" si="202"/>
        <v>45931</v>
      </c>
      <c r="DL297" s="263">
        <f t="shared" si="202"/>
        <v>45962</v>
      </c>
      <c r="DM297" s="263">
        <f t="shared" si="202"/>
        <v>45992</v>
      </c>
      <c r="DN297"/>
      <c r="DO297"/>
      <c r="DP297"/>
      <c r="DQ297"/>
    </row>
    <row r="298" spans="1:121" customFormat="1" x14ac:dyDescent="0.25">
      <c r="A298" s="262"/>
      <c r="B298" s="117" t="s">
        <v>542</v>
      </c>
      <c r="C298" s="264" t="s">
        <v>160</v>
      </c>
      <c r="D298" s="264" t="s">
        <v>160</v>
      </c>
      <c r="E298" s="264" t="s">
        <v>160</v>
      </c>
      <c r="F298" s="265" t="s">
        <v>160</v>
      </c>
      <c r="G298" s="265" t="s">
        <v>160</v>
      </c>
      <c r="H298" s="265" t="s">
        <v>160</v>
      </c>
      <c r="I298" s="265" t="s">
        <v>160</v>
      </c>
      <c r="J298" s="265" t="s">
        <v>160</v>
      </c>
      <c r="K298" s="265" t="s">
        <v>160</v>
      </c>
      <c r="L298" s="586" t="s">
        <v>160</v>
      </c>
      <c r="M298" s="586" t="s">
        <v>160</v>
      </c>
      <c r="N298" s="586" t="s">
        <v>160</v>
      </c>
      <c r="O298" s="586" t="s">
        <v>160</v>
      </c>
      <c r="P298" s="586" t="s">
        <v>160</v>
      </c>
      <c r="Q298" s="586" t="s">
        <v>160</v>
      </c>
      <c r="R298" s="586" t="s">
        <v>160</v>
      </c>
      <c r="S298" s="586" t="s">
        <v>160</v>
      </c>
      <c r="T298" s="586" t="s">
        <v>160</v>
      </c>
      <c r="U298" s="585" t="s">
        <v>160</v>
      </c>
      <c r="V298" s="585" t="s">
        <v>160</v>
      </c>
      <c r="W298" s="585" t="s">
        <v>160</v>
      </c>
      <c r="X298" s="585" t="s">
        <v>160</v>
      </c>
      <c r="Y298" s="585" t="s">
        <v>160</v>
      </c>
      <c r="Z298" s="585" t="s">
        <v>160</v>
      </c>
      <c r="AA298" s="585" t="s">
        <v>160</v>
      </c>
      <c r="AB298" s="585" t="s">
        <v>160</v>
      </c>
      <c r="AC298" s="585" t="s">
        <v>160</v>
      </c>
      <c r="AD298" s="585" t="s">
        <v>160</v>
      </c>
      <c r="AE298" s="585" t="s">
        <v>160</v>
      </c>
      <c r="AF298" s="585" t="s">
        <v>160</v>
      </c>
      <c r="AG298" s="585" t="s">
        <v>160</v>
      </c>
      <c r="AH298" s="585" t="s">
        <v>160</v>
      </c>
      <c r="AI298" s="585" t="s">
        <v>160</v>
      </c>
      <c r="AJ298" s="347" t="s">
        <v>160</v>
      </c>
      <c r="AK298" s="347" t="s">
        <v>160</v>
      </c>
      <c r="AL298" s="347" t="s">
        <v>160</v>
      </c>
      <c r="AM298" s="347" t="s">
        <v>160</v>
      </c>
      <c r="AN298" s="347" t="s">
        <v>160</v>
      </c>
      <c r="AO298" s="347" t="s">
        <v>160</v>
      </c>
      <c r="AP298" s="347" t="s">
        <v>160</v>
      </c>
      <c r="AQ298" s="347" t="s">
        <v>160</v>
      </c>
      <c r="AR298" s="347" t="s">
        <v>160</v>
      </c>
      <c r="AS298" s="347" t="s">
        <v>160</v>
      </c>
      <c r="AT298" s="347" t="s">
        <v>160</v>
      </c>
      <c r="AU298" s="347" t="s">
        <v>160</v>
      </c>
      <c r="AV298" s="928" t="s">
        <v>160</v>
      </c>
      <c r="AW298" s="347" t="s">
        <v>160</v>
      </c>
      <c r="AX298" s="347" t="s">
        <v>160</v>
      </c>
      <c r="AY298" s="347" t="s">
        <v>160</v>
      </c>
      <c r="AZ298" s="347" t="s">
        <v>160</v>
      </c>
      <c r="BA298" s="347" t="s">
        <v>160</v>
      </c>
      <c r="BB298" s="347" t="s">
        <v>160</v>
      </c>
      <c r="BC298" s="347" t="s">
        <v>160</v>
      </c>
      <c r="BD298" s="347" t="s">
        <v>160</v>
      </c>
      <c r="BE298" s="347" t="s">
        <v>160</v>
      </c>
      <c r="BF298" s="585" t="s">
        <v>160</v>
      </c>
      <c r="BG298" s="585" t="s">
        <v>160</v>
      </c>
      <c r="BH298" s="585" t="s">
        <v>160</v>
      </c>
      <c r="BI298" s="585" t="s">
        <v>160</v>
      </c>
      <c r="BJ298" s="585" t="s">
        <v>160</v>
      </c>
      <c r="BK298" s="585" t="s">
        <v>160</v>
      </c>
      <c r="BL298" s="585" t="s">
        <v>160</v>
      </c>
      <c r="BM298" s="585" t="s">
        <v>160</v>
      </c>
      <c r="BN298" s="585" t="s">
        <v>160</v>
      </c>
      <c r="BO298" s="585" t="s">
        <v>160</v>
      </c>
      <c r="BP298" s="585" t="s">
        <v>160</v>
      </c>
      <c r="BQ298" s="585" t="s">
        <v>160</v>
      </c>
      <c r="BR298" s="585" t="s">
        <v>160</v>
      </c>
      <c r="BS298" s="585" t="s">
        <v>160</v>
      </c>
      <c r="BT298" s="585" t="s">
        <v>160</v>
      </c>
      <c r="BU298" s="585" t="s">
        <v>160</v>
      </c>
      <c r="BV298" s="585" t="s">
        <v>160</v>
      </c>
      <c r="BW298" s="585" t="s">
        <v>160</v>
      </c>
      <c r="BX298" s="585" t="s">
        <v>160</v>
      </c>
      <c r="BY298" s="585" t="s">
        <v>160</v>
      </c>
      <c r="BZ298" s="585" t="s">
        <v>160</v>
      </c>
      <c r="CA298" s="585" t="s">
        <v>160</v>
      </c>
      <c r="CB298" s="585" t="s">
        <v>160</v>
      </c>
      <c r="CC298" s="585" t="s">
        <v>160</v>
      </c>
      <c r="CD298" s="585" t="s">
        <v>160</v>
      </c>
      <c r="CE298" s="585" t="s">
        <v>160</v>
      </c>
      <c r="CF298" s="585" t="s">
        <v>160</v>
      </c>
      <c r="CG298" s="585" t="s">
        <v>160</v>
      </c>
      <c r="CH298" s="585" t="s">
        <v>160</v>
      </c>
      <c r="CI298" s="585" t="s">
        <v>160</v>
      </c>
      <c r="CJ298" s="585" t="s">
        <v>160</v>
      </c>
      <c r="CK298" s="585" t="s">
        <v>160</v>
      </c>
      <c r="CL298" s="585" t="s">
        <v>160</v>
      </c>
      <c r="CM298" s="585" t="s">
        <v>160</v>
      </c>
      <c r="CN298" s="585" t="s">
        <v>160</v>
      </c>
      <c r="CO298" s="585" t="s">
        <v>160</v>
      </c>
      <c r="CP298" s="585" t="s">
        <v>160</v>
      </c>
      <c r="CQ298" s="585" t="s">
        <v>160</v>
      </c>
      <c r="CR298" s="585" t="s">
        <v>160</v>
      </c>
      <c r="CS298" s="585" t="s">
        <v>160</v>
      </c>
      <c r="CT298" s="585" t="s">
        <v>160</v>
      </c>
      <c r="CU298" s="585" t="s">
        <v>160</v>
      </c>
      <c r="CV298" s="585" t="s">
        <v>160</v>
      </c>
      <c r="CW298" s="585" t="s">
        <v>160</v>
      </c>
      <c r="CX298" s="585" t="s">
        <v>160</v>
      </c>
      <c r="CY298" s="585" t="s">
        <v>160</v>
      </c>
      <c r="CZ298" s="585" t="s">
        <v>160</v>
      </c>
      <c r="DA298" s="585" t="s">
        <v>160</v>
      </c>
      <c r="DB298" s="585" t="s">
        <v>160</v>
      </c>
      <c r="DC298" s="585" t="s">
        <v>160</v>
      </c>
      <c r="DD298" s="585" t="s">
        <v>160</v>
      </c>
      <c r="DE298" s="585" t="s">
        <v>160</v>
      </c>
      <c r="DF298" s="679">
        <v>276</v>
      </c>
      <c r="DG298" s="585">
        <v>276</v>
      </c>
      <c r="DH298" s="585">
        <v>276</v>
      </c>
      <c r="DI298" s="585">
        <v>276</v>
      </c>
      <c r="DJ298" s="585">
        <v>276</v>
      </c>
      <c r="DK298" s="585">
        <v>276</v>
      </c>
      <c r="DL298" s="585">
        <v>276</v>
      </c>
      <c r="DM298" s="585">
        <v>276</v>
      </c>
    </row>
    <row r="299" spans="1:121" customFormat="1" x14ac:dyDescent="0.25">
      <c r="A299" s="262"/>
      <c r="B299" s="117" t="s">
        <v>546</v>
      </c>
      <c r="C299" s="264" t="s">
        <v>160</v>
      </c>
      <c r="D299" s="264" t="s">
        <v>160</v>
      </c>
      <c r="E299" s="264" t="s">
        <v>160</v>
      </c>
      <c r="F299" s="264" t="s">
        <v>160</v>
      </c>
      <c r="G299" s="264" t="s">
        <v>160</v>
      </c>
      <c r="H299" s="265" t="s">
        <v>160</v>
      </c>
      <c r="I299" s="265" t="s">
        <v>160</v>
      </c>
      <c r="J299" s="265" t="s">
        <v>160</v>
      </c>
      <c r="K299" s="265" t="s">
        <v>160</v>
      </c>
      <c r="L299" s="586" t="s">
        <v>160</v>
      </c>
      <c r="M299" s="586" t="s">
        <v>160</v>
      </c>
      <c r="N299" s="586" t="s">
        <v>160</v>
      </c>
      <c r="O299" s="586" t="s">
        <v>160</v>
      </c>
      <c r="P299" s="586" t="s">
        <v>160</v>
      </c>
      <c r="Q299" s="586" t="s">
        <v>160</v>
      </c>
      <c r="R299" s="586" t="s">
        <v>160</v>
      </c>
      <c r="S299" s="586" t="s">
        <v>160</v>
      </c>
      <c r="T299" s="586" t="s">
        <v>160</v>
      </c>
      <c r="U299" s="586" t="s">
        <v>160</v>
      </c>
      <c r="V299" s="586" t="s">
        <v>160</v>
      </c>
      <c r="W299" s="586" t="s">
        <v>160</v>
      </c>
      <c r="X299" s="586" t="s">
        <v>160</v>
      </c>
      <c r="Y299" s="586" t="s">
        <v>160</v>
      </c>
      <c r="Z299" s="586" t="s">
        <v>160</v>
      </c>
      <c r="AA299" s="586" t="s">
        <v>160</v>
      </c>
      <c r="AB299" s="586" t="s">
        <v>160</v>
      </c>
      <c r="AC299" s="586" t="s">
        <v>160</v>
      </c>
      <c r="AD299" s="586" t="s">
        <v>160</v>
      </c>
      <c r="AE299" s="586" t="s">
        <v>160</v>
      </c>
      <c r="AF299" s="585" t="s">
        <v>160</v>
      </c>
      <c r="AG299" s="585" t="s">
        <v>160</v>
      </c>
      <c r="AH299" s="585" t="s">
        <v>160</v>
      </c>
      <c r="AI299" s="585" t="s">
        <v>160</v>
      </c>
      <c r="AJ299" s="347" t="s">
        <v>160</v>
      </c>
      <c r="AK299" s="347" t="s">
        <v>160</v>
      </c>
      <c r="AL299" s="347" t="s">
        <v>160</v>
      </c>
      <c r="AM299" s="347" t="s">
        <v>160</v>
      </c>
      <c r="AN299" s="347" t="s">
        <v>160</v>
      </c>
      <c r="AO299" s="347" t="s">
        <v>160</v>
      </c>
      <c r="AP299" s="347" t="s">
        <v>160</v>
      </c>
      <c r="AQ299" s="347" t="s">
        <v>160</v>
      </c>
      <c r="AR299" s="347" t="s">
        <v>160</v>
      </c>
      <c r="AS299" s="347" t="s">
        <v>160</v>
      </c>
      <c r="AT299" s="347" t="s">
        <v>160</v>
      </c>
      <c r="AU299" s="347" t="s">
        <v>160</v>
      </c>
      <c r="AV299" s="928" t="s">
        <v>160</v>
      </c>
      <c r="AW299" s="347" t="s">
        <v>160</v>
      </c>
      <c r="AX299" s="347" t="s">
        <v>160</v>
      </c>
      <c r="AY299" s="347" t="s">
        <v>160</v>
      </c>
      <c r="AZ299" s="347" t="s">
        <v>160</v>
      </c>
      <c r="BA299" s="347" t="s">
        <v>160</v>
      </c>
      <c r="BB299" s="347" t="s">
        <v>160</v>
      </c>
      <c r="BC299" s="347" t="s">
        <v>160</v>
      </c>
      <c r="BD299" s="347" t="s">
        <v>160</v>
      </c>
      <c r="BE299" s="347" t="s">
        <v>160</v>
      </c>
      <c r="BF299" s="347" t="s">
        <v>160</v>
      </c>
      <c r="BG299" s="347" t="s">
        <v>160</v>
      </c>
      <c r="BH299" s="347" t="s">
        <v>160</v>
      </c>
      <c r="BI299" s="347" t="s">
        <v>160</v>
      </c>
      <c r="BJ299" s="347" t="s">
        <v>160</v>
      </c>
      <c r="BK299" s="347" t="s">
        <v>160</v>
      </c>
      <c r="BL299" s="347" t="s">
        <v>160</v>
      </c>
      <c r="BM299" s="347" t="s">
        <v>160</v>
      </c>
      <c r="BN299" s="585" t="s">
        <v>160</v>
      </c>
      <c r="BO299" s="585" t="s">
        <v>160</v>
      </c>
      <c r="BP299" s="585" t="s">
        <v>160</v>
      </c>
      <c r="BQ299" s="585" t="s">
        <v>160</v>
      </c>
      <c r="BR299" s="585" t="s">
        <v>160</v>
      </c>
      <c r="BS299" s="585" t="s">
        <v>160</v>
      </c>
      <c r="BT299" s="585" t="s">
        <v>160</v>
      </c>
      <c r="BU299" s="585" t="s">
        <v>160</v>
      </c>
      <c r="BV299" s="585" t="s">
        <v>160</v>
      </c>
      <c r="BW299" s="585" t="s">
        <v>160</v>
      </c>
      <c r="BX299" s="585" t="s">
        <v>160</v>
      </c>
      <c r="BY299" s="585" t="s">
        <v>160</v>
      </c>
      <c r="BZ299" s="585" t="s">
        <v>160</v>
      </c>
      <c r="CA299" s="585" t="s">
        <v>160</v>
      </c>
      <c r="CB299" s="585" t="s">
        <v>160</v>
      </c>
      <c r="CC299" s="585" t="s">
        <v>160</v>
      </c>
      <c r="CD299" s="585" t="s">
        <v>160</v>
      </c>
      <c r="CE299" s="585" t="s">
        <v>160</v>
      </c>
      <c r="CF299" s="585" t="s">
        <v>160</v>
      </c>
      <c r="CG299" s="585" t="s">
        <v>160</v>
      </c>
      <c r="CH299" s="585" t="s">
        <v>160</v>
      </c>
      <c r="CI299" s="585" t="s">
        <v>160</v>
      </c>
      <c r="CJ299" s="585" t="s">
        <v>160</v>
      </c>
      <c r="CK299" s="585" t="s">
        <v>160</v>
      </c>
      <c r="CL299" s="585" t="s">
        <v>160</v>
      </c>
      <c r="CM299" s="585" t="s">
        <v>160</v>
      </c>
      <c r="CN299" s="585" t="s">
        <v>160</v>
      </c>
      <c r="CO299" s="585" t="s">
        <v>160</v>
      </c>
      <c r="CP299" s="585" t="s">
        <v>160</v>
      </c>
      <c r="CQ299" s="585" t="s">
        <v>160</v>
      </c>
      <c r="CR299" s="585" t="s">
        <v>160</v>
      </c>
      <c r="CS299" s="585" t="s">
        <v>160</v>
      </c>
      <c r="CT299" s="585" t="s">
        <v>160</v>
      </c>
      <c r="CU299" s="585" t="s">
        <v>160</v>
      </c>
      <c r="CV299" s="585" t="s">
        <v>160</v>
      </c>
      <c r="CW299" s="585" t="s">
        <v>160</v>
      </c>
      <c r="CX299" s="585" t="s">
        <v>160</v>
      </c>
      <c r="CY299" s="585" t="s">
        <v>160</v>
      </c>
      <c r="CZ299" s="585" t="s">
        <v>160</v>
      </c>
      <c r="DA299" s="585" t="s">
        <v>160</v>
      </c>
      <c r="DB299" s="585" t="s">
        <v>160</v>
      </c>
      <c r="DC299" s="585" t="s">
        <v>160</v>
      </c>
      <c r="DD299" s="585" t="s">
        <v>160</v>
      </c>
      <c r="DE299" s="585" t="s">
        <v>160</v>
      </c>
      <c r="DF299" s="585" t="s">
        <v>160</v>
      </c>
      <c r="DG299" s="585" t="s">
        <v>160</v>
      </c>
      <c r="DH299" s="585" t="s">
        <v>160</v>
      </c>
      <c r="DI299" s="585" t="s">
        <v>160</v>
      </c>
      <c r="DJ299" s="585" t="s">
        <v>160</v>
      </c>
      <c r="DK299" s="585" t="s">
        <v>160</v>
      </c>
      <c r="DL299" s="585" t="s">
        <v>160</v>
      </c>
      <c r="DM299" s="585" t="s">
        <v>160</v>
      </c>
    </row>
    <row r="300" spans="1:121" x14ac:dyDescent="0.25">
      <c r="B300" s="117" t="s">
        <v>547</v>
      </c>
      <c r="C300" s="264" t="s">
        <v>160</v>
      </c>
      <c r="D300" s="264" t="s">
        <v>160</v>
      </c>
      <c r="E300" s="264" t="s">
        <v>160</v>
      </c>
      <c r="F300" s="264" t="s">
        <v>160</v>
      </c>
      <c r="G300" s="265" t="s">
        <v>160</v>
      </c>
      <c r="H300" s="265" t="s">
        <v>160</v>
      </c>
      <c r="I300" s="265" t="s">
        <v>160</v>
      </c>
      <c r="J300" s="265" t="s">
        <v>160</v>
      </c>
      <c r="K300" s="265" t="s">
        <v>160</v>
      </c>
      <c r="L300" s="586" t="s">
        <v>160</v>
      </c>
      <c r="M300" s="586" t="s">
        <v>160</v>
      </c>
      <c r="N300" s="586" t="s">
        <v>160</v>
      </c>
      <c r="O300" s="586" t="s">
        <v>160</v>
      </c>
      <c r="P300" s="586" t="s">
        <v>160</v>
      </c>
      <c r="Q300" s="585" t="s">
        <v>160</v>
      </c>
      <c r="R300" s="585" t="s">
        <v>160</v>
      </c>
      <c r="S300" s="585" t="s">
        <v>160</v>
      </c>
      <c r="T300" s="585" t="s">
        <v>160</v>
      </c>
      <c r="U300" s="585" t="s">
        <v>160</v>
      </c>
      <c r="V300" s="585" t="s">
        <v>160</v>
      </c>
      <c r="W300" s="585" t="s">
        <v>160</v>
      </c>
      <c r="X300" s="585" t="s">
        <v>160</v>
      </c>
      <c r="Y300" s="585" t="s">
        <v>160</v>
      </c>
      <c r="Z300" s="585" t="s">
        <v>160</v>
      </c>
      <c r="AA300" s="585" t="s">
        <v>160</v>
      </c>
      <c r="AB300" s="585" t="s">
        <v>160</v>
      </c>
      <c r="AC300" s="585" t="s">
        <v>160</v>
      </c>
      <c r="AD300" s="585" t="s">
        <v>160</v>
      </c>
      <c r="AE300" s="585" t="s">
        <v>160</v>
      </c>
      <c r="AF300" s="585" t="s">
        <v>160</v>
      </c>
      <c r="AG300" s="585" t="s">
        <v>160</v>
      </c>
      <c r="AH300" s="585" t="s">
        <v>160</v>
      </c>
      <c r="AI300" s="585" t="s">
        <v>160</v>
      </c>
      <c r="AJ300" s="347" t="s">
        <v>160</v>
      </c>
      <c r="AK300" s="347" t="s">
        <v>160</v>
      </c>
      <c r="AL300" s="347" t="s">
        <v>160</v>
      </c>
      <c r="AM300" s="347" t="s">
        <v>160</v>
      </c>
      <c r="AN300" s="347" t="s">
        <v>160</v>
      </c>
      <c r="AO300" s="347" t="s">
        <v>160</v>
      </c>
      <c r="AP300" s="347" t="s">
        <v>160</v>
      </c>
      <c r="AQ300" s="347" t="s">
        <v>160</v>
      </c>
      <c r="AR300" s="347" t="s">
        <v>160</v>
      </c>
      <c r="AS300" s="347" t="s">
        <v>160</v>
      </c>
      <c r="AT300" s="347" t="s">
        <v>160</v>
      </c>
      <c r="AU300" s="347" t="s">
        <v>160</v>
      </c>
      <c r="AV300" s="928" t="s">
        <v>160</v>
      </c>
      <c r="AW300" s="347" t="s">
        <v>160</v>
      </c>
      <c r="AX300" s="347" t="s">
        <v>160</v>
      </c>
      <c r="AY300" s="347" t="s">
        <v>160</v>
      </c>
      <c r="AZ300" s="347" t="s">
        <v>160</v>
      </c>
      <c r="BA300" s="347" t="s">
        <v>160</v>
      </c>
      <c r="BB300" s="347" t="s">
        <v>160</v>
      </c>
      <c r="BC300" s="347" t="s">
        <v>160</v>
      </c>
      <c r="BD300" s="347" t="s">
        <v>160</v>
      </c>
      <c r="BE300" s="347" t="s">
        <v>160</v>
      </c>
      <c r="BF300" s="347" t="s">
        <v>160</v>
      </c>
      <c r="BG300" s="347" t="s">
        <v>160</v>
      </c>
      <c r="BH300" s="347" t="s">
        <v>160</v>
      </c>
      <c r="BI300" s="347" t="s">
        <v>160</v>
      </c>
      <c r="BJ300" s="347" t="s">
        <v>160</v>
      </c>
      <c r="BK300" s="347" t="s">
        <v>160</v>
      </c>
      <c r="BL300" s="347" t="s">
        <v>160</v>
      </c>
      <c r="BM300" s="347" t="s">
        <v>160</v>
      </c>
      <c r="BN300" s="585" t="s">
        <v>160</v>
      </c>
      <c r="BO300" s="585" t="s">
        <v>160</v>
      </c>
      <c r="BP300" s="585" t="s">
        <v>160</v>
      </c>
      <c r="BQ300" s="585" t="s">
        <v>160</v>
      </c>
      <c r="BR300" s="585" t="s">
        <v>160</v>
      </c>
      <c r="BS300" s="585" t="s">
        <v>160</v>
      </c>
      <c r="BT300" s="585" t="s">
        <v>160</v>
      </c>
      <c r="BU300" s="585" t="s">
        <v>160</v>
      </c>
      <c r="BV300" s="585" t="s">
        <v>160</v>
      </c>
      <c r="BW300" s="585" t="s">
        <v>160</v>
      </c>
      <c r="BX300" s="585" t="s">
        <v>160</v>
      </c>
      <c r="BY300" s="585" t="s">
        <v>160</v>
      </c>
      <c r="BZ300" s="585" t="s">
        <v>160</v>
      </c>
      <c r="CA300" s="585" t="s">
        <v>160</v>
      </c>
      <c r="CB300" s="585" t="s">
        <v>160</v>
      </c>
      <c r="CC300" s="585" t="s">
        <v>160</v>
      </c>
      <c r="CD300" s="585" t="s">
        <v>160</v>
      </c>
      <c r="CE300" s="585" t="s">
        <v>160</v>
      </c>
      <c r="CF300" s="585" t="s">
        <v>160</v>
      </c>
      <c r="CG300" s="585" t="s">
        <v>160</v>
      </c>
      <c r="CH300" s="585" t="s">
        <v>160</v>
      </c>
      <c r="CI300" s="585" t="s">
        <v>160</v>
      </c>
      <c r="CJ300" s="585" t="s">
        <v>160</v>
      </c>
      <c r="CK300" s="585" t="s">
        <v>160</v>
      </c>
      <c r="CL300" s="585" t="s">
        <v>160</v>
      </c>
      <c r="CM300" s="585" t="s">
        <v>160</v>
      </c>
      <c r="CN300" s="585" t="s">
        <v>160</v>
      </c>
      <c r="CO300" s="585" t="s">
        <v>160</v>
      </c>
      <c r="CP300" s="585" t="s">
        <v>160</v>
      </c>
      <c r="CQ300" s="585" t="s">
        <v>160</v>
      </c>
      <c r="CR300" s="585" t="s">
        <v>160</v>
      </c>
      <c r="CS300" s="585" t="s">
        <v>160</v>
      </c>
      <c r="CT300" s="585" t="s">
        <v>160</v>
      </c>
      <c r="CU300" s="585" t="s">
        <v>160</v>
      </c>
      <c r="CV300" s="585" t="s">
        <v>160</v>
      </c>
      <c r="CW300" s="585" t="s">
        <v>160</v>
      </c>
      <c r="CX300" s="585" t="s">
        <v>160</v>
      </c>
      <c r="CY300" s="585">
        <v>270</v>
      </c>
      <c r="CZ300" s="585">
        <v>270</v>
      </c>
      <c r="DA300" s="585">
        <v>270</v>
      </c>
      <c r="DB300" s="679">
        <v>303</v>
      </c>
      <c r="DC300" s="585">
        <v>303</v>
      </c>
      <c r="DD300" s="585">
        <v>303</v>
      </c>
      <c r="DE300" s="585">
        <v>303</v>
      </c>
      <c r="DF300" s="585">
        <v>303</v>
      </c>
      <c r="DG300" s="585">
        <v>303</v>
      </c>
      <c r="DH300" s="585">
        <v>303</v>
      </c>
      <c r="DI300" s="585">
        <v>303</v>
      </c>
      <c r="DJ300" s="585">
        <v>303</v>
      </c>
      <c r="DK300" s="585">
        <v>303</v>
      </c>
      <c r="DL300" s="585">
        <v>303</v>
      </c>
      <c r="DM300" s="585">
        <v>270</v>
      </c>
      <c r="DN300"/>
      <c r="DO300"/>
      <c r="DP300"/>
      <c r="DQ300"/>
    </row>
    <row r="301" spans="1:121" x14ac:dyDescent="0.25">
      <c r="A301"/>
      <c r="B301" s="1072" t="s">
        <v>557</v>
      </c>
      <c r="C301" s="1075" t="str">
        <f t="shared" ref="C301:AH301" si="203">IFERROR(AVERAGE(C298:C300),"-")</f>
        <v>-</v>
      </c>
      <c r="D301" s="1075" t="str">
        <f t="shared" si="203"/>
        <v>-</v>
      </c>
      <c r="E301" s="1075" t="str">
        <f t="shared" si="203"/>
        <v>-</v>
      </c>
      <c r="F301" s="1075" t="str">
        <f t="shared" si="203"/>
        <v>-</v>
      </c>
      <c r="G301" s="1075" t="str">
        <f t="shared" si="203"/>
        <v>-</v>
      </c>
      <c r="H301" s="1075" t="str">
        <f t="shared" si="203"/>
        <v>-</v>
      </c>
      <c r="I301" s="1075" t="str">
        <f t="shared" si="203"/>
        <v>-</v>
      </c>
      <c r="J301" s="1075" t="str">
        <f t="shared" si="203"/>
        <v>-</v>
      </c>
      <c r="K301" s="1075" t="str">
        <f t="shared" si="203"/>
        <v>-</v>
      </c>
      <c r="L301" s="1075" t="str">
        <f t="shared" si="203"/>
        <v>-</v>
      </c>
      <c r="M301" s="1075" t="str">
        <f t="shared" si="203"/>
        <v>-</v>
      </c>
      <c r="N301" s="1075" t="str">
        <f t="shared" si="203"/>
        <v>-</v>
      </c>
      <c r="O301" s="1075" t="str">
        <f t="shared" si="203"/>
        <v>-</v>
      </c>
      <c r="P301" s="1075" t="str">
        <f t="shared" si="203"/>
        <v>-</v>
      </c>
      <c r="Q301" s="1075" t="str">
        <f t="shared" si="203"/>
        <v>-</v>
      </c>
      <c r="R301" s="1075" t="str">
        <f t="shared" si="203"/>
        <v>-</v>
      </c>
      <c r="S301" s="1075" t="str">
        <f t="shared" si="203"/>
        <v>-</v>
      </c>
      <c r="T301" s="1075" t="str">
        <f t="shared" si="203"/>
        <v>-</v>
      </c>
      <c r="U301" s="1075" t="str">
        <f t="shared" si="203"/>
        <v>-</v>
      </c>
      <c r="V301" s="1075" t="str">
        <f t="shared" si="203"/>
        <v>-</v>
      </c>
      <c r="W301" s="1075" t="str">
        <f t="shared" si="203"/>
        <v>-</v>
      </c>
      <c r="X301" s="1075" t="str">
        <f t="shared" si="203"/>
        <v>-</v>
      </c>
      <c r="Y301" s="1075" t="str">
        <f t="shared" si="203"/>
        <v>-</v>
      </c>
      <c r="Z301" s="1075" t="str">
        <f t="shared" si="203"/>
        <v>-</v>
      </c>
      <c r="AA301" s="1075" t="str">
        <f t="shared" si="203"/>
        <v>-</v>
      </c>
      <c r="AB301" s="1075" t="str">
        <f t="shared" si="203"/>
        <v>-</v>
      </c>
      <c r="AC301" s="1075" t="str">
        <f t="shared" si="203"/>
        <v>-</v>
      </c>
      <c r="AD301" s="1075" t="str">
        <f t="shared" si="203"/>
        <v>-</v>
      </c>
      <c r="AE301" s="1075" t="str">
        <f t="shared" si="203"/>
        <v>-</v>
      </c>
      <c r="AF301" s="1075" t="str">
        <f t="shared" si="203"/>
        <v>-</v>
      </c>
      <c r="AG301" s="1075" t="str">
        <f t="shared" si="203"/>
        <v>-</v>
      </c>
      <c r="AH301" s="1075" t="str">
        <f t="shared" si="203"/>
        <v>-</v>
      </c>
      <c r="AI301" s="1075" t="str">
        <f t="shared" ref="AI301:BN301" si="204">IFERROR(AVERAGE(AI298:AI300),"-")</f>
        <v>-</v>
      </c>
      <c r="AJ301" s="1075" t="str">
        <f t="shared" si="204"/>
        <v>-</v>
      </c>
      <c r="AK301" s="1075" t="str">
        <f t="shared" si="204"/>
        <v>-</v>
      </c>
      <c r="AL301" s="1075" t="str">
        <f t="shared" si="204"/>
        <v>-</v>
      </c>
      <c r="AM301" s="1075" t="str">
        <f t="shared" si="204"/>
        <v>-</v>
      </c>
      <c r="AN301" s="1075" t="str">
        <f t="shared" si="204"/>
        <v>-</v>
      </c>
      <c r="AO301" s="1075" t="str">
        <f t="shared" si="204"/>
        <v>-</v>
      </c>
      <c r="AP301" s="1075" t="str">
        <f t="shared" si="204"/>
        <v>-</v>
      </c>
      <c r="AQ301" s="1075" t="str">
        <f t="shared" si="204"/>
        <v>-</v>
      </c>
      <c r="AR301" s="1075" t="str">
        <f t="shared" si="204"/>
        <v>-</v>
      </c>
      <c r="AS301" s="1075" t="str">
        <f t="shared" si="204"/>
        <v>-</v>
      </c>
      <c r="AT301" s="1075" t="str">
        <f t="shared" si="204"/>
        <v>-</v>
      </c>
      <c r="AU301" s="1075" t="str">
        <f t="shared" si="204"/>
        <v>-</v>
      </c>
      <c r="AV301" s="1075" t="str">
        <f t="shared" si="204"/>
        <v>-</v>
      </c>
      <c r="AW301" s="1075" t="str">
        <f t="shared" si="204"/>
        <v>-</v>
      </c>
      <c r="AX301" s="1075" t="str">
        <f t="shared" si="204"/>
        <v>-</v>
      </c>
      <c r="AY301" s="1075" t="str">
        <f t="shared" si="204"/>
        <v>-</v>
      </c>
      <c r="AZ301" s="1075" t="str">
        <f t="shared" si="204"/>
        <v>-</v>
      </c>
      <c r="BA301" s="1075" t="str">
        <f t="shared" si="204"/>
        <v>-</v>
      </c>
      <c r="BB301" s="1075" t="str">
        <f t="shared" si="204"/>
        <v>-</v>
      </c>
      <c r="BC301" s="1075" t="str">
        <f t="shared" si="204"/>
        <v>-</v>
      </c>
      <c r="BD301" s="1075" t="str">
        <f t="shared" si="204"/>
        <v>-</v>
      </c>
      <c r="BE301" s="1075" t="str">
        <f t="shared" si="204"/>
        <v>-</v>
      </c>
      <c r="BF301" s="1075" t="str">
        <f t="shared" si="204"/>
        <v>-</v>
      </c>
      <c r="BG301" s="1075" t="str">
        <f t="shared" si="204"/>
        <v>-</v>
      </c>
      <c r="BH301" s="1075" t="str">
        <f t="shared" si="204"/>
        <v>-</v>
      </c>
      <c r="BI301" s="1075" t="str">
        <f t="shared" si="204"/>
        <v>-</v>
      </c>
      <c r="BJ301" s="1075" t="str">
        <f t="shared" si="204"/>
        <v>-</v>
      </c>
      <c r="BK301" s="1075" t="str">
        <f t="shared" si="204"/>
        <v>-</v>
      </c>
      <c r="BL301" s="1075" t="str">
        <f t="shared" si="204"/>
        <v>-</v>
      </c>
      <c r="BM301" s="1075" t="str">
        <f t="shared" si="204"/>
        <v>-</v>
      </c>
      <c r="BN301" s="1075" t="str">
        <f t="shared" si="204"/>
        <v>-</v>
      </c>
      <c r="BO301" s="1075" t="str">
        <f t="shared" ref="BO301:CT301" si="205">IFERROR(AVERAGE(BO298:BO300),"-")</f>
        <v>-</v>
      </c>
      <c r="BP301" s="1075" t="str">
        <f t="shared" si="205"/>
        <v>-</v>
      </c>
      <c r="BQ301" s="1075" t="str">
        <f t="shared" si="205"/>
        <v>-</v>
      </c>
      <c r="BR301" s="1075" t="str">
        <f t="shared" si="205"/>
        <v>-</v>
      </c>
      <c r="BS301" s="1075" t="str">
        <f t="shared" si="205"/>
        <v>-</v>
      </c>
      <c r="BT301" s="1075" t="str">
        <f t="shared" si="205"/>
        <v>-</v>
      </c>
      <c r="BU301" s="1075" t="str">
        <f t="shared" si="205"/>
        <v>-</v>
      </c>
      <c r="BV301" s="1075" t="str">
        <f t="shared" si="205"/>
        <v>-</v>
      </c>
      <c r="BW301" s="1075" t="str">
        <f t="shared" si="205"/>
        <v>-</v>
      </c>
      <c r="BX301" s="1075" t="str">
        <f t="shared" si="205"/>
        <v>-</v>
      </c>
      <c r="BY301" s="1075" t="str">
        <f t="shared" si="205"/>
        <v>-</v>
      </c>
      <c r="BZ301" s="1075" t="str">
        <f t="shared" si="205"/>
        <v>-</v>
      </c>
      <c r="CA301" s="1075" t="str">
        <f t="shared" si="205"/>
        <v>-</v>
      </c>
      <c r="CB301" s="1075" t="str">
        <f t="shared" si="205"/>
        <v>-</v>
      </c>
      <c r="CC301" s="1075" t="str">
        <f t="shared" si="205"/>
        <v>-</v>
      </c>
      <c r="CD301" s="1075" t="str">
        <f t="shared" si="205"/>
        <v>-</v>
      </c>
      <c r="CE301" s="1075" t="str">
        <f t="shared" si="205"/>
        <v>-</v>
      </c>
      <c r="CF301" s="1075" t="str">
        <f t="shared" si="205"/>
        <v>-</v>
      </c>
      <c r="CG301" s="1075" t="str">
        <f t="shared" si="205"/>
        <v>-</v>
      </c>
      <c r="CH301" s="1075" t="str">
        <f t="shared" si="205"/>
        <v>-</v>
      </c>
      <c r="CI301" s="1075" t="str">
        <f t="shared" si="205"/>
        <v>-</v>
      </c>
      <c r="CJ301" s="1075" t="str">
        <f t="shared" si="205"/>
        <v>-</v>
      </c>
      <c r="CK301" s="1075" t="str">
        <f t="shared" si="205"/>
        <v>-</v>
      </c>
      <c r="CL301" s="1075" t="str">
        <f t="shared" si="205"/>
        <v>-</v>
      </c>
      <c r="CM301" s="1075" t="str">
        <f t="shared" si="205"/>
        <v>-</v>
      </c>
      <c r="CN301" s="1075" t="str">
        <f t="shared" si="205"/>
        <v>-</v>
      </c>
      <c r="CO301" s="1075" t="str">
        <f t="shared" si="205"/>
        <v>-</v>
      </c>
      <c r="CP301" s="1075" t="str">
        <f t="shared" si="205"/>
        <v>-</v>
      </c>
      <c r="CQ301" s="1075" t="str">
        <f t="shared" si="205"/>
        <v>-</v>
      </c>
      <c r="CR301" s="1075" t="str">
        <f t="shared" si="205"/>
        <v>-</v>
      </c>
      <c r="CS301" s="1075" t="str">
        <f t="shared" si="205"/>
        <v>-</v>
      </c>
      <c r="CT301" s="1075" t="str">
        <f t="shared" si="205"/>
        <v>-</v>
      </c>
      <c r="CU301" s="1075" t="str">
        <f t="shared" ref="CU301:DG301" si="206">IFERROR(AVERAGE(CU298:CU300),"-")</f>
        <v>-</v>
      </c>
      <c r="CV301" s="1075" t="str">
        <f t="shared" si="206"/>
        <v>-</v>
      </c>
      <c r="CW301" s="1075" t="str">
        <f t="shared" si="206"/>
        <v>-</v>
      </c>
      <c r="CX301" s="1075" t="str">
        <f t="shared" si="206"/>
        <v>-</v>
      </c>
      <c r="CY301" s="1075">
        <f t="shared" si="206"/>
        <v>270</v>
      </c>
      <c r="CZ301" s="1075">
        <f t="shared" si="206"/>
        <v>270</v>
      </c>
      <c r="DA301" s="1075">
        <f t="shared" si="206"/>
        <v>270</v>
      </c>
      <c r="DB301" s="1075">
        <f t="shared" si="206"/>
        <v>303</v>
      </c>
      <c r="DC301" s="1075">
        <f t="shared" si="206"/>
        <v>303</v>
      </c>
      <c r="DD301" s="1075">
        <f t="shared" si="206"/>
        <v>303</v>
      </c>
      <c r="DE301" s="1075">
        <f t="shared" si="206"/>
        <v>303</v>
      </c>
      <c r="DF301" s="1075">
        <f t="shared" si="206"/>
        <v>289.5</v>
      </c>
      <c r="DG301" s="1075">
        <f t="shared" si="206"/>
        <v>289.5</v>
      </c>
      <c r="DH301" s="1075">
        <v>289.5</v>
      </c>
      <c r="DI301" s="1075">
        <f t="shared" ref="DI301:DM301" si="207">IFERROR(AVERAGE(DI298:DI300),"-")</f>
        <v>289.5</v>
      </c>
      <c r="DJ301" s="1075">
        <f t="shared" si="207"/>
        <v>289.5</v>
      </c>
      <c r="DK301" s="1075">
        <f t="shared" si="207"/>
        <v>289.5</v>
      </c>
      <c r="DL301" s="1075">
        <f t="shared" si="207"/>
        <v>289.5</v>
      </c>
      <c r="DM301" s="1075">
        <f t="shared" si="207"/>
        <v>273</v>
      </c>
      <c r="DN301"/>
      <c r="DO301"/>
      <c r="DP301"/>
      <c r="DQ301"/>
    </row>
    <row r="302" spans="1:121" x14ac:dyDescent="0.25">
      <c r="X302" s="340"/>
      <c r="Y302" s="340"/>
      <c r="Z302" s="340"/>
      <c r="AA302" s="340"/>
      <c r="AB302" s="340"/>
      <c r="AC302" s="340"/>
      <c r="AD302" s="340"/>
      <c r="AE302" s="340"/>
      <c r="AF302" s="340"/>
      <c r="AG302" s="340"/>
      <c r="AH302" s="340"/>
      <c r="AI302" s="340"/>
      <c r="AJ302" s="340"/>
      <c r="AK302" s="340"/>
      <c r="AL302" s="340"/>
      <c r="AM302" s="340"/>
      <c r="AN302" s="340"/>
      <c r="AO302" s="340"/>
      <c r="AP302" s="340"/>
      <c r="AQ302" s="340"/>
      <c r="AR302" s="340"/>
      <c r="AS302" s="340"/>
      <c r="AT302" s="761"/>
    </row>
    <row r="303" spans="1:121" x14ac:dyDescent="0.25">
      <c r="X303" s="340"/>
      <c r="Y303" s="340"/>
      <c r="Z303" s="340"/>
      <c r="AA303" s="340"/>
      <c r="AB303" s="340"/>
      <c r="AC303" s="340"/>
      <c r="AD303" s="340"/>
      <c r="AE303" s="340"/>
      <c r="AF303" s="340"/>
      <c r="AG303" s="340"/>
      <c r="AH303" s="340"/>
      <c r="AI303" s="340"/>
      <c r="AJ303" s="340"/>
      <c r="AK303" s="340"/>
      <c r="AL303" s="340"/>
      <c r="AM303" s="340"/>
      <c r="AN303" s="340"/>
      <c r="AO303" s="340"/>
      <c r="AP303" s="340"/>
      <c r="AQ303" s="340"/>
      <c r="AR303" s="340"/>
      <c r="AS303" s="340"/>
      <c r="AT303" s="761"/>
    </row>
    <row r="304" spans="1:121" x14ac:dyDescent="0.25">
      <c r="X304" s="340"/>
      <c r="Y304" s="340"/>
      <c r="Z304" s="340"/>
      <c r="AA304" s="340"/>
      <c r="AB304" s="340"/>
      <c r="AC304" s="340"/>
      <c r="AD304" s="340"/>
      <c r="AE304" s="340"/>
      <c r="AF304" s="340"/>
      <c r="AG304" s="340"/>
      <c r="AH304" s="340"/>
      <c r="AI304" s="340"/>
      <c r="AJ304" s="340"/>
      <c r="AK304" s="340"/>
      <c r="AL304" s="340"/>
      <c r="AM304" s="340"/>
      <c r="AN304" s="340"/>
      <c r="AO304" s="340"/>
      <c r="AP304" s="340"/>
      <c r="AQ304" s="340"/>
      <c r="AR304" s="340"/>
      <c r="AS304" s="340"/>
      <c r="AT304" s="761"/>
    </row>
    <row r="305" spans="2:121" x14ac:dyDescent="0.25">
      <c r="X305" s="340"/>
      <c r="Y305" s="340"/>
      <c r="Z305" s="340"/>
      <c r="AA305" s="340"/>
      <c r="AB305" s="340"/>
      <c r="AC305" s="340"/>
      <c r="AD305" s="340"/>
      <c r="AE305" s="340"/>
      <c r="AF305" s="340"/>
      <c r="AG305" s="340"/>
      <c r="AH305" s="340"/>
      <c r="AI305" s="340"/>
      <c r="AJ305" s="340"/>
      <c r="AK305" s="340"/>
      <c r="AL305" s="340"/>
      <c r="AM305" s="340"/>
      <c r="AN305" s="340"/>
      <c r="AO305" s="340"/>
      <c r="AP305" s="340"/>
      <c r="AQ305" s="340"/>
      <c r="AR305" s="340"/>
      <c r="AS305" s="340"/>
      <c r="AT305" s="761"/>
    </row>
    <row r="306" spans="2:121" x14ac:dyDescent="0.25">
      <c r="X306" s="340"/>
      <c r="Y306" s="340"/>
      <c r="Z306" s="340"/>
      <c r="AA306" s="340"/>
      <c r="AB306" s="340"/>
      <c r="AC306" s="340"/>
      <c r="AD306" s="340"/>
      <c r="AE306" s="340"/>
      <c r="AF306" s="340"/>
      <c r="AG306" s="340"/>
      <c r="AH306" s="340"/>
      <c r="AI306" s="340"/>
      <c r="AJ306" s="340"/>
      <c r="AK306" s="340"/>
      <c r="AL306" s="340"/>
      <c r="AM306" s="340"/>
      <c r="AN306" s="340"/>
      <c r="AO306" s="340"/>
      <c r="AP306" s="340"/>
      <c r="AQ306" s="340"/>
      <c r="AR306" s="340"/>
      <c r="AS306" s="340"/>
      <c r="AT306" s="761"/>
    </row>
    <row r="307" spans="2:121" x14ac:dyDescent="0.25">
      <c r="X307" s="340"/>
      <c r="Y307" s="340"/>
      <c r="Z307" s="340"/>
      <c r="AA307" s="340"/>
      <c r="AB307" s="340"/>
      <c r="AC307" s="340"/>
      <c r="AD307" s="340"/>
      <c r="AE307" s="340"/>
      <c r="AF307" s="340"/>
      <c r="AG307" s="340"/>
      <c r="AH307" s="340"/>
      <c r="AI307" s="340"/>
      <c r="AJ307" s="340"/>
      <c r="AK307" s="340"/>
      <c r="AL307" s="340"/>
      <c r="AM307" s="340"/>
      <c r="AN307" s="340"/>
      <c r="AO307" s="340"/>
      <c r="AP307" s="340"/>
      <c r="AQ307" s="340"/>
      <c r="AR307" s="340"/>
      <c r="AS307" s="340"/>
      <c r="AT307" s="761"/>
    </row>
    <row r="308" spans="2:121" x14ac:dyDescent="0.25">
      <c r="X308" s="340"/>
      <c r="Y308" s="340"/>
      <c r="Z308" s="340"/>
      <c r="AA308" s="340"/>
      <c r="AB308" s="340"/>
      <c r="AC308" s="340"/>
      <c r="AD308" s="340"/>
      <c r="AE308" s="340"/>
      <c r="AF308" s="340"/>
      <c r="AG308" s="340"/>
      <c r="AH308" s="340"/>
      <c r="AI308" s="340"/>
      <c r="AJ308" s="340"/>
      <c r="AK308" s="340"/>
      <c r="AL308" s="340"/>
      <c r="AM308" s="340"/>
      <c r="AN308" s="340"/>
      <c r="AO308" s="340"/>
      <c r="AP308" s="340"/>
      <c r="AQ308" s="340"/>
      <c r="AR308" s="340"/>
      <c r="AS308" s="340"/>
      <c r="AT308" s="761"/>
    </row>
    <row r="309" spans="2:121" x14ac:dyDescent="0.25">
      <c r="X309" s="340"/>
      <c r="Y309" s="340"/>
      <c r="Z309" s="340"/>
      <c r="AA309" s="340"/>
      <c r="AB309" s="340"/>
      <c r="AC309" s="340"/>
      <c r="AD309" s="340"/>
      <c r="AE309" s="340"/>
      <c r="AF309" s="340"/>
      <c r="AG309" s="340"/>
      <c r="AH309" s="340"/>
      <c r="AI309" s="340"/>
      <c r="AJ309" s="340"/>
      <c r="AK309" s="340"/>
      <c r="AL309" s="340"/>
      <c r="AM309" s="340"/>
      <c r="AN309" s="340"/>
      <c r="AO309" s="340"/>
      <c r="AP309" s="340"/>
      <c r="AQ309" s="340"/>
      <c r="AR309" s="340"/>
      <c r="AS309" s="340"/>
      <c r="AT309" s="761"/>
    </row>
    <row r="310" spans="2:121" x14ac:dyDescent="0.25">
      <c r="X310" s="340"/>
      <c r="Y310" s="340"/>
      <c r="Z310" s="340"/>
      <c r="AA310" s="340"/>
      <c r="AB310" s="340"/>
      <c r="AC310" s="340"/>
      <c r="AD310" s="340"/>
      <c r="AE310" s="340"/>
      <c r="AF310" s="340"/>
      <c r="AG310" s="340"/>
      <c r="AH310" s="340"/>
      <c r="AI310" s="340"/>
      <c r="AJ310" s="340"/>
      <c r="AK310" s="340"/>
      <c r="AL310" s="340"/>
      <c r="AM310" s="340"/>
      <c r="AN310" s="340"/>
      <c r="AO310" s="340"/>
      <c r="AP310" s="340"/>
      <c r="AQ310" s="340"/>
      <c r="AR310" s="340"/>
      <c r="AS310" s="340"/>
      <c r="AT310" s="761"/>
    </row>
    <row r="311" spans="2:121" x14ac:dyDescent="0.25">
      <c r="X311" s="340"/>
      <c r="Y311" s="340"/>
      <c r="Z311" s="340"/>
      <c r="AA311" s="340"/>
      <c r="AB311" s="340"/>
      <c r="AC311" s="340"/>
      <c r="AD311" s="340"/>
      <c r="AE311" s="340"/>
      <c r="AF311" s="340"/>
      <c r="AG311" s="340"/>
      <c r="AH311" s="340"/>
      <c r="AI311" s="340"/>
      <c r="AJ311" s="340"/>
      <c r="AK311" s="340"/>
      <c r="AL311" s="340"/>
      <c r="AM311" s="340"/>
      <c r="AN311" s="340"/>
      <c r="AO311" s="340"/>
      <c r="AP311" s="340"/>
      <c r="AQ311" s="340"/>
      <c r="AR311" s="340"/>
      <c r="AS311" s="340"/>
      <c r="AT311" s="761"/>
    </row>
    <row r="312" spans="2:121" x14ac:dyDescent="0.25">
      <c r="X312" s="340"/>
      <c r="Y312" s="340"/>
      <c r="Z312" s="340"/>
      <c r="AA312" s="340"/>
      <c r="AB312" s="340"/>
      <c r="AC312" s="340"/>
      <c r="AD312" s="340"/>
      <c r="AE312" s="340"/>
      <c r="AF312" s="340"/>
      <c r="AG312" s="340"/>
      <c r="AH312" s="340"/>
      <c r="AI312" s="340"/>
      <c r="AJ312" s="340"/>
      <c r="AK312" s="340"/>
      <c r="AL312" s="340"/>
      <c r="AM312" s="340"/>
      <c r="AN312" s="340"/>
      <c r="AO312" s="340"/>
      <c r="AP312" s="340"/>
      <c r="AQ312" s="340"/>
      <c r="AR312" s="340"/>
      <c r="AS312" s="340"/>
      <c r="AT312" s="761"/>
    </row>
    <row r="313" spans="2:121" x14ac:dyDescent="0.25">
      <c r="Q313" s="262"/>
      <c r="R313" s="262"/>
      <c r="S313" s="262"/>
      <c r="T313" s="262"/>
      <c r="U313" s="262"/>
      <c r="V313" s="262"/>
      <c r="W313" s="262"/>
      <c r="BF313" s="1100" t="str">
        <f>+DRE!AR5</f>
        <v>1T21</v>
      </c>
      <c r="BN313" s="1100"/>
      <c r="BO313" s="1100"/>
      <c r="BP313" s="1100"/>
      <c r="BQ313" s="1100"/>
      <c r="BR313" s="1100"/>
      <c r="BS313" s="1100"/>
      <c r="BT313" s="1100"/>
    </row>
    <row r="314" spans="2:121" s="963" customFormat="1" x14ac:dyDescent="0.25">
      <c r="C314" s="1063"/>
      <c r="D314" s="1063" t="str">
        <f t="shared" ref="D314:BO314" si="208">SUBSTITUTE(D315,"T","Q")</f>
        <v>3Q16</v>
      </c>
      <c r="E314" s="1063" t="str">
        <f t="shared" si="208"/>
        <v>3Q16</v>
      </c>
      <c r="F314" s="1063" t="str">
        <f t="shared" si="208"/>
        <v>3Q16</v>
      </c>
      <c r="G314" s="1063" t="str">
        <f t="shared" si="208"/>
        <v>4Q16</v>
      </c>
      <c r="H314" s="1063" t="str">
        <f t="shared" si="208"/>
        <v>4Q16</v>
      </c>
      <c r="I314" s="1063" t="str">
        <f t="shared" si="208"/>
        <v>4Q16</v>
      </c>
      <c r="J314" s="1063" t="str">
        <f t="shared" si="208"/>
        <v>1Q17</v>
      </c>
      <c r="K314" s="1063" t="str">
        <f t="shared" si="208"/>
        <v>1Q17</v>
      </c>
      <c r="L314" s="1063" t="str">
        <f t="shared" si="208"/>
        <v>1Q17</v>
      </c>
      <c r="M314" s="1063" t="str">
        <f t="shared" si="208"/>
        <v>2Q17</v>
      </c>
      <c r="N314" s="1063" t="str">
        <f t="shared" si="208"/>
        <v>2Q17</v>
      </c>
      <c r="O314" s="1063" t="str">
        <f t="shared" si="208"/>
        <v>2Q17</v>
      </c>
      <c r="P314" s="1063" t="str">
        <f t="shared" si="208"/>
        <v>3Q17</v>
      </c>
      <c r="Q314" s="1063" t="str">
        <f t="shared" si="208"/>
        <v>3Q17</v>
      </c>
      <c r="R314" s="1063" t="str">
        <f t="shared" si="208"/>
        <v>3Q17</v>
      </c>
      <c r="S314" s="1063" t="str">
        <f t="shared" si="208"/>
        <v>4Q17</v>
      </c>
      <c r="T314" s="1063" t="str">
        <f t="shared" si="208"/>
        <v>4Q17</v>
      </c>
      <c r="U314" s="1063" t="str">
        <f t="shared" si="208"/>
        <v>4Q17</v>
      </c>
      <c r="V314" s="1063" t="str">
        <f t="shared" si="208"/>
        <v>1Q18</v>
      </c>
      <c r="W314" s="1063" t="str">
        <f t="shared" si="208"/>
        <v>1Q18</v>
      </c>
      <c r="X314" s="1063" t="str">
        <f t="shared" si="208"/>
        <v>1Q18</v>
      </c>
      <c r="Y314" s="1063" t="str">
        <f t="shared" si="208"/>
        <v>2Q18</v>
      </c>
      <c r="Z314" s="1063" t="str">
        <f t="shared" si="208"/>
        <v>2Q18</v>
      </c>
      <c r="AA314" s="1063" t="str">
        <f t="shared" si="208"/>
        <v>2Q18</v>
      </c>
      <c r="AB314" s="1063" t="str">
        <f t="shared" si="208"/>
        <v>3Q18</v>
      </c>
      <c r="AC314" s="1063" t="str">
        <f t="shared" si="208"/>
        <v>3Q18</v>
      </c>
      <c r="AD314" s="1063" t="str">
        <f t="shared" si="208"/>
        <v>3Q18</v>
      </c>
      <c r="AE314" s="1063" t="str">
        <f t="shared" si="208"/>
        <v>4Q18</v>
      </c>
      <c r="AF314" s="1063" t="str">
        <f t="shared" si="208"/>
        <v>4Q18</v>
      </c>
      <c r="AG314" s="1063" t="str">
        <f t="shared" si="208"/>
        <v>4Q18</v>
      </c>
      <c r="AH314" s="1063" t="str">
        <f t="shared" si="208"/>
        <v>1Q19</v>
      </c>
      <c r="AI314" s="1063" t="str">
        <f t="shared" si="208"/>
        <v>1Q19</v>
      </c>
      <c r="AJ314" s="1063" t="str">
        <f t="shared" si="208"/>
        <v>1Q19</v>
      </c>
      <c r="AK314" s="1063" t="str">
        <f t="shared" si="208"/>
        <v>2Q19</v>
      </c>
      <c r="AL314" s="1063" t="str">
        <f t="shared" si="208"/>
        <v>2Q19</v>
      </c>
      <c r="AM314" s="1063" t="str">
        <f t="shared" si="208"/>
        <v>2Q19</v>
      </c>
      <c r="AN314" s="1063" t="str">
        <f t="shared" si="208"/>
        <v>3Q19</v>
      </c>
      <c r="AO314" s="1063" t="str">
        <f t="shared" si="208"/>
        <v>3Q19</v>
      </c>
      <c r="AP314" s="1063" t="str">
        <f t="shared" si="208"/>
        <v>3Q19</v>
      </c>
      <c r="AQ314" s="1063" t="str">
        <f t="shared" si="208"/>
        <v>4Q19</v>
      </c>
      <c r="AR314" s="1063" t="str">
        <f t="shared" si="208"/>
        <v>4Q19</v>
      </c>
      <c r="AS314" s="1063" t="str">
        <f t="shared" si="208"/>
        <v>4Q19</v>
      </c>
      <c r="AT314" s="1063" t="str">
        <f t="shared" si="208"/>
        <v>1Q20</v>
      </c>
      <c r="AU314" s="1063" t="str">
        <f t="shared" si="208"/>
        <v>1Q20</v>
      </c>
      <c r="AV314" s="1063" t="str">
        <f t="shared" si="208"/>
        <v>1Q20</v>
      </c>
      <c r="AW314" s="1063" t="str">
        <f t="shared" si="208"/>
        <v>2Q20</v>
      </c>
      <c r="AX314" s="1063" t="str">
        <f t="shared" si="208"/>
        <v>2Q20</v>
      </c>
      <c r="AY314" s="1063" t="str">
        <f t="shared" si="208"/>
        <v>2Q20</v>
      </c>
      <c r="AZ314" s="1063" t="str">
        <f t="shared" si="208"/>
        <v>3Q20</v>
      </c>
      <c r="BA314" s="1063" t="str">
        <f t="shared" si="208"/>
        <v>3Q20</v>
      </c>
      <c r="BB314" s="1063" t="str">
        <f t="shared" si="208"/>
        <v>3Q20</v>
      </c>
      <c r="BC314" s="1063" t="str">
        <f t="shared" si="208"/>
        <v>4Q20</v>
      </c>
      <c r="BD314" s="1063" t="str">
        <f t="shared" si="208"/>
        <v>4Q20</v>
      </c>
      <c r="BE314" s="1063" t="str">
        <f t="shared" si="208"/>
        <v>4Q20</v>
      </c>
      <c r="BF314" s="1063" t="str">
        <f t="shared" si="208"/>
        <v>1Q21</v>
      </c>
      <c r="BG314" s="1063" t="str">
        <f t="shared" si="208"/>
        <v>1Q21</v>
      </c>
      <c r="BH314" s="1063" t="str">
        <f t="shared" si="208"/>
        <v>1Q21</v>
      </c>
      <c r="BI314" s="1063" t="str">
        <f t="shared" si="208"/>
        <v>2Q21</v>
      </c>
      <c r="BJ314" s="1063" t="str">
        <f t="shared" si="208"/>
        <v>2Q21</v>
      </c>
      <c r="BK314" s="1063" t="str">
        <f t="shared" si="208"/>
        <v>2Q21</v>
      </c>
      <c r="BL314" s="1063" t="str">
        <f t="shared" si="208"/>
        <v>3Q21</v>
      </c>
      <c r="BM314" s="1063" t="str">
        <f t="shared" si="208"/>
        <v>3Q21</v>
      </c>
      <c r="BN314" s="1063" t="str">
        <f t="shared" si="208"/>
        <v>3Q21</v>
      </c>
      <c r="BO314" s="1063" t="str">
        <f t="shared" si="208"/>
        <v>4Q21</v>
      </c>
      <c r="BP314" s="1063" t="str">
        <f t="shared" ref="BP314:DG314" si="209">SUBSTITUTE(BP315,"T","Q")</f>
        <v>4Q21</v>
      </c>
      <c r="BQ314" s="1063" t="str">
        <f t="shared" si="209"/>
        <v>4Q21</v>
      </c>
      <c r="BR314" s="1063" t="str">
        <f t="shared" si="209"/>
        <v>1Q22</v>
      </c>
      <c r="BS314" s="1063" t="str">
        <f t="shared" si="209"/>
        <v>1Q22</v>
      </c>
      <c r="BT314" s="1063" t="str">
        <f t="shared" si="209"/>
        <v>1Q22</v>
      </c>
      <c r="BU314" s="1063" t="str">
        <f t="shared" si="209"/>
        <v>2Q22</v>
      </c>
      <c r="BV314" s="1063" t="str">
        <f t="shared" si="209"/>
        <v>2Q22</v>
      </c>
      <c r="BW314" s="1063" t="str">
        <f t="shared" si="209"/>
        <v>2Q22</v>
      </c>
      <c r="BX314" s="1063" t="str">
        <f t="shared" si="209"/>
        <v>3Q22</v>
      </c>
      <c r="BY314" s="1063" t="str">
        <f t="shared" si="209"/>
        <v>3Q22</v>
      </c>
      <c r="BZ314" s="1063" t="str">
        <f t="shared" si="209"/>
        <v>3Q22</v>
      </c>
      <c r="CA314" s="1063" t="str">
        <f t="shared" si="209"/>
        <v>4Q22</v>
      </c>
      <c r="CB314" s="1063" t="str">
        <f t="shared" si="209"/>
        <v>4Q22</v>
      </c>
      <c r="CC314" s="1063" t="str">
        <f t="shared" si="209"/>
        <v>4Q22</v>
      </c>
      <c r="CD314" s="1063" t="str">
        <f t="shared" si="209"/>
        <v>1Q23</v>
      </c>
      <c r="CE314" s="1063" t="str">
        <f t="shared" si="209"/>
        <v>1Q23</v>
      </c>
      <c r="CF314" s="1063" t="str">
        <f t="shared" si="209"/>
        <v>1Q23</v>
      </c>
      <c r="CG314" s="1063" t="str">
        <f t="shared" si="209"/>
        <v>2Q23</v>
      </c>
      <c r="CH314" s="1063" t="str">
        <f t="shared" si="209"/>
        <v>2Q23</v>
      </c>
      <c r="CI314" s="1063" t="str">
        <f t="shared" si="209"/>
        <v>2Q23</v>
      </c>
      <c r="CJ314" s="1063" t="str">
        <f t="shared" si="209"/>
        <v>3Q23</v>
      </c>
      <c r="CK314" s="1063" t="str">
        <f t="shared" si="209"/>
        <v>3Q23</v>
      </c>
      <c r="CL314" s="1063" t="str">
        <f t="shared" si="209"/>
        <v>3Q23</v>
      </c>
      <c r="CM314" s="1063" t="str">
        <f t="shared" si="209"/>
        <v>4Q23</v>
      </c>
      <c r="CN314" s="1063" t="str">
        <f t="shared" si="209"/>
        <v>4Q23</v>
      </c>
      <c r="CO314" s="1063" t="str">
        <f t="shared" si="209"/>
        <v>4Q23</v>
      </c>
      <c r="CP314" s="1063" t="str">
        <f t="shared" si="209"/>
        <v>1Q24</v>
      </c>
      <c r="CQ314" s="1063" t="str">
        <f t="shared" si="209"/>
        <v>1Q24</v>
      </c>
      <c r="CR314" s="1063" t="str">
        <f t="shared" si="209"/>
        <v>1Q24</v>
      </c>
      <c r="CS314" s="1063" t="str">
        <f t="shared" si="209"/>
        <v>2Q24</v>
      </c>
      <c r="CT314" s="1063" t="str">
        <f t="shared" si="209"/>
        <v>2Q24</v>
      </c>
      <c r="CU314" s="1063" t="str">
        <f t="shared" si="209"/>
        <v>2Q24</v>
      </c>
      <c r="CV314" s="1063" t="str">
        <f t="shared" si="209"/>
        <v>3Q24</v>
      </c>
      <c r="CW314" s="1063" t="str">
        <f t="shared" si="209"/>
        <v>3Q24</v>
      </c>
      <c r="CX314" s="1063" t="str">
        <f t="shared" si="209"/>
        <v>3Q24</v>
      </c>
      <c r="CY314" s="1063" t="str">
        <f>SUBSTITUTE(CY315,"T","Q")</f>
        <v>4Q24</v>
      </c>
      <c r="CZ314" s="1063" t="str">
        <f t="shared" si="209"/>
        <v>4Q24</v>
      </c>
      <c r="DA314" s="1063" t="str">
        <f t="shared" si="209"/>
        <v>4Q24</v>
      </c>
      <c r="DB314" s="1063" t="str">
        <f t="shared" si="209"/>
        <v>1Q25</v>
      </c>
      <c r="DC314" s="1063" t="str">
        <f t="shared" si="209"/>
        <v>1Q25</v>
      </c>
      <c r="DD314" s="1063" t="str">
        <f t="shared" si="209"/>
        <v>1Q25</v>
      </c>
      <c r="DE314" s="1063" t="str">
        <f t="shared" si="209"/>
        <v>2Q25</v>
      </c>
      <c r="DF314" s="1063" t="str">
        <f t="shared" si="209"/>
        <v>2Q25</v>
      </c>
      <c r="DG314" s="1194" t="str">
        <f t="shared" si="209"/>
        <v>2Q25</v>
      </c>
      <c r="DH314" s="1194" t="s">
        <v>1314</v>
      </c>
      <c r="DI314" s="1194" t="str">
        <f t="shared" ref="DI314:DQ314" si="210">SUBSTITUTE(DI315,"T","Q")</f>
        <v>3Q25</v>
      </c>
      <c r="DJ314" s="1194" t="str">
        <f t="shared" si="210"/>
        <v>3Q25</v>
      </c>
      <c r="DK314" s="1194" t="str">
        <f t="shared" si="210"/>
        <v>4Q25</v>
      </c>
      <c r="DL314" s="1194" t="str">
        <f t="shared" si="210"/>
        <v>4Q25</v>
      </c>
      <c r="DM314" s="1194" t="str">
        <f t="shared" si="210"/>
        <v>4Q25</v>
      </c>
      <c r="DN314" s="1194" t="str">
        <f t="shared" si="210"/>
        <v>1Q26</v>
      </c>
      <c r="DO314" s="1194" t="str">
        <f t="shared" si="210"/>
        <v>1Q26</v>
      </c>
      <c r="DP314" s="1194" t="str">
        <f t="shared" si="210"/>
        <v>1Q26</v>
      </c>
      <c r="DQ314" s="1194" t="str">
        <f t="shared" si="210"/>
        <v>2Q26</v>
      </c>
    </row>
    <row r="315" spans="2:121" s="963" customFormat="1" x14ac:dyDescent="0.25">
      <c r="C315" s="1063"/>
      <c r="D315" s="1101" t="s">
        <v>642</v>
      </c>
      <c r="E315" s="1063" t="str">
        <f>+D315</f>
        <v>3Q16</v>
      </c>
      <c r="F315" s="1063" t="str">
        <f>+E315</f>
        <v>3Q16</v>
      </c>
      <c r="G315" s="1063" t="str">
        <f>IF(LEFT(F315,1)="4","1T"&amp;RIGHT(F315,2)+1,LEFT(F315,1)+1&amp;RIGHT(F315,3))</f>
        <v>4Q16</v>
      </c>
      <c r="H315" s="1063" t="str">
        <f>+G315</f>
        <v>4Q16</v>
      </c>
      <c r="I315" s="1063" t="str">
        <f>+H315</f>
        <v>4Q16</v>
      </c>
      <c r="J315" s="1063" t="str">
        <f>IF(LEFT(I315,1)="4","1T"&amp;RIGHT(I315,2)+1,LEFT(I315,1)+1&amp;RIGHT(I315,3))</f>
        <v>1T17</v>
      </c>
      <c r="K315" s="1063" t="str">
        <f>+J315</f>
        <v>1T17</v>
      </c>
      <c r="L315" s="1063" t="str">
        <f>+K315</f>
        <v>1T17</v>
      </c>
      <c r="M315" s="1063" t="str">
        <f>IF(LEFT(L315,1)="4","1T"&amp;RIGHT(L315,2)+1,LEFT(L315,1)+1&amp;RIGHT(L315,3))</f>
        <v>2T17</v>
      </c>
      <c r="N315" s="1063" t="str">
        <f>+M315</f>
        <v>2T17</v>
      </c>
      <c r="O315" s="1063" t="str">
        <f>+N315</f>
        <v>2T17</v>
      </c>
      <c r="P315" s="1063" t="str">
        <f>IF(LEFT(O315,1)="4","1T"&amp;RIGHT(O315,2)+1,LEFT(O315,1)+1&amp;RIGHT(O315,3))</f>
        <v>3T17</v>
      </c>
      <c r="Q315" s="1063" t="str">
        <f>+P315</f>
        <v>3T17</v>
      </c>
      <c r="R315" s="1063" t="str">
        <f>+Q315</f>
        <v>3T17</v>
      </c>
      <c r="S315" s="1063" t="str">
        <f>IF(LEFT(R315,1)="4","1T"&amp;RIGHT(R315,2)+1,LEFT(R315,1)+1&amp;RIGHT(R315,3))</f>
        <v>4T17</v>
      </c>
      <c r="T315" s="1063" t="str">
        <f>+S315</f>
        <v>4T17</v>
      </c>
      <c r="U315" s="1063" t="str">
        <f>+T315</f>
        <v>4T17</v>
      </c>
      <c r="V315" s="1063" t="str">
        <f>IF(LEFT(U315,1)="4","1T"&amp;RIGHT(U315,2)+1,LEFT(U315,1)+1&amp;RIGHT(U315,3))</f>
        <v>1T18</v>
      </c>
      <c r="W315" s="1063" t="str">
        <f>+V315</f>
        <v>1T18</v>
      </c>
      <c r="X315" s="1063" t="str">
        <f>+W315</f>
        <v>1T18</v>
      </c>
      <c r="Y315" s="1063" t="str">
        <f>IF(LEFT(X315,1)="4","1T"&amp;RIGHT(X315,2)+1,LEFT(X315,1)+1&amp;RIGHT(X315,3))</f>
        <v>2T18</v>
      </c>
      <c r="Z315" s="1063" t="str">
        <f>+Y315</f>
        <v>2T18</v>
      </c>
      <c r="AA315" s="1063" t="str">
        <f>+Z315</f>
        <v>2T18</v>
      </c>
      <c r="AB315" s="1063" t="str">
        <f>IF(LEFT(AA315,1)="4","1T"&amp;RIGHT(AA315,2)+1,LEFT(AA315,1)+1&amp;RIGHT(AA315,3))</f>
        <v>3T18</v>
      </c>
      <c r="AC315" s="1063" t="str">
        <f>+AB315</f>
        <v>3T18</v>
      </c>
      <c r="AD315" s="1063" t="str">
        <f>+AC315</f>
        <v>3T18</v>
      </c>
      <c r="AE315" s="1063" t="str">
        <f>IF(LEFT(AD315,1)="4","1T"&amp;RIGHT(AD315,2)+1,LEFT(AD315,1)+1&amp;RIGHT(AD315,3))</f>
        <v>4T18</v>
      </c>
      <c r="AF315" s="1063" t="str">
        <f>+AE315</f>
        <v>4T18</v>
      </c>
      <c r="AG315" s="1063" t="str">
        <f>+AF315</f>
        <v>4T18</v>
      </c>
      <c r="AH315" s="1063" t="str">
        <f>IF(LEFT(AG315,1)="4","1T"&amp;RIGHT(AG315,2)+1,LEFT(AG315,1)+1&amp;RIGHT(AG315,3))</f>
        <v>1T19</v>
      </c>
      <c r="AI315" s="1063" t="str">
        <f>+AH315</f>
        <v>1T19</v>
      </c>
      <c r="AJ315" s="1063" t="str">
        <f>+AI315</f>
        <v>1T19</v>
      </c>
      <c r="AK315" s="1063" t="str">
        <f>IF(LEFT(AJ315,1)="4","1T"&amp;RIGHT(AJ315,2)+1,LEFT(AJ315,1)+1&amp;RIGHT(AJ315,3))</f>
        <v>2T19</v>
      </c>
      <c r="AL315" s="1063" t="str">
        <f>+AK315</f>
        <v>2T19</v>
      </c>
      <c r="AM315" s="1063" t="str">
        <f>+AL315</f>
        <v>2T19</v>
      </c>
      <c r="AN315" s="1063" t="str">
        <f>IF(LEFT(AM315,1)="4","1T"&amp;RIGHT(AM315,2)+1,LEFT(AM315,1)+1&amp;RIGHT(AM315,3))</f>
        <v>3T19</v>
      </c>
      <c r="AO315" s="1063" t="str">
        <f>+AN315</f>
        <v>3T19</v>
      </c>
      <c r="AP315" s="1063" t="str">
        <f>+AO315</f>
        <v>3T19</v>
      </c>
      <c r="AQ315" s="1063" t="str">
        <f>IF(LEFT(AP315,1)="4","1T"&amp;RIGHT(AP315,2)+1,LEFT(AP315,1)+1&amp;RIGHT(AP315,3))</f>
        <v>4T19</v>
      </c>
      <c r="AR315" s="1063" t="str">
        <f>+AQ315</f>
        <v>4T19</v>
      </c>
      <c r="AS315" s="1063" t="str">
        <f>+AR315</f>
        <v>4T19</v>
      </c>
      <c r="AT315" s="1063" t="str">
        <f>IF(LEFT(AS315,1)="4","1T"&amp;RIGHT(AS315,2)+1,LEFT(AS315,1)+1&amp;RIGHT(AS315,3))</f>
        <v>1T20</v>
      </c>
      <c r="AU315" s="1063" t="str">
        <f>+AT315</f>
        <v>1T20</v>
      </c>
      <c r="AV315" s="1063" t="str">
        <f>+AU315</f>
        <v>1T20</v>
      </c>
      <c r="AW315" s="1063" t="str">
        <f>IF(LEFT(AV315,1)="4","1T"&amp;RIGHT(AV315,2)+1,LEFT(AV315,1)+1&amp;RIGHT(AV315,3))</f>
        <v>2T20</v>
      </c>
      <c r="AX315" s="1063" t="str">
        <f>+AW315</f>
        <v>2T20</v>
      </c>
      <c r="AY315" s="1063" t="str">
        <f>+AX315</f>
        <v>2T20</v>
      </c>
      <c r="AZ315" s="1063" t="str">
        <f>IF(LEFT(AY315,1)="4","1T"&amp;RIGHT(AY315,2)+1,LEFT(AY315,1)+1&amp;RIGHT(AY315,3))</f>
        <v>3T20</v>
      </c>
      <c r="BA315" s="1063" t="str">
        <f>+AZ315</f>
        <v>3T20</v>
      </c>
      <c r="BB315" s="1063" t="str">
        <f>+BA315</f>
        <v>3T20</v>
      </c>
      <c r="BC315" s="1063" t="str">
        <f>IF(LEFT(BB315,1)="4","1T"&amp;RIGHT(BB315,2)+1,LEFT(BB315,1)+1&amp;RIGHT(BB315,3))</f>
        <v>4T20</v>
      </c>
      <c r="BD315" s="1063" t="str">
        <f t="shared" ref="BD315:BE317" si="211">+BC315</f>
        <v>4T20</v>
      </c>
      <c r="BE315" s="1063" t="str">
        <f t="shared" si="211"/>
        <v>4T20</v>
      </c>
      <c r="BF315" s="1063" t="str">
        <f>IF(LEFT(BE315,1)="4","1T"&amp;RIGHT(BE315,2)+1,LEFT(BE315,1)+1&amp;RIGHT(BE315,3))</f>
        <v>1T21</v>
      </c>
      <c r="BG315" s="1063" t="str">
        <f>+BF315</f>
        <v>1T21</v>
      </c>
      <c r="BH315" s="1063" t="str">
        <f>+BG315</f>
        <v>1T21</v>
      </c>
      <c r="BI315" s="1063" t="str">
        <f>IF(LEFT(BH315,1)="4","1T"&amp;RIGHT(BH315,2)+1,LEFT(BH315,1)+1&amp;RIGHT(BH315,3))</f>
        <v>2T21</v>
      </c>
      <c r="BJ315" s="1063" t="str">
        <f>+BI315</f>
        <v>2T21</v>
      </c>
      <c r="BK315" s="1063" t="str">
        <f>+BJ315</f>
        <v>2T21</v>
      </c>
      <c r="BL315" s="1063" t="str">
        <f>IF(LEFT(BK315,1)="4","1T"&amp;RIGHT(BK315,2)+1,LEFT(BK315,1)+1&amp;RIGHT(BK315,3))</f>
        <v>3T21</v>
      </c>
      <c r="BM315" s="1063" t="str">
        <f>+BL315</f>
        <v>3T21</v>
      </c>
      <c r="BN315" s="1063" t="str">
        <f>+BM315</f>
        <v>3T21</v>
      </c>
      <c r="BO315" s="1063" t="str">
        <f>IF(LEFT(BN315,1)="4","1T"&amp;RIGHT(BN315,2)+1,LEFT(BN315,1)+1&amp;RIGHT(BN315,3))</f>
        <v>4T21</v>
      </c>
      <c r="BP315" s="1063" t="str">
        <f t="shared" ref="BP315:BQ317" si="212">+BO315</f>
        <v>4T21</v>
      </c>
      <c r="BQ315" s="1063" t="str">
        <f t="shared" si="212"/>
        <v>4T21</v>
      </c>
      <c r="BR315" s="1063" t="str">
        <f>IF(LEFT(BQ315,1)="4","1T"&amp;RIGHT(BQ315,2)+1,LEFT(BQ315,1)+1&amp;RIGHT(BQ315,3))</f>
        <v>1T22</v>
      </c>
      <c r="BS315" s="1063" t="str">
        <f>+BR315</f>
        <v>1T22</v>
      </c>
      <c r="BT315" s="1063" t="str">
        <f>+BS315</f>
        <v>1T22</v>
      </c>
      <c r="BU315" s="1063" t="str">
        <f>IF(LEFT(BT315,1)="4","1T"&amp;RIGHT(BT315,2)+1,LEFT(BT315,1)+1&amp;RIGHT(BT315,3))</f>
        <v>2T22</v>
      </c>
      <c r="BV315" s="1063" t="str">
        <f>+BU315</f>
        <v>2T22</v>
      </c>
      <c r="BW315" s="1063" t="str">
        <f>+BV315</f>
        <v>2T22</v>
      </c>
      <c r="BX315" s="1063" t="str">
        <f>IF(LEFT(BW315,1)="4","1T"&amp;RIGHT(BW315,2)+1,LEFT(BW315,1)+1&amp;RIGHT(BW315,3))</f>
        <v>3T22</v>
      </c>
      <c r="BY315" s="1063" t="str">
        <f>+BX315</f>
        <v>3T22</v>
      </c>
      <c r="BZ315" s="1063" t="str">
        <f>+BY315</f>
        <v>3T22</v>
      </c>
      <c r="CA315" s="1063" t="str">
        <f>IF(LEFT(BZ315,1)="4","1T"&amp;RIGHT(BZ315,2)+1,LEFT(BZ315,1)+1&amp;RIGHT(BZ315,3))</f>
        <v>4T22</v>
      </c>
      <c r="CB315" s="1063" t="str">
        <f>+CA315</f>
        <v>4T22</v>
      </c>
      <c r="CC315" s="1063" t="str">
        <f>+CB315</f>
        <v>4T22</v>
      </c>
      <c r="CD315" s="1063" t="str">
        <f>IF(LEFT(CC315,1)="4","1T"&amp;RIGHT(CC315,2)+1,LEFT(CC315,1)+1&amp;RIGHT(CC315,3))</f>
        <v>1T23</v>
      </c>
      <c r="CE315" s="1063" t="str">
        <f>+CD315</f>
        <v>1T23</v>
      </c>
      <c r="CF315" s="1063" t="str">
        <f>+CE315</f>
        <v>1T23</v>
      </c>
      <c r="CG315" s="1063" t="str">
        <f>IF(LEFT(CF315,1)="4","1T"&amp;RIGHT(CF315,2)+1,LEFT(CF315,1)+1&amp;RIGHT(CF315,3))</f>
        <v>2T23</v>
      </c>
      <c r="CH315" s="1063" t="str">
        <f>+CG315</f>
        <v>2T23</v>
      </c>
      <c r="CI315" s="1063" t="str">
        <f>+CH315</f>
        <v>2T23</v>
      </c>
      <c r="CJ315" s="1063" t="str">
        <f>IF(LEFT(CI315,1)="4","1T"&amp;RIGHT(CI315,2)+1,LEFT(CI315,1)+1&amp;RIGHT(CI315,3))</f>
        <v>3T23</v>
      </c>
      <c r="CK315" s="1063" t="str">
        <f>+CJ315</f>
        <v>3T23</v>
      </c>
      <c r="CL315" s="1063" t="str">
        <f>+CK315</f>
        <v>3T23</v>
      </c>
      <c r="CM315" s="1063" t="str">
        <f>IF(LEFT(CL315,1)="4","1T"&amp;RIGHT(CL315,2)+1,LEFT(CL315,1)+1&amp;RIGHT(CL315,3))</f>
        <v>4T23</v>
      </c>
      <c r="CN315" s="1063" t="str">
        <f>+CM315</f>
        <v>4T23</v>
      </c>
      <c r="CO315" s="1063" t="str">
        <f>+CN315</f>
        <v>4T23</v>
      </c>
      <c r="CP315" s="1063" t="str">
        <f>IF(LEFT(CO315,1)="4","1T"&amp;RIGHT(CO315,2)+1,LEFT(CO315,1)+1&amp;RIGHT(CO315,3))</f>
        <v>1T24</v>
      </c>
      <c r="CQ315" s="1063" t="str">
        <f>+CP315</f>
        <v>1T24</v>
      </c>
      <c r="CR315" s="1063" t="str">
        <f>+CQ315</f>
        <v>1T24</v>
      </c>
      <c r="CS315" s="1063" t="str">
        <f>IF(LEFT(CR315,1)="4","1T"&amp;RIGHT(CR315,2)+1,LEFT(CR315,1)+1&amp;RIGHT(CR315,3))</f>
        <v>2T24</v>
      </c>
      <c r="CT315" s="1063" t="str">
        <f>+CS315</f>
        <v>2T24</v>
      </c>
      <c r="CU315" s="1063" t="str">
        <f>+CT315</f>
        <v>2T24</v>
      </c>
      <c r="CV315" s="1063" t="str">
        <f>IF(LEFT(CU315,1)="4","1T"&amp;RIGHT(CU315,2)+1,LEFT(CU315,1)+1&amp;RIGHT(CU315,3))</f>
        <v>3T24</v>
      </c>
      <c r="CW315" s="1063" t="str">
        <f>+CV315</f>
        <v>3T24</v>
      </c>
      <c r="CX315" s="1063" t="str">
        <f>+CW315</f>
        <v>3T24</v>
      </c>
      <c r="CY315" s="1063" t="str">
        <f>IF(LEFT(CX315,1)="4","1T"&amp;RIGHT(CX315,2)+1,LEFT(CX315,1)+1&amp;RIGHT(CX315,3))</f>
        <v>4T24</v>
      </c>
      <c r="CZ315" s="1063" t="str">
        <f>+CY315</f>
        <v>4T24</v>
      </c>
      <c r="DA315" s="1063" t="str">
        <f>+CZ315</f>
        <v>4T24</v>
      </c>
      <c r="DB315" s="1063" t="str">
        <f>IF(LEFT(DA315,1)="4","1T"&amp;RIGHT(DA315,2)+1,LEFT(DA315,1)+1&amp;RIGHT(DA315,3))</f>
        <v>1T25</v>
      </c>
      <c r="DC315" s="1063" t="str">
        <f>+DB315</f>
        <v>1T25</v>
      </c>
      <c r="DD315" s="1063" t="str">
        <f>+DC315</f>
        <v>1T25</v>
      </c>
      <c r="DE315" s="1063" t="str">
        <f>IF(LEFT(DD315,1)="4","1T"&amp;RIGHT(DD315,2)+1,LEFT(DD315,1)+1&amp;RIGHT(DD315,3))</f>
        <v>2T25</v>
      </c>
      <c r="DF315" s="1063" t="str">
        <f>+DE315</f>
        <v>2T25</v>
      </c>
      <c r="DG315" s="1194" t="str">
        <f>+DF315</f>
        <v>2T25</v>
      </c>
      <c r="DH315" s="1063" t="str">
        <f>IF(LEFT(DG315,1)="4","1T"&amp;RIGHT(DG315,2)+1,LEFT(DG315,1)+1&amp;RIGHT(DG315,3))</f>
        <v>3T25</v>
      </c>
      <c r="DI315" s="1194" t="str">
        <f>+DH315</f>
        <v>3T25</v>
      </c>
      <c r="DJ315" s="1194" t="str">
        <f>+DH315</f>
        <v>3T25</v>
      </c>
      <c r="DK315" s="1063" t="str">
        <f>IF(LEFT(DJ315,1)="4","1T"&amp;RIGHT(DJ315,2)+1,LEFT(DJ315,1)+1&amp;RIGHT(DJ315,3))</f>
        <v>4T25</v>
      </c>
      <c r="DL315" s="1194" t="str">
        <f>+DK315</f>
        <v>4T25</v>
      </c>
      <c r="DM315" s="1194" t="str">
        <f>+DK315</f>
        <v>4T25</v>
      </c>
      <c r="DN315" s="1194" t="s">
        <v>1344</v>
      </c>
      <c r="DO315" s="1194" t="s">
        <v>1344</v>
      </c>
      <c r="DP315" s="1194" t="s">
        <v>1344</v>
      </c>
      <c r="DQ315" s="1194" t="s">
        <v>1345</v>
      </c>
    </row>
    <row r="316" spans="2:121" s="963" customFormat="1" x14ac:dyDescent="0.25">
      <c r="C316" s="1063">
        <f t="shared" ref="C316:BN316" si="213">+C314</f>
        <v>0</v>
      </c>
      <c r="D316" s="1063" t="str">
        <f t="shared" si="213"/>
        <v>3Q16</v>
      </c>
      <c r="E316" s="1063" t="str">
        <f t="shared" si="213"/>
        <v>3Q16</v>
      </c>
      <c r="F316" s="1063" t="str">
        <f t="shared" si="213"/>
        <v>3Q16</v>
      </c>
      <c r="G316" s="1063" t="str">
        <f t="shared" si="213"/>
        <v>4Q16</v>
      </c>
      <c r="H316" s="1063" t="str">
        <f t="shared" si="213"/>
        <v>4Q16</v>
      </c>
      <c r="I316" s="1063" t="str">
        <f t="shared" si="213"/>
        <v>4Q16</v>
      </c>
      <c r="J316" s="1063" t="str">
        <f t="shared" si="213"/>
        <v>1Q17</v>
      </c>
      <c r="K316" s="1063" t="str">
        <f t="shared" si="213"/>
        <v>1Q17</v>
      </c>
      <c r="L316" s="1063" t="str">
        <f t="shared" si="213"/>
        <v>1Q17</v>
      </c>
      <c r="M316" s="1063" t="str">
        <f t="shared" si="213"/>
        <v>2Q17</v>
      </c>
      <c r="N316" s="1063" t="str">
        <f t="shared" si="213"/>
        <v>2Q17</v>
      </c>
      <c r="O316" s="1063" t="str">
        <f t="shared" si="213"/>
        <v>2Q17</v>
      </c>
      <c r="P316" s="1063" t="str">
        <f t="shared" si="213"/>
        <v>3Q17</v>
      </c>
      <c r="Q316" s="1063" t="str">
        <f t="shared" si="213"/>
        <v>3Q17</v>
      </c>
      <c r="R316" s="1063" t="str">
        <f t="shared" si="213"/>
        <v>3Q17</v>
      </c>
      <c r="S316" s="1063" t="str">
        <f t="shared" si="213"/>
        <v>4Q17</v>
      </c>
      <c r="T316" s="1063" t="str">
        <f t="shared" si="213"/>
        <v>4Q17</v>
      </c>
      <c r="U316" s="1063" t="str">
        <f t="shared" si="213"/>
        <v>4Q17</v>
      </c>
      <c r="V316" s="1063" t="str">
        <f t="shared" si="213"/>
        <v>1Q18</v>
      </c>
      <c r="W316" s="1063" t="str">
        <f t="shared" si="213"/>
        <v>1Q18</v>
      </c>
      <c r="X316" s="1063" t="str">
        <f t="shared" si="213"/>
        <v>1Q18</v>
      </c>
      <c r="Y316" s="1063" t="str">
        <f t="shared" si="213"/>
        <v>2Q18</v>
      </c>
      <c r="Z316" s="1063" t="str">
        <f t="shared" si="213"/>
        <v>2Q18</v>
      </c>
      <c r="AA316" s="1063" t="str">
        <f t="shared" si="213"/>
        <v>2Q18</v>
      </c>
      <c r="AB316" s="1063" t="str">
        <f t="shared" si="213"/>
        <v>3Q18</v>
      </c>
      <c r="AC316" s="1063" t="str">
        <f t="shared" si="213"/>
        <v>3Q18</v>
      </c>
      <c r="AD316" s="1063" t="str">
        <f t="shared" si="213"/>
        <v>3Q18</v>
      </c>
      <c r="AE316" s="1063" t="str">
        <f t="shared" si="213"/>
        <v>4Q18</v>
      </c>
      <c r="AF316" s="1063" t="str">
        <f t="shared" si="213"/>
        <v>4Q18</v>
      </c>
      <c r="AG316" s="1063" t="str">
        <f t="shared" si="213"/>
        <v>4Q18</v>
      </c>
      <c r="AH316" s="1063" t="str">
        <f t="shared" si="213"/>
        <v>1Q19</v>
      </c>
      <c r="AI316" s="1063" t="str">
        <f t="shared" si="213"/>
        <v>1Q19</v>
      </c>
      <c r="AJ316" s="1063" t="str">
        <f t="shared" si="213"/>
        <v>1Q19</v>
      </c>
      <c r="AK316" s="1063" t="str">
        <f t="shared" si="213"/>
        <v>2Q19</v>
      </c>
      <c r="AL316" s="1063" t="str">
        <f t="shared" si="213"/>
        <v>2Q19</v>
      </c>
      <c r="AM316" s="1063" t="str">
        <f t="shared" si="213"/>
        <v>2Q19</v>
      </c>
      <c r="AN316" s="1063" t="str">
        <f t="shared" si="213"/>
        <v>3Q19</v>
      </c>
      <c r="AO316" s="1063" t="str">
        <f t="shared" si="213"/>
        <v>3Q19</v>
      </c>
      <c r="AP316" s="1063" t="str">
        <f t="shared" si="213"/>
        <v>3Q19</v>
      </c>
      <c r="AQ316" s="1063" t="str">
        <f t="shared" si="213"/>
        <v>4Q19</v>
      </c>
      <c r="AR316" s="1063" t="str">
        <f t="shared" si="213"/>
        <v>4Q19</v>
      </c>
      <c r="AS316" s="1063" t="str">
        <f t="shared" si="213"/>
        <v>4Q19</v>
      </c>
      <c r="AT316" s="1063" t="str">
        <f t="shared" si="213"/>
        <v>1Q20</v>
      </c>
      <c r="AU316" s="1063" t="str">
        <f t="shared" si="213"/>
        <v>1Q20</v>
      </c>
      <c r="AV316" s="1063" t="str">
        <f t="shared" si="213"/>
        <v>1Q20</v>
      </c>
      <c r="AW316" s="1063" t="str">
        <f t="shared" si="213"/>
        <v>2Q20</v>
      </c>
      <c r="AX316" s="1063" t="str">
        <f t="shared" si="213"/>
        <v>2Q20</v>
      </c>
      <c r="AY316" s="1063" t="str">
        <f t="shared" si="213"/>
        <v>2Q20</v>
      </c>
      <c r="AZ316" s="1063" t="str">
        <f t="shared" si="213"/>
        <v>3Q20</v>
      </c>
      <c r="BA316" s="1063" t="str">
        <f t="shared" si="213"/>
        <v>3Q20</v>
      </c>
      <c r="BB316" s="1063" t="str">
        <f t="shared" si="213"/>
        <v>3Q20</v>
      </c>
      <c r="BC316" s="1063" t="str">
        <f t="shared" si="213"/>
        <v>4Q20</v>
      </c>
      <c r="BD316" s="1063" t="str">
        <f t="shared" si="213"/>
        <v>4Q20</v>
      </c>
      <c r="BE316" s="1063" t="str">
        <f t="shared" si="213"/>
        <v>4Q20</v>
      </c>
      <c r="BF316" s="1063" t="str">
        <f t="shared" si="213"/>
        <v>1Q21</v>
      </c>
      <c r="BG316" s="1063" t="str">
        <f t="shared" si="213"/>
        <v>1Q21</v>
      </c>
      <c r="BH316" s="1063" t="str">
        <f t="shared" si="213"/>
        <v>1Q21</v>
      </c>
      <c r="BI316" s="1063" t="str">
        <f t="shared" si="213"/>
        <v>2Q21</v>
      </c>
      <c r="BJ316" s="1063" t="str">
        <f t="shared" si="213"/>
        <v>2Q21</v>
      </c>
      <c r="BK316" s="1063" t="str">
        <f t="shared" si="213"/>
        <v>2Q21</v>
      </c>
      <c r="BL316" s="1063" t="str">
        <f t="shared" si="213"/>
        <v>3Q21</v>
      </c>
      <c r="BM316" s="1063" t="str">
        <f t="shared" si="213"/>
        <v>3Q21</v>
      </c>
      <c r="BN316" s="1063" t="str">
        <f t="shared" si="213"/>
        <v>3Q21</v>
      </c>
      <c r="BO316" s="1063" t="str">
        <f t="shared" ref="BO316:CX316" si="214">+BO314</f>
        <v>4Q21</v>
      </c>
      <c r="BP316" s="1063" t="str">
        <f t="shared" si="214"/>
        <v>4Q21</v>
      </c>
      <c r="BQ316" s="1063" t="str">
        <f t="shared" si="214"/>
        <v>4Q21</v>
      </c>
      <c r="BR316" s="1063" t="str">
        <f t="shared" si="214"/>
        <v>1Q22</v>
      </c>
      <c r="BS316" s="1063" t="str">
        <f t="shared" si="214"/>
        <v>1Q22</v>
      </c>
      <c r="BT316" s="1063" t="str">
        <f t="shared" si="214"/>
        <v>1Q22</v>
      </c>
      <c r="BU316" s="1063" t="str">
        <f t="shared" si="214"/>
        <v>2Q22</v>
      </c>
      <c r="BV316" s="1063" t="str">
        <f t="shared" si="214"/>
        <v>2Q22</v>
      </c>
      <c r="BW316" s="1063" t="str">
        <f t="shared" si="214"/>
        <v>2Q22</v>
      </c>
      <c r="BX316" s="1063" t="str">
        <f t="shared" si="214"/>
        <v>3Q22</v>
      </c>
      <c r="BY316" s="1063" t="str">
        <f t="shared" si="214"/>
        <v>3Q22</v>
      </c>
      <c r="BZ316" s="1063" t="str">
        <f t="shared" si="214"/>
        <v>3Q22</v>
      </c>
      <c r="CA316" s="1063" t="str">
        <f t="shared" si="214"/>
        <v>4Q22</v>
      </c>
      <c r="CB316" s="1063" t="str">
        <f t="shared" si="214"/>
        <v>4Q22</v>
      </c>
      <c r="CC316" s="1063" t="str">
        <f t="shared" si="214"/>
        <v>4Q22</v>
      </c>
      <c r="CD316" s="1063" t="str">
        <f t="shared" si="214"/>
        <v>1Q23</v>
      </c>
      <c r="CE316" s="1063" t="str">
        <f t="shared" si="214"/>
        <v>1Q23</v>
      </c>
      <c r="CF316" s="1063" t="str">
        <f t="shared" si="214"/>
        <v>1Q23</v>
      </c>
      <c r="CG316" s="1063" t="str">
        <f t="shared" si="214"/>
        <v>2Q23</v>
      </c>
      <c r="CH316" s="1063" t="str">
        <f t="shared" si="214"/>
        <v>2Q23</v>
      </c>
      <c r="CI316" s="1063" t="str">
        <f t="shared" si="214"/>
        <v>2Q23</v>
      </c>
      <c r="CJ316" s="1063" t="str">
        <f t="shared" si="214"/>
        <v>3Q23</v>
      </c>
      <c r="CK316" s="1063" t="str">
        <f t="shared" si="214"/>
        <v>3Q23</v>
      </c>
      <c r="CL316" s="1063" t="str">
        <f t="shared" si="214"/>
        <v>3Q23</v>
      </c>
      <c r="CM316" s="1063" t="str">
        <f t="shared" si="214"/>
        <v>4Q23</v>
      </c>
      <c r="CN316" s="1063" t="str">
        <f t="shared" si="214"/>
        <v>4Q23</v>
      </c>
      <c r="CO316" s="1063" t="str">
        <f t="shared" si="214"/>
        <v>4Q23</v>
      </c>
      <c r="CP316" s="1063" t="str">
        <f t="shared" si="214"/>
        <v>1Q24</v>
      </c>
      <c r="CQ316" s="1063" t="str">
        <f t="shared" si="214"/>
        <v>1Q24</v>
      </c>
      <c r="CR316" s="1063" t="str">
        <f t="shared" si="214"/>
        <v>1Q24</v>
      </c>
      <c r="CS316" s="1063" t="str">
        <f t="shared" si="214"/>
        <v>2Q24</v>
      </c>
      <c r="CT316" s="1063" t="str">
        <f t="shared" si="214"/>
        <v>2Q24</v>
      </c>
      <c r="CU316" s="1063" t="str">
        <f t="shared" si="214"/>
        <v>2Q24</v>
      </c>
      <c r="CV316" s="1063" t="str">
        <f t="shared" si="214"/>
        <v>3Q24</v>
      </c>
      <c r="CW316" s="1063" t="str">
        <f t="shared" si="214"/>
        <v>3Q24</v>
      </c>
      <c r="CX316" s="1063" t="str">
        <f t="shared" si="214"/>
        <v>3Q24</v>
      </c>
      <c r="CY316" s="1063" t="str">
        <f t="shared" ref="CY316:DG316" si="215">+CY314</f>
        <v>4Q24</v>
      </c>
      <c r="CZ316" s="1063" t="str">
        <f t="shared" si="215"/>
        <v>4Q24</v>
      </c>
      <c r="DA316" s="1063" t="str">
        <f t="shared" si="215"/>
        <v>4Q24</v>
      </c>
      <c r="DB316" s="1063" t="str">
        <f t="shared" si="215"/>
        <v>1Q25</v>
      </c>
      <c r="DC316" s="1063" t="str">
        <f t="shared" si="215"/>
        <v>1Q25</v>
      </c>
      <c r="DD316" s="1063" t="str">
        <f t="shared" si="215"/>
        <v>1Q25</v>
      </c>
      <c r="DE316" s="1063" t="str">
        <f t="shared" si="215"/>
        <v>2Q25</v>
      </c>
      <c r="DF316" s="1063" t="str">
        <f t="shared" si="215"/>
        <v>2Q25</v>
      </c>
      <c r="DG316" s="1194" t="str">
        <f t="shared" si="215"/>
        <v>2Q25</v>
      </c>
      <c r="DH316" s="1194" t="s">
        <v>1314</v>
      </c>
      <c r="DI316" s="1194" t="str">
        <f t="shared" ref="DI316:DQ316" si="216">+DI314</f>
        <v>3Q25</v>
      </c>
      <c r="DJ316" s="1194" t="str">
        <f t="shared" si="216"/>
        <v>3Q25</v>
      </c>
      <c r="DK316" s="1194" t="str">
        <f t="shared" si="216"/>
        <v>4Q25</v>
      </c>
      <c r="DL316" s="1194" t="str">
        <f t="shared" si="216"/>
        <v>4Q25</v>
      </c>
      <c r="DM316" s="1194" t="str">
        <f t="shared" si="216"/>
        <v>4Q25</v>
      </c>
      <c r="DN316" s="1194" t="str">
        <f t="shared" si="216"/>
        <v>1Q26</v>
      </c>
      <c r="DO316" s="1194" t="str">
        <f t="shared" si="216"/>
        <v>1Q26</v>
      </c>
      <c r="DP316" s="1194" t="str">
        <f t="shared" si="216"/>
        <v>1Q26</v>
      </c>
      <c r="DQ316" s="1194" t="str">
        <f t="shared" si="216"/>
        <v>2Q26</v>
      </c>
    </row>
    <row r="317" spans="2:121" s="801" customFormat="1" x14ac:dyDescent="0.25">
      <c r="C317" s="1062">
        <v>2016</v>
      </c>
      <c r="D317" s="1062">
        <v>2016</v>
      </c>
      <c r="E317" s="1062">
        <v>2016</v>
      </c>
      <c r="F317" s="1062">
        <v>2016</v>
      </c>
      <c r="G317" s="1062">
        <v>2016</v>
      </c>
      <c r="H317" s="1062">
        <v>2016</v>
      </c>
      <c r="I317" s="1062">
        <v>2016</v>
      </c>
      <c r="J317" s="1062">
        <f>+I317+1</f>
        <v>2017</v>
      </c>
      <c r="K317" s="1062">
        <f t="shared" ref="K317:U317" si="217">+J317</f>
        <v>2017</v>
      </c>
      <c r="L317" s="1062">
        <f t="shared" si="217"/>
        <v>2017</v>
      </c>
      <c r="M317" s="1062">
        <f t="shared" si="217"/>
        <v>2017</v>
      </c>
      <c r="N317" s="1062">
        <f t="shared" si="217"/>
        <v>2017</v>
      </c>
      <c r="O317" s="1062">
        <f t="shared" si="217"/>
        <v>2017</v>
      </c>
      <c r="P317" s="1062">
        <f t="shared" si="217"/>
        <v>2017</v>
      </c>
      <c r="Q317" s="1062">
        <f t="shared" si="217"/>
        <v>2017</v>
      </c>
      <c r="R317" s="1062">
        <f t="shared" si="217"/>
        <v>2017</v>
      </c>
      <c r="S317" s="1062">
        <f t="shared" si="217"/>
        <v>2017</v>
      </c>
      <c r="T317" s="1062">
        <f t="shared" si="217"/>
        <v>2017</v>
      </c>
      <c r="U317" s="1062">
        <f t="shared" si="217"/>
        <v>2017</v>
      </c>
      <c r="V317" s="1062">
        <f>+U317+1</f>
        <v>2018</v>
      </c>
      <c r="W317" s="1062">
        <f t="shared" ref="W317:AG317" si="218">+V317</f>
        <v>2018</v>
      </c>
      <c r="X317" s="1062">
        <f t="shared" si="218"/>
        <v>2018</v>
      </c>
      <c r="Y317" s="1062">
        <f t="shared" si="218"/>
        <v>2018</v>
      </c>
      <c r="Z317" s="1062">
        <f t="shared" si="218"/>
        <v>2018</v>
      </c>
      <c r="AA317" s="1062">
        <f t="shared" si="218"/>
        <v>2018</v>
      </c>
      <c r="AB317" s="1062">
        <f t="shared" si="218"/>
        <v>2018</v>
      </c>
      <c r="AC317" s="1062">
        <f t="shared" si="218"/>
        <v>2018</v>
      </c>
      <c r="AD317" s="1062">
        <f t="shared" si="218"/>
        <v>2018</v>
      </c>
      <c r="AE317" s="1062">
        <f t="shared" si="218"/>
        <v>2018</v>
      </c>
      <c r="AF317" s="1062">
        <f t="shared" si="218"/>
        <v>2018</v>
      </c>
      <c r="AG317" s="1062">
        <f t="shared" si="218"/>
        <v>2018</v>
      </c>
      <c r="AH317" s="1062">
        <f>+AG317+1</f>
        <v>2019</v>
      </c>
      <c r="AI317" s="1062">
        <f t="shared" ref="AI317:AS317" si="219">+AH317</f>
        <v>2019</v>
      </c>
      <c r="AJ317" s="1062">
        <f t="shared" si="219"/>
        <v>2019</v>
      </c>
      <c r="AK317" s="1062">
        <f t="shared" si="219"/>
        <v>2019</v>
      </c>
      <c r="AL317" s="1062">
        <f t="shared" si="219"/>
        <v>2019</v>
      </c>
      <c r="AM317" s="1062">
        <f t="shared" si="219"/>
        <v>2019</v>
      </c>
      <c r="AN317" s="1062">
        <f t="shared" si="219"/>
        <v>2019</v>
      </c>
      <c r="AO317" s="1062">
        <f t="shared" si="219"/>
        <v>2019</v>
      </c>
      <c r="AP317" s="1062">
        <f t="shared" si="219"/>
        <v>2019</v>
      </c>
      <c r="AQ317" s="1062">
        <f t="shared" si="219"/>
        <v>2019</v>
      </c>
      <c r="AR317" s="1062">
        <f t="shared" si="219"/>
        <v>2019</v>
      </c>
      <c r="AS317" s="1062">
        <f t="shared" si="219"/>
        <v>2019</v>
      </c>
      <c r="AT317" s="1062">
        <f>+AS317+1</f>
        <v>2020</v>
      </c>
      <c r="AU317" s="1062">
        <f t="shared" ref="AU317:BC317" si="220">+AT317</f>
        <v>2020</v>
      </c>
      <c r="AV317" s="1062">
        <f t="shared" si="220"/>
        <v>2020</v>
      </c>
      <c r="AW317" s="1062">
        <f t="shared" si="220"/>
        <v>2020</v>
      </c>
      <c r="AX317" s="1062">
        <f t="shared" si="220"/>
        <v>2020</v>
      </c>
      <c r="AY317" s="1062">
        <f t="shared" si="220"/>
        <v>2020</v>
      </c>
      <c r="AZ317" s="1062">
        <f t="shared" si="220"/>
        <v>2020</v>
      </c>
      <c r="BA317" s="1062">
        <f t="shared" si="220"/>
        <v>2020</v>
      </c>
      <c r="BB317" s="1062">
        <f t="shared" si="220"/>
        <v>2020</v>
      </c>
      <c r="BC317" s="1062">
        <f t="shared" si="220"/>
        <v>2020</v>
      </c>
      <c r="BD317" s="1062">
        <f t="shared" si="211"/>
        <v>2020</v>
      </c>
      <c r="BE317" s="1062">
        <f t="shared" si="211"/>
        <v>2020</v>
      </c>
      <c r="BF317" s="1062">
        <f>+BE317+1</f>
        <v>2021</v>
      </c>
      <c r="BG317" s="1062">
        <f t="shared" ref="BG317:BL317" si="221">+BF317</f>
        <v>2021</v>
      </c>
      <c r="BH317" s="1062">
        <f t="shared" si="221"/>
        <v>2021</v>
      </c>
      <c r="BI317" s="1062">
        <f t="shared" si="221"/>
        <v>2021</v>
      </c>
      <c r="BJ317" s="1062">
        <f t="shared" si="221"/>
        <v>2021</v>
      </c>
      <c r="BK317" s="1062">
        <f t="shared" si="221"/>
        <v>2021</v>
      </c>
      <c r="BL317" s="1062">
        <f t="shared" si="221"/>
        <v>2021</v>
      </c>
      <c r="BM317" s="1062">
        <f>+BL317</f>
        <v>2021</v>
      </c>
      <c r="BN317" s="1062">
        <f>+BM317</f>
        <v>2021</v>
      </c>
      <c r="BO317" s="1062">
        <f>+BN317</f>
        <v>2021</v>
      </c>
      <c r="BP317" s="1062">
        <f t="shared" si="212"/>
        <v>2021</v>
      </c>
      <c r="BQ317" s="1062">
        <f t="shared" si="212"/>
        <v>2021</v>
      </c>
      <c r="BR317" s="1062">
        <v>2022</v>
      </c>
      <c r="BS317" s="1062">
        <v>2022</v>
      </c>
      <c r="BT317" s="1062">
        <v>2022</v>
      </c>
      <c r="BU317" s="1062">
        <v>2022</v>
      </c>
      <c r="BV317" s="1062">
        <v>2022</v>
      </c>
      <c r="BW317" s="1062">
        <v>2022</v>
      </c>
      <c r="BX317" s="1062">
        <v>2022</v>
      </c>
      <c r="BY317" s="1062">
        <v>2022</v>
      </c>
      <c r="BZ317" s="1062">
        <v>2022</v>
      </c>
      <c r="CA317" s="1062">
        <v>2022</v>
      </c>
      <c r="CB317" s="1062">
        <v>2022</v>
      </c>
      <c r="CC317" s="1062">
        <v>2022</v>
      </c>
      <c r="CD317" s="1062">
        <v>2023</v>
      </c>
      <c r="CE317" s="1062">
        <v>2023</v>
      </c>
      <c r="CF317" s="1062">
        <v>2023</v>
      </c>
      <c r="CG317" s="1062">
        <v>2023</v>
      </c>
      <c r="CH317" s="1062">
        <v>2023</v>
      </c>
      <c r="CI317" s="1062">
        <v>2023</v>
      </c>
      <c r="CJ317" s="1062">
        <v>2023</v>
      </c>
      <c r="CK317" s="1062">
        <v>2023</v>
      </c>
      <c r="CL317" s="1062">
        <v>2023</v>
      </c>
      <c r="CM317" s="1062">
        <v>2023</v>
      </c>
      <c r="CN317" s="1062">
        <v>2023</v>
      </c>
      <c r="CO317" s="1062">
        <v>2023</v>
      </c>
      <c r="CP317" s="1062">
        <v>2024</v>
      </c>
      <c r="CQ317" s="1062">
        <v>2024</v>
      </c>
      <c r="CR317" s="1062">
        <v>2024</v>
      </c>
      <c r="CS317" s="1062">
        <v>2024</v>
      </c>
      <c r="CT317" s="1062">
        <v>2024</v>
      </c>
      <c r="CU317" s="1062">
        <v>2024</v>
      </c>
      <c r="CV317" s="1062">
        <v>2024</v>
      </c>
      <c r="CW317" s="1062">
        <v>2024</v>
      </c>
      <c r="CX317" s="1062">
        <v>2024</v>
      </c>
      <c r="CY317" s="1062">
        <v>2024</v>
      </c>
      <c r="CZ317" s="1062">
        <v>2024</v>
      </c>
      <c r="DA317" s="1062">
        <v>2024</v>
      </c>
      <c r="DB317" s="1062">
        <v>2025</v>
      </c>
      <c r="DC317" s="1062">
        <v>2025</v>
      </c>
      <c r="DD317" s="1062">
        <v>2025</v>
      </c>
      <c r="DE317" s="1062">
        <v>2025</v>
      </c>
      <c r="DF317" s="1062">
        <v>2025</v>
      </c>
      <c r="DG317" s="801">
        <v>2025</v>
      </c>
      <c r="DH317" s="801">
        <v>2025</v>
      </c>
      <c r="DI317" s="801">
        <v>2025</v>
      </c>
      <c r="DJ317" s="801">
        <v>2025</v>
      </c>
      <c r="DK317" s="801">
        <v>2025</v>
      </c>
      <c r="DL317" s="801">
        <v>2025</v>
      </c>
      <c r="DM317" s="801">
        <v>2025</v>
      </c>
      <c r="DN317" s="801">
        <v>2026</v>
      </c>
      <c r="DO317" s="801">
        <v>2026</v>
      </c>
      <c r="DP317" s="801">
        <v>2026</v>
      </c>
      <c r="DQ317" s="801">
        <v>2026</v>
      </c>
    </row>
    <row r="318" spans="2:121" s="761" customFormat="1" x14ac:dyDescent="0.25">
      <c r="Q318" s="801"/>
      <c r="R318" s="801"/>
      <c r="S318" s="801"/>
      <c r="T318" s="801"/>
      <c r="U318" s="801"/>
      <c r="V318" s="801"/>
      <c r="W318" s="801"/>
    </row>
    <row r="319" spans="2:121" s="761" customFormat="1" x14ac:dyDescent="0.25"/>
    <row r="320" spans="2:121" s="1068" customFormat="1" x14ac:dyDescent="0.25">
      <c r="B320" s="1068" t="s">
        <v>8</v>
      </c>
      <c r="L320" s="1069"/>
      <c r="M320" s="1069"/>
      <c r="N320" s="1069"/>
      <c r="O320" s="1069"/>
      <c r="P320" s="1069"/>
      <c r="Q320" s="1070">
        <f t="shared" ref="Q320:AB320" si="222">+Q107</f>
        <v>160.33333333333334</v>
      </c>
      <c r="R320" s="1070">
        <f t="shared" si="222"/>
        <v>160.33333333333334</v>
      </c>
      <c r="S320" s="1070">
        <f t="shared" si="222"/>
        <v>160.33333333333334</v>
      </c>
      <c r="T320" s="1070">
        <f t="shared" si="222"/>
        <v>170.5</v>
      </c>
      <c r="U320" s="1070">
        <f t="shared" si="222"/>
        <v>182.25</v>
      </c>
      <c r="V320" s="1070">
        <f t="shared" si="222"/>
        <v>189.5</v>
      </c>
      <c r="W320" s="1070">
        <f t="shared" si="222"/>
        <v>197.66</v>
      </c>
      <c r="X320" s="1070">
        <f t="shared" si="222"/>
        <v>197.66</v>
      </c>
      <c r="Y320" s="1070">
        <f t="shared" si="222"/>
        <v>197.66</v>
      </c>
      <c r="Z320" s="1070">
        <f t="shared" si="222"/>
        <v>197.06</v>
      </c>
      <c r="AA320" s="1070">
        <f t="shared" si="222"/>
        <v>197.06</v>
      </c>
      <c r="AB320" s="1070">
        <f t="shared" si="222"/>
        <v>197.06</v>
      </c>
      <c r="AC320" s="1070">
        <f>+AC107</f>
        <v>197.06</v>
      </c>
      <c r="AD320" s="1070">
        <f t="shared" ref="AD320:AN320" si="223">+AD107</f>
        <v>198.66</v>
      </c>
      <c r="AE320" s="1070">
        <f t="shared" si="223"/>
        <v>198.66</v>
      </c>
      <c r="AF320" s="1070">
        <f t="shared" si="223"/>
        <v>206.06</v>
      </c>
      <c r="AG320" s="1070">
        <f t="shared" si="223"/>
        <v>212.85999999999999</v>
      </c>
      <c r="AH320" s="1070">
        <f t="shared" si="223"/>
        <v>212.85999999999999</v>
      </c>
      <c r="AI320" s="1070">
        <f t="shared" si="223"/>
        <v>217.07499999999999</v>
      </c>
      <c r="AJ320" s="1070">
        <f t="shared" si="223"/>
        <v>224.82499999999999</v>
      </c>
      <c r="AK320" s="1070">
        <f t="shared" si="223"/>
        <v>230.77500000000001</v>
      </c>
      <c r="AL320" s="1070">
        <f t="shared" si="223"/>
        <v>233.27500000000001</v>
      </c>
      <c r="AM320" s="1070">
        <f t="shared" si="223"/>
        <v>233.27500000000001</v>
      </c>
      <c r="AN320" s="1070">
        <f t="shared" si="223"/>
        <v>235.66666666666666</v>
      </c>
      <c r="AO320" s="1069">
        <f>+AO139</f>
        <v>268.33333333333331</v>
      </c>
      <c r="AP320" s="1069">
        <f>+AP139</f>
        <v>264.75</v>
      </c>
      <c r="AQ320" s="1069">
        <f>+AQ139</f>
        <v>263.2</v>
      </c>
      <c r="AR320" s="1069">
        <f>+AR139</f>
        <v>263.2</v>
      </c>
      <c r="AS320" s="1069">
        <f>+AS139</f>
        <v>261.2</v>
      </c>
      <c r="AT320" s="1069">
        <f t="shared" ref="AT320:AZ320" si="224">+AT163</f>
        <v>284.60000000000002</v>
      </c>
      <c r="AU320" s="1069">
        <f t="shared" si="224"/>
        <v>284.60000000000002</v>
      </c>
      <c r="AV320" s="1069">
        <f t="shared" si="224"/>
        <v>284.60000000000002</v>
      </c>
      <c r="AW320" s="1069">
        <f t="shared" si="224"/>
        <v>208.65946703377631</v>
      </c>
      <c r="AX320" s="1069">
        <f t="shared" si="224"/>
        <v>208.65946703377631</v>
      </c>
      <c r="AY320" s="1069">
        <f t="shared" si="224"/>
        <v>197.55315567792545</v>
      </c>
      <c r="AZ320" s="1069">
        <f t="shared" si="224"/>
        <v>197.55315567792545</v>
      </c>
      <c r="BA320" s="1069">
        <f t="shared" ref="BA320:BL320" si="225">+BA163</f>
        <v>197.55315567792545</v>
      </c>
      <c r="BB320" s="1069">
        <f t="shared" si="225"/>
        <v>197.55315567792545</v>
      </c>
      <c r="BC320" s="1069">
        <f t="shared" si="225"/>
        <v>206.91486675844408</v>
      </c>
      <c r="BD320" s="1069">
        <f t="shared" si="225"/>
        <v>221.75</v>
      </c>
      <c r="BE320" s="1069">
        <f t="shared" si="225"/>
        <v>250.7</v>
      </c>
      <c r="BF320" s="1069">
        <f t="shared" si="225"/>
        <v>250.7</v>
      </c>
      <c r="BG320" s="1069">
        <f t="shared" si="225"/>
        <v>250.7</v>
      </c>
      <c r="BH320" s="1069">
        <f t="shared" si="225"/>
        <v>250.7</v>
      </c>
      <c r="BI320" s="1069">
        <f t="shared" si="225"/>
        <v>250.7</v>
      </c>
      <c r="BJ320" s="1069">
        <f t="shared" si="225"/>
        <v>250.7</v>
      </c>
      <c r="BK320" s="1069">
        <f t="shared" si="225"/>
        <v>250.95</v>
      </c>
      <c r="BL320" s="1069">
        <f t="shared" si="225"/>
        <v>250.95</v>
      </c>
      <c r="BM320" s="1069">
        <f t="shared" ref="BM320:BX320" si="226">+BM197</f>
        <v>266.93333333333334</v>
      </c>
      <c r="BN320" s="1069">
        <f t="shared" si="226"/>
        <v>209</v>
      </c>
      <c r="BO320" s="1069">
        <f t="shared" si="226"/>
        <v>209</v>
      </c>
      <c r="BP320" s="1069">
        <f t="shared" si="226"/>
        <v>209</v>
      </c>
      <c r="BQ320" s="1069">
        <f t="shared" si="226"/>
        <v>190.6</v>
      </c>
      <c r="BR320" s="1069">
        <f t="shared" si="226"/>
        <v>192</v>
      </c>
      <c r="BS320" s="1069">
        <f t="shared" si="226"/>
        <v>192</v>
      </c>
      <c r="BT320" s="1069">
        <f t="shared" si="226"/>
        <v>187.75</v>
      </c>
      <c r="BU320" s="1069">
        <f t="shared" si="226"/>
        <v>188</v>
      </c>
      <c r="BV320" s="1069">
        <f t="shared" si="226"/>
        <v>188</v>
      </c>
      <c r="BW320" s="1069">
        <f t="shared" si="226"/>
        <v>188</v>
      </c>
      <c r="BX320" s="1069">
        <f t="shared" si="226"/>
        <v>188</v>
      </c>
      <c r="BY320" s="1069">
        <f t="shared" ref="BY320:CJ320" si="227">+BY251</f>
        <v>244.2</v>
      </c>
      <c r="BZ320" s="1069">
        <f t="shared" si="227"/>
        <v>244.2</v>
      </c>
      <c r="CA320" s="1069">
        <f t="shared" si="227"/>
        <v>244.2</v>
      </c>
      <c r="CB320" s="1069">
        <f t="shared" si="227"/>
        <v>250.4</v>
      </c>
      <c r="CC320" s="1069">
        <f t="shared" si="227"/>
        <v>257.2</v>
      </c>
      <c r="CD320" s="1069">
        <f t="shared" si="227"/>
        <v>261.34000000000003</v>
      </c>
      <c r="CE320" s="1069">
        <f t="shared" si="227"/>
        <v>261.34000000000003</v>
      </c>
      <c r="CF320" s="1069">
        <f t="shared" si="227"/>
        <v>261.34000000000003</v>
      </c>
      <c r="CG320" s="1069">
        <f t="shared" si="227"/>
        <v>261.34000000000003</v>
      </c>
      <c r="CH320" s="1069">
        <f t="shared" si="227"/>
        <v>261.34000000000003</v>
      </c>
      <c r="CI320" s="1069">
        <f t="shared" si="227"/>
        <v>260.67500000000001</v>
      </c>
      <c r="CJ320" s="1069">
        <f t="shared" si="227"/>
        <v>250.9</v>
      </c>
      <c r="CK320" s="1069">
        <f>+CK275</f>
        <v>275.60000000000002</v>
      </c>
      <c r="CL320" s="1069">
        <f t="shared" ref="CL320:CX320" si="228">+CL275</f>
        <v>275.60000000000002</v>
      </c>
      <c r="CM320" s="1069">
        <f t="shared" si="228"/>
        <v>275.60000000000002</v>
      </c>
      <c r="CN320" s="1069">
        <f t="shared" si="228"/>
        <v>275.60000000000002</v>
      </c>
      <c r="CO320" s="1069">
        <f t="shared" si="228"/>
        <v>282</v>
      </c>
      <c r="CP320" s="1069">
        <f t="shared" si="228"/>
        <v>288.5</v>
      </c>
      <c r="CQ320" s="1069">
        <f t="shared" si="228"/>
        <v>288.5</v>
      </c>
      <c r="CR320" s="1069">
        <f t="shared" si="228"/>
        <v>288.5</v>
      </c>
      <c r="CS320" s="1069">
        <f t="shared" si="228"/>
        <v>288.5</v>
      </c>
      <c r="CT320" s="1069">
        <f t="shared" si="228"/>
        <v>288.5</v>
      </c>
      <c r="CU320" s="1069">
        <f t="shared" si="228"/>
        <v>288.5</v>
      </c>
      <c r="CV320" s="1069">
        <f t="shared" si="228"/>
        <v>288.5</v>
      </c>
      <c r="CW320" s="1069">
        <f t="shared" si="228"/>
        <v>288.5</v>
      </c>
      <c r="CX320" s="1069">
        <f t="shared" si="228"/>
        <v>288.5</v>
      </c>
      <c r="CY320" s="1069">
        <f t="shared" ref="CY320:DG320" si="229">+CY295</f>
        <v>378</v>
      </c>
      <c r="CZ320" s="1069">
        <f t="shared" si="229"/>
        <v>378</v>
      </c>
      <c r="DA320" s="1069">
        <f t="shared" si="229"/>
        <v>378</v>
      </c>
      <c r="DB320" s="1069">
        <f t="shared" si="229"/>
        <v>443</v>
      </c>
      <c r="DC320" s="1069">
        <f t="shared" si="229"/>
        <v>443</v>
      </c>
      <c r="DD320" s="1069">
        <f t="shared" si="229"/>
        <v>443</v>
      </c>
      <c r="DE320" s="1069">
        <f t="shared" si="229"/>
        <v>443</v>
      </c>
      <c r="DF320" s="1069">
        <f t="shared" si="229"/>
        <v>425</v>
      </c>
      <c r="DG320" s="1195">
        <f t="shared" si="229"/>
        <v>425</v>
      </c>
      <c r="DH320" s="1195">
        <v>425</v>
      </c>
      <c r="DI320" s="1195">
        <f>+DI295</f>
        <v>425</v>
      </c>
      <c r="DJ320" s="1195">
        <f>+DJ295</f>
        <v>425</v>
      </c>
      <c r="DK320" s="1195">
        <f>+DK295</f>
        <v>425</v>
      </c>
      <c r="DL320" s="1195">
        <f>+DL295</f>
        <v>425</v>
      </c>
      <c r="DM320" s="1195">
        <f>+DM295</f>
        <v>403</v>
      </c>
      <c r="DN320" s="1195">
        <f>DN27</f>
        <v>418</v>
      </c>
      <c r="DO320" s="1195">
        <f>DO27</f>
        <v>418</v>
      </c>
      <c r="DP320" s="1195">
        <f>DP27</f>
        <v>418</v>
      </c>
      <c r="DQ320" s="1195">
        <f>DQ27</f>
        <v>418</v>
      </c>
    </row>
    <row r="321" spans="2:121" s="1068" customFormat="1" x14ac:dyDescent="0.25">
      <c r="B321" s="1068" t="s">
        <v>1144</v>
      </c>
      <c r="L321" s="1069"/>
      <c r="M321" s="1069"/>
      <c r="N321" s="1069"/>
      <c r="O321" s="1069"/>
      <c r="P321" s="1069"/>
      <c r="Q321" s="1070">
        <f>+Q83</f>
        <v>57.8</v>
      </c>
      <c r="R321" s="1070">
        <f>+R83</f>
        <v>60.4</v>
      </c>
      <c r="S321" s="1070">
        <f>+S83</f>
        <v>60.4</v>
      </c>
      <c r="T321" s="1070">
        <f>+T83</f>
        <v>67.400000000000006</v>
      </c>
      <c r="U321" s="1070">
        <f>+U83</f>
        <v>72.599999999999994</v>
      </c>
      <c r="V321" s="1070">
        <f t="shared" ref="V321:AB321" si="230">+V115</f>
        <v>96.5</v>
      </c>
      <c r="W321" s="1070">
        <f t="shared" si="230"/>
        <v>101.2</v>
      </c>
      <c r="X321" s="1070">
        <f t="shared" si="230"/>
        <v>101.2</v>
      </c>
      <c r="Y321" s="1070">
        <f t="shared" si="230"/>
        <v>101.2</v>
      </c>
      <c r="Z321" s="1070">
        <f t="shared" si="230"/>
        <v>101.4</v>
      </c>
      <c r="AA321" s="1070">
        <f t="shared" si="230"/>
        <v>101.4</v>
      </c>
      <c r="AB321" s="1070">
        <f t="shared" si="230"/>
        <v>101.4</v>
      </c>
      <c r="AC321" s="1070">
        <f>+AC115</f>
        <v>101.4</v>
      </c>
      <c r="AD321" s="1070">
        <f t="shared" ref="AD321:AN321" si="231">+AD115</f>
        <v>105.6</v>
      </c>
      <c r="AE321" s="1070">
        <f t="shared" si="231"/>
        <v>105.6</v>
      </c>
      <c r="AF321" s="1070">
        <f t="shared" si="231"/>
        <v>111.4</v>
      </c>
      <c r="AG321" s="1070">
        <f t="shared" si="231"/>
        <v>118</v>
      </c>
      <c r="AH321" s="1070">
        <f t="shared" si="231"/>
        <v>118</v>
      </c>
      <c r="AI321" s="1070">
        <f t="shared" si="231"/>
        <v>117.5</v>
      </c>
      <c r="AJ321" s="1070">
        <f t="shared" si="231"/>
        <v>122.5</v>
      </c>
      <c r="AK321" s="1070">
        <f t="shared" si="231"/>
        <v>133.25</v>
      </c>
      <c r="AL321" s="1070">
        <f t="shared" si="231"/>
        <v>136.5</v>
      </c>
      <c r="AM321" s="1070">
        <f t="shared" si="231"/>
        <v>136.5</v>
      </c>
      <c r="AN321" s="1070">
        <f t="shared" si="231"/>
        <v>136</v>
      </c>
      <c r="AO321" s="1069">
        <f>+AO147</f>
        <v>151</v>
      </c>
      <c r="AP321" s="1069">
        <f>+AP147</f>
        <v>153</v>
      </c>
      <c r="AQ321" s="1069">
        <f>+AQ147</f>
        <v>157.19999999999999</v>
      </c>
      <c r="AR321" s="1069">
        <f>+AR147</f>
        <v>157.19999999999999</v>
      </c>
      <c r="AS321" s="1069">
        <f>+AS147</f>
        <v>163</v>
      </c>
      <c r="AT321" s="1071">
        <f t="shared" ref="AT321:AZ321" si="232">+AT171</f>
        <v>177.6</v>
      </c>
      <c r="AU321" s="1071">
        <f t="shared" si="232"/>
        <v>177.6</v>
      </c>
      <c r="AV321" s="1071">
        <f t="shared" si="232"/>
        <v>177.6</v>
      </c>
      <c r="AW321" s="1071">
        <f t="shared" si="232"/>
        <v>98.526928375997514</v>
      </c>
      <c r="AX321" s="1071">
        <f t="shared" si="232"/>
        <v>98.526928375997514</v>
      </c>
      <c r="AY321" s="1071">
        <f t="shared" si="232"/>
        <v>101.5089761253325</v>
      </c>
      <c r="AZ321" s="1071">
        <f t="shared" si="232"/>
        <v>101.5089761253325</v>
      </c>
      <c r="BA321" s="1071">
        <f t="shared" ref="BA321:BL321" si="233">+BA171</f>
        <v>101.5089761253325</v>
      </c>
      <c r="BB321" s="1071">
        <f t="shared" si="233"/>
        <v>101.5089761253325</v>
      </c>
      <c r="BC321" s="1071">
        <f t="shared" si="233"/>
        <v>104.88173209399937</v>
      </c>
      <c r="BD321" s="1071">
        <f t="shared" si="233"/>
        <v>120</v>
      </c>
      <c r="BE321" s="1071">
        <f t="shared" si="233"/>
        <v>143.92500000000001</v>
      </c>
      <c r="BF321" s="1071">
        <f t="shared" si="233"/>
        <v>143.92500000000001</v>
      </c>
      <c r="BG321" s="1071">
        <f t="shared" si="233"/>
        <v>143.92500000000001</v>
      </c>
      <c r="BH321" s="1071">
        <f t="shared" si="233"/>
        <v>143.92500000000001</v>
      </c>
      <c r="BI321" s="1071">
        <f t="shared" si="233"/>
        <v>143.92500000000001</v>
      </c>
      <c r="BJ321" s="1071">
        <f t="shared" si="233"/>
        <v>143.92500000000001</v>
      </c>
      <c r="BK321" s="1071">
        <f t="shared" si="233"/>
        <v>144.17500000000001</v>
      </c>
      <c r="BL321" s="1071">
        <f t="shared" si="233"/>
        <v>144.17500000000001</v>
      </c>
      <c r="BM321" s="1069">
        <f t="shared" ref="BM321:BX321" si="234">+BM206</f>
        <v>150.4</v>
      </c>
      <c r="BN321" s="1069">
        <f t="shared" si="234"/>
        <v>118.5</v>
      </c>
      <c r="BO321" s="1069">
        <f t="shared" si="234"/>
        <v>118.5</v>
      </c>
      <c r="BP321" s="1069">
        <f t="shared" si="234"/>
        <v>118.5</v>
      </c>
      <c r="BQ321" s="1069">
        <f t="shared" si="234"/>
        <v>106.4</v>
      </c>
      <c r="BR321" s="1069">
        <f t="shared" si="234"/>
        <v>107.6</v>
      </c>
      <c r="BS321" s="1069">
        <f t="shared" si="234"/>
        <v>107.6</v>
      </c>
      <c r="BT321" s="1069">
        <f t="shared" si="234"/>
        <v>106</v>
      </c>
      <c r="BU321" s="1069">
        <f t="shared" si="234"/>
        <v>106</v>
      </c>
      <c r="BV321" s="1069">
        <f t="shared" si="234"/>
        <v>106</v>
      </c>
      <c r="BW321" s="1069">
        <f t="shared" si="234"/>
        <v>106</v>
      </c>
      <c r="BX321" s="1069">
        <f t="shared" si="234"/>
        <v>106</v>
      </c>
      <c r="BY321" s="1069">
        <f t="shared" ref="BY321:CK321" si="235">+BY259</f>
        <v>154.4</v>
      </c>
      <c r="BZ321" s="1069">
        <f t="shared" si="235"/>
        <v>154.4</v>
      </c>
      <c r="CA321" s="1069">
        <f t="shared" si="235"/>
        <v>154.4</v>
      </c>
      <c r="CB321" s="1069">
        <f t="shared" si="235"/>
        <v>158.19999999999999</v>
      </c>
      <c r="CC321" s="1069">
        <f t="shared" si="235"/>
        <v>163.6</v>
      </c>
      <c r="CD321" s="1069">
        <f t="shared" si="235"/>
        <v>167.85999999999999</v>
      </c>
      <c r="CE321" s="1069">
        <f t="shared" si="235"/>
        <v>167.85999999999999</v>
      </c>
      <c r="CF321" s="1069">
        <f t="shared" si="235"/>
        <v>167.85999999999999</v>
      </c>
      <c r="CG321" s="1069">
        <f t="shared" si="235"/>
        <v>167.85999999999999</v>
      </c>
      <c r="CH321" s="1069">
        <f t="shared" si="235"/>
        <v>167.85999999999999</v>
      </c>
      <c r="CI321" s="1069">
        <f t="shared" si="235"/>
        <v>167.57499999999999</v>
      </c>
      <c r="CJ321" s="1069">
        <f t="shared" si="235"/>
        <v>155.1</v>
      </c>
      <c r="CK321" s="1069">
        <f t="shared" si="235"/>
        <v>155.1</v>
      </c>
      <c r="CL321" s="1069">
        <f>+CL283</f>
        <v>174.55</v>
      </c>
      <c r="CM321" s="1069">
        <f t="shared" ref="CM321:CX321" si="236">+CM283</f>
        <v>174.55</v>
      </c>
      <c r="CN321" s="1069">
        <f t="shared" si="236"/>
        <v>174.55</v>
      </c>
      <c r="CO321" s="1069">
        <f t="shared" si="236"/>
        <v>184</v>
      </c>
      <c r="CP321" s="1069">
        <f t="shared" si="236"/>
        <v>191.5</v>
      </c>
      <c r="CQ321" s="1069">
        <f t="shared" si="236"/>
        <v>191.5</v>
      </c>
      <c r="CR321" s="1069">
        <f t="shared" si="236"/>
        <v>191.5</v>
      </c>
      <c r="CS321" s="1069">
        <f t="shared" si="236"/>
        <v>191.5</v>
      </c>
      <c r="CT321" s="1069">
        <f t="shared" si="236"/>
        <v>191.5</v>
      </c>
      <c r="CU321" s="1069">
        <f t="shared" si="236"/>
        <v>191.5</v>
      </c>
      <c r="CV321" s="1069">
        <f t="shared" si="236"/>
        <v>191.5</v>
      </c>
      <c r="CW321" s="1069">
        <f t="shared" si="236"/>
        <v>191.5</v>
      </c>
      <c r="CX321" s="1069">
        <f t="shared" si="236"/>
        <v>191.5</v>
      </c>
      <c r="CY321" s="1069">
        <f t="shared" ref="CY321:DG321" si="237">+CY301</f>
        <v>270</v>
      </c>
      <c r="CZ321" s="1069">
        <f t="shared" si="237"/>
        <v>270</v>
      </c>
      <c r="DA321" s="1069">
        <f t="shared" si="237"/>
        <v>270</v>
      </c>
      <c r="DB321" s="1069">
        <f t="shared" si="237"/>
        <v>303</v>
      </c>
      <c r="DC321" s="1069">
        <f t="shared" si="237"/>
        <v>303</v>
      </c>
      <c r="DD321" s="1069">
        <f t="shared" si="237"/>
        <v>303</v>
      </c>
      <c r="DE321" s="1069">
        <f t="shared" si="237"/>
        <v>303</v>
      </c>
      <c r="DF321" s="1069">
        <f t="shared" si="237"/>
        <v>289.5</v>
      </c>
      <c r="DG321" s="1195">
        <f t="shared" si="237"/>
        <v>289.5</v>
      </c>
      <c r="DH321" s="1195">
        <v>289.5</v>
      </c>
      <c r="DI321" s="1195">
        <f>+DI301</f>
        <v>289.5</v>
      </c>
      <c r="DJ321" s="1195">
        <f>+DJ301</f>
        <v>289.5</v>
      </c>
      <c r="DK321" s="1195">
        <f>+DK301</f>
        <v>289.5</v>
      </c>
      <c r="DL321" s="1195">
        <f>+DL301</f>
        <v>289.5</v>
      </c>
      <c r="DM321" s="1195">
        <f>+DM301</f>
        <v>273</v>
      </c>
      <c r="DN321" s="1195">
        <f>DN32</f>
        <v>270.5</v>
      </c>
      <c r="DO321" s="1195">
        <f>DO32</f>
        <v>270.5</v>
      </c>
      <c r="DP321" s="1195">
        <f>DP32</f>
        <v>270.5</v>
      </c>
      <c r="DQ321" s="1195">
        <f>DQ32</f>
        <v>270.5</v>
      </c>
    </row>
    <row r="322" spans="2:121" s="1068" customFormat="1" x14ac:dyDescent="0.25">
      <c r="B322" s="1068" t="s">
        <v>1145</v>
      </c>
      <c r="Q322" s="1068">
        <f t="shared" ref="Q322:AV322" si="238">+MONTH(Q1)</f>
        <v>1</v>
      </c>
      <c r="R322" s="1068">
        <f t="shared" si="238"/>
        <v>1</v>
      </c>
      <c r="S322" s="1068">
        <f t="shared" si="238"/>
        <v>1</v>
      </c>
      <c r="T322" s="1068">
        <f t="shared" si="238"/>
        <v>1</v>
      </c>
      <c r="U322" s="1068">
        <f t="shared" si="238"/>
        <v>1</v>
      </c>
      <c r="V322" s="1068">
        <f t="shared" si="238"/>
        <v>1</v>
      </c>
      <c r="W322" s="1068">
        <f t="shared" si="238"/>
        <v>1</v>
      </c>
      <c r="X322" s="1068">
        <f t="shared" si="238"/>
        <v>1</v>
      </c>
      <c r="Y322" s="1068">
        <f t="shared" si="238"/>
        <v>1</v>
      </c>
      <c r="Z322" s="1068">
        <f t="shared" si="238"/>
        <v>1</v>
      </c>
      <c r="AA322" s="1068">
        <f t="shared" si="238"/>
        <v>1</v>
      </c>
      <c r="AB322" s="1068">
        <f t="shared" si="238"/>
        <v>1</v>
      </c>
      <c r="AC322" s="1068">
        <f t="shared" si="238"/>
        <v>1</v>
      </c>
      <c r="AD322" s="1068">
        <f t="shared" si="238"/>
        <v>1</v>
      </c>
      <c r="AE322" s="1068">
        <f t="shared" si="238"/>
        <v>1</v>
      </c>
      <c r="AF322" s="1068">
        <f t="shared" si="238"/>
        <v>1</v>
      </c>
      <c r="AG322" s="1068">
        <f t="shared" si="238"/>
        <v>1</v>
      </c>
      <c r="AH322" s="1068">
        <f t="shared" si="238"/>
        <v>1</v>
      </c>
      <c r="AI322" s="1068">
        <f t="shared" si="238"/>
        <v>1</v>
      </c>
      <c r="AJ322" s="1068">
        <f t="shared" si="238"/>
        <v>1</v>
      </c>
      <c r="AK322" s="1068">
        <f t="shared" si="238"/>
        <v>1</v>
      </c>
      <c r="AL322" s="1068">
        <f t="shared" si="238"/>
        <v>1</v>
      </c>
      <c r="AM322" s="1068">
        <f t="shared" si="238"/>
        <v>1</v>
      </c>
      <c r="AN322" s="1068">
        <f t="shared" si="238"/>
        <v>1</v>
      </c>
      <c r="AO322" s="1068">
        <f t="shared" si="238"/>
        <v>1</v>
      </c>
      <c r="AP322" s="1068">
        <f t="shared" si="238"/>
        <v>1</v>
      </c>
      <c r="AQ322" s="1068">
        <f t="shared" si="238"/>
        <v>1</v>
      </c>
      <c r="AR322" s="1068">
        <f t="shared" si="238"/>
        <v>1</v>
      </c>
      <c r="AS322" s="1068">
        <f t="shared" si="238"/>
        <v>1</v>
      </c>
      <c r="AT322" s="1068">
        <f t="shared" si="238"/>
        <v>1</v>
      </c>
      <c r="AU322" s="1068">
        <f t="shared" si="238"/>
        <v>1</v>
      </c>
      <c r="AV322" s="1068">
        <f t="shared" si="238"/>
        <v>1</v>
      </c>
      <c r="AW322" s="1068">
        <f t="shared" ref="AW322:CB322" si="239">+MONTH(AW1)</f>
        <v>1</v>
      </c>
      <c r="AX322" s="1068">
        <f t="shared" si="239"/>
        <v>1</v>
      </c>
      <c r="AY322" s="1068">
        <f t="shared" si="239"/>
        <v>1</v>
      </c>
      <c r="AZ322" s="1068">
        <f t="shared" si="239"/>
        <v>1</v>
      </c>
      <c r="BA322" s="1068">
        <f t="shared" si="239"/>
        <v>1</v>
      </c>
      <c r="BB322" s="1068">
        <f t="shared" si="239"/>
        <v>1</v>
      </c>
      <c r="BC322" s="1068">
        <f t="shared" si="239"/>
        <v>1</v>
      </c>
      <c r="BD322" s="1068">
        <f t="shared" si="239"/>
        <v>1</v>
      </c>
      <c r="BE322" s="1068">
        <f t="shared" si="239"/>
        <v>1</v>
      </c>
      <c r="BF322" s="1068">
        <f t="shared" si="239"/>
        <v>1</v>
      </c>
      <c r="BG322" s="1068">
        <f t="shared" si="239"/>
        <v>1</v>
      </c>
      <c r="BH322" s="1068">
        <f t="shared" si="239"/>
        <v>1</v>
      </c>
      <c r="BI322" s="1068">
        <f t="shared" si="239"/>
        <v>1</v>
      </c>
      <c r="BJ322" s="1068">
        <f t="shared" si="239"/>
        <v>1</v>
      </c>
      <c r="BK322" s="1068">
        <f t="shared" si="239"/>
        <v>1</v>
      </c>
      <c r="BL322" s="1068">
        <f t="shared" si="239"/>
        <v>1</v>
      </c>
      <c r="BM322" s="1068">
        <f t="shared" si="239"/>
        <v>1</v>
      </c>
      <c r="BN322" s="1068">
        <f t="shared" si="239"/>
        <v>1</v>
      </c>
      <c r="BO322" s="1068">
        <f t="shared" si="239"/>
        <v>1</v>
      </c>
      <c r="BP322" s="1068">
        <f t="shared" si="239"/>
        <v>1</v>
      </c>
      <c r="BQ322" s="1068">
        <f t="shared" si="239"/>
        <v>1</v>
      </c>
      <c r="BR322" s="1068">
        <f t="shared" si="239"/>
        <v>1</v>
      </c>
      <c r="BS322" s="1068">
        <f t="shared" si="239"/>
        <v>1</v>
      </c>
      <c r="BT322" s="1068">
        <f t="shared" si="239"/>
        <v>1</v>
      </c>
      <c r="BU322" s="1068">
        <f t="shared" si="239"/>
        <v>1</v>
      </c>
      <c r="BV322" s="1068">
        <f t="shared" si="239"/>
        <v>1</v>
      </c>
      <c r="BW322" s="1068">
        <f t="shared" si="239"/>
        <v>1</v>
      </c>
      <c r="BX322" s="1068">
        <f t="shared" si="239"/>
        <v>1</v>
      </c>
      <c r="BY322" s="1068">
        <f t="shared" si="239"/>
        <v>1</v>
      </c>
      <c r="BZ322" s="1068">
        <f t="shared" si="239"/>
        <v>1</v>
      </c>
      <c r="CA322" s="1068">
        <f t="shared" si="239"/>
        <v>1</v>
      </c>
      <c r="CB322" s="1068">
        <f t="shared" si="239"/>
        <v>1</v>
      </c>
      <c r="CC322" s="1068">
        <f t="shared" ref="CC322:CX322" si="240">+MONTH(CC1)</f>
        <v>1</v>
      </c>
      <c r="CD322" s="1068">
        <f t="shared" si="240"/>
        <v>1</v>
      </c>
      <c r="CE322" s="1068">
        <f t="shared" si="240"/>
        <v>1</v>
      </c>
      <c r="CF322" s="1068">
        <f t="shared" si="240"/>
        <v>1</v>
      </c>
      <c r="CG322" s="1068">
        <f t="shared" si="240"/>
        <v>1</v>
      </c>
      <c r="CH322" s="1068">
        <f t="shared" si="240"/>
        <v>1</v>
      </c>
      <c r="CI322" s="1068">
        <f t="shared" si="240"/>
        <v>1</v>
      </c>
      <c r="CJ322" s="1068">
        <f t="shared" si="240"/>
        <v>1</v>
      </c>
      <c r="CK322" s="1068">
        <f t="shared" si="240"/>
        <v>1</v>
      </c>
      <c r="CL322" s="1068">
        <f t="shared" si="240"/>
        <v>1</v>
      </c>
      <c r="CM322" s="1068">
        <f t="shared" si="240"/>
        <v>1</v>
      </c>
      <c r="CN322" s="1068">
        <f t="shared" si="240"/>
        <v>1</v>
      </c>
      <c r="CO322" s="1068">
        <f t="shared" si="240"/>
        <v>1</v>
      </c>
      <c r="CP322" s="1068">
        <f t="shared" si="240"/>
        <v>1</v>
      </c>
      <c r="CQ322" s="1068">
        <f t="shared" si="240"/>
        <v>1</v>
      </c>
      <c r="CR322" s="1068">
        <f t="shared" si="240"/>
        <v>1</v>
      </c>
      <c r="CS322" s="1068">
        <f t="shared" si="240"/>
        <v>1</v>
      </c>
      <c r="CT322" s="1068">
        <f t="shared" si="240"/>
        <v>1</v>
      </c>
      <c r="CU322" s="1068">
        <f t="shared" si="240"/>
        <v>1</v>
      </c>
      <c r="CV322" s="1068">
        <f t="shared" si="240"/>
        <v>1</v>
      </c>
      <c r="CW322" s="1068">
        <f t="shared" si="240"/>
        <v>1</v>
      </c>
      <c r="CX322" s="1068">
        <f t="shared" si="240"/>
        <v>1</v>
      </c>
      <c r="CY322" s="1068">
        <v>10</v>
      </c>
      <c r="CZ322" s="1068">
        <v>11</v>
      </c>
      <c r="DA322" s="1068">
        <v>12</v>
      </c>
      <c r="DB322" s="1068">
        <v>1</v>
      </c>
      <c r="DC322" s="1068">
        <f>DB322+1</f>
        <v>2</v>
      </c>
      <c r="DD322" s="1068">
        <f>DC322+1</f>
        <v>3</v>
      </c>
      <c r="DE322" s="1068">
        <f>DD322+1</f>
        <v>4</v>
      </c>
      <c r="DF322" s="1068">
        <f>DE322+1</f>
        <v>5</v>
      </c>
      <c r="DG322" s="761">
        <f>DF322+1</f>
        <v>6</v>
      </c>
      <c r="DH322" s="761">
        <v>7</v>
      </c>
      <c r="DI322" s="761">
        <v>8</v>
      </c>
      <c r="DJ322" s="761">
        <v>9</v>
      </c>
      <c r="DK322" s="761">
        <v>10</v>
      </c>
      <c r="DL322" s="761">
        <v>11</v>
      </c>
      <c r="DM322" s="761">
        <v>12</v>
      </c>
      <c r="DN322" s="761">
        <v>1</v>
      </c>
      <c r="DO322" s="761">
        <v>2</v>
      </c>
      <c r="DP322" s="761">
        <v>3</v>
      </c>
      <c r="DQ322" s="761">
        <v>4</v>
      </c>
    </row>
    <row r="323" spans="2:121" s="1068" customFormat="1" x14ac:dyDescent="0.25">
      <c r="B323" s="1068" t="s">
        <v>1146</v>
      </c>
      <c r="Q323" s="1068">
        <f t="shared" ref="Q323:AV323" si="241">+YEAR(Q1)</f>
        <v>1900</v>
      </c>
      <c r="R323" s="1068">
        <f t="shared" si="241"/>
        <v>1900</v>
      </c>
      <c r="S323" s="1068">
        <f t="shared" si="241"/>
        <v>1900</v>
      </c>
      <c r="T323" s="1068">
        <f t="shared" si="241"/>
        <v>1900</v>
      </c>
      <c r="U323" s="1068">
        <f t="shared" si="241"/>
        <v>1900</v>
      </c>
      <c r="V323" s="1068">
        <f t="shared" si="241"/>
        <v>1900</v>
      </c>
      <c r="W323" s="1068">
        <f t="shared" si="241"/>
        <v>1900</v>
      </c>
      <c r="X323" s="1068">
        <f t="shared" si="241"/>
        <v>1900</v>
      </c>
      <c r="Y323" s="1068">
        <f t="shared" si="241"/>
        <v>1900</v>
      </c>
      <c r="Z323" s="1068">
        <f t="shared" si="241"/>
        <v>1900</v>
      </c>
      <c r="AA323" s="1068">
        <f t="shared" si="241"/>
        <v>1900</v>
      </c>
      <c r="AB323" s="1068">
        <f t="shared" si="241"/>
        <v>1900</v>
      </c>
      <c r="AC323" s="1068">
        <f t="shared" si="241"/>
        <v>1900</v>
      </c>
      <c r="AD323" s="1068">
        <f t="shared" si="241"/>
        <v>1900</v>
      </c>
      <c r="AE323" s="1068">
        <f t="shared" si="241"/>
        <v>1900</v>
      </c>
      <c r="AF323" s="1068">
        <f t="shared" si="241"/>
        <v>1900</v>
      </c>
      <c r="AG323" s="1068">
        <f t="shared" si="241"/>
        <v>1900</v>
      </c>
      <c r="AH323" s="1068">
        <f t="shared" si="241"/>
        <v>1900</v>
      </c>
      <c r="AI323" s="1068">
        <f t="shared" si="241"/>
        <v>1900</v>
      </c>
      <c r="AJ323" s="1068">
        <f t="shared" si="241"/>
        <v>1900</v>
      </c>
      <c r="AK323" s="1068">
        <f t="shared" si="241"/>
        <v>1900</v>
      </c>
      <c r="AL323" s="1068">
        <f t="shared" si="241"/>
        <v>1900</v>
      </c>
      <c r="AM323" s="1068">
        <f t="shared" si="241"/>
        <v>1900</v>
      </c>
      <c r="AN323" s="1068">
        <f t="shared" si="241"/>
        <v>1900</v>
      </c>
      <c r="AO323" s="1068">
        <f t="shared" si="241"/>
        <v>1900</v>
      </c>
      <c r="AP323" s="1068">
        <f t="shared" si="241"/>
        <v>1900</v>
      </c>
      <c r="AQ323" s="1068">
        <f t="shared" si="241"/>
        <v>1900</v>
      </c>
      <c r="AR323" s="1068">
        <f t="shared" si="241"/>
        <v>1900</v>
      </c>
      <c r="AS323" s="1068">
        <f t="shared" si="241"/>
        <v>1900</v>
      </c>
      <c r="AT323" s="1068">
        <f t="shared" si="241"/>
        <v>1900</v>
      </c>
      <c r="AU323" s="1068">
        <f t="shared" si="241"/>
        <v>1900</v>
      </c>
      <c r="AV323" s="1068">
        <f t="shared" si="241"/>
        <v>1900</v>
      </c>
      <c r="AW323" s="1068">
        <f t="shared" ref="AW323:CB323" si="242">+YEAR(AW1)</f>
        <v>1900</v>
      </c>
      <c r="AX323" s="1068">
        <f t="shared" si="242"/>
        <v>1900</v>
      </c>
      <c r="AY323" s="1068">
        <f t="shared" si="242"/>
        <v>1900</v>
      </c>
      <c r="AZ323" s="1068">
        <f t="shared" si="242"/>
        <v>1900</v>
      </c>
      <c r="BA323" s="1068">
        <f t="shared" si="242"/>
        <v>1900</v>
      </c>
      <c r="BB323" s="1068">
        <f t="shared" si="242"/>
        <v>1900</v>
      </c>
      <c r="BC323" s="1068">
        <f t="shared" si="242"/>
        <v>1900</v>
      </c>
      <c r="BD323" s="1068">
        <f t="shared" si="242"/>
        <v>1900</v>
      </c>
      <c r="BE323" s="1068">
        <f t="shared" si="242"/>
        <v>1900</v>
      </c>
      <c r="BF323" s="1068">
        <f t="shared" si="242"/>
        <v>1900</v>
      </c>
      <c r="BG323" s="1068">
        <f t="shared" si="242"/>
        <v>1900</v>
      </c>
      <c r="BH323" s="1068">
        <f t="shared" si="242"/>
        <v>1900</v>
      </c>
      <c r="BI323" s="1068">
        <f t="shared" si="242"/>
        <v>1900</v>
      </c>
      <c r="BJ323" s="1068">
        <f t="shared" si="242"/>
        <v>1900</v>
      </c>
      <c r="BK323" s="1068">
        <f t="shared" si="242"/>
        <v>1900</v>
      </c>
      <c r="BL323" s="1068">
        <f t="shared" si="242"/>
        <v>1900</v>
      </c>
      <c r="BM323" s="1068">
        <f t="shared" si="242"/>
        <v>1900</v>
      </c>
      <c r="BN323" s="1068">
        <f t="shared" si="242"/>
        <v>1900</v>
      </c>
      <c r="BO323" s="1068">
        <f t="shared" si="242"/>
        <v>1900</v>
      </c>
      <c r="BP323" s="1068">
        <f t="shared" si="242"/>
        <v>1900</v>
      </c>
      <c r="BQ323" s="1068">
        <f t="shared" si="242"/>
        <v>1900</v>
      </c>
      <c r="BR323" s="1068">
        <f t="shared" si="242"/>
        <v>1900</v>
      </c>
      <c r="BS323" s="1068">
        <f t="shared" si="242"/>
        <v>1900</v>
      </c>
      <c r="BT323" s="1068">
        <f t="shared" si="242"/>
        <v>1900</v>
      </c>
      <c r="BU323" s="1068">
        <f t="shared" si="242"/>
        <v>1900</v>
      </c>
      <c r="BV323" s="1068">
        <f t="shared" si="242"/>
        <v>1900</v>
      </c>
      <c r="BW323" s="1068">
        <f t="shared" si="242"/>
        <v>1900</v>
      </c>
      <c r="BX323" s="1068">
        <f t="shared" si="242"/>
        <v>1900</v>
      </c>
      <c r="BY323" s="1068">
        <f t="shared" si="242"/>
        <v>1900</v>
      </c>
      <c r="BZ323" s="1068">
        <f t="shared" si="242"/>
        <v>1900</v>
      </c>
      <c r="CA323" s="1068">
        <f t="shared" si="242"/>
        <v>1900</v>
      </c>
      <c r="CB323" s="1068">
        <f t="shared" si="242"/>
        <v>1900</v>
      </c>
      <c r="CC323" s="1068">
        <f t="shared" ref="CC323:DE323" si="243">+YEAR(CC1)</f>
        <v>1900</v>
      </c>
      <c r="CD323" s="1068">
        <f t="shared" si="243"/>
        <v>1900</v>
      </c>
      <c r="CE323" s="1068">
        <f t="shared" si="243"/>
        <v>1900</v>
      </c>
      <c r="CF323" s="1068">
        <f t="shared" si="243"/>
        <v>1900</v>
      </c>
      <c r="CG323" s="1068">
        <f t="shared" si="243"/>
        <v>1900</v>
      </c>
      <c r="CH323" s="1068">
        <f t="shared" si="243"/>
        <v>1900</v>
      </c>
      <c r="CI323" s="1068">
        <f t="shared" si="243"/>
        <v>1900</v>
      </c>
      <c r="CJ323" s="1068">
        <f t="shared" si="243"/>
        <v>1900</v>
      </c>
      <c r="CK323" s="1068">
        <f t="shared" si="243"/>
        <v>1900</v>
      </c>
      <c r="CL323" s="1068">
        <f t="shared" si="243"/>
        <v>1900</v>
      </c>
      <c r="CM323" s="1068">
        <f t="shared" si="243"/>
        <v>1900</v>
      </c>
      <c r="CN323" s="1068">
        <f t="shared" si="243"/>
        <v>1900</v>
      </c>
      <c r="CO323" s="1068">
        <f t="shared" si="243"/>
        <v>1900</v>
      </c>
      <c r="CP323" s="1068">
        <f t="shared" si="243"/>
        <v>1900</v>
      </c>
      <c r="CQ323" s="1068">
        <f t="shared" si="243"/>
        <v>1900</v>
      </c>
      <c r="CR323" s="1068">
        <f t="shared" si="243"/>
        <v>1900</v>
      </c>
      <c r="CS323" s="1068">
        <f t="shared" si="243"/>
        <v>1900</v>
      </c>
      <c r="CT323" s="1068">
        <f t="shared" si="243"/>
        <v>1900</v>
      </c>
      <c r="CU323" s="1068">
        <f t="shared" si="243"/>
        <v>1900</v>
      </c>
      <c r="CV323" s="1068">
        <f t="shared" si="243"/>
        <v>1900</v>
      </c>
      <c r="CW323" s="1068">
        <f t="shared" si="243"/>
        <v>1900</v>
      </c>
      <c r="CX323" s="1068">
        <f t="shared" si="243"/>
        <v>1900</v>
      </c>
      <c r="CY323" s="1068">
        <f t="shared" si="243"/>
        <v>1900</v>
      </c>
      <c r="CZ323" s="1068">
        <f t="shared" si="243"/>
        <v>1900</v>
      </c>
      <c r="DA323" s="1068">
        <f t="shared" si="243"/>
        <v>1900</v>
      </c>
      <c r="DB323" s="1068">
        <f t="shared" si="243"/>
        <v>1900</v>
      </c>
      <c r="DC323" s="1068">
        <f t="shared" si="243"/>
        <v>1900</v>
      </c>
      <c r="DD323" s="1068">
        <f t="shared" si="243"/>
        <v>1900</v>
      </c>
      <c r="DE323" s="1068">
        <f t="shared" si="243"/>
        <v>1900</v>
      </c>
      <c r="DF323" s="1068">
        <f>+YEAR(DD1)</f>
        <v>1900</v>
      </c>
      <c r="DG323" s="761">
        <f>+YEAR(DE1)</f>
        <v>1900</v>
      </c>
      <c r="DH323" s="761">
        <v>2025</v>
      </c>
      <c r="DI323" s="761">
        <v>2025</v>
      </c>
      <c r="DJ323" s="761">
        <v>2025</v>
      </c>
      <c r="DK323" s="761">
        <v>2025</v>
      </c>
      <c r="DL323" s="761">
        <v>2025</v>
      </c>
      <c r="DM323" s="761">
        <v>2025</v>
      </c>
      <c r="DN323" s="761">
        <v>2026</v>
      </c>
      <c r="DO323" s="761">
        <v>2026</v>
      </c>
      <c r="DP323" s="761">
        <v>2026</v>
      </c>
      <c r="DQ323" s="761">
        <v>2026</v>
      </c>
    </row>
  </sheetData>
  <conditionalFormatting sqref="C49:AS49">
    <cfRule type="expression" dxfId="13" priority="2744">
      <formula>"[RENAME.xlsm]RENAME!$H$3=1"</formula>
    </cfRule>
  </conditionalFormatting>
  <conditionalFormatting sqref="C85:AS85">
    <cfRule type="expression" dxfId="12" priority="2737">
      <formula>"[RENAME.xlsm]RENAME!$H$3=1"</formula>
    </cfRule>
  </conditionalFormatting>
  <conditionalFormatting sqref="C117:BD117">
    <cfRule type="expression" dxfId="11" priority="2619">
      <formula>"[RENAME.xlsm]RENAME!$H$3=1"</formula>
    </cfRule>
  </conditionalFormatting>
  <conditionalFormatting sqref="C173:BQ173">
    <cfRule type="expression" dxfId="10" priority="2330">
      <formula>"[RENAME.xlsm]RENAME!$H$3=1"</formula>
    </cfRule>
  </conditionalFormatting>
  <conditionalFormatting sqref="C208:CD208">
    <cfRule type="expression" dxfId="9" priority="1883">
      <formula>"[RENAME.xlsm]RENAME!$H$3=1"</formula>
    </cfRule>
  </conditionalFormatting>
  <conditionalFormatting sqref="C229:CN229">
    <cfRule type="expression" dxfId="8" priority="44">
      <formula>"[RENAME.xlsm]RENAME!$H$3=1"</formula>
    </cfRule>
  </conditionalFormatting>
  <conditionalFormatting sqref="C237:CN237">
    <cfRule type="expression" dxfId="7" priority="41">
      <formula>"[RENAME.xlsm]RENAME!$H$3=1"</formula>
    </cfRule>
  </conditionalFormatting>
  <conditionalFormatting sqref="C245:CN245">
    <cfRule type="expression" dxfId="6" priority="40">
      <formula>"[RENAME.xlsm]RENAME!$H$3=1"</formula>
    </cfRule>
  </conditionalFormatting>
  <conditionalFormatting sqref="C253:CN253">
    <cfRule type="expression" dxfId="5" priority="39">
      <formula>"[RENAME.xlsm]RENAME!$H$3=1"</formula>
    </cfRule>
  </conditionalFormatting>
  <conditionalFormatting sqref="C217:DA217">
    <cfRule type="expression" dxfId="4" priority="34">
      <formula>"[RENAME.xlsm]RENAME!$H$3=1"</formula>
    </cfRule>
  </conditionalFormatting>
  <conditionalFormatting sqref="C223:DM223">
    <cfRule type="expression" dxfId="3" priority="1">
      <formula>"[RENAME.xlsm]RENAME!$H$3=1"</formula>
    </cfRule>
  </conditionalFormatting>
  <conditionalFormatting sqref="C4:DQ4">
    <cfRule type="expression" dxfId="2" priority="4">
      <formula>"[RENAME.xlsm]RENAME!$H$3=1"</formula>
    </cfRule>
  </conditionalFormatting>
  <conditionalFormatting sqref="C6:DQ6">
    <cfRule type="expression" dxfId="1" priority="3">
      <formula>"[RENAME.xlsm]RENAME!$H$3=1"</formula>
    </cfRule>
  </conditionalFormatting>
  <conditionalFormatting sqref="C11:DQ11">
    <cfRule type="expression" dxfId="0" priority="2">
      <formula>"[RENAME.xlsm]RENAME!$H$3=1"</formula>
    </cfRule>
  </conditionalFormatting>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3">
    <tabColor theme="8"/>
    <pageSetUpPr autoPageBreaks="0"/>
  </sheetPr>
  <dimension ref="A1:BF291"/>
  <sheetViews>
    <sheetView showGridLines="0" topLeftCell="A3" zoomScaleNormal="100" workbookViewId="0">
      <pane xSplit="2" ySplit="2" topLeftCell="C200" activePane="bottomRight" state="frozen"/>
      <selection activeCell="D3" sqref="D3"/>
      <selection pane="topRight" activeCell="E3" sqref="E3"/>
      <selection pane="bottomLeft" activeCell="D5" sqref="D5"/>
      <selection pane="bottomRight" activeCell="U202" sqref="U202"/>
    </sheetView>
  </sheetViews>
  <sheetFormatPr defaultColWidth="38" defaultRowHeight="12.75" customHeight="1" outlineLevelRow="1" x14ac:dyDescent="0.2"/>
  <cols>
    <col min="1" max="1" width="4.85546875" hidden="1" customWidth="1"/>
    <col min="2" max="2" width="9.5703125" customWidth="1"/>
    <col min="3" max="3" width="8.85546875" bestFit="1" customWidth="1"/>
    <col min="4" max="4" width="9.85546875" customWidth="1"/>
    <col min="5" max="5" width="11.140625" bestFit="1" customWidth="1"/>
    <col min="6" max="6" width="3.42578125" customWidth="1"/>
    <col min="7" max="7" width="7.85546875" bestFit="1" customWidth="1"/>
    <col min="8" max="8" width="8.140625" bestFit="1" customWidth="1"/>
    <col min="9" max="9" width="8.85546875" bestFit="1" customWidth="1"/>
    <col min="10" max="10" width="3.42578125" customWidth="1"/>
    <col min="11" max="11" width="7.85546875" bestFit="1" customWidth="1"/>
    <col min="12" max="12" width="10.42578125" customWidth="1"/>
    <col min="13" max="13" width="4.140625" customWidth="1"/>
    <col min="14" max="15" width="7.85546875" bestFit="1" customWidth="1"/>
    <col min="16" max="16" width="4.140625" customWidth="1"/>
    <col min="17" max="17" width="8.85546875" customWidth="1"/>
    <col min="18" max="18" width="7.5703125" customWidth="1"/>
    <col min="19" max="19" width="3.42578125" customWidth="1"/>
    <col min="20" max="28" width="10" customWidth="1"/>
    <col min="29" max="29" width="2.140625" customWidth="1"/>
    <col min="30" max="30" width="6.140625" bestFit="1" customWidth="1"/>
    <col min="31" max="39" width="9.85546875" customWidth="1"/>
    <col min="40" max="40" width="3.42578125" customWidth="1"/>
    <col min="41" max="41" width="7" bestFit="1" customWidth="1"/>
    <col min="42" max="42" width="8.85546875" bestFit="1" customWidth="1"/>
    <col min="43" max="43" width="10.5703125" bestFit="1" customWidth="1"/>
    <col min="44" max="45" width="7.85546875" bestFit="1" customWidth="1"/>
    <col min="46" max="46" width="3.42578125" customWidth="1"/>
    <col min="47" max="47" width="5.5703125" bestFit="1" customWidth="1"/>
    <col min="48" max="48" width="8" bestFit="1" customWidth="1"/>
    <col min="49" max="49" width="6.5703125" bestFit="1" customWidth="1"/>
    <col min="50" max="50" width="7.140625" bestFit="1" customWidth="1"/>
    <col min="51" max="51" width="6.5703125" bestFit="1" customWidth="1"/>
    <col min="52" max="52" width="3.42578125" customWidth="1"/>
    <col min="53" max="53" width="10" customWidth="1"/>
    <col min="54" max="54" width="10.140625" bestFit="1" customWidth="1"/>
    <col min="55" max="55" width="3.42578125" customWidth="1"/>
    <col min="56" max="56" width="33.5703125" customWidth="1"/>
    <col min="57" max="57" width="4.85546875" bestFit="1" customWidth="1"/>
    <col min="58" max="58" width="4.85546875" customWidth="1"/>
  </cols>
  <sheetData>
    <row r="1" spans="1:58" s="364" customFormat="1" ht="12.75" hidden="1" customHeight="1" x14ac:dyDescent="0.2">
      <c r="B1" s="365"/>
      <c r="C1" s="432"/>
      <c r="E1" s="433"/>
      <c r="G1" s="432"/>
      <c r="I1" s="433"/>
      <c r="K1" s="434"/>
      <c r="N1" s="434"/>
      <c r="O1" s="433"/>
      <c r="Q1" s="434"/>
      <c r="R1" s="433"/>
      <c r="T1" s="434"/>
      <c r="AB1" s="433"/>
      <c r="AD1" s="365"/>
      <c r="AE1" s="435"/>
      <c r="AF1" s="436"/>
      <c r="AG1" s="436"/>
      <c r="AH1" s="436"/>
      <c r="AI1" s="436"/>
      <c r="AJ1" s="436"/>
      <c r="AK1" s="436"/>
      <c r="AL1" s="436"/>
      <c r="AM1" s="433"/>
      <c r="AO1" s="434"/>
      <c r="AS1" s="433"/>
      <c r="AU1" s="434"/>
      <c r="AY1" s="433"/>
      <c r="BA1" s="434"/>
      <c r="BB1" s="433"/>
      <c r="BE1" s="947"/>
      <c r="BF1" s="947"/>
    </row>
    <row r="2" spans="1:58" s="364" customFormat="1" ht="12.75" hidden="1" customHeight="1" x14ac:dyDescent="0.2">
      <c r="B2" s="365"/>
      <c r="C2" s="432"/>
      <c r="E2" s="433"/>
      <c r="G2" s="432"/>
      <c r="I2" s="433"/>
      <c r="K2" s="434"/>
      <c r="N2" s="434"/>
      <c r="O2" s="433"/>
      <c r="Q2" s="434"/>
      <c r="R2" s="433"/>
      <c r="T2" s="434"/>
      <c r="AB2" s="433"/>
      <c r="AD2" s="365"/>
      <c r="AE2" s="435"/>
      <c r="AF2" s="436"/>
      <c r="AG2" s="436"/>
      <c r="AH2" s="436"/>
      <c r="AI2" s="436"/>
      <c r="AJ2" s="436"/>
      <c r="AK2" s="436"/>
      <c r="AL2" s="436"/>
      <c r="AM2" s="437"/>
      <c r="AO2" s="434"/>
      <c r="AS2" s="433"/>
      <c r="AU2" s="434"/>
      <c r="AY2" s="433"/>
      <c r="BA2" s="434"/>
      <c r="BB2" s="433"/>
      <c r="BE2" s="947"/>
      <c r="BF2" s="947"/>
    </row>
    <row r="3" spans="1:58" ht="38.25" customHeight="1" x14ac:dyDescent="0.25">
      <c r="A3" s="354"/>
      <c r="B3" s="355"/>
      <c r="C3" s="1244" t="s">
        <v>1433</v>
      </c>
      <c r="D3" s="1245"/>
      <c r="E3" s="1246"/>
      <c r="F3" s="354"/>
      <c r="G3" s="1244" t="s">
        <v>1434</v>
      </c>
      <c r="H3" s="1245"/>
      <c r="I3" s="1246"/>
      <c r="J3" s="354"/>
      <c r="K3" s="1244" t="s">
        <v>1435</v>
      </c>
      <c r="L3" s="1246"/>
      <c r="M3" s="354"/>
      <c r="N3" s="1244" t="s">
        <v>1436</v>
      </c>
      <c r="O3" s="1246"/>
      <c r="P3" s="354"/>
      <c r="Q3" s="1244" t="s">
        <v>1437</v>
      </c>
      <c r="R3" s="1246"/>
      <c r="S3" s="354"/>
      <c r="T3" s="1142" t="s">
        <v>1438</v>
      </c>
      <c r="U3" s="1143"/>
      <c r="V3" s="1143"/>
      <c r="W3" s="1143"/>
      <c r="X3" s="1143"/>
      <c r="Y3" s="1143"/>
      <c r="Z3" s="1143"/>
      <c r="AA3" s="1143"/>
      <c r="AB3" s="1144"/>
      <c r="AC3" s="354"/>
      <c r="AD3" s="355"/>
      <c r="AE3" s="1139" t="s">
        <v>1439</v>
      </c>
      <c r="AF3" s="1140"/>
      <c r="AG3" s="1140"/>
      <c r="AH3" s="1140"/>
      <c r="AI3" s="1140"/>
      <c r="AJ3" s="1140"/>
      <c r="AK3" s="1140"/>
      <c r="AL3" s="1140"/>
      <c r="AM3" s="1141"/>
      <c r="AN3" s="354"/>
      <c r="AO3" s="1244" t="s">
        <v>1440</v>
      </c>
      <c r="AP3" s="1245"/>
      <c r="AQ3" s="1245"/>
      <c r="AR3" s="1245"/>
      <c r="AS3" s="1246"/>
      <c r="AT3" s="354"/>
      <c r="AU3" s="1244" t="s">
        <v>1441</v>
      </c>
      <c r="AV3" s="1245"/>
      <c r="AW3" s="1245"/>
      <c r="AX3" s="1245"/>
      <c r="AY3" s="1246"/>
      <c r="AZ3" s="354"/>
      <c r="BA3" s="1247" t="s">
        <v>1442</v>
      </c>
      <c r="BB3" s="1248"/>
    </row>
    <row r="4" spans="1:58" ht="38.25" x14ac:dyDescent="0.2">
      <c r="A4" s="356"/>
      <c r="B4" s="357" t="s">
        <v>602</v>
      </c>
      <c r="C4" s="358" t="s">
        <v>112</v>
      </c>
      <c r="D4" s="356" t="s">
        <v>1270</v>
      </c>
      <c r="E4" s="359" t="s">
        <v>955</v>
      </c>
      <c r="F4" s="356"/>
      <c r="G4" s="358" t="s">
        <v>603</v>
      </c>
      <c r="H4" s="356" t="s">
        <v>604</v>
      </c>
      <c r="I4" s="359" t="s">
        <v>605</v>
      </c>
      <c r="J4" s="356"/>
      <c r="K4" s="360" t="s">
        <v>1271</v>
      </c>
      <c r="L4" s="359" t="s">
        <v>1272</v>
      </c>
      <c r="M4" s="356"/>
      <c r="N4" s="360" t="s">
        <v>797</v>
      </c>
      <c r="O4" s="359" t="s">
        <v>1269</v>
      </c>
      <c r="P4" s="356"/>
      <c r="Q4" s="360" t="s">
        <v>1268</v>
      </c>
      <c r="R4" s="359" t="s">
        <v>606</v>
      </c>
      <c r="S4" s="356"/>
      <c r="T4" s="360" t="s">
        <v>468</v>
      </c>
      <c r="U4" s="356" t="s">
        <v>469</v>
      </c>
      <c r="V4" s="356" t="s">
        <v>607</v>
      </c>
      <c r="W4" s="356" t="s">
        <v>470</v>
      </c>
      <c r="X4" s="356" t="s">
        <v>471</v>
      </c>
      <c r="Y4" s="356" t="s">
        <v>473</v>
      </c>
      <c r="Z4" s="356" t="s">
        <v>472</v>
      </c>
      <c r="AA4" s="356" t="s">
        <v>1267</v>
      </c>
      <c r="AB4" s="359" t="s">
        <v>474</v>
      </c>
      <c r="AC4" s="356"/>
      <c r="AD4" s="357"/>
      <c r="AE4" s="361" t="s">
        <v>468</v>
      </c>
      <c r="AF4" s="362" t="s">
        <v>469</v>
      </c>
      <c r="AG4" s="362" t="s">
        <v>607</v>
      </c>
      <c r="AH4" s="362" t="s">
        <v>470</v>
      </c>
      <c r="AI4" s="362" t="s">
        <v>471</v>
      </c>
      <c r="AJ4" s="362" t="s">
        <v>473</v>
      </c>
      <c r="AK4" s="362" t="s">
        <v>472</v>
      </c>
      <c r="AL4" s="362" t="s">
        <v>1267</v>
      </c>
      <c r="AM4" s="363" t="s">
        <v>474</v>
      </c>
      <c r="AN4" s="356"/>
      <c r="AO4" s="360" t="s">
        <v>608</v>
      </c>
      <c r="AP4" s="356" t="s">
        <v>609</v>
      </c>
      <c r="AQ4" s="356" t="s">
        <v>610</v>
      </c>
      <c r="AR4" s="356" t="s">
        <v>611</v>
      </c>
      <c r="AS4" s="359" t="s">
        <v>612</v>
      </c>
      <c r="AT4" s="356"/>
      <c r="AU4" s="360" t="s">
        <v>608</v>
      </c>
      <c r="AV4" s="356" t="s">
        <v>609</v>
      </c>
      <c r="AW4" s="356" t="s">
        <v>610</v>
      </c>
      <c r="AX4" s="356" t="s">
        <v>611</v>
      </c>
      <c r="AY4" s="359" t="s">
        <v>612</v>
      </c>
      <c r="AZ4" s="356"/>
      <c r="BA4" s="360" t="s">
        <v>613</v>
      </c>
      <c r="BB4" s="359" t="s">
        <v>614</v>
      </c>
    </row>
    <row r="5" spans="1:58" ht="12.75" customHeight="1" outlineLevel="1" x14ac:dyDescent="0.2">
      <c r="A5" s="364" t="s">
        <v>615</v>
      </c>
      <c r="B5" s="365">
        <v>39814</v>
      </c>
      <c r="C5" s="366">
        <f t="shared" ref="C5:C68" si="0">+D5+E5</f>
        <v>233012</v>
      </c>
      <c r="D5" s="367">
        <v>189722</v>
      </c>
      <c r="E5" s="369">
        <v>43290</v>
      </c>
      <c r="F5" s="367"/>
      <c r="G5" s="366" t="s">
        <v>160</v>
      </c>
      <c r="H5" s="368" t="s">
        <v>160</v>
      </c>
      <c r="I5" s="370" t="s">
        <v>160</v>
      </c>
      <c r="J5" s="367"/>
      <c r="K5" s="371" t="s">
        <v>160</v>
      </c>
      <c r="L5" s="369" t="s">
        <v>160</v>
      </c>
      <c r="M5" s="367"/>
      <c r="N5" s="371" t="s">
        <v>160</v>
      </c>
      <c r="O5" s="369" t="s">
        <v>160</v>
      </c>
      <c r="P5" s="367"/>
      <c r="Q5" s="371" t="s">
        <v>160</v>
      </c>
      <c r="R5" s="369" t="s">
        <v>160</v>
      </c>
      <c r="S5" s="367"/>
      <c r="T5" s="371" t="s">
        <v>160</v>
      </c>
      <c r="U5" s="367" t="s">
        <v>160</v>
      </c>
      <c r="V5" s="367" t="s">
        <v>160</v>
      </c>
      <c r="W5" s="367" t="s">
        <v>160</v>
      </c>
      <c r="X5" s="367" t="s">
        <v>160</v>
      </c>
      <c r="Y5" s="367" t="s">
        <v>160</v>
      </c>
      <c r="Z5" s="367" t="s">
        <v>160</v>
      </c>
      <c r="AA5" s="367" t="s">
        <v>160</v>
      </c>
      <c r="AB5" s="369" t="s">
        <v>160</v>
      </c>
      <c r="AC5" s="367"/>
      <c r="AD5" s="365">
        <f t="shared" ref="AD5:AD36" si="1">+B5</f>
        <v>39814</v>
      </c>
      <c r="AE5" s="372"/>
      <c r="AF5" s="373"/>
      <c r="AG5" s="373"/>
      <c r="AH5" s="373"/>
      <c r="AI5" s="373"/>
      <c r="AJ5" s="373"/>
      <c r="AK5" s="373"/>
      <c r="AL5" s="373"/>
      <c r="AM5" s="374"/>
      <c r="AN5" s="367"/>
      <c r="AO5" s="371"/>
      <c r="AP5" s="367"/>
      <c r="AQ5" s="367"/>
      <c r="AR5" s="367"/>
      <c r="AS5" s="369"/>
      <c r="AT5" s="367"/>
      <c r="AU5" s="371"/>
      <c r="AV5" s="367"/>
      <c r="AW5" s="367"/>
      <c r="AX5" s="367"/>
      <c r="AY5" s="369"/>
      <c r="AZ5" s="367"/>
      <c r="BA5" s="371"/>
      <c r="BB5" s="369"/>
      <c r="BE5" t="s">
        <v>615</v>
      </c>
      <c r="BF5" t="s">
        <v>930</v>
      </c>
    </row>
    <row r="6" spans="1:58" ht="12.75" customHeight="1" outlineLevel="1" x14ac:dyDescent="0.2">
      <c r="A6" s="364" t="s">
        <v>615</v>
      </c>
      <c r="B6" s="365">
        <v>39845</v>
      </c>
      <c r="C6" s="366">
        <f t="shared" si="0"/>
        <v>232071</v>
      </c>
      <c r="D6" s="367">
        <v>191352</v>
      </c>
      <c r="E6" s="369">
        <v>40719</v>
      </c>
      <c r="F6" s="367"/>
      <c r="G6" s="366" t="s">
        <v>160</v>
      </c>
      <c r="H6" s="368" t="s">
        <v>160</v>
      </c>
      <c r="I6" s="370" t="s">
        <v>160</v>
      </c>
      <c r="J6" s="367"/>
      <c r="K6" s="371" t="s">
        <v>160</v>
      </c>
      <c r="L6" s="369" t="s">
        <v>160</v>
      </c>
      <c r="M6" s="367"/>
      <c r="N6" s="371" t="s">
        <v>160</v>
      </c>
      <c r="O6" s="369" t="s">
        <v>160</v>
      </c>
      <c r="P6" s="367"/>
      <c r="Q6" s="371" t="s">
        <v>160</v>
      </c>
      <c r="R6" s="369" t="s">
        <v>160</v>
      </c>
      <c r="S6" s="367"/>
      <c r="T6" s="371" t="s">
        <v>160</v>
      </c>
      <c r="U6" s="367" t="s">
        <v>160</v>
      </c>
      <c r="V6" s="367" t="s">
        <v>160</v>
      </c>
      <c r="W6" s="367" t="s">
        <v>160</v>
      </c>
      <c r="X6" s="367" t="s">
        <v>160</v>
      </c>
      <c r="Y6" s="367" t="s">
        <v>160</v>
      </c>
      <c r="Z6" s="367" t="s">
        <v>160</v>
      </c>
      <c r="AA6" s="367" t="s">
        <v>160</v>
      </c>
      <c r="AB6" s="369" t="s">
        <v>160</v>
      </c>
      <c r="AC6" s="367"/>
      <c r="AD6" s="365">
        <f t="shared" si="1"/>
        <v>39845</v>
      </c>
      <c r="AE6" s="372"/>
      <c r="AF6" s="373"/>
      <c r="AG6" s="373"/>
      <c r="AH6" s="373"/>
      <c r="AI6" s="373"/>
      <c r="AJ6" s="373"/>
      <c r="AK6" s="373"/>
      <c r="AL6" s="373"/>
      <c r="AM6" s="374"/>
      <c r="AN6" s="367"/>
      <c r="AO6" s="371"/>
      <c r="AP6" s="367"/>
      <c r="AQ6" s="367"/>
      <c r="AR6" s="367"/>
      <c r="AS6" s="369"/>
      <c r="AT6" s="367"/>
      <c r="AU6" s="371"/>
      <c r="AV6" s="367"/>
      <c r="AW6" s="367"/>
      <c r="AX6" s="367"/>
      <c r="AY6" s="369"/>
      <c r="AZ6" s="367"/>
      <c r="BA6" s="371"/>
      <c r="BB6" s="369"/>
      <c r="BE6" t="s">
        <v>615</v>
      </c>
      <c r="BF6" t="s">
        <v>930</v>
      </c>
    </row>
    <row r="7" spans="1:58" ht="12.75" customHeight="1" outlineLevel="1" x14ac:dyDescent="0.2">
      <c r="A7" s="364" t="s">
        <v>615</v>
      </c>
      <c r="B7" s="365">
        <v>39873</v>
      </c>
      <c r="C7" s="366">
        <f t="shared" si="0"/>
        <v>306862</v>
      </c>
      <c r="D7" s="367">
        <v>260929</v>
      </c>
      <c r="E7" s="369">
        <v>45933</v>
      </c>
      <c r="F7" s="367"/>
      <c r="G7" s="366" t="s">
        <v>160</v>
      </c>
      <c r="H7" s="368" t="s">
        <v>160</v>
      </c>
      <c r="I7" s="370" t="s">
        <v>160</v>
      </c>
      <c r="J7" s="367"/>
      <c r="K7" s="371" t="s">
        <v>160</v>
      </c>
      <c r="L7" s="369" t="s">
        <v>160</v>
      </c>
      <c r="M7" s="367"/>
      <c r="N7" s="371" t="s">
        <v>160</v>
      </c>
      <c r="O7" s="369" t="s">
        <v>160</v>
      </c>
      <c r="P7" s="367"/>
      <c r="Q7" s="371" t="s">
        <v>160</v>
      </c>
      <c r="R7" s="369" t="s">
        <v>160</v>
      </c>
      <c r="S7" s="367"/>
      <c r="T7" s="371" t="s">
        <v>160</v>
      </c>
      <c r="U7" s="367" t="s">
        <v>160</v>
      </c>
      <c r="V7" s="367" t="s">
        <v>160</v>
      </c>
      <c r="W7" s="367" t="s">
        <v>160</v>
      </c>
      <c r="X7" s="367" t="s">
        <v>160</v>
      </c>
      <c r="Y7" s="367" t="s">
        <v>160</v>
      </c>
      <c r="Z7" s="367" t="s">
        <v>160</v>
      </c>
      <c r="AA7" s="367" t="s">
        <v>160</v>
      </c>
      <c r="AB7" s="369" t="s">
        <v>160</v>
      </c>
      <c r="AC7" s="367"/>
      <c r="AD7" s="365">
        <f t="shared" si="1"/>
        <v>39873</v>
      </c>
      <c r="AE7" s="372"/>
      <c r="AF7" s="373"/>
      <c r="AG7" s="373"/>
      <c r="AH7" s="373"/>
      <c r="AI7" s="373"/>
      <c r="AJ7" s="373"/>
      <c r="AK7" s="373"/>
      <c r="AL7" s="373"/>
      <c r="AM7" s="374"/>
      <c r="AN7" s="367"/>
      <c r="AO7" s="371"/>
      <c r="AP7" s="367"/>
      <c r="AQ7" s="367"/>
      <c r="AR7" s="367"/>
      <c r="AS7" s="369"/>
      <c r="AT7" s="367"/>
      <c r="AU7" s="371"/>
      <c r="AV7" s="367"/>
      <c r="AW7" s="367"/>
      <c r="AX7" s="367"/>
      <c r="AY7" s="369"/>
      <c r="AZ7" s="367"/>
      <c r="BA7" s="371"/>
      <c r="BB7" s="369"/>
      <c r="BE7" t="s">
        <v>615</v>
      </c>
      <c r="BF7" t="s">
        <v>930</v>
      </c>
    </row>
    <row r="8" spans="1:58" ht="12.75" customHeight="1" outlineLevel="1" x14ac:dyDescent="0.2">
      <c r="A8" s="364" t="s">
        <v>616</v>
      </c>
      <c r="B8" s="365">
        <v>39904</v>
      </c>
      <c r="C8" s="366">
        <f t="shared" si="0"/>
        <v>269608</v>
      </c>
      <c r="D8" s="367">
        <v>224385</v>
      </c>
      <c r="E8" s="369">
        <v>45223</v>
      </c>
      <c r="F8" s="367"/>
      <c r="G8" s="366" t="s">
        <v>160</v>
      </c>
      <c r="H8" s="368" t="s">
        <v>160</v>
      </c>
      <c r="I8" s="370" t="s">
        <v>160</v>
      </c>
      <c r="J8" s="367"/>
      <c r="K8" s="371" t="s">
        <v>160</v>
      </c>
      <c r="L8" s="369" t="s">
        <v>160</v>
      </c>
      <c r="M8" s="367"/>
      <c r="N8" s="371" t="s">
        <v>160</v>
      </c>
      <c r="O8" s="369" t="s">
        <v>160</v>
      </c>
      <c r="P8" s="367"/>
      <c r="Q8" s="371" t="s">
        <v>160</v>
      </c>
      <c r="R8" s="369" t="s">
        <v>160</v>
      </c>
      <c r="S8" s="367"/>
      <c r="T8" s="371" t="s">
        <v>160</v>
      </c>
      <c r="U8" s="367" t="s">
        <v>160</v>
      </c>
      <c r="V8" s="367" t="s">
        <v>160</v>
      </c>
      <c r="W8" s="367" t="s">
        <v>160</v>
      </c>
      <c r="X8" s="367" t="s">
        <v>160</v>
      </c>
      <c r="Y8" s="367" t="s">
        <v>160</v>
      </c>
      <c r="Z8" s="367" t="s">
        <v>160</v>
      </c>
      <c r="AA8" s="367" t="s">
        <v>160</v>
      </c>
      <c r="AB8" s="369" t="s">
        <v>160</v>
      </c>
      <c r="AC8" s="367"/>
      <c r="AD8" s="365">
        <f t="shared" si="1"/>
        <v>39904</v>
      </c>
      <c r="AE8" s="372"/>
      <c r="AF8" s="373"/>
      <c r="AG8" s="373"/>
      <c r="AH8" s="373"/>
      <c r="AI8" s="373"/>
      <c r="AJ8" s="373"/>
      <c r="AK8" s="373"/>
      <c r="AL8" s="373"/>
      <c r="AM8" s="374"/>
      <c r="AN8" s="367"/>
      <c r="AO8" s="371"/>
      <c r="AP8" s="367"/>
      <c r="AQ8" s="367"/>
      <c r="AR8" s="367"/>
      <c r="AS8" s="369"/>
      <c r="AT8" s="367"/>
      <c r="AU8" s="371"/>
      <c r="AV8" s="367"/>
      <c r="AW8" s="367"/>
      <c r="AX8" s="367"/>
      <c r="AY8" s="369"/>
      <c r="AZ8" s="367"/>
      <c r="BA8" s="371"/>
      <c r="BB8" s="369"/>
      <c r="BE8" t="s">
        <v>616</v>
      </c>
      <c r="BF8" t="s">
        <v>931</v>
      </c>
    </row>
    <row r="9" spans="1:58" ht="12.75" customHeight="1" outlineLevel="1" x14ac:dyDescent="0.2">
      <c r="A9" s="364" t="s">
        <v>616</v>
      </c>
      <c r="B9" s="365">
        <v>39934</v>
      </c>
      <c r="C9" s="366">
        <f t="shared" si="0"/>
        <v>276850</v>
      </c>
      <c r="D9" s="367">
        <v>237394</v>
      </c>
      <c r="E9" s="369">
        <v>39456</v>
      </c>
      <c r="F9" s="367"/>
      <c r="G9" s="366" t="s">
        <v>160</v>
      </c>
      <c r="H9" s="368" t="s">
        <v>160</v>
      </c>
      <c r="I9" s="370" t="s">
        <v>160</v>
      </c>
      <c r="J9" s="367"/>
      <c r="K9" s="371" t="s">
        <v>160</v>
      </c>
      <c r="L9" s="369" t="s">
        <v>160</v>
      </c>
      <c r="M9" s="367"/>
      <c r="N9" s="371" t="s">
        <v>160</v>
      </c>
      <c r="O9" s="369" t="s">
        <v>160</v>
      </c>
      <c r="P9" s="367"/>
      <c r="Q9" s="371" t="s">
        <v>160</v>
      </c>
      <c r="R9" s="369" t="s">
        <v>160</v>
      </c>
      <c r="S9" s="367"/>
      <c r="T9" s="371" t="s">
        <v>160</v>
      </c>
      <c r="U9" s="367" t="s">
        <v>160</v>
      </c>
      <c r="V9" s="367" t="s">
        <v>160</v>
      </c>
      <c r="W9" s="367" t="s">
        <v>160</v>
      </c>
      <c r="X9" s="367" t="s">
        <v>160</v>
      </c>
      <c r="Y9" s="367" t="s">
        <v>160</v>
      </c>
      <c r="Z9" s="367" t="s">
        <v>160</v>
      </c>
      <c r="AA9" s="367" t="s">
        <v>160</v>
      </c>
      <c r="AB9" s="369" t="s">
        <v>160</v>
      </c>
      <c r="AC9" s="367"/>
      <c r="AD9" s="365">
        <f t="shared" si="1"/>
        <v>39934</v>
      </c>
      <c r="AE9" s="372"/>
      <c r="AF9" s="373"/>
      <c r="AG9" s="373"/>
      <c r="AH9" s="373"/>
      <c r="AI9" s="373"/>
      <c r="AJ9" s="373"/>
      <c r="AK9" s="373"/>
      <c r="AL9" s="373"/>
      <c r="AM9" s="374"/>
      <c r="AN9" s="367"/>
      <c r="AO9" s="371"/>
      <c r="AP9" s="367"/>
      <c r="AQ9" s="367"/>
      <c r="AR9" s="367"/>
      <c r="AS9" s="369"/>
      <c r="AT9" s="367"/>
      <c r="AU9" s="371"/>
      <c r="AV9" s="367"/>
      <c r="AW9" s="367"/>
      <c r="AX9" s="367"/>
      <c r="AY9" s="369"/>
      <c r="AZ9" s="367"/>
      <c r="BA9" s="371"/>
      <c r="BB9" s="369"/>
      <c r="BE9" t="s">
        <v>616</v>
      </c>
      <c r="BF9" t="s">
        <v>931</v>
      </c>
    </row>
    <row r="10" spans="1:58" ht="12.75" customHeight="1" outlineLevel="1" x14ac:dyDescent="0.2">
      <c r="A10" s="364" t="s">
        <v>616</v>
      </c>
      <c r="B10" s="365">
        <v>39965</v>
      </c>
      <c r="C10" s="366">
        <f t="shared" si="0"/>
        <v>341440</v>
      </c>
      <c r="D10" s="367">
        <v>289788</v>
      </c>
      <c r="E10" s="369">
        <v>51652</v>
      </c>
      <c r="F10" s="367"/>
      <c r="G10" s="366" t="s">
        <v>160</v>
      </c>
      <c r="H10" s="368" t="s">
        <v>160</v>
      </c>
      <c r="I10" s="370" t="s">
        <v>160</v>
      </c>
      <c r="J10" s="367"/>
      <c r="K10" s="371" t="s">
        <v>160</v>
      </c>
      <c r="L10" s="369" t="s">
        <v>160</v>
      </c>
      <c r="M10" s="367"/>
      <c r="N10" s="371" t="s">
        <v>160</v>
      </c>
      <c r="O10" s="369" t="s">
        <v>160</v>
      </c>
      <c r="P10" s="367"/>
      <c r="Q10" s="371" t="s">
        <v>160</v>
      </c>
      <c r="R10" s="369" t="s">
        <v>160</v>
      </c>
      <c r="S10" s="367"/>
      <c r="T10" s="371" t="s">
        <v>160</v>
      </c>
      <c r="U10" s="367" t="s">
        <v>160</v>
      </c>
      <c r="V10" s="367" t="s">
        <v>160</v>
      </c>
      <c r="W10" s="367" t="s">
        <v>160</v>
      </c>
      <c r="X10" s="367" t="s">
        <v>160</v>
      </c>
      <c r="Y10" s="367" t="s">
        <v>160</v>
      </c>
      <c r="Z10" s="367" t="s">
        <v>160</v>
      </c>
      <c r="AA10" s="367" t="s">
        <v>160</v>
      </c>
      <c r="AB10" s="369" t="s">
        <v>160</v>
      </c>
      <c r="AC10" s="367"/>
      <c r="AD10" s="365">
        <f t="shared" si="1"/>
        <v>39965</v>
      </c>
      <c r="AE10" s="372"/>
      <c r="AF10" s="373"/>
      <c r="AG10" s="373"/>
      <c r="AH10" s="373"/>
      <c r="AI10" s="373"/>
      <c r="AJ10" s="373"/>
      <c r="AK10" s="373"/>
      <c r="AL10" s="373"/>
      <c r="AM10" s="374"/>
      <c r="AN10" s="367"/>
      <c r="AO10" s="371"/>
      <c r="AP10" s="367"/>
      <c r="AQ10" s="367"/>
      <c r="AR10" s="367"/>
      <c r="AS10" s="369"/>
      <c r="AT10" s="367"/>
      <c r="AU10" s="371"/>
      <c r="AV10" s="367"/>
      <c r="AW10" s="367"/>
      <c r="AX10" s="367"/>
      <c r="AY10" s="369"/>
      <c r="AZ10" s="367"/>
      <c r="BA10" s="371"/>
      <c r="BB10" s="369"/>
      <c r="BE10" t="s">
        <v>616</v>
      </c>
      <c r="BF10" t="s">
        <v>931</v>
      </c>
    </row>
    <row r="11" spans="1:58" ht="12.75" customHeight="1" outlineLevel="1" x14ac:dyDescent="0.2">
      <c r="A11" s="364" t="s">
        <v>617</v>
      </c>
      <c r="B11" s="365">
        <v>39995</v>
      </c>
      <c r="C11" s="366">
        <f t="shared" si="0"/>
        <v>320236</v>
      </c>
      <c r="D11" s="367">
        <v>273597</v>
      </c>
      <c r="E11" s="369">
        <v>46639</v>
      </c>
      <c r="F11" s="367"/>
      <c r="G11" s="366" t="s">
        <v>160</v>
      </c>
      <c r="H11" s="368" t="s">
        <v>160</v>
      </c>
      <c r="I11" s="370" t="s">
        <v>160</v>
      </c>
      <c r="J11" s="367"/>
      <c r="K11" s="371" t="s">
        <v>160</v>
      </c>
      <c r="L11" s="369" t="s">
        <v>160</v>
      </c>
      <c r="M11" s="367"/>
      <c r="N11" s="371" t="s">
        <v>160</v>
      </c>
      <c r="O11" s="369" t="s">
        <v>160</v>
      </c>
      <c r="P11" s="367"/>
      <c r="Q11" s="371" t="s">
        <v>160</v>
      </c>
      <c r="R11" s="369" t="s">
        <v>160</v>
      </c>
      <c r="S11" s="367"/>
      <c r="T11" s="371" t="s">
        <v>160</v>
      </c>
      <c r="U11" s="367" t="s">
        <v>160</v>
      </c>
      <c r="V11" s="367" t="s">
        <v>160</v>
      </c>
      <c r="W11" s="367" t="s">
        <v>160</v>
      </c>
      <c r="X11" s="367" t="s">
        <v>160</v>
      </c>
      <c r="Y11" s="367" t="s">
        <v>160</v>
      </c>
      <c r="Z11" s="367" t="s">
        <v>160</v>
      </c>
      <c r="AA11" s="367" t="s">
        <v>160</v>
      </c>
      <c r="AB11" s="369" t="s">
        <v>160</v>
      </c>
      <c r="AC11" s="367"/>
      <c r="AD11" s="365">
        <f t="shared" si="1"/>
        <v>39995</v>
      </c>
      <c r="AE11" s="372"/>
      <c r="AF11" s="373"/>
      <c r="AG11" s="373"/>
      <c r="AH11" s="373"/>
      <c r="AI11" s="373"/>
      <c r="AJ11" s="373"/>
      <c r="AK11" s="373"/>
      <c r="AL11" s="373"/>
      <c r="AM11" s="374"/>
      <c r="AN11" s="367"/>
      <c r="AO11" s="371"/>
      <c r="AP11" s="367"/>
      <c r="AQ11" s="367"/>
      <c r="AR11" s="367"/>
      <c r="AS11" s="369"/>
      <c r="AT11" s="367"/>
      <c r="AU11" s="371"/>
      <c r="AV11" s="367"/>
      <c r="AW11" s="367"/>
      <c r="AX11" s="367"/>
      <c r="AY11" s="369"/>
      <c r="AZ11" s="367"/>
      <c r="BA11" s="371"/>
      <c r="BB11" s="369"/>
      <c r="BE11" t="s">
        <v>617</v>
      </c>
      <c r="BF11" t="s">
        <v>932</v>
      </c>
    </row>
    <row r="12" spans="1:58" ht="12.75" customHeight="1" outlineLevel="1" x14ac:dyDescent="0.2">
      <c r="A12" s="364" t="s">
        <v>617</v>
      </c>
      <c r="B12" s="365">
        <v>40026</v>
      </c>
      <c r="C12" s="366">
        <f t="shared" si="0"/>
        <v>295373</v>
      </c>
      <c r="D12" s="367">
        <v>247514</v>
      </c>
      <c r="E12" s="369">
        <v>47859</v>
      </c>
      <c r="F12" s="367"/>
      <c r="G12" s="366" t="s">
        <v>160</v>
      </c>
      <c r="H12" s="368" t="s">
        <v>160</v>
      </c>
      <c r="I12" s="370" t="s">
        <v>160</v>
      </c>
      <c r="J12" s="367"/>
      <c r="K12" s="371" t="s">
        <v>160</v>
      </c>
      <c r="L12" s="369" t="s">
        <v>160</v>
      </c>
      <c r="M12" s="367"/>
      <c r="N12" s="371" t="s">
        <v>160</v>
      </c>
      <c r="O12" s="369" t="s">
        <v>160</v>
      </c>
      <c r="P12" s="367"/>
      <c r="Q12" s="371" t="s">
        <v>160</v>
      </c>
      <c r="R12" s="369" t="s">
        <v>160</v>
      </c>
      <c r="S12" s="367"/>
      <c r="T12" s="371" t="s">
        <v>160</v>
      </c>
      <c r="U12" s="367" t="s">
        <v>160</v>
      </c>
      <c r="V12" s="367" t="s">
        <v>160</v>
      </c>
      <c r="W12" s="367" t="s">
        <v>160</v>
      </c>
      <c r="X12" s="367" t="s">
        <v>160</v>
      </c>
      <c r="Y12" s="367" t="s">
        <v>160</v>
      </c>
      <c r="Z12" s="367" t="s">
        <v>160</v>
      </c>
      <c r="AA12" s="367" t="s">
        <v>160</v>
      </c>
      <c r="AB12" s="369" t="s">
        <v>160</v>
      </c>
      <c r="AC12" s="367"/>
      <c r="AD12" s="365">
        <f t="shared" si="1"/>
        <v>40026</v>
      </c>
      <c r="AE12" s="372"/>
      <c r="AF12" s="373"/>
      <c r="AG12" s="373"/>
      <c r="AH12" s="373"/>
      <c r="AI12" s="373"/>
      <c r="AJ12" s="373"/>
      <c r="AK12" s="373"/>
      <c r="AL12" s="373"/>
      <c r="AM12" s="374"/>
      <c r="AN12" s="367"/>
      <c r="AO12" s="371"/>
      <c r="AP12" s="367"/>
      <c r="AQ12" s="367"/>
      <c r="AR12" s="367"/>
      <c r="AS12" s="369"/>
      <c r="AT12" s="367"/>
      <c r="AU12" s="371"/>
      <c r="AV12" s="367"/>
      <c r="AW12" s="367"/>
      <c r="AX12" s="367"/>
      <c r="AY12" s="369"/>
      <c r="AZ12" s="367"/>
      <c r="BA12" s="371"/>
      <c r="BB12" s="369"/>
      <c r="BE12" t="s">
        <v>617</v>
      </c>
      <c r="BF12" t="s">
        <v>932</v>
      </c>
    </row>
    <row r="13" spans="1:58" ht="12.75" customHeight="1" outlineLevel="1" x14ac:dyDescent="0.2">
      <c r="A13" s="364" t="s">
        <v>617</v>
      </c>
      <c r="B13" s="365">
        <v>40057</v>
      </c>
      <c r="C13" s="366">
        <f t="shared" si="0"/>
        <v>340295</v>
      </c>
      <c r="D13" s="367">
        <v>296661</v>
      </c>
      <c r="E13" s="369">
        <v>43634</v>
      </c>
      <c r="F13" s="367"/>
      <c r="G13" s="366" t="s">
        <v>160</v>
      </c>
      <c r="H13" s="368" t="s">
        <v>160</v>
      </c>
      <c r="I13" s="370" t="s">
        <v>160</v>
      </c>
      <c r="J13" s="367"/>
      <c r="K13" s="371" t="s">
        <v>160</v>
      </c>
      <c r="L13" s="369" t="s">
        <v>160</v>
      </c>
      <c r="M13" s="367"/>
      <c r="N13" s="371" t="s">
        <v>160</v>
      </c>
      <c r="O13" s="369" t="s">
        <v>160</v>
      </c>
      <c r="P13" s="367"/>
      <c r="Q13" s="371" t="s">
        <v>160</v>
      </c>
      <c r="R13" s="369" t="s">
        <v>160</v>
      </c>
      <c r="S13" s="367"/>
      <c r="T13" s="371" t="s">
        <v>160</v>
      </c>
      <c r="U13" s="367" t="s">
        <v>160</v>
      </c>
      <c r="V13" s="367" t="s">
        <v>160</v>
      </c>
      <c r="W13" s="367" t="s">
        <v>160</v>
      </c>
      <c r="X13" s="367" t="s">
        <v>160</v>
      </c>
      <c r="Y13" s="367" t="s">
        <v>160</v>
      </c>
      <c r="Z13" s="367" t="s">
        <v>160</v>
      </c>
      <c r="AA13" s="367" t="s">
        <v>160</v>
      </c>
      <c r="AB13" s="369" t="s">
        <v>160</v>
      </c>
      <c r="AC13" s="367"/>
      <c r="AD13" s="365">
        <f t="shared" si="1"/>
        <v>40057</v>
      </c>
      <c r="AE13" s="372"/>
      <c r="AF13" s="373"/>
      <c r="AG13" s="373"/>
      <c r="AH13" s="373"/>
      <c r="AI13" s="373"/>
      <c r="AJ13" s="373"/>
      <c r="AK13" s="373"/>
      <c r="AL13" s="373"/>
      <c r="AM13" s="374"/>
      <c r="AN13" s="367"/>
      <c r="AO13" s="371"/>
      <c r="AP13" s="367"/>
      <c r="AQ13" s="367"/>
      <c r="AR13" s="367"/>
      <c r="AS13" s="369"/>
      <c r="AT13" s="367"/>
      <c r="AU13" s="371"/>
      <c r="AV13" s="367"/>
      <c r="AW13" s="367"/>
      <c r="AX13" s="367"/>
      <c r="AY13" s="369"/>
      <c r="AZ13" s="367"/>
      <c r="BA13" s="371"/>
      <c r="BB13" s="369"/>
      <c r="BE13" t="s">
        <v>617</v>
      </c>
      <c r="BF13" t="s">
        <v>932</v>
      </c>
    </row>
    <row r="14" spans="1:58" ht="12.75" customHeight="1" outlineLevel="1" x14ac:dyDescent="0.2">
      <c r="A14" s="364" t="s">
        <v>618</v>
      </c>
      <c r="B14" s="365">
        <v>40087</v>
      </c>
      <c r="C14" s="366">
        <f t="shared" si="0"/>
        <v>327884</v>
      </c>
      <c r="D14" s="367">
        <v>281279</v>
      </c>
      <c r="E14" s="369">
        <v>46605</v>
      </c>
      <c r="F14" s="367"/>
      <c r="G14" s="366" t="s">
        <v>160</v>
      </c>
      <c r="H14" s="368" t="s">
        <v>160</v>
      </c>
      <c r="I14" s="370" t="s">
        <v>160</v>
      </c>
      <c r="J14" s="367"/>
      <c r="K14" s="371" t="s">
        <v>160</v>
      </c>
      <c r="L14" s="369" t="s">
        <v>160</v>
      </c>
      <c r="M14" s="367"/>
      <c r="N14" s="371" t="s">
        <v>160</v>
      </c>
      <c r="O14" s="369" t="s">
        <v>160</v>
      </c>
      <c r="P14" s="367"/>
      <c r="Q14" s="371" t="s">
        <v>160</v>
      </c>
      <c r="R14" s="369" t="s">
        <v>160</v>
      </c>
      <c r="S14" s="367"/>
      <c r="T14" s="371" t="s">
        <v>160</v>
      </c>
      <c r="U14" s="367" t="s">
        <v>160</v>
      </c>
      <c r="V14" s="367" t="s">
        <v>160</v>
      </c>
      <c r="W14" s="367" t="s">
        <v>160</v>
      </c>
      <c r="X14" s="367" t="s">
        <v>160</v>
      </c>
      <c r="Y14" s="367" t="s">
        <v>160</v>
      </c>
      <c r="Z14" s="367" t="s">
        <v>160</v>
      </c>
      <c r="AA14" s="367" t="s">
        <v>160</v>
      </c>
      <c r="AB14" s="369" t="s">
        <v>160</v>
      </c>
      <c r="AC14" s="367"/>
      <c r="AD14" s="365">
        <f t="shared" si="1"/>
        <v>40087</v>
      </c>
      <c r="AE14" s="372"/>
      <c r="AF14" s="373"/>
      <c r="AG14" s="373"/>
      <c r="AH14" s="373"/>
      <c r="AI14" s="373"/>
      <c r="AJ14" s="373"/>
      <c r="AK14" s="373"/>
      <c r="AL14" s="373"/>
      <c r="AM14" s="374"/>
      <c r="AN14" s="367"/>
      <c r="AO14" s="371"/>
      <c r="AP14" s="367"/>
      <c r="AQ14" s="367"/>
      <c r="AR14" s="367"/>
      <c r="AS14" s="369"/>
      <c r="AT14" s="367"/>
      <c r="AU14" s="371"/>
      <c r="AV14" s="367"/>
      <c r="AW14" s="367"/>
      <c r="AX14" s="367"/>
      <c r="AY14" s="369"/>
      <c r="AZ14" s="367"/>
      <c r="BA14" s="371"/>
      <c r="BB14" s="369"/>
      <c r="BE14" t="s">
        <v>618</v>
      </c>
      <c r="BF14" t="s">
        <v>933</v>
      </c>
    </row>
    <row r="15" spans="1:58" ht="12.75" customHeight="1" outlineLevel="1" x14ac:dyDescent="0.2">
      <c r="A15" s="364" t="s">
        <v>618</v>
      </c>
      <c r="B15" s="365">
        <v>40118</v>
      </c>
      <c r="C15" s="366">
        <f t="shared" si="0"/>
        <v>275505</v>
      </c>
      <c r="D15" s="367">
        <v>238424</v>
      </c>
      <c r="E15" s="369">
        <v>37081</v>
      </c>
      <c r="F15" s="367"/>
      <c r="G15" s="366" t="s">
        <v>160</v>
      </c>
      <c r="H15" s="368" t="s">
        <v>160</v>
      </c>
      <c r="I15" s="370" t="s">
        <v>160</v>
      </c>
      <c r="J15" s="367"/>
      <c r="K15" s="371" t="s">
        <v>160</v>
      </c>
      <c r="L15" s="369" t="s">
        <v>160</v>
      </c>
      <c r="M15" s="367"/>
      <c r="N15" s="371" t="s">
        <v>160</v>
      </c>
      <c r="O15" s="369" t="s">
        <v>160</v>
      </c>
      <c r="P15" s="367"/>
      <c r="Q15" s="371" t="s">
        <v>160</v>
      </c>
      <c r="R15" s="369" t="s">
        <v>160</v>
      </c>
      <c r="S15" s="367"/>
      <c r="T15" s="371" t="s">
        <v>160</v>
      </c>
      <c r="U15" s="367" t="s">
        <v>160</v>
      </c>
      <c r="V15" s="367" t="s">
        <v>160</v>
      </c>
      <c r="W15" s="367" t="s">
        <v>160</v>
      </c>
      <c r="X15" s="367" t="s">
        <v>160</v>
      </c>
      <c r="Y15" s="367" t="s">
        <v>160</v>
      </c>
      <c r="Z15" s="367" t="s">
        <v>160</v>
      </c>
      <c r="AA15" s="367" t="s">
        <v>160</v>
      </c>
      <c r="AB15" s="369" t="s">
        <v>160</v>
      </c>
      <c r="AC15" s="367"/>
      <c r="AD15" s="365">
        <f t="shared" si="1"/>
        <v>40118</v>
      </c>
      <c r="AE15" s="372"/>
      <c r="AF15" s="373"/>
      <c r="AG15" s="373"/>
      <c r="AH15" s="373"/>
      <c r="AI15" s="373"/>
      <c r="AJ15" s="373"/>
      <c r="AK15" s="373"/>
      <c r="AL15" s="373"/>
      <c r="AM15" s="374"/>
      <c r="AN15" s="367"/>
      <c r="AO15" s="371"/>
      <c r="AP15" s="367"/>
      <c r="AQ15" s="367"/>
      <c r="AR15" s="367"/>
      <c r="AS15" s="369"/>
      <c r="AT15" s="367"/>
      <c r="AU15" s="371"/>
      <c r="AV15" s="367"/>
      <c r="AW15" s="367"/>
      <c r="AX15" s="367"/>
      <c r="AY15" s="369"/>
      <c r="AZ15" s="367"/>
      <c r="BA15" s="371"/>
      <c r="BB15" s="369"/>
      <c r="BE15" t="s">
        <v>618</v>
      </c>
      <c r="BF15" t="s">
        <v>933</v>
      </c>
    </row>
    <row r="16" spans="1:58" ht="12.75" customHeight="1" outlineLevel="1" x14ac:dyDescent="0.2">
      <c r="A16" s="364" t="s">
        <v>618</v>
      </c>
      <c r="B16" s="365">
        <v>40148</v>
      </c>
      <c r="C16" s="366">
        <f t="shared" si="0"/>
        <v>313765</v>
      </c>
      <c r="D16" s="367">
        <v>277822</v>
      </c>
      <c r="E16" s="369">
        <v>35943</v>
      </c>
      <c r="F16" s="367"/>
      <c r="G16" s="366" t="s">
        <v>160</v>
      </c>
      <c r="H16" s="368" t="s">
        <v>160</v>
      </c>
      <c r="I16" s="370" t="s">
        <v>160</v>
      </c>
      <c r="J16" s="367"/>
      <c r="K16" s="371" t="s">
        <v>160</v>
      </c>
      <c r="L16" s="369" t="s">
        <v>160</v>
      </c>
      <c r="M16" s="367"/>
      <c r="N16" s="371" t="s">
        <v>160</v>
      </c>
      <c r="O16" s="369" t="s">
        <v>160</v>
      </c>
      <c r="P16" s="367"/>
      <c r="Q16" s="371" t="s">
        <v>160</v>
      </c>
      <c r="R16" s="369" t="s">
        <v>160</v>
      </c>
      <c r="S16" s="367"/>
      <c r="T16" s="371" t="s">
        <v>160</v>
      </c>
      <c r="U16" s="367" t="s">
        <v>160</v>
      </c>
      <c r="V16" s="367" t="s">
        <v>160</v>
      </c>
      <c r="W16" s="367" t="s">
        <v>160</v>
      </c>
      <c r="X16" s="367" t="s">
        <v>160</v>
      </c>
      <c r="Y16" s="367" t="s">
        <v>160</v>
      </c>
      <c r="Z16" s="367" t="s">
        <v>160</v>
      </c>
      <c r="AA16" s="367" t="s">
        <v>160</v>
      </c>
      <c r="AB16" s="369" t="s">
        <v>160</v>
      </c>
      <c r="AC16" s="367"/>
      <c r="AD16" s="365">
        <f t="shared" si="1"/>
        <v>40148</v>
      </c>
      <c r="AE16" s="372"/>
      <c r="AF16" s="373"/>
      <c r="AG16" s="373"/>
      <c r="AH16" s="373"/>
      <c r="AI16" s="373"/>
      <c r="AJ16" s="373"/>
      <c r="AK16" s="373"/>
      <c r="AL16" s="373"/>
      <c r="AM16" s="374"/>
      <c r="AN16" s="367"/>
      <c r="AO16" s="371"/>
      <c r="AP16" s="367"/>
      <c r="AQ16" s="367"/>
      <c r="AR16" s="367"/>
      <c r="AS16" s="369"/>
      <c r="AT16" s="367"/>
      <c r="AU16" s="371"/>
      <c r="AV16" s="367"/>
      <c r="AW16" s="367"/>
      <c r="AX16" s="367"/>
      <c r="AY16" s="369"/>
      <c r="AZ16" s="367"/>
      <c r="BA16" s="371"/>
      <c r="BB16" s="369"/>
      <c r="BE16" t="s">
        <v>618</v>
      </c>
      <c r="BF16" t="s">
        <v>933</v>
      </c>
    </row>
    <row r="17" spans="1:58" ht="12.75" customHeight="1" outlineLevel="1" x14ac:dyDescent="0.2">
      <c r="A17" s="364" t="s">
        <v>619</v>
      </c>
      <c r="B17" s="365">
        <v>40179</v>
      </c>
      <c r="C17" s="366">
        <f t="shared" si="0"/>
        <v>218346</v>
      </c>
      <c r="D17" s="367">
        <v>201709</v>
      </c>
      <c r="E17" s="369">
        <v>16637</v>
      </c>
      <c r="F17" s="367"/>
      <c r="G17" s="366" t="s">
        <v>160</v>
      </c>
      <c r="H17" s="368" t="s">
        <v>160</v>
      </c>
      <c r="I17" s="370" t="s">
        <v>160</v>
      </c>
      <c r="J17" s="367"/>
      <c r="K17" s="371">
        <v>218952</v>
      </c>
      <c r="L17" s="369"/>
      <c r="M17" s="367"/>
      <c r="N17" s="371" t="s">
        <v>160</v>
      </c>
      <c r="O17" s="369" t="s">
        <v>160</v>
      </c>
      <c r="P17" s="367"/>
      <c r="Q17" s="371" t="s">
        <v>160</v>
      </c>
      <c r="R17" s="369" t="s">
        <v>160</v>
      </c>
      <c r="S17" s="367"/>
      <c r="T17" s="371" t="s">
        <v>160</v>
      </c>
      <c r="U17" s="367" t="s">
        <v>160</v>
      </c>
      <c r="V17" s="367" t="s">
        <v>160</v>
      </c>
      <c r="W17" s="367" t="s">
        <v>160</v>
      </c>
      <c r="X17" s="367" t="s">
        <v>160</v>
      </c>
      <c r="Y17" s="367" t="s">
        <v>160</v>
      </c>
      <c r="Z17" s="367" t="s">
        <v>160</v>
      </c>
      <c r="AA17" s="367" t="s">
        <v>160</v>
      </c>
      <c r="AB17" s="369" t="s">
        <v>160</v>
      </c>
      <c r="AC17" s="367"/>
      <c r="AD17" s="365">
        <f t="shared" si="1"/>
        <v>40179</v>
      </c>
      <c r="AE17" s="372"/>
      <c r="AF17" s="373"/>
      <c r="AG17" s="373"/>
      <c r="AH17" s="373"/>
      <c r="AI17" s="373"/>
      <c r="AJ17" s="373"/>
      <c r="AK17" s="373"/>
      <c r="AL17" s="373"/>
      <c r="AM17" s="374"/>
      <c r="AN17" s="367"/>
      <c r="AO17" s="371"/>
      <c r="AP17" s="367"/>
      <c r="AQ17" s="367"/>
      <c r="AR17" s="367"/>
      <c r="AS17" s="369"/>
      <c r="AT17" s="367"/>
      <c r="AU17" s="371"/>
      <c r="AV17" s="367"/>
      <c r="AW17" s="367"/>
      <c r="AX17" s="367"/>
      <c r="AY17" s="369"/>
      <c r="AZ17" s="367"/>
      <c r="BA17" s="371"/>
      <c r="BB17" s="369"/>
      <c r="BE17" t="s">
        <v>619</v>
      </c>
      <c r="BF17" t="s">
        <v>934</v>
      </c>
    </row>
    <row r="18" spans="1:58" ht="12.75" customHeight="1" outlineLevel="1" x14ac:dyDescent="0.2">
      <c r="A18" s="364" t="s">
        <v>619</v>
      </c>
      <c r="B18" s="365">
        <v>40210</v>
      </c>
      <c r="C18" s="366">
        <f t="shared" si="0"/>
        <v>232812</v>
      </c>
      <c r="D18" s="367">
        <v>211358</v>
      </c>
      <c r="E18" s="369">
        <v>21454</v>
      </c>
      <c r="F18" s="367"/>
      <c r="G18" s="366" t="s">
        <v>160</v>
      </c>
      <c r="H18" s="368" t="s">
        <v>160</v>
      </c>
      <c r="I18" s="370" t="s">
        <v>160</v>
      </c>
      <c r="J18" s="367"/>
      <c r="K18" s="371">
        <v>220416</v>
      </c>
      <c r="L18" s="369"/>
      <c r="M18" s="367"/>
      <c r="N18" s="371" t="s">
        <v>160</v>
      </c>
      <c r="O18" s="369" t="s">
        <v>160</v>
      </c>
      <c r="P18" s="367"/>
      <c r="Q18" s="371" t="s">
        <v>160</v>
      </c>
      <c r="R18" s="369" t="s">
        <v>160</v>
      </c>
      <c r="S18" s="367"/>
      <c r="T18" s="371" t="s">
        <v>160</v>
      </c>
      <c r="U18" s="367" t="s">
        <v>160</v>
      </c>
      <c r="V18" s="367" t="s">
        <v>160</v>
      </c>
      <c r="W18" s="367" t="s">
        <v>160</v>
      </c>
      <c r="X18" s="367" t="s">
        <v>160</v>
      </c>
      <c r="Y18" s="367" t="s">
        <v>160</v>
      </c>
      <c r="Z18" s="367" t="s">
        <v>160</v>
      </c>
      <c r="AA18" s="367" t="s">
        <v>160</v>
      </c>
      <c r="AB18" s="369" t="s">
        <v>160</v>
      </c>
      <c r="AC18" s="367"/>
      <c r="AD18" s="365">
        <f t="shared" si="1"/>
        <v>40210</v>
      </c>
      <c r="AE18" s="372"/>
      <c r="AF18" s="373"/>
      <c r="AG18" s="373"/>
      <c r="AH18" s="373"/>
      <c r="AI18" s="373"/>
      <c r="AJ18" s="373"/>
      <c r="AK18" s="373"/>
      <c r="AL18" s="373"/>
      <c r="AM18" s="374"/>
      <c r="AN18" s="367"/>
      <c r="AO18" s="371"/>
      <c r="AP18" s="367"/>
      <c r="AQ18" s="367"/>
      <c r="AR18" s="367"/>
      <c r="AS18" s="369"/>
      <c r="AT18" s="367"/>
      <c r="AU18" s="371"/>
      <c r="AV18" s="367"/>
      <c r="AW18" s="367"/>
      <c r="AX18" s="367"/>
      <c r="AY18" s="369"/>
      <c r="AZ18" s="367"/>
      <c r="BA18" s="371"/>
      <c r="BB18" s="369"/>
      <c r="BE18" t="s">
        <v>619</v>
      </c>
      <c r="BF18" t="s">
        <v>934</v>
      </c>
    </row>
    <row r="19" spans="1:58" ht="12.75" customHeight="1" outlineLevel="1" x14ac:dyDescent="0.2">
      <c r="A19" s="364" t="s">
        <v>619</v>
      </c>
      <c r="B19" s="365">
        <v>40238</v>
      </c>
      <c r="C19" s="366">
        <f t="shared" si="0"/>
        <v>362171</v>
      </c>
      <c r="D19" s="367">
        <v>337352</v>
      </c>
      <c r="E19" s="369">
        <v>24819</v>
      </c>
      <c r="F19" s="367"/>
      <c r="G19" s="366" t="s">
        <v>160</v>
      </c>
      <c r="H19" s="368" t="s">
        <v>160</v>
      </c>
      <c r="I19" s="370" t="s">
        <v>160</v>
      </c>
      <c r="J19" s="367"/>
      <c r="K19" s="371">
        <v>297384</v>
      </c>
      <c r="L19" s="369"/>
      <c r="M19" s="367"/>
      <c r="N19" s="371" t="s">
        <v>160</v>
      </c>
      <c r="O19" s="369" t="s">
        <v>160</v>
      </c>
      <c r="P19" s="367"/>
      <c r="Q19" s="371" t="s">
        <v>160</v>
      </c>
      <c r="R19" s="369" t="s">
        <v>160</v>
      </c>
      <c r="S19" s="367"/>
      <c r="T19" s="371" t="s">
        <v>160</v>
      </c>
      <c r="U19" s="367" t="s">
        <v>160</v>
      </c>
      <c r="V19" s="367" t="s">
        <v>160</v>
      </c>
      <c r="W19" s="367" t="s">
        <v>160</v>
      </c>
      <c r="X19" s="367" t="s">
        <v>160</v>
      </c>
      <c r="Y19" s="367" t="s">
        <v>160</v>
      </c>
      <c r="Z19" s="367" t="s">
        <v>160</v>
      </c>
      <c r="AA19" s="367" t="s">
        <v>160</v>
      </c>
      <c r="AB19" s="369" t="s">
        <v>160</v>
      </c>
      <c r="AC19" s="367"/>
      <c r="AD19" s="365">
        <f t="shared" si="1"/>
        <v>40238</v>
      </c>
      <c r="AE19" s="372"/>
      <c r="AF19" s="373"/>
      <c r="AG19" s="373"/>
      <c r="AH19" s="373"/>
      <c r="AI19" s="373"/>
      <c r="AJ19" s="373"/>
      <c r="AK19" s="373"/>
      <c r="AL19" s="373"/>
      <c r="AM19" s="374"/>
      <c r="AN19" s="367"/>
      <c r="AO19" s="371"/>
      <c r="AP19" s="367"/>
      <c r="AQ19" s="367"/>
      <c r="AR19" s="367"/>
      <c r="AS19" s="369"/>
      <c r="AT19" s="367"/>
      <c r="AU19" s="371"/>
      <c r="AV19" s="367"/>
      <c r="AW19" s="367"/>
      <c r="AX19" s="367"/>
      <c r="AY19" s="369"/>
      <c r="AZ19" s="367"/>
      <c r="BA19" s="371"/>
      <c r="BB19" s="369"/>
      <c r="BE19" t="s">
        <v>619</v>
      </c>
      <c r="BF19" t="s">
        <v>934</v>
      </c>
    </row>
    <row r="20" spans="1:58" ht="12.75" customHeight="1" outlineLevel="1" x14ac:dyDescent="0.2">
      <c r="A20" s="364" t="s">
        <v>620</v>
      </c>
      <c r="B20" s="365">
        <v>40269</v>
      </c>
      <c r="C20" s="366">
        <f t="shared" si="0"/>
        <v>286518</v>
      </c>
      <c r="D20" s="367">
        <v>261877</v>
      </c>
      <c r="E20" s="369">
        <v>24641</v>
      </c>
      <c r="F20" s="367"/>
      <c r="G20" s="366" t="s">
        <v>160</v>
      </c>
      <c r="H20" s="368" t="s">
        <v>160</v>
      </c>
      <c r="I20" s="370" t="s">
        <v>160</v>
      </c>
      <c r="J20" s="367"/>
      <c r="K20" s="371">
        <v>255727</v>
      </c>
      <c r="L20" s="369"/>
      <c r="M20" s="367"/>
      <c r="N20" s="371" t="s">
        <v>160</v>
      </c>
      <c r="O20" s="369" t="s">
        <v>160</v>
      </c>
      <c r="P20" s="367"/>
      <c r="Q20" s="371" t="s">
        <v>160</v>
      </c>
      <c r="R20" s="369" t="s">
        <v>160</v>
      </c>
      <c r="S20" s="367"/>
      <c r="T20" s="371" t="s">
        <v>160</v>
      </c>
      <c r="U20" s="367" t="s">
        <v>160</v>
      </c>
      <c r="V20" s="367" t="s">
        <v>160</v>
      </c>
      <c r="W20" s="367" t="s">
        <v>160</v>
      </c>
      <c r="X20" s="367" t="s">
        <v>160</v>
      </c>
      <c r="Y20" s="367" t="s">
        <v>160</v>
      </c>
      <c r="Z20" s="367" t="s">
        <v>160</v>
      </c>
      <c r="AA20" s="367" t="s">
        <v>160</v>
      </c>
      <c r="AB20" s="369" t="s">
        <v>160</v>
      </c>
      <c r="AC20" s="367"/>
      <c r="AD20" s="365">
        <f t="shared" si="1"/>
        <v>40269</v>
      </c>
      <c r="AE20" s="372"/>
      <c r="AF20" s="373"/>
      <c r="AG20" s="373"/>
      <c r="AH20" s="373"/>
      <c r="AI20" s="373"/>
      <c r="AJ20" s="373"/>
      <c r="AK20" s="373"/>
      <c r="AL20" s="373"/>
      <c r="AM20" s="374"/>
      <c r="AN20" s="367"/>
      <c r="AO20" s="371"/>
      <c r="AP20" s="367"/>
      <c r="AQ20" s="367"/>
      <c r="AR20" s="367"/>
      <c r="AS20" s="369"/>
      <c r="AT20" s="367"/>
      <c r="AU20" s="371"/>
      <c r="AV20" s="367"/>
      <c r="AW20" s="367"/>
      <c r="AX20" s="367"/>
      <c r="AY20" s="369"/>
      <c r="AZ20" s="367"/>
      <c r="BA20" s="371"/>
      <c r="BB20" s="369"/>
      <c r="BE20" t="s">
        <v>620</v>
      </c>
      <c r="BF20" t="s">
        <v>935</v>
      </c>
    </row>
    <row r="21" spans="1:58" ht="12.75" customHeight="1" outlineLevel="1" x14ac:dyDescent="0.2">
      <c r="A21" s="364" t="s">
        <v>620</v>
      </c>
      <c r="B21" s="365">
        <v>40299</v>
      </c>
      <c r="C21" s="366">
        <f t="shared" si="0"/>
        <v>267235</v>
      </c>
      <c r="D21" s="367">
        <v>235743</v>
      </c>
      <c r="E21" s="369">
        <v>31492</v>
      </c>
      <c r="F21" s="367"/>
      <c r="G21" s="366" t="s">
        <v>160</v>
      </c>
      <c r="H21" s="368" t="s">
        <v>160</v>
      </c>
      <c r="I21" s="370" t="s">
        <v>160</v>
      </c>
      <c r="J21" s="367"/>
      <c r="K21" s="371">
        <v>277885</v>
      </c>
      <c r="L21" s="369"/>
      <c r="M21" s="367"/>
      <c r="N21" s="371" t="s">
        <v>160</v>
      </c>
      <c r="O21" s="369" t="s">
        <v>160</v>
      </c>
      <c r="P21" s="367"/>
      <c r="Q21" s="371" t="s">
        <v>160</v>
      </c>
      <c r="R21" s="369" t="s">
        <v>160</v>
      </c>
      <c r="S21" s="367"/>
      <c r="T21" s="371" t="s">
        <v>160</v>
      </c>
      <c r="U21" s="367" t="s">
        <v>160</v>
      </c>
      <c r="V21" s="367" t="s">
        <v>160</v>
      </c>
      <c r="W21" s="367" t="s">
        <v>160</v>
      </c>
      <c r="X21" s="367" t="s">
        <v>160</v>
      </c>
      <c r="Y21" s="367" t="s">
        <v>160</v>
      </c>
      <c r="Z21" s="367" t="s">
        <v>160</v>
      </c>
      <c r="AA21" s="367" t="s">
        <v>160</v>
      </c>
      <c r="AB21" s="369" t="s">
        <v>160</v>
      </c>
      <c r="AC21" s="367"/>
      <c r="AD21" s="365">
        <f t="shared" si="1"/>
        <v>40299</v>
      </c>
      <c r="AE21" s="372"/>
      <c r="AF21" s="373"/>
      <c r="AG21" s="373"/>
      <c r="AH21" s="373"/>
      <c r="AI21" s="373"/>
      <c r="AJ21" s="373"/>
      <c r="AK21" s="373"/>
      <c r="AL21" s="373"/>
      <c r="AM21" s="374"/>
      <c r="AN21" s="367"/>
      <c r="AO21" s="371"/>
      <c r="AP21" s="367"/>
      <c r="AQ21" s="367"/>
      <c r="AR21" s="367"/>
      <c r="AS21" s="369"/>
      <c r="AT21" s="367"/>
      <c r="AU21" s="371"/>
      <c r="AV21" s="367"/>
      <c r="AW21" s="367"/>
      <c r="AX21" s="367"/>
      <c r="AY21" s="369"/>
      <c r="AZ21" s="367"/>
      <c r="BA21" s="371"/>
      <c r="BB21" s="369"/>
      <c r="BE21" t="s">
        <v>620</v>
      </c>
      <c r="BF21" t="s">
        <v>935</v>
      </c>
    </row>
    <row r="22" spans="1:58" ht="12.75" customHeight="1" outlineLevel="1" x14ac:dyDescent="0.2">
      <c r="A22" s="364" t="s">
        <v>620</v>
      </c>
      <c r="B22" s="365">
        <v>40330</v>
      </c>
      <c r="C22" s="366">
        <f t="shared" si="0"/>
        <v>277620</v>
      </c>
      <c r="D22" s="367">
        <v>247489</v>
      </c>
      <c r="E22" s="369">
        <v>30131</v>
      </c>
      <c r="F22" s="367"/>
      <c r="G22" s="366" t="s">
        <v>160</v>
      </c>
      <c r="H22" s="368" t="s">
        <v>160</v>
      </c>
      <c r="I22" s="370" t="s">
        <v>160</v>
      </c>
      <c r="J22" s="367"/>
      <c r="K22" s="371">
        <v>264028</v>
      </c>
      <c r="L22" s="369"/>
      <c r="M22" s="367"/>
      <c r="N22" s="371" t="s">
        <v>160</v>
      </c>
      <c r="O22" s="369" t="s">
        <v>160</v>
      </c>
      <c r="P22" s="367"/>
      <c r="Q22" s="371" t="s">
        <v>160</v>
      </c>
      <c r="R22" s="369" t="s">
        <v>160</v>
      </c>
      <c r="S22" s="367"/>
      <c r="T22" s="371" t="s">
        <v>160</v>
      </c>
      <c r="U22" s="367" t="s">
        <v>160</v>
      </c>
      <c r="V22" s="367" t="s">
        <v>160</v>
      </c>
      <c r="W22" s="367" t="s">
        <v>160</v>
      </c>
      <c r="X22" s="367" t="s">
        <v>160</v>
      </c>
      <c r="Y22" s="367" t="s">
        <v>160</v>
      </c>
      <c r="Z22" s="367" t="s">
        <v>160</v>
      </c>
      <c r="AA22" s="367" t="s">
        <v>160</v>
      </c>
      <c r="AB22" s="369" t="s">
        <v>160</v>
      </c>
      <c r="AC22" s="367"/>
      <c r="AD22" s="365">
        <f t="shared" si="1"/>
        <v>40330</v>
      </c>
      <c r="AE22" s="372"/>
      <c r="AF22" s="373"/>
      <c r="AG22" s="373"/>
      <c r="AH22" s="373"/>
      <c r="AI22" s="373"/>
      <c r="AJ22" s="373"/>
      <c r="AK22" s="373"/>
      <c r="AL22" s="373"/>
      <c r="AM22" s="374"/>
      <c r="AN22" s="367"/>
      <c r="AO22" s="371"/>
      <c r="AP22" s="367"/>
      <c r="AQ22" s="367"/>
      <c r="AR22" s="367"/>
      <c r="AS22" s="369"/>
      <c r="AT22" s="367"/>
      <c r="AU22" s="371"/>
      <c r="AV22" s="367"/>
      <c r="AW22" s="367"/>
      <c r="AX22" s="367"/>
      <c r="AY22" s="369"/>
      <c r="AZ22" s="367"/>
      <c r="BA22" s="371"/>
      <c r="BB22" s="369"/>
      <c r="BE22" t="s">
        <v>620</v>
      </c>
      <c r="BF22" t="s">
        <v>935</v>
      </c>
    </row>
    <row r="23" spans="1:58" ht="12.75" customHeight="1" outlineLevel="1" x14ac:dyDescent="0.2">
      <c r="A23" s="364" t="s">
        <v>621</v>
      </c>
      <c r="B23" s="365">
        <v>40360</v>
      </c>
      <c r="C23" s="366">
        <f t="shared" si="0"/>
        <v>309363</v>
      </c>
      <c r="D23" s="367">
        <v>285224</v>
      </c>
      <c r="E23" s="369">
        <v>24139</v>
      </c>
      <c r="F23" s="367"/>
      <c r="G23" s="366" t="s">
        <v>160</v>
      </c>
      <c r="H23" s="368" t="s">
        <v>160</v>
      </c>
      <c r="I23" s="370" t="s">
        <v>160</v>
      </c>
      <c r="J23" s="367"/>
      <c r="K23" s="371">
        <v>269833</v>
      </c>
      <c r="L23" s="369"/>
      <c r="M23" s="367"/>
      <c r="N23" s="371" t="s">
        <v>160</v>
      </c>
      <c r="O23" s="369" t="s">
        <v>160</v>
      </c>
      <c r="P23" s="367"/>
      <c r="Q23" s="371" t="s">
        <v>160</v>
      </c>
      <c r="R23" s="369" t="s">
        <v>160</v>
      </c>
      <c r="S23" s="367"/>
      <c r="T23" s="371" t="s">
        <v>160</v>
      </c>
      <c r="U23" s="367" t="s">
        <v>160</v>
      </c>
      <c r="V23" s="367" t="s">
        <v>160</v>
      </c>
      <c r="W23" s="367" t="s">
        <v>160</v>
      </c>
      <c r="X23" s="367" t="s">
        <v>160</v>
      </c>
      <c r="Y23" s="367" t="s">
        <v>160</v>
      </c>
      <c r="Z23" s="367" t="s">
        <v>160</v>
      </c>
      <c r="AA23" s="367" t="s">
        <v>160</v>
      </c>
      <c r="AB23" s="369" t="s">
        <v>160</v>
      </c>
      <c r="AC23" s="367"/>
      <c r="AD23" s="365">
        <f t="shared" si="1"/>
        <v>40360</v>
      </c>
      <c r="AE23" s="372"/>
      <c r="AF23" s="373"/>
      <c r="AG23" s="373"/>
      <c r="AH23" s="373"/>
      <c r="AI23" s="373"/>
      <c r="AJ23" s="373"/>
      <c r="AK23" s="373"/>
      <c r="AL23" s="373"/>
      <c r="AM23" s="374"/>
      <c r="AN23" s="367"/>
      <c r="AO23" s="371"/>
      <c r="AP23" s="367"/>
      <c r="AQ23" s="367"/>
      <c r="AR23" s="367"/>
      <c r="AS23" s="369"/>
      <c r="AT23" s="367"/>
      <c r="AU23" s="371"/>
      <c r="AV23" s="367"/>
      <c r="AW23" s="367"/>
      <c r="AX23" s="367"/>
      <c r="AY23" s="369"/>
      <c r="AZ23" s="367"/>
      <c r="BA23" s="371"/>
      <c r="BB23" s="369"/>
      <c r="BE23" t="s">
        <v>621</v>
      </c>
      <c r="BF23" t="s">
        <v>936</v>
      </c>
    </row>
    <row r="24" spans="1:58" ht="12.75" customHeight="1" outlineLevel="1" x14ac:dyDescent="0.2">
      <c r="A24" s="364" t="s">
        <v>621</v>
      </c>
      <c r="B24" s="365">
        <v>40391</v>
      </c>
      <c r="C24" s="366">
        <f t="shared" si="0"/>
        <v>330850</v>
      </c>
      <c r="D24" s="367">
        <v>296605</v>
      </c>
      <c r="E24" s="369">
        <v>34245</v>
      </c>
      <c r="F24" s="367"/>
      <c r="G24" s="366" t="s">
        <v>160</v>
      </c>
      <c r="H24" s="368" t="s">
        <v>160</v>
      </c>
      <c r="I24" s="370" t="s">
        <v>160</v>
      </c>
      <c r="J24" s="367"/>
      <c r="K24" s="371">
        <v>286241</v>
      </c>
      <c r="L24" s="369"/>
      <c r="M24" s="367"/>
      <c r="N24" s="371" t="s">
        <v>160</v>
      </c>
      <c r="O24" s="369" t="s">
        <v>160</v>
      </c>
      <c r="P24" s="367"/>
      <c r="Q24" s="371" t="s">
        <v>160</v>
      </c>
      <c r="R24" s="369" t="s">
        <v>160</v>
      </c>
      <c r="S24" s="367"/>
      <c r="T24" s="371" t="s">
        <v>160</v>
      </c>
      <c r="U24" s="367" t="s">
        <v>160</v>
      </c>
      <c r="V24" s="367" t="s">
        <v>160</v>
      </c>
      <c r="W24" s="367" t="s">
        <v>160</v>
      </c>
      <c r="X24" s="367" t="s">
        <v>160</v>
      </c>
      <c r="Y24" s="367" t="s">
        <v>160</v>
      </c>
      <c r="Z24" s="367" t="s">
        <v>160</v>
      </c>
      <c r="AA24" s="367" t="s">
        <v>160</v>
      </c>
      <c r="AB24" s="369" t="s">
        <v>160</v>
      </c>
      <c r="AC24" s="367"/>
      <c r="AD24" s="365">
        <f t="shared" si="1"/>
        <v>40391</v>
      </c>
      <c r="AE24" s="372"/>
      <c r="AF24" s="373"/>
      <c r="AG24" s="373"/>
      <c r="AH24" s="373"/>
      <c r="AI24" s="373"/>
      <c r="AJ24" s="373"/>
      <c r="AK24" s="373"/>
      <c r="AL24" s="373"/>
      <c r="AM24" s="374"/>
      <c r="AN24" s="367"/>
      <c r="AO24" s="371"/>
      <c r="AP24" s="367"/>
      <c r="AQ24" s="367"/>
      <c r="AR24" s="367"/>
      <c r="AS24" s="369"/>
      <c r="AT24" s="367"/>
      <c r="AU24" s="371"/>
      <c r="AV24" s="367"/>
      <c r="AW24" s="367"/>
      <c r="AX24" s="367"/>
      <c r="AY24" s="369"/>
      <c r="AZ24" s="367"/>
      <c r="BA24" s="371"/>
      <c r="BB24" s="369"/>
      <c r="BE24" t="s">
        <v>621</v>
      </c>
      <c r="BF24" t="s">
        <v>936</v>
      </c>
    </row>
    <row r="25" spans="1:58" ht="12.75" customHeight="1" outlineLevel="1" x14ac:dyDescent="0.2">
      <c r="A25" s="364" t="s">
        <v>621</v>
      </c>
      <c r="B25" s="365">
        <v>40422</v>
      </c>
      <c r="C25" s="366">
        <f t="shared" si="0"/>
        <v>320854</v>
      </c>
      <c r="D25" s="367">
        <v>291436</v>
      </c>
      <c r="E25" s="369">
        <v>29418</v>
      </c>
      <c r="F25" s="367"/>
      <c r="G25" s="366" t="s">
        <v>160</v>
      </c>
      <c r="H25" s="368" t="s">
        <v>160</v>
      </c>
      <c r="I25" s="370" t="s">
        <v>160</v>
      </c>
      <c r="J25" s="367"/>
      <c r="K25" s="371">
        <v>258473</v>
      </c>
      <c r="L25" s="369"/>
      <c r="M25" s="367"/>
      <c r="N25" s="371" t="s">
        <v>160</v>
      </c>
      <c r="O25" s="369" t="s">
        <v>160</v>
      </c>
      <c r="P25" s="367"/>
      <c r="Q25" s="371" t="s">
        <v>160</v>
      </c>
      <c r="R25" s="369" t="s">
        <v>160</v>
      </c>
      <c r="S25" s="367"/>
      <c r="T25" s="371" t="s">
        <v>160</v>
      </c>
      <c r="U25" s="367" t="s">
        <v>160</v>
      </c>
      <c r="V25" s="367" t="s">
        <v>160</v>
      </c>
      <c r="W25" s="367" t="s">
        <v>160</v>
      </c>
      <c r="X25" s="367" t="s">
        <v>160</v>
      </c>
      <c r="Y25" s="367" t="s">
        <v>160</v>
      </c>
      <c r="Z25" s="367" t="s">
        <v>160</v>
      </c>
      <c r="AA25" s="367" t="s">
        <v>160</v>
      </c>
      <c r="AB25" s="369" t="s">
        <v>160</v>
      </c>
      <c r="AC25" s="367"/>
      <c r="AD25" s="365">
        <f t="shared" si="1"/>
        <v>40422</v>
      </c>
      <c r="AE25" s="372"/>
      <c r="AF25" s="373"/>
      <c r="AG25" s="373"/>
      <c r="AH25" s="373"/>
      <c r="AI25" s="373"/>
      <c r="AJ25" s="373"/>
      <c r="AK25" s="373"/>
      <c r="AL25" s="373"/>
      <c r="AM25" s="374"/>
      <c r="AN25" s="367"/>
      <c r="AO25" s="371"/>
      <c r="AP25" s="367"/>
      <c r="AQ25" s="367"/>
      <c r="AR25" s="367"/>
      <c r="AS25" s="369"/>
      <c r="AT25" s="367"/>
      <c r="AU25" s="371"/>
      <c r="AV25" s="367"/>
      <c r="AW25" s="367"/>
      <c r="AX25" s="367"/>
      <c r="AY25" s="369"/>
      <c r="AZ25" s="367"/>
      <c r="BA25" s="371"/>
      <c r="BB25" s="369"/>
      <c r="BE25" t="s">
        <v>621</v>
      </c>
      <c r="BF25" t="s">
        <v>936</v>
      </c>
    </row>
    <row r="26" spans="1:58" ht="12.75" customHeight="1" outlineLevel="1" x14ac:dyDescent="0.2">
      <c r="A26" s="364" t="s">
        <v>622</v>
      </c>
      <c r="B26" s="365">
        <v>40452</v>
      </c>
      <c r="C26" s="366">
        <f t="shared" si="0"/>
        <v>323489</v>
      </c>
      <c r="D26" s="367">
        <v>287596</v>
      </c>
      <c r="E26" s="369">
        <v>35893</v>
      </c>
      <c r="F26" s="367"/>
      <c r="G26" s="366" t="s">
        <v>160</v>
      </c>
      <c r="H26" s="368" t="s">
        <v>160</v>
      </c>
      <c r="I26" s="370" t="s">
        <v>160</v>
      </c>
      <c r="J26" s="367"/>
      <c r="K26" s="371">
        <v>273487</v>
      </c>
      <c r="L26" s="369"/>
      <c r="M26" s="367"/>
      <c r="N26" s="371" t="s">
        <v>160</v>
      </c>
      <c r="O26" s="369" t="s">
        <v>160</v>
      </c>
      <c r="P26" s="367"/>
      <c r="Q26" s="371" t="s">
        <v>160</v>
      </c>
      <c r="R26" s="369" t="s">
        <v>160</v>
      </c>
      <c r="S26" s="367"/>
      <c r="T26" s="371" t="s">
        <v>160</v>
      </c>
      <c r="U26" s="367" t="s">
        <v>160</v>
      </c>
      <c r="V26" s="367" t="s">
        <v>160</v>
      </c>
      <c r="W26" s="367" t="s">
        <v>160</v>
      </c>
      <c r="X26" s="367" t="s">
        <v>160</v>
      </c>
      <c r="Y26" s="367" t="s">
        <v>160</v>
      </c>
      <c r="Z26" s="367" t="s">
        <v>160</v>
      </c>
      <c r="AA26" s="367" t="s">
        <v>160</v>
      </c>
      <c r="AB26" s="369" t="s">
        <v>160</v>
      </c>
      <c r="AC26" s="367"/>
      <c r="AD26" s="365">
        <f t="shared" si="1"/>
        <v>40452</v>
      </c>
      <c r="AE26" s="372"/>
      <c r="AF26" s="373"/>
      <c r="AG26" s="373"/>
      <c r="AH26" s="373"/>
      <c r="AI26" s="373"/>
      <c r="AJ26" s="373"/>
      <c r="AK26" s="373"/>
      <c r="AL26" s="373"/>
      <c r="AM26" s="374"/>
      <c r="AN26" s="367"/>
      <c r="AO26" s="371"/>
      <c r="AP26" s="367"/>
      <c r="AQ26" s="367"/>
      <c r="AR26" s="367"/>
      <c r="AS26" s="369"/>
      <c r="AT26" s="367"/>
      <c r="AU26" s="371"/>
      <c r="AV26" s="367"/>
      <c r="AW26" s="367"/>
      <c r="AX26" s="367"/>
      <c r="AY26" s="369"/>
      <c r="AZ26" s="367"/>
      <c r="BA26" s="371"/>
      <c r="BB26" s="369"/>
      <c r="BE26" t="s">
        <v>622</v>
      </c>
      <c r="BF26" t="s">
        <v>937</v>
      </c>
    </row>
    <row r="27" spans="1:58" ht="12.75" customHeight="1" outlineLevel="1" x14ac:dyDescent="0.2">
      <c r="A27" s="364" t="s">
        <v>622</v>
      </c>
      <c r="B27" s="365">
        <v>40483</v>
      </c>
      <c r="C27" s="366">
        <f t="shared" si="0"/>
        <v>350243</v>
      </c>
      <c r="D27" s="367">
        <v>311407</v>
      </c>
      <c r="E27" s="369">
        <v>38836</v>
      </c>
      <c r="F27" s="367"/>
      <c r="G27" s="366" t="s">
        <v>160</v>
      </c>
      <c r="H27" s="368" t="s">
        <v>160</v>
      </c>
      <c r="I27" s="370" t="s">
        <v>160</v>
      </c>
      <c r="J27" s="367"/>
      <c r="K27" s="371">
        <v>282002</v>
      </c>
      <c r="L27" s="369"/>
      <c r="M27" s="367"/>
      <c r="N27" s="371" t="s">
        <v>160</v>
      </c>
      <c r="O27" s="369" t="s">
        <v>160</v>
      </c>
      <c r="P27" s="367"/>
      <c r="Q27" s="371" t="s">
        <v>160</v>
      </c>
      <c r="R27" s="369" t="s">
        <v>160</v>
      </c>
      <c r="S27" s="367"/>
      <c r="T27" s="371" t="s">
        <v>160</v>
      </c>
      <c r="U27" s="367" t="s">
        <v>160</v>
      </c>
      <c r="V27" s="367" t="s">
        <v>160</v>
      </c>
      <c r="W27" s="367" t="s">
        <v>160</v>
      </c>
      <c r="X27" s="367" t="s">
        <v>160</v>
      </c>
      <c r="Y27" s="367" t="s">
        <v>160</v>
      </c>
      <c r="Z27" s="367" t="s">
        <v>160</v>
      </c>
      <c r="AA27" s="367" t="s">
        <v>160</v>
      </c>
      <c r="AB27" s="369" t="s">
        <v>160</v>
      </c>
      <c r="AC27" s="367"/>
      <c r="AD27" s="365">
        <f t="shared" si="1"/>
        <v>40483</v>
      </c>
      <c r="AE27" s="372"/>
      <c r="AF27" s="373"/>
      <c r="AG27" s="373"/>
      <c r="AH27" s="373"/>
      <c r="AI27" s="373"/>
      <c r="AJ27" s="373"/>
      <c r="AK27" s="373"/>
      <c r="AL27" s="373"/>
      <c r="AM27" s="374"/>
      <c r="AN27" s="367"/>
      <c r="AO27" s="371"/>
      <c r="AP27" s="367"/>
      <c r="AQ27" s="367"/>
      <c r="AR27" s="367"/>
      <c r="AS27" s="369"/>
      <c r="AT27" s="367"/>
      <c r="AU27" s="371"/>
      <c r="AV27" s="367"/>
      <c r="AW27" s="367"/>
      <c r="AX27" s="367"/>
      <c r="AY27" s="369"/>
      <c r="AZ27" s="367"/>
      <c r="BA27" s="371"/>
      <c r="BB27" s="369"/>
      <c r="BE27" t="s">
        <v>622</v>
      </c>
      <c r="BF27" t="s">
        <v>937</v>
      </c>
    </row>
    <row r="28" spans="1:58" ht="12.75" customHeight="1" outlineLevel="1" x14ac:dyDescent="0.2">
      <c r="A28" s="364" t="s">
        <v>622</v>
      </c>
      <c r="B28" s="365">
        <v>40513</v>
      </c>
      <c r="C28" s="366">
        <f t="shared" si="0"/>
        <v>401172</v>
      </c>
      <c r="D28" s="367">
        <v>361233</v>
      </c>
      <c r="E28" s="369">
        <v>39939</v>
      </c>
      <c r="F28" s="367"/>
      <c r="G28" s="366" t="s">
        <v>160</v>
      </c>
      <c r="H28" s="368" t="s">
        <v>160</v>
      </c>
      <c r="I28" s="370" t="s">
        <v>160</v>
      </c>
      <c r="J28" s="367"/>
      <c r="K28" s="371">
        <v>247243</v>
      </c>
      <c r="L28" s="369"/>
      <c r="M28" s="367"/>
      <c r="N28" s="371" t="s">
        <v>160</v>
      </c>
      <c r="O28" s="369" t="s">
        <v>160</v>
      </c>
      <c r="P28" s="367"/>
      <c r="Q28" s="371" t="s">
        <v>160</v>
      </c>
      <c r="R28" s="369" t="s">
        <v>160</v>
      </c>
      <c r="S28" s="367"/>
      <c r="T28" s="371" t="s">
        <v>160</v>
      </c>
      <c r="U28" s="367" t="s">
        <v>160</v>
      </c>
      <c r="V28" s="367" t="s">
        <v>160</v>
      </c>
      <c r="W28" s="367" t="s">
        <v>160</v>
      </c>
      <c r="X28" s="367" t="s">
        <v>160</v>
      </c>
      <c r="Y28" s="367" t="s">
        <v>160</v>
      </c>
      <c r="Z28" s="367" t="s">
        <v>160</v>
      </c>
      <c r="AA28" s="367" t="s">
        <v>160</v>
      </c>
      <c r="AB28" s="369" t="s">
        <v>160</v>
      </c>
      <c r="AC28" s="367"/>
      <c r="AD28" s="365">
        <f t="shared" si="1"/>
        <v>40513</v>
      </c>
      <c r="AE28" s="372"/>
      <c r="AF28" s="373"/>
      <c r="AG28" s="373"/>
      <c r="AH28" s="373"/>
      <c r="AI28" s="373"/>
      <c r="AJ28" s="373"/>
      <c r="AK28" s="373"/>
      <c r="AL28" s="373"/>
      <c r="AM28" s="374"/>
      <c r="AN28" s="367"/>
      <c r="AO28" s="371"/>
      <c r="AP28" s="367"/>
      <c r="AQ28" s="367"/>
      <c r="AR28" s="367"/>
      <c r="AS28" s="369"/>
      <c r="AT28" s="367"/>
      <c r="AU28" s="371"/>
      <c r="AV28" s="367"/>
      <c r="AW28" s="367"/>
      <c r="AX28" s="367"/>
      <c r="AY28" s="369"/>
      <c r="AZ28" s="367"/>
      <c r="BA28" s="371"/>
      <c r="BB28" s="369"/>
      <c r="BE28" t="s">
        <v>622</v>
      </c>
      <c r="BF28" t="s">
        <v>937</v>
      </c>
    </row>
    <row r="29" spans="1:58" ht="12.75" customHeight="1" outlineLevel="1" x14ac:dyDescent="0.2">
      <c r="A29" s="364" t="s">
        <v>60</v>
      </c>
      <c r="B29" s="365">
        <v>40544</v>
      </c>
      <c r="C29" s="366">
        <f t="shared" si="0"/>
        <v>264499</v>
      </c>
      <c r="D29" s="367">
        <v>230162</v>
      </c>
      <c r="E29" s="369">
        <v>34337</v>
      </c>
      <c r="F29" s="367"/>
      <c r="G29" s="366" t="s">
        <v>160</v>
      </c>
      <c r="H29" s="368" t="s">
        <v>160</v>
      </c>
      <c r="I29" s="370" t="s">
        <v>160</v>
      </c>
      <c r="J29" s="367"/>
      <c r="K29" s="371">
        <v>222634</v>
      </c>
      <c r="L29" s="369">
        <v>57319</v>
      </c>
      <c r="M29" s="367"/>
      <c r="N29" s="371" t="s">
        <v>160</v>
      </c>
      <c r="O29" s="369" t="s">
        <v>160</v>
      </c>
      <c r="P29" s="367"/>
      <c r="Q29" s="371" t="s">
        <v>160</v>
      </c>
      <c r="R29" s="369" t="s">
        <v>160</v>
      </c>
      <c r="S29" s="367"/>
      <c r="T29" s="371" t="s">
        <v>160</v>
      </c>
      <c r="U29" s="367" t="s">
        <v>160</v>
      </c>
      <c r="V29" s="367" t="s">
        <v>160</v>
      </c>
      <c r="W29" s="367" t="s">
        <v>160</v>
      </c>
      <c r="X29" s="367" t="s">
        <v>160</v>
      </c>
      <c r="Y29" s="367" t="s">
        <v>160</v>
      </c>
      <c r="Z29" s="367" t="s">
        <v>160</v>
      </c>
      <c r="AA29" s="367" t="s">
        <v>160</v>
      </c>
      <c r="AB29" s="369" t="s">
        <v>160</v>
      </c>
      <c r="AC29" s="367"/>
      <c r="AD29" s="365">
        <f t="shared" si="1"/>
        <v>40544</v>
      </c>
      <c r="AE29" s="372"/>
      <c r="AF29" s="373"/>
      <c r="AG29" s="373"/>
      <c r="AH29" s="373"/>
      <c r="AI29" s="373"/>
      <c r="AJ29" s="373"/>
      <c r="AK29" s="373"/>
      <c r="AL29" s="373"/>
      <c r="AM29" s="374"/>
      <c r="AN29" s="367"/>
      <c r="AO29" s="371"/>
      <c r="AP29" s="367"/>
      <c r="AQ29" s="367"/>
      <c r="AR29" s="367"/>
      <c r="AS29" s="369"/>
      <c r="AT29" s="367"/>
      <c r="AU29" s="371"/>
      <c r="AV29" s="367"/>
      <c r="AW29" s="367"/>
      <c r="AX29" s="367"/>
      <c r="AY29" s="369"/>
      <c r="AZ29" s="367"/>
      <c r="BA29" s="371"/>
      <c r="BB29" s="369"/>
      <c r="BE29" t="s">
        <v>60</v>
      </c>
      <c r="BF29" t="s">
        <v>938</v>
      </c>
    </row>
    <row r="30" spans="1:58" ht="12.75" customHeight="1" outlineLevel="1" x14ac:dyDescent="0.2">
      <c r="A30" s="364" t="s">
        <v>60</v>
      </c>
      <c r="B30" s="365">
        <v>40575</v>
      </c>
      <c r="C30" s="366">
        <f t="shared" si="0"/>
        <v>295918</v>
      </c>
      <c r="D30" s="367">
        <v>258813</v>
      </c>
      <c r="E30" s="369">
        <v>37105</v>
      </c>
      <c r="F30" s="367"/>
      <c r="G30" s="366" t="s">
        <v>160</v>
      </c>
      <c r="H30" s="368" t="s">
        <v>160</v>
      </c>
      <c r="I30" s="370" t="s">
        <v>160</v>
      </c>
      <c r="J30" s="367"/>
      <c r="K30" s="371">
        <v>274486</v>
      </c>
      <c r="L30" s="369">
        <v>61704</v>
      </c>
      <c r="M30" s="367"/>
      <c r="N30" s="371" t="s">
        <v>160</v>
      </c>
      <c r="O30" s="369" t="s">
        <v>160</v>
      </c>
      <c r="P30" s="367"/>
      <c r="Q30" s="371" t="s">
        <v>160</v>
      </c>
      <c r="R30" s="369" t="s">
        <v>160</v>
      </c>
      <c r="S30" s="367"/>
      <c r="T30" s="371" t="s">
        <v>160</v>
      </c>
      <c r="U30" s="367" t="s">
        <v>160</v>
      </c>
      <c r="V30" s="367" t="s">
        <v>160</v>
      </c>
      <c r="W30" s="367" t="s">
        <v>160</v>
      </c>
      <c r="X30" s="367" t="s">
        <v>160</v>
      </c>
      <c r="Y30" s="367" t="s">
        <v>160</v>
      </c>
      <c r="Z30" s="367" t="s">
        <v>160</v>
      </c>
      <c r="AA30" s="367" t="s">
        <v>160</v>
      </c>
      <c r="AB30" s="369" t="s">
        <v>160</v>
      </c>
      <c r="AC30" s="367"/>
      <c r="AD30" s="365">
        <f t="shared" si="1"/>
        <v>40575</v>
      </c>
      <c r="AE30" s="372"/>
      <c r="AF30" s="373"/>
      <c r="AG30" s="373"/>
      <c r="AH30" s="373"/>
      <c r="AI30" s="373"/>
      <c r="AJ30" s="373"/>
      <c r="AK30" s="373"/>
      <c r="AL30" s="373"/>
      <c r="AM30" s="374"/>
      <c r="AN30" s="367"/>
      <c r="AO30" s="371"/>
      <c r="AP30" s="367"/>
      <c r="AQ30" s="367"/>
      <c r="AR30" s="367"/>
      <c r="AS30" s="369"/>
      <c r="AT30" s="367"/>
      <c r="AU30" s="371"/>
      <c r="AV30" s="367"/>
      <c r="AW30" s="367"/>
      <c r="AX30" s="367"/>
      <c r="AY30" s="369"/>
      <c r="AZ30" s="367"/>
      <c r="BA30" s="371"/>
      <c r="BB30" s="369"/>
      <c r="BE30" t="s">
        <v>60</v>
      </c>
      <c r="BF30" t="s">
        <v>938</v>
      </c>
    </row>
    <row r="31" spans="1:58" ht="12.75" customHeight="1" outlineLevel="1" x14ac:dyDescent="0.2">
      <c r="A31" s="364" t="s">
        <v>60</v>
      </c>
      <c r="B31" s="365">
        <v>40603</v>
      </c>
      <c r="C31" s="366">
        <f t="shared" si="0"/>
        <v>333290</v>
      </c>
      <c r="D31" s="367">
        <v>288733</v>
      </c>
      <c r="E31" s="369">
        <v>44557</v>
      </c>
      <c r="F31" s="367"/>
      <c r="G31" s="366" t="s">
        <v>160</v>
      </c>
      <c r="H31" s="368" t="s">
        <v>160</v>
      </c>
      <c r="I31" s="370" t="s">
        <v>160</v>
      </c>
      <c r="J31" s="367"/>
      <c r="K31" s="371">
        <v>275588</v>
      </c>
      <c r="L31" s="369">
        <v>61983</v>
      </c>
      <c r="M31" s="367"/>
      <c r="N31" s="371" t="s">
        <v>160</v>
      </c>
      <c r="O31" s="369" t="s">
        <v>160</v>
      </c>
      <c r="P31" s="367"/>
      <c r="Q31" s="371" t="s">
        <v>160</v>
      </c>
      <c r="R31" s="369" t="s">
        <v>160</v>
      </c>
      <c r="S31" s="367"/>
      <c r="T31" s="371" t="s">
        <v>160</v>
      </c>
      <c r="U31" s="367" t="s">
        <v>160</v>
      </c>
      <c r="V31" s="367" t="s">
        <v>160</v>
      </c>
      <c r="W31" s="367" t="s">
        <v>160</v>
      </c>
      <c r="X31" s="367" t="s">
        <v>160</v>
      </c>
      <c r="Y31" s="367" t="s">
        <v>160</v>
      </c>
      <c r="Z31" s="367" t="s">
        <v>160</v>
      </c>
      <c r="AA31" s="367" t="s">
        <v>160</v>
      </c>
      <c r="AB31" s="369" t="s">
        <v>160</v>
      </c>
      <c r="AC31" s="367"/>
      <c r="AD31" s="365">
        <f t="shared" si="1"/>
        <v>40603</v>
      </c>
      <c r="AE31" s="372"/>
      <c r="AF31" s="373"/>
      <c r="AG31" s="373"/>
      <c r="AH31" s="373"/>
      <c r="AI31" s="373"/>
      <c r="AJ31" s="373"/>
      <c r="AK31" s="373"/>
      <c r="AL31" s="373"/>
      <c r="AM31" s="374"/>
      <c r="AN31" s="367"/>
      <c r="AO31" s="371"/>
      <c r="AP31" s="367"/>
      <c r="AQ31" s="367"/>
      <c r="AR31" s="367"/>
      <c r="AS31" s="369"/>
      <c r="AT31" s="367"/>
      <c r="AU31" s="371"/>
      <c r="AV31" s="367"/>
      <c r="AW31" s="367"/>
      <c r="AX31" s="367"/>
      <c r="AY31" s="369"/>
      <c r="AZ31" s="367"/>
      <c r="BA31" s="371"/>
      <c r="BB31" s="369"/>
      <c r="BE31" t="s">
        <v>60</v>
      </c>
      <c r="BF31" t="s">
        <v>938</v>
      </c>
    </row>
    <row r="32" spans="1:58" ht="12.75" customHeight="1" outlineLevel="1" x14ac:dyDescent="0.2">
      <c r="A32" s="364" t="s">
        <v>61</v>
      </c>
      <c r="B32" s="365">
        <v>40634</v>
      </c>
      <c r="C32" s="366">
        <f t="shared" si="0"/>
        <v>303253</v>
      </c>
      <c r="D32" s="367">
        <v>272916</v>
      </c>
      <c r="E32" s="369">
        <v>30337</v>
      </c>
      <c r="F32" s="367"/>
      <c r="G32" s="366" t="s">
        <v>160</v>
      </c>
      <c r="H32" s="368" t="s">
        <v>160</v>
      </c>
      <c r="I32" s="370" t="s">
        <v>160</v>
      </c>
      <c r="J32" s="367"/>
      <c r="K32" s="371">
        <v>263292</v>
      </c>
      <c r="L32" s="369">
        <v>63795</v>
      </c>
      <c r="M32" s="367"/>
      <c r="N32" s="371" t="s">
        <v>160</v>
      </c>
      <c r="O32" s="369" t="s">
        <v>160</v>
      </c>
      <c r="P32" s="367"/>
      <c r="Q32" s="371" t="s">
        <v>160</v>
      </c>
      <c r="R32" s="369" t="s">
        <v>160</v>
      </c>
      <c r="S32" s="367"/>
      <c r="T32" s="371" t="s">
        <v>160</v>
      </c>
      <c r="U32" s="367" t="s">
        <v>160</v>
      </c>
      <c r="V32" s="367" t="s">
        <v>160</v>
      </c>
      <c r="W32" s="367" t="s">
        <v>160</v>
      </c>
      <c r="X32" s="367" t="s">
        <v>160</v>
      </c>
      <c r="Y32" s="367" t="s">
        <v>160</v>
      </c>
      <c r="Z32" s="367" t="s">
        <v>160</v>
      </c>
      <c r="AA32" s="367" t="s">
        <v>160</v>
      </c>
      <c r="AB32" s="369" t="s">
        <v>160</v>
      </c>
      <c r="AC32" s="367"/>
      <c r="AD32" s="365">
        <f t="shared" si="1"/>
        <v>40634</v>
      </c>
      <c r="AE32" s="372"/>
      <c r="AF32" s="373"/>
      <c r="AG32" s="373"/>
      <c r="AH32" s="373"/>
      <c r="AI32" s="373"/>
      <c r="AJ32" s="373"/>
      <c r="AK32" s="373"/>
      <c r="AL32" s="373"/>
      <c r="AM32" s="374"/>
      <c r="AN32" s="367"/>
      <c r="AO32" s="371"/>
      <c r="AP32" s="367"/>
      <c r="AQ32" s="367"/>
      <c r="AR32" s="367"/>
      <c r="AS32" s="369"/>
      <c r="AT32" s="367"/>
      <c r="AU32" s="371"/>
      <c r="AV32" s="367"/>
      <c r="AW32" s="367"/>
      <c r="AX32" s="367"/>
      <c r="AY32" s="369"/>
      <c r="AZ32" s="367"/>
      <c r="BA32" s="371"/>
      <c r="BB32" s="369"/>
      <c r="BE32" t="s">
        <v>61</v>
      </c>
      <c r="BF32" t="s">
        <v>939</v>
      </c>
    </row>
    <row r="33" spans="1:58" ht="12.75" customHeight="1" outlineLevel="1" x14ac:dyDescent="0.2">
      <c r="A33" s="364" t="s">
        <v>61</v>
      </c>
      <c r="B33" s="365">
        <v>40664</v>
      </c>
      <c r="C33" s="366">
        <f t="shared" si="0"/>
        <v>345134</v>
      </c>
      <c r="D33" s="367">
        <v>300529</v>
      </c>
      <c r="E33" s="369">
        <v>44605</v>
      </c>
      <c r="F33" s="367"/>
      <c r="G33" s="366" t="s">
        <v>160</v>
      </c>
      <c r="H33" s="368" t="s">
        <v>160</v>
      </c>
      <c r="I33" s="370" t="s">
        <v>160</v>
      </c>
      <c r="J33" s="367"/>
      <c r="K33" s="371">
        <v>280536</v>
      </c>
      <c r="L33" s="369">
        <v>74490</v>
      </c>
      <c r="M33" s="367"/>
      <c r="N33" s="371" t="s">
        <v>160</v>
      </c>
      <c r="O33" s="369" t="s">
        <v>160</v>
      </c>
      <c r="P33" s="367"/>
      <c r="Q33" s="371" t="s">
        <v>160</v>
      </c>
      <c r="R33" s="369" t="s">
        <v>160</v>
      </c>
      <c r="S33" s="367"/>
      <c r="T33" s="371" t="s">
        <v>160</v>
      </c>
      <c r="U33" s="367" t="s">
        <v>160</v>
      </c>
      <c r="V33" s="367" t="s">
        <v>160</v>
      </c>
      <c r="W33" s="367" t="s">
        <v>160</v>
      </c>
      <c r="X33" s="367" t="s">
        <v>160</v>
      </c>
      <c r="Y33" s="367" t="s">
        <v>160</v>
      </c>
      <c r="Z33" s="367" t="s">
        <v>160</v>
      </c>
      <c r="AA33" s="367" t="s">
        <v>160</v>
      </c>
      <c r="AB33" s="369" t="s">
        <v>160</v>
      </c>
      <c r="AC33" s="367"/>
      <c r="AD33" s="365">
        <f t="shared" si="1"/>
        <v>40664</v>
      </c>
      <c r="AE33" s="372"/>
      <c r="AF33" s="373"/>
      <c r="AG33" s="373"/>
      <c r="AH33" s="373"/>
      <c r="AI33" s="373"/>
      <c r="AJ33" s="373"/>
      <c r="AK33" s="373"/>
      <c r="AL33" s="373"/>
      <c r="AM33" s="374"/>
      <c r="AN33" s="367"/>
      <c r="AO33" s="371"/>
      <c r="AP33" s="367"/>
      <c r="AQ33" s="367"/>
      <c r="AR33" s="367"/>
      <c r="AS33" s="369"/>
      <c r="AT33" s="367"/>
      <c r="AU33" s="371"/>
      <c r="AV33" s="367"/>
      <c r="AW33" s="367"/>
      <c r="AX33" s="367"/>
      <c r="AY33" s="369"/>
      <c r="AZ33" s="367"/>
      <c r="BA33" s="371"/>
      <c r="BB33" s="369"/>
      <c r="BE33" t="s">
        <v>61</v>
      </c>
      <c r="BF33" t="s">
        <v>939</v>
      </c>
    </row>
    <row r="34" spans="1:58" ht="12.75" customHeight="1" outlineLevel="1" x14ac:dyDescent="0.2">
      <c r="A34" s="364" t="s">
        <v>61</v>
      </c>
      <c r="B34" s="365">
        <v>40695</v>
      </c>
      <c r="C34" s="366">
        <f t="shared" si="0"/>
        <v>325590</v>
      </c>
      <c r="D34" s="367">
        <v>286924</v>
      </c>
      <c r="E34" s="369">
        <v>38666</v>
      </c>
      <c r="F34" s="367"/>
      <c r="G34" s="366" t="s">
        <v>160</v>
      </c>
      <c r="H34" s="368" t="s">
        <v>160</v>
      </c>
      <c r="I34" s="370" t="s">
        <v>160</v>
      </c>
      <c r="J34" s="367"/>
      <c r="K34" s="371">
        <v>272103</v>
      </c>
      <c r="L34" s="369">
        <v>69022</v>
      </c>
      <c r="M34" s="367"/>
      <c r="N34" s="371" t="s">
        <v>160</v>
      </c>
      <c r="O34" s="369" t="s">
        <v>160</v>
      </c>
      <c r="P34" s="367"/>
      <c r="Q34" s="371" t="s">
        <v>160</v>
      </c>
      <c r="R34" s="369" t="s">
        <v>160</v>
      </c>
      <c r="S34" s="367"/>
      <c r="T34" s="371" t="s">
        <v>160</v>
      </c>
      <c r="U34" s="367" t="s">
        <v>160</v>
      </c>
      <c r="V34" s="367" t="s">
        <v>160</v>
      </c>
      <c r="W34" s="367" t="s">
        <v>160</v>
      </c>
      <c r="X34" s="367" t="s">
        <v>160</v>
      </c>
      <c r="Y34" s="367" t="s">
        <v>160</v>
      </c>
      <c r="Z34" s="367" t="s">
        <v>160</v>
      </c>
      <c r="AA34" s="367" t="s">
        <v>160</v>
      </c>
      <c r="AB34" s="369" t="s">
        <v>160</v>
      </c>
      <c r="AC34" s="367"/>
      <c r="AD34" s="365">
        <f t="shared" si="1"/>
        <v>40695</v>
      </c>
      <c r="AE34" s="372"/>
      <c r="AF34" s="373"/>
      <c r="AG34" s="373"/>
      <c r="AH34" s="373"/>
      <c r="AI34" s="373"/>
      <c r="AJ34" s="373"/>
      <c r="AK34" s="373"/>
      <c r="AL34" s="373"/>
      <c r="AM34" s="374"/>
      <c r="AN34" s="367"/>
      <c r="AO34" s="371"/>
      <c r="AP34" s="367"/>
      <c r="AQ34" s="367"/>
      <c r="AR34" s="367"/>
      <c r="AS34" s="369"/>
      <c r="AT34" s="367"/>
      <c r="AU34" s="371"/>
      <c r="AV34" s="367"/>
      <c r="AW34" s="367"/>
      <c r="AX34" s="367"/>
      <c r="AY34" s="369"/>
      <c r="AZ34" s="367"/>
      <c r="BA34" s="371"/>
      <c r="BB34" s="369"/>
      <c r="BE34" t="s">
        <v>61</v>
      </c>
      <c r="BF34" t="s">
        <v>939</v>
      </c>
    </row>
    <row r="35" spans="1:58" ht="12.75" customHeight="1" outlineLevel="1" x14ac:dyDescent="0.2">
      <c r="A35" s="364" t="s">
        <v>62</v>
      </c>
      <c r="B35" s="365">
        <v>40725</v>
      </c>
      <c r="C35" s="366">
        <f t="shared" si="0"/>
        <v>323210</v>
      </c>
      <c r="D35" s="367">
        <v>287966</v>
      </c>
      <c r="E35" s="369">
        <v>35244</v>
      </c>
      <c r="F35" s="367"/>
      <c r="G35" s="366" t="s">
        <v>160</v>
      </c>
      <c r="H35" s="368" t="s">
        <v>160</v>
      </c>
      <c r="I35" s="370" t="s">
        <v>160</v>
      </c>
      <c r="J35" s="367"/>
      <c r="K35" s="371">
        <v>284585</v>
      </c>
      <c r="L35" s="369">
        <v>67060</v>
      </c>
      <c r="M35" s="367"/>
      <c r="N35" s="371" t="s">
        <v>160</v>
      </c>
      <c r="O35" s="369" t="s">
        <v>160</v>
      </c>
      <c r="P35" s="367"/>
      <c r="Q35" s="371" t="s">
        <v>160</v>
      </c>
      <c r="R35" s="369" t="s">
        <v>160</v>
      </c>
      <c r="S35" s="367"/>
      <c r="T35" s="371" t="s">
        <v>160</v>
      </c>
      <c r="U35" s="367" t="s">
        <v>160</v>
      </c>
      <c r="V35" s="367" t="s">
        <v>160</v>
      </c>
      <c r="W35" s="367" t="s">
        <v>160</v>
      </c>
      <c r="X35" s="367" t="s">
        <v>160</v>
      </c>
      <c r="Y35" s="367" t="s">
        <v>160</v>
      </c>
      <c r="Z35" s="367" t="s">
        <v>160</v>
      </c>
      <c r="AA35" s="367" t="s">
        <v>160</v>
      </c>
      <c r="AB35" s="369" t="s">
        <v>160</v>
      </c>
      <c r="AC35" s="367"/>
      <c r="AD35" s="365">
        <f t="shared" si="1"/>
        <v>40725</v>
      </c>
      <c r="AE35" s="372"/>
      <c r="AF35" s="373"/>
      <c r="AG35" s="373"/>
      <c r="AH35" s="373"/>
      <c r="AI35" s="373"/>
      <c r="AJ35" s="373"/>
      <c r="AK35" s="373"/>
      <c r="AL35" s="373"/>
      <c r="AM35" s="374"/>
      <c r="AN35" s="367"/>
      <c r="AO35" s="371"/>
      <c r="AP35" s="367"/>
      <c r="AQ35" s="367"/>
      <c r="AR35" s="367"/>
      <c r="AS35" s="369"/>
      <c r="AT35" s="367"/>
      <c r="AU35" s="371"/>
      <c r="AV35" s="367"/>
      <c r="AW35" s="367"/>
      <c r="AX35" s="367"/>
      <c r="AY35" s="369"/>
      <c r="AZ35" s="367"/>
      <c r="BA35" s="371"/>
      <c r="BB35" s="369"/>
      <c r="BE35" t="s">
        <v>62</v>
      </c>
      <c r="BF35" t="s">
        <v>940</v>
      </c>
    </row>
    <row r="36" spans="1:58" ht="12.75" customHeight="1" outlineLevel="1" x14ac:dyDescent="0.2">
      <c r="A36" s="364" t="s">
        <v>62</v>
      </c>
      <c r="B36" s="365">
        <v>40756</v>
      </c>
      <c r="C36" s="366">
        <f t="shared" si="0"/>
        <v>348264</v>
      </c>
      <c r="D36" s="367">
        <v>308035</v>
      </c>
      <c r="E36" s="369">
        <v>40229</v>
      </c>
      <c r="F36" s="367"/>
      <c r="G36" s="366" t="s">
        <v>160</v>
      </c>
      <c r="H36" s="368" t="s">
        <v>160</v>
      </c>
      <c r="I36" s="370" t="s">
        <v>160</v>
      </c>
      <c r="J36" s="367"/>
      <c r="K36" s="371">
        <v>299156</v>
      </c>
      <c r="L36" s="369">
        <v>73249</v>
      </c>
      <c r="M36" s="367"/>
      <c r="N36" s="371" t="s">
        <v>160</v>
      </c>
      <c r="O36" s="369" t="s">
        <v>160</v>
      </c>
      <c r="P36" s="367"/>
      <c r="Q36" s="371" t="s">
        <v>160</v>
      </c>
      <c r="R36" s="369" t="s">
        <v>160</v>
      </c>
      <c r="S36" s="367"/>
      <c r="T36" s="371" t="s">
        <v>160</v>
      </c>
      <c r="U36" s="367" t="s">
        <v>160</v>
      </c>
      <c r="V36" s="367" t="s">
        <v>160</v>
      </c>
      <c r="W36" s="367" t="s">
        <v>160</v>
      </c>
      <c r="X36" s="367" t="s">
        <v>160</v>
      </c>
      <c r="Y36" s="367" t="s">
        <v>160</v>
      </c>
      <c r="Z36" s="367" t="s">
        <v>160</v>
      </c>
      <c r="AA36" s="367" t="s">
        <v>160</v>
      </c>
      <c r="AB36" s="369" t="s">
        <v>160</v>
      </c>
      <c r="AC36" s="367"/>
      <c r="AD36" s="365">
        <f t="shared" si="1"/>
        <v>40756</v>
      </c>
      <c r="AE36" s="372"/>
      <c r="AF36" s="373"/>
      <c r="AG36" s="373"/>
      <c r="AH36" s="373"/>
      <c r="AI36" s="373"/>
      <c r="AJ36" s="373"/>
      <c r="AK36" s="373"/>
      <c r="AL36" s="373"/>
      <c r="AM36" s="374"/>
      <c r="AN36" s="367"/>
      <c r="AO36" s="371"/>
      <c r="AP36" s="367"/>
      <c r="AQ36" s="367"/>
      <c r="AR36" s="367"/>
      <c r="AS36" s="369"/>
      <c r="AT36" s="367"/>
      <c r="AU36" s="371"/>
      <c r="AV36" s="367"/>
      <c r="AW36" s="367"/>
      <c r="AX36" s="367"/>
      <c r="AY36" s="369"/>
      <c r="AZ36" s="367"/>
      <c r="BA36" s="371"/>
      <c r="BB36" s="369"/>
      <c r="BE36" t="s">
        <v>62</v>
      </c>
      <c r="BF36" t="s">
        <v>940</v>
      </c>
    </row>
    <row r="37" spans="1:58" ht="12.75" customHeight="1" outlineLevel="1" x14ac:dyDescent="0.2">
      <c r="A37" s="364" t="s">
        <v>62</v>
      </c>
      <c r="B37" s="365">
        <v>40787</v>
      </c>
      <c r="C37" s="366">
        <f t="shared" si="0"/>
        <v>336175</v>
      </c>
      <c r="D37" s="367">
        <v>293585</v>
      </c>
      <c r="E37" s="369">
        <v>42590</v>
      </c>
      <c r="F37" s="367"/>
      <c r="G37" s="366" t="s">
        <v>160</v>
      </c>
      <c r="H37" s="368" t="s">
        <v>160</v>
      </c>
      <c r="I37" s="370" t="s">
        <v>160</v>
      </c>
      <c r="J37" s="367"/>
      <c r="K37" s="371">
        <v>238312</v>
      </c>
      <c r="L37" s="369">
        <v>78679</v>
      </c>
      <c r="M37" s="367"/>
      <c r="N37" s="371" t="s">
        <v>160</v>
      </c>
      <c r="O37" s="369" t="s">
        <v>160</v>
      </c>
      <c r="P37" s="367"/>
      <c r="Q37" s="371" t="s">
        <v>160</v>
      </c>
      <c r="R37" s="369" t="s">
        <v>160</v>
      </c>
      <c r="S37" s="367"/>
      <c r="T37" s="371" t="s">
        <v>160</v>
      </c>
      <c r="U37" s="367" t="s">
        <v>160</v>
      </c>
      <c r="V37" s="367" t="s">
        <v>160</v>
      </c>
      <c r="W37" s="367" t="s">
        <v>160</v>
      </c>
      <c r="X37" s="367" t="s">
        <v>160</v>
      </c>
      <c r="Y37" s="367" t="s">
        <v>160</v>
      </c>
      <c r="Z37" s="367" t="s">
        <v>160</v>
      </c>
      <c r="AA37" s="367" t="s">
        <v>160</v>
      </c>
      <c r="AB37" s="369" t="s">
        <v>160</v>
      </c>
      <c r="AC37" s="367"/>
      <c r="AD37" s="365">
        <f t="shared" ref="AD37:AD68" si="2">+B37</f>
        <v>40787</v>
      </c>
      <c r="AE37" s="372"/>
      <c r="AF37" s="373"/>
      <c r="AG37" s="373"/>
      <c r="AH37" s="373"/>
      <c r="AI37" s="373"/>
      <c r="AJ37" s="373"/>
      <c r="AK37" s="373"/>
      <c r="AL37" s="373"/>
      <c r="AM37" s="374"/>
      <c r="AN37" s="367"/>
      <c r="AO37" s="371"/>
      <c r="AP37" s="367"/>
      <c r="AQ37" s="367"/>
      <c r="AR37" s="367"/>
      <c r="AS37" s="369"/>
      <c r="AT37" s="367"/>
      <c r="AU37" s="371"/>
      <c r="AV37" s="367"/>
      <c r="AW37" s="367"/>
      <c r="AX37" s="367"/>
      <c r="AY37" s="369"/>
      <c r="AZ37" s="367"/>
      <c r="BA37" s="371"/>
      <c r="BB37" s="369"/>
      <c r="BE37" t="s">
        <v>62</v>
      </c>
      <c r="BF37" t="s">
        <v>940</v>
      </c>
    </row>
    <row r="38" spans="1:58" ht="12.75" customHeight="1" outlineLevel="1" x14ac:dyDescent="0.2">
      <c r="A38" s="364" t="s">
        <v>63</v>
      </c>
      <c r="B38" s="365">
        <v>40817</v>
      </c>
      <c r="C38" s="366">
        <f t="shared" si="0"/>
        <v>311680</v>
      </c>
      <c r="D38" s="367">
        <v>263770</v>
      </c>
      <c r="E38" s="369">
        <v>47910</v>
      </c>
      <c r="F38" s="367"/>
      <c r="G38" s="366" t="s">
        <v>160</v>
      </c>
      <c r="H38" s="368" t="s">
        <v>160</v>
      </c>
      <c r="I38" s="370" t="s">
        <v>160</v>
      </c>
      <c r="J38" s="367"/>
      <c r="K38" s="371">
        <v>246745</v>
      </c>
      <c r="L38" s="369">
        <v>70657</v>
      </c>
      <c r="M38" s="367"/>
      <c r="N38" s="371" t="s">
        <v>160</v>
      </c>
      <c r="O38" s="369" t="s">
        <v>160</v>
      </c>
      <c r="P38" s="367"/>
      <c r="Q38" s="371" t="s">
        <v>160</v>
      </c>
      <c r="R38" s="369" t="s">
        <v>160</v>
      </c>
      <c r="S38" s="367"/>
      <c r="T38" s="371" t="s">
        <v>160</v>
      </c>
      <c r="U38" s="367" t="s">
        <v>160</v>
      </c>
      <c r="V38" s="367" t="s">
        <v>160</v>
      </c>
      <c r="W38" s="367" t="s">
        <v>160</v>
      </c>
      <c r="X38" s="367" t="s">
        <v>160</v>
      </c>
      <c r="Y38" s="367" t="s">
        <v>160</v>
      </c>
      <c r="Z38" s="367" t="s">
        <v>160</v>
      </c>
      <c r="AA38" s="367" t="s">
        <v>160</v>
      </c>
      <c r="AB38" s="369" t="s">
        <v>160</v>
      </c>
      <c r="AC38" s="367"/>
      <c r="AD38" s="365">
        <f t="shared" si="2"/>
        <v>40817</v>
      </c>
      <c r="AE38" s="372"/>
      <c r="AF38" s="373"/>
      <c r="AG38" s="373"/>
      <c r="AH38" s="373"/>
      <c r="AI38" s="373"/>
      <c r="AJ38" s="373"/>
      <c r="AK38" s="373"/>
      <c r="AL38" s="373"/>
      <c r="AM38" s="374"/>
      <c r="AN38" s="367"/>
      <c r="AO38" s="371"/>
      <c r="AP38" s="367"/>
      <c r="AQ38" s="367"/>
      <c r="AR38" s="367"/>
      <c r="AS38" s="369"/>
      <c r="AT38" s="367"/>
      <c r="AU38" s="371"/>
      <c r="AV38" s="367"/>
      <c r="AW38" s="367"/>
      <c r="AX38" s="367"/>
      <c r="AY38" s="369"/>
      <c r="AZ38" s="367"/>
      <c r="BA38" s="371"/>
      <c r="BB38" s="369"/>
      <c r="BE38" t="s">
        <v>63</v>
      </c>
      <c r="BF38" t="s">
        <v>941</v>
      </c>
    </row>
    <row r="39" spans="1:58" ht="12.75" customHeight="1" outlineLevel="1" x14ac:dyDescent="0.2">
      <c r="A39" s="364" t="s">
        <v>63</v>
      </c>
      <c r="B39" s="365">
        <v>40848</v>
      </c>
      <c r="C39" s="366">
        <f t="shared" si="0"/>
        <v>352885</v>
      </c>
      <c r="D39" s="367">
        <v>305194</v>
      </c>
      <c r="E39" s="369">
        <v>47691</v>
      </c>
      <c r="F39" s="367"/>
      <c r="G39" s="366" t="s">
        <v>160</v>
      </c>
      <c r="H39" s="368" t="s">
        <v>160</v>
      </c>
      <c r="I39" s="370" t="s">
        <v>160</v>
      </c>
      <c r="J39" s="367"/>
      <c r="K39" s="371">
        <v>249369</v>
      </c>
      <c r="L39" s="369">
        <v>82217</v>
      </c>
      <c r="M39" s="367"/>
      <c r="N39" s="371" t="s">
        <v>160</v>
      </c>
      <c r="O39" s="369" t="s">
        <v>160</v>
      </c>
      <c r="P39" s="367"/>
      <c r="Q39" s="371" t="s">
        <v>160</v>
      </c>
      <c r="R39" s="369" t="s">
        <v>160</v>
      </c>
      <c r="S39" s="367"/>
      <c r="T39" s="371" t="s">
        <v>160</v>
      </c>
      <c r="U39" s="367" t="s">
        <v>160</v>
      </c>
      <c r="V39" s="367" t="s">
        <v>160</v>
      </c>
      <c r="W39" s="367" t="s">
        <v>160</v>
      </c>
      <c r="X39" s="367" t="s">
        <v>160</v>
      </c>
      <c r="Y39" s="367" t="s">
        <v>160</v>
      </c>
      <c r="Z39" s="367" t="s">
        <v>160</v>
      </c>
      <c r="AA39" s="367" t="s">
        <v>160</v>
      </c>
      <c r="AB39" s="369" t="s">
        <v>160</v>
      </c>
      <c r="AC39" s="367"/>
      <c r="AD39" s="365">
        <f t="shared" si="2"/>
        <v>40848</v>
      </c>
      <c r="AE39" s="372"/>
      <c r="AF39" s="373"/>
      <c r="AG39" s="373"/>
      <c r="AH39" s="373"/>
      <c r="AI39" s="373"/>
      <c r="AJ39" s="373"/>
      <c r="AK39" s="373"/>
      <c r="AL39" s="373"/>
      <c r="AM39" s="374"/>
      <c r="AN39" s="367"/>
      <c r="AO39" s="371"/>
      <c r="AP39" s="367"/>
      <c r="AQ39" s="367"/>
      <c r="AR39" s="367"/>
      <c r="AS39" s="369"/>
      <c r="AT39" s="367"/>
      <c r="AU39" s="371"/>
      <c r="AV39" s="367"/>
      <c r="AW39" s="367"/>
      <c r="AX39" s="367"/>
      <c r="AY39" s="369"/>
      <c r="AZ39" s="367"/>
      <c r="BA39" s="371"/>
      <c r="BB39" s="369"/>
      <c r="BE39" t="s">
        <v>63</v>
      </c>
      <c r="BF39" t="s">
        <v>941</v>
      </c>
    </row>
    <row r="40" spans="1:58" ht="12.75" customHeight="1" outlineLevel="1" x14ac:dyDescent="0.2">
      <c r="A40" s="364" t="s">
        <v>63</v>
      </c>
      <c r="B40" s="365">
        <v>40878</v>
      </c>
      <c r="C40" s="366">
        <f t="shared" si="0"/>
        <v>358303</v>
      </c>
      <c r="D40" s="367">
        <v>329204</v>
      </c>
      <c r="E40" s="369">
        <v>29099</v>
      </c>
      <c r="F40" s="367"/>
      <c r="G40" s="366" t="s">
        <v>160</v>
      </c>
      <c r="H40" s="368" t="s">
        <v>160</v>
      </c>
      <c r="I40" s="370" t="s">
        <v>160</v>
      </c>
      <c r="J40" s="367"/>
      <c r="K40" s="371">
        <v>238005</v>
      </c>
      <c r="L40" s="369">
        <v>93778</v>
      </c>
      <c r="M40" s="367"/>
      <c r="N40" s="371" t="s">
        <v>160</v>
      </c>
      <c r="O40" s="369" t="s">
        <v>160</v>
      </c>
      <c r="P40" s="367"/>
      <c r="Q40" s="371" t="s">
        <v>160</v>
      </c>
      <c r="R40" s="369" t="s">
        <v>160</v>
      </c>
      <c r="S40" s="367"/>
      <c r="T40" s="371" t="s">
        <v>160</v>
      </c>
      <c r="U40" s="367" t="s">
        <v>160</v>
      </c>
      <c r="V40" s="367" t="s">
        <v>160</v>
      </c>
      <c r="W40" s="367" t="s">
        <v>160</v>
      </c>
      <c r="X40" s="367" t="s">
        <v>160</v>
      </c>
      <c r="Y40" s="367" t="s">
        <v>160</v>
      </c>
      <c r="Z40" s="367" t="s">
        <v>160</v>
      </c>
      <c r="AA40" s="367" t="s">
        <v>160</v>
      </c>
      <c r="AB40" s="369" t="s">
        <v>160</v>
      </c>
      <c r="AC40" s="367"/>
      <c r="AD40" s="365">
        <f t="shared" si="2"/>
        <v>40878</v>
      </c>
      <c r="AE40" s="372"/>
      <c r="AF40" s="373"/>
      <c r="AG40" s="373"/>
      <c r="AH40" s="373"/>
      <c r="AI40" s="373"/>
      <c r="AJ40" s="373"/>
      <c r="AK40" s="373"/>
      <c r="AL40" s="373"/>
      <c r="AM40" s="374"/>
      <c r="AN40" s="367"/>
      <c r="AO40" s="371"/>
      <c r="AP40" s="367"/>
      <c r="AQ40" s="367"/>
      <c r="AR40" s="367"/>
      <c r="AS40" s="369"/>
      <c r="AT40" s="367"/>
      <c r="AU40" s="371"/>
      <c r="AV40" s="367"/>
      <c r="AW40" s="367"/>
      <c r="AX40" s="367"/>
      <c r="AY40" s="369"/>
      <c r="AZ40" s="367"/>
      <c r="BA40" s="371"/>
      <c r="BB40" s="369"/>
      <c r="BE40" t="s">
        <v>63</v>
      </c>
      <c r="BF40" t="s">
        <v>941</v>
      </c>
    </row>
    <row r="41" spans="1:58" ht="12.75" customHeight="1" outlineLevel="1" x14ac:dyDescent="0.2">
      <c r="A41" s="364" t="s">
        <v>7</v>
      </c>
      <c r="B41" s="365">
        <v>40909</v>
      </c>
      <c r="C41" s="366">
        <f t="shared" si="0"/>
        <v>284661</v>
      </c>
      <c r="D41" s="367">
        <v>252661</v>
      </c>
      <c r="E41" s="369">
        <v>32000</v>
      </c>
      <c r="F41" s="367"/>
      <c r="G41" s="366" t="s">
        <v>160</v>
      </c>
      <c r="H41" s="368" t="s">
        <v>160</v>
      </c>
      <c r="I41" s="370" t="s">
        <v>160</v>
      </c>
      <c r="J41" s="367"/>
      <c r="K41" s="371">
        <v>205995</v>
      </c>
      <c r="L41" s="369">
        <v>67449</v>
      </c>
      <c r="M41" s="367"/>
      <c r="N41" s="371" t="s">
        <v>160</v>
      </c>
      <c r="O41" s="369" t="s">
        <v>160</v>
      </c>
      <c r="P41" s="367"/>
      <c r="Q41" s="371" t="s">
        <v>160</v>
      </c>
      <c r="R41" s="369" t="s">
        <v>160</v>
      </c>
      <c r="S41" s="367"/>
      <c r="T41" s="371" t="s">
        <v>160</v>
      </c>
      <c r="U41" s="367" t="s">
        <v>160</v>
      </c>
      <c r="V41" s="367" t="s">
        <v>160</v>
      </c>
      <c r="W41" s="367" t="s">
        <v>160</v>
      </c>
      <c r="X41" s="367" t="s">
        <v>160</v>
      </c>
      <c r="Y41" s="375" t="s">
        <v>160</v>
      </c>
      <c r="Z41" s="375" t="s">
        <v>160</v>
      </c>
      <c r="AA41" s="375" t="s">
        <v>160</v>
      </c>
      <c r="AB41" s="369" t="s">
        <v>160</v>
      </c>
      <c r="AC41" s="367"/>
      <c r="AD41" s="365">
        <f t="shared" si="2"/>
        <v>40909</v>
      </c>
      <c r="AE41" s="372"/>
      <c r="AF41" s="373"/>
      <c r="AG41" s="373"/>
      <c r="AH41" s="373"/>
      <c r="AI41" s="373"/>
      <c r="AJ41" s="376"/>
      <c r="AK41" s="376"/>
      <c r="AL41" s="376"/>
      <c r="AM41" s="374"/>
      <c r="AN41" s="367"/>
      <c r="AO41" s="371"/>
      <c r="AP41" s="367"/>
      <c r="AQ41" s="375"/>
      <c r="AR41" s="375"/>
      <c r="AS41" s="369"/>
      <c r="AT41" s="367"/>
      <c r="AU41" s="371"/>
      <c r="AV41" s="367"/>
      <c r="AW41" s="375"/>
      <c r="AX41" s="375"/>
      <c r="AY41" s="369"/>
      <c r="AZ41" s="367"/>
      <c r="BA41" s="371"/>
      <c r="BB41" s="369"/>
      <c r="BE41" t="s">
        <v>7</v>
      </c>
      <c r="BF41" t="s">
        <v>942</v>
      </c>
    </row>
    <row r="42" spans="1:58" ht="12.75" customHeight="1" outlineLevel="1" x14ac:dyDescent="0.2">
      <c r="A42" s="364" t="s">
        <v>7</v>
      </c>
      <c r="B42" s="365">
        <v>40940</v>
      </c>
      <c r="C42" s="366">
        <f t="shared" si="0"/>
        <v>269538</v>
      </c>
      <c r="D42" s="367">
        <v>235836</v>
      </c>
      <c r="E42" s="369">
        <v>33702</v>
      </c>
      <c r="F42" s="367"/>
      <c r="G42" s="366" t="s">
        <v>160</v>
      </c>
      <c r="H42" s="368" t="s">
        <v>160</v>
      </c>
      <c r="I42" s="370" t="s">
        <v>160</v>
      </c>
      <c r="J42" s="367"/>
      <c r="K42" s="371">
        <v>204486</v>
      </c>
      <c r="L42" s="369">
        <v>60880</v>
      </c>
      <c r="M42" s="367"/>
      <c r="N42" s="371" t="s">
        <v>160</v>
      </c>
      <c r="O42" s="369" t="s">
        <v>160</v>
      </c>
      <c r="P42" s="367"/>
      <c r="Q42" s="371" t="s">
        <v>160</v>
      </c>
      <c r="R42" s="369" t="s">
        <v>160</v>
      </c>
      <c r="S42" s="367"/>
      <c r="T42" s="371" t="s">
        <v>160</v>
      </c>
      <c r="U42" s="367" t="s">
        <v>160</v>
      </c>
      <c r="V42" s="367" t="s">
        <v>160</v>
      </c>
      <c r="W42" s="367" t="s">
        <v>160</v>
      </c>
      <c r="X42" s="367" t="s">
        <v>160</v>
      </c>
      <c r="Y42" s="375" t="s">
        <v>160</v>
      </c>
      <c r="Z42" s="375" t="s">
        <v>160</v>
      </c>
      <c r="AA42" s="375" t="s">
        <v>160</v>
      </c>
      <c r="AB42" s="369" t="s">
        <v>160</v>
      </c>
      <c r="AC42" s="367"/>
      <c r="AD42" s="365">
        <f t="shared" si="2"/>
        <v>40940</v>
      </c>
      <c r="AE42" s="372"/>
      <c r="AF42" s="373"/>
      <c r="AG42" s="373"/>
      <c r="AH42" s="373"/>
      <c r="AI42" s="373"/>
      <c r="AJ42" s="376"/>
      <c r="AK42" s="376"/>
      <c r="AL42" s="376"/>
      <c r="AM42" s="374"/>
      <c r="AN42" s="367"/>
      <c r="AO42" s="371"/>
      <c r="AP42" s="367"/>
      <c r="AQ42" s="375"/>
      <c r="AR42" s="375"/>
      <c r="AS42" s="369"/>
      <c r="AT42" s="367"/>
      <c r="AU42" s="371"/>
      <c r="AV42" s="367"/>
      <c r="AW42" s="375"/>
      <c r="AX42" s="375"/>
      <c r="AY42" s="369"/>
      <c r="AZ42" s="367"/>
      <c r="BA42" s="371"/>
      <c r="BB42" s="369"/>
      <c r="BE42" t="s">
        <v>7</v>
      </c>
      <c r="BF42" t="s">
        <v>942</v>
      </c>
    </row>
    <row r="43" spans="1:58" ht="12.75" customHeight="1" outlineLevel="1" x14ac:dyDescent="0.2">
      <c r="A43" s="364" t="s">
        <v>7</v>
      </c>
      <c r="B43" s="365">
        <v>40969</v>
      </c>
      <c r="C43" s="366">
        <f t="shared" si="0"/>
        <v>322745</v>
      </c>
      <c r="D43" s="367">
        <v>283788</v>
      </c>
      <c r="E43" s="369">
        <v>38957</v>
      </c>
      <c r="F43" s="367"/>
      <c r="G43" s="366" t="s">
        <v>160</v>
      </c>
      <c r="H43" s="368" t="s">
        <v>160</v>
      </c>
      <c r="I43" s="370" t="s">
        <v>160</v>
      </c>
      <c r="J43" s="367"/>
      <c r="K43" s="371">
        <v>294811</v>
      </c>
      <c r="L43" s="369">
        <v>70208</v>
      </c>
      <c r="M43" s="367"/>
      <c r="N43" s="371" t="s">
        <v>160</v>
      </c>
      <c r="O43" s="369" t="s">
        <v>160</v>
      </c>
      <c r="P43" s="367"/>
      <c r="Q43" s="371" t="s">
        <v>160</v>
      </c>
      <c r="R43" s="369" t="s">
        <v>160</v>
      </c>
      <c r="S43" s="367"/>
      <c r="T43" s="371" t="s">
        <v>160</v>
      </c>
      <c r="U43" s="367" t="s">
        <v>160</v>
      </c>
      <c r="V43" s="367" t="s">
        <v>160</v>
      </c>
      <c r="W43" s="367" t="s">
        <v>160</v>
      </c>
      <c r="X43" s="367" t="s">
        <v>160</v>
      </c>
      <c r="Y43" s="375" t="s">
        <v>160</v>
      </c>
      <c r="Z43" s="375" t="s">
        <v>160</v>
      </c>
      <c r="AA43" s="375" t="s">
        <v>160</v>
      </c>
      <c r="AB43" s="369" t="s">
        <v>160</v>
      </c>
      <c r="AC43" s="367"/>
      <c r="AD43" s="365">
        <f t="shared" si="2"/>
        <v>40969</v>
      </c>
      <c r="AE43" s="372"/>
      <c r="AF43" s="373"/>
      <c r="AG43" s="373"/>
      <c r="AH43" s="373"/>
      <c r="AI43" s="373"/>
      <c r="AJ43" s="376"/>
      <c r="AK43" s="376"/>
      <c r="AL43" s="376"/>
      <c r="AM43" s="374"/>
      <c r="AN43" s="367"/>
      <c r="AO43" s="371"/>
      <c r="AP43" s="367"/>
      <c r="AQ43" s="375"/>
      <c r="AR43" s="375"/>
      <c r="AS43" s="369"/>
      <c r="AT43" s="367"/>
      <c r="AU43" s="371"/>
      <c r="AV43" s="367"/>
      <c r="AW43" s="375"/>
      <c r="AX43" s="375"/>
      <c r="AY43" s="369"/>
      <c r="AZ43" s="367"/>
      <c r="BA43" s="371"/>
      <c r="BB43" s="369"/>
      <c r="BE43" t="s">
        <v>7</v>
      </c>
      <c r="BF43" t="s">
        <v>942</v>
      </c>
    </row>
    <row r="44" spans="1:58" ht="12.75" customHeight="1" outlineLevel="1" x14ac:dyDescent="0.2">
      <c r="A44" s="364" t="s">
        <v>6</v>
      </c>
      <c r="B44" s="365">
        <v>41000</v>
      </c>
      <c r="C44" s="366">
        <f t="shared" si="0"/>
        <v>292760</v>
      </c>
      <c r="D44" s="367">
        <v>244576</v>
      </c>
      <c r="E44" s="369">
        <v>48184</v>
      </c>
      <c r="F44" s="367"/>
      <c r="G44" s="366" t="s">
        <v>160</v>
      </c>
      <c r="H44" s="368" t="s">
        <v>160</v>
      </c>
      <c r="I44" s="370" t="s">
        <v>160</v>
      </c>
      <c r="J44" s="367"/>
      <c r="K44" s="371">
        <v>252594</v>
      </c>
      <c r="L44" s="369">
        <v>57850</v>
      </c>
      <c r="M44" s="367"/>
      <c r="N44" s="371" t="s">
        <v>160</v>
      </c>
      <c r="O44" s="369" t="s">
        <v>160</v>
      </c>
      <c r="P44" s="367"/>
      <c r="Q44" s="371" t="s">
        <v>160</v>
      </c>
      <c r="R44" s="369" t="s">
        <v>160</v>
      </c>
      <c r="S44" s="367"/>
      <c r="T44" s="371" t="s">
        <v>160</v>
      </c>
      <c r="U44" s="367" t="s">
        <v>160</v>
      </c>
      <c r="V44" s="367" t="s">
        <v>160</v>
      </c>
      <c r="W44" s="367" t="s">
        <v>160</v>
      </c>
      <c r="X44" s="367" t="s">
        <v>160</v>
      </c>
      <c r="Y44" s="375" t="s">
        <v>160</v>
      </c>
      <c r="Z44" s="375" t="s">
        <v>160</v>
      </c>
      <c r="AA44" s="375" t="s">
        <v>160</v>
      </c>
      <c r="AB44" s="369" t="s">
        <v>160</v>
      </c>
      <c r="AC44" s="367"/>
      <c r="AD44" s="365">
        <f t="shared" si="2"/>
        <v>41000</v>
      </c>
      <c r="AE44" s="372"/>
      <c r="AF44" s="373"/>
      <c r="AG44" s="373"/>
      <c r="AH44" s="373"/>
      <c r="AI44" s="373"/>
      <c r="AJ44" s="376"/>
      <c r="AK44" s="376"/>
      <c r="AL44" s="376"/>
      <c r="AM44" s="374"/>
      <c r="AN44" s="367"/>
      <c r="AO44" s="371"/>
      <c r="AP44" s="367"/>
      <c r="AQ44" s="375"/>
      <c r="AR44" s="375"/>
      <c r="AS44" s="369"/>
      <c r="AT44" s="367"/>
      <c r="AU44" s="371"/>
      <c r="AV44" s="367"/>
      <c r="AW44" s="375"/>
      <c r="AX44" s="375"/>
      <c r="AY44" s="369"/>
      <c r="AZ44" s="367"/>
      <c r="BA44" s="371"/>
      <c r="BB44" s="369"/>
      <c r="BE44" t="s">
        <v>6</v>
      </c>
      <c r="BF44" t="s">
        <v>943</v>
      </c>
    </row>
    <row r="45" spans="1:58" ht="12.75" customHeight="1" outlineLevel="1" x14ac:dyDescent="0.2">
      <c r="A45" s="364" t="s">
        <v>6</v>
      </c>
      <c r="B45" s="365">
        <v>41030</v>
      </c>
      <c r="C45" s="366">
        <f t="shared" si="0"/>
        <v>298328</v>
      </c>
      <c r="D45" s="367">
        <v>274280</v>
      </c>
      <c r="E45" s="369">
        <v>24048</v>
      </c>
      <c r="F45" s="367"/>
      <c r="G45" s="366" t="s">
        <v>160</v>
      </c>
      <c r="H45" s="368" t="s">
        <v>160</v>
      </c>
      <c r="I45" s="370" t="s">
        <v>160</v>
      </c>
      <c r="J45" s="367"/>
      <c r="K45" s="371">
        <v>270885</v>
      </c>
      <c r="L45" s="369">
        <v>63376</v>
      </c>
      <c r="M45" s="367"/>
      <c r="N45" s="371" t="s">
        <v>160</v>
      </c>
      <c r="O45" s="369" t="s">
        <v>160</v>
      </c>
      <c r="P45" s="367"/>
      <c r="Q45" s="371" t="s">
        <v>160</v>
      </c>
      <c r="R45" s="369" t="s">
        <v>160</v>
      </c>
      <c r="S45" s="367"/>
      <c r="T45" s="371" t="s">
        <v>160</v>
      </c>
      <c r="U45" s="367" t="s">
        <v>160</v>
      </c>
      <c r="V45" s="367" t="s">
        <v>160</v>
      </c>
      <c r="W45" s="367" t="s">
        <v>160</v>
      </c>
      <c r="X45" s="367" t="s">
        <v>160</v>
      </c>
      <c r="Y45" s="375" t="s">
        <v>160</v>
      </c>
      <c r="Z45" s="375" t="s">
        <v>160</v>
      </c>
      <c r="AA45" s="375" t="s">
        <v>160</v>
      </c>
      <c r="AB45" s="369" t="s">
        <v>160</v>
      </c>
      <c r="AC45" s="367"/>
      <c r="AD45" s="365">
        <f t="shared" si="2"/>
        <v>41030</v>
      </c>
      <c r="AE45" s="372"/>
      <c r="AF45" s="373"/>
      <c r="AG45" s="373"/>
      <c r="AH45" s="373"/>
      <c r="AI45" s="373"/>
      <c r="AJ45" s="376"/>
      <c r="AK45" s="376"/>
      <c r="AL45" s="376"/>
      <c r="AM45" s="374"/>
      <c r="AN45" s="367"/>
      <c r="AO45" s="371"/>
      <c r="AP45" s="367"/>
      <c r="AQ45" s="375"/>
      <c r="AR45" s="375"/>
      <c r="AS45" s="369"/>
      <c r="AT45" s="367"/>
      <c r="AU45" s="371"/>
      <c r="AV45" s="367"/>
      <c r="AW45" s="375"/>
      <c r="AX45" s="375"/>
      <c r="AY45" s="369"/>
      <c r="AZ45" s="367"/>
      <c r="BA45" s="371"/>
      <c r="BB45" s="369"/>
      <c r="BE45" t="s">
        <v>6</v>
      </c>
      <c r="BF45" t="s">
        <v>943</v>
      </c>
    </row>
    <row r="46" spans="1:58" ht="12.75" customHeight="1" outlineLevel="1" x14ac:dyDescent="0.2">
      <c r="A46" s="364" t="s">
        <v>6</v>
      </c>
      <c r="B46" s="365">
        <v>41061</v>
      </c>
      <c r="C46" s="366">
        <f t="shared" si="0"/>
        <v>373419</v>
      </c>
      <c r="D46" s="367">
        <v>340612</v>
      </c>
      <c r="E46" s="369">
        <v>32807</v>
      </c>
      <c r="F46" s="367"/>
      <c r="G46" s="366" t="s">
        <v>160</v>
      </c>
      <c r="H46" s="368" t="s">
        <v>160</v>
      </c>
      <c r="I46" s="370" t="s">
        <v>160</v>
      </c>
      <c r="J46" s="367"/>
      <c r="K46" s="371">
        <v>265547</v>
      </c>
      <c r="L46" s="369">
        <v>71195</v>
      </c>
      <c r="M46" s="367"/>
      <c r="N46" s="371" t="s">
        <v>160</v>
      </c>
      <c r="O46" s="369" t="s">
        <v>160</v>
      </c>
      <c r="P46" s="367"/>
      <c r="Q46" s="371" t="s">
        <v>160</v>
      </c>
      <c r="R46" s="369" t="s">
        <v>160</v>
      </c>
      <c r="S46" s="367"/>
      <c r="T46" s="371" t="s">
        <v>160</v>
      </c>
      <c r="U46" s="367" t="s">
        <v>160</v>
      </c>
      <c r="V46" s="367" t="s">
        <v>160</v>
      </c>
      <c r="W46" s="367" t="s">
        <v>160</v>
      </c>
      <c r="X46" s="367" t="s">
        <v>160</v>
      </c>
      <c r="Y46" s="375" t="s">
        <v>160</v>
      </c>
      <c r="Z46" s="375" t="s">
        <v>160</v>
      </c>
      <c r="AA46" s="375" t="s">
        <v>160</v>
      </c>
      <c r="AB46" s="369" t="s">
        <v>160</v>
      </c>
      <c r="AC46" s="367"/>
      <c r="AD46" s="365">
        <f t="shared" si="2"/>
        <v>41061</v>
      </c>
      <c r="AE46" s="372"/>
      <c r="AF46" s="373"/>
      <c r="AG46" s="373"/>
      <c r="AH46" s="373"/>
      <c r="AI46" s="373"/>
      <c r="AJ46" s="376"/>
      <c r="AK46" s="376"/>
      <c r="AL46" s="376"/>
      <c r="AM46" s="374"/>
      <c r="AN46" s="367"/>
      <c r="AO46" s="371"/>
      <c r="AP46" s="367"/>
      <c r="AQ46" s="375"/>
      <c r="AR46" s="375"/>
      <c r="AS46" s="369"/>
      <c r="AT46" s="367"/>
      <c r="AU46" s="371"/>
      <c r="AV46" s="367"/>
      <c r="AW46" s="375"/>
      <c r="AX46" s="375"/>
      <c r="AY46" s="369"/>
      <c r="AZ46" s="367"/>
      <c r="BA46" s="371"/>
      <c r="BB46" s="369"/>
      <c r="BE46" t="s">
        <v>6</v>
      </c>
      <c r="BF46" t="s">
        <v>943</v>
      </c>
    </row>
    <row r="47" spans="1:58" ht="12.75" customHeight="1" outlineLevel="1" x14ac:dyDescent="0.2">
      <c r="A47" s="364" t="s">
        <v>5</v>
      </c>
      <c r="B47" s="365">
        <v>41091</v>
      </c>
      <c r="C47" s="366">
        <f t="shared" si="0"/>
        <v>377993</v>
      </c>
      <c r="D47" s="367">
        <v>351224</v>
      </c>
      <c r="E47" s="369">
        <v>26769</v>
      </c>
      <c r="F47" s="367"/>
      <c r="G47" s="366" t="s">
        <v>160</v>
      </c>
      <c r="H47" s="368" t="s">
        <v>160</v>
      </c>
      <c r="I47" s="370" t="s">
        <v>160</v>
      </c>
      <c r="J47" s="367"/>
      <c r="K47" s="371">
        <v>285527</v>
      </c>
      <c r="L47" s="369">
        <v>69651</v>
      </c>
      <c r="M47" s="367"/>
      <c r="N47" s="371" t="s">
        <v>160</v>
      </c>
      <c r="O47" s="369" t="s">
        <v>160</v>
      </c>
      <c r="P47" s="367"/>
      <c r="Q47" s="371" t="s">
        <v>160</v>
      </c>
      <c r="R47" s="369" t="s">
        <v>160</v>
      </c>
      <c r="S47" s="367"/>
      <c r="T47" s="371" t="s">
        <v>160</v>
      </c>
      <c r="U47" s="367" t="s">
        <v>160</v>
      </c>
      <c r="V47" s="367" t="s">
        <v>160</v>
      </c>
      <c r="W47" s="367" t="s">
        <v>160</v>
      </c>
      <c r="X47" s="367" t="s">
        <v>160</v>
      </c>
      <c r="Y47" s="375" t="s">
        <v>160</v>
      </c>
      <c r="Z47" s="375" t="s">
        <v>160</v>
      </c>
      <c r="AA47" s="375" t="s">
        <v>160</v>
      </c>
      <c r="AB47" s="369" t="s">
        <v>160</v>
      </c>
      <c r="AC47" s="367"/>
      <c r="AD47" s="365">
        <f t="shared" si="2"/>
        <v>41091</v>
      </c>
      <c r="AE47" s="372"/>
      <c r="AF47" s="373"/>
      <c r="AG47" s="373"/>
      <c r="AH47" s="373"/>
      <c r="AI47" s="373"/>
      <c r="AJ47" s="376"/>
      <c r="AK47" s="376"/>
      <c r="AL47" s="376"/>
      <c r="AM47" s="374"/>
      <c r="AN47" s="367"/>
      <c r="AO47" s="371"/>
      <c r="AP47" s="367"/>
      <c r="AQ47" s="375"/>
      <c r="AR47" s="375"/>
      <c r="AS47" s="369"/>
      <c r="AT47" s="367"/>
      <c r="AU47" s="371"/>
      <c r="AV47" s="367"/>
      <c r="AW47" s="375"/>
      <c r="AX47" s="375"/>
      <c r="AY47" s="369"/>
      <c r="AZ47" s="367"/>
      <c r="BA47" s="371"/>
      <c r="BB47" s="369"/>
      <c r="BE47" t="s">
        <v>5</v>
      </c>
      <c r="BF47" t="s">
        <v>944</v>
      </c>
    </row>
    <row r="48" spans="1:58" ht="12.75" customHeight="1" outlineLevel="1" x14ac:dyDescent="0.2">
      <c r="A48" s="364" t="s">
        <v>5</v>
      </c>
      <c r="B48" s="365">
        <v>41122</v>
      </c>
      <c r="C48" s="366">
        <f t="shared" si="0"/>
        <v>444744</v>
      </c>
      <c r="D48" s="367">
        <v>405480</v>
      </c>
      <c r="E48" s="369">
        <v>39264</v>
      </c>
      <c r="F48" s="367"/>
      <c r="G48" s="366" t="s">
        <v>160</v>
      </c>
      <c r="H48" s="368" t="s">
        <v>160</v>
      </c>
      <c r="I48" s="370" t="s">
        <v>160</v>
      </c>
      <c r="J48" s="367"/>
      <c r="K48" s="371">
        <v>316730</v>
      </c>
      <c r="L48" s="369">
        <v>78875</v>
      </c>
      <c r="M48" s="367"/>
      <c r="N48" s="371" t="s">
        <v>160</v>
      </c>
      <c r="O48" s="369" t="s">
        <v>160</v>
      </c>
      <c r="P48" s="367"/>
      <c r="Q48" s="371" t="s">
        <v>160</v>
      </c>
      <c r="R48" s="369" t="s">
        <v>160</v>
      </c>
      <c r="S48" s="367"/>
      <c r="T48" s="371" t="s">
        <v>160</v>
      </c>
      <c r="U48" s="367" t="s">
        <v>160</v>
      </c>
      <c r="V48" s="367" t="s">
        <v>160</v>
      </c>
      <c r="W48" s="367" t="s">
        <v>160</v>
      </c>
      <c r="X48" s="367" t="s">
        <v>160</v>
      </c>
      <c r="Y48" s="375" t="s">
        <v>160</v>
      </c>
      <c r="Z48" s="375" t="s">
        <v>160</v>
      </c>
      <c r="AA48" s="375" t="s">
        <v>160</v>
      </c>
      <c r="AB48" s="369" t="s">
        <v>160</v>
      </c>
      <c r="AC48" s="367"/>
      <c r="AD48" s="365">
        <f t="shared" si="2"/>
        <v>41122</v>
      </c>
      <c r="AE48" s="372"/>
      <c r="AF48" s="373"/>
      <c r="AG48" s="373"/>
      <c r="AH48" s="373"/>
      <c r="AI48" s="373"/>
      <c r="AJ48" s="376"/>
      <c r="AK48" s="376"/>
      <c r="AL48" s="376"/>
      <c r="AM48" s="374"/>
      <c r="AN48" s="367"/>
      <c r="AO48" s="371"/>
      <c r="AP48" s="367"/>
      <c r="AQ48" s="375"/>
      <c r="AR48" s="375"/>
      <c r="AS48" s="369"/>
      <c r="AT48" s="367"/>
      <c r="AU48" s="371"/>
      <c r="AV48" s="367"/>
      <c r="AW48" s="375"/>
      <c r="AX48" s="375"/>
      <c r="AY48" s="369"/>
      <c r="AZ48" s="367"/>
      <c r="BA48" s="371"/>
      <c r="BB48" s="369"/>
      <c r="BE48" t="s">
        <v>5</v>
      </c>
      <c r="BF48" t="s">
        <v>944</v>
      </c>
    </row>
    <row r="49" spans="1:58" ht="12.75" customHeight="1" outlineLevel="1" x14ac:dyDescent="0.2">
      <c r="A49" s="364" t="s">
        <v>5</v>
      </c>
      <c r="B49" s="365">
        <v>41153</v>
      </c>
      <c r="C49" s="366">
        <f t="shared" si="0"/>
        <v>302249</v>
      </c>
      <c r="D49" s="367">
        <v>277694</v>
      </c>
      <c r="E49" s="369">
        <v>24555</v>
      </c>
      <c r="F49" s="367"/>
      <c r="G49" s="366" t="s">
        <v>160</v>
      </c>
      <c r="H49" s="368" t="s">
        <v>160</v>
      </c>
      <c r="I49" s="370" t="s">
        <v>160</v>
      </c>
      <c r="J49" s="367"/>
      <c r="K49" s="371">
        <v>273840</v>
      </c>
      <c r="L49" s="369">
        <v>53761</v>
      </c>
      <c r="M49" s="367"/>
      <c r="N49" s="371" t="s">
        <v>160</v>
      </c>
      <c r="O49" s="369" t="s">
        <v>160</v>
      </c>
      <c r="P49" s="367"/>
      <c r="Q49" s="371" t="s">
        <v>160</v>
      </c>
      <c r="R49" s="369" t="s">
        <v>160</v>
      </c>
      <c r="S49" s="367"/>
      <c r="T49" s="371" t="s">
        <v>160</v>
      </c>
      <c r="U49" s="367" t="s">
        <v>160</v>
      </c>
      <c r="V49" s="367" t="s">
        <v>160</v>
      </c>
      <c r="W49" s="367" t="s">
        <v>160</v>
      </c>
      <c r="X49" s="367" t="s">
        <v>160</v>
      </c>
      <c r="Y49" s="375" t="s">
        <v>160</v>
      </c>
      <c r="Z49" s="375" t="s">
        <v>160</v>
      </c>
      <c r="AA49" s="375" t="s">
        <v>160</v>
      </c>
      <c r="AB49" s="369" t="s">
        <v>160</v>
      </c>
      <c r="AC49" s="367"/>
      <c r="AD49" s="365">
        <f t="shared" si="2"/>
        <v>41153</v>
      </c>
      <c r="AE49" s="372"/>
      <c r="AF49" s="373"/>
      <c r="AG49" s="373"/>
      <c r="AH49" s="373"/>
      <c r="AI49" s="373"/>
      <c r="AJ49" s="376"/>
      <c r="AK49" s="376"/>
      <c r="AL49" s="376"/>
      <c r="AM49" s="374"/>
      <c r="AN49" s="367"/>
      <c r="AO49" s="371"/>
      <c r="AP49" s="367"/>
      <c r="AQ49" s="375"/>
      <c r="AR49" s="375"/>
      <c r="AS49" s="369"/>
      <c r="AT49" s="367"/>
      <c r="AU49" s="371"/>
      <c r="AV49" s="367"/>
      <c r="AW49" s="375"/>
      <c r="AX49" s="375"/>
      <c r="AY49" s="369"/>
      <c r="AZ49" s="367"/>
      <c r="BA49" s="371"/>
      <c r="BB49" s="369"/>
      <c r="BE49" t="s">
        <v>5</v>
      </c>
      <c r="BF49" t="s">
        <v>944</v>
      </c>
    </row>
    <row r="50" spans="1:58" ht="12.75" customHeight="1" outlineLevel="1" x14ac:dyDescent="0.2">
      <c r="A50" s="364" t="s">
        <v>4</v>
      </c>
      <c r="B50" s="365">
        <v>41183</v>
      </c>
      <c r="C50" s="366">
        <f t="shared" si="0"/>
        <v>366015</v>
      </c>
      <c r="D50" s="367">
        <v>327027</v>
      </c>
      <c r="E50" s="369">
        <v>38988</v>
      </c>
      <c r="F50" s="367"/>
      <c r="G50" s="366" t="s">
        <v>160</v>
      </c>
      <c r="H50" s="368" t="s">
        <v>160</v>
      </c>
      <c r="I50" s="370" t="s">
        <v>160</v>
      </c>
      <c r="J50" s="367"/>
      <c r="K50" s="371">
        <v>307303</v>
      </c>
      <c r="L50" s="369">
        <v>59675</v>
      </c>
      <c r="M50" s="367"/>
      <c r="N50" s="371" t="s">
        <v>160</v>
      </c>
      <c r="O50" s="369" t="s">
        <v>160</v>
      </c>
      <c r="P50" s="367"/>
      <c r="Q50" s="371" t="s">
        <v>160</v>
      </c>
      <c r="R50" s="369" t="s">
        <v>160</v>
      </c>
      <c r="S50" s="367"/>
      <c r="T50" s="371" t="s">
        <v>160</v>
      </c>
      <c r="U50" s="367" t="s">
        <v>160</v>
      </c>
      <c r="V50" s="367" t="s">
        <v>160</v>
      </c>
      <c r="W50" s="367" t="s">
        <v>160</v>
      </c>
      <c r="X50" s="367" t="s">
        <v>160</v>
      </c>
      <c r="Y50" s="375" t="s">
        <v>160</v>
      </c>
      <c r="Z50" s="375" t="s">
        <v>160</v>
      </c>
      <c r="AA50" s="375" t="s">
        <v>160</v>
      </c>
      <c r="AB50" s="369" t="s">
        <v>160</v>
      </c>
      <c r="AC50" s="367"/>
      <c r="AD50" s="365">
        <f t="shared" si="2"/>
        <v>41183</v>
      </c>
      <c r="AE50" s="372"/>
      <c r="AF50" s="373"/>
      <c r="AG50" s="373"/>
      <c r="AH50" s="373"/>
      <c r="AI50" s="373"/>
      <c r="AJ50" s="376"/>
      <c r="AK50" s="376"/>
      <c r="AL50" s="376"/>
      <c r="AM50" s="374"/>
      <c r="AN50" s="367"/>
      <c r="AO50" s="371"/>
      <c r="AP50" s="367"/>
      <c r="AQ50" s="375"/>
      <c r="AR50" s="375"/>
      <c r="AS50" s="369"/>
      <c r="AT50" s="367"/>
      <c r="AU50" s="371"/>
      <c r="AV50" s="367"/>
      <c r="AW50" s="375"/>
      <c r="AX50" s="375"/>
      <c r="AY50" s="369"/>
      <c r="AZ50" s="367"/>
      <c r="BA50" s="371"/>
      <c r="BB50" s="369"/>
      <c r="BE50" t="s">
        <v>4</v>
      </c>
      <c r="BF50" t="s">
        <v>945</v>
      </c>
    </row>
    <row r="51" spans="1:58" ht="12.75" customHeight="1" outlineLevel="1" x14ac:dyDescent="0.2">
      <c r="A51" s="364" t="s">
        <v>4</v>
      </c>
      <c r="B51" s="365">
        <v>41214</v>
      </c>
      <c r="C51" s="366">
        <f t="shared" si="0"/>
        <v>331054</v>
      </c>
      <c r="D51" s="367">
        <v>297076</v>
      </c>
      <c r="E51" s="369">
        <v>33978</v>
      </c>
      <c r="F51" s="367"/>
      <c r="G51" s="366" t="s">
        <v>160</v>
      </c>
      <c r="H51" s="368" t="s">
        <v>160</v>
      </c>
      <c r="I51" s="370" t="s">
        <v>160</v>
      </c>
      <c r="J51" s="367"/>
      <c r="K51" s="371">
        <v>298431</v>
      </c>
      <c r="L51" s="369">
        <v>58045</v>
      </c>
      <c r="M51" s="367"/>
      <c r="N51" s="371" t="s">
        <v>160</v>
      </c>
      <c r="O51" s="369" t="s">
        <v>160</v>
      </c>
      <c r="P51" s="367"/>
      <c r="Q51" s="371" t="s">
        <v>160</v>
      </c>
      <c r="R51" s="369" t="s">
        <v>160</v>
      </c>
      <c r="S51" s="367"/>
      <c r="T51" s="371" t="s">
        <v>160</v>
      </c>
      <c r="U51" s="367" t="s">
        <v>160</v>
      </c>
      <c r="V51" s="367" t="s">
        <v>160</v>
      </c>
      <c r="W51" s="367" t="s">
        <v>160</v>
      </c>
      <c r="X51" s="367" t="s">
        <v>160</v>
      </c>
      <c r="Y51" s="375" t="s">
        <v>160</v>
      </c>
      <c r="Z51" s="375" t="s">
        <v>160</v>
      </c>
      <c r="AA51" s="375" t="s">
        <v>160</v>
      </c>
      <c r="AB51" s="369" t="s">
        <v>160</v>
      </c>
      <c r="AC51" s="367"/>
      <c r="AD51" s="365">
        <f t="shared" si="2"/>
        <v>41214</v>
      </c>
      <c r="AE51" s="372"/>
      <c r="AF51" s="373"/>
      <c r="AG51" s="373"/>
      <c r="AH51" s="373"/>
      <c r="AI51" s="373"/>
      <c r="AJ51" s="376"/>
      <c r="AK51" s="376"/>
      <c r="AL51" s="376"/>
      <c r="AM51" s="374"/>
      <c r="AN51" s="367"/>
      <c r="AO51" s="371"/>
      <c r="AP51" s="367"/>
      <c r="AQ51" s="375"/>
      <c r="AR51" s="375"/>
      <c r="AS51" s="369"/>
      <c r="AT51" s="367"/>
      <c r="AU51" s="371"/>
      <c r="AV51" s="367"/>
      <c r="AW51" s="375"/>
      <c r="AX51" s="375"/>
      <c r="AY51" s="369"/>
      <c r="AZ51" s="367"/>
      <c r="BA51" s="371"/>
      <c r="BB51" s="369"/>
      <c r="BE51" t="s">
        <v>4</v>
      </c>
      <c r="BF51" t="s">
        <v>945</v>
      </c>
    </row>
    <row r="52" spans="1:58" ht="12.75" customHeight="1" outlineLevel="1" x14ac:dyDescent="0.2">
      <c r="A52" s="364" t="s">
        <v>4</v>
      </c>
      <c r="B52" s="365">
        <v>41244</v>
      </c>
      <c r="C52" s="366">
        <f t="shared" si="0"/>
        <v>383211</v>
      </c>
      <c r="D52" s="367">
        <v>343865</v>
      </c>
      <c r="E52" s="369">
        <v>39346</v>
      </c>
      <c r="F52" s="367"/>
      <c r="G52" s="366">
        <f t="shared" ref="G52:G106" si="3">+H52+I52</f>
        <v>295.2</v>
      </c>
      <c r="H52" s="652">
        <v>243.6</v>
      </c>
      <c r="I52" s="653">
        <v>51.6</v>
      </c>
      <c r="J52" s="367"/>
      <c r="K52" s="371">
        <v>256776</v>
      </c>
      <c r="L52" s="369">
        <v>72703</v>
      </c>
      <c r="M52" s="367"/>
      <c r="N52" s="371" t="s">
        <v>160</v>
      </c>
      <c r="O52" s="369" t="s">
        <v>160</v>
      </c>
      <c r="P52" s="367"/>
      <c r="Q52" s="371" t="s">
        <v>160</v>
      </c>
      <c r="R52" s="369" t="s">
        <v>160</v>
      </c>
      <c r="S52" s="367"/>
      <c r="T52" s="371" t="s">
        <v>160</v>
      </c>
      <c r="U52" s="367" t="s">
        <v>160</v>
      </c>
      <c r="V52" s="367" t="s">
        <v>160</v>
      </c>
      <c r="W52" s="367" t="s">
        <v>160</v>
      </c>
      <c r="X52" s="367" t="s">
        <v>160</v>
      </c>
      <c r="Y52" s="375" t="s">
        <v>160</v>
      </c>
      <c r="Z52" s="375" t="s">
        <v>160</v>
      </c>
      <c r="AA52" s="375" t="s">
        <v>160</v>
      </c>
      <c r="AB52" s="369" t="s">
        <v>160</v>
      </c>
      <c r="AC52" s="367"/>
      <c r="AD52" s="365">
        <f t="shared" si="2"/>
        <v>41244</v>
      </c>
      <c r="AE52" s="372"/>
      <c r="AF52" s="373"/>
      <c r="AG52" s="373"/>
      <c r="AH52" s="373"/>
      <c r="AI52" s="373"/>
      <c r="AJ52" s="376"/>
      <c r="AK52" s="376"/>
      <c r="AL52" s="376"/>
      <c r="AM52" s="374"/>
      <c r="AN52" s="367"/>
      <c r="AO52" s="371"/>
      <c r="AP52" s="367"/>
      <c r="AQ52" s="375"/>
      <c r="AR52" s="375"/>
      <c r="AS52" s="369"/>
      <c r="AT52" s="367"/>
      <c r="AU52" s="371"/>
      <c r="AV52" s="367"/>
      <c r="AW52" s="375"/>
      <c r="AX52" s="375"/>
      <c r="AY52" s="369"/>
      <c r="AZ52" s="367"/>
      <c r="BA52" s="371"/>
      <c r="BB52" s="369"/>
      <c r="BE52" t="s">
        <v>4</v>
      </c>
      <c r="BF52" t="s">
        <v>945</v>
      </c>
    </row>
    <row r="53" spans="1:58" ht="12.75" customHeight="1" outlineLevel="1" collapsed="1" x14ac:dyDescent="0.2">
      <c r="A53" s="364" t="s">
        <v>3</v>
      </c>
      <c r="B53" s="365">
        <v>41275</v>
      </c>
      <c r="C53" s="377">
        <f t="shared" si="0"/>
        <v>331527</v>
      </c>
      <c r="D53" s="378">
        <v>297188</v>
      </c>
      <c r="E53" s="379">
        <v>34339</v>
      </c>
      <c r="F53" s="367"/>
      <c r="G53" s="377">
        <f t="shared" si="3"/>
        <v>298</v>
      </c>
      <c r="H53" s="654">
        <v>237.9</v>
      </c>
      <c r="I53" s="655">
        <v>60.1</v>
      </c>
      <c r="J53" s="367"/>
      <c r="K53" s="380">
        <v>276493</v>
      </c>
      <c r="L53" s="379">
        <v>46648</v>
      </c>
      <c r="M53" s="367"/>
      <c r="N53" s="380" t="s">
        <v>160</v>
      </c>
      <c r="O53" s="379" t="s">
        <v>160</v>
      </c>
      <c r="P53" s="367"/>
      <c r="Q53" s="380" t="s">
        <v>160</v>
      </c>
      <c r="R53" s="379" t="s">
        <v>160</v>
      </c>
      <c r="S53" s="367"/>
      <c r="T53" s="380" t="s">
        <v>160</v>
      </c>
      <c r="U53" s="378" t="s">
        <v>160</v>
      </c>
      <c r="V53" s="378" t="s">
        <v>160</v>
      </c>
      <c r="W53" s="378" t="s">
        <v>160</v>
      </c>
      <c r="X53" s="378" t="s">
        <v>160</v>
      </c>
      <c r="Y53" s="378" t="s">
        <v>160</v>
      </c>
      <c r="Z53" s="378" t="s">
        <v>160</v>
      </c>
      <c r="AA53" s="378" t="s">
        <v>160</v>
      </c>
      <c r="AB53" s="379" t="s">
        <v>160</v>
      </c>
      <c r="AC53" s="367"/>
      <c r="AD53" s="365">
        <f t="shared" si="2"/>
        <v>41275</v>
      </c>
      <c r="AE53" s="383" t="s">
        <v>160</v>
      </c>
      <c r="AF53" s="384" t="s">
        <v>160</v>
      </c>
      <c r="AG53" s="384" t="s">
        <v>160</v>
      </c>
      <c r="AH53" s="384" t="s">
        <v>160</v>
      </c>
      <c r="AI53" s="384" t="s">
        <v>160</v>
      </c>
      <c r="AJ53" s="384" t="s">
        <v>160</v>
      </c>
      <c r="AK53" s="384" t="s">
        <v>160</v>
      </c>
      <c r="AL53" s="381" t="s">
        <v>160</v>
      </c>
      <c r="AM53" s="385" t="s">
        <v>160</v>
      </c>
      <c r="AN53" s="367"/>
      <c r="AO53" s="386" t="s">
        <v>160</v>
      </c>
      <c r="AP53" s="381" t="s">
        <v>160</v>
      </c>
      <c r="AQ53" s="381" t="s">
        <v>160</v>
      </c>
      <c r="AR53" s="381" t="s">
        <v>160</v>
      </c>
      <c r="AS53" s="382" t="s">
        <v>160</v>
      </c>
      <c r="AT53" s="367"/>
      <c r="AU53" s="380" t="s">
        <v>160</v>
      </c>
      <c r="AV53" s="381" t="s">
        <v>160</v>
      </c>
      <c r="AW53" s="381" t="s">
        <v>160</v>
      </c>
      <c r="AX53" s="381" t="s">
        <v>160</v>
      </c>
      <c r="AY53" s="382" t="s">
        <v>160</v>
      </c>
      <c r="AZ53" s="367"/>
      <c r="BA53" s="387">
        <f t="shared" ref="BA53:BA84" si="4">+E53/K53</f>
        <v>0.12419482590879335</v>
      </c>
      <c r="BB53" s="388">
        <f t="shared" ref="BB53:BB84" si="5">+L53/D53</f>
        <v>0.15696461499118403</v>
      </c>
      <c r="BE53" t="s">
        <v>3</v>
      </c>
      <c r="BF53" t="s">
        <v>649</v>
      </c>
    </row>
    <row r="54" spans="1:58" ht="12.75" customHeight="1" outlineLevel="1" x14ac:dyDescent="0.2">
      <c r="A54" s="364" t="s">
        <v>3</v>
      </c>
      <c r="B54" s="365">
        <v>41306</v>
      </c>
      <c r="C54" s="377">
        <f t="shared" si="0"/>
        <v>252916</v>
      </c>
      <c r="D54" s="378">
        <v>222731</v>
      </c>
      <c r="E54" s="379">
        <v>30185</v>
      </c>
      <c r="F54" s="367"/>
      <c r="G54" s="377">
        <f t="shared" si="3"/>
        <v>310.3</v>
      </c>
      <c r="H54" s="654">
        <v>243.9</v>
      </c>
      <c r="I54" s="655">
        <v>66.400000000000006</v>
      </c>
      <c r="J54" s="367"/>
      <c r="K54" s="380">
        <v>223926</v>
      </c>
      <c r="L54" s="379">
        <v>37129</v>
      </c>
      <c r="M54" s="367"/>
      <c r="N54" s="380" t="s">
        <v>160</v>
      </c>
      <c r="O54" s="379" t="s">
        <v>160</v>
      </c>
      <c r="P54" s="367"/>
      <c r="Q54" s="380" t="s">
        <v>160</v>
      </c>
      <c r="R54" s="379" t="s">
        <v>160</v>
      </c>
      <c r="S54" s="367"/>
      <c r="T54" s="380" t="s">
        <v>160</v>
      </c>
      <c r="U54" s="378" t="s">
        <v>160</v>
      </c>
      <c r="V54" s="378" t="s">
        <v>160</v>
      </c>
      <c r="W54" s="378" t="s">
        <v>160</v>
      </c>
      <c r="X54" s="378" t="s">
        <v>160</v>
      </c>
      <c r="Y54" s="378" t="s">
        <v>160</v>
      </c>
      <c r="Z54" s="378" t="s">
        <v>160</v>
      </c>
      <c r="AA54" s="378" t="s">
        <v>160</v>
      </c>
      <c r="AB54" s="379" t="s">
        <v>160</v>
      </c>
      <c r="AC54" s="367"/>
      <c r="AD54" s="365">
        <f t="shared" si="2"/>
        <v>41306</v>
      </c>
      <c r="AE54" s="383" t="s">
        <v>160</v>
      </c>
      <c r="AF54" s="384" t="s">
        <v>160</v>
      </c>
      <c r="AG54" s="384" t="s">
        <v>160</v>
      </c>
      <c r="AH54" s="384" t="s">
        <v>160</v>
      </c>
      <c r="AI54" s="384" t="s">
        <v>160</v>
      </c>
      <c r="AJ54" s="384" t="s">
        <v>160</v>
      </c>
      <c r="AK54" s="384" t="s">
        <v>160</v>
      </c>
      <c r="AL54" s="381" t="s">
        <v>160</v>
      </c>
      <c r="AM54" s="385" t="s">
        <v>160</v>
      </c>
      <c r="AN54" s="367"/>
      <c r="AO54" s="386" t="s">
        <v>160</v>
      </c>
      <c r="AP54" s="381" t="s">
        <v>160</v>
      </c>
      <c r="AQ54" s="381" t="s">
        <v>160</v>
      </c>
      <c r="AR54" s="381" t="s">
        <v>160</v>
      </c>
      <c r="AS54" s="382" t="s">
        <v>160</v>
      </c>
      <c r="AT54" s="367"/>
      <c r="AU54" s="380" t="s">
        <v>160</v>
      </c>
      <c r="AV54" s="381" t="s">
        <v>160</v>
      </c>
      <c r="AW54" s="381" t="s">
        <v>160</v>
      </c>
      <c r="AX54" s="381" t="s">
        <v>160</v>
      </c>
      <c r="AY54" s="382" t="s">
        <v>160</v>
      </c>
      <c r="AZ54" s="367"/>
      <c r="BA54" s="387">
        <f t="shared" si="4"/>
        <v>0.13479899609692489</v>
      </c>
      <c r="BB54" s="388">
        <f t="shared" si="5"/>
        <v>0.16669884299895391</v>
      </c>
      <c r="BE54" t="s">
        <v>3</v>
      </c>
      <c r="BF54" t="s">
        <v>649</v>
      </c>
    </row>
    <row r="55" spans="1:58" ht="12.75" customHeight="1" outlineLevel="1" x14ac:dyDescent="0.2">
      <c r="A55" s="364" t="s">
        <v>3</v>
      </c>
      <c r="B55" s="365">
        <v>41334</v>
      </c>
      <c r="C55" s="377">
        <f t="shared" si="0"/>
        <v>309486</v>
      </c>
      <c r="D55" s="378">
        <v>268595</v>
      </c>
      <c r="E55" s="379">
        <v>40891</v>
      </c>
      <c r="F55" s="367"/>
      <c r="G55" s="377">
        <f t="shared" si="3"/>
        <v>331.5</v>
      </c>
      <c r="H55" s="654">
        <v>262.7</v>
      </c>
      <c r="I55" s="655">
        <v>68.8</v>
      </c>
      <c r="J55" s="367"/>
      <c r="K55" s="380">
        <v>308612</v>
      </c>
      <c r="L55" s="379">
        <v>53301</v>
      </c>
      <c r="M55" s="367"/>
      <c r="N55" s="380" t="s">
        <v>160</v>
      </c>
      <c r="O55" s="379" t="s">
        <v>160</v>
      </c>
      <c r="P55" s="367"/>
      <c r="Q55" s="380" t="s">
        <v>160</v>
      </c>
      <c r="R55" s="379" t="s">
        <v>160</v>
      </c>
      <c r="S55" s="367"/>
      <c r="T55" s="380" t="s">
        <v>160</v>
      </c>
      <c r="U55" s="378" t="s">
        <v>160</v>
      </c>
      <c r="V55" s="378" t="s">
        <v>160</v>
      </c>
      <c r="W55" s="378" t="s">
        <v>160</v>
      </c>
      <c r="X55" s="378" t="s">
        <v>160</v>
      </c>
      <c r="Y55" s="378" t="s">
        <v>160</v>
      </c>
      <c r="Z55" s="378" t="s">
        <v>160</v>
      </c>
      <c r="AA55" s="378" t="s">
        <v>160</v>
      </c>
      <c r="AB55" s="379" t="s">
        <v>160</v>
      </c>
      <c r="AC55" s="367"/>
      <c r="AD55" s="365">
        <f t="shared" si="2"/>
        <v>41334</v>
      </c>
      <c r="AE55" s="383" t="s">
        <v>160</v>
      </c>
      <c r="AF55" s="384" t="s">
        <v>160</v>
      </c>
      <c r="AG55" s="384" t="s">
        <v>160</v>
      </c>
      <c r="AH55" s="384" t="s">
        <v>160</v>
      </c>
      <c r="AI55" s="384" t="s">
        <v>160</v>
      </c>
      <c r="AJ55" s="384" t="s">
        <v>160</v>
      </c>
      <c r="AK55" s="384" t="s">
        <v>160</v>
      </c>
      <c r="AL55" s="381" t="s">
        <v>160</v>
      </c>
      <c r="AM55" s="385" t="s">
        <v>160</v>
      </c>
      <c r="AN55" s="367"/>
      <c r="AO55" s="386" t="s">
        <v>160</v>
      </c>
      <c r="AP55" s="381" t="s">
        <v>160</v>
      </c>
      <c r="AQ55" s="381" t="s">
        <v>160</v>
      </c>
      <c r="AR55" s="381" t="s">
        <v>160</v>
      </c>
      <c r="AS55" s="382" t="s">
        <v>160</v>
      </c>
      <c r="AT55" s="367"/>
      <c r="AU55" s="380" t="s">
        <v>160</v>
      </c>
      <c r="AV55" s="381" t="s">
        <v>160</v>
      </c>
      <c r="AW55" s="381" t="s">
        <v>160</v>
      </c>
      <c r="AX55" s="381" t="s">
        <v>160</v>
      </c>
      <c r="AY55" s="382" t="s">
        <v>160</v>
      </c>
      <c r="AZ55" s="367"/>
      <c r="BA55" s="387">
        <f t="shared" si="4"/>
        <v>0.13249970837167704</v>
      </c>
      <c r="BB55" s="388">
        <f t="shared" si="5"/>
        <v>0.19844375360673133</v>
      </c>
      <c r="BE55" t="s">
        <v>3</v>
      </c>
      <c r="BF55" t="s">
        <v>649</v>
      </c>
    </row>
    <row r="56" spans="1:58" ht="12.75" customHeight="1" outlineLevel="1" x14ac:dyDescent="0.2">
      <c r="A56" s="364" t="s">
        <v>2</v>
      </c>
      <c r="B56" s="365">
        <v>41365</v>
      </c>
      <c r="C56" s="377">
        <f t="shared" si="0"/>
        <v>367214</v>
      </c>
      <c r="D56" s="378">
        <v>316988</v>
      </c>
      <c r="E56" s="379">
        <v>50226</v>
      </c>
      <c r="F56" s="367"/>
      <c r="G56" s="377">
        <f t="shared" si="3"/>
        <v>362.6</v>
      </c>
      <c r="H56" s="654">
        <v>271.60000000000002</v>
      </c>
      <c r="I56" s="655">
        <v>91</v>
      </c>
      <c r="J56" s="367"/>
      <c r="K56" s="380">
        <v>330665</v>
      </c>
      <c r="L56" s="379">
        <v>68983</v>
      </c>
      <c r="M56" s="367"/>
      <c r="N56" s="380" t="s">
        <v>160</v>
      </c>
      <c r="O56" s="379" t="s">
        <v>160</v>
      </c>
      <c r="P56" s="367"/>
      <c r="Q56" s="380" t="s">
        <v>160</v>
      </c>
      <c r="R56" s="379" t="s">
        <v>160</v>
      </c>
      <c r="S56" s="367"/>
      <c r="T56" s="380" t="s">
        <v>160</v>
      </c>
      <c r="U56" s="378" t="s">
        <v>160</v>
      </c>
      <c r="V56" s="378" t="s">
        <v>160</v>
      </c>
      <c r="W56" s="378" t="s">
        <v>160</v>
      </c>
      <c r="X56" s="378" t="s">
        <v>160</v>
      </c>
      <c r="Y56" s="378" t="s">
        <v>160</v>
      </c>
      <c r="Z56" s="378" t="s">
        <v>160</v>
      </c>
      <c r="AA56" s="378" t="s">
        <v>160</v>
      </c>
      <c r="AB56" s="379" t="s">
        <v>160</v>
      </c>
      <c r="AC56" s="367"/>
      <c r="AD56" s="365">
        <f t="shared" si="2"/>
        <v>41365</v>
      </c>
      <c r="AE56" s="383" t="s">
        <v>160</v>
      </c>
      <c r="AF56" s="384" t="s">
        <v>160</v>
      </c>
      <c r="AG56" s="384" t="s">
        <v>160</v>
      </c>
      <c r="AH56" s="384" t="s">
        <v>160</v>
      </c>
      <c r="AI56" s="384" t="s">
        <v>160</v>
      </c>
      <c r="AJ56" s="384" t="s">
        <v>160</v>
      </c>
      <c r="AK56" s="384" t="s">
        <v>160</v>
      </c>
      <c r="AL56" s="381" t="s">
        <v>160</v>
      </c>
      <c r="AM56" s="385" t="s">
        <v>160</v>
      </c>
      <c r="AN56" s="367"/>
      <c r="AO56" s="386" t="s">
        <v>160</v>
      </c>
      <c r="AP56" s="381" t="s">
        <v>160</v>
      </c>
      <c r="AQ56" s="381" t="s">
        <v>160</v>
      </c>
      <c r="AR56" s="381" t="s">
        <v>160</v>
      </c>
      <c r="AS56" s="382" t="s">
        <v>160</v>
      </c>
      <c r="AT56" s="367"/>
      <c r="AU56" s="380" t="s">
        <v>160</v>
      </c>
      <c r="AV56" s="381" t="s">
        <v>160</v>
      </c>
      <c r="AW56" s="381" t="s">
        <v>160</v>
      </c>
      <c r="AX56" s="381" t="s">
        <v>160</v>
      </c>
      <c r="AY56" s="382" t="s">
        <v>160</v>
      </c>
      <c r="AZ56" s="367"/>
      <c r="BA56" s="387">
        <f t="shared" si="4"/>
        <v>0.15189391075559858</v>
      </c>
      <c r="BB56" s="388">
        <f t="shared" si="5"/>
        <v>0.21762022537130743</v>
      </c>
      <c r="BE56" t="s">
        <v>2</v>
      </c>
      <c r="BF56" t="s">
        <v>650</v>
      </c>
    </row>
    <row r="57" spans="1:58" ht="12.75" customHeight="1" outlineLevel="1" x14ac:dyDescent="0.2">
      <c r="A57" s="364" t="s">
        <v>2</v>
      </c>
      <c r="B57" s="365">
        <v>41395</v>
      </c>
      <c r="C57" s="377">
        <f t="shared" si="0"/>
        <v>346346</v>
      </c>
      <c r="D57" s="378">
        <v>300943</v>
      </c>
      <c r="E57" s="379">
        <v>45403</v>
      </c>
      <c r="F57" s="367"/>
      <c r="G57" s="377">
        <f t="shared" si="3"/>
        <v>385.29999999999995</v>
      </c>
      <c r="H57" s="654">
        <v>290.39999999999998</v>
      </c>
      <c r="I57" s="655">
        <v>94.9</v>
      </c>
      <c r="J57" s="367"/>
      <c r="K57" s="380">
        <v>324289</v>
      </c>
      <c r="L57" s="379">
        <v>67482</v>
      </c>
      <c r="M57" s="367"/>
      <c r="N57" s="380" t="s">
        <v>160</v>
      </c>
      <c r="O57" s="379" t="s">
        <v>160</v>
      </c>
      <c r="P57" s="367"/>
      <c r="Q57" s="380" t="s">
        <v>160</v>
      </c>
      <c r="R57" s="379" t="s">
        <v>160</v>
      </c>
      <c r="S57" s="367"/>
      <c r="T57" s="380" t="s">
        <v>160</v>
      </c>
      <c r="U57" s="378" t="s">
        <v>160</v>
      </c>
      <c r="V57" s="378" t="s">
        <v>160</v>
      </c>
      <c r="W57" s="378" t="s">
        <v>160</v>
      </c>
      <c r="X57" s="378" t="s">
        <v>160</v>
      </c>
      <c r="Y57" s="378" t="s">
        <v>160</v>
      </c>
      <c r="Z57" s="378" t="s">
        <v>160</v>
      </c>
      <c r="AA57" s="378" t="s">
        <v>160</v>
      </c>
      <c r="AB57" s="379" t="s">
        <v>160</v>
      </c>
      <c r="AC57" s="367"/>
      <c r="AD57" s="365">
        <f t="shared" si="2"/>
        <v>41395</v>
      </c>
      <c r="AE57" s="383" t="s">
        <v>160</v>
      </c>
      <c r="AF57" s="384" t="s">
        <v>160</v>
      </c>
      <c r="AG57" s="384" t="s">
        <v>160</v>
      </c>
      <c r="AH57" s="384" t="s">
        <v>160</v>
      </c>
      <c r="AI57" s="384" t="s">
        <v>160</v>
      </c>
      <c r="AJ57" s="384" t="s">
        <v>160</v>
      </c>
      <c r="AK57" s="384" t="s">
        <v>160</v>
      </c>
      <c r="AL57" s="381" t="s">
        <v>160</v>
      </c>
      <c r="AM57" s="385" t="s">
        <v>160</v>
      </c>
      <c r="AN57" s="367"/>
      <c r="AO57" s="386" t="s">
        <v>160</v>
      </c>
      <c r="AP57" s="381" t="s">
        <v>160</v>
      </c>
      <c r="AQ57" s="381" t="s">
        <v>160</v>
      </c>
      <c r="AR57" s="381" t="s">
        <v>160</v>
      </c>
      <c r="AS57" s="382" t="s">
        <v>160</v>
      </c>
      <c r="AT57" s="367"/>
      <c r="AU57" s="380" t="s">
        <v>160</v>
      </c>
      <c r="AV57" s="381" t="s">
        <v>160</v>
      </c>
      <c r="AW57" s="381" t="s">
        <v>160</v>
      </c>
      <c r="AX57" s="381" t="s">
        <v>160</v>
      </c>
      <c r="AY57" s="382" t="s">
        <v>160</v>
      </c>
      <c r="AZ57" s="367"/>
      <c r="BA57" s="387">
        <f t="shared" si="4"/>
        <v>0.14000783251975862</v>
      </c>
      <c r="BB57" s="388">
        <f t="shared" si="5"/>
        <v>0.22423515416540674</v>
      </c>
      <c r="BE57" t="s">
        <v>2</v>
      </c>
      <c r="BF57" t="s">
        <v>650</v>
      </c>
    </row>
    <row r="58" spans="1:58" ht="12.75" customHeight="1" outlineLevel="1" x14ac:dyDescent="0.2">
      <c r="A58" s="364" t="s">
        <v>2</v>
      </c>
      <c r="B58" s="365">
        <v>41426</v>
      </c>
      <c r="C58" s="377">
        <f t="shared" si="0"/>
        <v>349103</v>
      </c>
      <c r="D58" s="378">
        <v>303087</v>
      </c>
      <c r="E58" s="379">
        <v>46016</v>
      </c>
      <c r="F58" s="367"/>
      <c r="G58" s="377">
        <f t="shared" si="3"/>
        <v>415.29999999999995</v>
      </c>
      <c r="H58" s="654">
        <v>321.7</v>
      </c>
      <c r="I58" s="655">
        <v>93.6</v>
      </c>
      <c r="J58" s="367"/>
      <c r="K58" s="380">
        <v>303642</v>
      </c>
      <c r="L58" s="379">
        <v>68670</v>
      </c>
      <c r="M58" s="367"/>
      <c r="N58" s="380" t="s">
        <v>160</v>
      </c>
      <c r="O58" s="379" t="s">
        <v>160</v>
      </c>
      <c r="P58" s="367"/>
      <c r="Q58" s="380" t="s">
        <v>160</v>
      </c>
      <c r="R58" s="379" t="s">
        <v>160</v>
      </c>
      <c r="S58" s="367"/>
      <c r="T58" s="380" t="s">
        <v>160</v>
      </c>
      <c r="U58" s="378" t="s">
        <v>160</v>
      </c>
      <c r="V58" s="378" t="s">
        <v>160</v>
      </c>
      <c r="W58" s="378" t="s">
        <v>160</v>
      </c>
      <c r="X58" s="378" t="s">
        <v>160</v>
      </c>
      <c r="Y58" s="378" t="s">
        <v>160</v>
      </c>
      <c r="Z58" s="378" t="s">
        <v>160</v>
      </c>
      <c r="AA58" s="378" t="s">
        <v>160</v>
      </c>
      <c r="AB58" s="379" t="s">
        <v>160</v>
      </c>
      <c r="AC58" s="367"/>
      <c r="AD58" s="365">
        <f t="shared" si="2"/>
        <v>41426</v>
      </c>
      <c r="AE58" s="383" t="s">
        <v>160</v>
      </c>
      <c r="AF58" s="384" t="s">
        <v>160</v>
      </c>
      <c r="AG58" s="384" t="s">
        <v>160</v>
      </c>
      <c r="AH58" s="384" t="s">
        <v>160</v>
      </c>
      <c r="AI58" s="384" t="s">
        <v>160</v>
      </c>
      <c r="AJ58" s="384" t="s">
        <v>160</v>
      </c>
      <c r="AK58" s="384" t="s">
        <v>160</v>
      </c>
      <c r="AL58" s="381" t="s">
        <v>160</v>
      </c>
      <c r="AM58" s="385" t="s">
        <v>160</v>
      </c>
      <c r="AN58" s="367"/>
      <c r="AO58" s="386" t="s">
        <v>160</v>
      </c>
      <c r="AP58" s="381" t="s">
        <v>160</v>
      </c>
      <c r="AQ58" s="381" t="s">
        <v>160</v>
      </c>
      <c r="AR58" s="381" t="s">
        <v>160</v>
      </c>
      <c r="AS58" s="382" t="s">
        <v>160</v>
      </c>
      <c r="AT58" s="367"/>
      <c r="AU58" s="380" t="s">
        <v>160</v>
      </c>
      <c r="AV58" s="381" t="s">
        <v>160</v>
      </c>
      <c r="AW58" s="381" t="s">
        <v>160</v>
      </c>
      <c r="AX58" s="381" t="s">
        <v>160</v>
      </c>
      <c r="AY58" s="382" t="s">
        <v>160</v>
      </c>
      <c r="AZ58" s="367"/>
      <c r="BA58" s="387">
        <f t="shared" si="4"/>
        <v>0.15154688745298739</v>
      </c>
      <c r="BB58" s="388">
        <f t="shared" si="5"/>
        <v>0.22656860901325362</v>
      </c>
      <c r="BE58" t="s">
        <v>2</v>
      </c>
      <c r="BF58" t="s">
        <v>650</v>
      </c>
    </row>
    <row r="59" spans="1:58" ht="12.75" customHeight="1" outlineLevel="1" x14ac:dyDescent="0.2">
      <c r="A59" s="364" t="s">
        <v>1</v>
      </c>
      <c r="B59" s="365">
        <v>41456</v>
      </c>
      <c r="C59" s="377">
        <f t="shared" si="0"/>
        <v>375071</v>
      </c>
      <c r="D59" s="378">
        <v>324295</v>
      </c>
      <c r="E59" s="379">
        <v>50776</v>
      </c>
      <c r="F59" s="367"/>
      <c r="G59" s="377">
        <f t="shared" si="3"/>
        <v>395.9</v>
      </c>
      <c r="H59" s="654">
        <v>297.89999999999998</v>
      </c>
      <c r="I59" s="655">
        <v>98</v>
      </c>
      <c r="J59" s="367"/>
      <c r="K59" s="380">
        <v>296414</v>
      </c>
      <c r="L59" s="379">
        <v>69107</v>
      </c>
      <c r="M59" s="367"/>
      <c r="N59" s="380" t="s">
        <v>160</v>
      </c>
      <c r="O59" s="379" t="s">
        <v>160</v>
      </c>
      <c r="P59" s="367"/>
      <c r="Q59" s="380" t="s">
        <v>160</v>
      </c>
      <c r="R59" s="379" t="s">
        <v>160</v>
      </c>
      <c r="S59" s="367"/>
      <c r="T59" s="380" t="s">
        <v>160</v>
      </c>
      <c r="U59" s="378" t="s">
        <v>160</v>
      </c>
      <c r="V59" s="378" t="s">
        <v>160</v>
      </c>
      <c r="W59" s="378" t="s">
        <v>160</v>
      </c>
      <c r="X59" s="378" t="s">
        <v>160</v>
      </c>
      <c r="Y59" s="378" t="s">
        <v>160</v>
      </c>
      <c r="Z59" s="378" t="s">
        <v>160</v>
      </c>
      <c r="AA59" s="378" t="s">
        <v>160</v>
      </c>
      <c r="AB59" s="379" t="s">
        <v>160</v>
      </c>
      <c r="AC59" s="367"/>
      <c r="AD59" s="365">
        <f t="shared" si="2"/>
        <v>41456</v>
      </c>
      <c r="AE59" s="383" t="s">
        <v>160</v>
      </c>
      <c r="AF59" s="384" t="s">
        <v>160</v>
      </c>
      <c r="AG59" s="384" t="s">
        <v>160</v>
      </c>
      <c r="AH59" s="384" t="s">
        <v>160</v>
      </c>
      <c r="AI59" s="384" t="s">
        <v>160</v>
      </c>
      <c r="AJ59" s="384" t="s">
        <v>160</v>
      </c>
      <c r="AK59" s="384" t="s">
        <v>160</v>
      </c>
      <c r="AL59" s="381" t="s">
        <v>160</v>
      </c>
      <c r="AM59" s="385" t="s">
        <v>160</v>
      </c>
      <c r="AN59" s="367"/>
      <c r="AO59" s="386" t="s">
        <v>160</v>
      </c>
      <c r="AP59" s="381" t="s">
        <v>160</v>
      </c>
      <c r="AQ59" s="381" t="s">
        <v>160</v>
      </c>
      <c r="AR59" s="381" t="s">
        <v>160</v>
      </c>
      <c r="AS59" s="382" t="s">
        <v>160</v>
      </c>
      <c r="AT59" s="367"/>
      <c r="AU59" s="380" t="s">
        <v>160</v>
      </c>
      <c r="AV59" s="381" t="s">
        <v>160</v>
      </c>
      <c r="AW59" s="381" t="s">
        <v>160</v>
      </c>
      <c r="AX59" s="381" t="s">
        <v>160</v>
      </c>
      <c r="AY59" s="382" t="s">
        <v>160</v>
      </c>
      <c r="AZ59" s="367"/>
      <c r="BA59" s="387">
        <f t="shared" si="4"/>
        <v>0.17130095069733547</v>
      </c>
      <c r="BB59" s="388">
        <f t="shared" si="5"/>
        <v>0.21309918438458811</v>
      </c>
      <c r="BE59" t="s">
        <v>1</v>
      </c>
      <c r="BF59" t="s">
        <v>651</v>
      </c>
    </row>
    <row r="60" spans="1:58" ht="12.75" customHeight="1" outlineLevel="1" x14ac:dyDescent="0.2">
      <c r="A60" s="364" t="s">
        <v>1</v>
      </c>
      <c r="B60" s="365">
        <v>41487</v>
      </c>
      <c r="C60" s="377">
        <f t="shared" si="0"/>
        <v>373342</v>
      </c>
      <c r="D60" s="378">
        <v>313008</v>
      </c>
      <c r="E60" s="379">
        <v>60334</v>
      </c>
      <c r="F60" s="367"/>
      <c r="G60" s="377">
        <f t="shared" si="3"/>
        <v>400.6</v>
      </c>
      <c r="H60" s="654">
        <v>297.5</v>
      </c>
      <c r="I60" s="655">
        <v>103.1</v>
      </c>
      <c r="J60" s="367"/>
      <c r="K60" s="380">
        <v>321036</v>
      </c>
      <c r="L60" s="379">
        <v>62342</v>
      </c>
      <c r="M60" s="367"/>
      <c r="N60" s="380" t="s">
        <v>160</v>
      </c>
      <c r="O60" s="379" t="s">
        <v>160</v>
      </c>
      <c r="P60" s="367"/>
      <c r="Q60" s="380" t="s">
        <v>160</v>
      </c>
      <c r="R60" s="379" t="s">
        <v>160</v>
      </c>
      <c r="S60" s="367"/>
      <c r="T60" s="380" t="s">
        <v>160</v>
      </c>
      <c r="U60" s="378" t="s">
        <v>160</v>
      </c>
      <c r="V60" s="378" t="s">
        <v>160</v>
      </c>
      <c r="W60" s="378" t="s">
        <v>160</v>
      </c>
      <c r="X60" s="378" t="s">
        <v>160</v>
      </c>
      <c r="Y60" s="378" t="s">
        <v>160</v>
      </c>
      <c r="Z60" s="378" t="s">
        <v>160</v>
      </c>
      <c r="AA60" s="378" t="s">
        <v>160</v>
      </c>
      <c r="AB60" s="379" t="s">
        <v>160</v>
      </c>
      <c r="AC60" s="367"/>
      <c r="AD60" s="365">
        <f t="shared" si="2"/>
        <v>41487</v>
      </c>
      <c r="AE60" s="383" t="s">
        <v>160</v>
      </c>
      <c r="AF60" s="384" t="s">
        <v>160</v>
      </c>
      <c r="AG60" s="384" t="s">
        <v>160</v>
      </c>
      <c r="AH60" s="384" t="s">
        <v>160</v>
      </c>
      <c r="AI60" s="384" t="s">
        <v>160</v>
      </c>
      <c r="AJ60" s="384" t="s">
        <v>160</v>
      </c>
      <c r="AK60" s="384" t="s">
        <v>160</v>
      </c>
      <c r="AL60" s="381" t="s">
        <v>160</v>
      </c>
      <c r="AM60" s="385" t="s">
        <v>160</v>
      </c>
      <c r="AN60" s="367"/>
      <c r="AO60" s="386" t="s">
        <v>160</v>
      </c>
      <c r="AP60" s="381" t="s">
        <v>160</v>
      </c>
      <c r="AQ60" s="381" t="s">
        <v>160</v>
      </c>
      <c r="AR60" s="381" t="s">
        <v>160</v>
      </c>
      <c r="AS60" s="382" t="s">
        <v>160</v>
      </c>
      <c r="AT60" s="367"/>
      <c r="AU60" s="380" t="s">
        <v>160</v>
      </c>
      <c r="AV60" s="381" t="s">
        <v>160</v>
      </c>
      <c r="AW60" s="381" t="s">
        <v>160</v>
      </c>
      <c r="AX60" s="381" t="s">
        <v>160</v>
      </c>
      <c r="AY60" s="382" t="s">
        <v>160</v>
      </c>
      <c r="AZ60" s="367"/>
      <c r="BA60" s="387">
        <f t="shared" si="4"/>
        <v>0.18793530943570191</v>
      </c>
      <c r="BB60" s="388">
        <f t="shared" si="5"/>
        <v>0.19917062822675458</v>
      </c>
      <c r="BE60" t="s">
        <v>1</v>
      </c>
      <c r="BF60" t="s">
        <v>651</v>
      </c>
    </row>
    <row r="61" spans="1:58" ht="12.75" customHeight="1" outlineLevel="1" x14ac:dyDescent="0.2">
      <c r="A61" s="364" t="s">
        <v>1</v>
      </c>
      <c r="B61" s="365">
        <v>41518</v>
      </c>
      <c r="C61" s="377">
        <f t="shared" si="0"/>
        <v>337162</v>
      </c>
      <c r="D61" s="378">
        <v>294419</v>
      </c>
      <c r="E61" s="379">
        <v>42743</v>
      </c>
      <c r="F61" s="367"/>
      <c r="G61" s="377">
        <f t="shared" si="3"/>
        <v>420.7</v>
      </c>
      <c r="H61" s="654">
        <v>305.7</v>
      </c>
      <c r="I61" s="655">
        <v>115</v>
      </c>
      <c r="J61" s="367"/>
      <c r="K61" s="380">
        <v>302381</v>
      </c>
      <c r="L61" s="379">
        <v>58026</v>
      </c>
      <c r="M61" s="367"/>
      <c r="N61" s="380" t="s">
        <v>160</v>
      </c>
      <c r="O61" s="379" t="s">
        <v>160</v>
      </c>
      <c r="P61" s="367"/>
      <c r="Q61" s="380" t="s">
        <v>160</v>
      </c>
      <c r="R61" s="379" t="s">
        <v>160</v>
      </c>
      <c r="S61" s="367"/>
      <c r="T61" s="380" t="s">
        <v>160</v>
      </c>
      <c r="U61" s="378" t="s">
        <v>160</v>
      </c>
      <c r="V61" s="378" t="s">
        <v>160</v>
      </c>
      <c r="W61" s="378" t="s">
        <v>160</v>
      </c>
      <c r="X61" s="378" t="s">
        <v>160</v>
      </c>
      <c r="Y61" s="378" t="s">
        <v>160</v>
      </c>
      <c r="Z61" s="378" t="s">
        <v>160</v>
      </c>
      <c r="AA61" s="378" t="s">
        <v>160</v>
      </c>
      <c r="AB61" s="379" t="s">
        <v>160</v>
      </c>
      <c r="AC61" s="367"/>
      <c r="AD61" s="365">
        <f t="shared" si="2"/>
        <v>41518</v>
      </c>
      <c r="AE61" s="383" t="s">
        <v>160</v>
      </c>
      <c r="AF61" s="384" t="s">
        <v>160</v>
      </c>
      <c r="AG61" s="384" t="s">
        <v>160</v>
      </c>
      <c r="AH61" s="384" t="s">
        <v>160</v>
      </c>
      <c r="AI61" s="384" t="s">
        <v>160</v>
      </c>
      <c r="AJ61" s="384" t="s">
        <v>160</v>
      </c>
      <c r="AK61" s="384" t="s">
        <v>160</v>
      </c>
      <c r="AL61" s="381" t="s">
        <v>160</v>
      </c>
      <c r="AM61" s="385" t="s">
        <v>160</v>
      </c>
      <c r="AN61" s="367"/>
      <c r="AO61" s="386" t="s">
        <v>160</v>
      </c>
      <c r="AP61" s="381" t="s">
        <v>160</v>
      </c>
      <c r="AQ61" s="381" t="s">
        <v>160</v>
      </c>
      <c r="AR61" s="381" t="s">
        <v>160</v>
      </c>
      <c r="AS61" s="382" t="s">
        <v>160</v>
      </c>
      <c r="AT61" s="367"/>
      <c r="AU61" s="380" t="s">
        <v>160</v>
      </c>
      <c r="AV61" s="381" t="s">
        <v>160</v>
      </c>
      <c r="AW61" s="381" t="s">
        <v>160</v>
      </c>
      <c r="AX61" s="381" t="s">
        <v>160</v>
      </c>
      <c r="AY61" s="382" t="s">
        <v>160</v>
      </c>
      <c r="AZ61" s="367"/>
      <c r="BA61" s="387">
        <f t="shared" si="4"/>
        <v>0.14135478088901088</v>
      </c>
      <c r="BB61" s="388">
        <f t="shared" si="5"/>
        <v>0.19708646520774814</v>
      </c>
      <c r="BE61" t="s">
        <v>1</v>
      </c>
      <c r="BF61" t="s">
        <v>651</v>
      </c>
    </row>
    <row r="62" spans="1:58" ht="12.75" customHeight="1" outlineLevel="1" x14ac:dyDescent="0.2">
      <c r="A62" s="364" t="s">
        <v>0</v>
      </c>
      <c r="B62" s="365">
        <v>41548</v>
      </c>
      <c r="C62" s="377">
        <f t="shared" si="0"/>
        <v>362259</v>
      </c>
      <c r="D62" s="378">
        <v>313873</v>
      </c>
      <c r="E62" s="379">
        <v>48386</v>
      </c>
      <c r="F62" s="367"/>
      <c r="G62" s="377">
        <f t="shared" si="3"/>
        <v>439.7</v>
      </c>
      <c r="H62" s="654">
        <v>305</v>
      </c>
      <c r="I62" s="655">
        <v>134.69999999999999</v>
      </c>
      <c r="J62" s="367"/>
      <c r="K62" s="380">
        <v>300707</v>
      </c>
      <c r="L62" s="379">
        <v>76505</v>
      </c>
      <c r="M62" s="367"/>
      <c r="N62" s="380" t="s">
        <v>160</v>
      </c>
      <c r="O62" s="379" t="s">
        <v>160</v>
      </c>
      <c r="P62" s="367"/>
      <c r="Q62" s="380" t="s">
        <v>160</v>
      </c>
      <c r="R62" s="379" t="s">
        <v>160</v>
      </c>
      <c r="S62" s="367"/>
      <c r="T62" s="380" t="s">
        <v>160</v>
      </c>
      <c r="U62" s="378" t="s">
        <v>160</v>
      </c>
      <c r="V62" s="378" t="s">
        <v>160</v>
      </c>
      <c r="W62" s="378" t="s">
        <v>160</v>
      </c>
      <c r="X62" s="378" t="s">
        <v>160</v>
      </c>
      <c r="Y62" s="378" t="s">
        <v>160</v>
      </c>
      <c r="Z62" s="378" t="s">
        <v>160</v>
      </c>
      <c r="AA62" s="378" t="s">
        <v>160</v>
      </c>
      <c r="AB62" s="379" t="s">
        <v>160</v>
      </c>
      <c r="AC62" s="367"/>
      <c r="AD62" s="365">
        <f t="shared" si="2"/>
        <v>41548</v>
      </c>
      <c r="AE62" s="383" t="s">
        <v>160</v>
      </c>
      <c r="AF62" s="384" t="s">
        <v>160</v>
      </c>
      <c r="AG62" s="384" t="s">
        <v>160</v>
      </c>
      <c r="AH62" s="384" t="s">
        <v>160</v>
      </c>
      <c r="AI62" s="384" t="s">
        <v>160</v>
      </c>
      <c r="AJ62" s="384" t="s">
        <v>160</v>
      </c>
      <c r="AK62" s="384" t="s">
        <v>160</v>
      </c>
      <c r="AL62" s="381" t="s">
        <v>160</v>
      </c>
      <c r="AM62" s="385" t="s">
        <v>160</v>
      </c>
      <c r="AN62" s="367"/>
      <c r="AO62" s="386" t="s">
        <v>160</v>
      </c>
      <c r="AP62" s="381" t="s">
        <v>160</v>
      </c>
      <c r="AQ62" s="381" t="s">
        <v>160</v>
      </c>
      <c r="AR62" s="381" t="s">
        <v>160</v>
      </c>
      <c r="AS62" s="382" t="s">
        <v>160</v>
      </c>
      <c r="AT62" s="367"/>
      <c r="AU62" s="380" t="s">
        <v>160</v>
      </c>
      <c r="AV62" s="381" t="s">
        <v>160</v>
      </c>
      <c r="AW62" s="381" t="s">
        <v>160</v>
      </c>
      <c r="AX62" s="381" t="s">
        <v>160</v>
      </c>
      <c r="AY62" s="382" t="s">
        <v>160</v>
      </c>
      <c r="AZ62" s="367"/>
      <c r="BA62" s="387">
        <f t="shared" si="4"/>
        <v>0.16090746141592979</v>
      </c>
      <c r="BB62" s="388">
        <f t="shared" si="5"/>
        <v>0.24374508160944075</v>
      </c>
      <c r="BE62" t="s">
        <v>0</v>
      </c>
      <c r="BF62" t="s">
        <v>652</v>
      </c>
    </row>
    <row r="63" spans="1:58" ht="12.75" customHeight="1" outlineLevel="1" x14ac:dyDescent="0.2">
      <c r="A63" s="364" t="s">
        <v>0</v>
      </c>
      <c r="B63" s="365">
        <v>41579</v>
      </c>
      <c r="C63" s="377">
        <f t="shared" si="0"/>
        <v>330361</v>
      </c>
      <c r="D63" s="378">
        <v>288546</v>
      </c>
      <c r="E63" s="379">
        <v>41815</v>
      </c>
      <c r="F63" s="367"/>
      <c r="G63" s="377">
        <f t="shared" si="3"/>
        <v>423.5</v>
      </c>
      <c r="H63" s="654">
        <v>299.3</v>
      </c>
      <c r="I63" s="655">
        <v>124.2</v>
      </c>
      <c r="J63" s="367"/>
      <c r="K63" s="380">
        <v>275122</v>
      </c>
      <c r="L63" s="379">
        <v>56288</v>
      </c>
      <c r="M63" s="367"/>
      <c r="N63" s="380" t="s">
        <v>160</v>
      </c>
      <c r="O63" s="379" t="s">
        <v>160</v>
      </c>
      <c r="P63" s="367"/>
      <c r="Q63" s="380" t="s">
        <v>160</v>
      </c>
      <c r="R63" s="379" t="s">
        <v>160</v>
      </c>
      <c r="S63" s="367"/>
      <c r="T63" s="380" t="s">
        <v>160</v>
      </c>
      <c r="U63" s="378" t="s">
        <v>160</v>
      </c>
      <c r="V63" s="378" t="s">
        <v>160</v>
      </c>
      <c r="W63" s="378" t="s">
        <v>160</v>
      </c>
      <c r="X63" s="378" t="s">
        <v>160</v>
      </c>
      <c r="Y63" s="378" t="s">
        <v>160</v>
      </c>
      <c r="Z63" s="378" t="s">
        <v>160</v>
      </c>
      <c r="AA63" s="378" t="s">
        <v>160</v>
      </c>
      <c r="AB63" s="379" t="s">
        <v>160</v>
      </c>
      <c r="AC63" s="367"/>
      <c r="AD63" s="365">
        <f t="shared" si="2"/>
        <v>41579</v>
      </c>
      <c r="AE63" s="383" t="s">
        <v>160</v>
      </c>
      <c r="AF63" s="384" t="s">
        <v>160</v>
      </c>
      <c r="AG63" s="384" t="s">
        <v>160</v>
      </c>
      <c r="AH63" s="384" t="s">
        <v>160</v>
      </c>
      <c r="AI63" s="384" t="s">
        <v>160</v>
      </c>
      <c r="AJ63" s="384" t="s">
        <v>160</v>
      </c>
      <c r="AK63" s="384" t="s">
        <v>160</v>
      </c>
      <c r="AL63" s="381" t="s">
        <v>160</v>
      </c>
      <c r="AM63" s="385" t="s">
        <v>160</v>
      </c>
      <c r="AN63" s="367"/>
      <c r="AO63" s="386" t="s">
        <v>160</v>
      </c>
      <c r="AP63" s="381" t="s">
        <v>160</v>
      </c>
      <c r="AQ63" s="381" t="s">
        <v>160</v>
      </c>
      <c r="AR63" s="381" t="s">
        <v>160</v>
      </c>
      <c r="AS63" s="382" t="s">
        <v>160</v>
      </c>
      <c r="AT63" s="367"/>
      <c r="AU63" s="380" t="s">
        <v>160</v>
      </c>
      <c r="AV63" s="381" t="s">
        <v>160</v>
      </c>
      <c r="AW63" s="381" t="s">
        <v>160</v>
      </c>
      <c r="AX63" s="381" t="s">
        <v>160</v>
      </c>
      <c r="AY63" s="382" t="s">
        <v>160</v>
      </c>
      <c r="AZ63" s="367"/>
      <c r="BA63" s="387">
        <f t="shared" si="4"/>
        <v>0.15198711844200027</v>
      </c>
      <c r="BB63" s="388">
        <f t="shared" si="5"/>
        <v>0.19507461548591906</v>
      </c>
      <c r="BE63" t="s">
        <v>0</v>
      </c>
      <c r="BF63" t="s">
        <v>652</v>
      </c>
    </row>
    <row r="64" spans="1:58" ht="12.75" customHeight="1" outlineLevel="1" x14ac:dyDescent="0.2">
      <c r="A64" s="364" t="s">
        <v>0</v>
      </c>
      <c r="B64" s="365">
        <v>41609</v>
      </c>
      <c r="C64" s="377">
        <f t="shared" si="0"/>
        <v>376628</v>
      </c>
      <c r="D64" s="378">
        <v>336230</v>
      </c>
      <c r="E64" s="379">
        <v>40398</v>
      </c>
      <c r="F64" s="367"/>
      <c r="G64" s="377">
        <f t="shared" si="3"/>
        <v>353.4</v>
      </c>
      <c r="H64" s="654">
        <v>289.39999999999998</v>
      </c>
      <c r="I64" s="655">
        <v>64</v>
      </c>
      <c r="J64" s="367"/>
      <c r="K64" s="380">
        <v>221893</v>
      </c>
      <c r="L64" s="379">
        <v>52546</v>
      </c>
      <c r="M64" s="367"/>
      <c r="N64" s="380" t="s">
        <v>160</v>
      </c>
      <c r="O64" s="379">
        <v>336230</v>
      </c>
      <c r="P64" s="367"/>
      <c r="Q64" s="380" t="s">
        <v>160</v>
      </c>
      <c r="R64" s="379" t="s">
        <v>160</v>
      </c>
      <c r="S64" s="367"/>
      <c r="T64" s="380" t="s">
        <v>160</v>
      </c>
      <c r="U64" s="378" t="s">
        <v>160</v>
      </c>
      <c r="V64" s="378" t="s">
        <v>160</v>
      </c>
      <c r="W64" s="378" t="s">
        <v>160</v>
      </c>
      <c r="X64" s="378" t="s">
        <v>160</v>
      </c>
      <c r="Y64" s="378" t="s">
        <v>160</v>
      </c>
      <c r="Z64" s="378" t="s">
        <v>160</v>
      </c>
      <c r="AA64" s="378" t="s">
        <v>160</v>
      </c>
      <c r="AB64" s="379" t="s">
        <v>160</v>
      </c>
      <c r="AC64" s="367"/>
      <c r="AD64" s="365">
        <f t="shared" si="2"/>
        <v>41609</v>
      </c>
      <c r="AE64" s="383" t="s">
        <v>160</v>
      </c>
      <c r="AF64" s="384" t="s">
        <v>160</v>
      </c>
      <c r="AG64" s="384" t="s">
        <v>160</v>
      </c>
      <c r="AH64" s="384" t="s">
        <v>160</v>
      </c>
      <c r="AI64" s="384" t="s">
        <v>160</v>
      </c>
      <c r="AJ64" s="384" t="s">
        <v>160</v>
      </c>
      <c r="AK64" s="384" t="s">
        <v>160</v>
      </c>
      <c r="AL64" s="381" t="s">
        <v>160</v>
      </c>
      <c r="AM64" s="385" t="s">
        <v>160</v>
      </c>
      <c r="AN64" s="367"/>
      <c r="AO64" s="386" t="s">
        <v>160</v>
      </c>
      <c r="AP64" s="381" t="s">
        <v>160</v>
      </c>
      <c r="AQ64" s="381" t="s">
        <v>160</v>
      </c>
      <c r="AR64" s="381" t="s">
        <v>160</v>
      </c>
      <c r="AS64" s="382" t="s">
        <v>160</v>
      </c>
      <c r="AT64" s="367"/>
      <c r="AU64" s="380" t="s">
        <v>160</v>
      </c>
      <c r="AV64" s="381" t="s">
        <v>160</v>
      </c>
      <c r="AW64" s="381" t="s">
        <v>160</v>
      </c>
      <c r="AX64" s="381" t="s">
        <v>160</v>
      </c>
      <c r="AY64" s="382" t="s">
        <v>160</v>
      </c>
      <c r="AZ64" s="367"/>
      <c r="BA64" s="387">
        <f t="shared" si="4"/>
        <v>0.18206072296106682</v>
      </c>
      <c r="BB64" s="388">
        <f t="shared" si="5"/>
        <v>0.15627992743062785</v>
      </c>
      <c r="BE64" t="s">
        <v>0</v>
      </c>
      <c r="BF64" t="s">
        <v>652</v>
      </c>
    </row>
    <row r="65" spans="1:58" ht="12.75" customHeight="1" outlineLevel="1" x14ac:dyDescent="0.2">
      <c r="A65" s="364" t="s">
        <v>45</v>
      </c>
      <c r="B65" s="365">
        <v>41640</v>
      </c>
      <c r="C65" s="389">
        <f t="shared" si="0"/>
        <v>321243</v>
      </c>
      <c r="D65" s="390">
        <v>300097</v>
      </c>
      <c r="E65" s="391">
        <v>21146</v>
      </c>
      <c r="F65" s="367"/>
      <c r="G65" s="389">
        <f t="shared" si="3"/>
        <v>322.39999999999998</v>
      </c>
      <c r="H65" s="656">
        <v>257.5</v>
      </c>
      <c r="I65" s="657">
        <v>64.900000000000006</v>
      </c>
      <c r="J65" s="367"/>
      <c r="K65" s="392">
        <v>221081</v>
      </c>
      <c r="L65" s="391">
        <v>39612</v>
      </c>
      <c r="M65" s="367"/>
      <c r="N65" s="392">
        <v>62480.195399999997</v>
      </c>
      <c r="O65" s="391">
        <v>237616.8046</v>
      </c>
      <c r="P65" s="367"/>
      <c r="Q65" s="392" t="s">
        <v>160</v>
      </c>
      <c r="R65" s="391" t="s">
        <v>160</v>
      </c>
      <c r="S65" s="367"/>
      <c r="T65" s="392" t="s">
        <v>160</v>
      </c>
      <c r="U65" s="390" t="s">
        <v>160</v>
      </c>
      <c r="V65" s="390" t="s">
        <v>160</v>
      </c>
      <c r="W65" s="390" t="s">
        <v>160</v>
      </c>
      <c r="X65" s="390" t="s">
        <v>160</v>
      </c>
      <c r="Y65" s="390" t="s">
        <v>160</v>
      </c>
      <c r="Z65" s="390" t="s">
        <v>160</v>
      </c>
      <c r="AA65" s="390" t="s">
        <v>160</v>
      </c>
      <c r="AB65" s="391" t="s">
        <v>160</v>
      </c>
      <c r="AC65" s="367"/>
      <c r="AD65" s="365">
        <f t="shared" si="2"/>
        <v>41640</v>
      </c>
      <c r="AE65" s="395" t="s">
        <v>160</v>
      </c>
      <c r="AF65" s="396" t="s">
        <v>160</v>
      </c>
      <c r="AG65" s="396" t="s">
        <v>160</v>
      </c>
      <c r="AH65" s="396" t="s">
        <v>160</v>
      </c>
      <c r="AI65" s="396" t="s">
        <v>160</v>
      </c>
      <c r="AJ65" s="396" t="s">
        <v>160</v>
      </c>
      <c r="AK65" s="396" t="s">
        <v>160</v>
      </c>
      <c r="AL65" s="393" t="s">
        <v>160</v>
      </c>
      <c r="AM65" s="397" t="s">
        <v>160</v>
      </c>
      <c r="AN65" s="367"/>
      <c r="AO65" s="398" t="s">
        <v>160</v>
      </c>
      <c r="AP65" s="393" t="s">
        <v>160</v>
      </c>
      <c r="AQ65" s="393" t="s">
        <v>160</v>
      </c>
      <c r="AR65" s="393" t="s">
        <v>160</v>
      </c>
      <c r="AS65" s="394" t="s">
        <v>160</v>
      </c>
      <c r="AT65" s="367"/>
      <c r="AU65" s="392" t="s">
        <v>160</v>
      </c>
      <c r="AV65" s="393" t="s">
        <v>160</v>
      </c>
      <c r="AW65" s="393" t="s">
        <v>160</v>
      </c>
      <c r="AX65" s="393" t="s">
        <v>160</v>
      </c>
      <c r="AY65" s="394" t="s">
        <v>160</v>
      </c>
      <c r="AZ65" s="367"/>
      <c r="BA65" s="399">
        <f t="shared" si="4"/>
        <v>9.5648201337971153E-2</v>
      </c>
      <c r="BB65" s="400">
        <f t="shared" si="5"/>
        <v>0.13199732086625324</v>
      </c>
      <c r="BE65" t="s">
        <v>45</v>
      </c>
      <c r="BF65" t="s">
        <v>653</v>
      </c>
    </row>
    <row r="66" spans="1:58" ht="12.75" customHeight="1" outlineLevel="1" x14ac:dyDescent="0.2">
      <c r="A66" s="364" t="s">
        <v>45</v>
      </c>
      <c r="B66" s="365">
        <v>41671</v>
      </c>
      <c r="C66" s="389">
        <f t="shared" si="0"/>
        <v>272560</v>
      </c>
      <c r="D66" s="390">
        <v>246135</v>
      </c>
      <c r="E66" s="391">
        <v>26425</v>
      </c>
      <c r="F66" s="367"/>
      <c r="G66" s="389">
        <f t="shared" si="3"/>
        <v>348.9</v>
      </c>
      <c r="H66" s="656">
        <v>265.39999999999998</v>
      </c>
      <c r="I66" s="657">
        <v>83.5</v>
      </c>
      <c r="J66" s="367"/>
      <c r="K66" s="392">
        <v>262703</v>
      </c>
      <c r="L66" s="391">
        <v>37681</v>
      </c>
      <c r="M66" s="367"/>
      <c r="N66" s="392">
        <v>64388.915999999997</v>
      </c>
      <c r="O66" s="391">
        <v>181746.084</v>
      </c>
      <c r="P66" s="367"/>
      <c r="Q66" s="392" t="s">
        <v>160</v>
      </c>
      <c r="R66" s="391" t="s">
        <v>160</v>
      </c>
      <c r="S66" s="367"/>
      <c r="T66" s="392" t="s">
        <v>160</v>
      </c>
      <c r="U66" s="390" t="s">
        <v>160</v>
      </c>
      <c r="V66" s="390" t="s">
        <v>160</v>
      </c>
      <c r="W66" s="390" t="s">
        <v>160</v>
      </c>
      <c r="X66" s="390" t="s">
        <v>160</v>
      </c>
      <c r="Y66" s="390" t="s">
        <v>160</v>
      </c>
      <c r="Z66" s="390" t="s">
        <v>160</v>
      </c>
      <c r="AA66" s="390" t="s">
        <v>160</v>
      </c>
      <c r="AB66" s="391" t="s">
        <v>160</v>
      </c>
      <c r="AC66" s="367"/>
      <c r="AD66" s="365">
        <f t="shared" si="2"/>
        <v>41671</v>
      </c>
      <c r="AE66" s="395" t="s">
        <v>160</v>
      </c>
      <c r="AF66" s="396" t="s">
        <v>160</v>
      </c>
      <c r="AG66" s="396" t="s">
        <v>160</v>
      </c>
      <c r="AH66" s="396" t="s">
        <v>160</v>
      </c>
      <c r="AI66" s="396" t="s">
        <v>160</v>
      </c>
      <c r="AJ66" s="396" t="s">
        <v>160</v>
      </c>
      <c r="AK66" s="396" t="s">
        <v>160</v>
      </c>
      <c r="AL66" s="393" t="s">
        <v>160</v>
      </c>
      <c r="AM66" s="397" t="s">
        <v>160</v>
      </c>
      <c r="AN66" s="367"/>
      <c r="AO66" s="398" t="s">
        <v>160</v>
      </c>
      <c r="AP66" s="393" t="s">
        <v>160</v>
      </c>
      <c r="AQ66" s="393" t="s">
        <v>160</v>
      </c>
      <c r="AR66" s="393" t="s">
        <v>160</v>
      </c>
      <c r="AS66" s="394" t="s">
        <v>160</v>
      </c>
      <c r="AT66" s="367"/>
      <c r="AU66" s="392" t="s">
        <v>160</v>
      </c>
      <c r="AV66" s="393" t="s">
        <v>160</v>
      </c>
      <c r="AW66" s="393" t="s">
        <v>160</v>
      </c>
      <c r="AX66" s="393" t="s">
        <v>160</v>
      </c>
      <c r="AY66" s="394" t="s">
        <v>160</v>
      </c>
      <c r="AZ66" s="367"/>
      <c r="BA66" s="399">
        <f t="shared" si="4"/>
        <v>0.1005888779343974</v>
      </c>
      <c r="BB66" s="400">
        <f t="shared" si="5"/>
        <v>0.15309078351311273</v>
      </c>
      <c r="BE66" t="s">
        <v>45</v>
      </c>
      <c r="BF66" t="s">
        <v>653</v>
      </c>
    </row>
    <row r="67" spans="1:58" ht="12.75" customHeight="1" outlineLevel="1" x14ac:dyDescent="0.2">
      <c r="A67" s="364" t="s">
        <v>45</v>
      </c>
      <c r="B67" s="365">
        <v>41699</v>
      </c>
      <c r="C67" s="389">
        <f t="shared" si="0"/>
        <v>250422</v>
      </c>
      <c r="D67" s="390">
        <v>229113</v>
      </c>
      <c r="E67" s="391">
        <v>21309</v>
      </c>
      <c r="F67" s="367"/>
      <c r="G67" s="389">
        <f t="shared" si="3"/>
        <v>387.1</v>
      </c>
      <c r="H67" s="656">
        <v>291</v>
      </c>
      <c r="I67" s="657">
        <v>96.1</v>
      </c>
      <c r="J67" s="367"/>
      <c r="K67" s="392">
        <v>255210</v>
      </c>
      <c r="L67" s="391">
        <v>50858</v>
      </c>
      <c r="M67" s="367"/>
      <c r="N67" s="392">
        <v>68184.0288</v>
      </c>
      <c r="O67" s="391">
        <v>160928.9712</v>
      </c>
      <c r="P67" s="367"/>
      <c r="Q67" s="392" t="s">
        <v>160</v>
      </c>
      <c r="R67" s="391" t="s">
        <v>160</v>
      </c>
      <c r="S67" s="367"/>
      <c r="T67" s="392" t="s">
        <v>160</v>
      </c>
      <c r="U67" s="390" t="s">
        <v>160</v>
      </c>
      <c r="V67" s="390" t="s">
        <v>160</v>
      </c>
      <c r="W67" s="390" t="s">
        <v>160</v>
      </c>
      <c r="X67" s="390" t="s">
        <v>160</v>
      </c>
      <c r="Y67" s="390" t="s">
        <v>160</v>
      </c>
      <c r="Z67" s="390" t="s">
        <v>160</v>
      </c>
      <c r="AA67" s="390" t="s">
        <v>160</v>
      </c>
      <c r="AB67" s="391" t="s">
        <v>160</v>
      </c>
      <c r="AC67" s="367"/>
      <c r="AD67" s="365">
        <f t="shared" si="2"/>
        <v>41699</v>
      </c>
      <c r="AE67" s="395" t="s">
        <v>160</v>
      </c>
      <c r="AF67" s="396" t="s">
        <v>160</v>
      </c>
      <c r="AG67" s="396" t="s">
        <v>160</v>
      </c>
      <c r="AH67" s="396" t="s">
        <v>160</v>
      </c>
      <c r="AI67" s="396" t="s">
        <v>160</v>
      </c>
      <c r="AJ67" s="396" t="s">
        <v>160</v>
      </c>
      <c r="AK67" s="396" t="s">
        <v>160</v>
      </c>
      <c r="AL67" s="393" t="s">
        <v>160</v>
      </c>
      <c r="AM67" s="397" t="s">
        <v>160</v>
      </c>
      <c r="AN67" s="367"/>
      <c r="AO67" s="398" t="s">
        <v>160</v>
      </c>
      <c r="AP67" s="393" t="s">
        <v>160</v>
      </c>
      <c r="AQ67" s="393" t="s">
        <v>160</v>
      </c>
      <c r="AR67" s="393" t="s">
        <v>160</v>
      </c>
      <c r="AS67" s="394" t="s">
        <v>160</v>
      </c>
      <c r="AT67" s="367"/>
      <c r="AU67" s="392" t="s">
        <v>160</v>
      </c>
      <c r="AV67" s="393" t="s">
        <v>160</v>
      </c>
      <c r="AW67" s="393" t="s">
        <v>160</v>
      </c>
      <c r="AX67" s="393" t="s">
        <v>160</v>
      </c>
      <c r="AY67" s="394" t="s">
        <v>160</v>
      </c>
      <c r="AZ67" s="367"/>
      <c r="BA67" s="399">
        <f t="shared" si="4"/>
        <v>8.3495944516280715E-2</v>
      </c>
      <c r="BB67" s="400">
        <f t="shared" si="5"/>
        <v>0.2219778013469336</v>
      </c>
      <c r="BE67" t="s">
        <v>45</v>
      </c>
      <c r="BF67" t="s">
        <v>653</v>
      </c>
    </row>
    <row r="68" spans="1:58" ht="12.75" customHeight="1" outlineLevel="1" x14ac:dyDescent="0.2">
      <c r="A68" s="364" t="s">
        <v>55</v>
      </c>
      <c r="B68" s="365">
        <v>41730</v>
      </c>
      <c r="C68" s="389">
        <f t="shared" si="0"/>
        <v>313113</v>
      </c>
      <c r="D68" s="390">
        <v>280114</v>
      </c>
      <c r="E68" s="391">
        <v>32999</v>
      </c>
      <c r="F68" s="367"/>
      <c r="G68" s="389">
        <f t="shared" si="3"/>
        <v>392.70000000000005</v>
      </c>
      <c r="H68" s="656">
        <v>290.10000000000002</v>
      </c>
      <c r="I68" s="657">
        <v>102.6</v>
      </c>
      <c r="J68" s="367"/>
      <c r="K68" s="392">
        <v>261382</v>
      </c>
      <c r="L68" s="391">
        <v>54648</v>
      </c>
      <c r="M68" s="367"/>
      <c r="N68" s="392">
        <v>83782.097399999999</v>
      </c>
      <c r="O68" s="391">
        <v>196331.9026</v>
      </c>
      <c r="P68" s="367"/>
      <c r="Q68" s="392" t="s">
        <v>160</v>
      </c>
      <c r="R68" s="391" t="s">
        <v>160</v>
      </c>
      <c r="S68" s="367"/>
      <c r="T68" s="392" t="s">
        <v>160</v>
      </c>
      <c r="U68" s="390" t="s">
        <v>160</v>
      </c>
      <c r="V68" s="390" t="s">
        <v>160</v>
      </c>
      <c r="W68" s="390" t="s">
        <v>160</v>
      </c>
      <c r="X68" s="390" t="s">
        <v>160</v>
      </c>
      <c r="Y68" s="390" t="s">
        <v>160</v>
      </c>
      <c r="Z68" s="390" t="s">
        <v>160</v>
      </c>
      <c r="AA68" s="390" t="s">
        <v>160</v>
      </c>
      <c r="AB68" s="391" t="s">
        <v>160</v>
      </c>
      <c r="AC68" s="367"/>
      <c r="AD68" s="365">
        <f t="shared" si="2"/>
        <v>41730</v>
      </c>
      <c r="AE68" s="395" t="s">
        <v>160</v>
      </c>
      <c r="AF68" s="396" t="s">
        <v>160</v>
      </c>
      <c r="AG68" s="396" t="s">
        <v>160</v>
      </c>
      <c r="AH68" s="396" t="s">
        <v>160</v>
      </c>
      <c r="AI68" s="396" t="s">
        <v>160</v>
      </c>
      <c r="AJ68" s="396" t="s">
        <v>160</v>
      </c>
      <c r="AK68" s="396" t="s">
        <v>160</v>
      </c>
      <c r="AL68" s="393" t="s">
        <v>160</v>
      </c>
      <c r="AM68" s="397" t="s">
        <v>160</v>
      </c>
      <c r="AN68" s="367"/>
      <c r="AO68" s="398" t="s">
        <v>160</v>
      </c>
      <c r="AP68" s="393" t="s">
        <v>160</v>
      </c>
      <c r="AQ68" s="393" t="s">
        <v>160</v>
      </c>
      <c r="AR68" s="393" t="s">
        <v>160</v>
      </c>
      <c r="AS68" s="394" t="s">
        <v>160</v>
      </c>
      <c r="AT68" s="367"/>
      <c r="AU68" s="392" t="s">
        <v>160</v>
      </c>
      <c r="AV68" s="393" t="s">
        <v>160</v>
      </c>
      <c r="AW68" s="393" t="s">
        <v>160</v>
      </c>
      <c r="AX68" s="393" t="s">
        <v>160</v>
      </c>
      <c r="AY68" s="394" t="s">
        <v>160</v>
      </c>
      <c r="AZ68" s="367"/>
      <c r="BA68" s="399">
        <f t="shared" si="4"/>
        <v>0.12624817317183279</v>
      </c>
      <c r="BB68" s="400">
        <f t="shared" si="5"/>
        <v>0.19509199825785217</v>
      </c>
      <c r="BE68" t="s">
        <v>55</v>
      </c>
      <c r="BF68" t="s">
        <v>654</v>
      </c>
    </row>
    <row r="69" spans="1:58" ht="12.75" customHeight="1" outlineLevel="1" x14ac:dyDescent="0.2">
      <c r="A69" s="364" t="s">
        <v>55</v>
      </c>
      <c r="B69" s="365">
        <v>41760</v>
      </c>
      <c r="C69" s="389">
        <f t="shared" ref="C69:C106" si="6">+D69+E69</f>
        <v>310966</v>
      </c>
      <c r="D69" s="390">
        <v>278408</v>
      </c>
      <c r="E69" s="391">
        <v>32558</v>
      </c>
      <c r="F69" s="367"/>
      <c r="G69" s="389">
        <f t="shared" si="3"/>
        <v>399.9</v>
      </c>
      <c r="H69" s="656">
        <v>283.8</v>
      </c>
      <c r="I69" s="657">
        <v>116.1</v>
      </c>
      <c r="J69" s="367"/>
      <c r="K69" s="392">
        <v>265272</v>
      </c>
      <c r="L69" s="391">
        <v>56072</v>
      </c>
      <c r="M69" s="367"/>
      <c r="N69" s="392">
        <v>82770.698400000008</v>
      </c>
      <c r="O69" s="391">
        <v>195637.30160000001</v>
      </c>
      <c r="P69" s="367"/>
      <c r="Q69" s="392" t="s">
        <v>160</v>
      </c>
      <c r="R69" s="391" t="s">
        <v>160</v>
      </c>
      <c r="S69" s="367"/>
      <c r="T69" s="392" t="s">
        <v>160</v>
      </c>
      <c r="U69" s="390" t="s">
        <v>160</v>
      </c>
      <c r="V69" s="390" t="s">
        <v>160</v>
      </c>
      <c r="W69" s="390" t="s">
        <v>160</v>
      </c>
      <c r="X69" s="390" t="s">
        <v>160</v>
      </c>
      <c r="Y69" s="390" t="s">
        <v>160</v>
      </c>
      <c r="Z69" s="390" t="s">
        <v>160</v>
      </c>
      <c r="AA69" s="390" t="s">
        <v>160</v>
      </c>
      <c r="AB69" s="391" t="s">
        <v>160</v>
      </c>
      <c r="AC69" s="367"/>
      <c r="AD69" s="365">
        <f t="shared" ref="AD69:AD100" si="7">+B69</f>
        <v>41760</v>
      </c>
      <c r="AE69" s="395" t="s">
        <v>160</v>
      </c>
      <c r="AF69" s="396" t="s">
        <v>160</v>
      </c>
      <c r="AG69" s="396" t="s">
        <v>160</v>
      </c>
      <c r="AH69" s="396" t="s">
        <v>160</v>
      </c>
      <c r="AI69" s="396" t="s">
        <v>160</v>
      </c>
      <c r="AJ69" s="396" t="s">
        <v>160</v>
      </c>
      <c r="AK69" s="396" t="s">
        <v>160</v>
      </c>
      <c r="AL69" s="393" t="s">
        <v>160</v>
      </c>
      <c r="AM69" s="397" t="s">
        <v>160</v>
      </c>
      <c r="AN69" s="367"/>
      <c r="AO69" s="398" t="s">
        <v>160</v>
      </c>
      <c r="AP69" s="393" t="s">
        <v>160</v>
      </c>
      <c r="AQ69" s="393" t="s">
        <v>160</v>
      </c>
      <c r="AR69" s="393" t="s">
        <v>160</v>
      </c>
      <c r="AS69" s="394" t="s">
        <v>160</v>
      </c>
      <c r="AT69" s="367"/>
      <c r="AU69" s="392" t="s">
        <v>160</v>
      </c>
      <c r="AV69" s="393" t="s">
        <v>160</v>
      </c>
      <c r="AW69" s="393" t="s">
        <v>160</v>
      </c>
      <c r="AX69" s="393" t="s">
        <v>160</v>
      </c>
      <c r="AY69" s="394" t="s">
        <v>160</v>
      </c>
      <c r="AZ69" s="367"/>
      <c r="BA69" s="399">
        <f t="shared" si="4"/>
        <v>0.12273440091679484</v>
      </c>
      <c r="BB69" s="400">
        <f t="shared" si="5"/>
        <v>0.20140225855578864</v>
      </c>
      <c r="BE69" t="s">
        <v>55</v>
      </c>
      <c r="BF69" t="s">
        <v>654</v>
      </c>
    </row>
    <row r="70" spans="1:58" ht="12.75" customHeight="1" outlineLevel="1" x14ac:dyDescent="0.2">
      <c r="A70" s="364" t="s">
        <v>55</v>
      </c>
      <c r="B70" s="365">
        <v>41791</v>
      </c>
      <c r="C70" s="389">
        <f t="shared" si="6"/>
        <v>273332</v>
      </c>
      <c r="D70" s="390">
        <v>251014</v>
      </c>
      <c r="E70" s="391">
        <v>22318</v>
      </c>
      <c r="F70" s="367"/>
      <c r="G70" s="389">
        <f t="shared" si="3"/>
        <v>395.4</v>
      </c>
      <c r="H70" s="656">
        <v>296.39999999999998</v>
      </c>
      <c r="I70" s="657">
        <v>99</v>
      </c>
      <c r="J70" s="367"/>
      <c r="K70" s="392">
        <v>205204</v>
      </c>
      <c r="L70" s="391">
        <v>58144</v>
      </c>
      <c r="M70" s="367"/>
      <c r="N70" s="392">
        <v>77839.441400000011</v>
      </c>
      <c r="O70" s="391">
        <v>173174.55859999999</v>
      </c>
      <c r="P70" s="367"/>
      <c r="Q70" s="392" t="s">
        <v>160</v>
      </c>
      <c r="R70" s="391" t="s">
        <v>160</v>
      </c>
      <c r="S70" s="367"/>
      <c r="T70" s="392" t="s">
        <v>160</v>
      </c>
      <c r="U70" s="390" t="s">
        <v>160</v>
      </c>
      <c r="V70" s="390" t="s">
        <v>160</v>
      </c>
      <c r="W70" s="390" t="s">
        <v>160</v>
      </c>
      <c r="X70" s="390" t="s">
        <v>160</v>
      </c>
      <c r="Y70" s="390" t="s">
        <v>160</v>
      </c>
      <c r="Z70" s="390" t="s">
        <v>160</v>
      </c>
      <c r="AA70" s="390" t="s">
        <v>160</v>
      </c>
      <c r="AB70" s="391" t="s">
        <v>160</v>
      </c>
      <c r="AC70" s="367"/>
      <c r="AD70" s="365">
        <f t="shared" si="7"/>
        <v>41791</v>
      </c>
      <c r="AE70" s="395" t="s">
        <v>160</v>
      </c>
      <c r="AF70" s="396" t="s">
        <v>160</v>
      </c>
      <c r="AG70" s="396" t="s">
        <v>160</v>
      </c>
      <c r="AH70" s="396" t="s">
        <v>160</v>
      </c>
      <c r="AI70" s="396" t="s">
        <v>160</v>
      </c>
      <c r="AJ70" s="396" t="s">
        <v>160</v>
      </c>
      <c r="AK70" s="396" t="s">
        <v>160</v>
      </c>
      <c r="AL70" s="393" t="s">
        <v>160</v>
      </c>
      <c r="AM70" s="397" t="s">
        <v>160</v>
      </c>
      <c r="AN70" s="367"/>
      <c r="AO70" s="398" t="s">
        <v>160</v>
      </c>
      <c r="AP70" s="393" t="s">
        <v>160</v>
      </c>
      <c r="AQ70" s="393" t="s">
        <v>160</v>
      </c>
      <c r="AR70" s="393" t="s">
        <v>160</v>
      </c>
      <c r="AS70" s="394" t="s">
        <v>160</v>
      </c>
      <c r="AT70" s="367"/>
      <c r="AU70" s="392" t="s">
        <v>160</v>
      </c>
      <c r="AV70" s="393" t="s">
        <v>160</v>
      </c>
      <c r="AW70" s="393" t="s">
        <v>160</v>
      </c>
      <c r="AX70" s="393" t="s">
        <v>160</v>
      </c>
      <c r="AY70" s="394" t="s">
        <v>160</v>
      </c>
      <c r="AZ70" s="367"/>
      <c r="BA70" s="399">
        <f t="shared" si="4"/>
        <v>0.10876006315666362</v>
      </c>
      <c r="BB70" s="400">
        <f t="shared" si="5"/>
        <v>0.23163648242727497</v>
      </c>
      <c r="BE70" t="s">
        <v>55</v>
      </c>
      <c r="BF70" t="s">
        <v>654</v>
      </c>
    </row>
    <row r="71" spans="1:58" ht="12.75" customHeight="1" outlineLevel="1" x14ac:dyDescent="0.2">
      <c r="A71" s="364" t="s">
        <v>71</v>
      </c>
      <c r="B71" s="365">
        <v>41821</v>
      </c>
      <c r="C71" s="389">
        <f t="shared" si="6"/>
        <v>312542</v>
      </c>
      <c r="D71" s="390">
        <v>280190</v>
      </c>
      <c r="E71" s="391">
        <v>32352</v>
      </c>
      <c r="F71" s="367"/>
      <c r="G71" s="389">
        <f t="shared" si="3"/>
        <v>382.6</v>
      </c>
      <c r="H71" s="656">
        <v>255.9</v>
      </c>
      <c r="I71" s="657">
        <v>126.7</v>
      </c>
      <c r="J71" s="367"/>
      <c r="K71" s="392">
        <v>237445</v>
      </c>
      <c r="L71" s="391">
        <v>50634</v>
      </c>
      <c r="M71" s="367"/>
      <c r="N71" s="392" t="s">
        <v>160</v>
      </c>
      <c r="O71" s="391" t="s">
        <v>160</v>
      </c>
      <c r="P71" s="367"/>
      <c r="Q71" s="392" t="s">
        <v>160</v>
      </c>
      <c r="R71" s="391" t="s">
        <v>160</v>
      </c>
      <c r="S71" s="367"/>
      <c r="T71" s="392" t="s">
        <v>160</v>
      </c>
      <c r="U71" s="390" t="s">
        <v>160</v>
      </c>
      <c r="V71" s="390" t="s">
        <v>160</v>
      </c>
      <c r="W71" s="390" t="s">
        <v>160</v>
      </c>
      <c r="X71" s="390" t="s">
        <v>160</v>
      </c>
      <c r="Y71" s="390" t="s">
        <v>160</v>
      </c>
      <c r="Z71" s="390" t="s">
        <v>160</v>
      </c>
      <c r="AA71" s="390" t="s">
        <v>160</v>
      </c>
      <c r="AB71" s="391" t="s">
        <v>160</v>
      </c>
      <c r="AC71" s="367"/>
      <c r="AD71" s="365">
        <f t="shared" si="7"/>
        <v>41821</v>
      </c>
      <c r="AE71" s="395" t="s">
        <v>160</v>
      </c>
      <c r="AF71" s="396" t="s">
        <v>160</v>
      </c>
      <c r="AG71" s="396" t="s">
        <v>160</v>
      </c>
      <c r="AH71" s="396" t="s">
        <v>160</v>
      </c>
      <c r="AI71" s="396" t="s">
        <v>160</v>
      </c>
      <c r="AJ71" s="396" t="s">
        <v>160</v>
      </c>
      <c r="AK71" s="396" t="s">
        <v>160</v>
      </c>
      <c r="AL71" s="393" t="s">
        <v>160</v>
      </c>
      <c r="AM71" s="397" t="s">
        <v>160</v>
      </c>
      <c r="AN71" s="367"/>
      <c r="AO71" s="398" t="s">
        <v>160</v>
      </c>
      <c r="AP71" s="393" t="s">
        <v>160</v>
      </c>
      <c r="AQ71" s="393" t="s">
        <v>160</v>
      </c>
      <c r="AR71" s="393" t="s">
        <v>160</v>
      </c>
      <c r="AS71" s="394" t="s">
        <v>160</v>
      </c>
      <c r="AT71" s="367"/>
      <c r="AU71" s="392" t="s">
        <v>160</v>
      </c>
      <c r="AV71" s="393" t="s">
        <v>160</v>
      </c>
      <c r="AW71" s="393" t="s">
        <v>160</v>
      </c>
      <c r="AX71" s="393" t="s">
        <v>160</v>
      </c>
      <c r="AY71" s="394" t="s">
        <v>160</v>
      </c>
      <c r="AZ71" s="367"/>
      <c r="BA71" s="399">
        <f t="shared" si="4"/>
        <v>0.1362505001158163</v>
      </c>
      <c r="BB71" s="400">
        <f t="shared" si="5"/>
        <v>0.18071308754773546</v>
      </c>
      <c r="BE71" t="s">
        <v>71</v>
      </c>
      <c r="BF71" t="s">
        <v>655</v>
      </c>
    </row>
    <row r="72" spans="1:58" ht="12.75" customHeight="1" outlineLevel="1" x14ac:dyDescent="0.2">
      <c r="A72" s="364" t="s">
        <v>71</v>
      </c>
      <c r="B72" s="365">
        <v>41852</v>
      </c>
      <c r="C72" s="389">
        <f t="shared" si="6"/>
        <v>289003</v>
      </c>
      <c r="D72" s="390">
        <v>259490</v>
      </c>
      <c r="E72" s="391">
        <v>29513</v>
      </c>
      <c r="F72" s="367"/>
      <c r="G72" s="389">
        <f t="shared" si="3"/>
        <v>385.70000000000005</v>
      </c>
      <c r="H72" s="656">
        <v>264.3</v>
      </c>
      <c r="I72" s="657">
        <v>121.4</v>
      </c>
      <c r="J72" s="367"/>
      <c r="K72" s="392">
        <v>249778</v>
      </c>
      <c r="L72" s="391">
        <v>45124</v>
      </c>
      <c r="M72" s="367"/>
      <c r="N72" s="392" t="s">
        <v>160</v>
      </c>
      <c r="O72" s="391" t="s">
        <v>160</v>
      </c>
      <c r="P72" s="367"/>
      <c r="Q72" s="392" t="s">
        <v>160</v>
      </c>
      <c r="R72" s="391" t="s">
        <v>160</v>
      </c>
      <c r="S72" s="367"/>
      <c r="T72" s="392" t="s">
        <v>160</v>
      </c>
      <c r="U72" s="390" t="s">
        <v>160</v>
      </c>
      <c r="V72" s="390" t="s">
        <v>160</v>
      </c>
      <c r="W72" s="390" t="s">
        <v>160</v>
      </c>
      <c r="X72" s="390" t="s">
        <v>160</v>
      </c>
      <c r="Y72" s="390" t="s">
        <v>160</v>
      </c>
      <c r="Z72" s="390" t="s">
        <v>160</v>
      </c>
      <c r="AA72" s="390" t="s">
        <v>160</v>
      </c>
      <c r="AB72" s="391" t="s">
        <v>160</v>
      </c>
      <c r="AC72" s="367"/>
      <c r="AD72" s="365">
        <f t="shared" si="7"/>
        <v>41852</v>
      </c>
      <c r="AE72" s="395" t="s">
        <v>160</v>
      </c>
      <c r="AF72" s="396" t="s">
        <v>160</v>
      </c>
      <c r="AG72" s="396" t="s">
        <v>160</v>
      </c>
      <c r="AH72" s="396" t="s">
        <v>160</v>
      </c>
      <c r="AI72" s="396" t="s">
        <v>160</v>
      </c>
      <c r="AJ72" s="396" t="s">
        <v>160</v>
      </c>
      <c r="AK72" s="396" t="s">
        <v>160</v>
      </c>
      <c r="AL72" s="393" t="s">
        <v>160</v>
      </c>
      <c r="AM72" s="397" t="s">
        <v>160</v>
      </c>
      <c r="AN72" s="367"/>
      <c r="AO72" s="398" t="s">
        <v>160</v>
      </c>
      <c r="AP72" s="393" t="s">
        <v>160</v>
      </c>
      <c r="AQ72" s="393" t="s">
        <v>160</v>
      </c>
      <c r="AR72" s="393" t="s">
        <v>160</v>
      </c>
      <c r="AS72" s="394" t="s">
        <v>160</v>
      </c>
      <c r="AT72" s="367"/>
      <c r="AU72" s="392" t="s">
        <v>160</v>
      </c>
      <c r="AV72" s="393" t="s">
        <v>160</v>
      </c>
      <c r="AW72" s="393" t="s">
        <v>160</v>
      </c>
      <c r="AX72" s="393" t="s">
        <v>160</v>
      </c>
      <c r="AY72" s="394" t="s">
        <v>160</v>
      </c>
      <c r="AZ72" s="367"/>
      <c r="BA72" s="399">
        <f t="shared" si="4"/>
        <v>0.11815692334793297</v>
      </c>
      <c r="BB72" s="400">
        <f t="shared" si="5"/>
        <v>0.17389494778218814</v>
      </c>
      <c r="BE72" t="s">
        <v>71</v>
      </c>
      <c r="BF72" t="s">
        <v>655</v>
      </c>
    </row>
    <row r="73" spans="1:58" ht="12.75" customHeight="1" outlineLevel="1" x14ac:dyDescent="0.2">
      <c r="A73" s="364" t="s">
        <v>71</v>
      </c>
      <c r="B73" s="365">
        <v>41883</v>
      </c>
      <c r="C73" s="389">
        <f t="shared" si="6"/>
        <v>306745</v>
      </c>
      <c r="D73" s="390">
        <v>282881</v>
      </c>
      <c r="E73" s="391">
        <v>23864</v>
      </c>
      <c r="F73" s="367"/>
      <c r="G73" s="389">
        <f t="shared" si="3"/>
        <v>404.5</v>
      </c>
      <c r="H73" s="656">
        <v>282.89999999999998</v>
      </c>
      <c r="I73" s="657">
        <v>121.6</v>
      </c>
      <c r="J73" s="367"/>
      <c r="K73" s="392">
        <v>286241</v>
      </c>
      <c r="L73" s="391">
        <v>46653</v>
      </c>
      <c r="M73" s="367"/>
      <c r="N73" s="392" t="s">
        <v>160</v>
      </c>
      <c r="O73" s="391" t="s">
        <v>160</v>
      </c>
      <c r="P73" s="367"/>
      <c r="Q73" s="392" t="s">
        <v>160</v>
      </c>
      <c r="R73" s="391" t="s">
        <v>160</v>
      </c>
      <c r="S73" s="367"/>
      <c r="T73" s="392" t="s">
        <v>160</v>
      </c>
      <c r="U73" s="390" t="s">
        <v>160</v>
      </c>
      <c r="V73" s="390" t="s">
        <v>160</v>
      </c>
      <c r="W73" s="390" t="s">
        <v>160</v>
      </c>
      <c r="X73" s="390" t="s">
        <v>160</v>
      </c>
      <c r="Y73" s="390" t="s">
        <v>160</v>
      </c>
      <c r="Z73" s="390" t="s">
        <v>160</v>
      </c>
      <c r="AA73" s="390" t="s">
        <v>160</v>
      </c>
      <c r="AB73" s="391" t="s">
        <v>160</v>
      </c>
      <c r="AC73" s="367"/>
      <c r="AD73" s="365">
        <f t="shared" si="7"/>
        <v>41883</v>
      </c>
      <c r="AE73" s="395" t="s">
        <v>160</v>
      </c>
      <c r="AF73" s="396" t="s">
        <v>160</v>
      </c>
      <c r="AG73" s="396" t="s">
        <v>160</v>
      </c>
      <c r="AH73" s="396" t="s">
        <v>160</v>
      </c>
      <c r="AI73" s="396" t="s">
        <v>160</v>
      </c>
      <c r="AJ73" s="396" t="s">
        <v>160</v>
      </c>
      <c r="AK73" s="396" t="s">
        <v>160</v>
      </c>
      <c r="AL73" s="393" t="s">
        <v>160</v>
      </c>
      <c r="AM73" s="397" t="s">
        <v>160</v>
      </c>
      <c r="AN73" s="367"/>
      <c r="AO73" s="398" t="s">
        <v>160</v>
      </c>
      <c r="AP73" s="393" t="s">
        <v>160</v>
      </c>
      <c r="AQ73" s="393" t="s">
        <v>160</v>
      </c>
      <c r="AR73" s="393" t="s">
        <v>160</v>
      </c>
      <c r="AS73" s="394" t="s">
        <v>160</v>
      </c>
      <c r="AT73" s="367"/>
      <c r="AU73" s="392" t="s">
        <v>160</v>
      </c>
      <c r="AV73" s="393" t="s">
        <v>160</v>
      </c>
      <c r="AW73" s="393" t="s">
        <v>160</v>
      </c>
      <c r="AX73" s="393" t="s">
        <v>160</v>
      </c>
      <c r="AY73" s="394" t="s">
        <v>160</v>
      </c>
      <c r="AZ73" s="367"/>
      <c r="BA73" s="399">
        <f t="shared" si="4"/>
        <v>8.3370306839341671E-2</v>
      </c>
      <c r="BB73" s="400">
        <f t="shared" si="5"/>
        <v>0.16492093848650138</v>
      </c>
      <c r="BE73" t="s">
        <v>71</v>
      </c>
      <c r="BF73" t="s">
        <v>655</v>
      </c>
    </row>
    <row r="74" spans="1:58" ht="12.75" customHeight="1" outlineLevel="1" x14ac:dyDescent="0.2">
      <c r="A74" s="364" t="s">
        <v>77</v>
      </c>
      <c r="B74" s="365">
        <v>41917</v>
      </c>
      <c r="C74" s="389">
        <f t="shared" si="6"/>
        <v>313327</v>
      </c>
      <c r="D74" s="390">
        <v>291804</v>
      </c>
      <c r="E74" s="391">
        <v>21523</v>
      </c>
      <c r="F74" s="367"/>
      <c r="G74" s="389">
        <f t="shared" si="3"/>
        <v>413.4</v>
      </c>
      <c r="H74" s="656">
        <v>281.8</v>
      </c>
      <c r="I74" s="657">
        <v>131.6</v>
      </c>
      <c r="J74" s="367"/>
      <c r="K74" s="392">
        <v>278239</v>
      </c>
      <c r="L74" s="391">
        <v>49359</v>
      </c>
      <c r="M74" s="367"/>
      <c r="N74" s="392" t="s">
        <v>160</v>
      </c>
      <c r="O74" s="391" t="s">
        <v>160</v>
      </c>
      <c r="P74" s="367"/>
      <c r="Q74" s="392" t="s">
        <v>160</v>
      </c>
      <c r="R74" s="391" t="s">
        <v>160</v>
      </c>
      <c r="S74" s="367"/>
      <c r="T74" s="392" t="s">
        <v>160</v>
      </c>
      <c r="U74" s="390" t="s">
        <v>160</v>
      </c>
      <c r="V74" s="390" t="s">
        <v>160</v>
      </c>
      <c r="W74" s="390" t="s">
        <v>160</v>
      </c>
      <c r="X74" s="390" t="s">
        <v>160</v>
      </c>
      <c r="Y74" s="390" t="s">
        <v>160</v>
      </c>
      <c r="Z74" s="390" t="s">
        <v>160</v>
      </c>
      <c r="AA74" s="390" t="s">
        <v>160</v>
      </c>
      <c r="AB74" s="391" t="s">
        <v>160</v>
      </c>
      <c r="AC74" s="367"/>
      <c r="AD74" s="365">
        <f t="shared" si="7"/>
        <v>41917</v>
      </c>
      <c r="AE74" s="395" t="s">
        <v>160</v>
      </c>
      <c r="AF74" s="396" t="s">
        <v>160</v>
      </c>
      <c r="AG74" s="396" t="s">
        <v>160</v>
      </c>
      <c r="AH74" s="396" t="s">
        <v>160</v>
      </c>
      <c r="AI74" s="396" t="s">
        <v>160</v>
      </c>
      <c r="AJ74" s="396" t="s">
        <v>160</v>
      </c>
      <c r="AK74" s="396" t="s">
        <v>160</v>
      </c>
      <c r="AL74" s="393" t="s">
        <v>160</v>
      </c>
      <c r="AM74" s="397" t="s">
        <v>160</v>
      </c>
      <c r="AN74" s="367"/>
      <c r="AO74" s="398" t="s">
        <v>160</v>
      </c>
      <c r="AP74" s="393" t="s">
        <v>160</v>
      </c>
      <c r="AQ74" s="393" t="s">
        <v>160</v>
      </c>
      <c r="AR74" s="393" t="s">
        <v>160</v>
      </c>
      <c r="AS74" s="394" t="s">
        <v>160</v>
      </c>
      <c r="AT74" s="367"/>
      <c r="AU74" s="392" t="s">
        <v>160</v>
      </c>
      <c r="AV74" s="393" t="s">
        <v>160</v>
      </c>
      <c r="AW74" s="393" t="s">
        <v>160</v>
      </c>
      <c r="AX74" s="393" t="s">
        <v>160</v>
      </c>
      <c r="AY74" s="394" t="s">
        <v>160</v>
      </c>
      <c r="AZ74" s="367"/>
      <c r="BA74" s="399">
        <f t="shared" si="4"/>
        <v>7.7354360819295642E-2</v>
      </c>
      <c r="BB74" s="400">
        <f t="shared" si="5"/>
        <v>0.16915121108689393</v>
      </c>
      <c r="BE74" t="s">
        <v>77</v>
      </c>
      <c r="BF74" t="s">
        <v>656</v>
      </c>
    </row>
    <row r="75" spans="1:58" ht="12.75" customHeight="1" outlineLevel="1" x14ac:dyDescent="0.2">
      <c r="A75" s="364" t="s">
        <v>77</v>
      </c>
      <c r="B75" s="365">
        <v>41944</v>
      </c>
      <c r="C75" s="389">
        <f t="shared" si="6"/>
        <v>303901</v>
      </c>
      <c r="D75" s="390">
        <v>280152</v>
      </c>
      <c r="E75" s="391">
        <v>23749</v>
      </c>
      <c r="F75" s="367"/>
      <c r="G75" s="389">
        <f t="shared" si="3"/>
        <v>414.3</v>
      </c>
      <c r="H75" s="656">
        <v>294.8</v>
      </c>
      <c r="I75" s="657">
        <v>119.5</v>
      </c>
      <c r="J75" s="367"/>
      <c r="K75" s="392">
        <v>251208</v>
      </c>
      <c r="L75" s="391">
        <v>53229</v>
      </c>
      <c r="M75" s="367"/>
      <c r="N75" s="392" t="s">
        <v>160</v>
      </c>
      <c r="O75" s="391" t="s">
        <v>160</v>
      </c>
      <c r="P75" s="367"/>
      <c r="Q75" s="392" t="s">
        <v>160</v>
      </c>
      <c r="R75" s="391" t="s">
        <v>160</v>
      </c>
      <c r="S75" s="367"/>
      <c r="T75" s="392" t="s">
        <v>160</v>
      </c>
      <c r="U75" s="390" t="s">
        <v>160</v>
      </c>
      <c r="V75" s="390" t="s">
        <v>160</v>
      </c>
      <c r="W75" s="390" t="s">
        <v>160</v>
      </c>
      <c r="X75" s="390" t="s">
        <v>160</v>
      </c>
      <c r="Y75" s="390" t="s">
        <v>160</v>
      </c>
      <c r="Z75" s="390" t="s">
        <v>160</v>
      </c>
      <c r="AA75" s="390" t="s">
        <v>160</v>
      </c>
      <c r="AB75" s="391" t="s">
        <v>160</v>
      </c>
      <c r="AC75" s="367"/>
      <c r="AD75" s="365">
        <f t="shared" si="7"/>
        <v>41944</v>
      </c>
      <c r="AE75" s="395" t="s">
        <v>160</v>
      </c>
      <c r="AF75" s="396" t="s">
        <v>160</v>
      </c>
      <c r="AG75" s="396" t="s">
        <v>160</v>
      </c>
      <c r="AH75" s="396" t="s">
        <v>160</v>
      </c>
      <c r="AI75" s="396" t="s">
        <v>160</v>
      </c>
      <c r="AJ75" s="396" t="s">
        <v>160</v>
      </c>
      <c r="AK75" s="396" t="s">
        <v>160</v>
      </c>
      <c r="AL75" s="393" t="s">
        <v>160</v>
      </c>
      <c r="AM75" s="397" t="s">
        <v>160</v>
      </c>
      <c r="AN75" s="367"/>
      <c r="AO75" s="398" t="s">
        <v>160</v>
      </c>
      <c r="AP75" s="393" t="s">
        <v>160</v>
      </c>
      <c r="AQ75" s="393" t="s">
        <v>160</v>
      </c>
      <c r="AR75" s="393" t="s">
        <v>160</v>
      </c>
      <c r="AS75" s="394" t="s">
        <v>160</v>
      </c>
      <c r="AT75" s="367"/>
      <c r="AU75" s="392" t="s">
        <v>160</v>
      </c>
      <c r="AV75" s="393" t="s">
        <v>160</v>
      </c>
      <c r="AW75" s="393" t="s">
        <v>160</v>
      </c>
      <c r="AX75" s="393" t="s">
        <v>160</v>
      </c>
      <c r="AY75" s="394" t="s">
        <v>160</v>
      </c>
      <c r="AZ75" s="367"/>
      <c r="BA75" s="399">
        <f t="shared" si="4"/>
        <v>9.4539186650106688E-2</v>
      </c>
      <c r="BB75" s="400">
        <f t="shared" si="5"/>
        <v>0.19000042833890174</v>
      </c>
      <c r="BE75" t="s">
        <v>77</v>
      </c>
      <c r="BF75" t="s">
        <v>656</v>
      </c>
    </row>
    <row r="76" spans="1:58" ht="12.75" customHeight="1" outlineLevel="1" x14ac:dyDescent="0.2">
      <c r="A76" s="364" t="s">
        <v>77</v>
      </c>
      <c r="B76" s="365">
        <v>41974</v>
      </c>
      <c r="C76" s="389">
        <f t="shared" si="6"/>
        <v>376399</v>
      </c>
      <c r="D76" s="390">
        <v>353999</v>
      </c>
      <c r="E76" s="391">
        <v>22400</v>
      </c>
      <c r="F76" s="367"/>
      <c r="G76" s="389">
        <f t="shared" si="3"/>
        <v>351</v>
      </c>
      <c r="H76" s="656">
        <v>297.5</v>
      </c>
      <c r="I76" s="657">
        <v>53.5</v>
      </c>
      <c r="J76" s="367"/>
      <c r="K76" s="392">
        <v>199721</v>
      </c>
      <c r="L76" s="391">
        <v>46940</v>
      </c>
      <c r="M76" s="367"/>
      <c r="N76" s="392">
        <v>97562.124400000001</v>
      </c>
      <c r="O76" s="391">
        <v>256436.8756</v>
      </c>
      <c r="P76" s="367"/>
      <c r="Q76" s="392" t="s">
        <v>160</v>
      </c>
      <c r="R76" s="391" t="s">
        <v>160</v>
      </c>
      <c r="S76" s="367"/>
      <c r="T76" s="392" t="s">
        <v>160</v>
      </c>
      <c r="U76" s="390" t="s">
        <v>160</v>
      </c>
      <c r="V76" s="390" t="s">
        <v>160</v>
      </c>
      <c r="W76" s="390" t="s">
        <v>160</v>
      </c>
      <c r="X76" s="390" t="s">
        <v>160</v>
      </c>
      <c r="Y76" s="390" t="s">
        <v>160</v>
      </c>
      <c r="Z76" s="390" t="s">
        <v>160</v>
      </c>
      <c r="AA76" s="390" t="s">
        <v>160</v>
      </c>
      <c r="AB76" s="391" t="s">
        <v>160</v>
      </c>
      <c r="AC76" s="367"/>
      <c r="AD76" s="365">
        <f t="shared" si="7"/>
        <v>41974</v>
      </c>
      <c r="AE76" s="395" t="s">
        <v>160</v>
      </c>
      <c r="AF76" s="396" t="s">
        <v>160</v>
      </c>
      <c r="AG76" s="396" t="s">
        <v>160</v>
      </c>
      <c r="AH76" s="396" t="s">
        <v>160</v>
      </c>
      <c r="AI76" s="396" t="s">
        <v>160</v>
      </c>
      <c r="AJ76" s="396" t="s">
        <v>160</v>
      </c>
      <c r="AK76" s="396" t="s">
        <v>160</v>
      </c>
      <c r="AL76" s="393" t="s">
        <v>160</v>
      </c>
      <c r="AM76" s="397" t="s">
        <v>160</v>
      </c>
      <c r="AN76" s="367"/>
      <c r="AO76" s="398" t="s">
        <v>160</v>
      </c>
      <c r="AP76" s="393" t="s">
        <v>160</v>
      </c>
      <c r="AQ76" s="393" t="s">
        <v>160</v>
      </c>
      <c r="AR76" s="393" t="s">
        <v>160</v>
      </c>
      <c r="AS76" s="394" t="s">
        <v>160</v>
      </c>
      <c r="AT76" s="367"/>
      <c r="AU76" s="392" t="s">
        <v>160</v>
      </c>
      <c r="AV76" s="393" t="s">
        <v>160</v>
      </c>
      <c r="AW76" s="393" t="s">
        <v>160</v>
      </c>
      <c r="AX76" s="393" t="s">
        <v>160</v>
      </c>
      <c r="AY76" s="394" t="s">
        <v>160</v>
      </c>
      <c r="AZ76" s="367"/>
      <c r="BA76" s="399">
        <f t="shared" si="4"/>
        <v>0.11215645825927169</v>
      </c>
      <c r="BB76" s="400">
        <f t="shared" si="5"/>
        <v>0.13259924463063455</v>
      </c>
      <c r="BE76" t="s">
        <v>77</v>
      </c>
      <c r="BF76" t="s">
        <v>656</v>
      </c>
    </row>
    <row r="77" spans="1:58" ht="12.75" customHeight="1" outlineLevel="1" x14ac:dyDescent="0.2">
      <c r="A77" s="364" t="s">
        <v>87</v>
      </c>
      <c r="B77" s="365">
        <v>42005</v>
      </c>
      <c r="C77" s="401">
        <f t="shared" si="6"/>
        <v>259114</v>
      </c>
      <c r="D77" s="402">
        <v>244266</v>
      </c>
      <c r="E77" s="404">
        <v>14848</v>
      </c>
      <c r="F77" s="367"/>
      <c r="G77" s="401">
        <f t="shared" si="3"/>
        <v>325.2</v>
      </c>
      <c r="H77" s="411">
        <v>256.2</v>
      </c>
      <c r="I77" s="406">
        <v>69</v>
      </c>
      <c r="J77" s="367"/>
      <c r="K77" s="405">
        <v>194712</v>
      </c>
      <c r="L77" s="404">
        <v>27994</v>
      </c>
      <c r="M77" s="367"/>
      <c r="N77" s="405">
        <v>51906.525000000001</v>
      </c>
      <c r="O77" s="404">
        <v>192359.47500000001</v>
      </c>
      <c r="P77" s="367"/>
      <c r="Q77" s="405">
        <v>797008</v>
      </c>
      <c r="R77" s="406">
        <v>3.2628558094216573</v>
      </c>
      <c r="S77" s="367"/>
      <c r="T77" s="405">
        <v>46885</v>
      </c>
      <c r="U77" s="402">
        <v>39462</v>
      </c>
      <c r="V77" s="402">
        <v>50296</v>
      </c>
      <c r="W77" s="402">
        <v>12552</v>
      </c>
      <c r="X77" s="402">
        <v>21387</v>
      </c>
      <c r="Y77" s="402">
        <v>12581</v>
      </c>
      <c r="Z77" s="402">
        <v>10041</v>
      </c>
      <c r="AA77" s="402" t="s">
        <v>160</v>
      </c>
      <c r="AB77" s="404">
        <v>51063</v>
      </c>
      <c r="AC77" s="367"/>
      <c r="AD77" s="365">
        <f t="shared" si="7"/>
        <v>42005</v>
      </c>
      <c r="AE77" s="405" t="s">
        <v>160</v>
      </c>
      <c r="AF77" s="402" t="s">
        <v>160</v>
      </c>
      <c r="AG77" s="402" t="s">
        <v>160</v>
      </c>
      <c r="AH77" s="402" t="s">
        <v>160</v>
      </c>
      <c r="AI77" s="402" t="s">
        <v>160</v>
      </c>
      <c r="AJ77" s="402" t="s">
        <v>160</v>
      </c>
      <c r="AK77" s="402" t="s">
        <v>160</v>
      </c>
      <c r="AL77" s="402" t="s">
        <v>160</v>
      </c>
      <c r="AM77" s="404" t="s">
        <v>160</v>
      </c>
      <c r="AN77" s="367"/>
      <c r="AO77" s="405">
        <v>11673.297869090906</v>
      </c>
      <c r="AP77" s="402">
        <v>45313.156946666742</v>
      </c>
      <c r="AQ77" s="402">
        <v>31626.062713333253</v>
      </c>
      <c r="AR77" s="402">
        <v>116580.05274484861</v>
      </c>
      <c r="AS77" s="404">
        <v>40168.449804848366</v>
      </c>
      <c r="AT77" s="367"/>
      <c r="AU77" s="405" t="s">
        <v>160</v>
      </c>
      <c r="AV77" s="402" t="s">
        <v>160</v>
      </c>
      <c r="AW77" s="402" t="s">
        <v>160</v>
      </c>
      <c r="AX77" s="402" t="s">
        <v>160</v>
      </c>
      <c r="AY77" s="404" t="s">
        <v>160</v>
      </c>
      <c r="AZ77" s="367"/>
      <c r="BA77" s="408">
        <f t="shared" si="4"/>
        <v>7.6256214306257453E-2</v>
      </c>
      <c r="BB77" s="409">
        <f t="shared" si="5"/>
        <v>0.11460457042732103</v>
      </c>
      <c r="BE77" t="s">
        <v>87</v>
      </c>
      <c r="BF77" t="s">
        <v>657</v>
      </c>
    </row>
    <row r="78" spans="1:58" ht="12.75" customHeight="1" outlineLevel="1" x14ac:dyDescent="0.2">
      <c r="A78" s="364" t="s">
        <v>87</v>
      </c>
      <c r="B78" s="365">
        <v>42036</v>
      </c>
      <c r="C78" s="401">
        <f t="shared" si="6"/>
        <v>208653</v>
      </c>
      <c r="D78" s="402">
        <v>179263</v>
      </c>
      <c r="E78" s="404">
        <v>29390</v>
      </c>
      <c r="F78" s="367"/>
      <c r="G78" s="401">
        <f t="shared" si="3"/>
        <v>329</v>
      </c>
      <c r="H78" s="411">
        <v>251</v>
      </c>
      <c r="I78" s="406">
        <v>78</v>
      </c>
      <c r="J78" s="367"/>
      <c r="K78" s="405">
        <v>196154</v>
      </c>
      <c r="L78" s="404">
        <v>27833</v>
      </c>
      <c r="M78" s="367"/>
      <c r="N78" s="405">
        <v>43829.803500000002</v>
      </c>
      <c r="O78" s="404">
        <v>135433.19649999999</v>
      </c>
      <c r="P78" s="367"/>
      <c r="Q78" s="405">
        <v>695068</v>
      </c>
      <c r="R78" s="406">
        <v>3.877364542599421</v>
      </c>
      <c r="S78" s="367"/>
      <c r="T78" s="405">
        <v>28041</v>
      </c>
      <c r="U78" s="402">
        <v>30997</v>
      </c>
      <c r="V78" s="402">
        <v>36332</v>
      </c>
      <c r="W78" s="402">
        <v>11482</v>
      </c>
      <c r="X78" s="402">
        <v>14792</v>
      </c>
      <c r="Y78" s="402">
        <v>12605</v>
      </c>
      <c r="Z78" s="402">
        <v>9786</v>
      </c>
      <c r="AA78" s="402" t="s">
        <v>160</v>
      </c>
      <c r="AB78" s="404">
        <v>35228</v>
      </c>
      <c r="AC78" s="367"/>
      <c r="AD78" s="365">
        <f t="shared" si="7"/>
        <v>42036</v>
      </c>
      <c r="AE78" s="405" t="s">
        <v>160</v>
      </c>
      <c r="AF78" s="402" t="s">
        <v>160</v>
      </c>
      <c r="AG78" s="402" t="s">
        <v>160</v>
      </c>
      <c r="AH78" s="402" t="s">
        <v>160</v>
      </c>
      <c r="AI78" s="402" t="s">
        <v>160</v>
      </c>
      <c r="AJ78" s="402" t="s">
        <v>160</v>
      </c>
      <c r="AK78" s="402" t="s">
        <v>160</v>
      </c>
      <c r="AL78" s="402" t="s">
        <v>160</v>
      </c>
      <c r="AM78" s="404" t="s">
        <v>160</v>
      </c>
      <c r="AN78" s="367"/>
      <c r="AO78" s="405">
        <v>8576.2678527272765</v>
      </c>
      <c r="AP78" s="402">
        <v>33079.998933333271</v>
      </c>
      <c r="AQ78" s="402">
        <v>23058.002146666728</v>
      </c>
      <c r="AR78" s="402">
        <v>85812.654878787929</v>
      </c>
      <c r="AS78" s="404">
        <v>29524.072878787934</v>
      </c>
      <c r="AT78" s="367"/>
      <c r="AU78" s="405" t="s">
        <v>160</v>
      </c>
      <c r="AV78" s="402" t="s">
        <v>160</v>
      </c>
      <c r="AW78" s="402" t="s">
        <v>160</v>
      </c>
      <c r="AX78" s="402" t="s">
        <v>160</v>
      </c>
      <c r="AY78" s="404" t="s">
        <v>160</v>
      </c>
      <c r="AZ78" s="367"/>
      <c r="BA78" s="408">
        <f t="shared" si="4"/>
        <v>0.14983125503430977</v>
      </c>
      <c r="BB78" s="409">
        <f t="shared" si="5"/>
        <v>0.15526349553449401</v>
      </c>
      <c r="BE78" t="s">
        <v>87</v>
      </c>
      <c r="BF78" t="s">
        <v>657</v>
      </c>
    </row>
    <row r="79" spans="1:58" ht="12.75" customHeight="1" outlineLevel="1" x14ac:dyDescent="0.2">
      <c r="A79" s="364" t="s">
        <v>87</v>
      </c>
      <c r="B79" s="365">
        <v>42064</v>
      </c>
      <c r="C79" s="401">
        <f t="shared" si="6"/>
        <v>256013</v>
      </c>
      <c r="D79" s="402">
        <v>226336</v>
      </c>
      <c r="E79" s="404">
        <v>29677</v>
      </c>
      <c r="F79" s="367"/>
      <c r="G79" s="401">
        <f t="shared" si="3"/>
        <v>360.3</v>
      </c>
      <c r="H79" s="411">
        <v>255.8</v>
      </c>
      <c r="I79" s="406">
        <v>104.5</v>
      </c>
      <c r="J79" s="367"/>
      <c r="K79" s="405">
        <v>245706</v>
      </c>
      <c r="L79" s="404">
        <v>42103</v>
      </c>
      <c r="M79" s="367"/>
      <c r="N79" s="405">
        <v>63306.179199999999</v>
      </c>
      <c r="O79" s="404">
        <v>163029.82079999999</v>
      </c>
      <c r="P79" s="367"/>
      <c r="Q79" s="405">
        <v>844118</v>
      </c>
      <c r="R79" s="406">
        <v>3.7294906687402798</v>
      </c>
      <c r="S79" s="367"/>
      <c r="T79" s="405">
        <v>37003</v>
      </c>
      <c r="U79" s="402">
        <v>34893</v>
      </c>
      <c r="V79" s="402">
        <v>41245</v>
      </c>
      <c r="W79" s="402">
        <v>17091</v>
      </c>
      <c r="X79" s="402">
        <v>22776</v>
      </c>
      <c r="Y79" s="402">
        <v>17149</v>
      </c>
      <c r="Z79" s="402">
        <v>13029</v>
      </c>
      <c r="AA79" s="402" t="s">
        <v>160</v>
      </c>
      <c r="AB79" s="404">
        <v>43150</v>
      </c>
      <c r="AC79" s="367"/>
      <c r="AD79" s="365">
        <f t="shared" si="7"/>
        <v>42064</v>
      </c>
      <c r="AE79" s="405" t="s">
        <v>160</v>
      </c>
      <c r="AF79" s="402" t="s">
        <v>160</v>
      </c>
      <c r="AG79" s="402" t="s">
        <v>160</v>
      </c>
      <c r="AH79" s="402" t="s">
        <v>160</v>
      </c>
      <c r="AI79" s="402" t="s">
        <v>160</v>
      </c>
      <c r="AJ79" s="402" t="s">
        <v>160</v>
      </c>
      <c r="AK79" s="402" t="s">
        <v>160</v>
      </c>
      <c r="AL79" s="402" t="s">
        <v>160</v>
      </c>
      <c r="AM79" s="404" t="s">
        <v>160</v>
      </c>
      <c r="AN79" s="367"/>
      <c r="AO79" s="405">
        <v>10840.259840000012</v>
      </c>
      <c r="AP79" s="402">
        <v>41546.23616</v>
      </c>
      <c r="AQ79" s="402">
        <v>28921.214080000002</v>
      </c>
      <c r="AR79" s="402">
        <v>108670.49792000002</v>
      </c>
      <c r="AS79" s="404">
        <v>37333.917440000019</v>
      </c>
      <c r="AT79" s="367"/>
      <c r="AU79" s="405" t="s">
        <v>160</v>
      </c>
      <c r="AV79" s="402" t="s">
        <v>160</v>
      </c>
      <c r="AW79" s="402" t="s">
        <v>160</v>
      </c>
      <c r="AX79" s="402" t="s">
        <v>160</v>
      </c>
      <c r="AY79" s="404" t="s">
        <v>160</v>
      </c>
      <c r="AZ79" s="367"/>
      <c r="BA79" s="408">
        <f t="shared" si="4"/>
        <v>0.120782561272415</v>
      </c>
      <c r="BB79" s="409">
        <f t="shared" si="5"/>
        <v>0.18601989961826665</v>
      </c>
      <c r="BE79" t="s">
        <v>87</v>
      </c>
      <c r="BF79" t="s">
        <v>657</v>
      </c>
    </row>
    <row r="80" spans="1:58" ht="12.75" customHeight="1" outlineLevel="1" x14ac:dyDescent="0.2">
      <c r="A80" s="364" t="s">
        <v>88</v>
      </c>
      <c r="B80" s="365">
        <v>42095</v>
      </c>
      <c r="C80" s="401">
        <f t="shared" si="6"/>
        <v>239777</v>
      </c>
      <c r="D80" s="402">
        <v>212002</v>
      </c>
      <c r="E80" s="404">
        <v>27775</v>
      </c>
      <c r="F80" s="367"/>
      <c r="G80" s="401">
        <f t="shared" si="3"/>
        <v>367.20000000000005</v>
      </c>
      <c r="H80" s="411">
        <v>235.8</v>
      </c>
      <c r="I80" s="406">
        <v>131.4</v>
      </c>
      <c r="J80" s="367"/>
      <c r="K80" s="405">
        <v>211347</v>
      </c>
      <c r="L80" s="404">
        <v>39366</v>
      </c>
      <c r="M80" s="367"/>
      <c r="N80" s="405">
        <v>63706.600999999995</v>
      </c>
      <c r="O80" s="404">
        <v>148295.399</v>
      </c>
      <c r="P80" s="367"/>
      <c r="Q80" s="405">
        <v>790881</v>
      </c>
      <c r="R80" s="406">
        <v>3.7305355609852735</v>
      </c>
      <c r="S80" s="367"/>
      <c r="T80" s="405">
        <v>34108</v>
      </c>
      <c r="U80" s="402">
        <v>31140</v>
      </c>
      <c r="V80" s="402">
        <v>38859</v>
      </c>
      <c r="W80" s="402">
        <v>15792</v>
      </c>
      <c r="X80" s="402">
        <v>20575</v>
      </c>
      <c r="Y80" s="402">
        <v>16460</v>
      </c>
      <c r="Z80" s="402">
        <v>13674</v>
      </c>
      <c r="AA80" s="402" t="s">
        <v>160</v>
      </c>
      <c r="AB80" s="404">
        <v>41394</v>
      </c>
      <c r="AC80" s="367"/>
      <c r="AD80" s="365">
        <f t="shared" si="7"/>
        <v>42095</v>
      </c>
      <c r="AE80" s="405" t="s">
        <v>160</v>
      </c>
      <c r="AF80" s="402" t="s">
        <v>160</v>
      </c>
      <c r="AG80" s="402" t="s">
        <v>160</v>
      </c>
      <c r="AH80" s="402" t="s">
        <v>160</v>
      </c>
      <c r="AI80" s="402" t="s">
        <v>160</v>
      </c>
      <c r="AJ80" s="402" t="s">
        <v>160</v>
      </c>
      <c r="AK80" s="402" t="s">
        <v>160</v>
      </c>
      <c r="AL80" s="402" t="s">
        <v>160</v>
      </c>
      <c r="AM80" s="404" t="s">
        <v>160</v>
      </c>
      <c r="AN80" s="367"/>
      <c r="AO80" s="405">
        <v>10164.917712727267</v>
      </c>
      <c r="AP80" s="402">
        <v>38708.738506666741</v>
      </c>
      <c r="AQ80" s="402">
        <v>26910.120533333265</v>
      </c>
      <c r="AR80" s="402">
        <v>102091.94009212119</v>
      </c>
      <c r="AS80" s="404">
        <v>35022.987372121184</v>
      </c>
      <c r="AT80" s="367"/>
      <c r="AU80" s="405" t="s">
        <v>160</v>
      </c>
      <c r="AV80" s="402" t="s">
        <v>160</v>
      </c>
      <c r="AW80" s="402" t="s">
        <v>160</v>
      </c>
      <c r="AX80" s="402" t="s">
        <v>160</v>
      </c>
      <c r="AY80" s="404" t="s">
        <v>160</v>
      </c>
      <c r="AZ80" s="367"/>
      <c r="BA80" s="408">
        <f t="shared" si="4"/>
        <v>0.13141894609339144</v>
      </c>
      <c r="BB80" s="409">
        <f t="shared" si="5"/>
        <v>0.1856869274818162</v>
      </c>
      <c r="BE80" t="s">
        <v>88</v>
      </c>
      <c r="BF80" t="s">
        <v>658</v>
      </c>
    </row>
    <row r="81" spans="1:58" ht="12.75" customHeight="1" outlineLevel="1" x14ac:dyDescent="0.2">
      <c r="A81" s="364" t="s">
        <v>88</v>
      </c>
      <c r="B81" s="365">
        <v>42125</v>
      </c>
      <c r="C81" s="401">
        <f t="shared" si="6"/>
        <v>243196</v>
      </c>
      <c r="D81" s="402">
        <v>205234</v>
      </c>
      <c r="E81" s="404">
        <v>37962</v>
      </c>
      <c r="F81" s="367"/>
      <c r="G81" s="401">
        <f t="shared" si="3"/>
        <v>361.1</v>
      </c>
      <c r="H81" s="411">
        <v>224.9</v>
      </c>
      <c r="I81" s="406">
        <v>136.19999999999999</v>
      </c>
      <c r="J81" s="367"/>
      <c r="K81" s="405">
        <v>205355</v>
      </c>
      <c r="L81" s="404">
        <v>33522</v>
      </c>
      <c r="M81" s="367"/>
      <c r="N81" s="405">
        <v>62924.744399999996</v>
      </c>
      <c r="O81" s="404">
        <v>142309.2556</v>
      </c>
      <c r="P81" s="367"/>
      <c r="Q81" s="405">
        <v>823333</v>
      </c>
      <c r="R81" s="406">
        <v>4.0116793513745286</v>
      </c>
      <c r="S81" s="367"/>
      <c r="T81" s="405">
        <v>30636</v>
      </c>
      <c r="U81" s="402">
        <v>30281</v>
      </c>
      <c r="V81" s="402">
        <v>39158</v>
      </c>
      <c r="W81" s="402">
        <v>14820</v>
      </c>
      <c r="X81" s="402">
        <v>19282</v>
      </c>
      <c r="Y81" s="402">
        <v>16405</v>
      </c>
      <c r="Z81" s="402">
        <v>13032</v>
      </c>
      <c r="AA81" s="402" t="s">
        <v>160</v>
      </c>
      <c r="AB81" s="404">
        <v>41620</v>
      </c>
      <c r="AC81" s="367"/>
      <c r="AD81" s="365">
        <f t="shared" si="7"/>
        <v>42125</v>
      </c>
      <c r="AE81" s="405" t="s">
        <v>160</v>
      </c>
      <c r="AF81" s="402" t="s">
        <v>160</v>
      </c>
      <c r="AG81" s="402" t="s">
        <v>160</v>
      </c>
      <c r="AH81" s="402" t="s">
        <v>160</v>
      </c>
      <c r="AI81" s="402" t="s">
        <v>160</v>
      </c>
      <c r="AJ81" s="402" t="s">
        <v>160</v>
      </c>
      <c r="AK81" s="402" t="s">
        <v>160</v>
      </c>
      <c r="AL81" s="402" t="s">
        <v>160</v>
      </c>
      <c r="AM81" s="404" t="s">
        <v>160</v>
      </c>
      <c r="AN81" s="367"/>
      <c r="AO81" s="405">
        <v>9851.232</v>
      </c>
      <c r="AP81" s="402">
        <v>37273.230853333262</v>
      </c>
      <c r="AQ81" s="402">
        <v>25877.270946666737</v>
      </c>
      <c r="AR81" s="402">
        <v>99126.653773333266</v>
      </c>
      <c r="AS81" s="404">
        <v>33956.649413333267</v>
      </c>
      <c r="AT81" s="367"/>
      <c r="AU81" s="405" t="s">
        <v>160</v>
      </c>
      <c r="AV81" s="402" t="s">
        <v>160</v>
      </c>
      <c r="AW81" s="402" t="s">
        <v>160</v>
      </c>
      <c r="AX81" s="402" t="s">
        <v>160</v>
      </c>
      <c r="AY81" s="404" t="s">
        <v>160</v>
      </c>
      <c r="AZ81" s="367"/>
      <c r="BA81" s="408">
        <f t="shared" si="4"/>
        <v>0.1848603637603175</v>
      </c>
      <c r="BB81" s="409">
        <f t="shared" si="5"/>
        <v>0.16333550971086663</v>
      </c>
      <c r="BE81" t="s">
        <v>88</v>
      </c>
      <c r="BF81" t="s">
        <v>658</v>
      </c>
    </row>
    <row r="82" spans="1:58" ht="12.75" customHeight="1" outlineLevel="1" x14ac:dyDescent="0.2">
      <c r="A82" s="364" t="s">
        <v>88</v>
      </c>
      <c r="B82" s="365">
        <v>42156</v>
      </c>
      <c r="C82" s="401">
        <f t="shared" si="6"/>
        <v>250245</v>
      </c>
      <c r="D82" s="402">
        <v>204898</v>
      </c>
      <c r="E82" s="404">
        <v>45347</v>
      </c>
      <c r="F82" s="367"/>
      <c r="G82" s="401">
        <f t="shared" si="3"/>
        <v>338.8</v>
      </c>
      <c r="H82" s="411">
        <v>236.8</v>
      </c>
      <c r="I82" s="406">
        <v>102</v>
      </c>
      <c r="J82" s="367"/>
      <c r="K82" s="405">
        <v>181102</v>
      </c>
      <c r="L82" s="404">
        <v>42140</v>
      </c>
      <c r="M82" s="367"/>
      <c r="N82" s="405">
        <v>58908.174999999996</v>
      </c>
      <c r="O82" s="404">
        <v>145989.82500000001</v>
      </c>
      <c r="P82" s="367"/>
      <c r="Q82" s="405">
        <v>855509</v>
      </c>
      <c r="R82" s="406">
        <v>4.175292096555359</v>
      </c>
      <c r="S82" s="367"/>
      <c r="T82" s="405">
        <v>27471</v>
      </c>
      <c r="U82" s="402">
        <v>30125</v>
      </c>
      <c r="V82" s="402">
        <v>40134</v>
      </c>
      <c r="W82" s="402">
        <v>15191</v>
      </c>
      <c r="X82" s="402">
        <v>20962</v>
      </c>
      <c r="Y82" s="402">
        <v>17517</v>
      </c>
      <c r="Z82" s="402">
        <v>13646</v>
      </c>
      <c r="AA82" s="402" t="s">
        <v>160</v>
      </c>
      <c r="AB82" s="404">
        <v>39852</v>
      </c>
      <c r="AC82" s="367"/>
      <c r="AD82" s="365">
        <f t="shared" si="7"/>
        <v>42156</v>
      </c>
      <c r="AE82" s="405" t="s">
        <v>160</v>
      </c>
      <c r="AF82" s="402" t="s">
        <v>160</v>
      </c>
      <c r="AG82" s="402" t="s">
        <v>160</v>
      </c>
      <c r="AH82" s="402" t="s">
        <v>160</v>
      </c>
      <c r="AI82" s="402" t="s">
        <v>160</v>
      </c>
      <c r="AJ82" s="402" t="s">
        <v>160</v>
      </c>
      <c r="AK82" s="402" t="s">
        <v>160</v>
      </c>
      <c r="AL82" s="402" t="s">
        <v>160</v>
      </c>
      <c r="AM82" s="404" t="s">
        <v>160</v>
      </c>
      <c r="AN82" s="367"/>
      <c r="AO82" s="405">
        <v>9845.9077127272794</v>
      </c>
      <c r="AP82" s="402">
        <v>37012.774720000001</v>
      </c>
      <c r="AQ82" s="402">
        <v>25661.425519999997</v>
      </c>
      <c r="AR82" s="402">
        <v>99257.806785454639</v>
      </c>
      <c r="AS82" s="404">
        <v>33952.716225454431</v>
      </c>
      <c r="AT82" s="367"/>
      <c r="AU82" s="405" t="s">
        <v>160</v>
      </c>
      <c r="AV82" s="402" t="s">
        <v>160</v>
      </c>
      <c r="AW82" s="402" t="s">
        <v>160</v>
      </c>
      <c r="AX82" s="402" t="s">
        <v>160</v>
      </c>
      <c r="AY82" s="404" t="s">
        <v>160</v>
      </c>
      <c r="AZ82" s="367"/>
      <c r="BA82" s="408">
        <f t="shared" si="4"/>
        <v>0.25039480513743634</v>
      </c>
      <c r="BB82" s="409">
        <f t="shared" si="5"/>
        <v>0.20566330564475982</v>
      </c>
      <c r="BE82" t="s">
        <v>88</v>
      </c>
      <c r="BF82" t="s">
        <v>658</v>
      </c>
    </row>
    <row r="83" spans="1:58" ht="12.75" customHeight="1" outlineLevel="1" x14ac:dyDescent="0.2">
      <c r="A83" s="364" t="s">
        <v>378</v>
      </c>
      <c r="B83" s="365">
        <v>42186</v>
      </c>
      <c r="C83" s="401">
        <f t="shared" si="6"/>
        <v>245502</v>
      </c>
      <c r="D83" s="402">
        <v>219697</v>
      </c>
      <c r="E83" s="404">
        <v>25805</v>
      </c>
      <c r="F83" s="367"/>
      <c r="G83" s="401">
        <f t="shared" si="3"/>
        <v>345.6</v>
      </c>
      <c r="H83" s="411">
        <v>206.9</v>
      </c>
      <c r="I83" s="406">
        <v>138.69999999999999</v>
      </c>
      <c r="J83" s="367"/>
      <c r="K83" s="405">
        <v>215646</v>
      </c>
      <c r="L83" s="404">
        <v>37952</v>
      </c>
      <c r="M83" s="367"/>
      <c r="N83" s="405">
        <v>63053.038999999997</v>
      </c>
      <c r="O83" s="404">
        <v>156643.96100000001</v>
      </c>
      <c r="P83" s="367"/>
      <c r="Q83" s="405">
        <v>928057</v>
      </c>
      <c r="R83" s="406">
        <v>4.2242396380485943</v>
      </c>
      <c r="S83" s="367"/>
      <c r="T83" s="405">
        <v>30837</v>
      </c>
      <c r="U83" s="402">
        <v>31166</v>
      </c>
      <c r="V83" s="402">
        <v>42505</v>
      </c>
      <c r="W83" s="402">
        <v>16577</v>
      </c>
      <c r="X83" s="402">
        <v>21382</v>
      </c>
      <c r="Y83" s="402">
        <v>18019</v>
      </c>
      <c r="Z83" s="402">
        <v>12330</v>
      </c>
      <c r="AA83" s="402" t="s">
        <v>160</v>
      </c>
      <c r="AB83" s="404">
        <v>46882</v>
      </c>
      <c r="AC83" s="367"/>
      <c r="AD83" s="365">
        <f t="shared" si="7"/>
        <v>42186</v>
      </c>
      <c r="AE83" s="405" t="s">
        <v>160</v>
      </c>
      <c r="AF83" s="402" t="s">
        <v>160</v>
      </c>
      <c r="AG83" s="402" t="s">
        <v>160</v>
      </c>
      <c r="AH83" s="402" t="s">
        <v>160</v>
      </c>
      <c r="AI83" s="402" t="s">
        <v>160</v>
      </c>
      <c r="AJ83" s="402" t="s">
        <v>160</v>
      </c>
      <c r="AK83" s="402" t="s">
        <v>160</v>
      </c>
      <c r="AL83" s="402" t="s">
        <v>160</v>
      </c>
      <c r="AM83" s="404" t="s">
        <v>160</v>
      </c>
      <c r="AN83" s="367"/>
      <c r="AO83" s="405">
        <v>10568.672152727262</v>
      </c>
      <c r="AP83" s="402">
        <v>39472.407333333409</v>
      </c>
      <c r="AQ83" s="402">
        <v>27328.966546666594</v>
      </c>
      <c r="AR83" s="402">
        <v>106741.93767878793</v>
      </c>
      <c r="AS83" s="404">
        <v>36460.547478787928</v>
      </c>
      <c r="AT83" s="367"/>
      <c r="AU83" s="405" t="s">
        <v>160</v>
      </c>
      <c r="AV83" s="402" t="s">
        <v>160</v>
      </c>
      <c r="AW83" s="402" t="s">
        <v>160</v>
      </c>
      <c r="AX83" s="402" t="s">
        <v>160</v>
      </c>
      <c r="AY83" s="404" t="s">
        <v>160</v>
      </c>
      <c r="AZ83" s="367"/>
      <c r="BA83" s="408">
        <f t="shared" si="4"/>
        <v>0.11966370811422423</v>
      </c>
      <c r="BB83" s="409">
        <f t="shared" si="5"/>
        <v>0.17274701065558473</v>
      </c>
      <c r="BE83" t="s">
        <v>378</v>
      </c>
      <c r="BF83" t="s">
        <v>659</v>
      </c>
    </row>
    <row r="84" spans="1:58" ht="12.75" customHeight="1" outlineLevel="1" x14ac:dyDescent="0.2">
      <c r="A84" s="364" t="s">
        <v>378</v>
      </c>
      <c r="B84" s="365">
        <v>42217</v>
      </c>
      <c r="C84" s="401">
        <f t="shared" si="6"/>
        <v>232590</v>
      </c>
      <c r="D84" s="402">
        <v>200108</v>
      </c>
      <c r="E84" s="404">
        <v>32482</v>
      </c>
      <c r="F84" s="367"/>
      <c r="G84" s="401">
        <f t="shared" si="3"/>
        <v>357.8</v>
      </c>
      <c r="H84" s="411">
        <v>207.9</v>
      </c>
      <c r="I84" s="406">
        <v>149.9</v>
      </c>
      <c r="J84" s="367"/>
      <c r="K84" s="405">
        <v>211293</v>
      </c>
      <c r="L84" s="404">
        <v>35620</v>
      </c>
      <c r="M84" s="367"/>
      <c r="N84" s="405">
        <v>63834.452000000005</v>
      </c>
      <c r="O84" s="404">
        <v>136273.54800000001</v>
      </c>
      <c r="P84" s="367"/>
      <c r="Q84" s="405">
        <v>875067</v>
      </c>
      <c r="R84" s="406">
        <v>4.3729735942590997</v>
      </c>
      <c r="S84" s="367"/>
      <c r="T84" s="405">
        <v>26907</v>
      </c>
      <c r="U84" s="402">
        <v>28352</v>
      </c>
      <c r="V84" s="402">
        <v>40972</v>
      </c>
      <c r="W84" s="402">
        <v>14921</v>
      </c>
      <c r="X84" s="402">
        <v>20270</v>
      </c>
      <c r="Y84" s="402">
        <v>16045</v>
      </c>
      <c r="Z84" s="402">
        <v>13220</v>
      </c>
      <c r="AA84" s="402" t="s">
        <v>160</v>
      </c>
      <c r="AB84" s="404">
        <v>39421</v>
      </c>
      <c r="AC84" s="367"/>
      <c r="AD84" s="365">
        <f t="shared" si="7"/>
        <v>42217</v>
      </c>
      <c r="AE84" s="405" t="s">
        <v>160</v>
      </c>
      <c r="AF84" s="402" t="s">
        <v>160</v>
      </c>
      <c r="AG84" s="402" t="s">
        <v>160</v>
      </c>
      <c r="AH84" s="402" t="s">
        <v>160</v>
      </c>
      <c r="AI84" s="402" t="s">
        <v>160</v>
      </c>
      <c r="AJ84" s="402" t="s">
        <v>160</v>
      </c>
      <c r="AK84" s="402" t="s">
        <v>160</v>
      </c>
      <c r="AL84" s="402" t="s">
        <v>160</v>
      </c>
      <c r="AM84" s="404" t="s">
        <v>160</v>
      </c>
      <c r="AN84" s="367"/>
      <c r="AO84" s="405">
        <v>9636.8374472727246</v>
      </c>
      <c r="AP84" s="402">
        <v>35757.965546666601</v>
      </c>
      <c r="AQ84" s="402">
        <v>24722.676373333401</v>
      </c>
      <c r="AR84" s="402">
        <v>97510.56668121212</v>
      </c>
      <c r="AS84" s="404">
        <v>33259.890041212129</v>
      </c>
      <c r="AT84" s="367"/>
      <c r="AU84" s="405" t="s">
        <v>160</v>
      </c>
      <c r="AV84" s="402" t="s">
        <v>160</v>
      </c>
      <c r="AW84" s="402" t="s">
        <v>160</v>
      </c>
      <c r="AX84" s="402" t="s">
        <v>160</v>
      </c>
      <c r="AY84" s="404" t="s">
        <v>160</v>
      </c>
      <c r="AZ84" s="367"/>
      <c r="BA84" s="408">
        <f t="shared" si="4"/>
        <v>0.15372965502879887</v>
      </c>
      <c r="BB84" s="409">
        <f t="shared" si="5"/>
        <v>0.17800387790593081</v>
      </c>
      <c r="BE84" t="s">
        <v>378</v>
      </c>
      <c r="BF84" t="s">
        <v>659</v>
      </c>
    </row>
    <row r="85" spans="1:58" ht="12.75" customHeight="1" outlineLevel="1" x14ac:dyDescent="0.2">
      <c r="A85" s="364" t="s">
        <v>378</v>
      </c>
      <c r="B85" s="365">
        <v>42248</v>
      </c>
      <c r="C85" s="401">
        <f t="shared" si="6"/>
        <v>223654</v>
      </c>
      <c r="D85" s="402">
        <v>192846</v>
      </c>
      <c r="E85" s="404">
        <v>30808</v>
      </c>
      <c r="F85" s="367"/>
      <c r="G85" s="401">
        <f t="shared" si="3"/>
        <v>346.9</v>
      </c>
      <c r="H85" s="411">
        <v>214.2</v>
      </c>
      <c r="I85" s="406">
        <v>132.69999999999999</v>
      </c>
      <c r="J85" s="367"/>
      <c r="K85" s="405">
        <v>167065</v>
      </c>
      <c r="L85" s="404">
        <v>27115</v>
      </c>
      <c r="M85" s="367"/>
      <c r="N85" s="405">
        <v>57660.953999999998</v>
      </c>
      <c r="O85" s="404">
        <v>135185.046</v>
      </c>
      <c r="P85" s="367"/>
      <c r="Q85" s="405">
        <v>867525</v>
      </c>
      <c r="R85" s="406">
        <v>4.4985143663111167</v>
      </c>
      <c r="S85" s="367"/>
      <c r="T85" s="405">
        <v>27206</v>
      </c>
      <c r="U85" s="402">
        <v>26815</v>
      </c>
      <c r="V85" s="402">
        <v>37860</v>
      </c>
      <c r="W85" s="402">
        <v>14443</v>
      </c>
      <c r="X85" s="402">
        <v>19754</v>
      </c>
      <c r="Y85" s="402">
        <v>15357</v>
      </c>
      <c r="Z85" s="402">
        <v>13806</v>
      </c>
      <c r="AA85" s="402" t="s">
        <v>160</v>
      </c>
      <c r="AB85" s="404">
        <v>37606</v>
      </c>
      <c r="AC85" s="367"/>
      <c r="AD85" s="365">
        <f t="shared" si="7"/>
        <v>42248</v>
      </c>
      <c r="AE85" s="405" t="s">
        <v>160</v>
      </c>
      <c r="AF85" s="402" t="s">
        <v>160</v>
      </c>
      <c r="AG85" s="402" t="s">
        <v>160</v>
      </c>
      <c r="AH85" s="402" t="s">
        <v>160</v>
      </c>
      <c r="AI85" s="402" t="s">
        <v>160</v>
      </c>
      <c r="AJ85" s="402" t="s">
        <v>160</v>
      </c>
      <c r="AK85" s="402" t="s">
        <v>160</v>
      </c>
      <c r="AL85" s="402" t="s">
        <v>160</v>
      </c>
      <c r="AM85" s="404" t="s">
        <v>160</v>
      </c>
      <c r="AN85" s="367"/>
      <c r="AO85" s="405">
        <v>9297.3291854545478</v>
      </c>
      <c r="AP85" s="402">
        <v>34272.768839999997</v>
      </c>
      <c r="AQ85" s="402">
        <v>23662.3269</v>
      </c>
      <c r="AR85" s="402">
        <v>94248.53647090905</v>
      </c>
      <c r="AS85" s="404">
        <v>32101.662250909052</v>
      </c>
      <c r="AT85" s="367"/>
      <c r="AU85" s="405" t="s">
        <v>160</v>
      </c>
      <c r="AV85" s="402" t="s">
        <v>160</v>
      </c>
      <c r="AW85" s="402" t="s">
        <v>160</v>
      </c>
      <c r="AX85" s="402" t="s">
        <v>160</v>
      </c>
      <c r="AY85" s="404" t="s">
        <v>160</v>
      </c>
      <c r="AZ85" s="367"/>
      <c r="BA85" s="408">
        <f t="shared" ref="BA85:BA116" si="8">+E85/K85</f>
        <v>0.18440726663274773</v>
      </c>
      <c r="BB85" s="409">
        <f t="shared" ref="BB85:BB116" si="9">+L85/D85</f>
        <v>0.14060442010723584</v>
      </c>
      <c r="BE85" t="s">
        <v>378</v>
      </c>
      <c r="BF85" t="s">
        <v>659</v>
      </c>
    </row>
    <row r="86" spans="1:58" ht="12.75" customHeight="1" outlineLevel="1" x14ac:dyDescent="0.2">
      <c r="A86" s="364" t="s">
        <v>406</v>
      </c>
      <c r="B86" s="365">
        <v>42278</v>
      </c>
      <c r="C86" s="401">
        <f t="shared" si="6"/>
        <v>222544</v>
      </c>
      <c r="D86" s="402">
        <v>185484</v>
      </c>
      <c r="E86" s="404">
        <v>37060</v>
      </c>
      <c r="F86" s="367"/>
      <c r="G86" s="401">
        <f t="shared" si="3"/>
        <v>340.6</v>
      </c>
      <c r="H86" s="411">
        <v>201.7</v>
      </c>
      <c r="I86" s="406">
        <v>138.9</v>
      </c>
      <c r="J86" s="367"/>
      <c r="K86" s="405">
        <v>197037</v>
      </c>
      <c r="L86" s="404">
        <v>32286</v>
      </c>
      <c r="M86" s="367"/>
      <c r="N86" s="405">
        <v>57871.008000000002</v>
      </c>
      <c r="O86" s="404">
        <v>127612.992</v>
      </c>
      <c r="P86" s="367"/>
      <c r="Q86" s="405">
        <v>788880</v>
      </c>
      <c r="R86" s="406">
        <v>4.2530892152422854</v>
      </c>
      <c r="S86" s="367"/>
      <c r="T86" s="405">
        <v>30349</v>
      </c>
      <c r="U86" s="402">
        <v>25658</v>
      </c>
      <c r="V86" s="402">
        <v>35255</v>
      </c>
      <c r="W86" s="402">
        <v>13466</v>
      </c>
      <c r="X86" s="402">
        <v>18274</v>
      </c>
      <c r="Y86" s="402">
        <v>16494</v>
      </c>
      <c r="Z86" s="402">
        <v>12511</v>
      </c>
      <c r="AA86" s="402" t="s">
        <v>160</v>
      </c>
      <c r="AB86" s="404">
        <v>33477</v>
      </c>
      <c r="AC86" s="367"/>
      <c r="AD86" s="365">
        <f t="shared" si="7"/>
        <v>42278</v>
      </c>
      <c r="AE86" s="405" t="s">
        <v>160</v>
      </c>
      <c r="AF86" s="402" t="s">
        <v>160</v>
      </c>
      <c r="AG86" s="402" t="s">
        <v>160</v>
      </c>
      <c r="AH86" s="402" t="s">
        <v>160</v>
      </c>
      <c r="AI86" s="402" t="s">
        <v>160</v>
      </c>
      <c r="AJ86" s="402" t="s">
        <v>160</v>
      </c>
      <c r="AK86" s="402" t="s">
        <v>160</v>
      </c>
      <c r="AL86" s="402" t="s">
        <v>160</v>
      </c>
      <c r="AM86" s="404" t="s">
        <v>160</v>
      </c>
      <c r="AN86" s="367"/>
      <c r="AO86" s="405">
        <v>8952.1323272727332</v>
      </c>
      <c r="AP86" s="402">
        <v>32783.678720000062</v>
      </c>
      <c r="AQ86" s="402">
        <v>22601.843679999936</v>
      </c>
      <c r="AR86" s="402">
        <v>90915.713294545378</v>
      </c>
      <c r="AS86" s="404">
        <v>30922.768334545381</v>
      </c>
      <c r="AT86" s="367"/>
      <c r="AU86" s="405" t="s">
        <v>160</v>
      </c>
      <c r="AV86" s="402" t="s">
        <v>160</v>
      </c>
      <c r="AW86" s="402" t="s">
        <v>160</v>
      </c>
      <c r="AX86" s="402" t="s">
        <v>160</v>
      </c>
      <c r="AY86" s="404" t="s">
        <v>160</v>
      </c>
      <c r="AZ86" s="367"/>
      <c r="BA86" s="408">
        <f t="shared" si="8"/>
        <v>0.18808650152001907</v>
      </c>
      <c r="BB86" s="409">
        <f t="shared" si="9"/>
        <v>0.17406353108623923</v>
      </c>
      <c r="BE86" t="s">
        <v>406</v>
      </c>
      <c r="BF86" t="s">
        <v>660</v>
      </c>
    </row>
    <row r="87" spans="1:58" ht="12.75" customHeight="1" outlineLevel="1" x14ac:dyDescent="0.2">
      <c r="A87" s="364" t="s">
        <v>406</v>
      </c>
      <c r="B87" s="365">
        <v>42309</v>
      </c>
      <c r="C87" s="401">
        <f t="shared" si="6"/>
        <v>223005</v>
      </c>
      <c r="D87" s="402">
        <v>189550</v>
      </c>
      <c r="E87" s="404">
        <v>33455</v>
      </c>
      <c r="F87" s="367"/>
      <c r="G87" s="401">
        <f t="shared" si="3"/>
        <v>322.2</v>
      </c>
      <c r="H87" s="411">
        <v>200</v>
      </c>
      <c r="I87" s="406">
        <v>122.2</v>
      </c>
      <c r="J87" s="367"/>
      <c r="K87" s="405">
        <v>168719</v>
      </c>
      <c r="L87" s="404">
        <v>25344</v>
      </c>
      <c r="M87" s="367"/>
      <c r="N87" s="405">
        <v>59139.6</v>
      </c>
      <c r="O87" s="404">
        <v>130410.4</v>
      </c>
      <c r="P87" s="367"/>
      <c r="Q87" s="405">
        <v>782287</v>
      </c>
      <c r="R87" s="406">
        <v>4.127074650487998</v>
      </c>
      <c r="S87" s="367"/>
      <c r="T87" s="405">
        <v>30672</v>
      </c>
      <c r="U87" s="402">
        <v>24877</v>
      </c>
      <c r="V87" s="402">
        <v>36403</v>
      </c>
      <c r="W87" s="402">
        <v>13468</v>
      </c>
      <c r="X87" s="402">
        <v>19137</v>
      </c>
      <c r="Y87" s="402">
        <v>16185</v>
      </c>
      <c r="Z87" s="402">
        <v>13256</v>
      </c>
      <c r="AA87" s="402" t="s">
        <v>160</v>
      </c>
      <c r="AB87" s="404">
        <v>35552</v>
      </c>
      <c r="AC87" s="367"/>
      <c r="AD87" s="365">
        <f t="shared" si="7"/>
        <v>42309</v>
      </c>
      <c r="AE87" s="405" t="s">
        <v>160</v>
      </c>
      <c r="AF87" s="402" t="s">
        <v>160</v>
      </c>
      <c r="AG87" s="402" t="s">
        <v>160</v>
      </c>
      <c r="AH87" s="402" t="s">
        <v>160</v>
      </c>
      <c r="AI87" s="402" t="s">
        <v>160</v>
      </c>
      <c r="AJ87" s="402" t="s">
        <v>160</v>
      </c>
      <c r="AK87" s="402" t="s">
        <v>160</v>
      </c>
      <c r="AL87" s="402" t="s">
        <v>160</v>
      </c>
      <c r="AM87" s="404" t="s">
        <v>160</v>
      </c>
      <c r="AN87" s="367"/>
      <c r="AO87" s="405">
        <v>9158.3667272727216</v>
      </c>
      <c r="AP87" s="402">
        <v>33317.835333333271</v>
      </c>
      <c r="AQ87" s="402">
        <v>22936.813666666731</v>
      </c>
      <c r="AR87" s="402">
        <v>93180.137787878863</v>
      </c>
      <c r="AS87" s="404">
        <v>31648.416787878865</v>
      </c>
      <c r="AT87" s="367"/>
      <c r="AU87" s="405" t="s">
        <v>160</v>
      </c>
      <c r="AV87" s="402" t="s">
        <v>160</v>
      </c>
      <c r="AW87" s="402" t="s">
        <v>160</v>
      </c>
      <c r="AX87" s="402" t="s">
        <v>160</v>
      </c>
      <c r="AY87" s="404" t="s">
        <v>160</v>
      </c>
      <c r="AZ87" s="367"/>
      <c r="BA87" s="408">
        <f t="shared" si="8"/>
        <v>0.19828827814294775</v>
      </c>
      <c r="BB87" s="409">
        <f t="shared" si="9"/>
        <v>0.13370614613558429</v>
      </c>
      <c r="BE87" t="s">
        <v>406</v>
      </c>
      <c r="BF87" t="s">
        <v>660</v>
      </c>
    </row>
    <row r="88" spans="1:58" ht="12.75" customHeight="1" outlineLevel="1" x14ac:dyDescent="0.2">
      <c r="A88" s="364" t="s">
        <v>406</v>
      </c>
      <c r="B88" s="365">
        <v>42339</v>
      </c>
      <c r="C88" s="401">
        <f t="shared" si="6"/>
        <v>265259</v>
      </c>
      <c r="D88" s="402">
        <v>220845</v>
      </c>
      <c r="E88" s="404">
        <v>44414</v>
      </c>
      <c r="F88" s="367"/>
      <c r="G88" s="401">
        <f t="shared" si="3"/>
        <v>271.10000000000002</v>
      </c>
      <c r="H88" s="411">
        <v>201.9</v>
      </c>
      <c r="I88" s="406">
        <v>69.2</v>
      </c>
      <c r="J88" s="367"/>
      <c r="K88" s="405">
        <v>139725</v>
      </c>
      <c r="L88" s="404">
        <v>21595</v>
      </c>
      <c r="M88" s="367"/>
      <c r="N88" s="405">
        <v>68903.64</v>
      </c>
      <c r="O88" s="404">
        <v>151941.35999999999</v>
      </c>
      <c r="P88" s="367"/>
      <c r="Q88" s="405">
        <v>939977</v>
      </c>
      <c r="R88" s="406">
        <v>4.2562747628427173</v>
      </c>
      <c r="S88" s="367"/>
      <c r="T88" s="405">
        <v>37951</v>
      </c>
      <c r="U88" s="402">
        <v>25756</v>
      </c>
      <c r="V88" s="402">
        <v>44115</v>
      </c>
      <c r="W88" s="402">
        <v>16440</v>
      </c>
      <c r="X88" s="402">
        <v>24130</v>
      </c>
      <c r="Y88" s="402">
        <v>19157</v>
      </c>
      <c r="Z88" s="402">
        <v>15062</v>
      </c>
      <c r="AA88" s="402" t="s">
        <v>160</v>
      </c>
      <c r="AB88" s="404">
        <v>38234</v>
      </c>
      <c r="AC88" s="367"/>
      <c r="AD88" s="365">
        <f t="shared" si="7"/>
        <v>42339</v>
      </c>
      <c r="AE88" s="405" t="s">
        <v>160</v>
      </c>
      <c r="AF88" s="402" t="s">
        <v>160</v>
      </c>
      <c r="AG88" s="402" t="s">
        <v>160</v>
      </c>
      <c r="AH88" s="402" t="s">
        <v>160</v>
      </c>
      <c r="AI88" s="402" t="s">
        <v>160</v>
      </c>
      <c r="AJ88" s="402" t="s">
        <v>160</v>
      </c>
      <c r="AK88" s="402" t="s">
        <v>160</v>
      </c>
      <c r="AL88" s="402" t="s">
        <v>160</v>
      </c>
      <c r="AM88" s="404" t="s">
        <v>160</v>
      </c>
      <c r="AN88" s="367"/>
      <c r="AO88" s="405">
        <v>10682.071881818181</v>
      </c>
      <c r="AP88" s="402">
        <v>38603.706000000006</v>
      </c>
      <c r="AQ88" s="402">
        <v>26536.735199999999</v>
      </c>
      <c r="AR88" s="402">
        <v>108880.6003636364</v>
      </c>
      <c r="AS88" s="404">
        <v>36929.299363636404</v>
      </c>
      <c r="AT88" s="367"/>
      <c r="AU88" s="405" t="s">
        <v>160</v>
      </c>
      <c r="AV88" s="402" t="s">
        <v>160</v>
      </c>
      <c r="AW88" s="402" t="s">
        <v>160</v>
      </c>
      <c r="AX88" s="402" t="s">
        <v>160</v>
      </c>
      <c r="AY88" s="404" t="s">
        <v>160</v>
      </c>
      <c r="AZ88" s="367"/>
      <c r="BA88" s="408">
        <f t="shared" si="8"/>
        <v>0.31786723921989624</v>
      </c>
      <c r="BB88" s="409">
        <f t="shared" si="9"/>
        <v>9.77835133238244E-2</v>
      </c>
      <c r="BE88" t="s">
        <v>406</v>
      </c>
      <c r="BF88" t="s">
        <v>660</v>
      </c>
    </row>
    <row r="89" spans="1:58" ht="12.75" customHeight="1" outlineLevel="1" collapsed="1" x14ac:dyDescent="0.2">
      <c r="A89" s="364" t="s">
        <v>467</v>
      </c>
      <c r="B89" s="365">
        <v>42370</v>
      </c>
      <c r="C89" s="412">
        <f t="shared" si="6"/>
        <v>172503</v>
      </c>
      <c r="D89" s="413">
        <v>149833</v>
      </c>
      <c r="E89" s="414">
        <v>22670</v>
      </c>
      <c r="F89" s="367"/>
      <c r="G89" s="412">
        <f t="shared" si="3"/>
        <v>254.29999999999998</v>
      </c>
      <c r="H89" s="419">
        <v>179.2</v>
      </c>
      <c r="I89" s="417">
        <v>75.099999999999994</v>
      </c>
      <c r="J89" s="367"/>
      <c r="K89" s="415">
        <v>143359</v>
      </c>
      <c r="L89" s="414">
        <v>11834</v>
      </c>
      <c r="M89" s="367"/>
      <c r="N89" s="415">
        <v>35135.838499999998</v>
      </c>
      <c r="O89" s="414">
        <v>114697.1615</v>
      </c>
      <c r="P89" s="367"/>
      <c r="Q89" s="415">
        <v>711123</v>
      </c>
      <c r="R89" s="417">
        <v>4.7460723200341715</v>
      </c>
      <c r="S89" s="367"/>
      <c r="T89" s="415">
        <v>27110</v>
      </c>
      <c r="U89" s="413">
        <v>20737</v>
      </c>
      <c r="V89" s="413">
        <v>28191</v>
      </c>
      <c r="W89" s="413">
        <v>12000</v>
      </c>
      <c r="X89" s="413">
        <v>12906</v>
      </c>
      <c r="Y89" s="413">
        <v>12878</v>
      </c>
      <c r="Z89" s="413">
        <v>10369</v>
      </c>
      <c r="AA89" s="413" t="s">
        <v>160</v>
      </c>
      <c r="AB89" s="414">
        <v>25643</v>
      </c>
      <c r="AC89" s="367"/>
      <c r="AD89" s="365">
        <f t="shared" si="7"/>
        <v>42370</v>
      </c>
      <c r="AE89" s="668">
        <f t="shared" ref="AE89:AE120" si="10">+T89/SUM($T89:$AB89)</f>
        <v>0.18093356648023812</v>
      </c>
      <c r="AF89" s="418">
        <f t="shared" ref="AF89:AF120" si="11">+U89/SUM($T89:$AB89)</f>
        <v>0.13839982914425297</v>
      </c>
      <c r="AG89" s="418">
        <f t="shared" ref="AG89:AG120" si="12">+V89/SUM($T89:$AB89)</f>
        <v>0.18814821736054568</v>
      </c>
      <c r="AH89" s="418">
        <f t="shared" ref="AH89:AH120" si="13">+W89/SUM($T89:$AB89)</f>
        <v>8.0088631418770109E-2</v>
      </c>
      <c r="AI89" s="418">
        <f t="shared" ref="AI89:AI120" si="14">+X89/SUM($T89:$AB89)</f>
        <v>8.6135323090887242E-2</v>
      </c>
      <c r="AJ89" s="418">
        <f t="shared" ref="AJ89:AJ120" si="15">+Y89/SUM($T89:$AB89)</f>
        <v>8.5948449617576791E-2</v>
      </c>
      <c r="AK89" s="418">
        <f t="shared" ref="AK89:AK120" si="16">+Z89/SUM($T89:$AB89)</f>
        <v>6.92032515984356E-2</v>
      </c>
      <c r="AL89" s="418" t="s">
        <v>160</v>
      </c>
      <c r="AM89" s="420">
        <f t="shared" ref="AM89:AM120" si="17">+AB89/SUM($T89:$AB89)</f>
        <v>0.1711427312892935</v>
      </c>
      <c r="AN89" s="367"/>
      <c r="AO89" s="682">
        <v>7386.7668999999996</v>
      </c>
      <c r="AP89" s="687">
        <v>26535.424300000002</v>
      </c>
      <c r="AQ89" s="687">
        <v>15477.748900000001</v>
      </c>
      <c r="AR89" s="687">
        <v>71695.090499999991</v>
      </c>
      <c r="AS89" s="683">
        <v>28752.952699999998</v>
      </c>
      <c r="AT89" s="367"/>
      <c r="AU89" s="421">
        <f t="shared" ref="AU89:AU112" si="18">+AO89/SUM($AO89:$AS89)</f>
        <v>4.9295070492950704E-2</v>
      </c>
      <c r="AV89" s="649">
        <f t="shared" ref="AV89:AV118" si="19">+AP89/SUM($AO89:$AS89)</f>
        <v>0.17708229177082294</v>
      </c>
      <c r="AW89" s="649">
        <f t="shared" ref="AW89:AW118" si="20">+AQ89/SUM($AO89:$AS89)</f>
        <v>0.10328967103289671</v>
      </c>
      <c r="AX89" s="649">
        <f t="shared" ref="AX89:AX118" si="21">+AR89/SUM($AO89:$AS89)</f>
        <v>0.47845215478452152</v>
      </c>
      <c r="AY89" s="416">
        <f t="shared" ref="AY89:AY118" si="22">+AS89/SUM($AO89:$AS89)</f>
        <v>0.19188081191880813</v>
      </c>
      <c r="AZ89" s="367"/>
      <c r="BA89" s="421">
        <f t="shared" si="8"/>
        <v>0.15813447359426336</v>
      </c>
      <c r="BB89" s="416">
        <f t="shared" si="9"/>
        <v>7.8981265809267648E-2</v>
      </c>
      <c r="BE89" t="s">
        <v>467</v>
      </c>
      <c r="BF89" t="s">
        <v>661</v>
      </c>
    </row>
    <row r="90" spans="1:58" ht="12.75" customHeight="1" outlineLevel="1" x14ac:dyDescent="0.2">
      <c r="A90" s="364" t="s">
        <v>467</v>
      </c>
      <c r="B90" s="365">
        <v>42401</v>
      </c>
      <c r="C90" s="412">
        <f t="shared" si="6"/>
        <v>176419</v>
      </c>
      <c r="D90" s="413">
        <v>142258</v>
      </c>
      <c r="E90" s="414">
        <v>34161</v>
      </c>
      <c r="F90" s="367"/>
      <c r="G90" s="412">
        <f t="shared" si="3"/>
        <v>241.39999999999998</v>
      </c>
      <c r="H90" s="419">
        <v>181.1</v>
      </c>
      <c r="I90" s="417">
        <v>60.3</v>
      </c>
      <c r="J90" s="367"/>
      <c r="K90" s="415">
        <v>137357</v>
      </c>
      <c r="L90" s="414">
        <v>13195</v>
      </c>
      <c r="M90" s="367"/>
      <c r="N90" s="415">
        <v>38310.079399999995</v>
      </c>
      <c r="O90" s="414">
        <v>103947.92060000001</v>
      </c>
      <c r="P90" s="367"/>
      <c r="Q90" s="415">
        <v>698798</v>
      </c>
      <c r="R90" s="417">
        <v>4.9121877152778755</v>
      </c>
      <c r="S90" s="367"/>
      <c r="T90" s="415">
        <v>21728</v>
      </c>
      <c r="U90" s="413">
        <v>19840</v>
      </c>
      <c r="V90" s="413">
        <v>25613</v>
      </c>
      <c r="W90" s="413">
        <v>12561</v>
      </c>
      <c r="X90" s="413">
        <v>14548</v>
      </c>
      <c r="Y90" s="413">
        <v>11928</v>
      </c>
      <c r="Z90" s="413">
        <v>9468</v>
      </c>
      <c r="AA90" s="413" t="s">
        <v>160</v>
      </c>
      <c r="AB90" s="414">
        <v>26572</v>
      </c>
      <c r="AC90" s="367"/>
      <c r="AD90" s="365">
        <f t="shared" si="7"/>
        <v>42401</v>
      </c>
      <c r="AE90" s="668">
        <f t="shared" si="10"/>
        <v>0.15273657720479691</v>
      </c>
      <c r="AF90" s="418">
        <f t="shared" si="11"/>
        <v>0.13946491585710469</v>
      </c>
      <c r="AG90" s="418">
        <f t="shared" si="12"/>
        <v>0.18004611339959792</v>
      </c>
      <c r="AH90" s="418">
        <f t="shared" si="13"/>
        <v>8.8297318955700213E-2</v>
      </c>
      <c r="AI90" s="418">
        <f t="shared" si="14"/>
        <v>0.10226489898634875</v>
      </c>
      <c r="AJ90" s="418">
        <f t="shared" si="15"/>
        <v>8.3847657073767387E-2</v>
      </c>
      <c r="AK90" s="418">
        <f t="shared" si="16"/>
        <v>6.6555132224549757E-2</v>
      </c>
      <c r="AL90" s="418" t="s">
        <v>160</v>
      </c>
      <c r="AM90" s="420">
        <f t="shared" si="17"/>
        <v>0.18678738629813438</v>
      </c>
      <c r="AN90" s="367"/>
      <c r="AO90" s="682">
        <v>7511.2223999999997</v>
      </c>
      <c r="AP90" s="687">
        <v>22789.731600000003</v>
      </c>
      <c r="AQ90" s="687">
        <v>14951.3158</v>
      </c>
      <c r="AR90" s="687">
        <v>71555.774000000005</v>
      </c>
      <c r="AS90" s="683">
        <v>25449.956200000001</v>
      </c>
      <c r="AT90" s="367"/>
      <c r="AU90" s="421">
        <f t="shared" si="18"/>
        <v>5.28E-2</v>
      </c>
      <c r="AV90" s="649">
        <f t="shared" si="19"/>
        <v>0.16020000000000001</v>
      </c>
      <c r="AW90" s="649">
        <f t="shared" si="20"/>
        <v>0.1051</v>
      </c>
      <c r="AX90" s="649">
        <f t="shared" si="21"/>
        <v>0.503</v>
      </c>
      <c r="AY90" s="416">
        <f t="shared" si="22"/>
        <v>0.1789</v>
      </c>
      <c r="AZ90" s="367"/>
      <c r="BA90" s="421">
        <f t="shared" si="8"/>
        <v>0.24870228674184788</v>
      </c>
      <c r="BB90" s="416">
        <f t="shared" si="9"/>
        <v>9.2754010319279059E-2</v>
      </c>
      <c r="BE90" t="s">
        <v>467</v>
      </c>
      <c r="BF90" t="s">
        <v>661</v>
      </c>
    </row>
    <row r="91" spans="1:58" ht="12.75" customHeight="1" outlineLevel="1" x14ac:dyDescent="0.2">
      <c r="A91" s="364" t="s">
        <v>467</v>
      </c>
      <c r="B91" s="365">
        <v>42430</v>
      </c>
      <c r="C91" s="412">
        <f t="shared" si="6"/>
        <v>212669</v>
      </c>
      <c r="D91" s="413">
        <v>173389</v>
      </c>
      <c r="E91" s="414">
        <v>39280</v>
      </c>
      <c r="F91" s="367"/>
      <c r="G91" s="412">
        <f t="shared" si="3"/>
        <v>259</v>
      </c>
      <c r="H91" s="419">
        <v>184.6</v>
      </c>
      <c r="I91" s="417">
        <v>74.400000000000006</v>
      </c>
      <c r="J91" s="367"/>
      <c r="K91" s="415">
        <v>191515</v>
      </c>
      <c r="L91" s="414">
        <v>22147</v>
      </c>
      <c r="M91" s="367"/>
      <c r="N91" s="415">
        <v>51184.432800000002</v>
      </c>
      <c r="O91" s="414">
        <v>122204.56719999999</v>
      </c>
      <c r="P91" s="367"/>
      <c r="Q91" s="415">
        <v>799248</v>
      </c>
      <c r="R91" s="417">
        <v>4.6095657740687122</v>
      </c>
      <c r="S91" s="367"/>
      <c r="T91" s="415">
        <v>26982</v>
      </c>
      <c r="U91" s="413">
        <v>22656</v>
      </c>
      <c r="V91" s="413">
        <v>30105</v>
      </c>
      <c r="W91" s="413">
        <v>16942</v>
      </c>
      <c r="X91" s="413">
        <v>17867</v>
      </c>
      <c r="Y91" s="413">
        <v>14949</v>
      </c>
      <c r="Z91" s="413">
        <v>11469</v>
      </c>
      <c r="AA91" s="413" t="s">
        <v>160</v>
      </c>
      <c r="AB91" s="414">
        <v>32419</v>
      </c>
      <c r="AC91" s="367"/>
      <c r="AD91" s="365">
        <f t="shared" si="7"/>
        <v>42430</v>
      </c>
      <c r="AE91" s="668">
        <f t="shared" si="10"/>
        <v>0.15561540812854333</v>
      </c>
      <c r="AF91" s="418">
        <f t="shared" si="11"/>
        <v>0.13066572850642197</v>
      </c>
      <c r="AG91" s="418">
        <f t="shared" si="12"/>
        <v>0.17362693135089308</v>
      </c>
      <c r="AH91" s="418">
        <f t="shared" si="13"/>
        <v>9.7710927452145172E-2</v>
      </c>
      <c r="AI91" s="418">
        <f t="shared" si="14"/>
        <v>0.10304575261406433</v>
      </c>
      <c r="AJ91" s="418">
        <f t="shared" si="15"/>
        <v>8.6216541995166943E-2</v>
      </c>
      <c r="AK91" s="418">
        <f t="shared" si="16"/>
        <v>6.6146064629244064E-2</v>
      </c>
      <c r="AL91" s="418" t="s">
        <v>160</v>
      </c>
      <c r="AM91" s="420">
        <f t="shared" si="17"/>
        <v>0.18697264532352109</v>
      </c>
      <c r="AN91" s="367"/>
      <c r="AO91" s="682">
        <v>8565.4166000000005</v>
      </c>
      <c r="AP91" s="687">
        <v>26251.0946</v>
      </c>
      <c r="AQ91" s="687">
        <v>17130.833200000001</v>
      </c>
      <c r="AR91" s="687">
        <v>87630.800599999988</v>
      </c>
      <c r="AS91" s="683">
        <v>33828.193899999998</v>
      </c>
      <c r="AT91" s="367"/>
      <c r="AU91" s="421">
        <f t="shared" si="18"/>
        <v>4.9395060493950614E-2</v>
      </c>
      <c r="AV91" s="649">
        <f t="shared" si="19"/>
        <v>0.15138486151384864</v>
      </c>
      <c r="AW91" s="649">
        <f t="shared" si="20"/>
        <v>9.8790120987901228E-2</v>
      </c>
      <c r="AX91" s="649">
        <f t="shared" si="21"/>
        <v>0.50534946505349465</v>
      </c>
      <c r="AY91" s="416">
        <f t="shared" si="22"/>
        <v>0.19508049195080493</v>
      </c>
      <c r="AZ91" s="367"/>
      <c r="BA91" s="421">
        <f t="shared" si="8"/>
        <v>0.20510142808657286</v>
      </c>
      <c r="BB91" s="416">
        <f t="shared" si="9"/>
        <v>0.12773013282272808</v>
      </c>
      <c r="BE91" t="s">
        <v>467</v>
      </c>
      <c r="BF91" t="s">
        <v>661</v>
      </c>
    </row>
    <row r="92" spans="1:58" ht="12.75" customHeight="1" outlineLevel="1" x14ac:dyDescent="0.2">
      <c r="A92" s="364" t="s">
        <v>501</v>
      </c>
      <c r="B92" s="365">
        <v>42461</v>
      </c>
      <c r="C92" s="412">
        <f t="shared" si="6"/>
        <v>195088</v>
      </c>
      <c r="D92" s="413">
        <v>157821</v>
      </c>
      <c r="E92" s="414">
        <v>37267</v>
      </c>
      <c r="F92" s="367"/>
      <c r="G92" s="412">
        <f t="shared" si="3"/>
        <v>251.70000000000002</v>
      </c>
      <c r="H92" s="419">
        <v>174.8</v>
      </c>
      <c r="I92" s="417">
        <v>76.900000000000006</v>
      </c>
      <c r="J92" s="367"/>
      <c r="K92" s="415">
        <v>164735</v>
      </c>
      <c r="L92" s="414">
        <v>23376</v>
      </c>
      <c r="M92" s="367"/>
      <c r="N92" s="415">
        <v>50991.965100000001</v>
      </c>
      <c r="O92" s="414">
        <v>106829.0349</v>
      </c>
      <c r="P92" s="367"/>
      <c r="Q92" s="415">
        <v>760385</v>
      </c>
      <c r="R92" s="417">
        <v>4.8180216827925308</v>
      </c>
      <c r="S92" s="367"/>
      <c r="T92" s="415">
        <v>25827</v>
      </c>
      <c r="U92" s="413">
        <v>21306</v>
      </c>
      <c r="V92" s="413">
        <v>28707</v>
      </c>
      <c r="W92" s="413">
        <v>14045</v>
      </c>
      <c r="X92" s="413">
        <v>15741</v>
      </c>
      <c r="Y92" s="413">
        <v>14184</v>
      </c>
      <c r="Z92" s="413">
        <v>10601</v>
      </c>
      <c r="AA92" s="413" t="s">
        <v>160</v>
      </c>
      <c r="AB92" s="414">
        <v>27410</v>
      </c>
      <c r="AC92" s="367"/>
      <c r="AD92" s="365">
        <f t="shared" si="7"/>
        <v>42461</v>
      </c>
      <c r="AE92" s="668">
        <f t="shared" si="10"/>
        <v>0.1636474233467029</v>
      </c>
      <c r="AF92" s="418">
        <f t="shared" si="11"/>
        <v>0.13500104548824302</v>
      </c>
      <c r="AG92" s="418">
        <f t="shared" si="12"/>
        <v>0.18189594540650483</v>
      </c>
      <c r="AH92" s="418">
        <f t="shared" si="13"/>
        <v>8.8993226503443781E-2</v>
      </c>
      <c r="AI92" s="418">
        <f t="shared" si="14"/>
        <v>9.9739578383104904E-2</v>
      </c>
      <c r="AJ92" s="418">
        <f t="shared" si="15"/>
        <v>8.9873971144524487E-2</v>
      </c>
      <c r="AK92" s="418">
        <f t="shared" si="16"/>
        <v>6.7171035540263976E-2</v>
      </c>
      <c r="AL92" s="418" t="s">
        <v>160</v>
      </c>
      <c r="AM92" s="420">
        <f t="shared" si="17"/>
        <v>0.17367777418721209</v>
      </c>
      <c r="AN92" s="367"/>
      <c r="AO92" s="682">
        <v>7764.7932000000001</v>
      </c>
      <c r="AP92" s="687">
        <v>26450.799599999998</v>
      </c>
      <c r="AQ92" s="687">
        <v>15008.777100000001</v>
      </c>
      <c r="AR92" s="687">
        <v>79967.900700000013</v>
      </c>
      <c r="AS92" s="683">
        <v>28628.7294</v>
      </c>
      <c r="AT92" s="367"/>
      <c r="AU92" s="421">
        <f t="shared" si="18"/>
        <v>4.9199999999999994E-2</v>
      </c>
      <c r="AV92" s="649">
        <f t="shared" si="19"/>
        <v>0.16759999999999997</v>
      </c>
      <c r="AW92" s="649">
        <f t="shared" si="20"/>
        <v>9.509999999999999E-2</v>
      </c>
      <c r="AX92" s="649">
        <f t="shared" si="21"/>
        <v>0.50670000000000004</v>
      </c>
      <c r="AY92" s="416">
        <f t="shared" si="22"/>
        <v>0.18139999999999998</v>
      </c>
      <c r="AZ92" s="367"/>
      <c r="BA92" s="421">
        <f t="shared" si="8"/>
        <v>0.22622393541141833</v>
      </c>
      <c r="BB92" s="416">
        <f t="shared" si="9"/>
        <v>0.14811717071872565</v>
      </c>
      <c r="BE92" t="s">
        <v>501</v>
      </c>
      <c r="BF92" t="s">
        <v>641</v>
      </c>
    </row>
    <row r="93" spans="1:58" ht="12.75" customHeight="1" outlineLevel="1" x14ac:dyDescent="0.2">
      <c r="A93" s="364" t="s">
        <v>501</v>
      </c>
      <c r="B93" s="365">
        <v>42491</v>
      </c>
      <c r="C93" s="412">
        <f t="shared" si="6"/>
        <v>208459</v>
      </c>
      <c r="D93" s="413">
        <v>162348</v>
      </c>
      <c r="E93" s="414">
        <v>46111</v>
      </c>
      <c r="F93" s="367"/>
      <c r="G93" s="412">
        <f t="shared" si="3"/>
        <v>236.4</v>
      </c>
      <c r="H93" s="419">
        <v>162.4</v>
      </c>
      <c r="I93" s="417">
        <v>74</v>
      </c>
      <c r="J93" s="367"/>
      <c r="K93" s="415">
        <v>170336</v>
      </c>
      <c r="L93" s="414">
        <v>22424</v>
      </c>
      <c r="M93" s="367"/>
      <c r="N93" s="415">
        <v>55961.355600000003</v>
      </c>
      <c r="O93" s="414">
        <v>106386.64439999999</v>
      </c>
      <c r="P93" s="367"/>
      <c r="Q93" s="415">
        <v>812805</v>
      </c>
      <c r="R93" s="417">
        <v>5.0065599822603293</v>
      </c>
      <c r="S93" s="367"/>
      <c r="T93" s="415">
        <v>27754</v>
      </c>
      <c r="U93" s="413">
        <v>21292</v>
      </c>
      <c r="V93" s="413">
        <v>28398</v>
      </c>
      <c r="W93" s="413">
        <v>14595</v>
      </c>
      <c r="X93" s="413">
        <v>15683</v>
      </c>
      <c r="Y93" s="413">
        <v>13641</v>
      </c>
      <c r="Z93" s="413">
        <v>10823</v>
      </c>
      <c r="AA93" s="413" t="s">
        <v>160</v>
      </c>
      <c r="AB93" s="414">
        <v>30162</v>
      </c>
      <c r="AC93" s="367"/>
      <c r="AD93" s="365">
        <f t="shared" si="7"/>
        <v>42491</v>
      </c>
      <c r="AE93" s="668">
        <f t="shared" si="10"/>
        <v>0.17095375366496662</v>
      </c>
      <c r="AF93" s="418">
        <f t="shared" si="11"/>
        <v>0.13115036834454383</v>
      </c>
      <c r="AG93" s="418">
        <f t="shared" si="12"/>
        <v>0.17492054105994531</v>
      </c>
      <c r="AH93" s="418">
        <f t="shared" si="13"/>
        <v>8.9899475201419179E-2</v>
      </c>
      <c r="AI93" s="418">
        <f t="shared" si="14"/>
        <v>9.6601128440140932E-2</v>
      </c>
      <c r="AJ93" s="418">
        <f t="shared" si="15"/>
        <v>8.4023209402025276E-2</v>
      </c>
      <c r="AK93" s="418">
        <f t="shared" si="16"/>
        <v>6.6665434745115437E-2</v>
      </c>
      <c r="AL93" s="418" t="s">
        <v>160</v>
      </c>
      <c r="AM93" s="420">
        <f t="shared" si="17"/>
        <v>0.18578608914184344</v>
      </c>
      <c r="AN93" s="367"/>
      <c r="AO93" s="682">
        <v>7646.5908000000009</v>
      </c>
      <c r="AP93" s="687">
        <v>25115.2356</v>
      </c>
      <c r="AQ93" s="687">
        <v>15065.894399999999</v>
      </c>
      <c r="AR93" s="687">
        <v>84713.186400000006</v>
      </c>
      <c r="AS93" s="683">
        <v>29790.858</v>
      </c>
      <c r="AT93" s="367"/>
      <c r="AU93" s="421">
        <f t="shared" si="18"/>
        <v>4.7104710471047105E-2</v>
      </c>
      <c r="AV93" s="649">
        <f t="shared" si="19"/>
        <v>0.1547154715471547</v>
      </c>
      <c r="AW93" s="649">
        <f t="shared" si="20"/>
        <v>9.2809280928092791E-2</v>
      </c>
      <c r="AX93" s="649">
        <f t="shared" si="21"/>
        <v>0.52185218521852184</v>
      </c>
      <c r="AY93" s="416">
        <f t="shared" si="22"/>
        <v>0.1835183518351835</v>
      </c>
      <c r="AZ93" s="367"/>
      <c r="BA93" s="421">
        <f t="shared" si="8"/>
        <v>0.27070613375915836</v>
      </c>
      <c r="BB93" s="416">
        <f t="shared" si="9"/>
        <v>0.13812304432453743</v>
      </c>
      <c r="BE93" t="s">
        <v>501</v>
      </c>
      <c r="BF93" t="s">
        <v>641</v>
      </c>
    </row>
    <row r="94" spans="1:58" ht="12.75" customHeight="1" outlineLevel="1" x14ac:dyDescent="0.2">
      <c r="A94" s="364" t="s">
        <v>501</v>
      </c>
      <c r="B94" s="365">
        <v>42522</v>
      </c>
      <c r="C94" s="412">
        <f t="shared" si="6"/>
        <v>210849</v>
      </c>
      <c r="D94" s="413">
        <v>166615</v>
      </c>
      <c r="E94" s="414">
        <v>44234</v>
      </c>
      <c r="F94" s="367"/>
      <c r="G94" s="412">
        <f t="shared" si="3"/>
        <v>225.6</v>
      </c>
      <c r="H94" s="419">
        <v>163.69999999999999</v>
      </c>
      <c r="I94" s="417">
        <v>61.9</v>
      </c>
      <c r="J94" s="367"/>
      <c r="K94" s="415">
        <v>177089</v>
      </c>
      <c r="L94" s="414">
        <v>23196</v>
      </c>
      <c r="M94" s="367"/>
      <c r="N94" s="415">
        <v>62697.224500000004</v>
      </c>
      <c r="O94" s="414">
        <v>103917.77549999999</v>
      </c>
      <c r="P94" s="367"/>
      <c r="Q94" s="415">
        <v>831631</v>
      </c>
      <c r="R94" s="417">
        <v>4.9913333133271314</v>
      </c>
      <c r="S94" s="367"/>
      <c r="T94" s="415">
        <v>28127</v>
      </c>
      <c r="U94" s="413">
        <v>20944</v>
      </c>
      <c r="V94" s="413">
        <v>29696</v>
      </c>
      <c r="W94" s="413">
        <v>15532</v>
      </c>
      <c r="X94" s="413">
        <v>17842</v>
      </c>
      <c r="Y94" s="413">
        <v>13905</v>
      </c>
      <c r="Z94" s="413">
        <v>9980</v>
      </c>
      <c r="AA94" s="413" t="s">
        <v>160</v>
      </c>
      <c r="AB94" s="414">
        <v>30589</v>
      </c>
      <c r="AC94" s="367"/>
      <c r="AD94" s="365">
        <f t="shared" si="7"/>
        <v>42522</v>
      </c>
      <c r="AE94" s="668">
        <f t="shared" si="10"/>
        <v>0.16881433244305735</v>
      </c>
      <c r="AF94" s="418">
        <f t="shared" si="11"/>
        <v>0.12570296792005523</v>
      </c>
      <c r="AG94" s="418">
        <f t="shared" si="12"/>
        <v>0.17823125168802328</v>
      </c>
      <c r="AH94" s="418">
        <f t="shared" si="13"/>
        <v>9.3220898478528338E-2</v>
      </c>
      <c r="AI94" s="418">
        <f t="shared" si="14"/>
        <v>0.10708519641088737</v>
      </c>
      <c r="AJ94" s="418">
        <f t="shared" si="15"/>
        <v>8.3455871320109232E-2</v>
      </c>
      <c r="AK94" s="418">
        <f t="shared" si="16"/>
        <v>5.9898568556252439E-2</v>
      </c>
      <c r="AL94" s="418" t="s">
        <v>160</v>
      </c>
      <c r="AM94" s="420">
        <f t="shared" si="17"/>
        <v>0.18359091318308676</v>
      </c>
      <c r="AN94" s="367"/>
      <c r="AO94" s="682">
        <v>8047.5045</v>
      </c>
      <c r="AP94" s="687">
        <v>25075.557499999999</v>
      </c>
      <c r="AQ94" s="687">
        <v>14962.027</v>
      </c>
      <c r="AR94" s="687">
        <v>87356.244500000001</v>
      </c>
      <c r="AS94" s="683">
        <v>31173.666499999999</v>
      </c>
      <c r="AT94" s="367"/>
      <c r="AU94" s="421">
        <f t="shared" si="18"/>
        <v>4.8300000000000003E-2</v>
      </c>
      <c r="AV94" s="649">
        <f t="shared" si="19"/>
        <v>0.15049999999999999</v>
      </c>
      <c r="AW94" s="649">
        <f t="shared" si="20"/>
        <v>8.9800000000000005E-2</v>
      </c>
      <c r="AX94" s="649">
        <f t="shared" si="21"/>
        <v>0.52429999999999999</v>
      </c>
      <c r="AY94" s="416">
        <f t="shared" si="22"/>
        <v>0.18709999999999999</v>
      </c>
      <c r="AZ94" s="367"/>
      <c r="BA94" s="421">
        <f t="shared" si="8"/>
        <v>0.24978400691177882</v>
      </c>
      <c r="BB94" s="416">
        <f t="shared" si="9"/>
        <v>0.13921915793896109</v>
      </c>
      <c r="BE94" t="s">
        <v>501</v>
      </c>
      <c r="BF94" t="s">
        <v>641</v>
      </c>
    </row>
    <row r="95" spans="1:58" ht="12.75" customHeight="1" outlineLevel="1" x14ac:dyDescent="0.2">
      <c r="A95" s="364" t="s">
        <v>511</v>
      </c>
      <c r="B95" s="365">
        <v>42552</v>
      </c>
      <c r="C95" s="412">
        <f t="shared" si="6"/>
        <v>218194</v>
      </c>
      <c r="D95" s="413">
        <v>175023</v>
      </c>
      <c r="E95" s="414">
        <v>43171</v>
      </c>
      <c r="F95" s="367"/>
      <c r="G95" s="412">
        <f t="shared" si="3"/>
        <v>222.20000000000002</v>
      </c>
      <c r="H95" s="419">
        <v>159.30000000000001</v>
      </c>
      <c r="I95" s="417">
        <v>62.9</v>
      </c>
      <c r="J95" s="367"/>
      <c r="K95" s="415">
        <v>183886</v>
      </c>
      <c r="L95" s="414">
        <v>19591</v>
      </c>
      <c r="M95" s="367"/>
      <c r="N95" s="415">
        <v>63428.335200000001</v>
      </c>
      <c r="O95" s="414">
        <v>111594.6648</v>
      </c>
      <c r="P95" s="367"/>
      <c r="Q95" s="415">
        <v>906799</v>
      </c>
      <c r="R95" s="417">
        <v>5.1810276363677916</v>
      </c>
      <c r="S95" s="367"/>
      <c r="T95" s="415">
        <v>29578</v>
      </c>
      <c r="U95" s="413">
        <v>21504</v>
      </c>
      <c r="V95" s="413">
        <v>33584</v>
      </c>
      <c r="W95" s="413">
        <v>16888</v>
      </c>
      <c r="X95" s="413">
        <v>18727</v>
      </c>
      <c r="Y95" s="413">
        <v>13833</v>
      </c>
      <c r="Z95" s="413">
        <v>8619</v>
      </c>
      <c r="AA95" s="413" t="s">
        <v>160</v>
      </c>
      <c r="AB95" s="414">
        <v>32290</v>
      </c>
      <c r="AC95" s="367"/>
      <c r="AD95" s="365">
        <f t="shared" si="7"/>
        <v>42552</v>
      </c>
      <c r="AE95" s="668">
        <f t="shared" si="10"/>
        <v>0.16899493209463898</v>
      </c>
      <c r="AF95" s="418">
        <f t="shared" si="11"/>
        <v>0.12286385217942784</v>
      </c>
      <c r="AG95" s="418">
        <f t="shared" si="12"/>
        <v>0.19188335247367488</v>
      </c>
      <c r="AH95" s="418">
        <f t="shared" si="13"/>
        <v>9.6490175576924173E-2</v>
      </c>
      <c r="AI95" s="418">
        <f t="shared" si="14"/>
        <v>0.10699736606046062</v>
      </c>
      <c r="AJ95" s="418">
        <f t="shared" si="15"/>
        <v>7.9035326785622459E-2</v>
      </c>
      <c r="AK95" s="418">
        <f t="shared" si="16"/>
        <v>4.9244956377161857E-2</v>
      </c>
      <c r="AL95" s="418" t="s">
        <v>160</v>
      </c>
      <c r="AM95" s="420">
        <f t="shared" si="17"/>
        <v>0.18449003845208917</v>
      </c>
      <c r="AN95" s="367"/>
      <c r="AO95" s="682">
        <v>8156.0718000000006</v>
      </c>
      <c r="AP95" s="687">
        <v>25955.910899999999</v>
      </c>
      <c r="AQ95" s="687">
        <v>16312.143600000001</v>
      </c>
      <c r="AR95" s="687">
        <v>92464.650899999993</v>
      </c>
      <c r="AS95" s="683">
        <v>32151.7251</v>
      </c>
      <c r="AT95" s="367"/>
      <c r="AU95" s="421">
        <f t="shared" si="18"/>
        <v>4.65953404659534E-2</v>
      </c>
      <c r="AV95" s="649">
        <f t="shared" si="19"/>
        <v>0.1482851714828517</v>
      </c>
      <c r="AW95" s="649">
        <f t="shared" si="20"/>
        <v>9.31906809319068E-2</v>
      </c>
      <c r="AX95" s="649">
        <f t="shared" si="21"/>
        <v>0.52824717528247167</v>
      </c>
      <c r="AY95" s="416">
        <f t="shared" si="22"/>
        <v>0.18368163183681629</v>
      </c>
      <c r="AZ95" s="367"/>
      <c r="BA95" s="421">
        <f t="shared" si="8"/>
        <v>0.23477045560836604</v>
      </c>
      <c r="BB95" s="416">
        <f t="shared" si="9"/>
        <v>0.11193386012124121</v>
      </c>
      <c r="BE95" t="s">
        <v>511</v>
      </c>
      <c r="BF95" t="s">
        <v>642</v>
      </c>
    </row>
    <row r="96" spans="1:58" ht="12.75" customHeight="1" outlineLevel="1" x14ac:dyDescent="0.2">
      <c r="A96" s="364" t="s">
        <v>511</v>
      </c>
      <c r="B96" s="365">
        <v>42583</v>
      </c>
      <c r="C96" s="412">
        <f t="shared" si="6"/>
        <v>216959</v>
      </c>
      <c r="D96" s="413">
        <v>178275</v>
      </c>
      <c r="E96" s="414">
        <v>38684</v>
      </c>
      <c r="F96" s="367"/>
      <c r="G96" s="412">
        <f t="shared" si="3"/>
        <v>211.4</v>
      </c>
      <c r="H96" s="419">
        <v>153.4</v>
      </c>
      <c r="I96" s="417">
        <v>58</v>
      </c>
      <c r="J96" s="367"/>
      <c r="K96" s="415">
        <v>172029</v>
      </c>
      <c r="L96" s="414">
        <v>18509</v>
      </c>
      <c r="M96" s="367"/>
      <c r="N96" s="415">
        <v>65355.614999999998</v>
      </c>
      <c r="O96" s="414">
        <v>112919.38500000001</v>
      </c>
      <c r="P96" s="367"/>
      <c r="Q96" s="415">
        <v>950460</v>
      </c>
      <c r="R96" s="417">
        <v>5.3314560732355813</v>
      </c>
      <c r="S96" s="367"/>
      <c r="T96" s="415">
        <v>30732</v>
      </c>
      <c r="U96" s="413">
        <v>18664</v>
      </c>
      <c r="V96" s="413">
        <v>34119</v>
      </c>
      <c r="W96" s="413">
        <v>17256</v>
      </c>
      <c r="X96" s="413">
        <v>20303</v>
      </c>
      <c r="Y96" s="413">
        <v>14498</v>
      </c>
      <c r="Z96" s="413">
        <v>9147</v>
      </c>
      <c r="AA96" s="413" t="s">
        <v>160</v>
      </c>
      <c r="AB96" s="414">
        <v>33555</v>
      </c>
      <c r="AC96" s="367"/>
      <c r="AD96" s="365">
        <f t="shared" si="7"/>
        <v>42583</v>
      </c>
      <c r="AE96" s="668">
        <f t="shared" si="10"/>
        <v>0.17238632666569437</v>
      </c>
      <c r="AF96" s="418">
        <f t="shared" si="11"/>
        <v>0.1046927762881856</v>
      </c>
      <c r="AG96" s="418">
        <f t="shared" si="12"/>
        <v>0.19138517114105252</v>
      </c>
      <c r="AH96" s="418">
        <f t="shared" si="13"/>
        <v>9.6794821454614807E-2</v>
      </c>
      <c r="AI96" s="418">
        <f t="shared" si="14"/>
        <v>0.11388648933663911</v>
      </c>
      <c r="AJ96" s="418">
        <f t="shared" si="15"/>
        <v>8.132425367692428E-2</v>
      </c>
      <c r="AK96" s="418">
        <f t="shared" si="16"/>
        <v>5.1308659703602322E-2</v>
      </c>
      <c r="AL96" s="418" t="s">
        <v>160</v>
      </c>
      <c r="AM96" s="420">
        <f t="shared" si="17"/>
        <v>0.18822150173328697</v>
      </c>
      <c r="AN96" s="367"/>
      <c r="AO96" s="682">
        <v>8200.65</v>
      </c>
      <c r="AP96" s="687">
        <v>27293.902500000004</v>
      </c>
      <c r="AQ96" s="687">
        <v>16971.780000000002</v>
      </c>
      <c r="AR96" s="687">
        <v>94075.717499999984</v>
      </c>
      <c r="AS96" s="683">
        <v>31715.122500000001</v>
      </c>
      <c r="AT96" s="367"/>
      <c r="AU96" s="421">
        <f t="shared" si="18"/>
        <v>4.6004600460046008E-2</v>
      </c>
      <c r="AV96" s="649">
        <f t="shared" si="19"/>
        <v>0.15311531153115315</v>
      </c>
      <c r="AW96" s="649">
        <f t="shared" si="20"/>
        <v>9.5209520952095228E-2</v>
      </c>
      <c r="AX96" s="649">
        <f t="shared" si="21"/>
        <v>0.52775277527752773</v>
      </c>
      <c r="AY96" s="416">
        <f t="shared" si="22"/>
        <v>0.17791779177917794</v>
      </c>
      <c r="AZ96" s="367"/>
      <c r="BA96" s="421">
        <f t="shared" si="8"/>
        <v>0.22486906277429969</v>
      </c>
      <c r="BB96" s="416">
        <f t="shared" si="9"/>
        <v>0.1038227457579582</v>
      </c>
      <c r="BE96" t="s">
        <v>511</v>
      </c>
      <c r="BF96" t="s">
        <v>642</v>
      </c>
    </row>
    <row r="97" spans="1:58" ht="12.75" customHeight="1" outlineLevel="1" x14ac:dyDescent="0.2">
      <c r="A97" s="364" t="s">
        <v>511</v>
      </c>
      <c r="B97" s="365">
        <v>42614</v>
      </c>
      <c r="C97" s="412">
        <f t="shared" si="6"/>
        <v>190930</v>
      </c>
      <c r="D97" s="413">
        <v>155065</v>
      </c>
      <c r="E97" s="414">
        <v>35865</v>
      </c>
      <c r="F97" s="367"/>
      <c r="G97" s="412">
        <f t="shared" si="3"/>
        <v>212.5</v>
      </c>
      <c r="H97" s="419">
        <v>160.4</v>
      </c>
      <c r="I97" s="417">
        <v>52.1</v>
      </c>
      <c r="J97" s="367"/>
      <c r="K97" s="415">
        <v>163314</v>
      </c>
      <c r="L97" s="414">
        <v>19724</v>
      </c>
      <c r="M97" s="367"/>
      <c r="N97" s="415">
        <v>55327.192000000003</v>
      </c>
      <c r="O97" s="414">
        <v>99737.80799999999</v>
      </c>
      <c r="P97" s="367"/>
      <c r="Q97" s="415">
        <v>851471</v>
      </c>
      <c r="R97" s="417">
        <v>5.4910231772277607</v>
      </c>
      <c r="S97" s="367"/>
      <c r="T97" s="415">
        <v>28263</v>
      </c>
      <c r="U97" s="413">
        <v>11786</v>
      </c>
      <c r="V97" s="413">
        <v>26581</v>
      </c>
      <c r="W97" s="413">
        <v>14424</v>
      </c>
      <c r="X97" s="413">
        <v>18475</v>
      </c>
      <c r="Y97" s="413">
        <v>13574</v>
      </c>
      <c r="Z97" s="413">
        <v>10034</v>
      </c>
      <c r="AA97" s="413" t="s">
        <v>160</v>
      </c>
      <c r="AB97" s="414">
        <v>31929</v>
      </c>
      <c r="AC97" s="367"/>
      <c r="AD97" s="365">
        <f t="shared" si="7"/>
        <v>42614</v>
      </c>
      <c r="AE97" s="668">
        <f t="shared" si="10"/>
        <v>0.18226432615789406</v>
      </c>
      <c r="AF97" s="418">
        <f t="shared" si="11"/>
        <v>7.6006345685063134E-2</v>
      </c>
      <c r="AG97" s="418">
        <f t="shared" si="12"/>
        <v>0.17141733197477202</v>
      </c>
      <c r="AH97" s="418">
        <f t="shared" si="13"/>
        <v>9.3018456657165335E-2</v>
      </c>
      <c r="AI97" s="418">
        <f t="shared" si="14"/>
        <v>0.11914281660712213</v>
      </c>
      <c r="AJ97" s="418">
        <f t="shared" si="15"/>
        <v>8.7536919763197607E-2</v>
      </c>
      <c r="AK97" s="418">
        <f t="shared" si="16"/>
        <v>6.4707930816555528E-2</v>
      </c>
      <c r="AL97" s="418" t="s">
        <v>160</v>
      </c>
      <c r="AM97" s="420">
        <f t="shared" si="17"/>
        <v>0.20590587233823018</v>
      </c>
      <c r="AN97" s="367"/>
      <c r="AO97" s="682">
        <v>6528.2365</v>
      </c>
      <c r="AP97" s="687">
        <v>22561.957499999997</v>
      </c>
      <c r="AQ97" s="687">
        <v>13955.85</v>
      </c>
      <c r="AR97" s="687">
        <v>83890.165000000008</v>
      </c>
      <c r="AS97" s="683">
        <v>28128.791000000001</v>
      </c>
      <c r="AT97" s="367"/>
      <c r="AU97" s="421">
        <f t="shared" si="18"/>
        <v>4.2099999999999999E-2</v>
      </c>
      <c r="AV97" s="649">
        <f t="shared" si="19"/>
        <v>0.14549999999999999</v>
      </c>
      <c r="AW97" s="649">
        <f t="shared" si="20"/>
        <v>0.09</v>
      </c>
      <c r="AX97" s="649">
        <f t="shared" si="21"/>
        <v>0.54100000000000004</v>
      </c>
      <c r="AY97" s="416">
        <f t="shared" si="22"/>
        <v>0.18140000000000001</v>
      </c>
      <c r="AZ97" s="367"/>
      <c r="BA97" s="421">
        <f t="shared" si="8"/>
        <v>0.21960762702523973</v>
      </c>
      <c r="BB97" s="416">
        <f t="shared" si="9"/>
        <v>0.12719827169251605</v>
      </c>
      <c r="BE97" t="s">
        <v>511</v>
      </c>
      <c r="BF97" t="s">
        <v>642</v>
      </c>
    </row>
    <row r="98" spans="1:58" ht="12.75" customHeight="1" outlineLevel="1" x14ac:dyDescent="0.2">
      <c r="A98" s="364" t="s">
        <v>538</v>
      </c>
      <c r="B98" s="365">
        <v>42644</v>
      </c>
      <c r="C98" s="412">
        <f t="shared" si="6"/>
        <v>189230</v>
      </c>
      <c r="D98" s="413">
        <v>155009</v>
      </c>
      <c r="E98" s="414">
        <v>34221</v>
      </c>
      <c r="F98" s="367"/>
      <c r="G98" s="412">
        <f t="shared" si="3"/>
        <v>209.2</v>
      </c>
      <c r="H98" s="419">
        <v>156.4</v>
      </c>
      <c r="I98" s="417">
        <v>52.8</v>
      </c>
      <c r="J98" s="367"/>
      <c r="K98" s="415">
        <v>169421</v>
      </c>
      <c r="L98" s="414">
        <v>18529</v>
      </c>
      <c r="M98" s="367"/>
      <c r="N98" s="415">
        <v>57818.356999999996</v>
      </c>
      <c r="O98" s="414">
        <v>97190.643000000011</v>
      </c>
      <c r="P98" s="367"/>
      <c r="Q98" s="415">
        <v>781530</v>
      </c>
      <c r="R98" s="417">
        <v>5.0418362804740369</v>
      </c>
      <c r="S98" s="367"/>
      <c r="T98" s="415">
        <v>29741</v>
      </c>
      <c r="U98" s="413">
        <v>10643</v>
      </c>
      <c r="V98" s="413">
        <v>29571</v>
      </c>
      <c r="W98" s="413">
        <v>14069</v>
      </c>
      <c r="X98" s="413">
        <v>17431</v>
      </c>
      <c r="Y98" s="413">
        <v>14650</v>
      </c>
      <c r="Z98" s="413">
        <v>9963</v>
      </c>
      <c r="AA98" s="413" t="s">
        <v>160</v>
      </c>
      <c r="AB98" s="414">
        <v>28941</v>
      </c>
      <c r="AC98" s="367"/>
      <c r="AD98" s="365">
        <f t="shared" si="7"/>
        <v>42644</v>
      </c>
      <c r="AE98" s="668">
        <f t="shared" si="10"/>
        <v>0.19186627873220263</v>
      </c>
      <c r="AF98" s="418">
        <f t="shared" si="11"/>
        <v>6.8660529388616151E-2</v>
      </c>
      <c r="AG98" s="418">
        <f t="shared" si="12"/>
        <v>0.19076956821861957</v>
      </c>
      <c r="AH98" s="418">
        <f t="shared" si="13"/>
        <v>9.0762471856472848E-2</v>
      </c>
      <c r="AI98" s="418">
        <f t="shared" si="14"/>
        <v>0.1124515350721571</v>
      </c>
      <c r="AJ98" s="418">
        <f t="shared" si="15"/>
        <v>9.451064131760091E-2</v>
      </c>
      <c r="AK98" s="418">
        <f t="shared" si="16"/>
        <v>6.4273687334283819E-2</v>
      </c>
      <c r="AL98" s="418" t="s">
        <v>160</v>
      </c>
      <c r="AM98" s="420">
        <f t="shared" si="17"/>
        <v>0.18670528808004697</v>
      </c>
      <c r="AN98" s="367"/>
      <c r="AO98" s="682">
        <v>6308.8662999999997</v>
      </c>
      <c r="AP98" s="687">
        <v>22119.784299999999</v>
      </c>
      <c r="AQ98" s="687">
        <v>13811.3019</v>
      </c>
      <c r="AR98" s="687">
        <v>85208.4473</v>
      </c>
      <c r="AS98" s="683">
        <v>27560.600200000001</v>
      </c>
      <c r="AT98" s="367"/>
      <c r="AU98" s="421">
        <f t="shared" si="18"/>
        <v>4.07E-2</v>
      </c>
      <c r="AV98" s="649">
        <f t="shared" si="19"/>
        <v>0.14269999999999999</v>
      </c>
      <c r="AW98" s="649">
        <f t="shared" si="20"/>
        <v>8.9099999999999999E-2</v>
      </c>
      <c r="AX98" s="649">
        <f t="shared" si="21"/>
        <v>0.54969999999999997</v>
      </c>
      <c r="AY98" s="416">
        <f t="shared" si="22"/>
        <v>0.17780000000000001</v>
      </c>
      <c r="AZ98" s="367"/>
      <c r="BA98" s="421">
        <f t="shared" si="8"/>
        <v>0.2019879471848236</v>
      </c>
      <c r="BB98" s="416">
        <f t="shared" si="9"/>
        <v>0.11953499474224077</v>
      </c>
      <c r="BE98" t="s">
        <v>538</v>
      </c>
      <c r="BF98" t="s">
        <v>643</v>
      </c>
    </row>
    <row r="99" spans="1:58" ht="12.75" customHeight="1" outlineLevel="1" x14ac:dyDescent="0.2">
      <c r="A99" s="364" t="s">
        <v>538</v>
      </c>
      <c r="B99" s="365">
        <v>42675</v>
      </c>
      <c r="C99" s="412">
        <f t="shared" si="6"/>
        <v>227527</v>
      </c>
      <c r="D99" s="413">
        <v>173746</v>
      </c>
      <c r="E99" s="414">
        <v>53781</v>
      </c>
      <c r="F99" s="367"/>
      <c r="G99" s="412">
        <f t="shared" si="3"/>
        <v>211.4</v>
      </c>
      <c r="H99" s="419">
        <v>153.4</v>
      </c>
      <c r="I99" s="417">
        <v>58</v>
      </c>
      <c r="J99" s="367"/>
      <c r="K99" s="415">
        <v>209339</v>
      </c>
      <c r="L99" s="414">
        <v>23289</v>
      </c>
      <c r="M99" s="367"/>
      <c r="N99" s="415">
        <v>67378.698800000013</v>
      </c>
      <c r="O99" s="414">
        <v>106367.30119999999</v>
      </c>
      <c r="P99" s="367"/>
      <c r="Q99" s="415">
        <v>865707</v>
      </c>
      <c r="R99" s="417">
        <v>4.9826010382972843</v>
      </c>
      <c r="S99" s="367"/>
      <c r="T99" s="415">
        <v>32823</v>
      </c>
      <c r="U99" s="413">
        <v>16044</v>
      </c>
      <c r="V99" s="413">
        <v>33120</v>
      </c>
      <c r="W99" s="413">
        <v>14597</v>
      </c>
      <c r="X99" s="413">
        <v>20276</v>
      </c>
      <c r="Y99" s="413">
        <v>16797</v>
      </c>
      <c r="Z99" s="413">
        <v>10094</v>
      </c>
      <c r="AA99" s="413" t="s">
        <v>160</v>
      </c>
      <c r="AB99" s="414">
        <v>29995</v>
      </c>
      <c r="AC99" s="367"/>
      <c r="AD99" s="365">
        <f t="shared" si="7"/>
        <v>42675</v>
      </c>
      <c r="AE99" s="668">
        <f t="shared" si="10"/>
        <v>0.18891370161039678</v>
      </c>
      <c r="AF99" s="418">
        <f t="shared" si="11"/>
        <v>9.2341694197276489E-2</v>
      </c>
      <c r="AG99" s="418">
        <f t="shared" si="12"/>
        <v>0.19062309348128878</v>
      </c>
      <c r="AH99" s="418">
        <f t="shared" si="13"/>
        <v>8.4013444913839747E-2</v>
      </c>
      <c r="AI99" s="418">
        <f t="shared" si="14"/>
        <v>0.11669908947544116</v>
      </c>
      <c r="AJ99" s="418">
        <f t="shared" si="15"/>
        <v>9.6675606920447091E-2</v>
      </c>
      <c r="AK99" s="418">
        <f t="shared" si="16"/>
        <v>5.8096301497588432E-2</v>
      </c>
      <c r="AL99" s="418" t="s">
        <v>160</v>
      </c>
      <c r="AM99" s="420">
        <f t="shared" si="17"/>
        <v>0.17263706790372152</v>
      </c>
      <c r="AN99" s="367"/>
      <c r="AO99" s="682">
        <v>7384.2050000000008</v>
      </c>
      <c r="AP99" s="687">
        <v>24463.436800000003</v>
      </c>
      <c r="AQ99" s="687">
        <v>14785.784599999999</v>
      </c>
      <c r="AR99" s="687">
        <v>96950.268000000011</v>
      </c>
      <c r="AS99" s="683">
        <v>30144.930999999997</v>
      </c>
      <c r="AT99" s="367"/>
      <c r="AU99" s="421">
        <f t="shared" si="18"/>
        <v>4.2504250425042502E-2</v>
      </c>
      <c r="AV99" s="649">
        <f t="shared" si="19"/>
        <v>0.14081408140814081</v>
      </c>
      <c r="AW99" s="649">
        <f t="shared" si="20"/>
        <v>8.510851085108509E-2</v>
      </c>
      <c r="AX99" s="649">
        <f t="shared" si="21"/>
        <v>0.55805580558055801</v>
      </c>
      <c r="AY99" s="416">
        <f t="shared" si="22"/>
        <v>0.17351735173517349</v>
      </c>
      <c r="AZ99" s="367"/>
      <c r="BA99" s="421">
        <f t="shared" si="8"/>
        <v>0.25690865056200707</v>
      </c>
      <c r="BB99" s="416">
        <f t="shared" si="9"/>
        <v>0.1340404958963084</v>
      </c>
      <c r="BE99" t="s">
        <v>538</v>
      </c>
      <c r="BF99" t="s">
        <v>643</v>
      </c>
    </row>
    <row r="100" spans="1:58" ht="12.75" customHeight="1" outlineLevel="1" x14ac:dyDescent="0.2">
      <c r="A100" s="364" t="s">
        <v>538</v>
      </c>
      <c r="B100" s="365">
        <v>42705</v>
      </c>
      <c r="C100" s="412">
        <f t="shared" si="6"/>
        <v>258822</v>
      </c>
      <c r="D100" s="413">
        <v>199211</v>
      </c>
      <c r="E100" s="414">
        <v>59611</v>
      </c>
      <c r="F100" s="367"/>
      <c r="G100" s="412">
        <f t="shared" si="3"/>
        <v>176</v>
      </c>
      <c r="H100" s="419">
        <v>134</v>
      </c>
      <c r="I100" s="417">
        <v>42</v>
      </c>
      <c r="J100" s="367"/>
      <c r="K100" s="415">
        <v>194789</v>
      </c>
      <c r="L100" s="414">
        <v>21269</v>
      </c>
      <c r="M100" s="367"/>
      <c r="N100" s="415">
        <v>72333.5141</v>
      </c>
      <c r="O100" s="414">
        <v>126877.4859</v>
      </c>
      <c r="P100" s="367"/>
      <c r="Q100" s="415">
        <v>1038810</v>
      </c>
      <c r="R100" s="417">
        <v>5.2145693303147889</v>
      </c>
      <c r="S100" s="367"/>
      <c r="T100" s="415">
        <v>37216</v>
      </c>
      <c r="U100" s="413">
        <v>23057</v>
      </c>
      <c r="V100" s="413">
        <v>37182</v>
      </c>
      <c r="W100" s="413">
        <v>17979</v>
      </c>
      <c r="X100" s="413">
        <v>21081</v>
      </c>
      <c r="Y100" s="413">
        <v>17148</v>
      </c>
      <c r="Z100" s="413">
        <v>11984</v>
      </c>
      <c r="AA100" s="413" t="s">
        <v>160</v>
      </c>
      <c r="AB100" s="414">
        <v>33566</v>
      </c>
      <c r="AC100" s="367"/>
      <c r="AD100" s="365">
        <f t="shared" si="7"/>
        <v>42705</v>
      </c>
      <c r="AE100" s="668">
        <f t="shared" si="10"/>
        <v>0.18681511748731258</v>
      </c>
      <c r="AF100" s="418">
        <f t="shared" si="11"/>
        <v>0.11574043862599329</v>
      </c>
      <c r="AG100" s="418">
        <f t="shared" si="12"/>
        <v>0.18664444589459522</v>
      </c>
      <c r="AH100" s="418">
        <f t="shared" si="13"/>
        <v>9.0250134278385449E-2</v>
      </c>
      <c r="AI100" s="418">
        <f t="shared" si="14"/>
        <v>0.10582140723747949</v>
      </c>
      <c r="AJ100" s="418">
        <f t="shared" si="15"/>
        <v>8.6078719762264513E-2</v>
      </c>
      <c r="AK100" s="418">
        <f t="shared" si="16"/>
        <v>6.0156716680136335E-2</v>
      </c>
      <c r="AL100" s="418" t="s">
        <v>160</v>
      </c>
      <c r="AM100" s="420">
        <f t="shared" si="17"/>
        <v>0.16849302003383312</v>
      </c>
      <c r="AN100" s="367"/>
      <c r="AO100" s="682">
        <v>9522.2857999999997</v>
      </c>
      <c r="AP100" s="687">
        <v>32232.339800000002</v>
      </c>
      <c r="AQ100" s="687">
        <v>18407.096399999999</v>
      </c>
      <c r="AR100" s="687">
        <v>100920.29260000002</v>
      </c>
      <c r="AS100" s="683">
        <v>38148.906499999997</v>
      </c>
      <c r="AT100" s="367"/>
      <c r="AU100" s="421">
        <f t="shared" si="18"/>
        <v>4.7795220477952205E-2</v>
      </c>
      <c r="AV100" s="649">
        <f t="shared" si="19"/>
        <v>0.16178382161783825</v>
      </c>
      <c r="AW100" s="649">
        <f t="shared" si="20"/>
        <v>9.2390760923907606E-2</v>
      </c>
      <c r="AX100" s="649">
        <f t="shared" si="21"/>
        <v>0.50654934506549354</v>
      </c>
      <c r="AY100" s="416">
        <f t="shared" si="22"/>
        <v>0.19148085191480851</v>
      </c>
      <c r="AZ100" s="367"/>
      <c r="BA100" s="421">
        <f t="shared" si="8"/>
        <v>0.30602857450882748</v>
      </c>
      <c r="BB100" s="416">
        <f t="shared" si="9"/>
        <v>0.10676619262992505</v>
      </c>
      <c r="BE100" t="s">
        <v>538</v>
      </c>
      <c r="BF100" t="s">
        <v>643</v>
      </c>
    </row>
    <row r="101" spans="1:58" ht="12.75" customHeight="1" x14ac:dyDescent="0.2">
      <c r="A101" s="364" t="s">
        <v>567</v>
      </c>
      <c r="B101" s="365">
        <v>42736</v>
      </c>
      <c r="C101" s="422">
        <f t="shared" si="6"/>
        <v>180258</v>
      </c>
      <c r="D101" s="423">
        <v>143768</v>
      </c>
      <c r="E101" s="424">
        <v>36490</v>
      </c>
      <c r="F101" s="367"/>
      <c r="G101" s="422">
        <f t="shared" si="3"/>
        <v>186.4</v>
      </c>
      <c r="H101" s="429">
        <v>135</v>
      </c>
      <c r="I101" s="427">
        <v>51.4</v>
      </c>
      <c r="J101" s="367"/>
      <c r="K101" s="425">
        <v>173825</v>
      </c>
      <c r="L101" s="424">
        <v>16712</v>
      </c>
      <c r="M101" s="367"/>
      <c r="N101" s="425">
        <v>42972.2552</v>
      </c>
      <c r="O101" s="424">
        <v>100795.7448</v>
      </c>
      <c r="P101" s="367"/>
      <c r="Q101" s="425">
        <v>827178</v>
      </c>
      <c r="R101" s="427">
        <v>5.7536013132359995</v>
      </c>
      <c r="S101" s="367"/>
      <c r="T101" s="425">
        <v>27645</v>
      </c>
      <c r="U101" s="423">
        <v>18135</v>
      </c>
      <c r="V101" s="423">
        <v>25834</v>
      </c>
      <c r="W101" s="423">
        <v>12930</v>
      </c>
      <c r="X101" s="423">
        <v>14446</v>
      </c>
      <c r="Y101" s="423">
        <v>11358</v>
      </c>
      <c r="Z101" s="423">
        <v>8739</v>
      </c>
      <c r="AA101" s="423" t="s">
        <v>160</v>
      </c>
      <c r="AB101" s="424">
        <v>24680</v>
      </c>
      <c r="AC101" s="367"/>
      <c r="AD101" s="365">
        <f t="shared" ref="AD101:AD132" si="23">+B101</f>
        <v>42736</v>
      </c>
      <c r="AE101" s="669">
        <f t="shared" si="10"/>
        <v>0.19229030305981207</v>
      </c>
      <c r="AF101" s="428">
        <f t="shared" si="11"/>
        <v>0.12614160412333847</v>
      </c>
      <c r="AG101" s="428">
        <f t="shared" si="12"/>
        <v>0.17969353189535847</v>
      </c>
      <c r="AH101" s="428">
        <f t="shared" si="13"/>
        <v>8.9937190036656539E-2</v>
      </c>
      <c r="AI101" s="428">
        <f t="shared" si="14"/>
        <v>0.10048202995124055</v>
      </c>
      <c r="AJ101" s="428">
        <f t="shared" si="15"/>
        <v>7.9002830969554905E-2</v>
      </c>
      <c r="AK101" s="428">
        <f t="shared" si="16"/>
        <v>6.0785854890204286E-2</v>
      </c>
      <c r="AL101" s="428" t="s">
        <v>160</v>
      </c>
      <c r="AM101" s="430">
        <f t="shared" si="17"/>
        <v>0.17166665507383475</v>
      </c>
      <c r="AN101" s="367"/>
      <c r="AO101" s="682">
        <v>6483.9368000000004</v>
      </c>
      <c r="AP101" s="687">
        <v>24282.415199999999</v>
      </c>
      <c r="AQ101" s="687">
        <v>14721.843200000001</v>
      </c>
      <c r="AR101" s="687">
        <v>69698.7264</v>
      </c>
      <c r="AS101" s="683">
        <v>28566.701599999997</v>
      </c>
      <c r="AT101" s="367"/>
      <c r="AU101" s="431">
        <f t="shared" si="18"/>
        <v>4.5104510451045104E-2</v>
      </c>
      <c r="AV101" s="650">
        <f t="shared" si="19"/>
        <v>0.1689168916891689</v>
      </c>
      <c r="AW101" s="650">
        <f t="shared" si="20"/>
        <v>0.10241024102410241</v>
      </c>
      <c r="AX101" s="650">
        <f t="shared" si="21"/>
        <v>0.48484848484848486</v>
      </c>
      <c r="AY101" s="426">
        <f t="shared" si="22"/>
        <v>0.1987198719871987</v>
      </c>
      <c r="AZ101" s="367"/>
      <c r="BA101" s="431">
        <f t="shared" si="8"/>
        <v>0.20992377391054221</v>
      </c>
      <c r="BB101" s="426">
        <f t="shared" si="9"/>
        <v>0.1162428356797062</v>
      </c>
      <c r="BE101" t="s">
        <v>567</v>
      </c>
      <c r="BF101" t="s">
        <v>644</v>
      </c>
    </row>
    <row r="102" spans="1:58" ht="12.75" customHeight="1" x14ac:dyDescent="0.2">
      <c r="A102" s="364" t="s">
        <v>567</v>
      </c>
      <c r="B102" s="365">
        <v>42767</v>
      </c>
      <c r="C102" s="422">
        <f t="shared" si="6"/>
        <v>196397</v>
      </c>
      <c r="D102" s="423">
        <v>132626</v>
      </c>
      <c r="E102" s="424">
        <v>63771</v>
      </c>
      <c r="F102" s="367"/>
      <c r="G102" s="422">
        <f t="shared" si="3"/>
        <v>205.5</v>
      </c>
      <c r="H102" s="429">
        <v>139</v>
      </c>
      <c r="I102" s="427">
        <v>66.5</v>
      </c>
      <c r="J102" s="367"/>
      <c r="K102" s="425">
        <v>195091</v>
      </c>
      <c r="L102" s="424">
        <v>14256</v>
      </c>
      <c r="M102" s="367"/>
      <c r="N102" s="425">
        <v>46299.387499999997</v>
      </c>
      <c r="O102" s="424">
        <v>86325.612500000003</v>
      </c>
      <c r="P102" s="367"/>
      <c r="Q102" s="425">
        <v>709805</v>
      </c>
      <c r="R102" s="427">
        <v>5.3519698397737985</v>
      </c>
      <c r="S102" s="367"/>
      <c r="T102" s="425">
        <v>23216</v>
      </c>
      <c r="U102" s="423">
        <v>17243</v>
      </c>
      <c r="V102" s="423">
        <v>24723</v>
      </c>
      <c r="W102" s="423">
        <v>11140</v>
      </c>
      <c r="X102" s="423">
        <v>14192</v>
      </c>
      <c r="Y102" s="423">
        <v>11110</v>
      </c>
      <c r="Z102" s="423">
        <v>9387</v>
      </c>
      <c r="AA102" s="423" t="s">
        <v>160</v>
      </c>
      <c r="AB102" s="424">
        <v>21614</v>
      </c>
      <c r="AC102" s="367"/>
      <c r="AD102" s="365">
        <f t="shared" si="23"/>
        <v>42767</v>
      </c>
      <c r="AE102" s="669">
        <f t="shared" si="10"/>
        <v>0.17504995287464656</v>
      </c>
      <c r="AF102" s="428">
        <f t="shared" si="11"/>
        <v>0.13001319509896325</v>
      </c>
      <c r="AG102" s="428">
        <f t="shared" si="12"/>
        <v>0.18641281809613572</v>
      </c>
      <c r="AH102" s="428">
        <f t="shared" si="13"/>
        <v>8.399622997172479E-2</v>
      </c>
      <c r="AI102" s="428">
        <f t="shared" si="14"/>
        <v>0.10700848256361922</v>
      </c>
      <c r="AJ102" s="428">
        <f t="shared" si="15"/>
        <v>8.3770028275212058E-2</v>
      </c>
      <c r="AK102" s="428">
        <f t="shared" si="16"/>
        <v>7.0778510838831285E-2</v>
      </c>
      <c r="AL102" s="428" t="s">
        <v>160</v>
      </c>
      <c r="AM102" s="430">
        <f t="shared" si="17"/>
        <v>0.16297078228086712</v>
      </c>
      <c r="AN102" s="367"/>
      <c r="AO102" s="682">
        <v>6326.2124999999996</v>
      </c>
      <c r="AP102" s="687">
        <v>20318.150000000001</v>
      </c>
      <c r="AQ102" s="687">
        <v>13050.3</v>
      </c>
      <c r="AR102" s="687">
        <v>69336.350000000006</v>
      </c>
      <c r="AS102" s="683">
        <v>23607.25</v>
      </c>
      <c r="AT102" s="367"/>
      <c r="AU102" s="431">
        <f t="shared" si="18"/>
        <v>4.7695230476952295E-2</v>
      </c>
      <c r="AV102" s="650">
        <f t="shared" si="19"/>
        <v>0.15318468153184681</v>
      </c>
      <c r="AW102" s="650">
        <f t="shared" si="20"/>
        <v>9.8390160983901589E-2</v>
      </c>
      <c r="AX102" s="650">
        <f t="shared" si="21"/>
        <v>0.52274772522747726</v>
      </c>
      <c r="AY102" s="426">
        <f t="shared" si="22"/>
        <v>0.17798220177982199</v>
      </c>
      <c r="AZ102" s="367"/>
      <c r="BA102" s="431">
        <f t="shared" si="8"/>
        <v>0.32687822605860856</v>
      </c>
      <c r="BB102" s="426">
        <f t="shared" si="9"/>
        <v>0.10749023570039057</v>
      </c>
      <c r="BE102" t="s">
        <v>567</v>
      </c>
      <c r="BF102" t="s">
        <v>644</v>
      </c>
    </row>
    <row r="103" spans="1:58" ht="12.75" customHeight="1" x14ac:dyDescent="0.2">
      <c r="A103" s="364" t="s">
        <v>567</v>
      </c>
      <c r="B103" s="365">
        <v>42795</v>
      </c>
      <c r="C103" s="422">
        <f t="shared" si="6"/>
        <v>249430</v>
      </c>
      <c r="D103" s="423">
        <v>184188</v>
      </c>
      <c r="E103" s="424">
        <v>65242</v>
      </c>
      <c r="F103" s="367"/>
      <c r="G103" s="422">
        <f t="shared" si="3"/>
        <v>220</v>
      </c>
      <c r="H103" s="429">
        <v>139.6</v>
      </c>
      <c r="I103" s="427">
        <v>80.400000000000006</v>
      </c>
      <c r="J103" s="367"/>
      <c r="K103" s="425">
        <v>228930</v>
      </c>
      <c r="L103" s="424">
        <v>20718</v>
      </c>
      <c r="M103" s="367"/>
      <c r="N103" s="425">
        <v>70359.816000000006</v>
      </c>
      <c r="O103" s="424">
        <v>113828.18399999999</v>
      </c>
      <c r="P103" s="367"/>
      <c r="Q103" s="425">
        <v>891554</v>
      </c>
      <c r="R103" s="427">
        <v>4.8404564901079334</v>
      </c>
      <c r="S103" s="367"/>
      <c r="T103" s="425">
        <v>31011</v>
      </c>
      <c r="U103" s="423">
        <v>23453</v>
      </c>
      <c r="V103" s="423">
        <v>31377</v>
      </c>
      <c r="W103" s="423">
        <v>16674</v>
      </c>
      <c r="X103" s="423">
        <v>21760</v>
      </c>
      <c r="Y103" s="423">
        <v>17213</v>
      </c>
      <c r="Z103" s="423">
        <v>11990</v>
      </c>
      <c r="AA103" s="423" t="s">
        <v>160</v>
      </c>
      <c r="AB103" s="424">
        <v>30710</v>
      </c>
      <c r="AC103" s="367"/>
      <c r="AD103" s="365">
        <f t="shared" si="23"/>
        <v>42795</v>
      </c>
      <c r="AE103" s="669">
        <f t="shared" si="10"/>
        <v>0.16836601733011922</v>
      </c>
      <c r="AF103" s="428">
        <f t="shared" si="11"/>
        <v>0.1273318565813191</v>
      </c>
      <c r="AG103" s="428">
        <f t="shared" si="12"/>
        <v>0.17035311746693596</v>
      </c>
      <c r="AH103" s="428">
        <f t="shared" si="13"/>
        <v>9.052707016743762E-2</v>
      </c>
      <c r="AI103" s="428">
        <f t="shared" si="14"/>
        <v>0.11814016113970509</v>
      </c>
      <c r="AJ103" s="428">
        <f t="shared" si="15"/>
        <v>9.3453428019197773E-2</v>
      </c>
      <c r="AK103" s="428">
        <f t="shared" si="16"/>
        <v>6.5096531804460664E-2</v>
      </c>
      <c r="AL103" s="428" t="s">
        <v>160</v>
      </c>
      <c r="AM103" s="430">
        <f t="shared" si="17"/>
        <v>0.16673181749082458</v>
      </c>
      <c r="AN103" s="367"/>
      <c r="AO103" s="682">
        <v>8712.0923999999995</v>
      </c>
      <c r="AP103" s="687">
        <v>27665.0376</v>
      </c>
      <c r="AQ103" s="687">
        <v>17424.184799999999</v>
      </c>
      <c r="AR103" s="687">
        <v>97859.084399999992</v>
      </c>
      <c r="AS103" s="683">
        <v>32527.6008</v>
      </c>
      <c r="AT103" s="367"/>
      <c r="AU103" s="431">
        <f t="shared" si="18"/>
        <v>4.7299999999999995E-2</v>
      </c>
      <c r="AV103" s="650">
        <f t="shared" si="19"/>
        <v>0.1502</v>
      </c>
      <c r="AW103" s="650">
        <f t="shared" si="20"/>
        <v>9.459999999999999E-2</v>
      </c>
      <c r="AX103" s="650">
        <f t="shared" si="21"/>
        <v>0.53129999999999999</v>
      </c>
      <c r="AY103" s="426">
        <f t="shared" si="22"/>
        <v>0.17660000000000001</v>
      </c>
      <c r="AZ103" s="367"/>
      <c r="BA103" s="431">
        <f t="shared" si="8"/>
        <v>0.28498667715022058</v>
      </c>
      <c r="BB103" s="426">
        <f t="shared" si="9"/>
        <v>0.11248289790865855</v>
      </c>
      <c r="BE103" t="s">
        <v>567</v>
      </c>
      <c r="BF103" t="s">
        <v>644</v>
      </c>
    </row>
    <row r="104" spans="1:58" ht="12.75" customHeight="1" x14ac:dyDescent="0.2">
      <c r="A104" s="364" t="s">
        <v>575</v>
      </c>
      <c r="B104" s="365">
        <v>42826</v>
      </c>
      <c r="C104" s="422">
        <f t="shared" si="6"/>
        <v>210306</v>
      </c>
      <c r="D104" s="423">
        <v>152638</v>
      </c>
      <c r="E104" s="424">
        <v>57668</v>
      </c>
      <c r="F104" s="367"/>
      <c r="G104" s="422">
        <f t="shared" si="3"/>
        <v>216.4</v>
      </c>
      <c r="H104" s="429">
        <v>135.80000000000001</v>
      </c>
      <c r="I104" s="427">
        <v>80.599999999999994</v>
      </c>
      <c r="J104" s="367"/>
      <c r="K104" s="425">
        <v>184162</v>
      </c>
      <c r="L104" s="424">
        <v>17402</v>
      </c>
      <c r="M104" s="367"/>
      <c r="N104" s="425">
        <v>59360.9182</v>
      </c>
      <c r="O104" s="424">
        <v>93277.0818</v>
      </c>
      <c r="P104" s="367"/>
      <c r="Q104" s="425">
        <v>765602</v>
      </c>
      <c r="R104" s="427">
        <v>5.0158020938429484</v>
      </c>
      <c r="S104" s="367"/>
      <c r="T104" s="425">
        <v>26707</v>
      </c>
      <c r="U104" s="423">
        <v>18800</v>
      </c>
      <c r="V104" s="423">
        <v>25355</v>
      </c>
      <c r="W104" s="423">
        <v>14541</v>
      </c>
      <c r="X104" s="423">
        <v>16136</v>
      </c>
      <c r="Y104" s="423">
        <v>13608</v>
      </c>
      <c r="Z104" s="423">
        <v>10833</v>
      </c>
      <c r="AA104" s="423" t="s">
        <v>160</v>
      </c>
      <c r="AB104" s="424">
        <v>26658</v>
      </c>
      <c r="AC104" s="367"/>
      <c r="AD104" s="365">
        <f t="shared" si="23"/>
        <v>42826</v>
      </c>
      <c r="AE104" s="669">
        <f t="shared" si="10"/>
        <v>0.1749695357643575</v>
      </c>
      <c r="AF104" s="428">
        <f t="shared" si="11"/>
        <v>0.12316723227505602</v>
      </c>
      <c r="AG104" s="428">
        <f t="shared" si="12"/>
        <v>0.16611197735819389</v>
      </c>
      <c r="AH104" s="428">
        <f t="shared" si="13"/>
        <v>9.5264613005935611E-2</v>
      </c>
      <c r="AI104" s="428">
        <f t="shared" si="14"/>
        <v>0.10571417340373956</v>
      </c>
      <c r="AJ104" s="428">
        <f t="shared" si="15"/>
        <v>8.9152111531859687E-2</v>
      </c>
      <c r="AK104" s="428">
        <f t="shared" si="16"/>
        <v>7.0971841874238398E-2</v>
      </c>
      <c r="AL104" s="428" t="s">
        <v>160</v>
      </c>
      <c r="AM104" s="430">
        <f t="shared" si="17"/>
        <v>0.17464851478661933</v>
      </c>
      <c r="AN104" s="367"/>
      <c r="AO104" s="682">
        <v>7051.8755999999994</v>
      </c>
      <c r="AP104" s="687">
        <v>23552.043399999999</v>
      </c>
      <c r="AQ104" s="687">
        <v>13676.364799999999</v>
      </c>
      <c r="AR104" s="687">
        <v>82119.244000000006</v>
      </c>
      <c r="AS104" s="683">
        <v>26238.4722</v>
      </c>
      <c r="AT104" s="367"/>
      <c r="AU104" s="431">
        <f t="shared" si="18"/>
        <v>4.6199999999999998E-2</v>
      </c>
      <c r="AV104" s="650">
        <f t="shared" si="19"/>
        <v>0.15429999999999999</v>
      </c>
      <c r="AW104" s="650">
        <f t="shared" si="20"/>
        <v>8.9599999999999999E-2</v>
      </c>
      <c r="AX104" s="650">
        <f t="shared" si="21"/>
        <v>0.53800000000000003</v>
      </c>
      <c r="AY104" s="426">
        <f t="shared" si="22"/>
        <v>0.1719</v>
      </c>
      <c r="AZ104" s="367"/>
      <c r="BA104" s="431">
        <f t="shared" si="8"/>
        <v>0.31313734646669777</v>
      </c>
      <c r="BB104" s="426">
        <f t="shared" si="9"/>
        <v>0.11400830723673004</v>
      </c>
      <c r="BE104" t="s">
        <v>575</v>
      </c>
      <c r="BF104" t="s">
        <v>645</v>
      </c>
    </row>
    <row r="105" spans="1:58" ht="12.75" customHeight="1" x14ac:dyDescent="0.2">
      <c r="A105" s="364" t="s">
        <v>575</v>
      </c>
      <c r="B105" s="365">
        <v>42856</v>
      </c>
      <c r="C105" s="422">
        <f t="shared" si="6"/>
        <v>259822</v>
      </c>
      <c r="D105" s="423">
        <v>190390</v>
      </c>
      <c r="E105" s="424">
        <v>69432</v>
      </c>
      <c r="F105" s="367"/>
      <c r="G105" s="422">
        <f t="shared" si="3"/>
        <v>229.2</v>
      </c>
      <c r="H105" s="429">
        <v>144.1</v>
      </c>
      <c r="I105" s="427">
        <v>85.1</v>
      </c>
      <c r="J105" s="367"/>
      <c r="K105" s="425">
        <v>243690</v>
      </c>
      <c r="L105" s="424">
        <v>20965</v>
      </c>
      <c r="M105" s="367"/>
      <c r="N105" s="425">
        <v>80249.384999999995</v>
      </c>
      <c r="O105" s="424">
        <v>110140.61500000001</v>
      </c>
      <c r="P105" s="367"/>
      <c r="Q105" s="425">
        <v>957579</v>
      </c>
      <c r="R105" s="427">
        <v>5.0295656284468722</v>
      </c>
      <c r="S105" s="367"/>
      <c r="T105" s="425">
        <v>33642</v>
      </c>
      <c r="U105" s="423">
        <v>24390</v>
      </c>
      <c r="V105" s="423">
        <v>33396</v>
      </c>
      <c r="W105" s="423">
        <v>16622</v>
      </c>
      <c r="X105" s="423">
        <v>20456</v>
      </c>
      <c r="Y105" s="423">
        <v>15788</v>
      </c>
      <c r="Z105" s="423">
        <v>12541</v>
      </c>
      <c r="AA105" s="423" t="s">
        <v>160</v>
      </c>
      <c r="AB105" s="424">
        <v>33555</v>
      </c>
      <c r="AC105" s="367"/>
      <c r="AD105" s="365">
        <f t="shared" si="23"/>
        <v>42856</v>
      </c>
      <c r="AE105" s="669">
        <f t="shared" si="10"/>
        <v>0.17670045695677294</v>
      </c>
      <c r="AF105" s="428">
        <f t="shared" si="11"/>
        <v>0.12810546772414519</v>
      </c>
      <c r="AG105" s="428">
        <f t="shared" si="12"/>
        <v>0.17540837228846054</v>
      </c>
      <c r="AH105" s="428">
        <f t="shared" si="13"/>
        <v>8.7305005514995537E-2</v>
      </c>
      <c r="AI105" s="428">
        <f t="shared" si="14"/>
        <v>0.10744261778454751</v>
      </c>
      <c r="AJ105" s="428">
        <f t="shared" si="15"/>
        <v>8.2924523346814438E-2</v>
      </c>
      <c r="AK105" s="428">
        <f t="shared" si="16"/>
        <v>6.5870056200430696E-2</v>
      </c>
      <c r="AL105" s="428" t="s">
        <v>160</v>
      </c>
      <c r="AM105" s="430">
        <f t="shared" si="17"/>
        <v>0.1762435001838332</v>
      </c>
      <c r="AN105" s="367"/>
      <c r="AO105" s="682">
        <v>8776.9790000000012</v>
      </c>
      <c r="AP105" s="687">
        <v>28748.89</v>
      </c>
      <c r="AQ105" s="687">
        <v>17211.255999999998</v>
      </c>
      <c r="AR105" s="687">
        <v>103039.068</v>
      </c>
      <c r="AS105" s="683">
        <v>32594.768</v>
      </c>
      <c r="AT105" s="367"/>
      <c r="AU105" s="431">
        <f t="shared" si="18"/>
        <v>4.6104610461046108E-2</v>
      </c>
      <c r="AV105" s="650">
        <f t="shared" si="19"/>
        <v>0.15101510151015102</v>
      </c>
      <c r="AW105" s="650">
        <f t="shared" si="20"/>
        <v>9.0409040904090396E-2</v>
      </c>
      <c r="AX105" s="650">
        <f t="shared" si="21"/>
        <v>0.54125412541254125</v>
      </c>
      <c r="AY105" s="426">
        <f t="shared" si="22"/>
        <v>0.17121712171217121</v>
      </c>
      <c r="AZ105" s="367"/>
      <c r="BA105" s="431">
        <f t="shared" si="8"/>
        <v>0.28491936476671181</v>
      </c>
      <c r="BB105" s="426">
        <f t="shared" si="9"/>
        <v>0.1101160775250801</v>
      </c>
      <c r="BE105" t="s">
        <v>575</v>
      </c>
      <c r="BF105" t="s">
        <v>645</v>
      </c>
    </row>
    <row r="106" spans="1:58" ht="12.75" customHeight="1" x14ac:dyDescent="0.2">
      <c r="A106" s="364" t="s">
        <v>575</v>
      </c>
      <c r="B106" s="365">
        <v>42887</v>
      </c>
      <c r="C106" s="422">
        <f t="shared" si="6"/>
        <v>253009</v>
      </c>
      <c r="D106" s="423">
        <v>189483</v>
      </c>
      <c r="E106" s="424">
        <v>63526</v>
      </c>
      <c r="F106" s="367"/>
      <c r="G106" s="422">
        <f t="shared" si="3"/>
        <v>220.1</v>
      </c>
      <c r="H106" s="429">
        <v>146.69999999999999</v>
      </c>
      <c r="I106" s="427">
        <v>73.400000000000006</v>
      </c>
      <c r="J106" s="367"/>
      <c r="K106" s="425">
        <v>205805</v>
      </c>
      <c r="L106" s="424">
        <v>20402</v>
      </c>
      <c r="M106" s="367"/>
      <c r="N106" s="425">
        <v>81003.982499999998</v>
      </c>
      <c r="O106" s="424">
        <v>108479.0175</v>
      </c>
      <c r="P106" s="367"/>
      <c r="Q106" s="425">
        <v>918741</v>
      </c>
      <c r="R106" s="427">
        <v>4.8486724402716863</v>
      </c>
      <c r="S106" s="367"/>
      <c r="T106" s="425">
        <v>33608</v>
      </c>
      <c r="U106" s="423">
        <v>22915</v>
      </c>
      <c r="V106" s="423">
        <v>34942</v>
      </c>
      <c r="W106" s="423">
        <v>16122</v>
      </c>
      <c r="X106" s="423">
        <v>20576</v>
      </c>
      <c r="Y106" s="423">
        <v>16025</v>
      </c>
      <c r="Z106" s="423">
        <v>11522</v>
      </c>
      <c r="AA106" s="423" t="s">
        <v>160</v>
      </c>
      <c r="AB106" s="424">
        <v>33773</v>
      </c>
      <c r="AC106" s="367"/>
      <c r="AD106" s="365">
        <f t="shared" si="23"/>
        <v>42887</v>
      </c>
      <c r="AE106" s="669">
        <f t="shared" si="10"/>
        <v>0.17736683501950043</v>
      </c>
      <c r="AF106" s="428">
        <f t="shared" si="11"/>
        <v>0.12093433183979566</v>
      </c>
      <c r="AG106" s="428">
        <f t="shared" si="12"/>
        <v>0.18440704443142655</v>
      </c>
      <c r="AH106" s="428">
        <f t="shared" si="13"/>
        <v>8.508415002929022E-2</v>
      </c>
      <c r="AI106" s="428">
        <f t="shared" si="14"/>
        <v>0.10859021653657584</v>
      </c>
      <c r="AJ106" s="428">
        <f t="shared" si="15"/>
        <v>8.4572230754210137E-2</v>
      </c>
      <c r="AK106" s="428">
        <f t="shared" si="16"/>
        <v>6.0807565850234585E-2</v>
      </c>
      <c r="AL106" s="428" t="s">
        <v>160</v>
      </c>
      <c r="AM106" s="430">
        <f t="shared" si="17"/>
        <v>0.17823762553896655</v>
      </c>
      <c r="AN106" s="367"/>
      <c r="AO106" s="682">
        <v>8792.011199999999</v>
      </c>
      <c r="AP106" s="687">
        <v>27285.552</v>
      </c>
      <c r="AQ106" s="687">
        <v>17034.521699999998</v>
      </c>
      <c r="AR106" s="687">
        <v>105182.01330000001</v>
      </c>
      <c r="AS106" s="683">
        <v>31169.9535</v>
      </c>
      <c r="AT106" s="367"/>
      <c r="AU106" s="431">
        <f t="shared" si="18"/>
        <v>4.6404640464046396E-2</v>
      </c>
      <c r="AV106" s="650">
        <f t="shared" si="19"/>
        <v>0.14401440144014399</v>
      </c>
      <c r="AW106" s="650">
        <f t="shared" si="20"/>
        <v>8.9908990899089894E-2</v>
      </c>
      <c r="AX106" s="650">
        <f t="shared" si="21"/>
        <v>0.55515551555155518</v>
      </c>
      <c r="AY106" s="426">
        <f t="shared" si="22"/>
        <v>0.16451645164516451</v>
      </c>
      <c r="AZ106" s="367"/>
      <c r="BA106" s="431">
        <f t="shared" si="8"/>
        <v>0.30867082918296446</v>
      </c>
      <c r="BB106" s="426">
        <f t="shared" si="9"/>
        <v>0.10767192835241156</v>
      </c>
      <c r="BE106" t="s">
        <v>575</v>
      </c>
      <c r="BF106" t="s">
        <v>645</v>
      </c>
    </row>
    <row r="107" spans="1:58" ht="12.75" customHeight="1" x14ac:dyDescent="0.2">
      <c r="A107" s="364" t="s">
        <v>595</v>
      </c>
      <c r="B107" s="365">
        <v>42917</v>
      </c>
      <c r="C107" s="422">
        <f>+D107+E107</f>
        <v>241000</v>
      </c>
      <c r="D107" s="423">
        <v>179038</v>
      </c>
      <c r="E107" s="424">
        <v>61962</v>
      </c>
      <c r="F107" s="367"/>
      <c r="G107" s="422">
        <f>+H107+I107</f>
        <v>217.7</v>
      </c>
      <c r="H107" s="429">
        <v>139.4</v>
      </c>
      <c r="I107" s="427">
        <v>78.3</v>
      </c>
      <c r="J107" s="367"/>
      <c r="K107" s="425">
        <v>216462</v>
      </c>
      <c r="L107" s="424">
        <v>20634</v>
      </c>
      <c r="M107" s="367"/>
      <c r="N107" s="425">
        <v>70666.298599999995</v>
      </c>
      <c r="O107" s="424">
        <v>108371.70140000001</v>
      </c>
      <c r="P107" s="367"/>
      <c r="Q107" s="425">
        <v>947211</v>
      </c>
      <c r="R107" s="427">
        <v>5.2905584289368734</v>
      </c>
      <c r="S107" s="367"/>
      <c r="T107" s="425">
        <v>33496</v>
      </c>
      <c r="U107" s="423">
        <v>22753</v>
      </c>
      <c r="V107" s="423">
        <v>32148</v>
      </c>
      <c r="W107" s="423">
        <v>16822</v>
      </c>
      <c r="X107" s="423">
        <v>17470</v>
      </c>
      <c r="Y107" s="423">
        <v>15217</v>
      </c>
      <c r="Z107" s="423">
        <v>9915</v>
      </c>
      <c r="AA107" s="423" t="s">
        <v>160</v>
      </c>
      <c r="AB107" s="424">
        <v>31217</v>
      </c>
      <c r="AC107" s="367"/>
      <c r="AD107" s="365">
        <f t="shared" si="23"/>
        <v>42917</v>
      </c>
      <c r="AE107" s="669">
        <f t="shared" si="10"/>
        <v>0.18708877445011673</v>
      </c>
      <c r="AF107" s="428">
        <f t="shared" si="11"/>
        <v>0.12708475295747271</v>
      </c>
      <c r="AG107" s="428">
        <f t="shared" si="12"/>
        <v>0.17955964655547985</v>
      </c>
      <c r="AH107" s="428">
        <f t="shared" si="13"/>
        <v>9.3957707302360388E-2</v>
      </c>
      <c r="AI107" s="428">
        <f t="shared" si="14"/>
        <v>9.7577050681978125E-2</v>
      </c>
      <c r="AJ107" s="428">
        <f t="shared" si="15"/>
        <v>8.4993129950066471E-2</v>
      </c>
      <c r="AK107" s="428">
        <f t="shared" si="16"/>
        <v>5.5379304952021362E-2</v>
      </c>
      <c r="AL107" s="428" t="s">
        <v>160</v>
      </c>
      <c r="AM107" s="430">
        <f t="shared" si="17"/>
        <v>0.17435963315050437</v>
      </c>
      <c r="AN107" s="367"/>
      <c r="AO107" s="682">
        <v>8361.0745999999999</v>
      </c>
      <c r="AP107" s="687">
        <v>28019.447</v>
      </c>
      <c r="AQ107" s="687">
        <v>16077.6124</v>
      </c>
      <c r="AR107" s="687">
        <v>95606.292000000001</v>
      </c>
      <c r="AS107" s="683">
        <v>30991.477800000001</v>
      </c>
      <c r="AT107" s="367"/>
      <c r="AU107" s="431">
        <f t="shared" si="18"/>
        <v>4.6695330466953303E-2</v>
      </c>
      <c r="AV107" s="650">
        <f t="shared" si="19"/>
        <v>0.15648435156484353</v>
      </c>
      <c r="AW107" s="650">
        <f t="shared" si="20"/>
        <v>8.9791020897910204E-2</v>
      </c>
      <c r="AX107" s="650">
        <f t="shared" si="21"/>
        <v>0.53394660533946603</v>
      </c>
      <c r="AY107" s="426">
        <f t="shared" si="22"/>
        <v>0.17308269173082691</v>
      </c>
      <c r="AZ107" s="367"/>
      <c r="BA107" s="431">
        <f t="shared" si="8"/>
        <v>0.28624885661224603</v>
      </c>
      <c r="BB107" s="426">
        <f t="shared" si="9"/>
        <v>0.11524927668986472</v>
      </c>
      <c r="BE107" t="s">
        <v>595</v>
      </c>
      <c r="BF107" t="s">
        <v>646</v>
      </c>
    </row>
    <row r="108" spans="1:58" ht="12.75" customHeight="1" x14ac:dyDescent="0.2">
      <c r="A108" s="364" t="s">
        <v>595</v>
      </c>
      <c r="B108" s="365">
        <v>42948</v>
      </c>
      <c r="C108" s="422">
        <f>+D108+E108</f>
        <v>273437</v>
      </c>
      <c r="D108" s="423">
        <v>210142</v>
      </c>
      <c r="E108" s="424">
        <v>63295</v>
      </c>
      <c r="F108" s="367"/>
      <c r="G108" s="422">
        <f>+H108+I108</f>
        <v>220.5</v>
      </c>
      <c r="H108" s="429">
        <v>148.1</v>
      </c>
      <c r="I108" s="427">
        <v>72.400000000000006</v>
      </c>
      <c r="J108" s="367"/>
      <c r="K108" s="425">
        <v>255809</v>
      </c>
      <c r="L108" s="424">
        <v>23302</v>
      </c>
      <c r="M108" s="367"/>
      <c r="N108" s="425">
        <v>86116.191599999991</v>
      </c>
      <c r="O108" s="424">
        <v>124025.80840000001</v>
      </c>
      <c r="P108" s="367"/>
      <c r="Q108" s="425">
        <v>1029273</v>
      </c>
      <c r="R108" s="427">
        <v>4.8979880271435503</v>
      </c>
      <c r="S108" s="367"/>
      <c r="T108" s="425">
        <v>38293</v>
      </c>
      <c r="U108" s="423">
        <v>26242</v>
      </c>
      <c r="V108" s="423">
        <v>38160</v>
      </c>
      <c r="W108" s="423">
        <v>18506</v>
      </c>
      <c r="X108" s="423">
        <v>23319</v>
      </c>
      <c r="Y108" s="423">
        <v>18156</v>
      </c>
      <c r="Z108" s="423">
        <v>11894</v>
      </c>
      <c r="AA108" s="423" t="s">
        <v>160</v>
      </c>
      <c r="AB108" s="424">
        <v>35572</v>
      </c>
      <c r="AC108" s="367"/>
      <c r="AD108" s="365">
        <f t="shared" si="23"/>
        <v>42948</v>
      </c>
      <c r="AE108" s="669">
        <f t="shared" si="10"/>
        <v>0.18222440064337447</v>
      </c>
      <c r="AF108" s="428">
        <f t="shared" si="11"/>
        <v>0.1248774638101855</v>
      </c>
      <c r="AG108" s="428">
        <f t="shared" si="12"/>
        <v>0.18159149527462382</v>
      </c>
      <c r="AH108" s="428">
        <f t="shared" si="13"/>
        <v>8.806426130901962E-2</v>
      </c>
      <c r="AI108" s="428">
        <f t="shared" si="14"/>
        <v>0.11096782175862036</v>
      </c>
      <c r="AJ108" s="428">
        <f t="shared" si="15"/>
        <v>8.6398720864938952E-2</v>
      </c>
      <c r="AK108" s="428">
        <f t="shared" si="16"/>
        <v>5.6599822976844232E-2</v>
      </c>
      <c r="AL108" s="428" t="s">
        <v>160</v>
      </c>
      <c r="AM108" s="430">
        <f t="shared" si="17"/>
        <v>0.16927601336239304</v>
      </c>
      <c r="AN108" s="367"/>
      <c r="AO108" s="682">
        <v>9918.7024000000001</v>
      </c>
      <c r="AP108" s="687">
        <v>31752.456199999997</v>
      </c>
      <c r="AQ108" s="687">
        <v>18555.5386</v>
      </c>
      <c r="AR108" s="687">
        <v>115220.85860000001</v>
      </c>
      <c r="AS108" s="683">
        <v>34673.43</v>
      </c>
      <c r="AT108" s="367"/>
      <c r="AU108" s="431">
        <f t="shared" si="18"/>
        <v>4.7204720472047206E-2</v>
      </c>
      <c r="AV108" s="650">
        <f t="shared" si="19"/>
        <v>0.15111511151115112</v>
      </c>
      <c r="AW108" s="650">
        <f t="shared" si="20"/>
        <v>8.8308830883088316E-2</v>
      </c>
      <c r="AX108" s="650">
        <f t="shared" si="21"/>
        <v>0.54835483548354835</v>
      </c>
      <c r="AY108" s="426">
        <f t="shared" si="22"/>
        <v>0.16501650165016502</v>
      </c>
      <c r="AZ108" s="367"/>
      <c r="BA108" s="431">
        <f t="shared" si="8"/>
        <v>0.24743070024901392</v>
      </c>
      <c r="BB108" s="426">
        <f t="shared" si="9"/>
        <v>0.11088692407990787</v>
      </c>
      <c r="BE108" t="s">
        <v>595</v>
      </c>
      <c r="BF108" t="s">
        <v>646</v>
      </c>
    </row>
    <row r="109" spans="1:58" ht="12.75" customHeight="1" x14ac:dyDescent="0.2">
      <c r="A109" s="364" t="s">
        <v>595</v>
      </c>
      <c r="B109" s="365">
        <v>42979</v>
      </c>
      <c r="C109" s="422">
        <f>+D109+E109</f>
        <v>250456</v>
      </c>
      <c r="D109" s="423">
        <v>193806</v>
      </c>
      <c r="E109" s="424">
        <v>56650</v>
      </c>
      <c r="F109" s="367"/>
      <c r="G109" s="422">
        <f>+H109+I109</f>
        <v>224.10000000000002</v>
      </c>
      <c r="H109" s="429">
        <v>151.80000000000001</v>
      </c>
      <c r="I109" s="427">
        <v>72.3</v>
      </c>
      <c r="J109" s="367"/>
      <c r="K109" s="425">
        <v>230477</v>
      </c>
      <c r="L109" s="424">
        <v>20172</v>
      </c>
      <c r="M109" s="367"/>
      <c r="N109" s="425">
        <v>83104.012799999997</v>
      </c>
      <c r="O109" s="424">
        <v>110701.9872</v>
      </c>
      <c r="P109" s="367"/>
      <c r="Q109" s="425">
        <v>891628</v>
      </c>
      <c r="R109" s="427">
        <v>4.6006212397964976</v>
      </c>
      <c r="S109" s="367"/>
      <c r="T109" s="425">
        <v>35251</v>
      </c>
      <c r="U109" s="423">
        <v>23252</v>
      </c>
      <c r="V109" s="423">
        <v>32455</v>
      </c>
      <c r="W109" s="423">
        <v>15240</v>
      </c>
      <c r="X109" s="423">
        <v>28183</v>
      </c>
      <c r="Y109" s="423">
        <v>15158</v>
      </c>
      <c r="Z109" s="423">
        <v>9673</v>
      </c>
      <c r="AA109" s="423" t="s">
        <v>160</v>
      </c>
      <c r="AB109" s="424">
        <v>34594</v>
      </c>
      <c r="AC109" s="367"/>
      <c r="AD109" s="365">
        <f t="shared" si="23"/>
        <v>42979</v>
      </c>
      <c r="AE109" s="669">
        <f t="shared" si="10"/>
        <v>0.18188807364065096</v>
      </c>
      <c r="AF109" s="428">
        <f t="shared" si="11"/>
        <v>0.11997564574884162</v>
      </c>
      <c r="AG109" s="428">
        <f t="shared" si="12"/>
        <v>0.1674612757086984</v>
      </c>
      <c r="AH109" s="428">
        <f t="shared" si="13"/>
        <v>7.8635336367295125E-2</v>
      </c>
      <c r="AI109" s="428">
        <f t="shared" si="14"/>
        <v>0.14541861449077945</v>
      </c>
      <c r="AJ109" s="428">
        <f t="shared" si="15"/>
        <v>7.8212232851408103E-2</v>
      </c>
      <c r="AK109" s="428">
        <f t="shared" si="16"/>
        <v>4.9910735477745785E-2</v>
      </c>
      <c r="AL109" s="428" t="s">
        <v>160</v>
      </c>
      <c r="AM109" s="430">
        <f t="shared" si="17"/>
        <v>0.17849808571458056</v>
      </c>
      <c r="AN109" s="367"/>
      <c r="AO109" s="682">
        <v>8546.8446000000004</v>
      </c>
      <c r="AP109" s="687">
        <v>28024.347600000001</v>
      </c>
      <c r="AQ109" s="687">
        <v>15698.286</v>
      </c>
      <c r="AR109" s="687">
        <v>109907.38260000001</v>
      </c>
      <c r="AS109" s="683">
        <v>31570.997399999997</v>
      </c>
      <c r="AT109" s="367"/>
      <c r="AU109" s="431">
        <f t="shared" si="18"/>
        <v>4.4113233970191054E-2</v>
      </c>
      <c r="AV109" s="650">
        <f t="shared" si="19"/>
        <v>0.14464339301790535</v>
      </c>
      <c r="AW109" s="650">
        <f t="shared" si="20"/>
        <v>8.1024307292187653E-2</v>
      </c>
      <c r="AX109" s="650">
        <f t="shared" si="21"/>
        <v>0.56727018105431626</v>
      </c>
      <c r="AY109" s="426">
        <f t="shared" si="22"/>
        <v>0.16294888466539958</v>
      </c>
      <c r="AZ109" s="367"/>
      <c r="BA109" s="431">
        <f t="shared" si="8"/>
        <v>0.2457945912173449</v>
      </c>
      <c r="BB109" s="426">
        <f t="shared" si="9"/>
        <v>0.10408346490820718</v>
      </c>
      <c r="BE109" t="s">
        <v>595</v>
      </c>
      <c r="BF109" t="s">
        <v>646</v>
      </c>
    </row>
    <row r="110" spans="1:58" ht="12.75" customHeight="1" x14ac:dyDescent="0.2">
      <c r="A110" s="364" t="s">
        <v>596</v>
      </c>
      <c r="B110" s="365">
        <v>43009</v>
      </c>
      <c r="C110" s="422">
        <v>255217</v>
      </c>
      <c r="D110" s="423">
        <v>196942</v>
      </c>
      <c r="E110" s="424">
        <v>58275</v>
      </c>
      <c r="F110" s="367"/>
      <c r="G110" s="422">
        <v>234.10000000000002</v>
      </c>
      <c r="H110" s="429">
        <v>154.30000000000001</v>
      </c>
      <c r="I110" s="427">
        <v>79.8</v>
      </c>
      <c r="J110" s="367"/>
      <c r="K110" s="425">
        <v>244137</v>
      </c>
      <c r="L110" s="424">
        <v>20801</v>
      </c>
      <c r="M110" s="367"/>
      <c r="N110" s="425">
        <v>83720.044199999989</v>
      </c>
      <c r="O110" s="424">
        <v>113221.95580000001</v>
      </c>
      <c r="P110" s="367"/>
      <c r="Q110" s="425">
        <v>900062</v>
      </c>
      <c r="R110" s="427">
        <v>4.5701881772298441</v>
      </c>
      <c r="S110" s="367"/>
      <c r="T110" s="425">
        <v>36515</v>
      </c>
      <c r="U110" s="423">
        <v>23664</v>
      </c>
      <c r="V110" s="423">
        <v>33717</v>
      </c>
      <c r="W110" s="423">
        <v>16462</v>
      </c>
      <c r="X110" s="423">
        <v>23597</v>
      </c>
      <c r="Y110" s="423">
        <v>16149</v>
      </c>
      <c r="Z110" s="423">
        <v>11921</v>
      </c>
      <c r="AA110" s="423" t="s">
        <v>160</v>
      </c>
      <c r="AB110" s="424">
        <v>34917</v>
      </c>
      <c r="AC110" s="367"/>
      <c r="AD110" s="365">
        <f t="shared" si="23"/>
        <v>43009</v>
      </c>
      <c r="AE110" s="669">
        <f t="shared" si="10"/>
        <v>0.1854099176407267</v>
      </c>
      <c r="AF110" s="428">
        <f t="shared" si="11"/>
        <v>0.12015720364371237</v>
      </c>
      <c r="AG110" s="428">
        <f t="shared" si="12"/>
        <v>0.1712026891165927</v>
      </c>
      <c r="AH110" s="428">
        <f t="shared" si="13"/>
        <v>8.3588061459719101E-2</v>
      </c>
      <c r="AI110" s="428">
        <f t="shared" si="14"/>
        <v>0.1198170019599679</v>
      </c>
      <c r="AJ110" s="428">
        <f t="shared" si="15"/>
        <v>8.1998761056554723E-2</v>
      </c>
      <c r="AK110" s="428">
        <f t="shared" si="16"/>
        <v>6.0530511521158514E-2</v>
      </c>
      <c r="AL110" s="428" t="s">
        <v>160</v>
      </c>
      <c r="AM110" s="430">
        <f t="shared" si="17"/>
        <v>0.17729585360156797</v>
      </c>
      <c r="AN110" s="367"/>
      <c r="AO110" s="682">
        <v>9754.35822181818</v>
      </c>
      <c r="AP110" s="687">
        <v>30208.276906666732</v>
      </c>
      <c r="AQ110" s="687">
        <v>19996.177733333268</v>
      </c>
      <c r="AR110" s="687">
        <v>103300.97271030294</v>
      </c>
      <c r="AS110" s="683">
        <v>34024.654790302935</v>
      </c>
      <c r="AT110" s="367"/>
      <c r="AU110" s="431">
        <f t="shared" si="18"/>
        <v>4.9443119811672952E-2</v>
      </c>
      <c r="AV110" s="650">
        <f t="shared" si="19"/>
        <v>0.15312042273162652</v>
      </c>
      <c r="AW110" s="650">
        <f t="shared" si="20"/>
        <v>0.10135709484538678</v>
      </c>
      <c r="AX110" s="650">
        <f t="shared" si="21"/>
        <v>0.52361439412318822</v>
      </c>
      <c r="AY110" s="426">
        <f t="shared" si="22"/>
        <v>0.17246496848812548</v>
      </c>
      <c r="AZ110" s="367"/>
      <c r="BA110" s="431">
        <f t="shared" si="8"/>
        <v>0.23869794418707529</v>
      </c>
      <c r="BB110" s="426">
        <f t="shared" si="9"/>
        <v>0.10561992870997552</v>
      </c>
      <c r="BE110" t="s">
        <v>596</v>
      </c>
      <c r="BF110" t="s">
        <v>678</v>
      </c>
    </row>
    <row r="111" spans="1:58" ht="12.75" customHeight="1" x14ac:dyDescent="0.2">
      <c r="A111" s="364" t="s">
        <v>596</v>
      </c>
      <c r="B111" s="365">
        <v>43040</v>
      </c>
      <c r="C111" s="422">
        <v>267752</v>
      </c>
      <c r="D111" s="423">
        <v>197647</v>
      </c>
      <c r="E111" s="424">
        <v>70105</v>
      </c>
      <c r="F111" s="367"/>
      <c r="G111" s="422">
        <v>232.2</v>
      </c>
      <c r="H111" s="429">
        <v>154</v>
      </c>
      <c r="I111" s="427">
        <v>78.2</v>
      </c>
      <c r="J111" s="367"/>
      <c r="K111" s="425">
        <v>244242</v>
      </c>
      <c r="L111" s="424">
        <v>21366</v>
      </c>
      <c r="M111" s="367"/>
      <c r="N111" s="425">
        <v>84968.445300000007</v>
      </c>
      <c r="O111" s="424">
        <v>112678.55469999999</v>
      </c>
      <c r="P111" s="367"/>
      <c r="Q111" s="425">
        <v>876111</v>
      </c>
      <c r="R111" s="427">
        <v>4.4327057835433878</v>
      </c>
      <c r="S111" s="367"/>
      <c r="T111" s="425">
        <v>37354</v>
      </c>
      <c r="U111" s="423">
        <v>25589</v>
      </c>
      <c r="V111" s="423">
        <v>32815</v>
      </c>
      <c r="W111" s="423">
        <v>16376</v>
      </c>
      <c r="X111" s="423">
        <v>22359</v>
      </c>
      <c r="Y111" s="423">
        <v>16484</v>
      </c>
      <c r="Z111" s="423">
        <v>11360</v>
      </c>
      <c r="AA111" s="423" t="s">
        <v>160</v>
      </c>
      <c r="AB111" s="424">
        <v>35310</v>
      </c>
      <c r="AC111" s="367"/>
      <c r="AD111" s="365">
        <f t="shared" si="23"/>
        <v>43040</v>
      </c>
      <c r="AE111" s="669">
        <f t="shared" si="10"/>
        <v>0.18899350862902042</v>
      </c>
      <c r="AF111" s="428">
        <f t="shared" si="11"/>
        <v>0.12946819329410514</v>
      </c>
      <c r="AG111" s="428">
        <f t="shared" si="12"/>
        <v>0.16602832322271524</v>
      </c>
      <c r="AH111" s="428">
        <f t="shared" si="13"/>
        <v>8.2854786563924573E-2</v>
      </c>
      <c r="AI111" s="428">
        <f t="shared" si="14"/>
        <v>0.11312592652557336</v>
      </c>
      <c r="AJ111" s="428">
        <f t="shared" si="15"/>
        <v>8.3401215297980738E-2</v>
      </c>
      <c r="AK111" s="428">
        <f t="shared" si="16"/>
        <v>5.747620758220464E-2</v>
      </c>
      <c r="AL111" s="428" t="s">
        <v>160</v>
      </c>
      <c r="AM111" s="430">
        <f t="shared" si="17"/>
        <v>0.17865183888447586</v>
      </c>
      <c r="AN111" s="367"/>
      <c r="AO111" s="682">
        <v>9799.6976181818209</v>
      </c>
      <c r="AP111" s="687">
        <v>30124.038093333271</v>
      </c>
      <c r="AQ111" s="687">
        <v>19900.417606666731</v>
      </c>
      <c r="AR111" s="687">
        <v>103953.81718969703</v>
      </c>
      <c r="AS111" s="683">
        <v>34196.285009697029</v>
      </c>
      <c r="AT111" s="367"/>
      <c r="AU111" s="431">
        <f t="shared" si="18"/>
        <v>4.9499858416246538E-2</v>
      </c>
      <c r="AV111" s="650">
        <f t="shared" si="19"/>
        <v>0.15216139095751718</v>
      </c>
      <c r="AW111" s="650">
        <f t="shared" si="20"/>
        <v>0.1005202295350973</v>
      </c>
      <c r="AX111" s="650">
        <f t="shared" si="21"/>
        <v>0.52508755200480173</v>
      </c>
      <c r="AY111" s="426">
        <f t="shared" si="22"/>
        <v>0.17273096908633723</v>
      </c>
      <c r="AZ111" s="367"/>
      <c r="BA111" s="431">
        <f t="shared" si="8"/>
        <v>0.28703089558716355</v>
      </c>
      <c r="BB111" s="426">
        <f t="shared" si="9"/>
        <v>0.1081018178874458</v>
      </c>
      <c r="BE111" t="s">
        <v>596</v>
      </c>
      <c r="BF111" t="s">
        <v>678</v>
      </c>
    </row>
    <row r="112" spans="1:58" ht="12.75" customHeight="1" x14ac:dyDescent="0.2">
      <c r="A112" s="364" t="s">
        <v>596</v>
      </c>
      <c r="B112" s="365">
        <v>43070</v>
      </c>
      <c r="C112" s="422">
        <v>263510</v>
      </c>
      <c r="D112" s="423">
        <v>205318</v>
      </c>
      <c r="E112" s="424">
        <v>58192</v>
      </c>
      <c r="F112" s="367"/>
      <c r="G112" s="422">
        <v>219.1</v>
      </c>
      <c r="H112" s="429">
        <v>156.69999999999999</v>
      </c>
      <c r="I112" s="427">
        <v>62.4</v>
      </c>
      <c r="J112" s="367"/>
      <c r="K112" s="425">
        <v>210939</v>
      </c>
      <c r="L112" s="424">
        <v>25595</v>
      </c>
      <c r="M112" s="367"/>
      <c r="N112" s="425">
        <v>81346.991599999994</v>
      </c>
      <c r="O112" s="424">
        <v>123971.00840000001</v>
      </c>
      <c r="P112" s="367"/>
      <c r="Q112" s="425">
        <v>1016018</v>
      </c>
      <c r="R112" s="427">
        <v>4.9485091419164418</v>
      </c>
      <c r="S112" s="367"/>
      <c r="T112" s="425">
        <v>37416</v>
      </c>
      <c r="U112" s="423">
        <v>25682</v>
      </c>
      <c r="V112" s="423">
        <v>35136</v>
      </c>
      <c r="W112" s="423">
        <v>19239</v>
      </c>
      <c r="X112" s="423">
        <v>23456</v>
      </c>
      <c r="Y112" s="423">
        <v>17177</v>
      </c>
      <c r="Z112" s="423">
        <v>11321</v>
      </c>
      <c r="AA112" s="423" t="s">
        <v>160</v>
      </c>
      <c r="AB112" s="424">
        <v>35891</v>
      </c>
      <c r="AC112" s="367"/>
      <c r="AD112" s="365">
        <f t="shared" si="23"/>
        <v>43070</v>
      </c>
      <c r="AE112" s="669">
        <f t="shared" si="10"/>
        <v>0.18223438763284272</v>
      </c>
      <c r="AF112" s="428">
        <f t="shared" si="11"/>
        <v>0.12508401601418287</v>
      </c>
      <c r="AG112" s="428">
        <f t="shared" si="12"/>
        <v>0.17112966227997545</v>
      </c>
      <c r="AH112" s="428">
        <f t="shared" si="13"/>
        <v>9.3703425905181228E-2</v>
      </c>
      <c r="AI112" s="428">
        <f t="shared" si="14"/>
        <v>0.11424229731440984</v>
      </c>
      <c r="AJ112" s="428">
        <f t="shared" si="15"/>
        <v>8.3660468151842513E-2</v>
      </c>
      <c r="AK112" s="428">
        <f t="shared" si="16"/>
        <v>5.51388577718466E-2</v>
      </c>
      <c r="AL112" s="428" t="s">
        <v>160</v>
      </c>
      <c r="AM112" s="430">
        <f t="shared" si="17"/>
        <v>0.17480688492971877</v>
      </c>
      <c r="AN112" s="367"/>
      <c r="AO112" s="682">
        <v>10190.865603636374</v>
      </c>
      <c r="AP112" s="687">
        <v>31093.357919999999</v>
      </c>
      <c r="AQ112" s="687">
        <v>20498.949120000001</v>
      </c>
      <c r="AR112" s="687">
        <v>108282.47336727275</v>
      </c>
      <c r="AS112" s="683">
        <v>35575.26320727275</v>
      </c>
      <c r="AT112" s="367"/>
      <c r="AU112" s="431">
        <f t="shared" si="18"/>
        <v>4.9556606428072254E-2</v>
      </c>
      <c r="AV112" s="650">
        <f t="shared" si="19"/>
        <v>0.15120220017608665</v>
      </c>
      <c r="AW112" s="650">
        <f t="shared" si="20"/>
        <v>9.9683225472665699E-2</v>
      </c>
      <c r="AX112" s="650">
        <f t="shared" si="21"/>
        <v>0.52656095413576831</v>
      </c>
      <c r="AY112" s="426">
        <f t="shared" si="22"/>
        <v>0.17299701378740714</v>
      </c>
      <c r="AZ112" s="367"/>
      <c r="BA112" s="431">
        <f t="shared" si="8"/>
        <v>0.27587122343426301</v>
      </c>
      <c r="BB112" s="426">
        <f t="shared" si="9"/>
        <v>0.12466028307308663</v>
      </c>
      <c r="BE112" t="s">
        <v>596</v>
      </c>
      <c r="BF112" t="s">
        <v>678</v>
      </c>
    </row>
    <row r="113" spans="1:58" ht="12.75" customHeight="1" outlineLevel="1" x14ac:dyDescent="0.2">
      <c r="A113" s="364" t="s">
        <v>623</v>
      </c>
      <c r="B113" s="365">
        <v>43101</v>
      </c>
      <c r="C113" s="609">
        <v>219813</v>
      </c>
      <c r="D113" s="608">
        <v>175857</v>
      </c>
      <c r="E113" s="607">
        <v>43956</v>
      </c>
      <c r="F113" s="364"/>
      <c r="G113" s="609">
        <v>228.7</v>
      </c>
      <c r="H113" s="658">
        <v>151.4</v>
      </c>
      <c r="I113" s="659">
        <v>77.3</v>
      </c>
      <c r="J113" s="364"/>
      <c r="K113" s="606">
        <v>210565</v>
      </c>
      <c r="L113" s="607">
        <v>20875</v>
      </c>
      <c r="M113" s="364"/>
      <c r="N113" s="606">
        <v>58982.437799999992</v>
      </c>
      <c r="O113" s="607">
        <v>116874.56220000001</v>
      </c>
      <c r="P113" s="364"/>
      <c r="Q113" s="606">
        <v>869680</v>
      </c>
      <c r="R113" s="659">
        <v>4.945381759042859</v>
      </c>
      <c r="S113" s="364"/>
      <c r="T113" s="606">
        <v>33904</v>
      </c>
      <c r="U113" s="608">
        <v>26343</v>
      </c>
      <c r="V113" s="608">
        <v>30505</v>
      </c>
      <c r="W113" s="608">
        <v>14284</v>
      </c>
      <c r="X113" s="608">
        <v>17903</v>
      </c>
      <c r="Y113" s="608">
        <v>13322</v>
      </c>
      <c r="Z113" s="608">
        <v>10072</v>
      </c>
      <c r="AA113" s="608" t="s">
        <v>160</v>
      </c>
      <c r="AB113" s="607">
        <v>29524</v>
      </c>
      <c r="AC113" s="364"/>
      <c r="AD113" s="365">
        <f t="shared" si="23"/>
        <v>43101</v>
      </c>
      <c r="AE113" s="670">
        <f t="shared" si="10"/>
        <v>0.19279300795532733</v>
      </c>
      <c r="AF113" s="671">
        <f t="shared" si="11"/>
        <v>0.14979784711441682</v>
      </c>
      <c r="AG113" s="671">
        <f t="shared" si="12"/>
        <v>0.17346480378944257</v>
      </c>
      <c r="AH113" s="671">
        <f t="shared" si="13"/>
        <v>8.1225086291702914E-2</v>
      </c>
      <c r="AI113" s="671">
        <f t="shared" si="14"/>
        <v>0.10180430690845403</v>
      </c>
      <c r="AJ113" s="671">
        <f t="shared" si="15"/>
        <v>7.5754732538369243E-2</v>
      </c>
      <c r="AK113" s="671">
        <f t="shared" si="16"/>
        <v>5.7273807696025747E-2</v>
      </c>
      <c r="AL113" s="671" t="s">
        <v>160</v>
      </c>
      <c r="AM113" s="672">
        <f t="shared" si="17"/>
        <v>0.16788640770626134</v>
      </c>
      <c r="AN113" s="364"/>
      <c r="AO113" s="682">
        <v>8737.8547199999957</v>
      </c>
      <c r="AP113" s="687">
        <v>26460.616600000059</v>
      </c>
      <c r="AQ113" s="687">
        <v>17408.670619999994</v>
      </c>
      <c r="AR113" s="687">
        <v>92996.911899999977</v>
      </c>
      <c r="AS113" s="683">
        <v>30514.919799999978</v>
      </c>
      <c r="AT113" s="364"/>
      <c r="AU113" s="610">
        <f t="shared" ref="AU113:AU122" si="24">+AO113/SUM($AO113:$AS113)</f>
        <v>4.9613363849489653E-2</v>
      </c>
      <c r="AV113" s="651">
        <f t="shared" si="19"/>
        <v>0.15024285034778528</v>
      </c>
      <c r="AW113" s="651">
        <f t="shared" si="20"/>
        <v>9.8846082623582535E-2</v>
      </c>
      <c r="AX113" s="651">
        <f t="shared" si="21"/>
        <v>0.5280346005768376</v>
      </c>
      <c r="AY113" s="611">
        <f t="shared" si="22"/>
        <v>0.17326310260230507</v>
      </c>
      <c r="AZ113" s="364"/>
      <c r="BA113" s="610">
        <f t="shared" si="8"/>
        <v>0.20875264170208724</v>
      </c>
      <c r="BB113" s="611">
        <f t="shared" si="9"/>
        <v>0.11870440187197552</v>
      </c>
      <c r="BE113" t="s">
        <v>623</v>
      </c>
      <c r="BF113" t="s">
        <v>741</v>
      </c>
    </row>
    <row r="114" spans="1:58" ht="12.75" customHeight="1" outlineLevel="1" x14ac:dyDescent="0.2">
      <c r="A114" s="364" t="s">
        <v>623</v>
      </c>
      <c r="B114" s="365">
        <v>43132</v>
      </c>
      <c r="C114" s="609">
        <v>214756</v>
      </c>
      <c r="D114" s="608">
        <v>151994</v>
      </c>
      <c r="E114" s="607">
        <v>62762</v>
      </c>
      <c r="F114" s="364"/>
      <c r="G114" s="609">
        <v>226.5</v>
      </c>
      <c r="H114" s="658">
        <v>144.1</v>
      </c>
      <c r="I114" s="659">
        <v>82.4</v>
      </c>
      <c r="J114" s="364"/>
      <c r="K114" s="606">
        <v>203610</v>
      </c>
      <c r="L114" s="607">
        <v>18307</v>
      </c>
      <c r="M114" s="364"/>
      <c r="N114" s="606">
        <v>57240.940399999999</v>
      </c>
      <c r="O114" s="607">
        <v>94753.059600000008</v>
      </c>
      <c r="P114" s="364"/>
      <c r="Q114" s="606">
        <v>741381</v>
      </c>
      <c r="R114" s="659">
        <v>4.8776991197020934</v>
      </c>
      <c r="S114" s="364"/>
      <c r="T114" s="606">
        <v>27394</v>
      </c>
      <c r="U114" s="608">
        <v>22261</v>
      </c>
      <c r="V114" s="608">
        <v>23338</v>
      </c>
      <c r="W114" s="608">
        <v>12302</v>
      </c>
      <c r="X114" s="608">
        <v>18406</v>
      </c>
      <c r="Y114" s="608">
        <v>13262</v>
      </c>
      <c r="Z114" s="608">
        <v>9807</v>
      </c>
      <c r="AA114" s="608" t="s">
        <v>160</v>
      </c>
      <c r="AB114" s="607">
        <v>25224</v>
      </c>
      <c r="AC114" s="364"/>
      <c r="AD114" s="365">
        <f t="shared" si="23"/>
        <v>43132</v>
      </c>
      <c r="AE114" s="670">
        <f t="shared" si="10"/>
        <v>0.18023079858415464</v>
      </c>
      <c r="AF114" s="671">
        <f t="shared" si="11"/>
        <v>0.14645972867350027</v>
      </c>
      <c r="AG114" s="671">
        <f t="shared" si="12"/>
        <v>0.1535455346921589</v>
      </c>
      <c r="AH114" s="671">
        <f t="shared" si="13"/>
        <v>8.0937405423898309E-2</v>
      </c>
      <c r="AI114" s="671">
        <f t="shared" si="14"/>
        <v>0.12109688540337119</v>
      </c>
      <c r="AJ114" s="671">
        <f t="shared" si="15"/>
        <v>8.725344421490322E-2</v>
      </c>
      <c r="AK114" s="671">
        <f t="shared" si="16"/>
        <v>6.4522283774359521E-2</v>
      </c>
      <c r="AL114" s="671" t="s">
        <v>160</v>
      </c>
      <c r="AM114" s="672">
        <f t="shared" si="17"/>
        <v>0.16595391923365396</v>
      </c>
      <c r="AN114" s="364"/>
      <c r="AO114" s="682">
        <v>7560.18156</v>
      </c>
      <c r="AP114" s="687">
        <v>22722.089706666618</v>
      </c>
      <c r="AQ114" s="687">
        <v>14917.704453333339</v>
      </c>
      <c r="AR114" s="687">
        <v>80595.325146666626</v>
      </c>
      <c r="AS114" s="683">
        <v>26412.504026666615</v>
      </c>
      <c r="AT114" s="364"/>
      <c r="AU114" s="610">
        <f t="shared" si="24"/>
        <v>4.9670130682839514E-2</v>
      </c>
      <c r="AV114" s="651">
        <f t="shared" si="19"/>
        <v>0.14928334143305066</v>
      </c>
      <c r="AW114" s="651">
        <f t="shared" si="20"/>
        <v>9.8008800953325773E-2</v>
      </c>
      <c r="AX114" s="651">
        <f t="shared" si="21"/>
        <v>0.52950849138877998</v>
      </c>
      <c r="AY114" s="611">
        <f t="shared" si="22"/>
        <v>0.17352923554200406</v>
      </c>
      <c r="AZ114" s="364"/>
      <c r="BA114" s="610">
        <f t="shared" si="8"/>
        <v>0.30824615686852314</v>
      </c>
      <c r="BB114" s="611">
        <f t="shared" si="9"/>
        <v>0.1204455439030488</v>
      </c>
      <c r="BE114" t="s">
        <v>623</v>
      </c>
      <c r="BF114" t="s">
        <v>741</v>
      </c>
    </row>
    <row r="115" spans="1:58" ht="12.75" customHeight="1" outlineLevel="1" x14ac:dyDescent="0.2">
      <c r="A115" s="364" t="s">
        <v>623</v>
      </c>
      <c r="B115" s="365">
        <v>43160</v>
      </c>
      <c r="C115" s="609">
        <v>264078</v>
      </c>
      <c r="D115" s="608">
        <v>200393</v>
      </c>
      <c r="E115" s="607">
        <v>63685</v>
      </c>
      <c r="F115" s="364"/>
      <c r="G115" s="609">
        <v>230.7</v>
      </c>
      <c r="H115" s="658">
        <v>150</v>
      </c>
      <c r="I115" s="659">
        <v>80.7</v>
      </c>
      <c r="J115" s="364"/>
      <c r="K115" s="606">
        <v>254759</v>
      </c>
      <c r="L115" s="607">
        <v>24327</v>
      </c>
      <c r="M115" s="364"/>
      <c r="N115" s="606">
        <v>76650.322499999995</v>
      </c>
      <c r="O115" s="607">
        <v>123742.67750000001</v>
      </c>
      <c r="P115" s="364"/>
      <c r="Q115" s="606">
        <v>849155</v>
      </c>
      <c r="R115" s="659">
        <v>4.2374484138667521</v>
      </c>
      <c r="S115" s="364"/>
      <c r="T115" s="606">
        <v>30572</v>
      </c>
      <c r="U115" s="608">
        <v>28871</v>
      </c>
      <c r="V115" s="608">
        <v>32250</v>
      </c>
      <c r="W115" s="608">
        <v>16511</v>
      </c>
      <c r="X115" s="608">
        <v>27605</v>
      </c>
      <c r="Y115" s="608">
        <v>15810</v>
      </c>
      <c r="Z115" s="608">
        <v>13525</v>
      </c>
      <c r="AA115" s="608" t="s">
        <v>160</v>
      </c>
      <c r="AB115" s="607">
        <v>35249</v>
      </c>
      <c r="AC115" s="364"/>
      <c r="AD115" s="365">
        <f t="shared" si="23"/>
        <v>43160</v>
      </c>
      <c r="AE115" s="670">
        <f t="shared" si="10"/>
        <v>0.15256021916933227</v>
      </c>
      <c r="AF115" s="671">
        <f t="shared" si="11"/>
        <v>0.14407189871901713</v>
      </c>
      <c r="AG115" s="671">
        <f t="shared" si="12"/>
        <v>0.16093376515147734</v>
      </c>
      <c r="AH115" s="671">
        <f t="shared" si="13"/>
        <v>8.2393097563288137E-2</v>
      </c>
      <c r="AI115" s="671">
        <f t="shared" si="14"/>
        <v>0.13775431277539635</v>
      </c>
      <c r="AJ115" s="671">
        <f t="shared" si="15"/>
        <v>7.8894971381235871E-2</v>
      </c>
      <c r="AK115" s="671">
        <f t="shared" si="16"/>
        <v>6.7492377478255233E-2</v>
      </c>
      <c r="AL115" s="671" t="s">
        <v>160</v>
      </c>
      <c r="AM115" s="672">
        <f t="shared" si="17"/>
        <v>0.17589935776199767</v>
      </c>
      <c r="AN115" s="364"/>
      <c r="AO115" s="682">
        <v>9358.3531000000003</v>
      </c>
      <c r="AP115" s="687">
        <v>30099.028600000001</v>
      </c>
      <c r="AQ115" s="687">
        <v>19157.570800000001</v>
      </c>
      <c r="AR115" s="687">
        <v>105687.26819999999</v>
      </c>
      <c r="AS115" s="683">
        <v>36090.779300000002</v>
      </c>
      <c r="AT115" s="364"/>
      <c r="AU115" s="610">
        <f t="shared" si="24"/>
        <v>4.6699999999999998E-2</v>
      </c>
      <c r="AV115" s="651">
        <f t="shared" si="19"/>
        <v>0.1502</v>
      </c>
      <c r="AW115" s="651">
        <f t="shared" si="20"/>
        <v>9.5600000000000004E-2</v>
      </c>
      <c r="AX115" s="651">
        <f t="shared" si="21"/>
        <v>0.52739999999999998</v>
      </c>
      <c r="AY115" s="611">
        <f t="shared" si="22"/>
        <v>0.18010000000000001</v>
      </c>
      <c r="AZ115" s="364"/>
      <c r="BA115" s="610">
        <f t="shared" si="8"/>
        <v>0.24998135492759824</v>
      </c>
      <c r="BB115" s="611">
        <f t="shared" si="9"/>
        <v>0.12139645596403068</v>
      </c>
      <c r="BE115" t="s">
        <v>623</v>
      </c>
      <c r="BF115" t="s">
        <v>741</v>
      </c>
    </row>
    <row r="116" spans="1:58" ht="12.75" customHeight="1" outlineLevel="1" x14ac:dyDescent="0.2">
      <c r="A116" s="364" t="s">
        <v>624</v>
      </c>
      <c r="B116" s="365">
        <v>43191</v>
      </c>
      <c r="C116" s="609">
        <v>279891</v>
      </c>
      <c r="D116" s="608">
        <v>210238</v>
      </c>
      <c r="E116" s="607">
        <v>69653</v>
      </c>
      <c r="F116" s="364"/>
      <c r="G116" s="609">
        <v>230.70000000000002</v>
      </c>
      <c r="H116" s="658">
        <v>151.80000000000001</v>
      </c>
      <c r="I116" s="659">
        <v>78.900000000000006</v>
      </c>
      <c r="J116" s="364"/>
      <c r="K116" s="606">
        <v>254154</v>
      </c>
      <c r="L116" s="607">
        <v>26689</v>
      </c>
      <c r="M116" s="364"/>
      <c r="N116" s="606">
        <v>90002.887800000011</v>
      </c>
      <c r="O116" s="607">
        <v>120235.11219999999</v>
      </c>
      <c r="P116" s="364"/>
      <c r="Q116" s="606">
        <v>891975</v>
      </c>
      <c r="R116" s="659">
        <v>4.2426916161683428</v>
      </c>
      <c r="S116" s="364"/>
      <c r="T116" s="606">
        <v>33832</v>
      </c>
      <c r="U116" s="608">
        <v>30329</v>
      </c>
      <c r="V116" s="608">
        <v>37327</v>
      </c>
      <c r="W116" s="608">
        <v>17986</v>
      </c>
      <c r="X116" s="608">
        <v>27964</v>
      </c>
      <c r="Y116" s="608">
        <v>16509</v>
      </c>
      <c r="Z116" s="608">
        <v>11290</v>
      </c>
      <c r="AA116" s="608" t="s">
        <v>160</v>
      </c>
      <c r="AB116" s="607">
        <v>35001</v>
      </c>
      <c r="AC116" s="364"/>
      <c r="AD116" s="365">
        <f t="shared" si="23"/>
        <v>43191</v>
      </c>
      <c r="AE116" s="670">
        <f t="shared" si="10"/>
        <v>0.16092238320379759</v>
      </c>
      <c r="AF116" s="671">
        <f t="shared" si="11"/>
        <v>0.14426031450070873</v>
      </c>
      <c r="AG116" s="671">
        <f t="shared" si="12"/>
        <v>0.17754639979451858</v>
      </c>
      <c r="AH116" s="671">
        <f t="shared" si="13"/>
        <v>8.5550661631103794E-2</v>
      </c>
      <c r="AI116" s="671">
        <f t="shared" si="14"/>
        <v>0.13301115878195188</v>
      </c>
      <c r="AJ116" s="671">
        <f t="shared" si="15"/>
        <v>7.8525290385182508E-2</v>
      </c>
      <c r="AK116" s="671">
        <f t="shared" si="16"/>
        <v>5.3701043579181693E-2</v>
      </c>
      <c r="AL116" s="671" t="s">
        <v>160</v>
      </c>
      <c r="AM116" s="672">
        <f t="shared" si="17"/>
        <v>0.16648274812355521</v>
      </c>
      <c r="AN116" s="364"/>
      <c r="AO116" s="682">
        <v>9860.1621999999988</v>
      </c>
      <c r="AP116" s="687">
        <v>30694.748</v>
      </c>
      <c r="AQ116" s="687">
        <v>20624.347800000003</v>
      </c>
      <c r="AR116" s="687">
        <v>111257.94960000001</v>
      </c>
      <c r="AS116" s="683">
        <v>37800.792399999998</v>
      </c>
      <c r="AT116" s="364"/>
      <c r="AU116" s="610">
        <f t="shared" si="24"/>
        <v>4.689999999999999E-2</v>
      </c>
      <c r="AV116" s="651">
        <f t="shared" si="19"/>
        <v>0.14599999999999999</v>
      </c>
      <c r="AW116" s="651">
        <f t="shared" si="20"/>
        <v>9.8100000000000007E-2</v>
      </c>
      <c r="AX116" s="651">
        <f t="shared" si="21"/>
        <v>0.5292</v>
      </c>
      <c r="AY116" s="611">
        <f t="shared" si="22"/>
        <v>0.17979999999999996</v>
      </c>
      <c r="AZ116" s="364"/>
      <c r="BA116" s="610">
        <f t="shared" si="8"/>
        <v>0.27405824814876018</v>
      </c>
      <c r="BB116" s="611">
        <f t="shared" si="9"/>
        <v>0.12694660337331976</v>
      </c>
      <c r="BE116" t="s">
        <v>624</v>
      </c>
      <c r="BF116" t="s">
        <v>757</v>
      </c>
    </row>
    <row r="117" spans="1:58" ht="12.75" customHeight="1" outlineLevel="1" x14ac:dyDescent="0.2">
      <c r="A117" s="364" t="s">
        <v>624</v>
      </c>
      <c r="B117" s="365">
        <v>43221</v>
      </c>
      <c r="C117" s="609">
        <v>253678</v>
      </c>
      <c r="D117" s="608">
        <v>195291</v>
      </c>
      <c r="E117" s="607">
        <v>58387</v>
      </c>
      <c r="F117" s="364"/>
      <c r="G117" s="609">
        <v>207.20000000000002</v>
      </c>
      <c r="H117" s="658">
        <v>138.30000000000001</v>
      </c>
      <c r="I117" s="659">
        <v>68.900000000000006</v>
      </c>
      <c r="J117" s="364"/>
      <c r="K117" s="606">
        <v>203081</v>
      </c>
      <c r="L117" s="607">
        <v>26112</v>
      </c>
      <c r="M117" s="364"/>
      <c r="N117" s="606">
        <v>79893.5481</v>
      </c>
      <c r="O117" s="607">
        <v>115397.4519</v>
      </c>
      <c r="P117" s="364"/>
      <c r="Q117" s="606">
        <v>919652</v>
      </c>
      <c r="R117" s="659">
        <v>4.7091366217593231</v>
      </c>
      <c r="S117" s="364"/>
      <c r="T117" s="606">
        <v>32290</v>
      </c>
      <c r="U117" s="608">
        <v>29619</v>
      </c>
      <c r="V117" s="608">
        <v>36733</v>
      </c>
      <c r="W117" s="608">
        <v>15650</v>
      </c>
      <c r="X117" s="608">
        <v>21606</v>
      </c>
      <c r="Y117" s="608">
        <v>15337</v>
      </c>
      <c r="Z117" s="608">
        <v>10595</v>
      </c>
      <c r="AA117" s="608" t="s">
        <v>160</v>
      </c>
      <c r="AB117" s="607">
        <v>33461</v>
      </c>
      <c r="AC117" s="364"/>
      <c r="AD117" s="365">
        <f t="shared" si="23"/>
        <v>43221</v>
      </c>
      <c r="AE117" s="670">
        <f t="shared" si="10"/>
        <v>0.16534300095754539</v>
      </c>
      <c r="AF117" s="671">
        <f t="shared" si="11"/>
        <v>0.151665975390571</v>
      </c>
      <c r="AG117" s="671">
        <f t="shared" si="12"/>
        <v>0.18809366535068181</v>
      </c>
      <c r="AH117" s="671">
        <f t="shared" si="13"/>
        <v>8.0136821461306462E-2</v>
      </c>
      <c r="AI117" s="671">
        <f t="shared" si="14"/>
        <v>0.11063489868964775</v>
      </c>
      <c r="AJ117" s="671">
        <f t="shared" si="15"/>
        <v>7.8534085032080328E-2</v>
      </c>
      <c r="AK117" s="671">
        <f t="shared" si="16"/>
        <v>5.425237210112089E-2</v>
      </c>
      <c r="AL117" s="671" t="s">
        <v>160</v>
      </c>
      <c r="AM117" s="672">
        <f t="shared" si="17"/>
        <v>0.17133918101704634</v>
      </c>
      <c r="AN117" s="364"/>
      <c r="AO117" s="682">
        <v>11229.2325</v>
      </c>
      <c r="AP117" s="687">
        <v>30055.284900000002</v>
      </c>
      <c r="AQ117" s="687">
        <v>19685.3328</v>
      </c>
      <c r="AR117" s="687">
        <v>99559.351800000004</v>
      </c>
      <c r="AS117" s="683">
        <v>34761.797999999995</v>
      </c>
      <c r="AT117" s="364"/>
      <c r="AU117" s="610">
        <f t="shared" si="24"/>
        <v>5.7500000000000002E-2</v>
      </c>
      <c r="AV117" s="651">
        <f t="shared" si="19"/>
        <v>0.15390000000000001</v>
      </c>
      <c r="AW117" s="651">
        <f t="shared" si="20"/>
        <v>0.1008</v>
      </c>
      <c r="AX117" s="651">
        <f t="shared" si="21"/>
        <v>0.50980000000000003</v>
      </c>
      <c r="AY117" s="611">
        <f t="shared" si="22"/>
        <v>0.17799999999999996</v>
      </c>
      <c r="AZ117" s="364"/>
      <c r="BA117" s="610">
        <f t="shared" ref="BA117:BA148" si="25">+E117/K117</f>
        <v>0.28750597052407662</v>
      </c>
      <c r="BB117" s="611">
        <f t="shared" ref="BB117:BB148" si="26">+L117/D117</f>
        <v>0.13370815859409804</v>
      </c>
      <c r="BE117" t="s">
        <v>624</v>
      </c>
      <c r="BF117" t="s">
        <v>757</v>
      </c>
    </row>
    <row r="118" spans="1:58" ht="12.75" customHeight="1" outlineLevel="1" x14ac:dyDescent="0.2">
      <c r="A118" s="364" t="s">
        <v>624</v>
      </c>
      <c r="B118" s="365">
        <v>43252</v>
      </c>
      <c r="C118" s="609">
        <v>256862</v>
      </c>
      <c r="D118" s="608">
        <v>195369</v>
      </c>
      <c r="E118" s="607">
        <v>61493</v>
      </c>
      <c r="F118" s="364"/>
      <c r="G118" s="609">
        <v>240.6</v>
      </c>
      <c r="H118" s="658">
        <v>159.6</v>
      </c>
      <c r="I118" s="659">
        <v>81</v>
      </c>
      <c r="J118" s="364"/>
      <c r="K118" s="606">
        <v>244732</v>
      </c>
      <c r="L118" s="607">
        <v>26040</v>
      </c>
      <c r="M118" s="364"/>
      <c r="N118" s="606">
        <v>90416.773199999996</v>
      </c>
      <c r="O118" s="607">
        <v>104952.2268</v>
      </c>
      <c r="P118" s="364"/>
      <c r="Q118" s="606">
        <v>839043</v>
      </c>
      <c r="R118" s="659">
        <v>4.2946578013912138</v>
      </c>
      <c r="S118" s="364"/>
      <c r="T118" s="606">
        <v>32424</v>
      </c>
      <c r="U118" s="608">
        <v>28920</v>
      </c>
      <c r="V118" s="608">
        <v>36219</v>
      </c>
      <c r="W118" s="608">
        <v>14271</v>
      </c>
      <c r="X118" s="608">
        <v>26950</v>
      </c>
      <c r="Y118" s="608">
        <v>14383</v>
      </c>
      <c r="Z118" s="608">
        <v>9420</v>
      </c>
      <c r="AA118" s="608" t="s">
        <v>160</v>
      </c>
      <c r="AB118" s="607">
        <v>32782</v>
      </c>
      <c r="AC118" s="364"/>
      <c r="AD118" s="365">
        <f t="shared" si="23"/>
        <v>43252</v>
      </c>
      <c r="AE118" s="670">
        <f t="shared" si="10"/>
        <v>0.16596287026089093</v>
      </c>
      <c r="AF118" s="671">
        <f t="shared" si="11"/>
        <v>0.14802757858206778</v>
      </c>
      <c r="AG118" s="671">
        <f t="shared" si="12"/>
        <v>0.18538765106030128</v>
      </c>
      <c r="AH118" s="671">
        <f t="shared" si="13"/>
        <v>7.3046389140549423E-2</v>
      </c>
      <c r="AI118" s="671">
        <f t="shared" si="14"/>
        <v>0.13794409553204448</v>
      </c>
      <c r="AJ118" s="671">
        <f t="shared" si="15"/>
        <v>7.3619663303799474E-2</v>
      </c>
      <c r="AK118" s="671">
        <f t="shared" si="16"/>
        <v>4.8216451944781413E-2</v>
      </c>
      <c r="AL118" s="671" t="s">
        <v>160</v>
      </c>
      <c r="AM118" s="672">
        <f t="shared" si="17"/>
        <v>0.16779530017556521</v>
      </c>
      <c r="AN118" s="364"/>
      <c r="AO118" s="682">
        <v>9807.5238000000008</v>
      </c>
      <c r="AP118" s="687">
        <v>26765.553000000004</v>
      </c>
      <c r="AQ118" s="687">
        <v>18481.9074</v>
      </c>
      <c r="AR118" s="687">
        <v>108840.0699</v>
      </c>
      <c r="AS118" s="683">
        <v>32665.696799999998</v>
      </c>
      <c r="AT118" s="364"/>
      <c r="AU118" s="610">
        <f t="shared" si="24"/>
        <v>4.9895636616638504E-2</v>
      </c>
      <c r="AV118" s="651">
        <f t="shared" si="19"/>
        <v>0.13616936686214096</v>
      </c>
      <c r="AW118" s="651">
        <f t="shared" si="20"/>
        <v>9.4026438723784911E-2</v>
      </c>
      <c r="AX118" s="651">
        <f t="shared" si="21"/>
        <v>0.55372229400655992</v>
      </c>
      <c r="AY118" s="611">
        <f t="shared" si="22"/>
        <v>0.16618626379087564</v>
      </c>
      <c r="AZ118" s="364"/>
      <c r="BA118" s="610">
        <f t="shared" si="25"/>
        <v>0.2512666917280944</v>
      </c>
      <c r="BB118" s="611">
        <f t="shared" si="26"/>
        <v>0.13328624295563779</v>
      </c>
      <c r="BE118" t="s">
        <v>624</v>
      </c>
      <c r="BF118" t="s">
        <v>757</v>
      </c>
    </row>
    <row r="119" spans="1:58" ht="12.75" customHeight="1" outlineLevel="1" x14ac:dyDescent="0.2">
      <c r="A119" s="364" t="s">
        <v>625</v>
      </c>
      <c r="B119" s="365">
        <v>43282</v>
      </c>
      <c r="C119" s="609">
        <v>256123</v>
      </c>
      <c r="D119" s="608">
        <v>209074</v>
      </c>
      <c r="E119" s="607">
        <v>47049</v>
      </c>
      <c r="F119" s="364"/>
      <c r="G119" s="609">
        <v>248.7</v>
      </c>
      <c r="H119" s="658">
        <v>151.1</v>
      </c>
      <c r="I119" s="659">
        <v>97.6</v>
      </c>
      <c r="J119" s="364"/>
      <c r="K119" s="606">
        <v>234222</v>
      </c>
      <c r="L119" s="607">
        <v>27221</v>
      </c>
      <c r="M119" s="364"/>
      <c r="N119" s="606">
        <v>94501.448000000004</v>
      </c>
      <c r="O119" s="607">
        <v>114572.552</v>
      </c>
      <c r="P119" s="364"/>
      <c r="Q119" s="606">
        <v>898177</v>
      </c>
      <c r="R119" s="659">
        <v>4.2959765441900952</v>
      </c>
      <c r="S119" s="364"/>
      <c r="T119" s="606">
        <v>35095</v>
      </c>
      <c r="U119" s="608">
        <v>31428</v>
      </c>
      <c r="V119" s="608">
        <v>37706</v>
      </c>
      <c r="W119" s="608">
        <v>16105</v>
      </c>
      <c r="X119" s="608">
        <v>26360</v>
      </c>
      <c r="Y119" s="608">
        <v>16765</v>
      </c>
      <c r="Z119" s="608">
        <v>9853</v>
      </c>
      <c r="AA119" s="608" t="s">
        <v>160</v>
      </c>
      <c r="AB119" s="607">
        <v>35762</v>
      </c>
      <c r="AC119" s="364"/>
      <c r="AD119" s="365">
        <f t="shared" si="23"/>
        <v>43282</v>
      </c>
      <c r="AE119" s="670">
        <f t="shared" si="10"/>
        <v>0.16785922687660829</v>
      </c>
      <c r="AF119" s="671">
        <f t="shared" si="11"/>
        <v>0.15031998239857658</v>
      </c>
      <c r="AG119" s="671">
        <f t="shared" si="12"/>
        <v>0.18034762811253433</v>
      </c>
      <c r="AH119" s="671">
        <f t="shared" si="13"/>
        <v>7.7030142437605822E-2</v>
      </c>
      <c r="AI119" s="671">
        <f t="shared" si="14"/>
        <v>0.12607976123286491</v>
      </c>
      <c r="AJ119" s="671">
        <f t="shared" si="15"/>
        <v>8.0186919463921869E-2</v>
      </c>
      <c r="AK119" s="671">
        <f t="shared" si="16"/>
        <v>4.7126854606502962E-2</v>
      </c>
      <c r="AL119" s="671" t="s">
        <v>160</v>
      </c>
      <c r="AM119" s="672">
        <f t="shared" si="17"/>
        <v>0.17104948487138524</v>
      </c>
      <c r="AN119" s="364"/>
      <c r="AO119" s="682">
        <v>10850.9406</v>
      </c>
      <c r="AP119" s="687">
        <v>31214.748199999998</v>
      </c>
      <c r="AQ119" s="687">
        <v>19548.419000000002</v>
      </c>
      <c r="AR119" s="687">
        <v>111143.73839999999</v>
      </c>
      <c r="AS119" s="683">
        <v>36316.1538</v>
      </c>
      <c r="AT119" s="364"/>
      <c r="AU119" s="610">
        <f t="shared" si="24"/>
        <v>5.1900000000000009E-2</v>
      </c>
      <c r="AV119" s="651">
        <f t="shared" ref="AV119:AY122" si="27">+AP119/SUM($AO119:$AS119)</f>
        <v>0.14930000000000002</v>
      </c>
      <c r="AW119" s="651">
        <f t="shared" si="27"/>
        <v>9.3500000000000028E-2</v>
      </c>
      <c r="AX119" s="651">
        <f t="shared" si="27"/>
        <v>0.53159999999999996</v>
      </c>
      <c r="AY119" s="611">
        <f t="shared" si="27"/>
        <v>0.17370000000000002</v>
      </c>
      <c r="AZ119" s="364"/>
      <c r="BA119" s="610">
        <f t="shared" si="25"/>
        <v>0.20087353024054103</v>
      </c>
      <c r="BB119" s="611">
        <f t="shared" si="26"/>
        <v>0.13019792035355904</v>
      </c>
      <c r="BE119" t="s">
        <v>625</v>
      </c>
      <c r="BF119" t="s">
        <v>770</v>
      </c>
    </row>
    <row r="120" spans="1:58" ht="12.75" customHeight="1" outlineLevel="1" x14ac:dyDescent="0.2">
      <c r="A120" s="364" t="s">
        <v>625</v>
      </c>
      <c r="B120" s="365">
        <v>43313</v>
      </c>
      <c r="C120" s="609">
        <v>292978</v>
      </c>
      <c r="D120" s="608">
        <v>239598</v>
      </c>
      <c r="E120" s="607">
        <v>53380</v>
      </c>
      <c r="F120" s="364"/>
      <c r="G120" s="609">
        <v>280.7</v>
      </c>
      <c r="H120" s="658">
        <v>161.5</v>
      </c>
      <c r="I120" s="659">
        <v>119.2</v>
      </c>
      <c r="J120" s="364"/>
      <c r="K120" s="606">
        <v>278414</v>
      </c>
      <c r="L120" s="607">
        <v>30228</v>
      </c>
      <c r="M120" s="364"/>
      <c r="N120" s="606">
        <v>107196.1452</v>
      </c>
      <c r="O120" s="607">
        <v>132401.8548</v>
      </c>
      <c r="P120" s="364"/>
      <c r="Q120" s="606">
        <v>1033590</v>
      </c>
      <c r="R120" s="659">
        <v>4.3138506999223702</v>
      </c>
      <c r="S120" s="364"/>
      <c r="T120" s="606">
        <v>41591</v>
      </c>
      <c r="U120" s="608">
        <v>33992</v>
      </c>
      <c r="V120" s="608">
        <v>44747</v>
      </c>
      <c r="W120" s="608">
        <v>19767</v>
      </c>
      <c r="X120" s="608">
        <v>30342</v>
      </c>
      <c r="Y120" s="608">
        <v>19444</v>
      </c>
      <c r="Z120" s="608">
        <v>12106</v>
      </c>
      <c r="AA120" s="608" t="s">
        <v>160</v>
      </c>
      <c r="AB120" s="607">
        <v>37609</v>
      </c>
      <c r="AC120" s="364"/>
      <c r="AD120" s="365">
        <f t="shared" si="23"/>
        <v>43313</v>
      </c>
      <c r="AE120" s="670">
        <f t="shared" si="10"/>
        <v>0.17358659087304568</v>
      </c>
      <c r="AF120" s="671">
        <f t="shared" si="11"/>
        <v>0.14187096720339903</v>
      </c>
      <c r="AG120" s="671">
        <f t="shared" si="12"/>
        <v>0.18675865407891551</v>
      </c>
      <c r="AH120" s="671">
        <f t="shared" si="13"/>
        <v>8.2500688653494608E-2</v>
      </c>
      <c r="AI120" s="671">
        <f t="shared" si="14"/>
        <v>0.12663711717126186</v>
      </c>
      <c r="AJ120" s="671">
        <f t="shared" si="15"/>
        <v>8.1152597267089038E-2</v>
      </c>
      <c r="AK120" s="671">
        <f t="shared" si="16"/>
        <v>5.0526298216178767E-2</v>
      </c>
      <c r="AL120" s="671" t="s">
        <v>160</v>
      </c>
      <c r="AM120" s="672">
        <f t="shared" si="17"/>
        <v>0.15696708653661551</v>
      </c>
      <c r="AN120" s="364"/>
      <c r="AO120" s="682">
        <v>12099.699000000001</v>
      </c>
      <c r="AP120" s="687">
        <v>34717.750200000002</v>
      </c>
      <c r="AQ120" s="687">
        <v>21947.176800000001</v>
      </c>
      <c r="AR120" s="687">
        <v>131707.02059999999</v>
      </c>
      <c r="AS120" s="683">
        <v>39869.107199999999</v>
      </c>
      <c r="AT120" s="364"/>
      <c r="AU120" s="610">
        <f t="shared" si="24"/>
        <v>5.0343933805203876E-2</v>
      </c>
      <c r="AV120" s="651">
        <f t="shared" si="27"/>
        <v>0.14445219818562458</v>
      </c>
      <c r="AW120" s="651">
        <f t="shared" si="27"/>
        <v>9.131691755557772E-2</v>
      </c>
      <c r="AX120" s="651">
        <f t="shared" si="27"/>
        <v>0.54800119629149635</v>
      </c>
      <c r="AY120" s="611">
        <f t="shared" si="27"/>
        <v>0.1658857541620975</v>
      </c>
      <c r="AZ120" s="364"/>
      <c r="BA120" s="610">
        <f t="shared" si="25"/>
        <v>0.19172886420941476</v>
      </c>
      <c r="BB120" s="611">
        <f t="shared" si="26"/>
        <v>0.12616132021135401</v>
      </c>
      <c r="BE120" t="s">
        <v>625</v>
      </c>
      <c r="BF120" t="s">
        <v>770</v>
      </c>
    </row>
    <row r="121" spans="1:58" ht="12.75" customHeight="1" outlineLevel="1" x14ac:dyDescent="0.2">
      <c r="A121" s="364" t="s">
        <v>625</v>
      </c>
      <c r="B121" s="365">
        <v>43344</v>
      </c>
      <c r="C121" s="609">
        <v>242129</v>
      </c>
      <c r="D121" s="608">
        <v>205133</v>
      </c>
      <c r="E121" s="607">
        <v>36996</v>
      </c>
      <c r="F121" s="364"/>
      <c r="G121" s="609">
        <v>283.39999999999998</v>
      </c>
      <c r="H121" s="658">
        <v>172.5</v>
      </c>
      <c r="I121" s="659">
        <v>110.9</v>
      </c>
      <c r="J121" s="364"/>
      <c r="K121" s="606">
        <v>211716</v>
      </c>
      <c r="L121" s="607">
        <v>26157</v>
      </c>
      <c r="M121" s="364"/>
      <c r="N121" s="606">
        <v>96166.35040000001</v>
      </c>
      <c r="O121" s="607">
        <v>108966.64959999999</v>
      </c>
      <c r="P121" s="364"/>
      <c r="Q121" s="606">
        <v>830485</v>
      </c>
      <c r="R121" s="659">
        <v>4.0485197408510576</v>
      </c>
      <c r="S121" s="364"/>
      <c r="T121" s="606">
        <v>36392</v>
      </c>
      <c r="U121" s="608">
        <v>31475</v>
      </c>
      <c r="V121" s="608">
        <v>36144</v>
      </c>
      <c r="W121" s="608">
        <v>16691</v>
      </c>
      <c r="X121" s="608">
        <v>26832</v>
      </c>
      <c r="Y121" s="608">
        <v>15625</v>
      </c>
      <c r="Z121" s="608">
        <v>9581</v>
      </c>
      <c r="AA121" s="608" t="s">
        <v>160</v>
      </c>
      <c r="AB121" s="607">
        <v>32393</v>
      </c>
      <c r="AC121" s="364"/>
      <c r="AD121" s="365">
        <f t="shared" si="23"/>
        <v>43344</v>
      </c>
      <c r="AE121" s="670">
        <f t="shared" ref="AE121:AE152" si="28">+T121/SUM($T121:$AB121)</f>
        <v>0.17740685311480844</v>
      </c>
      <c r="AF121" s="671">
        <f t="shared" ref="AF121:AF152" si="29">+U121/SUM($T121:$AB121)</f>
        <v>0.15343703840922718</v>
      </c>
      <c r="AG121" s="671">
        <f t="shared" ref="AG121:AG152" si="30">+V121/SUM($T121:$AB121)</f>
        <v>0.17619788137452286</v>
      </c>
      <c r="AH121" s="671">
        <f t="shared" ref="AH121:AH152" si="31">+W121/SUM($T121:$AB121)</f>
        <v>8.1366723052848644E-2</v>
      </c>
      <c r="AI121" s="671">
        <f t="shared" ref="AI121:AI152" si="32">+X121/SUM($T121:$AB121)</f>
        <v>0.13080294248121951</v>
      </c>
      <c r="AJ121" s="671">
        <f t="shared" ref="AJ121:AJ152" si="33">+Y121/SUM($T121:$AB121)</f>
        <v>7.6170094524040499E-2</v>
      </c>
      <c r="AK121" s="671">
        <f t="shared" ref="AK121:AK152" si="34">+Z121/SUM($T121:$AB121)</f>
        <v>4.6706283240629247E-2</v>
      </c>
      <c r="AL121" s="671" t="s">
        <v>160</v>
      </c>
      <c r="AM121" s="672">
        <f t="shared" ref="AM121:AM152" si="35">+AB121/SUM($T121:$AB121)</f>
        <v>0.15791218380270361</v>
      </c>
      <c r="AN121" s="364"/>
      <c r="AO121" s="682">
        <v>10051.517</v>
      </c>
      <c r="AP121" s="687">
        <v>28308.354000000003</v>
      </c>
      <c r="AQ121" s="687">
        <v>17764.517799999998</v>
      </c>
      <c r="AR121" s="687">
        <v>114136.0012</v>
      </c>
      <c r="AS121" s="683">
        <v>34893.123299999999</v>
      </c>
      <c r="AT121" s="364"/>
      <c r="AU121" s="610">
        <f t="shared" si="24"/>
        <v>4.8995100489950996E-2</v>
      </c>
      <c r="AV121" s="651">
        <f t="shared" si="27"/>
        <v>0.13798620137986201</v>
      </c>
      <c r="AW121" s="651">
        <f t="shared" si="27"/>
        <v>8.6591340865913385E-2</v>
      </c>
      <c r="AX121" s="651">
        <f t="shared" si="27"/>
        <v>0.55634436556344358</v>
      </c>
      <c r="AY121" s="611">
        <f t="shared" si="27"/>
        <v>0.17008299170082988</v>
      </c>
      <c r="AZ121" s="364"/>
      <c r="BA121" s="610">
        <f t="shared" si="25"/>
        <v>0.17474352434393245</v>
      </c>
      <c r="BB121" s="611">
        <f t="shared" si="26"/>
        <v>0.12751239439778095</v>
      </c>
      <c r="BE121" t="s">
        <v>625</v>
      </c>
      <c r="BF121" t="s">
        <v>770</v>
      </c>
    </row>
    <row r="122" spans="1:58" ht="12.75" customHeight="1" outlineLevel="1" x14ac:dyDescent="0.2">
      <c r="A122" s="364" t="s">
        <v>626</v>
      </c>
      <c r="B122" s="365">
        <v>43374</v>
      </c>
      <c r="C122" s="609">
        <v>281513</v>
      </c>
      <c r="D122" s="608">
        <v>245159</v>
      </c>
      <c r="E122" s="607">
        <v>36354</v>
      </c>
      <c r="F122" s="364"/>
      <c r="G122" s="609">
        <v>293.89999999999998</v>
      </c>
      <c r="H122" s="658">
        <v>172.8</v>
      </c>
      <c r="I122" s="659">
        <v>121.1</v>
      </c>
      <c r="J122" s="364"/>
      <c r="K122" s="606">
        <v>250018</v>
      </c>
      <c r="L122" s="607">
        <v>28798</v>
      </c>
      <c r="M122" s="364"/>
      <c r="N122" s="606">
        <v>116401.49319999998</v>
      </c>
      <c r="O122" s="607">
        <v>128757.50680000002</v>
      </c>
      <c r="P122" s="364"/>
      <c r="Q122" s="606">
        <v>972076</v>
      </c>
      <c r="R122" s="659">
        <v>3.9650838843362877</v>
      </c>
      <c r="S122" s="364"/>
      <c r="T122" s="606">
        <v>44088</v>
      </c>
      <c r="U122" s="608">
        <v>37228</v>
      </c>
      <c r="V122" s="608">
        <v>44283</v>
      </c>
      <c r="W122" s="608">
        <v>19791</v>
      </c>
      <c r="X122" s="608">
        <v>30371</v>
      </c>
      <c r="Y122" s="608">
        <v>17652</v>
      </c>
      <c r="Z122" s="608">
        <v>13312</v>
      </c>
      <c r="AA122" s="608" t="s">
        <v>160</v>
      </c>
      <c r="AB122" s="607">
        <v>38434</v>
      </c>
      <c r="AC122" s="364"/>
      <c r="AD122" s="365">
        <f t="shared" si="23"/>
        <v>43374</v>
      </c>
      <c r="AE122" s="670">
        <f t="shared" si="28"/>
        <v>0.17983431161001637</v>
      </c>
      <c r="AF122" s="671">
        <f t="shared" si="29"/>
        <v>0.15185247125334986</v>
      </c>
      <c r="AG122" s="671">
        <f t="shared" si="30"/>
        <v>0.18062971377758924</v>
      </c>
      <c r="AH122" s="671">
        <f t="shared" si="31"/>
        <v>8.0727201530435347E-2</v>
      </c>
      <c r="AI122" s="671">
        <f t="shared" si="32"/>
        <v>0.12388286785310758</v>
      </c>
      <c r="AJ122" s="671">
        <f t="shared" si="33"/>
        <v>7.2002251599982053E-2</v>
      </c>
      <c r="AK122" s="671">
        <f t="shared" si="34"/>
        <v>5.4299454639642031E-2</v>
      </c>
      <c r="AL122" s="671" t="s">
        <v>160</v>
      </c>
      <c r="AM122" s="672">
        <f t="shared" si="35"/>
        <v>0.15677172773587753</v>
      </c>
      <c r="AN122" s="364"/>
      <c r="AO122" s="682">
        <v>11130.2186</v>
      </c>
      <c r="AP122" s="687">
        <v>32581.631099999999</v>
      </c>
      <c r="AQ122" s="687">
        <v>21696.571499999998</v>
      </c>
      <c r="AR122" s="687">
        <v>138980.63709999999</v>
      </c>
      <c r="AS122" s="683">
        <v>40794.457600000002</v>
      </c>
      <c r="AT122" s="364"/>
      <c r="AU122" s="610">
        <f t="shared" si="24"/>
        <v>4.5395460453954609E-2</v>
      </c>
      <c r="AV122" s="651">
        <f t="shared" si="27"/>
        <v>0.13288671132886712</v>
      </c>
      <c r="AW122" s="651">
        <f t="shared" si="27"/>
        <v>8.849115088491151E-2</v>
      </c>
      <c r="AX122" s="651">
        <f t="shared" si="27"/>
        <v>0.56684331566843316</v>
      </c>
      <c r="AY122" s="611">
        <f t="shared" si="27"/>
        <v>0.16638336166383363</v>
      </c>
      <c r="AZ122" s="364"/>
      <c r="BA122" s="610">
        <f t="shared" si="25"/>
        <v>0.14540553080178228</v>
      </c>
      <c r="BB122" s="611">
        <f t="shared" si="26"/>
        <v>0.117466623701353</v>
      </c>
      <c r="BE122" t="s">
        <v>626</v>
      </c>
      <c r="BF122" t="s">
        <v>790</v>
      </c>
    </row>
    <row r="123" spans="1:58" ht="12.75" customHeight="1" outlineLevel="1" x14ac:dyDescent="0.2">
      <c r="A123" s="364" t="s">
        <v>626</v>
      </c>
      <c r="B123" s="365">
        <v>43405</v>
      </c>
      <c r="C123" s="609">
        <v>253745</v>
      </c>
      <c r="D123" s="608">
        <v>221808</v>
      </c>
      <c r="E123" s="607">
        <v>31937</v>
      </c>
      <c r="F123" s="364"/>
      <c r="G123" s="609">
        <v>290.8</v>
      </c>
      <c r="H123" s="658">
        <v>173.8</v>
      </c>
      <c r="I123" s="659">
        <v>117</v>
      </c>
      <c r="J123" s="364"/>
      <c r="K123" s="606">
        <v>232659</v>
      </c>
      <c r="L123" s="607">
        <v>25611</v>
      </c>
      <c r="M123" s="364"/>
      <c r="N123" s="606">
        <v>100035.408</v>
      </c>
      <c r="O123" s="607">
        <v>121772.592</v>
      </c>
      <c r="P123" s="364"/>
      <c r="Q123" s="606">
        <v>864932</v>
      </c>
      <c r="R123" s="659">
        <v>3.8994625982832001</v>
      </c>
      <c r="S123" s="364"/>
      <c r="T123" s="606">
        <v>45273</v>
      </c>
      <c r="U123" s="608">
        <v>33070</v>
      </c>
      <c r="V123" s="608">
        <v>35755</v>
      </c>
      <c r="W123" s="608">
        <v>17540</v>
      </c>
      <c r="X123" s="608">
        <v>28644</v>
      </c>
      <c r="Y123" s="608">
        <v>16198</v>
      </c>
      <c r="Z123" s="608">
        <v>11199</v>
      </c>
      <c r="AA123" s="608" t="s">
        <v>160</v>
      </c>
      <c r="AB123" s="607">
        <v>34129</v>
      </c>
      <c r="AC123" s="364"/>
      <c r="AD123" s="365">
        <f t="shared" si="23"/>
        <v>43405</v>
      </c>
      <c r="AE123" s="670">
        <f t="shared" si="28"/>
        <v>0.20410895909976196</v>
      </c>
      <c r="AF123" s="671">
        <f t="shared" si="29"/>
        <v>0.14909290918271659</v>
      </c>
      <c r="AG123" s="671">
        <f t="shared" si="30"/>
        <v>0.16119797302171246</v>
      </c>
      <c r="AH123" s="671">
        <f t="shared" si="31"/>
        <v>7.9077400274110948E-2</v>
      </c>
      <c r="AI123" s="671">
        <f t="shared" si="32"/>
        <v>0.12913871456394721</v>
      </c>
      <c r="AJ123" s="671">
        <f t="shared" si="33"/>
        <v>7.3027122556445209E-2</v>
      </c>
      <c r="AK123" s="671">
        <f t="shared" si="34"/>
        <v>5.0489612637957156E-2</v>
      </c>
      <c r="AL123" s="671" t="s">
        <v>160</v>
      </c>
      <c r="AM123" s="672">
        <f t="shared" si="35"/>
        <v>0.1538673086633485</v>
      </c>
      <c r="AN123" s="364"/>
      <c r="AO123" s="682">
        <v>10757.688</v>
      </c>
      <c r="AP123" s="687">
        <v>31408.0128</v>
      </c>
      <c r="AQ123" s="687">
        <v>19474.742399999999</v>
      </c>
      <c r="AR123" s="687">
        <v>121218.072</v>
      </c>
      <c r="AS123" s="683">
        <v>38971.6656</v>
      </c>
      <c r="AT123" s="364"/>
      <c r="AU123" s="610">
        <f t="shared" ref="AU123:AY124" si="36">+AO123/SUM($AO123:$AS123)</f>
        <v>4.8495150484951503E-2</v>
      </c>
      <c r="AV123" s="651">
        <f t="shared" si="36"/>
        <v>0.14158584141585842</v>
      </c>
      <c r="AW123" s="651">
        <f t="shared" si="36"/>
        <v>8.7791220877912204E-2</v>
      </c>
      <c r="AX123" s="651">
        <f t="shared" si="36"/>
        <v>0.5464453554644535</v>
      </c>
      <c r="AY123" s="611">
        <f t="shared" si="36"/>
        <v>0.17568243175682433</v>
      </c>
      <c r="AZ123" s="364"/>
      <c r="BA123" s="610">
        <f t="shared" si="25"/>
        <v>0.13726956618914377</v>
      </c>
      <c r="BB123" s="611">
        <f t="shared" si="26"/>
        <v>0.11546472624972949</v>
      </c>
      <c r="BE123" t="s">
        <v>626</v>
      </c>
      <c r="BF123" t="s">
        <v>790</v>
      </c>
    </row>
    <row r="124" spans="1:58" ht="12.75" customHeight="1" outlineLevel="1" x14ac:dyDescent="0.2">
      <c r="A124" s="364" t="s">
        <v>626</v>
      </c>
      <c r="B124" s="365">
        <v>43435</v>
      </c>
      <c r="C124" s="609">
        <v>255204</v>
      </c>
      <c r="D124" s="608">
        <v>225424</v>
      </c>
      <c r="E124" s="607">
        <v>29780</v>
      </c>
      <c r="F124" s="364"/>
      <c r="G124" s="609">
        <v>255.1</v>
      </c>
      <c r="H124" s="658">
        <v>192.1</v>
      </c>
      <c r="I124" s="659">
        <v>63</v>
      </c>
      <c r="J124" s="364"/>
      <c r="K124" s="606">
        <v>169018</v>
      </c>
      <c r="L124" s="607">
        <v>28201</v>
      </c>
      <c r="M124" s="364"/>
      <c r="N124" s="606">
        <v>95737.572799999994</v>
      </c>
      <c r="O124" s="607">
        <v>129686.42720000001</v>
      </c>
      <c r="P124" s="364"/>
      <c r="Q124" s="606">
        <v>980020</v>
      </c>
      <c r="R124" s="659">
        <v>4.3474519128398041</v>
      </c>
      <c r="S124" s="364"/>
      <c r="T124" s="606">
        <v>41575</v>
      </c>
      <c r="U124" s="608">
        <v>33377</v>
      </c>
      <c r="V124" s="608">
        <v>38107</v>
      </c>
      <c r="W124" s="608">
        <v>20023</v>
      </c>
      <c r="X124" s="608">
        <v>29347</v>
      </c>
      <c r="Y124" s="608">
        <v>16661</v>
      </c>
      <c r="Z124" s="608">
        <v>10841</v>
      </c>
      <c r="AA124" s="608" t="s">
        <v>160</v>
      </c>
      <c r="AB124" s="607">
        <v>35493</v>
      </c>
      <c r="AC124" s="364"/>
      <c r="AD124" s="365">
        <f t="shared" si="23"/>
        <v>43435</v>
      </c>
      <c r="AE124" s="670">
        <f t="shared" si="28"/>
        <v>0.18443022925686706</v>
      </c>
      <c r="AF124" s="671">
        <f t="shared" si="29"/>
        <v>0.14806320533749734</v>
      </c>
      <c r="AG124" s="671">
        <f t="shared" si="30"/>
        <v>0.16904588686209099</v>
      </c>
      <c r="AH124" s="671">
        <f t="shared" si="31"/>
        <v>8.8823727730853855E-2</v>
      </c>
      <c r="AI124" s="671">
        <f t="shared" si="32"/>
        <v>0.13018578323514798</v>
      </c>
      <c r="AJ124" s="671">
        <f t="shared" si="33"/>
        <v>7.3909610334303363E-2</v>
      </c>
      <c r="AK124" s="671">
        <f t="shared" si="34"/>
        <v>4.8091596280786429E-2</v>
      </c>
      <c r="AL124" s="671" t="s">
        <v>160</v>
      </c>
      <c r="AM124" s="672">
        <f t="shared" si="35"/>
        <v>0.15744996096245298</v>
      </c>
      <c r="AN124" s="364"/>
      <c r="AO124" s="682">
        <v>12105.2688</v>
      </c>
      <c r="AP124" s="687">
        <v>33272.582399999999</v>
      </c>
      <c r="AQ124" s="687">
        <v>22046.467199999999</v>
      </c>
      <c r="AR124" s="687">
        <v>114222.34080000001</v>
      </c>
      <c r="AS124" s="683">
        <v>43777.340800000005</v>
      </c>
      <c r="AT124" s="364"/>
      <c r="AU124" s="610">
        <f t="shared" si="36"/>
        <v>5.3699999999999998E-2</v>
      </c>
      <c r="AV124" s="651">
        <f t="shared" si="36"/>
        <v>0.14760000000000001</v>
      </c>
      <c r="AW124" s="651">
        <f t="shared" si="36"/>
        <v>9.7799999999999998E-2</v>
      </c>
      <c r="AX124" s="651">
        <f t="shared" si="36"/>
        <v>0.50670000000000004</v>
      </c>
      <c r="AY124" s="611">
        <f t="shared" si="36"/>
        <v>0.19420000000000001</v>
      </c>
      <c r="AZ124" s="364"/>
      <c r="BA124" s="610">
        <f t="shared" si="25"/>
        <v>0.17619425149984025</v>
      </c>
      <c r="BB124" s="611">
        <f t="shared" si="26"/>
        <v>0.12510202995244518</v>
      </c>
      <c r="BE124" t="s">
        <v>626</v>
      </c>
      <c r="BF124" t="s">
        <v>790</v>
      </c>
    </row>
    <row r="125" spans="1:58" ht="12.75" customHeight="1" outlineLevel="1" x14ac:dyDescent="0.2">
      <c r="A125" s="364" t="s">
        <v>798</v>
      </c>
      <c r="B125" s="365">
        <v>43466</v>
      </c>
      <c r="C125" s="401">
        <v>215375</v>
      </c>
      <c r="D125" s="402">
        <v>191209</v>
      </c>
      <c r="E125" s="404">
        <v>24166</v>
      </c>
      <c r="F125" s="364"/>
      <c r="G125" s="401">
        <v>245.6</v>
      </c>
      <c r="H125" s="411">
        <v>160.19999999999999</v>
      </c>
      <c r="I125" s="406">
        <v>85.4</v>
      </c>
      <c r="J125" s="364"/>
      <c r="K125" s="405">
        <v>190415</v>
      </c>
      <c r="L125" s="404">
        <v>23691</v>
      </c>
      <c r="M125" s="364"/>
      <c r="N125" s="405">
        <v>69217.65800000001</v>
      </c>
      <c r="O125" s="404">
        <v>121991.34199999999</v>
      </c>
      <c r="P125" s="364"/>
      <c r="Q125" s="405">
        <v>874511</v>
      </c>
      <c r="R125" s="406">
        <v>4.5735870173475099</v>
      </c>
      <c r="S125" s="364"/>
      <c r="T125" s="405">
        <v>36215</v>
      </c>
      <c r="U125" s="402">
        <v>27891</v>
      </c>
      <c r="V125" s="402">
        <v>35107</v>
      </c>
      <c r="W125" s="402">
        <v>16478</v>
      </c>
      <c r="X125" s="402">
        <v>22845</v>
      </c>
      <c r="Y125" s="402">
        <v>12581</v>
      </c>
      <c r="Z125" s="402">
        <v>9888</v>
      </c>
      <c r="AA125" s="402" t="s">
        <v>160</v>
      </c>
      <c r="AB125" s="404">
        <v>30204</v>
      </c>
      <c r="AC125" s="364"/>
      <c r="AD125" s="365">
        <f t="shared" si="23"/>
        <v>43466</v>
      </c>
      <c r="AE125" s="941">
        <f t="shared" si="28"/>
        <v>0.18940008054014193</v>
      </c>
      <c r="AF125" s="942">
        <f t="shared" si="29"/>
        <v>0.14586656485834873</v>
      </c>
      <c r="AG125" s="942">
        <f t="shared" si="30"/>
        <v>0.18360537422401665</v>
      </c>
      <c r="AH125" s="942">
        <f t="shared" si="31"/>
        <v>8.6177951874650258E-2</v>
      </c>
      <c r="AI125" s="942">
        <f t="shared" si="32"/>
        <v>0.11947659367498392</v>
      </c>
      <c r="AJ125" s="942">
        <f t="shared" si="33"/>
        <v>6.579711206062476E-2</v>
      </c>
      <c r="AK125" s="942">
        <f t="shared" si="34"/>
        <v>5.1713046980006172E-2</v>
      </c>
      <c r="AL125" s="942" t="s">
        <v>160</v>
      </c>
      <c r="AM125" s="943">
        <f t="shared" si="35"/>
        <v>0.15796327578722758</v>
      </c>
      <c r="AN125" s="364"/>
      <c r="AO125" s="405">
        <v>9694.2963</v>
      </c>
      <c r="AP125" s="402">
        <v>31415.6387</v>
      </c>
      <c r="AQ125" s="402">
        <v>18260.459500000001</v>
      </c>
      <c r="AR125" s="402">
        <v>97382.743699999992</v>
      </c>
      <c r="AS125" s="404">
        <v>34436.740900000004</v>
      </c>
      <c r="AT125" s="364"/>
      <c r="AU125" s="944">
        <f t="shared" ref="AU125:AY127" si="37">+AO125/SUM($AO125:$AS125)</f>
        <v>5.0705070507050705E-2</v>
      </c>
      <c r="AV125" s="945">
        <f t="shared" si="37"/>
        <v>0.16431643164316431</v>
      </c>
      <c r="AW125" s="945">
        <f t="shared" si="37"/>
        <v>9.5509550955095515E-2</v>
      </c>
      <c r="AX125" s="945">
        <f t="shared" si="37"/>
        <v>0.50935093509350937</v>
      </c>
      <c r="AY125" s="946">
        <f t="shared" si="37"/>
        <v>0.18011801180118014</v>
      </c>
      <c r="AZ125" s="364"/>
      <c r="BA125" s="944">
        <f t="shared" si="25"/>
        <v>0.12691227056691962</v>
      </c>
      <c r="BB125" s="946">
        <f t="shared" si="26"/>
        <v>0.12390107160227813</v>
      </c>
      <c r="BE125" t="s">
        <v>798</v>
      </c>
      <c r="BF125" t="s">
        <v>806</v>
      </c>
    </row>
    <row r="126" spans="1:58" ht="12.75" customHeight="1" outlineLevel="1" x14ac:dyDescent="0.2">
      <c r="A126" s="364" t="s">
        <v>798</v>
      </c>
      <c r="B126" s="365">
        <v>43497</v>
      </c>
      <c r="C126" s="401">
        <v>229266</v>
      </c>
      <c r="D126" s="402">
        <v>190273</v>
      </c>
      <c r="E126" s="404">
        <v>38993</v>
      </c>
      <c r="F126" s="364"/>
      <c r="G126" s="401">
        <v>288.10000000000002</v>
      </c>
      <c r="H126" s="411">
        <v>180.1</v>
      </c>
      <c r="I126" s="406">
        <v>108</v>
      </c>
      <c r="J126" s="364"/>
      <c r="K126" s="405">
        <v>245782</v>
      </c>
      <c r="L126" s="404">
        <v>21696</v>
      </c>
      <c r="M126" s="364"/>
      <c r="N126" s="405">
        <v>81703.226200000005</v>
      </c>
      <c r="O126" s="404">
        <v>108569.7738</v>
      </c>
      <c r="P126" s="364"/>
      <c r="Q126" s="405">
        <v>834521</v>
      </c>
      <c r="R126" s="406">
        <v>4.3859139236780837</v>
      </c>
      <c r="S126" s="364"/>
      <c r="T126" s="405">
        <v>33871</v>
      </c>
      <c r="U126" s="402">
        <v>25579</v>
      </c>
      <c r="V126" s="402">
        <v>37843</v>
      </c>
      <c r="W126" s="402">
        <v>14297</v>
      </c>
      <c r="X126" s="402">
        <v>23028</v>
      </c>
      <c r="Y126" s="402">
        <v>14155</v>
      </c>
      <c r="Z126" s="402">
        <v>11212</v>
      </c>
      <c r="AA126" s="402" t="s">
        <v>160</v>
      </c>
      <c r="AB126" s="404">
        <v>30288</v>
      </c>
      <c r="AC126" s="364"/>
      <c r="AD126" s="365">
        <f t="shared" si="23"/>
        <v>43497</v>
      </c>
      <c r="AE126" s="941">
        <f t="shared" si="28"/>
        <v>0.17801264498904207</v>
      </c>
      <c r="AF126" s="942">
        <f t="shared" si="29"/>
        <v>0.13443315656977081</v>
      </c>
      <c r="AG126" s="942">
        <f t="shared" si="30"/>
        <v>0.19888791368192019</v>
      </c>
      <c r="AH126" s="942">
        <f t="shared" si="31"/>
        <v>7.5139404960241338E-2</v>
      </c>
      <c r="AI126" s="942">
        <f t="shared" si="32"/>
        <v>0.12102610459707894</v>
      </c>
      <c r="AJ126" s="942">
        <f t="shared" si="33"/>
        <v>7.439310884886452E-2</v>
      </c>
      <c r="AK126" s="942">
        <f t="shared" si="34"/>
        <v>5.8925859160259206E-2</v>
      </c>
      <c r="AL126" s="942" t="s">
        <v>160</v>
      </c>
      <c r="AM126" s="943">
        <f t="shared" si="35"/>
        <v>0.15918180719282293</v>
      </c>
      <c r="AN126" s="364"/>
      <c r="AO126" s="405">
        <v>9608.7865000000002</v>
      </c>
      <c r="AP126" s="402">
        <v>28636.086499999998</v>
      </c>
      <c r="AQ126" s="402">
        <v>18209.126099999998</v>
      </c>
      <c r="AR126" s="402">
        <v>103736.83960000001</v>
      </c>
      <c r="AS126" s="404">
        <v>30082.1613</v>
      </c>
      <c r="AT126" s="364"/>
      <c r="AU126" s="944">
        <f t="shared" si="37"/>
        <v>5.0499999999999996E-2</v>
      </c>
      <c r="AV126" s="945">
        <f t="shared" si="37"/>
        <v>0.15049999999999997</v>
      </c>
      <c r="AW126" s="945">
        <f t="shared" si="37"/>
        <v>9.569999999999998E-2</v>
      </c>
      <c r="AX126" s="945">
        <f t="shared" si="37"/>
        <v>0.54519999999999991</v>
      </c>
      <c r="AY126" s="946">
        <f t="shared" si="37"/>
        <v>0.15809999999999996</v>
      </c>
      <c r="AZ126" s="364"/>
      <c r="BA126" s="944">
        <f t="shared" si="25"/>
        <v>0.15864872122449977</v>
      </c>
      <c r="BB126" s="946">
        <f t="shared" si="26"/>
        <v>0.11402563684810772</v>
      </c>
      <c r="BE126" t="s">
        <v>798</v>
      </c>
      <c r="BF126" t="s">
        <v>806</v>
      </c>
    </row>
    <row r="127" spans="1:58" ht="12.75" customHeight="1" outlineLevel="1" x14ac:dyDescent="0.2">
      <c r="A127" s="364" t="s">
        <v>798</v>
      </c>
      <c r="B127" s="365">
        <v>43525</v>
      </c>
      <c r="C127" s="401">
        <v>236778</v>
      </c>
      <c r="D127" s="402">
        <v>199974</v>
      </c>
      <c r="E127" s="404">
        <v>36804</v>
      </c>
      <c r="F127" s="364"/>
      <c r="G127" s="401">
        <v>296.39999999999998</v>
      </c>
      <c r="H127" s="411">
        <v>190.9</v>
      </c>
      <c r="I127" s="406">
        <v>105.5</v>
      </c>
      <c r="J127" s="364"/>
      <c r="K127" s="405">
        <v>230773</v>
      </c>
      <c r="L127" s="404">
        <v>22726</v>
      </c>
      <c r="M127" s="364"/>
      <c r="N127" s="405">
        <v>95767.548599999995</v>
      </c>
      <c r="O127" s="404">
        <v>104206.45140000001</v>
      </c>
      <c r="P127" s="364"/>
      <c r="Q127" s="405">
        <v>770343</v>
      </c>
      <c r="R127" s="406">
        <v>3.852215788052447</v>
      </c>
      <c r="S127" s="364"/>
      <c r="T127" s="405">
        <v>36330</v>
      </c>
      <c r="U127" s="402">
        <v>28818</v>
      </c>
      <c r="V127" s="402">
        <v>34634</v>
      </c>
      <c r="W127" s="402">
        <v>16744</v>
      </c>
      <c r="X127" s="402">
        <v>27684</v>
      </c>
      <c r="Y127" s="402">
        <v>15029</v>
      </c>
      <c r="Z127" s="402">
        <v>10499</v>
      </c>
      <c r="AA127" s="402" t="s">
        <v>160</v>
      </c>
      <c r="AB127" s="404">
        <v>30236</v>
      </c>
      <c r="AC127" s="364"/>
      <c r="AD127" s="365">
        <f t="shared" si="23"/>
        <v>43525</v>
      </c>
      <c r="AE127" s="941">
        <f t="shared" si="28"/>
        <v>0.18167361757028413</v>
      </c>
      <c r="AF127" s="942">
        <f t="shared" si="29"/>
        <v>0.14410873413543759</v>
      </c>
      <c r="AG127" s="942">
        <f t="shared" si="30"/>
        <v>0.17319251502695351</v>
      </c>
      <c r="AH127" s="942">
        <f t="shared" si="31"/>
        <v>8.3730885015051951E-2</v>
      </c>
      <c r="AI127" s="942">
        <f t="shared" si="32"/>
        <v>0.13843799693960215</v>
      </c>
      <c r="AJ127" s="942">
        <f t="shared" si="33"/>
        <v>7.5154770120115622E-2</v>
      </c>
      <c r="AK127" s="942">
        <f t="shared" si="34"/>
        <v>5.250182523728085E-2</v>
      </c>
      <c r="AL127" s="942" t="s">
        <v>160</v>
      </c>
      <c r="AM127" s="943">
        <f t="shared" si="35"/>
        <v>0.15119965595527418</v>
      </c>
      <c r="AN127" s="364"/>
      <c r="AO127" s="405">
        <v>9458.7702000000008</v>
      </c>
      <c r="AP127" s="402">
        <v>26756.521199999999</v>
      </c>
      <c r="AQ127" s="402">
        <v>17857.678200000002</v>
      </c>
      <c r="AR127" s="402">
        <v>114545.1072</v>
      </c>
      <c r="AS127" s="404">
        <v>31375.920600000001</v>
      </c>
      <c r="AT127" s="364"/>
      <c r="AU127" s="944">
        <f t="shared" si="37"/>
        <v>4.7295270472952705E-2</v>
      </c>
      <c r="AV127" s="945">
        <f t="shared" si="37"/>
        <v>0.1337866213378662</v>
      </c>
      <c r="AW127" s="945">
        <f t="shared" si="37"/>
        <v>8.9291070892910704E-2</v>
      </c>
      <c r="AX127" s="945">
        <f t="shared" si="37"/>
        <v>0.57274272572742724</v>
      </c>
      <c r="AY127" s="946">
        <f t="shared" si="37"/>
        <v>0.15688431156884311</v>
      </c>
      <c r="AZ127" s="364"/>
      <c r="BA127" s="944">
        <f t="shared" si="25"/>
        <v>0.15948139513721277</v>
      </c>
      <c r="BB127" s="946">
        <f t="shared" si="26"/>
        <v>0.11364477382059668</v>
      </c>
      <c r="BE127" t="s">
        <v>798</v>
      </c>
      <c r="BF127" t="s">
        <v>806</v>
      </c>
    </row>
    <row r="128" spans="1:58" ht="12.75" customHeight="1" outlineLevel="1" x14ac:dyDescent="0.2">
      <c r="A128" s="364" t="s">
        <v>799</v>
      </c>
      <c r="B128" s="365">
        <v>43556</v>
      </c>
      <c r="C128" s="401">
        <v>254961</v>
      </c>
      <c r="D128" s="402">
        <v>221723</v>
      </c>
      <c r="E128" s="404">
        <v>33238</v>
      </c>
      <c r="F128" s="364"/>
      <c r="G128" s="401">
        <v>306.2</v>
      </c>
      <c r="H128" s="411">
        <v>186.7</v>
      </c>
      <c r="I128" s="406">
        <v>119.5</v>
      </c>
      <c r="J128" s="364"/>
      <c r="K128" s="405">
        <v>255351</v>
      </c>
      <c r="L128" s="404">
        <v>25871</v>
      </c>
      <c r="M128" s="364"/>
      <c r="N128" s="405">
        <v>103810.7086</v>
      </c>
      <c r="O128" s="404">
        <v>117912.2914</v>
      </c>
      <c r="P128" s="364"/>
      <c r="Q128" s="405">
        <v>880315</v>
      </c>
      <c r="R128" s="406">
        <v>3.9703368617599435</v>
      </c>
      <c r="S128" s="364"/>
      <c r="T128" s="405">
        <v>37991</v>
      </c>
      <c r="U128" s="402">
        <v>32851</v>
      </c>
      <c r="V128" s="402">
        <v>40915</v>
      </c>
      <c r="W128" s="402">
        <v>19678</v>
      </c>
      <c r="X128" s="402">
        <v>25858</v>
      </c>
      <c r="Y128" s="402">
        <v>17888</v>
      </c>
      <c r="Z128" s="402">
        <v>11091</v>
      </c>
      <c r="AA128" s="402" t="s">
        <v>160</v>
      </c>
      <c r="AB128" s="404">
        <v>35451</v>
      </c>
      <c r="AC128" s="364"/>
      <c r="AD128" s="365">
        <f t="shared" si="23"/>
        <v>43556</v>
      </c>
      <c r="AE128" s="941">
        <f t="shared" si="28"/>
        <v>0.17134442525132709</v>
      </c>
      <c r="AF128" s="942">
        <f t="shared" si="29"/>
        <v>0.14816234671188824</v>
      </c>
      <c r="AG128" s="942">
        <f t="shared" si="30"/>
        <v>0.18453205125314018</v>
      </c>
      <c r="AH128" s="942">
        <f t="shared" si="31"/>
        <v>8.875037772355597E-2</v>
      </c>
      <c r="AI128" s="942">
        <f t="shared" si="32"/>
        <v>0.11662299355502136</v>
      </c>
      <c r="AJ128" s="942">
        <f t="shared" si="33"/>
        <v>8.0677241422856441E-2</v>
      </c>
      <c r="AK128" s="942">
        <f t="shared" si="34"/>
        <v>5.0021874140256085E-2</v>
      </c>
      <c r="AL128" s="942" t="s">
        <v>160</v>
      </c>
      <c r="AM128" s="943">
        <f t="shared" si="35"/>
        <v>0.1598886899419546</v>
      </c>
      <c r="AN128" s="364"/>
      <c r="AO128" s="405">
        <v>10709.2209</v>
      </c>
      <c r="AP128" s="402">
        <v>30642.118599999998</v>
      </c>
      <c r="AQ128" s="402">
        <v>20132.448400000001</v>
      </c>
      <c r="AR128" s="402">
        <v>123544.05560000001</v>
      </c>
      <c r="AS128" s="404">
        <v>36695.156500000005</v>
      </c>
      <c r="AT128" s="364"/>
      <c r="AU128" s="944">
        <f t="shared" ref="AU128:AY133" si="38">+AO128/SUM($AO128:$AS128)</f>
        <v>4.8299999999999996E-2</v>
      </c>
      <c r="AV128" s="945">
        <f t="shared" si="38"/>
        <v>0.13819999999999996</v>
      </c>
      <c r="AW128" s="945">
        <f t="shared" si="38"/>
        <v>9.0799999999999992E-2</v>
      </c>
      <c r="AX128" s="945">
        <f t="shared" si="38"/>
        <v>0.55719999999999992</v>
      </c>
      <c r="AY128" s="946">
        <f t="shared" si="38"/>
        <v>0.16550000000000001</v>
      </c>
      <c r="AZ128" s="364"/>
      <c r="BA128" s="944">
        <f t="shared" si="25"/>
        <v>0.13016592846709041</v>
      </c>
      <c r="BB128" s="946">
        <f t="shared" si="26"/>
        <v>0.11668162527117169</v>
      </c>
      <c r="BE128" t="s">
        <v>799</v>
      </c>
      <c r="BF128" t="s">
        <v>846</v>
      </c>
    </row>
    <row r="129" spans="1:58" ht="12.75" customHeight="1" outlineLevel="1" x14ac:dyDescent="0.2">
      <c r="A129" s="364" t="s">
        <v>799</v>
      </c>
      <c r="B129" s="365">
        <v>43586</v>
      </c>
      <c r="C129" s="401">
        <v>274851</v>
      </c>
      <c r="D129" s="402">
        <v>234599</v>
      </c>
      <c r="E129" s="404">
        <v>40252</v>
      </c>
      <c r="F129" s="364"/>
      <c r="G129" s="401">
        <v>321.39999999999998</v>
      </c>
      <c r="H129" s="411">
        <v>186.5</v>
      </c>
      <c r="I129" s="406">
        <v>134.9</v>
      </c>
      <c r="J129" s="364"/>
      <c r="K129" s="405">
        <v>261742</v>
      </c>
      <c r="L129" s="404">
        <v>25323</v>
      </c>
      <c r="M129" s="364"/>
      <c r="N129" s="405">
        <v>109839.2518</v>
      </c>
      <c r="O129" s="404">
        <v>124759.7482</v>
      </c>
      <c r="P129" s="364"/>
      <c r="Q129" s="405">
        <v>958721</v>
      </c>
      <c r="R129" s="406">
        <v>4.0866371979420206</v>
      </c>
      <c r="S129" s="364"/>
      <c r="T129" s="405">
        <v>41140</v>
      </c>
      <c r="U129" s="402">
        <v>38255</v>
      </c>
      <c r="V129" s="402">
        <v>42376</v>
      </c>
      <c r="W129" s="402">
        <v>19091</v>
      </c>
      <c r="X129" s="402">
        <v>28431</v>
      </c>
      <c r="Y129" s="402">
        <v>18047</v>
      </c>
      <c r="Z129" s="402">
        <v>11966</v>
      </c>
      <c r="AA129" s="402" t="s">
        <v>160</v>
      </c>
      <c r="AB129" s="404">
        <v>35293</v>
      </c>
      <c r="AC129" s="364"/>
      <c r="AD129" s="365">
        <f t="shared" si="23"/>
        <v>43586</v>
      </c>
      <c r="AE129" s="941">
        <f t="shared" si="28"/>
        <v>0.17536306633873119</v>
      </c>
      <c r="AF129" s="942">
        <f t="shared" si="29"/>
        <v>0.16306548621264369</v>
      </c>
      <c r="AG129" s="942">
        <f t="shared" si="30"/>
        <v>0.18063163099586954</v>
      </c>
      <c r="AH129" s="942">
        <f t="shared" si="31"/>
        <v>8.1377158470411215E-2</v>
      </c>
      <c r="AI129" s="942">
        <f t="shared" si="32"/>
        <v>0.12118977489247609</v>
      </c>
      <c r="AJ129" s="942">
        <f t="shared" si="33"/>
        <v>7.6927011624090463E-2</v>
      </c>
      <c r="AK129" s="942">
        <f t="shared" si="34"/>
        <v>5.1006185022101545E-2</v>
      </c>
      <c r="AL129" s="942" t="s">
        <v>160</v>
      </c>
      <c r="AM129" s="943">
        <f t="shared" si="35"/>
        <v>0.15043968644367622</v>
      </c>
      <c r="AN129" s="364"/>
      <c r="AO129" s="405">
        <v>11589.1906</v>
      </c>
      <c r="AP129" s="402">
        <v>32445.041700000002</v>
      </c>
      <c r="AQ129" s="402">
        <v>21278.129300000001</v>
      </c>
      <c r="AR129" s="402">
        <v>132290.37609999999</v>
      </c>
      <c r="AS129" s="404">
        <v>37019.722199999997</v>
      </c>
      <c r="AT129" s="364"/>
      <c r="AU129" s="944">
        <f t="shared" si="38"/>
        <v>4.9395060493950607E-2</v>
      </c>
      <c r="AV129" s="945">
        <f t="shared" si="38"/>
        <v>0.13828617138286173</v>
      </c>
      <c r="AW129" s="945">
        <f t="shared" si="38"/>
        <v>9.0690930906909314E-2</v>
      </c>
      <c r="AX129" s="945">
        <f t="shared" si="38"/>
        <v>0.56384361563843621</v>
      </c>
      <c r="AY129" s="946">
        <f t="shared" si="38"/>
        <v>0.15778422157784222</v>
      </c>
      <c r="AZ129" s="364"/>
      <c r="BA129" s="944">
        <f t="shared" si="25"/>
        <v>0.15378502494823146</v>
      </c>
      <c r="BB129" s="946">
        <f t="shared" si="26"/>
        <v>0.10794163657986607</v>
      </c>
      <c r="BE129" t="s">
        <v>799</v>
      </c>
      <c r="BF129" t="s">
        <v>846</v>
      </c>
    </row>
    <row r="130" spans="1:58" ht="12.75" customHeight="1" outlineLevel="1" x14ac:dyDescent="0.2">
      <c r="A130" s="364" t="s">
        <v>799</v>
      </c>
      <c r="B130" s="365">
        <v>43617</v>
      </c>
      <c r="C130" s="401">
        <v>252781</v>
      </c>
      <c r="D130" s="402">
        <v>213995</v>
      </c>
      <c r="E130" s="404">
        <v>38786</v>
      </c>
      <c r="F130" s="364"/>
      <c r="G130" s="401">
        <v>316</v>
      </c>
      <c r="H130" s="411">
        <v>200.6</v>
      </c>
      <c r="I130" s="406">
        <v>115.4</v>
      </c>
      <c r="J130" s="364"/>
      <c r="K130" s="405">
        <v>220782</v>
      </c>
      <c r="L130" s="404">
        <v>22496</v>
      </c>
      <c r="M130" s="364"/>
      <c r="N130" s="405">
        <v>102289.61</v>
      </c>
      <c r="O130" s="404">
        <v>111705.39</v>
      </c>
      <c r="P130" s="364"/>
      <c r="Q130" s="405">
        <v>805014</v>
      </c>
      <c r="R130" s="406">
        <v>3.7618355569055351</v>
      </c>
      <c r="S130" s="364"/>
      <c r="T130" s="405">
        <v>36512</v>
      </c>
      <c r="U130" s="402">
        <v>32516</v>
      </c>
      <c r="V130" s="402">
        <v>41998</v>
      </c>
      <c r="W130" s="402">
        <v>16707</v>
      </c>
      <c r="X130" s="402">
        <v>28960</v>
      </c>
      <c r="Y130" s="402">
        <v>15409</v>
      </c>
      <c r="Z130" s="402">
        <v>10012</v>
      </c>
      <c r="AA130" s="402" t="s">
        <v>160</v>
      </c>
      <c r="AB130" s="404">
        <v>31881</v>
      </c>
      <c r="AC130" s="364"/>
      <c r="AD130" s="365">
        <f t="shared" si="23"/>
        <v>43617</v>
      </c>
      <c r="AE130" s="941">
        <f t="shared" si="28"/>
        <v>0.17062080889740414</v>
      </c>
      <c r="AF130" s="942">
        <f t="shared" si="29"/>
        <v>0.15194747540830394</v>
      </c>
      <c r="AG130" s="942">
        <f t="shared" si="30"/>
        <v>0.19625692189069838</v>
      </c>
      <c r="AH130" s="942">
        <f t="shared" si="31"/>
        <v>7.8071917568167476E-2</v>
      </c>
      <c r="AI130" s="942">
        <f t="shared" si="32"/>
        <v>0.13533026472581136</v>
      </c>
      <c r="AJ130" s="942">
        <f t="shared" si="33"/>
        <v>7.2006355288674967E-2</v>
      </c>
      <c r="AK130" s="942">
        <f t="shared" si="34"/>
        <v>4.678613986308091E-2</v>
      </c>
      <c r="AL130" s="942" t="s">
        <v>160</v>
      </c>
      <c r="AM130" s="943">
        <f t="shared" si="35"/>
        <v>0.14898011635785882</v>
      </c>
      <c r="AN130" s="364"/>
      <c r="AO130" s="405">
        <v>10977.943499999999</v>
      </c>
      <c r="AP130" s="402">
        <v>28696.729499999998</v>
      </c>
      <c r="AQ130" s="402">
        <v>19131.152999999998</v>
      </c>
      <c r="AR130" s="402">
        <v>121249.567</v>
      </c>
      <c r="AS130" s="404">
        <v>33939.606999999996</v>
      </c>
      <c r="AT130" s="364"/>
      <c r="AU130" s="944">
        <f t="shared" si="38"/>
        <v>5.1300000000000005E-2</v>
      </c>
      <c r="AV130" s="945">
        <f t="shared" si="38"/>
        <v>0.1341</v>
      </c>
      <c r="AW130" s="945">
        <f t="shared" si="38"/>
        <v>8.9400000000000007E-2</v>
      </c>
      <c r="AX130" s="945">
        <f t="shared" si="38"/>
        <v>0.5666000000000001</v>
      </c>
      <c r="AY130" s="946">
        <f t="shared" si="38"/>
        <v>0.15859999999999999</v>
      </c>
      <c r="AZ130" s="364"/>
      <c r="BA130" s="944">
        <f t="shared" si="25"/>
        <v>0.17567555326068249</v>
      </c>
      <c r="BB130" s="946">
        <f t="shared" si="26"/>
        <v>0.10512395149419379</v>
      </c>
      <c r="BE130" t="s">
        <v>799</v>
      </c>
      <c r="BF130" t="s">
        <v>846</v>
      </c>
    </row>
    <row r="131" spans="1:58" ht="12.75" customHeight="1" outlineLevel="1" x14ac:dyDescent="0.2">
      <c r="A131" s="364" t="s">
        <v>800</v>
      </c>
      <c r="B131" s="365">
        <v>43647</v>
      </c>
      <c r="C131" s="401">
        <v>272954</v>
      </c>
      <c r="D131" s="402">
        <v>232861</v>
      </c>
      <c r="E131" s="404">
        <v>40093</v>
      </c>
      <c r="F131" s="364"/>
      <c r="G131" s="401">
        <v>320.39999999999998</v>
      </c>
      <c r="H131" s="411">
        <v>181.9</v>
      </c>
      <c r="I131" s="406">
        <v>138.5</v>
      </c>
      <c r="J131" s="364"/>
      <c r="K131" s="405">
        <v>253434</v>
      </c>
      <c r="L131" s="404">
        <v>24913</v>
      </c>
      <c r="M131" s="364"/>
      <c r="N131" s="405">
        <v>105718.89399999999</v>
      </c>
      <c r="O131" s="404">
        <v>127142.10600000001</v>
      </c>
      <c r="P131" s="364"/>
      <c r="Q131" s="405">
        <v>1008381</v>
      </c>
      <c r="R131" s="406">
        <v>4.3303988216146116</v>
      </c>
      <c r="S131" s="364"/>
      <c r="T131" s="405">
        <v>40523</v>
      </c>
      <c r="U131" s="402">
        <v>35714</v>
      </c>
      <c r="V131" s="402">
        <v>44497</v>
      </c>
      <c r="W131" s="402">
        <v>20733</v>
      </c>
      <c r="X131" s="402">
        <v>27588</v>
      </c>
      <c r="Y131" s="402">
        <v>17912</v>
      </c>
      <c r="Z131" s="402">
        <v>10975</v>
      </c>
      <c r="AA131" s="402" t="s">
        <v>160</v>
      </c>
      <c r="AB131" s="404">
        <v>34919</v>
      </c>
      <c r="AC131" s="364"/>
      <c r="AD131" s="365">
        <f t="shared" si="23"/>
        <v>43647</v>
      </c>
      <c r="AE131" s="941">
        <f t="shared" si="28"/>
        <v>0.1740222707967414</v>
      </c>
      <c r="AF131" s="942">
        <f t="shared" si="29"/>
        <v>0.15337046564259366</v>
      </c>
      <c r="AG131" s="942">
        <f t="shared" si="30"/>
        <v>0.19108824577752392</v>
      </c>
      <c r="AH131" s="942">
        <f t="shared" si="31"/>
        <v>8.9035948484288904E-2</v>
      </c>
      <c r="AI131" s="942">
        <f t="shared" si="32"/>
        <v>0.11847411116502979</v>
      </c>
      <c r="AJ131" s="942">
        <f t="shared" si="33"/>
        <v>7.6921425227925666E-2</v>
      </c>
      <c r="AK131" s="942">
        <f t="shared" si="34"/>
        <v>4.7131121140938155E-2</v>
      </c>
      <c r="AL131" s="942" t="s">
        <v>160</v>
      </c>
      <c r="AM131" s="943">
        <f t="shared" si="35"/>
        <v>0.1499564117649585</v>
      </c>
      <c r="AN131" s="364"/>
      <c r="AO131" s="405">
        <v>12690.924499999999</v>
      </c>
      <c r="AP131" s="402">
        <v>34463.428</v>
      </c>
      <c r="AQ131" s="402">
        <v>21795.7896</v>
      </c>
      <c r="AR131" s="402">
        <v>125302.50410000001</v>
      </c>
      <c r="AS131" s="404">
        <v>38585.0677</v>
      </c>
      <c r="AT131" s="364"/>
      <c r="AU131" s="944">
        <f t="shared" si="38"/>
        <v>5.4505450545054492E-2</v>
      </c>
      <c r="AV131" s="945">
        <f t="shared" si="38"/>
        <v>0.14801480148014801</v>
      </c>
      <c r="AW131" s="945">
        <f t="shared" si="38"/>
        <v>9.3609360936093594E-2</v>
      </c>
      <c r="AX131" s="945">
        <f t="shared" si="38"/>
        <v>0.53815381538153806</v>
      </c>
      <c r="AY131" s="946">
        <f t="shared" si="38"/>
        <v>0.16571657165716569</v>
      </c>
      <c r="AZ131" s="364"/>
      <c r="BA131" s="944">
        <f t="shared" si="25"/>
        <v>0.15819897882683459</v>
      </c>
      <c r="BB131" s="946">
        <f t="shared" si="26"/>
        <v>0.10698657138808131</v>
      </c>
      <c r="BE131" t="s">
        <v>800</v>
      </c>
      <c r="BF131" t="s">
        <v>847</v>
      </c>
    </row>
    <row r="132" spans="1:58" ht="12.75" customHeight="1" outlineLevel="1" x14ac:dyDescent="0.2">
      <c r="A132" s="364" t="s">
        <v>800</v>
      </c>
      <c r="B132" s="365">
        <v>43678</v>
      </c>
      <c r="C132" s="401">
        <v>266440</v>
      </c>
      <c r="D132" s="402">
        <v>231522</v>
      </c>
      <c r="E132" s="404">
        <v>34918</v>
      </c>
      <c r="F132" s="364"/>
      <c r="G132" s="401">
        <v>343.2</v>
      </c>
      <c r="H132" s="411">
        <v>183.5</v>
      </c>
      <c r="I132" s="406">
        <v>159.69999999999999</v>
      </c>
      <c r="J132" s="364"/>
      <c r="K132" s="405">
        <v>256360</v>
      </c>
      <c r="L132" s="404">
        <v>25875</v>
      </c>
      <c r="M132" s="364"/>
      <c r="N132" s="405">
        <v>104578.4874</v>
      </c>
      <c r="O132" s="404">
        <v>126943.5126</v>
      </c>
      <c r="P132" s="364"/>
      <c r="Q132" s="405">
        <v>986311</v>
      </c>
      <c r="R132" s="406">
        <v>4.2601178289752157</v>
      </c>
      <c r="S132" s="364"/>
      <c r="T132" s="405">
        <v>42374</v>
      </c>
      <c r="U132" s="402">
        <v>38906</v>
      </c>
      <c r="V132" s="402">
        <v>41525</v>
      </c>
      <c r="W132" s="402">
        <v>17464</v>
      </c>
      <c r="X132" s="402">
        <v>27422</v>
      </c>
      <c r="Y132" s="402">
        <v>18365</v>
      </c>
      <c r="Z132" s="402">
        <v>9971</v>
      </c>
      <c r="AA132" s="402" t="s">
        <v>160</v>
      </c>
      <c r="AB132" s="404">
        <v>35495</v>
      </c>
      <c r="AC132" s="364"/>
      <c r="AD132" s="365">
        <f t="shared" si="23"/>
        <v>43678</v>
      </c>
      <c r="AE132" s="941">
        <f t="shared" si="28"/>
        <v>0.18302364354143449</v>
      </c>
      <c r="AF132" s="942">
        <f t="shared" si="29"/>
        <v>0.16804450548975908</v>
      </c>
      <c r="AG132" s="942">
        <f t="shared" si="30"/>
        <v>0.17935660541978732</v>
      </c>
      <c r="AH132" s="942">
        <f t="shared" si="31"/>
        <v>7.5431276509359796E-2</v>
      </c>
      <c r="AI132" s="942">
        <f t="shared" si="32"/>
        <v>0.11844230785843246</v>
      </c>
      <c r="AJ132" s="942">
        <f t="shared" si="33"/>
        <v>7.9322915316902928E-2</v>
      </c>
      <c r="AK132" s="942">
        <f t="shared" si="34"/>
        <v>4.3067181520546644E-2</v>
      </c>
      <c r="AL132" s="942" t="s">
        <v>160</v>
      </c>
      <c r="AM132" s="943">
        <f t="shared" si="35"/>
        <v>0.15331156434377727</v>
      </c>
      <c r="AN132" s="364"/>
      <c r="AO132" s="405">
        <v>12502.188</v>
      </c>
      <c r="AP132" s="402">
        <v>33825.364200000004</v>
      </c>
      <c r="AQ132" s="402">
        <v>22087.198799999998</v>
      </c>
      <c r="AR132" s="402">
        <v>124489.37939999999</v>
      </c>
      <c r="AS132" s="404">
        <v>38617.869599999998</v>
      </c>
      <c r="AT132" s="364"/>
      <c r="AU132" s="944">
        <f t="shared" si="38"/>
        <v>5.3999999999999999E-2</v>
      </c>
      <c r="AV132" s="945">
        <f t="shared" si="38"/>
        <v>0.14610000000000001</v>
      </c>
      <c r="AW132" s="945">
        <f t="shared" si="38"/>
        <v>9.5399999999999999E-2</v>
      </c>
      <c r="AX132" s="945">
        <f t="shared" si="38"/>
        <v>0.53769999999999996</v>
      </c>
      <c r="AY132" s="946">
        <f t="shared" si="38"/>
        <v>0.1668</v>
      </c>
      <c r="AZ132" s="364"/>
      <c r="BA132" s="944">
        <f t="shared" si="25"/>
        <v>0.13620689655172413</v>
      </c>
      <c r="BB132" s="946">
        <f t="shared" si="26"/>
        <v>0.11176043745302822</v>
      </c>
      <c r="BE132" t="s">
        <v>800</v>
      </c>
      <c r="BF132" t="s">
        <v>847</v>
      </c>
    </row>
    <row r="133" spans="1:58" ht="12.75" customHeight="1" outlineLevel="1" x14ac:dyDescent="0.2">
      <c r="A133" s="364" t="s">
        <v>800</v>
      </c>
      <c r="B133" s="365">
        <v>43709</v>
      </c>
      <c r="C133" s="401">
        <v>259206</v>
      </c>
      <c r="D133" s="402">
        <v>224014</v>
      </c>
      <c r="E133" s="404">
        <v>35192</v>
      </c>
      <c r="F133" s="364"/>
      <c r="G133" s="401">
        <v>348.6</v>
      </c>
      <c r="H133" s="411">
        <v>200</v>
      </c>
      <c r="I133" s="406">
        <v>148.6</v>
      </c>
      <c r="J133" s="364"/>
      <c r="K133" s="405">
        <v>234636</v>
      </c>
      <c r="L133" s="404">
        <v>24648</v>
      </c>
      <c r="M133" s="364"/>
      <c r="N133" s="405">
        <v>103360.05960000001</v>
      </c>
      <c r="O133" s="404">
        <v>120653.94039999999</v>
      </c>
      <c r="P133" s="364"/>
      <c r="Q133" s="405">
        <v>939718</v>
      </c>
      <c r="R133" s="406">
        <v>4.1949074611408212</v>
      </c>
      <c r="S133" s="364"/>
      <c r="T133" s="405">
        <v>40837</v>
      </c>
      <c r="U133" s="402">
        <v>35387</v>
      </c>
      <c r="V133" s="402">
        <v>40705</v>
      </c>
      <c r="W133" s="402">
        <v>15889</v>
      </c>
      <c r="X133" s="402">
        <v>31397</v>
      </c>
      <c r="Y133" s="402">
        <v>15191</v>
      </c>
      <c r="Z133" s="402">
        <v>10651</v>
      </c>
      <c r="AA133" s="402" t="s">
        <v>160</v>
      </c>
      <c r="AB133" s="404">
        <v>33957</v>
      </c>
      <c r="AC133" s="364"/>
      <c r="AD133" s="365">
        <f t="shared" ref="AD133:AD164" si="39">+B133</f>
        <v>43709</v>
      </c>
      <c r="AE133" s="941">
        <f t="shared" si="28"/>
        <v>0.18229664217414984</v>
      </c>
      <c r="AF133" s="942">
        <f t="shared" si="29"/>
        <v>0.15796780558357959</v>
      </c>
      <c r="AG133" s="942">
        <f t="shared" si="30"/>
        <v>0.18170739328791952</v>
      </c>
      <c r="AH133" s="942">
        <f t="shared" si="31"/>
        <v>7.0928602676618421E-2</v>
      </c>
      <c r="AI133" s="942">
        <f t="shared" si="32"/>
        <v>0.14015641879525387</v>
      </c>
      <c r="AJ133" s="942">
        <f t="shared" si="33"/>
        <v>6.7812725990339884E-2</v>
      </c>
      <c r="AK133" s="942">
        <f t="shared" si="34"/>
        <v>4.7546135509387806E-2</v>
      </c>
      <c r="AL133" s="942" t="s">
        <v>160</v>
      </c>
      <c r="AM133" s="943">
        <f t="shared" si="35"/>
        <v>0.15158427598275107</v>
      </c>
      <c r="AN133" s="364"/>
      <c r="AO133" s="405">
        <v>12007.1504</v>
      </c>
      <c r="AP133" s="402">
        <v>32034.001999999997</v>
      </c>
      <c r="AQ133" s="402">
        <v>19130.795600000001</v>
      </c>
      <c r="AR133" s="402">
        <v>123498.9182</v>
      </c>
      <c r="AS133" s="404">
        <v>37365.535199999998</v>
      </c>
      <c r="AT133" s="364"/>
      <c r="AU133" s="944">
        <f t="shared" si="38"/>
        <v>5.3594640535946411E-2</v>
      </c>
      <c r="AV133" s="945">
        <f t="shared" si="38"/>
        <v>0.142985701429857</v>
      </c>
      <c r="AW133" s="945">
        <f t="shared" si="38"/>
        <v>8.5391460853914622E-2</v>
      </c>
      <c r="AX133" s="945">
        <f t="shared" si="38"/>
        <v>0.55124487551244883</v>
      </c>
      <c r="AY133" s="946">
        <f t="shared" si="38"/>
        <v>0.16678332166783322</v>
      </c>
      <c r="AZ133" s="364"/>
      <c r="BA133" s="944">
        <f t="shared" si="25"/>
        <v>0.14998550946998757</v>
      </c>
      <c r="BB133" s="946">
        <f t="shared" si="26"/>
        <v>0.11002883748337157</v>
      </c>
      <c r="BE133" t="s">
        <v>800</v>
      </c>
      <c r="BF133" t="s">
        <v>847</v>
      </c>
    </row>
    <row r="134" spans="1:58" ht="12.75" customHeight="1" outlineLevel="1" x14ac:dyDescent="0.2">
      <c r="A134" s="364" t="s">
        <v>801</v>
      </c>
      <c r="B134" s="365">
        <v>43739</v>
      </c>
      <c r="C134" s="401">
        <v>269753</v>
      </c>
      <c r="D134" s="402">
        <v>241786</v>
      </c>
      <c r="E134" s="404">
        <v>27967</v>
      </c>
      <c r="F134" s="364"/>
      <c r="G134" s="401">
        <v>365.1</v>
      </c>
      <c r="H134" s="411">
        <v>191.5</v>
      </c>
      <c r="I134" s="406">
        <v>173.6</v>
      </c>
      <c r="J134" s="364"/>
      <c r="K134" s="405">
        <v>274583</v>
      </c>
      <c r="L134" s="404">
        <v>24929</v>
      </c>
      <c r="M134" s="364"/>
      <c r="N134" s="405">
        <v>112865.70479999999</v>
      </c>
      <c r="O134" s="404">
        <v>128920.29520000001</v>
      </c>
      <c r="P134" s="364"/>
      <c r="Q134" s="405">
        <v>1015763</v>
      </c>
      <c r="R134" s="406">
        <v>4.2010827756776656</v>
      </c>
      <c r="S134" s="364"/>
      <c r="T134" s="405">
        <v>43296</v>
      </c>
      <c r="U134" s="402">
        <v>37372</v>
      </c>
      <c r="V134" s="402">
        <v>46949</v>
      </c>
      <c r="W134" s="402">
        <v>19957</v>
      </c>
      <c r="X134" s="402">
        <v>28961</v>
      </c>
      <c r="Y134" s="402">
        <v>16425</v>
      </c>
      <c r="Z134" s="402">
        <v>10715</v>
      </c>
      <c r="AA134" s="402" t="s">
        <v>160</v>
      </c>
      <c r="AB134" s="404">
        <v>38111</v>
      </c>
      <c r="AC134" s="364"/>
      <c r="AD134" s="365">
        <f t="shared" si="39"/>
        <v>43739</v>
      </c>
      <c r="AE134" s="941">
        <f t="shared" si="28"/>
        <v>0.17906743980213907</v>
      </c>
      <c r="AF134" s="942">
        <f t="shared" si="29"/>
        <v>0.15456643478117013</v>
      </c>
      <c r="AG134" s="942">
        <f t="shared" si="30"/>
        <v>0.19417584144656846</v>
      </c>
      <c r="AH134" s="942">
        <f t="shared" si="31"/>
        <v>8.2539932005988761E-2</v>
      </c>
      <c r="AI134" s="942">
        <f t="shared" si="32"/>
        <v>0.11977947441125623</v>
      </c>
      <c r="AJ134" s="942">
        <f t="shared" si="33"/>
        <v>6.793197290165684E-2</v>
      </c>
      <c r="AK134" s="942">
        <f t="shared" si="34"/>
        <v>4.4316048075570956E-2</v>
      </c>
      <c r="AL134" s="942" t="s">
        <v>160</v>
      </c>
      <c r="AM134" s="943">
        <f t="shared" si="35"/>
        <v>0.15762285657564953</v>
      </c>
      <c r="AN134" s="364"/>
      <c r="AO134" s="405">
        <v>11895.8712</v>
      </c>
      <c r="AP134" s="402">
        <v>34817.183999999994</v>
      </c>
      <c r="AQ134" s="402">
        <v>21929.9902</v>
      </c>
      <c r="AR134" s="402">
        <v>130008.33219999999</v>
      </c>
      <c r="AS134" s="404">
        <v>43158.800999999999</v>
      </c>
      <c r="AT134" s="364"/>
      <c r="AU134" s="944">
        <f t="shared" ref="AU134:AY135" si="40">+AO134/SUM($AO134:$AS134)</f>
        <v>4.9195080491950802E-2</v>
      </c>
      <c r="AV134" s="945">
        <f t="shared" si="40"/>
        <v>0.14398560143985598</v>
      </c>
      <c r="AW134" s="945">
        <f t="shared" si="40"/>
        <v>9.0690930906909301E-2</v>
      </c>
      <c r="AX134" s="945">
        <f t="shared" si="40"/>
        <v>0.53764623537646228</v>
      </c>
      <c r="AY134" s="946">
        <f t="shared" si="40"/>
        <v>0.17848215178482152</v>
      </c>
      <c r="AZ134" s="364"/>
      <c r="BA134" s="944">
        <f t="shared" si="25"/>
        <v>0.10185262743869795</v>
      </c>
      <c r="BB134" s="946">
        <f t="shared" si="26"/>
        <v>0.10310357092635636</v>
      </c>
      <c r="BE134" t="s">
        <v>801</v>
      </c>
      <c r="BF134" t="s">
        <v>848</v>
      </c>
    </row>
    <row r="135" spans="1:58" ht="12.75" customHeight="1" outlineLevel="1" x14ac:dyDescent="0.2">
      <c r="A135" s="364" t="s">
        <v>801</v>
      </c>
      <c r="B135" s="365">
        <v>43770</v>
      </c>
      <c r="C135" s="401">
        <v>261441</v>
      </c>
      <c r="D135" s="402">
        <v>231590</v>
      </c>
      <c r="E135" s="404">
        <v>29851</v>
      </c>
      <c r="F135" s="364"/>
      <c r="G135" s="401">
        <v>329.4</v>
      </c>
      <c r="H135" s="411">
        <v>193.2</v>
      </c>
      <c r="I135" s="406">
        <v>136.19999999999999</v>
      </c>
      <c r="J135" s="364"/>
      <c r="K135" s="405">
        <v>216645</v>
      </c>
      <c r="L135" s="404">
        <v>23381</v>
      </c>
      <c r="M135" s="364"/>
      <c r="N135" s="405">
        <v>106045.06099999999</v>
      </c>
      <c r="O135" s="404">
        <v>125544.93900000001</v>
      </c>
      <c r="P135" s="364"/>
      <c r="Q135" s="405">
        <v>917410</v>
      </c>
      <c r="R135" s="406">
        <v>3.9613541171898614</v>
      </c>
      <c r="S135" s="364"/>
      <c r="T135" s="405">
        <v>41361</v>
      </c>
      <c r="U135" s="402">
        <v>36926</v>
      </c>
      <c r="V135" s="402">
        <v>44143</v>
      </c>
      <c r="W135" s="402">
        <v>18428</v>
      </c>
      <c r="X135" s="402">
        <v>29490</v>
      </c>
      <c r="Y135" s="402">
        <v>15255</v>
      </c>
      <c r="Z135" s="402">
        <v>10799</v>
      </c>
      <c r="AA135" s="402" t="s">
        <v>160</v>
      </c>
      <c r="AB135" s="404">
        <v>35188</v>
      </c>
      <c r="AC135" s="364"/>
      <c r="AD135" s="365">
        <f t="shared" si="39"/>
        <v>43770</v>
      </c>
      <c r="AE135" s="941">
        <f t="shared" si="28"/>
        <v>0.17859579429163608</v>
      </c>
      <c r="AF135" s="942">
        <f t="shared" si="29"/>
        <v>0.15944557191588582</v>
      </c>
      <c r="AG135" s="942">
        <f t="shared" si="30"/>
        <v>0.19060840278077637</v>
      </c>
      <c r="AH135" s="942">
        <f t="shared" si="31"/>
        <v>7.957165680728874E-2</v>
      </c>
      <c r="AI135" s="942">
        <f t="shared" si="32"/>
        <v>0.12733710436547346</v>
      </c>
      <c r="AJ135" s="942">
        <f t="shared" si="33"/>
        <v>6.5870719806554692E-2</v>
      </c>
      <c r="AK135" s="942">
        <f t="shared" si="34"/>
        <v>4.6629819940411932E-2</v>
      </c>
      <c r="AL135" s="942" t="s">
        <v>160</v>
      </c>
      <c r="AM135" s="943">
        <f t="shared" si="35"/>
        <v>0.15194093009197288</v>
      </c>
      <c r="AN135" s="364"/>
      <c r="AO135" s="405">
        <v>11070.002</v>
      </c>
      <c r="AP135" s="402">
        <v>31426.762999999995</v>
      </c>
      <c r="AQ135" s="402">
        <v>18897.744000000002</v>
      </c>
      <c r="AR135" s="402">
        <v>130940.986</v>
      </c>
      <c r="AS135" s="404">
        <v>39254.505000000005</v>
      </c>
      <c r="AT135" s="364"/>
      <c r="AU135" s="944">
        <f t="shared" si="40"/>
        <v>4.7800000000000002E-2</v>
      </c>
      <c r="AV135" s="945">
        <f t="shared" si="40"/>
        <v>0.13569999999999999</v>
      </c>
      <c r="AW135" s="945">
        <f t="shared" si="40"/>
        <v>8.1600000000000006E-2</v>
      </c>
      <c r="AX135" s="945">
        <f t="shared" si="40"/>
        <v>0.56540000000000001</v>
      </c>
      <c r="AY135" s="946">
        <f t="shared" si="40"/>
        <v>0.16950000000000001</v>
      </c>
      <c r="AZ135" s="364"/>
      <c r="BA135" s="944">
        <f t="shared" si="25"/>
        <v>0.13778762491633778</v>
      </c>
      <c r="BB135" s="946">
        <f t="shared" si="26"/>
        <v>0.10095859061272075</v>
      </c>
      <c r="BE135" t="s">
        <v>801</v>
      </c>
      <c r="BF135" t="s">
        <v>848</v>
      </c>
    </row>
    <row r="136" spans="1:58" ht="12.75" customHeight="1" outlineLevel="1" x14ac:dyDescent="0.2">
      <c r="A136" s="364" t="s">
        <v>801</v>
      </c>
      <c r="B136" s="365">
        <v>43800</v>
      </c>
      <c r="C136" s="401">
        <v>279287</v>
      </c>
      <c r="D136" s="402">
        <v>252037</v>
      </c>
      <c r="E136" s="404">
        <v>27250</v>
      </c>
      <c r="F136" s="364"/>
      <c r="G136" s="401">
        <v>287.60000000000002</v>
      </c>
      <c r="H136" s="411">
        <v>207.7</v>
      </c>
      <c r="I136" s="406">
        <v>79.900000000000006</v>
      </c>
      <c r="J136" s="364"/>
      <c r="K136" s="405">
        <v>163338</v>
      </c>
      <c r="L136" s="404">
        <v>28993</v>
      </c>
      <c r="M136" s="364"/>
      <c r="N136" s="405">
        <v>112181.66869999999</v>
      </c>
      <c r="O136" s="404">
        <v>139855.33130000002</v>
      </c>
      <c r="P136" s="364"/>
      <c r="Q136" s="405">
        <v>985380</v>
      </c>
      <c r="R136" s="406">
        <v>3.9096640572614336</v>
      </c>
      <c r="S136" s="364"/>
      <c r="T136" s="405">
        <v>45297</v>
      </c>
      <c r="U136" s="402">
        <v>40790</v>
      </c>
      <c r="V136" s="402">
        <v>45388</v>
      </c>
      <c r="W136" s="402">
        <v>21433</v>
      </c>
      <c r="X136" s="402">
        <v>33574</v>
      </c>
      <c r="Y136" s="402">
        <v>17727</v>
      </c>
      <c r="Z136" s="402">
        <v>11351</v>
      </c>
      <c r="AA136" s="402" t="s">
        <v>160</v>
      </c>
      <c r="AB136" s="404">
        <v>36477</v>
      </c>
      <c r="AC136" s="364"/>
      <c r="AD136" s="365">
        <f t="shared" si="39"/>
        <v>43800</v>
      </c>
      <c r="AE136" s="941">
        <f t="shared" si="28"/>
        <v>0.17972361200934783</v>
      </c>
      <c r="AF136" s="942">
        <f t="shared" si="29"/>
        <v>0.16184131694949552</v>
      </c>
      <c r="AG136" s="942">
        <f t="shared" si="30"/>
        <v>0.18008467010796034</v>
      </c>
      <c r="AH136" s="942">
        <f t="shared" si="31"/>
        <v>8.5039101401778311E-2</v>
      </c>
      <c r="AI136" s="942">
        <f t="shared" si="32"/>
        <v>0.13321060003094784</v>
      </c>
      <c r="AJ136" s="942">
        <f t="shared" si="33"/>
        <v>7.0334911143998702E-2</v>
      </c>
      <c r="AK136" s="942">
        <f t="shared" si="34"/>
        <v>4.5037038212643384E-2</v>
      </c>
      <c r="AL136" s="942" t="s">
        <v>160</v>
      </c>
      <c r="AM136" s="943">
        <f t="shared" si="35"/>
        <v>0.14472875014382808</v>
      </c>
      <c r="AN136" s="364"/>
      <c r="AO136" s="405">
        <v>12274.2019</v>
      </c>
      <c r="AP136" s="402">
        <v>36469.753899999996</v>
      </c>
      <c r="AQ136" s="402">
        <v>22355.6819</v>
      </c>
      <c r="AR136" s="402">
        <v>131235.66590000002</v>
      </c>
      <c r="AS136" s="404">
        <v>49726.900099999999</v>
      </c>
      <c r="AT136" s="364"/>
      <c r="AU136" s="944">
        <f t="shared" ref="AU136:AY139" si="41">+AO136/SUM($AO136:$AS136)</f>
        <v>4.8695130486951302E-2</v>
      </c>
      <c r="AV136" s="945">
        <f t="shared" si="41"/>
        <v>0.14468553144685528</v>
      </c>
      <c r="AW136" s="945">
        <f t="shared" si="41"/>
        <v>8.8691130886911301E-2</v>
      </c>
      <c r="AX136" s="945">
        <f t="shared" si="41"/>
        <v>0.52064793520647945</v>
      </c>
      <c r="AY136" s="946">
        <f t="shared" si="41"/>
        <v>0.19728027197280271</v>
      </c>
      <c r="AZ136" s="364"/>
      <c r="BA136" s="944">
        <f t="shared" si="25"/>
        <v>0.16683196806621853</v>
      </c>
      <c r="BB136" s="946">
        <f t="shared" si="26"/>
        <v>0.11503469728650952</v>
      </c>
      <c r="BE136" t="s">
        <v>801</v>
      </c>
      <c r="BF136" t="s">
        <v>848</v>
      </c>
    </row>
    <row r="137" spans="1:58" ht="12.75" customHeight="1" outlineLevel="1" x14ac:dyDescent="0.2">
      <c r="A137" s="364" t="s">
        <v>913</v>
      </c>
      <c r="B137" s="365">
        <v>43831</v>
      </c>
      <c r="C137" s="686">
        <v>204072</v>
      </c>
      <c r="D137" s="687">
        <v>184682</v>
      </c>
      <c r="E137" s="683">
        <v>19390</v>
      </c>
      <c r="F137" s="364"/>
      <c r="G137" s="686">
        <v>273.5</v>
      </c>
      <c r="H137" s="688">
        <v>184.5</v>
      </c>
      <c r="I137" s="689">
        <v>89</v>
      </c>
      <c r="J137" s="364"/>
      <c r="K137" s="682">
        <v>183136</v>
      </c>
      <c r="L137" s="683">
        <v>21825</v>
      </c>
      <c r="M137" s="364"/>
      <c r="N137" s="682">
        <v>71287.252000000008</v>
      </c>
      <c r="O137" s="683">
        <v>113394.74799999999</v>
      </c>
      <c r="P137" s="364"/>
      <c r="Q137" s="682">
        <v>916361</v>
      </c>
      <c r="R137" s="689">
        <v>4.9618316890655292</v>
      </c>
      <c r="S137" s="364"/>
      <c r="T137" s="682">
        <v>35083</v>
      </c>
      <c r="U137" s="687">
        <v>29247</v>
      </c>
      <c r="V137" s="687">
        <v>34580</v>
      </c>
      <c r="W137" s="687">
        <v>15201</v>
      </c>
      <c r="X137" s="687">
        <v>22845</v>
      </c>
      <c r="Y137" s="687">
        <v>14998</v>
      </c>
      <c r="Z137" s="687">
        <v>8412</v>
      </c>
      <c r="AA137" s="687" t="s">
        <v>160</v>
      </c>
      <c r="AB137" s="683">
        <v>24316</v>
      </c>
      <c r="AC137" s="364"/>
      <c r="AD137" s="365">
        <f t="shared" si="39"/>
        <v>43831</v>
      </c>
      <c r="AE137" s="690">
        <f t="shared" si="28"/>
        <v>0.18996437118939583</v>
      </c>
      <c r="AF137" s="691">
        <f t="shared" si="29"/>
        <v>0.15836410695140837</v>
      </c>
      <c r="AG137" s="691">
        <f t="shared" si="30"/>
        <v>0.18724077062193392</v>
      </c>
      <c r="AH137" s="691">
        <f t="shared" si="31"/>
        <v>8.2309050151070484E-2</v>
      </c>
      <c r="AI137" s="691">
        <f t="shared" si="32"/>
        <v>0.12369911523591903</v>
      </c>
      <c r="AJ137" s="691">
        <f t="shared" si="33"/>
        <v>8.1209863440941721E-2</v>
      </c>
      <c r="AK137" s="691">
        <f t="shared" si="34"/>
        <v>4.5548564559621404E-2</v>
      </c>
      <c r="AL137" s="691" t="s">
        <v>160</v>
      </c>
      <c r="AM137" s="692">
        <f t="shared" si="35"/>
        <v>0.13166415784970922</v>
      </c>
      <c r="AN137" s="364"/>
      <c r="AO137" s="682">
        <v>10803.897000000001</v>
      </c>
      <c r="AP137" s="687">
        <v>31340.535399999997</v>
      </c>
      <c r="AQ137" s="687">
        <v>18228.113399999998</v>
      </c>
      <c r="AR137" s="687">
        <v>90531.116399999999</v>
      </c>
      <c r="AS137" s="683">
        <v>33796.805999999997</v>
      </c>
      <c r="AT137" s="364"/>
      <c r="AU137" s="693">
        <f t="shared" si="41"/>
        <v>5.8494150584941507E-2</v>
      </c>
      <c r="AV137" s="694">
        <f t="shared" si="41"/>
        <v>0.1696830316968303</v>
      </c>
      <c r="AW137" s="694">
        <f t="shared" si="41"/>
        <v>9.8690130986901298E-2</v>
      </c>
      <c r="AX137" s="694">
        <f t="shared" si="41"/>
        <v>0.49015098490150982</v>
      </c>
      <c r="AY137" s="695">
        <f t="shared" si="41"/>
        <v>0.18298170182981699</v>
      </c>
      <c r="AZ137" s="364"/>
      <c r="BA137" s="693">
        <f t="shared" si="25"/>
        <v>0.10587759916127905</v>
      </c>
      <c r="BB137" s="695">
        <f t="shared" si="26"/>
        <v>0.11817610812098635</v>
      </c>
      <c r="BE137" t="s">
        <v>913</v>
      </c>
      <c r="BF137" t="s">
        <v>917</v>
      </c>
    </row>
    <row r="138" spans="1:58" ht="12.75" customHeight="1" outlineLevel="1" x14ac:dyDescent="0.2">
      <c r="A138" s="364" t="s">
        <v>913</v>
      </c>
      <c r="B138" s="365">
        <v>43862</v>
      </c>
      <c r="C138" s="686">
        <v>229643</v>
      </c>
      <c r="D138" s="687">
        <v>193299</v>
      </c>
      <c r="E138" s="683">
        <v>36344</v>
      </c>
      <c r="F138" s="364"/>
      <c r="G138" s="686">
        <v>256.89999999999998</v>
      </c>
      <c r="H138" s="688">
        <v>175</v>
      </c>
      <c r="I138" s="689">
        <v>81.900000000000006</v>
      </c>
      <c r="J138" s="364"/>
      <c r="K138" s="682">
        <v>192519</v>
      </c>
      <c r="L138" s="683">
        <v>20816</v>
      </c>
      <c r="M138" s="364"/>
      <c r="N138" s="682">
        <v>88859.550300000003</v>
      </c>
      <c r="O138" s="683">
        <v>104439.4497</v>
      </c>
      <c r="P138" s="364"/>
      <c r="Q138" s="682">
        <v>761333</v>
      </c>
      <c r="R138" s="689">
        <v>3.9386287564860658</v>
      </c>
      <c r="S138" s="364"/>
      <c r="T138" s="682">
        <v>34145</v>
      </c>
      <c r="U138" s="687">
        <v>31628</v>
      </c>
      <c r="V138" s="687">
        <v>36629</v>
      </c>
      <c r="W138" s="687">
        <v>14768</v>
      </c>
      <c r="X138" s="687">
        <v>22806</v>
      </c>
      <c r="Y138" s="687">
        <v>18393</v>
      </c>
      <c r="Z138" s="687">
        <v>8722</v>
      </c>
      <c r="AA138" s="687" t="s">
        <v>160</v>
      </c>
      <c r="AB138" s="683">
        <v>26208</v>
      </c>
      <c r="AC138" s="364"/>
      <c r="AD138" s="365">
        <f t="shared" si="39"/>
        <v>43862</v>
      </c>
      <c r="AE138" s="690">
        <f t="shared" si="28"/>
        <v>0.17664343840371652</v>
      </c>
      <c r="AF138" s="691">
        <f t="shared" si="29"/>
        <v>0.163622160487121</v>
      </c>
      <c r="AG138" s="691">
        <f t="shared" si="30"/>
        <v>0.18949399634762726</v>
      </c>
      <c r="AH138" s="691">
        <f t="shared" si="31"/>
        <v>7.6399774442702753E-2</v>
      </c>
      <c r="AI138" s="691">
        <f t="shared" si="32"/>
        <v>0.11798302112271662</v>
      </c>
      <c r="AJ138" s="691">
        <f t="shared" si="33"/>
        <v>9.5153104775503233E-2</v>
      </c>
      <c r="AK138" s="691">
        <f t="shared" si="34"/>
        <v>4.5121806113844358E-2</v>
      </c>
      <c r="AL138" s="691" t="s">
        <v>160</v>
      </c>
      <c r="AM138" s="692">
        <f t="shared" si="35"/>
        <v>0.13558269830676828</v>
      </c>
      <c r="AN138" s="364"/>
      <c r="AO138" s="682">
        <v>9278.3520000000008</v>
      </c>
      <c r="AP138" s="687">
        <v>25206.189599999998</v>
      </c>
      <c r="AQ138" s="687">
        <v>20798.972399999999</v>
      </c>
      <c r="AR138" s="687">
        <v>106894.34700000001</v>
      </c>
      <c r="AS138" s="683">
        <v>31198.458599999998</v>
      </c>
      <c r="AT138" s="364"/>
      <c r="AU138" s="693">
        <f t="shared" si="41"/>
        <v>4.7980807676929235E-2</v>
      </c>
      <c r="AV138" s="694">
        <f t="shared" si="41"/>
        <v>0.13034786085565772</v>
      </c>
      <c r="AW138" s="694">
        <f t="shared" si="41"/>
        <v>0.10755697720911635</v>
      </c>
      <c r="AX138" s="694">
        <f t="shared" si="41"/>
        <v>0.5527788884446222</v>
      </c>
      <c r="AY138" s="695">
        <f t="shared" si="41"/>
        <v>0.16133546581367453</v>
      </c>
      <c r="AZ138" s="364"/>
      <c r="BA138" s="693">
        <f t="shared" si="25"/>
        <v>0.18878136703390314</v>
      </c>
      <c r="BB138" s="695">
        <f t="shared" si="26"/>
        <v>0.10768808943657236</v>
      </c>
      <c r="BE138" t="s">
        <v>913</v>
      </c>
      <c r="BF138" t="s">
        <v>917</v>
      </c>
    </row>
    <row r="139" spans="1:58" ht="12.75" customHeight="1" outlineLevel="1" x14ac:dyDescent="0.2">
      <c r="A139" s="364" t="s">
        <v>913</v>
      </c>
      <c r="B139" s="365">
        <v>43891</v>
      </c>
      <c r="C139" s="686">
        <v>185800</v>
      </c>
      <c r="D139" s="687">
        <v>156304</v>
      </c>
      <c r="E139" s="683">
        <v>29496</v>
      </c>
      <c r="F139" s="364"/>
      <c r="G139" s="686">
        <v>266.60000000000002</v>
      </c>
      <c r="H139" s="688">
        <v>181.3</v>
      </c>
      <c r="I139" s="689">
        <v>85.3</v>
      </c>
      <c r="J139" s="364"/>
      <c r="K139" s="682">
        <v>179560</v>
      </c>
      <c r="L139" s="683">
        <v>17007</v>
      </c>
      <c r="M139" s="364"/>
      <c r="N139" s="682">
        <v>76792.155200000008</v>
      </c>
      <c r="O139" s="683">
        <v>79511.844799999992</v>
      </c>
      <c r="P139" s="364"/>
      <c r="Q139" s="682">
        <v>658893</v>
      </c>
      <c r="R139" s="689">
        <v>4.215458337598526</v>
      </c>
      <c r="S139" s="364"/>
      <c r="T139" s="682">
        <v>25501</v>
      </c>
      <c r="U139" s="687">
        <v>25200</v>
      </c>
      <c r="V139" s="687">
        <v>31278</v>
      </c>
      <c r="W139" s="687">
        <v>11827</v>
      </c>
      <c r="X139" s="687">
        <v>17680</v>
      </c>
      <c r="Y139" s="687">
        <v>15172</v>
      </c>
      <c r="Z139" s="687">
        <v>6945</v>
      </c>
      <c r="AA139" s="687" t="s">
        <v>160</v>
      </c>
      <c r="AB139" s="683">
        <v>22701</v>
      </c>
      <c r="AC139" s="364"/>
      <c r="AD139" s="365">
        <f t="shared" si="39"/>
        <v>43891</v>
      </c>
      <c r="AE139" s="690">
        <f t="shared" si="28"/>
        <v>0.16315001535469342</v>
      </c>
      <c r="AF139" s="691">
        <f t="shared" si="29"/>
        <v>0.16122428088852492</v>
      </c>
      <c r="AG139" s="691">
        <f t="shared" si="30"/>
        <v>0.20011004196949533</v>
      </c>
      <c r="AH139" s="691">
        <f t="shared" si="31"/>
        <v>7.5666649605896197E-2</v>
      </c>
      <c r="AI139" s="691">
        <f t="shared" si="32"/>
        <v>0.11311290817893337</v>
      </c>
      <c r="AJ139" s="691">
        <f t="shared" si="33"/>
        <v>9.7067253557170635E-2</v>
      </c>
      <c r="AK139" s="691">
        <f t="shared" si="34"/>
        <v>4.4432644078206573E-2</v>
      </c>
      <c r="AL139" s="691" t="s">
        <v>160</v>
      </c>
      <c r="AM139" s="692">
        <f t="shared" si="35"/>
        <v>0.14523620636707954</v>
      </c>
      <c r="AN139" s="364"/>
      <c r="AO139" s="682">
        <v>8909.3279999999995</v>
      </c>
      <c r="AP139" s="687">
        <v>20585.236800000002</v>
      </c>
      <c r="AQ139" s="687">
        <v>15739.8128</v>
      </c>
      <c r="AR139" s="687">
        <v>89015.127999999997</v>
      </c>
      <c r="AS139" s="683">
        <v>22038.863999999998</v>
      </c>
      <c r="AT139" s="364"/>
      <c r="AU139" s="693">
        <f t="shared" si="41"/>
        <v>5.7005700570057001E-2</v>
      </c>
      <c r="AV139" s="694">
        <f t="shared" si="41"/>
        <v>0.13171317131713173</v>
      </c>
      <c r="AW139" s="694">
        <f t="shared" si="41"/>
        <v>0.10071007100710071</v>
      </c>
      <c r="AX139" s="694">
        <f t="shared" si="41"/>
        <v>0.56955695569556952</v>
      </c>
      <c r="AY139" s="695">
        <f t="shared" si="41"/>
        <v>0.14101410141014101</v>
      </c>
      <c r="AZ139" s="364"/>
      <c r="BA139" s="693">
        <f t="shared" si="25"/>
        <v>0.1642682111828915</v>
      </c>
      <c r="BB139" s="695">
        <f t="shared" si="26"/>
        <v>0.10880719623298188</v>
      </c>
      <c r="BE139" t="s">
        <v>913</v>
      </c>
      <c r="BF139" t="s">
        <v>917</v>
      </c>
    </row>
    <row r="140" spans="1:58" ht="12.75" customHeight="1" outlineLevel="1" x14ac:dyDescent="0.2">
      <c r="A140" s="364" t="s">
        <v>914</v>
      </c>
      <c r="B140" s="365">
        <v>43922</v>
      </c>
      <c r="C140" s="686">
        <v>58388</v>
      </c>
      <c r="D140" s="687">
        <v>51463</v>
      </c>
      <c r="E140" s="683">
        <v>6925</v>
      </c>
      <c r="F140" s="364"/>
      <c r="G140" s="686">
        <v>237.3</v>
      </c>
      <c r="H140" s="688">
        <v>163.4</v>
      </c>
      <c r="I140" s="689">
        <v>73.900000000000006</v>
      </c>
      <c r="J140" s="364"/>
      <c r="K140" s="682">
        <v>1048</v>
      </c>
      <c r="L140" s="683">
        <v>8214</v>
      </c>
      <c r="M140" s="364"/>
      <c r="N140" s="682">
        <v>26024.839100000001</v>
      </c>
      <c r="O140" s="683">
        <v>25438.160899999999</v>
      </c>
      <c r="P140" s="364"/>
      <c r="Q140" s="682">
        <v>145655</v>
      </c>
      <c r="R140" s="689">
        <v>2.83028583642617</v>
      </c>
      <c r="S140" s="364"/>
      <c r="T140" s="682">
        <v>10008</v>
      </c>
      <c r="U140" s="687">
        <v>7270</v>
      </c>
      <c r="V140" s="687">
        <v>9779</v>
      </c>
      <c r="W140" s="687">
        <v>4792</v>
      </c>
      <c r="X140" s="687">
        <v>5967</v>
      </c>
      <c r="Y140" s="687">
        <v>4837</v>
      </c>
      <c r="Z140" s="687">
        <v>1500</v>
      </c>
      <c r="AA140" s="687" t="s">
        <v>160</v>
      </c>
      <c r="AB140" s="683">
        <v>7310</v>
      </c>
      <c r="AC140" s="364"/>
      <c r="AD140" s="365">
        <f t="shared" si="39"/>
        <v>43922</v>
      </c>
      <c r="AE140" s="690">
        <f t="shared" si="28"/>
        <v>0.19446981326389834</v>
      </c>
      <c r="AF140" s="691">
        <f t="shared" si="29"/>
        <v>0.14126654101004604</v>
      </c>
      <c r="AG140" s="691">
        <f t="shared" si="30"/>
        <v>0.19002001437926277</v>
      </c>
      <c r="AH140" s="691">
        <f t="shared" si="31"/>
        <v>9.3115442162330211E-2</v>
      </c>
      <c r="AI140" s="691">
        <f t="shared" si="32"/>
        <v>0.11594737967083148</v>
      </c>
      <c r="AJ140" s="691">
        <f t="shared" si="33"/>
        <v>9.3989856790315365E-2</v>
      </c>
      <c r="AK140" s="691">
        <f t="shared" si="34"/>
        <v>2.9147154266171812E-2</v>
      </c>
      <c r="AL140" s="691" t="s">
        <v>160</v>
      </c>
      <c r="AM140" s="692">
        <f t="shared" si="35"/>
        <v>0.14204379845714396</v>
      </c>
      <c r="AN140" s="364"/>
      <c r="AO140" s="682">
        <v>4358.9160999999995</v>
      </c>
      <c r="AP140" s="687">
        <v>6659.3121999999994</v>
      </c>
      <c r="AQ140" s="687">
        <v>10086.748</v>
      </c>
      <c r="AR140" s="687">
        <v>16406.404399999999</v>
      </c>
      <c r="AS140" s="683">
        <v>13951.6193</v>
      </c>
      <c r="AT140" s="364"/>
      <c r="AU140" s="693">
        <f t="shared" ref="AU140:AY142" si="42">+AO140/SUM($AO140:$AS140)</f>
        <v>8.4699999999999998E-2</v>
      </c>
      <c r="AV140" s="694">
        <f t="shared" si="42"/>
        <v>0.12940000000000002</v>
      </c>
      <c r="AW140" s="694">
        <f t="shared" si="42"/>
        <v>0.19600000000000001</v>
      </c>
      <c r="AX140" s="694">
        <f t="shared" si="42"/>
        <v>0.31880000000000003</v>
      </c>
      <c r="AY140" s="695">
        <f t="shared" si="42"/>
        <v>0.27110000000000006</v>
      </c>
      <c r="AZ140" s="364"/>
      <c r="BA140" s="693">
        <f t="shared" si="25"/>
        <v>6.6078244274809164</v>
      </c>
      <c r="BB140" s="695">
        <f t="shared" si="26"/>
        <v>0.15960981676155683</v>
      </c>
      <c r="BE140" t="s">
        <v>914</v>
      </c>
      <c r="BF140" t="s">
        <v>946</v>
      </c>
    </row>
    <row r="141" spans="1:58" ht="12.75" customHeight="1" outlineLevel="1" x14ac:dyDescent="0.2">
      <c r="A141" s="364" t="s">
        <v>914</v>
      </c>
      <c r="B141" s="365">
        <v>43952</v>
      </c>
      <c r="C141" s="686">
        <v>59673</v>
      </c>
      <c r="D141" s="687">
        <v>56705</v>
      </c>
      <c r="E141" s="683">
        <v>2968</v>
      </c>
      <c r="F141" s="364"/>
      <c r="G141" s="686">
        <v>200.10000000000002</v>
      </c>
      <c r="H141" s="688">
        <v>135.9</v>
      </c>
      <c r="I141" s="689">
        <v>64.2</v>
      </c>
      <c r="J141" s="364"/>
      <c r="K141" s="682">
        <v>37807</v>
      </c>
      <c r="L141" s="683">
        <v>9568</v>
      </c>
      <c r="M141" s="364"/>
      <c r="N141" s="682">
        <v>19642.612000000001</v>
      </c>
      <c r="O141" s="683">
        <v>37062.387999999999</v>
      </c>
      <c r="P141" s="364"/>
      <c r="Q141" s="682">
        <v>318150</v>
      </c>
      <c r="R141" s="689">
        <v>5.610616347764747</v>
      </c>
      <c r="S141" s="364"/>
      <c r="T141" s="682">
        <v>9968</v>
      </c>
      <c r="U141" s="687">
        <v>8771</v>
      </c>
      <c r="V141" s="687">
        <v>11350</v>
      </c>
      <c r="W141" s="687">
        <v>4645</v>
      </c>
      <c r="X141" s="687">
        <v>6125</v>
      </c>
      <c r="Y141" s="687">
        <v>4920</v>
      </c>
      <c r="Z141" s="687">
        <v>2433</v>
      </c>
      <c r="AA141" s="687" t="s">
        <v>160</v>
      </c>
      <c r="AB141" s="683">
        <v>8493</v>
      </c>
      <c r="AC141" s="364"/>
      <c r="AD141" s="365">
        <f t="shared" si="39"/>
        <v>43952</v>
      </c>
      <c r="AE141" s="690">
        <f t="shared" si="28"/>
        <v>0.17578696763953797</v>
      </c>
      <c r="AF141" s="691">
        <f t="shared" si="29"/>
        <v>0.15467771801428445</v>
      </c>
      <c r="AG141" s="691">
        <f t="shared" si="30"/>
        <v>0.2001587161625959</v>
      </c>
      <c r="AH141" s="691">
        <f t="shared" si="31"/>
        <v>8.1915175028657083E-2</v>
      </c>
      <c r="AI141" s="691">
        <f t="shared" si="32"/>
        <v>0.1080151662110925</v>
      </c>
      <c r="AJ141" s="691">
        <f t="shared" si="33"/>
        <v>8.6764835552420427E-2</v>
      </c>
      <c r="AK141" s="691">
        <f t="shared" si="34"/>
        <v>4.290626928842254E-2</v>
      </c>
      <c r="AL141" s="691" t="s">
        <v>160</v>
      </c>
      <c r="AM141" s="692">
        <f t="shared" si="35"/>
        <v>0.14977515210298917</v>
      </c>
      <c r="AN141" s="364"/>
      <c r="AO141" s="682">
        <v>5041.0745000000006</v>
      </c>
      <c r="AP141" s="687">
        <v>7093.7954999999993</v>
      </c>
      <c r="AQ141" s="687">
        <v>11681.23</v>
      </c>
      <c r="AR141" s="687">
        <v>14578.8555</v>
      </c>
      <c r="AS141" s="683">
        <v>18616.251499999998</v>
      </c>
      <c r="AT141" s="364"/>
      <c r="AU141" s="693">
        <f t="shared" si="42"/>
        <v>8.8422518400636585E-2</v>
      </c>
      <c r="AV141" s="694">
        <f t="shared" si="42"/>
        <v>0.12442808832305551</v>
      </c>
      <c r="AW141" s="694">
        <f t="shared" si="42"/>
        <v>0.20489357469663816</v>
      </c>
      <c r="AX141" s="694">
        <f t="shared" si="42"/>
        <v>0.25571911676944503</v>
      </c>
      <c r="AY141" s="695">
        <f t="shared" si="42"/>
        <v>0.32653670181022482</v>
      </c>
      <c r="AZ141" s="364"/>
      <c r="BA141" s="693">
        <f t="shared" si="25"/>
        <v>7.8503980744306603E-2</v>
      </c>
      <c r="BB141" s="695">
        <f t="shared" si="26"/>
        <v>0.16873291596860948</v>
      </c>
      <c r="BE141" t="s">
        <v>914</v>
      </c>
      <c r="BF141" t="s">
        <v>946</v>
      </c>
    </row>
    <row r="142" spans="1:58" ht="12.75" customHeight="1" outlineLevel="1" x14ac:dyDescent="0.2">
      <c r="A142" s="364" t="s">
        <v>914</v>
      </c>
      <c r="B142" s="365">
        <v>43983</v>
      </c>
      <c r="C142" s="686">
        <v>140641</v>
      </c>
      <c r="D142" s="687">
        <v>122795</v>
      </c>
      <c r="E142" s="683">
        <v>17846</v>
      </c>
      <c r="F142" s="364"/>
      <c r="G142" s="686">
        <v>157.6</v>
      </c>
      <c r="H142" s="688">
        <v>115.8</v>
      </c>
      <c r="I142" s="689">
        <v>41.8</v>
      </c>
      <c r="J142" s="364"/>
      <c r="K142" s="682">
        <v>91487</v>
      </c>
      <c r="L142" s="683">
        <v>16657</v>
      </c>
      <c r="M142" s="364"/>
      <c r="N142" s="682">
        <v>48970.646000000008</v>
      </c>
      <c r="O142" s="683">
        <v>73824.353999999992</v>
      </c>
      <c r="P142" s="364"/>
      <c r="Q142" s="682">
        <v>546538</v>
      </c>
      <c r="R142" s="689">
        <v>4.4508164013192717</v>
      </c>
      <c r="S142" s="364"/>
      <c r="T142" s="682">
        <v>19759</v>
      </c>
      <c r="U142" s="687">
        <v>21887</v>
      </c>
      <c r="V142" s="687">
        <v>24017</v>
      </c>
      <c r="W142" s="687">
        <v>7667</v>
      </c>
      <c r="X142" s="687">
        <v>13742</v>
      </c>
      <c r="Y142" s="687">
        <v>12504</v>
      </c>
      <c r="Z142" s="687">
        <v>6300</v>
      </c>
      <c r="AA142" s="687" t="s">
        <v>160</v>
      </c>
      <c r="AB142" s="683">
        <v>16919</v>
      </c>
      <c r="AC142" s="364"/>
      <c r="AD142" s="365">
        <f t="shared" si="39"/>
        <v>43983</v>
      </c>
      <c r="AE142" s="690">
        <f t="shared" si="28"/>
        <v>0.16091046052363694</v>
      </c>
      <c r="AF142" s="691">
        <f t="shared" si="29"/>
        <v>0.1782401563581579</v>
      </c>
      <c r="AG142" s="691">
        <f t="shared" si="30"/>
        <v>0.19558613950079401</v>
      </c>
      <c r="AH142" s="691">
        <f t="shared" si="31"/>
        <v>6.243739565943239E-2</v>
      </c>
      <c r="AI142" s="691">
        <f t="shared" si="32"/>
        <v>0.11191009405920437</v>
      </c>
      <c r="AJ142" s="691">
        <f t="shared" si="33"/>
        <v>0.10182825033592573</v>
      </c>
      <c r="AK142" s="691">
        <f t="shared" si="34"/>
        <v>5.1305020562726497E-2</v>
      </c>
      <c r="AL142" s="691" t="s">
        <v>160</v>
      </c>
      <c r="AM142" s="692">
        <f t="shared" si="35"/>
        <v>0.13778248300012216</v>
      </c>
      <c r="AN142" s="364"/>
      <c r="AO142" s="682">
        <v>7502.7745000000004</v>
      </c>
      <c r="AP142" s="687">
        <v>15152.903</v>
      </c>
      <c r="AQ142" s="687">
        <v>13114.506000000001</v>
      </c>
      <c r="AR142" s="687">
        <v>63300.822499999995</v>
      </c>
      <c r="AS142" s="683">
        <v>23723.994000000002</v>
      </c>
      <c r="AT142" s="364"/>
      <c r="AU142" s="693">
        <f t="shared" si="42"/>
        <v>6.1100000000000002E-2</v>
      </c>
      <c r="AV142" s="694">
        <f t="shared" si="42"/>
        <v>0.1234</v>
      </c>
      <c r="AW142" s="694">
        <f t="shared" si="42"/>
        <v>0.10680000000000001</v>
      </c>
      <c r="AX142" s="694">
        <f t="shared" si="42"/>
        <v>0.51549999999999996</v>
      </c>
      <c r="AY142" s="695">
        <f t="shared" si="42"/>
        <v>0.19320000000000001</v>
      </c>
      <c r="AZ142" s="364"/>
      <c r="BA142" s="693">
        <f t="shared" si="25"/>
        <v>0.19506596565632275</v>
      </c>
      <c r="BB142" s="695">
        <f t="shared" si="26"/>
        <v>0.13564884563703733</v>
      </c>
      <c r="BE142" t="s">
        <v>914</v>
      </c>
      <c r="BF142" t="s">
        <v>946</v>
      </c>
    </row>
    <row r="143" spans="1:58" ht="12.75" customHeight="1" outlineLevel="1" x14ac:dyDescent="0.2">
      <c r="A143" s="364" t="s">
        <v>923</v>
      </c>
      <c r="B143" s="365">
        <v>44013</v>
      </c>
      <c r="C143" s="686">
        <v>190772</v>
      </c>
      <c r="D143" s="687">
        <v>163424</v>
      </c>
      <c r="E143" s="683">
        <v>27348</v>
      </c>
      <c r="F143" s="364"/>
      <c r="G143" s="686">
        <v>138.30000000000001</v>
      </c>
      <c r="H143" s="688">
        <v>107</v>
      </c>
      <c r="I143" s="689">
        <v>31.3</v>
      </c>
      <c r="J143" s="364"/>
      <c r="K143" s="682">
        <v>162230</v>
      </c>
      <c r="L143" s="683">
        <v>18365</v>
      </c>
      <c r="M143" s="364"/>
      <c r="N143" s="682">
        <v>68507.340800000005</v>
      </c>
      <c r="O143" s="683">
        <v>94916.659199999995</v>
      </c>
      <c r="P143" s="364"/>
      <c r="Q143" s="682">
        <v>834033</v>
      </c>
      <c r="R143" s="689">
        <v>5.1034915312316427</v>
      </c>
      <c r="S143" s="364"/>
      <c r="T143" s="682">
        <v>28046</v>
      </c>
      <c r="U143" s="687">
        <v>31481</v>
      </c>
      <c r="V143" s="687">
        <v>34371</v>
      </c>
      <c r="W143" s="687">
        <v>10092</v>
      </c>
      <c r="X143" s="687">
        <v>15366</v>
      </c>
      <c r="Y143" s="687">
        <v>16582</v>
      </c>
      <c r="Z143" s="687">
        <v>5807</v>
      </c>
      <c r="AA143" s="687" t="s">
        <v>160</v>
      </c>
      <c r="AB143" s="683">
        <v>21679</v>
      </c>
      <c r="AC143" s="364"/>
      <c r="AD143" s="365">
        <f t="shared" si="39"/>
        <v>44013</v>
      </c>
      <c r="AE143" s="690">
        <f t="shared" si="28"/>
        <v>0.17161494027804974</v>
      </c>
      <c r="AF143" s="691">
        <f t="shared" si="29"/>
        <v>0.19263388486391228</v>
      </c>
      <c r="AG143" s="691">
        <f t="shared" si="30"/>
        <v>0.21031794595653025</v>
      </c>
      <c r="AH143" s="691">
        <f t="shared" si="31"/>
        <v>6.1753475621695711E-2</v>
      </c>
      <c r="AI143" s="691">
        <f t="shared" si="32"/>
        <v>9.4025357352653216E-2</v>
      </c>
      <c r="AJ143" s="691">
        <f t="shared" si="33"/>
        <v>0.10146612492657137</v>
      </c>
      <c r="AK143" s="691">
        <f t="shared" si="34"/>
        <v>3.5533336596827884E-2</v>
      </c>
      <c r="AL143" s="691" t="s">
        <v>160</v>
      </c>
      <c r="AM143" s="692">
        <f t="shared" si="35"/>
        <v>0.13265493440375956</v>
      </c>
      <c r="AN143" s="364"/>
      <c r="AO143" s="682">
        <v>10753.299199999999</v>
      </c>
      <c r="AP143" s="687">
        <v>25330.720000000001</v>
      </c>
      <c r="AQ143" s="687">
        <v>16326.0576</v>
      </c>
      <c r="AR143" s="687">
        <v>85389.04</v>
      </c>
      <c r="AS143" s="683">
        <v>25608.540800000002</v>
      </c>
      <c r="AT143" s="364"/>
      <c r="AU143" s="693">
        <f t="shared" ref="AU143:AY148" si="43">+AO143/SUM($AO143:$AS143)</f>
        <v>6.5806580658065814E-2</v>
      </c>
      <c r="AV143" s="694">
        <f t="shared" si="43"/>
        <v>0.15501550155015503</v>
      </c>
      <c r="AW143" s="694">
        <f t="shared" si="43"/>
        <v>9.9909990999099918E-2</v>
      </c>
      <c r="AX143" s="694">
        <f t="shared" si="43"/>
        <v>0.52255225522552262</v>
      </c>
      <c r="AY143" s="695">
        <f t="shared" si="43"/>
        <v>0.15671567156715677</v>
      </c>
      <c r="AZ143" s="364"/>
      <c r="BA143" s="693">
        <f t="shared" si="25"/>
        <v>0.1685754792578438</v>
      </c>
      <c r="BB143" s="695">
        <f t="shared" si="26"/>
        <v>0.11237639514392012</v>
      </c>
      <c r="BE143" t="s">
        <v>923</v>
      </c>
      <c r="BF143" t="s">
        <v>947</v>
      </c>
    </row>
    <row r="144" spans="1:58" ht="12.75" customHeight="1" outlineLevel="1" x14ac:dyDescent="0.2">
      <c r="A144" s="364" t="s">
        <v>923</v>
      </c>
      <c r="B144" s="365">
        <v>44044</v>
      </c>
      <c r="C144" s="686">
        <v>200367</v>
      </c>
      <c r="D144" s="687">
        <v>173822</v>
      </c>
      <c r="E144" s="683">
        <v>26545</v>
      </c>
      <c r="F144" s="364"/>
      <c r="G144" s="686">
        <v>140.19999999999999</v>
      </c>
      <c r="H144" s="688">
        <v>110.1</v>
      </c>
      <c r="I144" s="689">
        <v>30.1</v>
      </c>
      <c r="J144" s="364"/>
      <c r="K144" s="682">
        <v>201572</v>
      </c>
      <c r="L144" s="683">
        <v>17514</v>
      </c>
      <c r="M144" s="364"/>
      <c r="N144" s="682">
        <v>76777.1774</v>
      </c>
      <c r="O144" s="683">
        <v>97044.8226</v>
      </c>
      <c r="P144" s="364"/>
      <c r="Q144" s="682">
        <v>917259</v>
      </c>
      <c r="R144" s="689">
        <v>5.2770017604215811</v>
      </c>
      <c r="S144" s="364"/>
      <c r="T144" s="682">
        <v>28792</v>
      </c>
      <c r="U144" s="687">
        <v>34124</v>
      </c>
      <c r="V144" s="687">
        <v>41830</v>
      </c>
      <c r="W144" s="687">
        <v>11553</v>
      </c>
      <c r="X144" s="687">
        <v>11807</v>
      </c>
      <c r="Y144" s="687">
        <v>17694</v>
      </c>
      <c r="Z144" s="687">
        <v>7323</v>
      </c>
      <c r="AA144" s="687" t="s">
        <v>160</v>
      </c>
      <c r="AB144" s="683">
        <v>20699</v>
      </c>
      <c r="AC144" s="364"/>
      <c r="AD144" s="365">
        <f t="shared" si="39"/>
        <v>44044</v>
      </c>
      <c r="AE144" s="690">
        <f t="shared" si="28"/>
        <v>0.16564071291321006</v>
      </c>
      <c r="AF144" s="691">
        <f t="shared" si="29"/>
        <v>0.19631577130627884</v>
      </c>
      <c r="AG144" s="691">
        <f t="shared" si="30"/>
        <v>0.24064847947900725</v>
      </c>
      <c r="AH144" s="691">
        <f t="shared" si="31"/>
        <v>6.6464544188882882E-2</v>
      </c>
      <c r="AI144" s="691">
        <f t="shared" si="32"/>
        <v>6.7925809161095835E-2</v>
      </c>
      <c r="AJ144" s="691">
        <f t="shared" si="33"/>
        <v>0.10179378904856692</v>
      </c>
      <c r="AK144" s="691">
        <f t="shared" si="34"/>
        <v>4.2129304691005738E-2</v>
      </c>
      <c r="AL144" s="691" t="s">
        <v>160</v>
      </c>
      <c r="AM144" s="692">
        <f t="shared" si="35"/>
        <v>0.11908158921195246</v>
      </c>
      <c r="AN144" s="364"/>
      <c r="AO144" s="682">
        <v>10759.5818</v>
      </c>
      <c r="AP144" s="687">
        <v>29897.383999999998</v>
      </c>
      <c r="AQ144" s="687">
        <v>16617.3832</v>
      </c>
      <c r="AR144" s="687">
        <v>88875.188599999994</v>
      </c>
      <c r="AS144" s="683">
        <v>27620.315800000004</v>
      </c>
      <c r="AT144" s="364"/>
      <c r="AU144" s="693">
        <f t="shared" si="43"/>
        <v>6.1918575572671802E-2</v>
      </c>
      <c r="AV144" s="694">
        <f t="shared" si="43"/>
        <v>0.1720516154846454</v>
      </c>
      <c r="AW144" s="694">
        <f t="shared" si="43"/>
        <v>9.5628688606581982E-2</v>
      </c>
      <c r="AX144" s="694">
        <f t="shared" si="43"/>
        <v>0.51145343603080928</v>
      </c>
      <c r="AY144" s="695">
        <f t="shared" si="43"/>
        <v>0.1589476843052916</v>
      </c>
      <c r="AZ144" s="364"/>
      <c r="BA144" s="693">
        <f t="shared" si="25"/>
        <v>0.13168991725041176</v>
      </c>
      <c r="BB144" s="695">
        <f t="shared" si="26"/>
        <v>0.10075824694227428</v>
      </c>
      <c r="BE144" t="s">
        <v>923</v>
      </c>
      <c r="BF144" t="s">
        <v>947</v>
      </c>
    </row>
    <row r="145" spans="1:58" ht="12.75" customHeight="1" outlineLevel="1" x14ac:dyDescent="0.2">
      <c r="A145" s="364" t="s">
        <v>923</v>
      </c>
      <c r="B145" s="365">
        <v>44075</v>
      </c>
      <c r="C145" s="686">
        <v>227822</v>
      </c>
      <c r="D145" s="687">
        <v>199165</v>
      </c>
      <c r="E145" s="683">
        <v>28657</v>
      </c>
      <c r="F145" s="364"/>
      <c r="G145" s="686">
        <v>141.69999999999999</v>
      </c>
      <c r="H145" s="688">
        <v>113.5</v>
      </c>
      <c r="I145" s="689">
        <v>28.2</v>
      </c>
      <c r="J145" s="364"/>
      <c r="K145" s="682">
        <v>208773</v>
      </c>
      <c r="L145" s="683">
        <v>18928</v>
      </c>
      <c r="M145" s="364"/>
      <c r="N145" s="682">
        <v>91297.236000000004</v>
      </c>
      <c r="O145" s="683">
        <v>107867.764</v>
      </c>
      <c r="P145" s="364"/>
      <c r="Q145" s="682">
        <v>1018758</v>
      </c>
      <c r="R145" s="689">
        <v>5.1151457334370996</v>
      </c>
      <c r="S145" s="364"/>
      <c r="T145" s="682">
        <v>31780</v>
      </c>
      <c r="U145" s="687">
        <v>33978</v>
      </c>
      <c r="V145" s="687">
        <v>50907</v>
      </c>
      <c r="W145" s="687">
        <v>13358</v>
      </c>
      <c r="X145" s="687">
        <v>17837</v>
      </c>
      <c r="Y145" s="687">
        <v>18961</v>
      </c>
      <c r="Z145" s="687">
        <v>8696</v>
      </c>
      <c r="AA145" s="687" t="s">
        <v>160</v>
      </c>
      <c r="AB145" s="683">
        <v>23648</v>
      </c>
      <c r="AC145" s="364"/>
      <c r="AD145" s="365">
        <f t="shared" si="39"/>
        <v>44075</v>
      </c>
      <c r="AE145" s="690">
        <f t="shared" si="28"/>
        <v>0.15956618883840032</v>
      </c>
      <c r="AF145" s="691">
        <f t="shared" si="29"/>
        <v>0.17060226445409585</v>
      </c>
      <c r="AG145" s="691">
        <f t="shared" si="30"/>
        <v>0.25560213893003286</v>
      </c>
      <c r="AH145" s="691">
        <f t="shared" si="31"/>
        <v>6.7070017322320694E-2</v>
      </c>
      <c r="AI145" s="691">
        <f t="shared" si="32"/>
        <v>8.9558908442748469E-2</v>
      </c>
      <c r="AJ145" s="691">
        <f t="shared" si="33"/>
        <v>9.5202470313559107E-2</v>
      </c>
      <c r="AK145" s="691">
        <f t="shared" si="34"/>
        <v>4.3662290061004694E-2</v>
      </c>
      <c r="AL145" s="691" t="s">
        <v>160</v>
      </c>
      <c r="AM145" s="692">
        <f t="shared" si="35"/>
        <v>0.11873572163783798</v>
      </c>
      <c r="AN145" s="364"/>
      <c r="AO145" s="682">
        <v>12945.725</v>
      </c>
      <c r="AP145" s="687">
        <v>33320.304499999998</v>
      </c>
      <c r="AQ145" s="687">
        <v>19378.754499999999</v>
      </c>
      <c r="AR145" s="687">
        <v>101116.0705</v>
      </c>
      <c r="AS145" s="683">
        <v>32424.062000000002</v>
      </c>
      <c r="AT145" s="364"/>
      <c r="AU145" s="693">
        <f t="shared" si="43"/>
        <v>6.4993500649935004E-2</v>
      </c>
      <c r="AV145" s="694">
        <f t="shared" si="43"/>
        <v>0.16728327167283269</v>
      </c>
      <c r="AW145" s="694">
        <f t="shared" si="43"/>
        <v>9.7290270972902701E-2</v>
      </c>
      <c r="AX145" s="694">
        <f t="shared" si="43"/>
        <v>0.50764923507649229</v>
      </c>
      <c r="AY145" s="695">
        <f t="shared" si="43"/>
        <v>0.16278372162783722</v>
      </c>
      <c r="AZ145" s="364"/>
      <c r="BA145" s="693">
        <f t="shared" si="25"/>
        <v>0.13726391822697379</v>
      </c>
      <c r="BB145" s="695">
        <f t="shared" si="26"/>
        <v>9.503677855044812E-2</v>
      </c>
      <c r="BE145" t="s">
        <v>923</v>
      </c>
      <c r="BF145" t="s">
        <v>947</v>
      </c>
    </row>
    <row r="146" spans="1:58" ht="12.75" customHeight="1" outlineLevel="1" x14ac:dyDescent="0.2">
      <c r="A146" s="364" t="s">
        <v>924</v>
      </c>
      <c r="B146" s="365">
        <v>44105</v>
      </c>
      <c r="C146" s="686">
        <v>238625</v>
      </c>
      <c r="D146" s="687">
        <v>205699</v>
      </c>
      <c r="E146" s="683">
        <v>32926</v>
      </c>
      <c r="F146" s="364"/>
      <c r="G146" s="686">
        <v>132.5</v>
      </c>
      <c r="H146" s="688">
        <v>109.3</v>
      </c>
      <c r="I146" s="689">
        <v>23.2</v>
      </c>
      <c r="J146" s="364"/>
      <c r="K146" s="682">
        <v>223759</v>
      </c>
      <c r="L146" s="683">
        <v>18764</v>
      </c>
      <c r="M146" s="364"/>
      <c r="N146" s="682">
        <v>92338.281100000007</v>
      </c>
      <c r="O146" s="683">
        <v>113360.71889999999</v>
      </c>
      <c r="P146" s="364"/>
      <c r="Q146" s="682">
        <v>1083467</v>
      </c>
      <c r="R146" s="689">
        <v>5.2672448577776265</v>
      </c>
      <c r="S146" s="364"/>
      <c r="T146" s="682">
        <v>34074</v>
      </c>
      <c r="U146" s="687">
        <v>34288</v>
      </c>
      <c r="V146" s="687">
        <v>50544</v>
      </c>
      <c r="W146" s="687">
        <v>13624</v>
      </c>
      <c r="X146" s="687">
        <v>19154</v>
      </c>
      <c r="Y146" s="687">
        <v>19051</v>
      </c>
      <c r="Z146" s="687">
        <v>9419</v>
      </c>
      <c r="AA146" s="687" t="s">
        <v>160</v>
      </c>
      <c r="AB146" s="683">
        <v>25545</v>
      </c>
      <c r="AC146" s="364"/>
      <c r="AD146" s="365">
        <f t="shared" si="39"/>
        <v>44105</v>
      </c>
      <c r="AE146" s="690">
        <f t="shared" si="28"/>
        <v>0.16564980870106322</v>
      </c>
      <c r="AF146" s="691">
        <f t="shared" si="29"/>
        <v>0.16669016378300333</v>
      </c>
      <c r="AG146" s="691">
        <f t="shared" si="30"/>
        <v>0.24571825823168805</v>
      </c>
      <c r="AH146" s="691">
        <f t="shared" si="31"/>
        <v>6.6232699235290404E-2</v>
      </c>
      <c r="AI146" s="691">
        <f t="shared" si="32"/>
        <v>9.3116641305985931E-2</v>
      </c>
      <c r="AJ146" s="691">
        <f t="shared" si="33"/>
        <v>9.2615909654397935E-2</v>
      </c>
      <c r="AK146" s="691">
        <f t="shared" si="34"/>
        <v>4.5790208022401663E-2</v>
      </c>
      <c r="AL146" s="691" t="s">
        <v>160</v>
      </c>
      <c r="AM146" s="692">
        <f t="shared" si="35"/>
        <v>0.12418631106616949</v>
      </c>
      <c r="AN146" s="364"/>
      <c r="AO146" s="682">
        <v>12815.047700000001</v>
      </c>
      <c r="AP146" s="687">
        <v>32603.291499999999</v>
      </c>
      <c r="AQ146" s="687">
        <v>19829.383600000001</v>
      </c>
      <c r="AR146" s="687">
        <v>105297.3181</v>
      </c>
      <c r="AS146" s="683">
        <v>35153.9591</v>
      </c>
      <c r="AT146" s="364"/>
      <c r="AU146" s="693">
        <f t="shared" si="43"/>
        <v>6.2299999999999994E-2</v>
      </c>
      <c r="AV146" s="694">
        <f t="shared" si="43"/>
        <v>0.15849999999999997</v>
      </c>
      <c r="AW146" s="694">
        <f t="shared" si="43"/>
        <v>9.6399999999999986E-2</v>
      </c>
      <c r="AX146" s="694">
        <f t="shared" si="43"/>
        <v>0.51189999999999991</v>
      </c>
      <c r="AY146" s="695">
        <f t="shared" si="43"/>
        <v>0.17089999999999997</v>
      </c>
      <c r="AZ146" s="364"/>
      <c r="BA146" s="693">
        <f t="shared" si="25"/>
        <v>0.14714938840448877</v>
      </c>
      <c r="BB146" s="695">
        <f t="shared" si="26"/>
        <v>9.1220667091235247E-2</v>
      </c>
      <c r="BE146" t="s">
        <v>924</v>
      </c>
      <c r="BF146" t="s">
        <v>915</v>
      </c>
    </row>
    <row r="147" spans="1:58" ht="12.75" customHeight="1" outlineLevel="1" x14ac:dyDescent="0.2">
      <c r="A147" s="364" t="s">
        <v>924</v>
      </c>
      <c r="B147" s="365">
        <v>44136</v>
      </c>
      <c r="C147" s="686">
        <v>256739</v>
      </c>
      <c r="D147" s="687">
        <v>214486</v>
      </c>
      <c r="E147" s="683">
        <v>42253</v>
      </c>
      <c r="F147" s="364"/>
      <c r="G147" s="686">
        <v>119.39999999999999</v>
      </c>
      <c r="H147" s="688">
        <v>98.1</v>
      </c>
      <c r="I147" s="689">
        <v>21.3</v>
      </c>
      <c r="J147" s="364"/>
      <c r="K147" s="682">
        <v>225021</v>
      </c>
      <c r="L147" s="683">
        <v>19501</v>
      </c>
      <c r="M147" s="364"/>
      <c r="N147" s="682">
        <v>97376.643999999986</v>
      </c>
      <c r="O147" s="683">
        <v>117109.35600000001</v>
      </c>
      <c r="P147" s="364"/>
      <c r="Q147" s="682">
        <v>1048988</v>
      </c>
      <c r="R147" s="689">
        <v>4.8907061533153682</v>
      </c>
      <c r="S147" s="364"/>
      <c r="T147" s="682">
        <v>39220</v>
      </c>
      <c r="U147" s="687">
        <v>34342</v>
      </c>
      <c r="V147" s="687">
        <v>52165</v>
      </c>
      <c r="W147" s="687">
        <v>14812</v>
      </c>
      <c r="X147" s="687">
        <v>18333</v>
      </c>
      <c r="Y147" s="687">
        <v>20340</v>
      </c>
      <c r="Z147" s="687">
        <v>8913</v>
      </c>
      <c r="AA147" s="687" t="s">
        <v>160</v>
      </c>
      <c r="AB147" s="683">
        <v>26361</v>
      </c>
      <c r="AC147" s="364"/>
      <c r="AD147" s="365">
        <f t="shared" si="39"/>
        <v>44136</v>
      </c>
      <c r="AE147" s="690">
        <f t="shared" si="28"/>
        <v>0.18285575748533703</v>
      </c>
      <c r="AF147" s="691">
        <f t="shared" si="29"/>
        <v>0.16011301436923622</v>
      </c>
      <c r="AG147" s="691">
        <f t="shared" si="30"/>
        <v>0.2432093469970068</v>
      </c>
      <c r="AH147" s="691">
        <f t="shared" si="31"/>
        <v>6.9058120343518922E-2</v>
      </c>
      <c r="AI147" s="691">
        <f t="shared" si="32"/>
        <v>8.5474110198334619E-2</v>
      </c>
      <c r="AJ147" s="691">
        <f t="shared" si="33"/>
        <v>9.4831364284848424E-2</v>
      </c>
      <c r="AK147" s="691">
        <f t="shared" si="34"/>
        <v>4.1555159777328127E-2</v>
      </c>
      <c r="AL147" s="691" t="s">
        <v>160</v>
      </c>
      <c r="AM147" s="692">
        <f t="shared" si="35"/>
        <v>0.12290312654438984</v>
      </c>
      <c r="AN147" s="364"/>
      <c r="AO147" s="682">
        <v>13105.0946</v>
      </c>
      <c r="AP147" s="687">
        <v>34510.797399999996</v>
      </c>
      <c r="AQ147" s="687">
        <v>20419.067200000001</v>
      </c>
      <c r="AR147" s="687">
        <v>109409.3086</v>
      </c>
      <c r="AS147" s="683">
        <v>37041.732199999999</v>
      </c>
      <c r="AT147" s="364"/>
      <c r="AU147" s="693">
        <f t="shared" si="43"/>
        <v>6.1100000000000002E-2</v>
      </c>
      <c r="AV147" s="694">
        <f t="shared" si="43"/>
        <v>0.16089999999999999</v>
      </c>
      <c r="AW147" s="694">
        <f t="shared" si="43"/>
        <v>9.5200000000000007E-2</v>
      </c>
      <c r="AX147" s="694">
        <f t="shared" si="43"/>
        <v>0.5101</v>
      </c>
      <c r="AY147" s="695">
        <f t="shared" si="43"/>
        <v>0.17269999999999999</v>
      </c>
      <c r="AZ147" s="364"/>
      <c r="BA147" s="693">
        <f t="shared" si="25"/>
        <v>0.18777358557645732</v>
      </c>
      <c r="BB147" s="695">
        <f t="shared" si="26"/>
        <v>9.0919687065822472E-2</v>
      </c>
      <c r="BE147" t="s">
        <v>924</v>
      </c>
      <c r="BF147" t="s">
        <v>915</v>
      </c>
    </row>
    <row r="148" spans="1:58" ht="12.75" customHeight="1" outlineLevel="1" x14ac:dyDescent="0.2">
      <c r="A148" s="364" t="s">
        <v>924</v>
      </c>
      <c r="B148" s="365">
        <v>44166</v>
      </c>
      <c r="C148" s="686">
        <v>269254</v>
      </c>
      <c r="D148" s="687">
        <v>232984</v>
      </c>
      <c r="E148" s="683">
        <v>36270</v>
      </c>
      <c r="F148" s="364"/>
      <c r="G148" s="686">
        <v>96.8</v>
      </c>
      <c r="H148" s="688">
        <v>82.8</v>
      </c>
      <c r="I148" s="689">
        <v>14</v>
      </c>
      <c r="J148" s="364"/>
      <c r="K148" s="682">
        <v>197802</v>
      </c>
      <c r="L148" s="683">
        <v>20524</v>
      </c>
      <c r="M148" s="364"/>
      <c r="N148" s="682">
        <v>102443.06479999999</v>
      </c>
      <c r="O148" s="683">
        <v>130540.93520000001</v>
      </c>
      <c r="P148" s="364"/>
      <c r="Q148" s="682">
        <v>1204907</v>
      </c>
      <c r="R148" s="689">
        <v>5.1716298114892005</v>
      </c>
      <c r="S148" s="364"/>
      <c r="T148" s="682">
        <v>42214</v>
      </c>
      <c r="U148" s="687">
        <v>37675</v>
      </c>
      <c r="V148" s="687">
        <v>54596</v>
      </c>
      <c r="W148" s="687">
        <v>15639</v>
      </c>
      <c r="X148" s="687">
        <v>21372</v>
      </c>
      <c r="Y148" s="687">
        <v>24413</v>
      </c>
      <c r="Z148" s="687">
        <v>9646</v>
      </c>
      <c r="AA148" s="687" t="s">
        <v>160</v>
      </c>
      <c r="AB148" s="683">
        <v>27429</v>
      </c>
      <c r="AC148" s="364"/>
      <c r="AD148" s="365">
        <f t="shared" si="39"/>
        <v>44166</v>
      </c>
      <c r="AE148" s="690">
        <f t="shared" si="28"/>
        <v>0.18118840778765924</v>
      </c>
      <c r="AF148" s="691">
        <f t="shared" si="29"/>
        <v>0.16170638327095424</v>
      </c>
      <c r="AG148" s="691">
        <f t="shared" si="30"/>
        <v>0.23433368815025923</v>
      </c>
      <c r="AH148" s="691">
        <f t="shared" si="31"/>
        <v>6.712478110084813E-2</v>
      </c>
      <c r="AI148" s="691">
        <f t="shared" si="32"/>
        <v>9.1731621055523127E-2</v>
      </c>
      <c r="AJ148" s="691">
        <f t="shared" si="33"/>
        <v>0.10478401950348522</v>
      </c>
      <c r="AK148" s="691">
        <f t="shared" si="34"/>
        <v>4.1401984685643649E-2</v>
      </c>
      <c r="AL148" s="691" t="s">
        <v>160</v>
      </c>
      <c r="AM148" s="692">
        <f t="shared" si="35"/>
        <v>0.11772911444562717</v>
      </c>
      <c r="AN148" s="364"/>
      <c r="AO148" s="682">
        <v>15563.331199999999</v>
      </c>
      <c r="AP148" s="687">
        <v>39863.562400000003</v>
      </c>
      <c r="AQ148" s="687">
        <v>23834.263200000001</v>
      </c>
      <c r="AR148" s="687">
        <v>111762.42480000001</v>
      </c>
      <c r="AS148" s="683">
        <v>41960.418400000002</v>
      </c>
      <c r="AT148" s="364"/>
      <c r="AU148" s="693">
        <f t="shared" si="43"/>
        <v>6.6799999999999998E-2</v>
      </c>
      <c r="AV148" s="694">
        <f t="shared" si="43"/>
        <v>0.1711</v>
      </c>
      <c r="AW148" s="694">
        <f t="shared" si="43"/>
        <v>0.1023</v>
      </c>
      <c r="AX148" s="694">
        <f t="shared" si="43"/>
        <v>0.47970000000000002</v>
      </c>
      <c r="AY148" s="695">
        <f t="shared" si="43"/>
        <v>0.18010000000000001</v>
      </c>
      <c r="AZ148" s="364"/>
      <c r="BA148" s="693">
        <f t="shared" si="25"/>
        <v>0.18336518336518337</v>
      </c>
      <c r="BB148" s="695">
        <f t="shared" si="26"/>
        <v>8.8091886138103898E-2</v>
      </c>
      <c r="BE148" t="s">
        <v>924</v>
      </c>
      <c r="BF148" t="s">
        <v>915</v>
      </c>
    </row>
    <row r="149" spans="1:58" ht="12.75" customHeight="1" outlineLevel="1" x14ac:dyDescent="0.2">
      <c r="A149" s="364" t="s">
        <v>1049</v>
      </c>
      <c r="B149" s="365">
        <v>44197</v>
      </c>
      <c r="C149" s="948">
        <v>186877</v>
      </c>
      <c r="D149" s="949">
        <v>162580</v>
      </c>
      <c r="E149" s="950">
        <v>24297</v>
      </c>
      <c r="F149" s="364"/>
      <c r="G149" s="948">
        <v>100.8</v>
      </c>
      <c r="H149" s="951">
        <v>87</v>
      </c>
      <c r="I149" s="952">
        <v>13.8</v>
      </c>
      <c r="J149" s="364"/>
      <c r="K149" s="953">
        <v>190156</v>
      </c>
      <c r="L149" s="950">
        <v>15597</v>
      </c>
      <c r="M149" s="364"/>
      <c r="N149" s="953">
        <v>63324.91</v>
      </c>
      <c r="O149" s="950">
        <v>99255.09</v>
      </c>
      <c r="P149" s="364"/>
      <c r="Q149" s="953">
        <v>869169</v>
      </c>
      <c r="R149" s="952">
        <v>5.3461003813507197</v>
      </c>
      <c r="S149" s="364"/>
      <c r="T149" s="953">
        <v>26614</v>
      </c>
      <c r="U149" s="949">
        <v>26577</v>
      </c>
      <c r="V149" s="949">
        <v>43017</v>
      </c>
      <c r="W149" s="949">
        <v>10211</v>
      </c>
      <c r="X149" s="949">
        <v>16294</v>
      </c>
      <c r="Y149" s="949">
        <v>17107</v>
      </c>
      <c r="Z149" s="949">
        <v>6386</v>
      </c>
      <c r="AA149" s="949" t="s">
        <v>160</v>
      </c>
      <c r="AB149" s="950">
        <v>16374</v>
      </c>
      <c r="AC149" s="364"/>
      <c r="AD149" s="365">
        <f t="shared" si="39"/>
        <v>44197</v>
      </c>
      <c r="AE149" s="954">
        <f t="shared" si="28"/>
        <v>0.16369787181695167</v>
      </c>
      <c r="AF149" s="955">
        <f t="shared" si="29"/>
        <v>0.16347029154877599</v>
      </c>
      <c r="AG149" s="955">
        <f t="shared" si="30"/>
        <v>0.26458974043547789</v>
      </c>
      <c r="AH149" s="955">
        <f t="shared" si="31"/>
        <v>6.2806003198425386E-2</v>
      </c>
      <c r="AI149" s="955">
        <f t="shared" si="32"/>
        <v>0.10022142945011686</v>
      </c>
      <c r="AJ149" s="955">
        <f t="shared" si="33"/>
        <v>0.10522204453192274</v>
      </c>
      <c r="AK149" s="955">
        <f t="shared" si="34"/>
        <v>3.9279124123508424E-2</v>
      </c>
      <c r="AL149" s="955" t="s">
        <v>160</v>
      </c>
      <c r="AM149" s="956">
        <f t="shared" si="35"/>
        <v>0.10071349489482101</v>
      </c>
      <c r="AN149" s="364"/>
      <c r="AO149" s="953">
        <v>7722.55</v>
      </c>
      <c r="AP149" s="949">
        <v>27215.892</v>
      </c>
      <c r="AQ149" s="949">
        <v>17217.221999999998</v>
      </c>
      <c r="AR149" s="949">
        <v>82606.898000000001</v>
      </c>
      <c r="AS149" s="950">
        <v>27801.180000000004</v>
      </c>
      <c r="AT149" s="364"/>
      <c r="AU149" s="957">
        <f t="shared" ref="AU149:AY153" si="44">+AO149/SUM($AO149:$AS149)</f>
        <v>4.7504750475047507E-2</v>
      </c>
      <c r="AV149" s="958">
        <f t="shared" si="44"/>
        <v>0.16741674167416742</v>
      </c>
      <c r="AW149" s="958">
        <f t="shared" si="44"/>
        <v>0.1059105910591059</v>
      </c>
      <c r="AX149" s="958">
        <f t="shared" si="44"/>
        <v>0.50815081508150817</v>
      </c>
      <c r="AY149" s="959">
        <f t="shared" si="44"/>
        <v>0.17101710171017104</v>
      </c>
      <c r="AZ149" s="364"/>
      <c r="BA149" s="957">
        <f t="shared" ref="BA149:BA180" si="45">+E149/K149</f>
        <v>0.12777403815814384</v>
      </c>
      <c r="BB149" s="959">
        <f t="shared" ref="BB149:BB180" si="46">+L149/D149</f>
        <v>9.5934309263131998E-2</v>
      </c>
      <c r="BE149" t="s">
        <v>1049</v>
      </c>
      <c r="BF149" t="s">
        <v>1051</v>
      </c>
    </row>
    <row r="150" spans="1:58" ht="12.75" customHeight="1" outlineLevel="1" x14ac:dyDescent="0.2">
      <c r="A150" s="364" t="s">
        <v>1049</v>
      </c>
      <c r="B150" s="365">
        <v>44228</v>
      </c>
      <c r="C150" s="948">
        <v>189372</v>
      </c>
      <c r="D150" s="949">
        <v>158488</v>
      </c>
      <c r="E150" s="950">
        <v>30884</v>
      </c>
      <c r="F150" s="364"/>
      <c r="G150" s="948">
        <v>97.800000000000011</v>
      </c>
      <c r="H150" s="951">
        <v>80.7</v>
      </c>
      <c r="I150" s="952">
        <v>17.100000000000001</v>
      </c>
      <c r="J150" s="364"/>
      <c r="K150" s="953">
        <v>183641</v>
      </c>
      <c r="L150" s="950">
        <v>13348</v>
      </c>
      <c r="M150" s="364"/>
      <c r="N150" s="953">
        <v>64583.859999999993</v>
      </c>
      <c r="O150" s="950">
        <v>93904.140000000014</v>
      </c>
      <c r="P150" s="364"/>
      <c r="Q150" s="953">
        <v>876306</v>
      </c>
      <c r="R150" s="952">
        <v>5.5291630912119532</v>
      </c>
      <c r="S150" s="364"/>
      <c r="T150" s="953">
        <v>24962</v>
      </c>
      <c r="U150" s="949">
        <v>26786</v>
      </c>
      <c r="V150" s="949">
        <v>43973</v>
      </c>
      <c r="W150" s="949">
        <v>10258</v>
      </c>
      <c r="X150" s="949">
        <v>16336</v>
      </c>
      <c r="Y150" s="949">
        <v>17118</v>
      </c>
      <c r="Z150" s="949">
        <v>7314</v>
      </c>
      <c r="AA150" s="949" t="s">
        <v>160</v>
      </c>
      <c r="AB150" s="950">
        <v>11741</v>
      </c>
      <c r="AC150" s="364"/>
      <c r="AD150" s="365">
        <f t="shared" si="39"/>
        <v>44228</v>
      </c>
      <c r="AE150" s="954">
        <f t="shared" si="28"/>
        <v>0.15750088334763515</v>
      </c>
      <c r="AF150" s="955">
        <f t="shared" si="29"/>
        <v>0.16900964110847508</v>
      </c>
      <c r="AG150" s="955">
        <f t="shared" si="30"/>
        <v>0.27745318257533691</v>
      </c>
      <c r="AH150" s="955">
        <f t="shared" si="31"/>
        <v>6.47241431527939E-2</v>
      </c>
      <c r="AI150" s="955">
        <f t="shared" si="32"/>
        <v>0.10307404977032962</v>
      </c>
      <c r="AJ150" s="955">
        <f t="shared" si="33"/>
        <v>0.10800817727525112</v>
      </c>
      <c r="AK150" s="955">
        <f t="shared" si="34"/>
        <v>4.614860431073646E-2</v>
      </c>
      <c r="AL150" s="955" t="s">
        <v>160</v>
      </c>
      <c r="AM150" s="956">
        <f t="shared" si="35"/>
        <v>7.4081318459441728E-2</v>
      </c>
      <c r="AN150" s="364"/>
      <c r="AO150" s="953">
        <v>9651.9192000000003</v>
      </c>
      <c r="AP150" s="949">
        <v>26483.344799999999</v>
      </c>
      <c r="AQ150" s="949">
        <v>17845.748800000001</v>
      </c>
      <c r="AR150" s="949">
        <v>77183.656000000003</v>
      </c>
      <c r="AS150" s="950">
        <v>27323.331200000001</v>
      </c>
      <c r="AT150" s="364"/>
      <c r="AU150" s="957">
        <f t="shared" si="44"/>
        <v>6.0900000000000003E-2</v>
      </c>
      <c r="AV150" s="958">
        <f t="shared" si="44"/>
        <v>0.1671</v>
      </c>
      <c r="AW150" s="958">
        <f t="shared" si="44"/>
        <v>0.11260000000000001</v>
      </c>
      <c r="AX150" s="958">
        <f t="shared" si="44"/>
        <v>0.48700000000000004</v>
      </c>
      <c r="AY150" s="959">
        <f t="shared" si="44"/>
        <v>0.1724</v>
      </c>
      <c r="AZ150" s="364"/>
      <c r="BA150" s="957">
        <f t="shared" si="45"/>
        <v>0.16817595199329125</v>
      </c>
      <c r="BB150" s="959">
        <f t="shared" si="46"/>
        <v>8.4220887385795765E-2</v>
      </c>
      <c r="BE150" t="s">
        <v>1049</v>
      </c>
      <c r="BF150" t="s">
        <v>1051</v>
      </c>
    </row>
    <row r="151" spans="1:58" ht="12.75" customHeight="1" outlineLevel="1" x14ac:dyDescent="0.2">
      <c r="A151" s="364" t="s">
        <v>1049</v>
      </c>
      <c r="B151" s="365">
        <v>44256</v>
      </c>
      <c r="C151" s="948">
        <v>211904</v>
      </c>
      <c r="D151" s="949">
        <v>177450</v>
      </c>
      <c r="E151" s="950">
        <v>34454</v>
      </c>
      <c r="F151" s="364"/>
      <c r="G151" s="948">
        <v>101.1</v>
      </c>
      <c r="H151" s="951">
        <v>83.3</v>
      </c>
      <c r="I151" s="952">
        <v>17.8</v>
      </c>
      <c r="J151" s="364"/>
      <c r="K151" s="953">
        <v>185718</v>
      </c>
      <c r="L151" s="950">
        <v>16941</v>
      </c>
      <c r="M151" s="364"/>
      <c r="N151" s="953">
        <v>81325.334999999992</v>
      </c>
      <c r="O151" s="950">
        <v>96124.665000000008</v>
      </c>
      <c r="P151" s="364"/>
      <c r="Q151" s="953">
        <v>915537</v>
      </c>
      <c r="R151" s="952">
        <v>5.1594082840236686</v>
      </c>
      <c r="S151" s="364"/>
      <c r="T151" s="953">
        <v>23239</v>
      </c>
      <c r="U151" s="949">
        <v>32643</v>
      </c>
      <c r="V151" s="949">
        <v>49444</v>
      </c>
      <c r="W151" s="949">
        <v>12681</v>
      </c>
      <c r="X151" s="949">
        <v>17798</v>
      </c>
      <c r="Y151" s="949">
        <v>19435</v>
      </c>
      <c r="Z151" s="949">
        <v>7113</v>
      </c>
      <c r="AA151" s="949" t="s">
        <v>160</v>
      </c>
      <c r="AB151" s="950">
        <v>15097</v>
      </c>
      <c r="AC151" s="364"/>
      <c r="AD151" s="365">
        <f t="shared" si="39"/>
        <v>44256</v>
      </c>
      <c r="AE151" s="954">
        <f t="shared" si="28"/>
        <v>0.1309608340377571</v>
      </c>
      <c r="AF151" s="955">
        <f t="shared" si="29"/>
        <v>0.18395604395604395</v>
      </c>
      <c r="AG151" s="955">
        <f t="shared" si="30"/>
        <v>0.2786362355593125</v>
      </c>
      <c r="AH151" s="955">
        <f t="shared" si="31"/>
        <v>7.1462383770076077E-2</v>
      </c>
      <c r="AI151" s="955">
        <f t="shared" si="32"/>
        <v>0.10029867568329107</v>
      </c>
      <c r="AJ151" s="955">
        <f t="shared" si="33"/>
        <v>0.10952380952380952</v>
      </c>
      <c r="AK151" s="955">
        <f t="shared" si="34"/>
        <v>4.0084530853761624E-2</v>
      </c>
      <c r="AL151" s="955" t="s">
        <v>160</v>
      </c>
      <c r="AM151" s="956">
        <f t="shared" si="35"/>
        <v>8.5077486615948161E-2</v>
      </c>
      <c r="AN151" s="364"/>
      <c r="AO151" s="953">
        <v>10948.664999999999</v>
      </c>
      <c r="AP151" s="949">
        <v>22571.640000000003</v>
      </c>
      <c r="AQ151" s="949">
        <v>18312.84</v>
      </c>
      <c r="AR151" s="949">
        <v>97349.069999999992</v>
      </c>
      <c r="AS151" s="950">
        <v>28250.04</v>
      </c>
      <c r="AT151" s="364"/>
      <c r="AU151" s="957">
        <f t="shared" si="44"/>
        <v>6.1706170617061698E-2</v>
      </c>
      <c r="AV151" s="958">
        <f t="shared" si="44"/>
        <v>0.12721272127212724</v>
      </c>
      <c r="AW151" s="958">
        <f t="shared" si="44"/>
        <v>0.1032103210321032</v>
      </c>
      <c r="AX151" s="958">
        <f t="shared" si="44"/>
        <v>0.54865486548654863</v>
      </c>
      <c r="AY151" s="959">
        <f t="shared" si="44"/>
        <v>0.15921592159215922</v>
      </c>
      <c r="AZ151" s="364"/>
      <c r="BA151" s="957">
        <f t="shared" si="45"/>
        <v>0.18551782810497636</v>
      </c>
      <c r="BB151" s="959">
        <f t="shared" si="46"/>
        <v>9.5469146238377003E-2</v>
      </c>
      <c r="BE151" t="s">
        <v>1049</v>
      </c>
      <c r="BF151" t="s">
        <v>1051</v>
      </c>
    </row>
    <row r="152" spans="1:58" ht="12.75" customHeight="1" outlineLevel="1" x14ac:dyDescent="0.2">
      <c r="A152" s="364" t="s">
        <v>1023</v>
      </c>
      <c r="B152" s="365">
        <v>44287</v>
      </c>
      <c r="C152" s="948">
        <v>195829</v>
      </c>
      <c r="D152" s="949">
        <v>164157</v>
      </c>
      <c r="E152" s="950">
        <v>31672</v>
      </c>
      <c r="F152" s="364"/>
      <c r="G152" s="948">
        <v>97.1</v>
      </c>
      <c r="H152" s="951">
        <v>72.8</v>
      </c>
      <c r="I152" s="952">
        <v>24.3</v>
      </c>
      <c r="J152" s="364"/>
      <c r="K152" s="953">
        <v>175942</v>
      </c>
      <c r="L152" s="950">
        <v>16775</v>
      </c>
      <c r="M152" s="364"/>
      <c r="N152" s="953">
        <v>72212.664300000004</v>
      </c>
      <c r="O152" s="950">
        <v>91944.335699999996</v>
      </c>
      <c r="P152" s="364"/>
      <c r="Q152" s="953">
        <v>821159</v>
      </c>
      <c r="R152" s="952">
        <v>5.0022783067429355</v>
      </c>
      <c r="S152" s="364"/>
      <c r="T152" s="953">
        <v>20890</v>
      </c>
      <c r="U152" s="949">
        <v>27647</v>
      </c>
      <c r="V152" s="949">
        <v>48552</v>
      </c>
      <c r="W152" s="949">
        <v>13420</v>
      </c>
      <c r="X152" s="949">
        <v>16475</v>
      </c>
      <c r="Y152" s="949">
        <v>17290</v>
      </c>
      <c r="Z152" s="949">
        <v>5828</v>
      </c>
      <c r="AA152" s="949" t="s">
        <v>160</v>
      </c>
      <c r="AB152" s="950">
        <v>14055</v>
      </c>
      <c r="AC152" s="364"/>
      <c r="AD152" s="365">
        <f t="shared" si="39"/>
        <v>44287</v>
      </c>
      <c r="AE152" s="954">
        <f t="shared" si="28"/>
        <v>0.12725622422437058</v>
      </c>
      <c r="AF152" s="955">
        <f t="shared" si="29"/>
        <v>0.16841803882868231</v>
      </c>
      <c r="AG152" s="955">
        <f t="shared" si="30"/>
        <v>0.29576563899194064</v>
      </c>
      <c r="AH152" s="955">
        <f t="shared" si="31"/>
        <v>8.1751006658260086E-2</v>
      </c>
      <c r="AI152" s="955">
        <f t="shared" si="32"/>
        <v>0.10036123954506966</v>
      </c>
      <c r="AJ152" s="955">
        <f t="shared" si="33"/>
        <v>0.10532599889130527</v>
      </c>
      <c r="AK152" s="955">
        <f t="shared" si="34"/>
        <v>3.5502598122529046E-2</v>
      </c>
      <c r="AL152" s="955" t="s">
        <v>160</v>
      </c>
      <c r="AM152" s="956">
        <f t="shared" si="35"/>
        <v>8.5619254737842432E-2</v>
      </c>
      <c r="AN152" s="364"/>
      <c r="AO152" s="953">
        <v>10325.4753</v>
      </c>
      <c r="AP152" s="949">
        <v>30204.887999999999</v>
      </c>
      <c r="AQ152" s="949">
        <v>18254.258399999999</v>
      </c>
      <c r="AR152" s="949">
        <v>77285.115600000005</v>
      </c>
      <c r="AS152" s="950">
        <v>27693.285899999999</v>
      </c>
      <c r="AT152" s="364"/>
      <c r="AU152" s="957">
        <f t="shared" si="44"/>
        <v>6.3051323175621496E-2</v>
      </c>
      <c r="AV152" s="958">
        <f t="shared" si="44"/>
        <v>0.18444266238973536</v>
      </c>
      <c r="AW152" s="958">
        <f t="shared" si="44"/>
        <v>0.11146752205292702</v>
      </c>
      <c r="AX152" s="958">
        <f t="shared" si="44"/>
        <v>0.47193263833199683</v>
      </c>
      <c r="AY152" s="959">
        <f t="shared" si="44"/>
        <v>0.16910585404971931</v>
      </c>
      <c r="AZ152" s="364"/>
      <c r="BA152" s="957">
        <f t="shared" si="45"/>
        <v>0.18001386820656806</v>
      </c>
      <c r="BB152" s="959">
        <f t="shared" si="46"/>
        <v>0.1021887583228251</v>
      </c>
      <c r="BE152" t="s">
        <v>1023</v>
      </c>
      <c r="BF152" t="s">
        <v>1052</v>
      </c>
    </row>
    <row r="153" spans="1:58" ht="12.75" customHeight="1" outlineLevel="1" x14ac:dyDescent="0.2">
      <c r="A153" s="364" t="s">
        <v>1023</v>
      </c>
      <c r="B153" s="365">
        <v>44317</v>
      </c>
      <c r="C153" s="948">
        <v>210376</v>
      </c>
      <c r="D153" s="949">
        <v>175574</v>
      </c>
      <c r="E153" s="950">
        <v>34802</v>
      </c>
      <c r="F153" s="364"/>
      <c r="G153" s="948">
        <v>96.5</v>
      </c>
      <c r="H153" s="951">
        <v>66.599999999999994</v>
      </c>
      <c r="I153" s="952">
        <v>29.9</v>
      </c>
      <c r="J153" s="364"/>
      <c r="K153" s="953">
        <v>177281</v>
      </c>
      <c r="L153" s="950">
        <v>18909</v>
      </c>
      <c r="M153" s="364"/>
      <c r="N153" s="953">
        <v>79254.103600000002</v>
      </c>
      <c r="O153" s="950">
        <v>96319.896399999998</v>
      </c>
      <c r="P153" s="364"/>
      <c r="Q153" s="953">
        <v>976129</v>
      </c>
      <c r="R153" s="952">
        <v>5.5596443664779525</v>
      </c>
      <c r="S153" s="364"/>
      <c r="T153" s="953">
        <v>17296</v>
      </c>
      <c r="U153" s="949">
        <v>28961</v>
      </c>
      <c r="V153" s="949">
        <v>54204</v>
      </c>
      <c r="W153" s="949">
        <v>15566</v>
      </c>
      <c r="X153" s="949">
        <v>17404</v>
      </c>
      <c r="Y153" s="949">
        <v>20083</v>
      </c>
      <c r="Z153" s="949">
        <v>7060</v>
      </c>
      <c r="AA153" s="949" t="s">
        <v>160</v>
      </c>
      <c r="AB153" s="950">
        <v>15000</v>
      </c>
      <c r="AC153" s="364"/>
      <c r="AD153" s="365">
        <f t="shared" si="39"/>
        <v>44317</v>
      </c>
      <c r="AE153" s="954">
        <f t="shared" ref="AE153:AE184" si="47">+T153/SUM($T153:$AB153)</f>
        <v>9.851116907970428E-2</v>
      </c>
      <c r="AF153" s="955">
        <f t="shared" ref="AF153:AF184" si="48">+U153/SUM($T153:$AB153)</f>
        <v>0.16495039128800393</v>
      </c>
      <c r="AG153" s="955">
        <f t="shared" ref="AG153:AG184" si="49">+V153/SUM($T153:$AB153)</f>
        <v>0.30872452641051634</v>
      </c>
      <c r="AH153" s="955">
        <f t="shared" ref="AH153:AH184" si="50">+W153/SUM($T153:$AB153)</f>
        <v>8.8657773930080758E-2</v>
      </c>
      <c r="AI153" s="955">
        <f t="shared" ref="AI153:AI184" si="51">+X153/SUM($T153:$AB153)</f>
        <v>9.9126294326039158E-2</v>
      </c>
      <c r="AJ153" s="955">
        <f t="shared" ref="AJ153:AJ184" si="52">+Y153/SUM($T153:$AB153)</f>
        <v>0.1143848177976238</v>
      </c>
      <c r="AK153" s="955">
        <f t="shared" ref="AK153:AK184" si="53">+Z153/SUM($T153:$AB153)</f>
        <v>4.0210965177076334E-2</v>
      </c>
      <c r="AL153" s="955" t="s">
        <v>160</v>
      </c>
      <c r="AM153" s="956">
        <f t="shared" ref="AM153:AM184" si="54">+AB153/SUM($T153:$AB153)</f>
        <v>8.5434061990955379E-2</v>
      </c>
      <c r="AN153" s="364"/>
      <c r="AO153" s="953">
        <v>10481.767800000001</v>
      </c>
      <c r="AP153" s="949">
        <v>26739.920199999997</v>
      </c>
      <c r="AQ153" s="949">
        <v>18470.3848</v>
      </c>
      <c r="AR153" s="949">
        <v>92632.842399999994</v>
      </c>
      <c r="AS153" s="950">
        <v>27424.658800000001</v>
      </c>
      <c r="AT153" s="364"/>
      <c r="AU153" s="957">
        <f t="shared" si="44"/>
        <v>5.9640359640359651E-2</v>
      </c>
      <c r="AV153" s="958">
        <f t="shared" si="44"/>
        <v>0.15214785214785215</v>
      </c>
      <c r="AW153" s="958">
        <f t="shared" si="44"/>
        <v>0.1050949050949051</v>
      </c>
      <c r="AX153" s="958">
        <f t="shared" si="44"/>
        <v>0.52707292707292708</v>
      </c>
      <c r="AY153" s="959">
        <f t="shared" si="44"/>
        <v>0.15604395604395604</v>
      </c>
      <c r="AZ153" s="364"/>
      <c r="BA153" s="957">
        <f t="shared" si="45"/>
        <v>0.19630981323435676</v>
      </c>
      <c r="BB153" s="959">
        <f t="shared" si="46"/>
        <v>0.10769817854579836</v>
      </c>
      <c r="BE153" t="s">
        <v>1023</v>
      </c>
      <c r="BF153" t="s">
        <v>1052</v>
      </c>
    </row>
    <row r="154" spans="1:58" ht="12.75" customHeight="1" outlineLevel="1" x14ac:dyDescent="0.2">
      <c r="A154" s="364" t="s">
        <v>1023</v>
      </c>
      <c r="B154" s="365">
        <v>44348</v>
      </c>
      <c r="C154" s="948">
        <v>201054</v>
      </c>
      <c r="D154" s="949">
        <v>169651</v>
      </c>
      <c r="E154" s="950">
        <v>31403</v>
      </c>
      <c r="F154" s="364"/>
      <c r="G154" s="948">
        <v>93</v>
      </c>
      <c r="H154" s="951">
        <v>71.3</v>
      </c>
      <c r="I154" s="952">
        <v>21.7</v>
      </c>
      <c r="J154" s="364"/>
      <c r="K154" s="953">
        <v>151286</v>
      </c>
      <c r="L154" s="950">
        <v>23769</v>
      </c>
      <c r="M154" s="364"/>
      <c r="N154" s="953">
        <v>75409.869500000001</v>
      </c>
      <c r="O154" s="950">
        <v>94241.130499999999</v>
      </c>
      <c r="P154" s="364"/>
      <c r="Q154" s="953">
        <v>993199</v>
      </c>
      <c r="R154" s="952">
        <v>5.8543657272871954</v>
      </c>
      <c r="S154" s="364"/>
      <c r="T154" s="953">
        <v>11640</v>
      </c>
      <c r="U154" s="949">
        <v>22698</v>
      </c>
      <c r="V154" s="949">
        <v>58118</v>
      </c>
      <c r="W154" s="949">
        <v>16488</v>
      </c>
      <c r="X154" s="949">
        <v>18216</v>
      </c>
      <c r="Y154" s="949">
        <v>19655</v>
      </c>
      <c r="Z154" s="949">
        <v>6461</v>
      </c>
      <c r="AA154" s="949" t="s">
        <v>160</v>
      </c>
      <c r="AB154" s="950">
        <v>16375</v>
      </c>
      <c r="AC154" s="364"/>
      <c r="AD154" s="365">
        <f t="shared" si="39"/>
        <v>44348</v>
      </c>
      <c r="AE154" s="954">
        <f t="shared" si="47"/>
        <v>6.8611443492817614E-2</v>
      </c>
      <c r="AF154" s="955">
        <f t="shared" si="48"/>
        <v>0.13379231481099432</v>
      </c>
      <c r="AG154" s="955">
        <f t="shared" si="49"/>
        <v>0.34257387224360597</v>
      </c>
      <c r="AH154" s="955">
        <f t="shared" si="50"/>
        <v>9.7187756040341647E-2</v>
      </c>
      <c r="AI154" s="955">
        <f t="shared" si="51"/>
        <v>0.10737337239391456</v>
      </c>
      <c r="AJ154" s="955">
        <f t="shared" si="52"/>
        <v>0.11585549156798368</v>
      </c>
      <c r="AK154" s="955">
        <f t="shared" si="53"/>
        <v>3.8084066701640426E-2</v>
      </c>
      <c r="AL154" s="955" t="s">
        <v>160</v>
      </c>
      <c r="AM154" s="956">
        <f t="shared" si="54"/>
        <v>9.6521682748701751E-2</v>
      </c>
      <c r="AN154" s="364"/>
      <c r="AO154" s="953">
        <v>10229.9553</v>
      </c>
      <c r="AP154" s="949">
        <v>25142.278200000001</v>
      </c>
      <c r="AQ154" s="949">
        <v>18729.470399999998</v>
      </c>
      <c r="AR154" s="949">
        <v>89456.972299999994</v>
      </c>
      <c r="AS154" s="950">
        <v>26075.358700000001</v>
      </c>
      <c r="AT154" s="364"/>
      <c r="AU154" s="957">
        <f t="shared" ref="AU154:AY155" si="55">+AO154/SUM($AO154:$AS154)</f>
        <v>6.0306030603060307E-2</v>
      </c>
      <c r="AV154" s="958">
        <f t="shared" si="55"/>
        <v>0.14821482148214821</v>
      </c>
      <c r="AW154" s="958">
        <f t="shared" si="55"/>
        <v>0.1104110411041104</v>
      </c>
      <c r="AX154" s="958">
        <f t="shared" si="55"/>
        <v>0.52735273527352733</v>
      </c>
      <c r="AY154" s="959">
        <f t="shared" si="55"/>
        <v>0.15371537153715373</v>
      </c>
      <c r="AZ154" s="364"/>
      <c r="BA154" s="957">
        <f t="shared" si="45"/>
        <v>0.20757373451608213</v>
      </c>
      <c r="BB154" s="959">
        <f t="shared" si="46"/>
        <v>0.14010527494680255</v>
      </c>
      <c r="BE154" t="s">
        <v>1023</v>
      </c>
      <c r="BF154" t="s">
        <v>1052</v>
      </c>
    </row>
    <row r="155" spans="1:58" ht="12.75" customHeight="1" outlineLevel="1" x14ac:dyDescent="0.2">
      <c r="A155" s="364" t="s">
        <v>1024</v>
      </c>
      <c r="B155" s="365">
        <v>44378</v>
      </c>
      <c r="C155" s="948">
        <v>183757</v>
      </c>
      <c r="D155" s="949">
        <v>162206</v>
      </c>
      <c r="E155" s="950">
        <v>21551</v>
      </c>
      <c r="F155" s="364"/>
      <c r="G155" s="948">
        <v>85.1</v>
      </c>
      <c r="H155" s="951">
        <v>57.3</v>
      </c>
      <c r="I155" s="952">
        <v>27.8</v>
      </c>
      <c r="J155" s="364"/>
      <c r="K155" s="953">
        <v>147822</v>
      </c>
      <c r="L155" s="950">
        <v>23604</v>
      </c>
      <c r="M155" s="364"/>
      <c r="N155" s="953">
        <v>64428.2232</v>
      </c>
      <c r="O155" s="950">
        <v>97777.776799999992</v>
      </c>
      <c r="P155" s="364"/>
      <c r="Q155" s="953">
        <v>1061013</v>
      </c>
      <c r="R155" s="952">
        <v>6.541145210411452</v>
      </c>
      <c r="S155" s="364"/>
      <c r="T155" s="953">
        <v>9395</v>
      </c>
      <c r="U155" s="949">
        <v>17686</v>
      </c>
      <c r="V155" s="949">
        <v>57301</v>
      </c>
      <c r="W155" s="949">
        <v>18646</v>
      </c>
      <c r="X155" s="949">
        <v>17917</v>
      </c>
      <c r="Y155" s="949">
        <v>18903</v>
      </c>
      <c r="Z155" s="949">
        <v>6011</v>
      </c>
      <c r="AA155" s="949" t="s">
        <v>160</v>
      </c>
      <c r="AB155" s="950">
        <v>16347</v>
      </c>
      <c r="AC155" s="364"/>
      <c r="AD155" s="365">
        <f t="shared" si="39"/>
        <v>44378</v>
      </c>
      <c r="AE155" s="954">
        <f t="shared" si="47"/>
        <v>5.7920175579201753E-2</v>
      </c>
      <c r="AF155" s="955">
        <f t="shared" si="48"/>
        <v>0.10903419109034192</v>
      </c>
      <c r="AG155" s="955">
        <f t="shared" si="49"/>
        <v>0.35326066853260668</v>
      </c>
      <c r="AH155" s="955">
        <f t="shared" si="50"/>
        <v>0.11495259114952591</v>
      </c>
      <c r="AI155" s="955">
        <f t="shared" si="51"/>
        <v>0.11045830610458306</v>
      </c>
      <c r="AJ155" s="955">
        <f t="shared" si="52"/>
        <v>0.11653699616536996</v>
      </c>
      <c r="AK155" s="955">
        <f t="shared" si="53"/>
        <v>3.7057815370578152E-2</v>
      </c>
      <c r="AL155" s="955" t="s">
        <v>160</v>
      </c>
      <c r="AM155" s="956">
        <f t="shared" si="54"/>
        <v>0.10077925600779256</v>
      </c>
      <c r="AN155" s="364"/>
      <c r="AO155" s="953">
        <v>10364.963400000001</v>
      </c>
      <c r="AP155" s="949">
        <v>25466.342000000001</v>
      </c>
      <c r="AQ155" s="949">
        <v>18669.910599999999</v>
      </c>
      <c r="AR155" s="949">
        <v>80794.808600000004</v>
      </c>
      <c r="AS155" s="950">
        <v>26909.975399999999</v>
      </c>
      <c r="AT155" s="364"/>
      <c r="AU155" s="957">
        <f t="shared" si="55"/>
        <v>6.3899999999999998E-2</v>
      </c>
      <c r="AV155" s="958">
        <f t="shared" si="55"/>
        <v>0.157</v>
      </c>
      <c r="AW155" s="958">
        <f t="shared" si="55"/>
        <v>0.11509999999999999</v>
      </c>
      <c r="AX155" s="958">
        <f t="shared" si="55"/>
        <v>0.49810000000000004</v>
      </c>
      <c r="AY155" s="959">
        <f t="shared" si="55"/>
        <v>0.16589999999999999</v>
      </c>
      <c r="AZ155" s="364"/>
      <c r="BA155" s="957">
        <f t="shared" si="45"/>
        <v>0.14579020714102095</v>
      </c>
      <c r="BB155" s="959">
        <f t="shared" si="46"/>
        <v>0.1455186614551866</v>
      </c>
      <c r="BE155" t="s">
        <v>1024</v>
      </c>
      <c r="BF155" t="s">
        <v>1053</v>
      </c>
    </row>
    <row r="156" spans="1:58" ht="12.75" customHeight="1" outlineLevel="1" x14ac:dyDescent="0.2">
      <c r="A156" s="364" t="s">
        <v>1024</v>
      </c>
      <c r="B156" s="365">
        <v>44409</v>
      </c>
      <c r="C156" s="948">
        <v>185549</v>
      </c>
      <c r="D156" s="949">
        <v>158557</v>
      </c>
      <c r="E156" s="950">
        <v>26992</v>
      </c>
      <c r="F156" s="364"/>
      <c r="G156" s="948">
        <v>76.400000000000006</v>
      </c>
      <c r="H156" s="951">
        <v>48.3</v>
      </c>
      <c r="I156" s="952">
        <v>28.1</v>
      </c>
      <c r="J156" s="364"/>
      <c r="K156" s="953">
        <v>148857</v>
      </c>
      <c r="L156" s="950">
        <v>22641</v>
      </c>
      <c r="M156" s="364"/>
      <c r="N156" s="953">
        <v>64881.524400000002</v>
      </c>
      <c r="O156" s="950">
        <v>93675.475600000005</v>
      </c>
      <c r="P156" s="364"/>
      <c r="Q156" s="953">
        <v>1074324</v>
      </c>
      <c r="R156" s="952">
        <v>6.7756327377536154</v>
      </c>
      <c r="S156" s="364"/>
      <c r="T156" s="953">
        <v>8953</v>
      </c>
      <c r="U156" s="949">
        <v>23280</v>
      </c>
      <c r="V156" s="949">
        <v>52640</v>
      </c>
      <c r="W156" s="949">
        <v>17476</v>
      </c>
      <c r="X156" s="949">
        <v>13303</v>
      </c>
      <c r="Y156" s="949">
        <v>19257</v>
      </c>
      <c r="Z156" s="949">
        <v>8074</v>
      </c>
      <c r="AA156" s="949" t="s">
        <v>160</v>
      </c>
      <c r="AB156" s="950">
        <v>15574</v>
      </c>
      <c r="AC156" s="364"/>
      <c r="AD156" s="365">
        <f t="shared" si="39"/>
        <v>44409</v>
      </c>
      <c r="AE156" s="954">
        <f t="shared" si="47"/>
        <v>5.6465498211999469E-2</v>
      </c>
      <c r="AF156" s="955">
        <f t="shared" si="48"/>
        <v>0.14682417048758489</v>
      </c>
      <c r="AG156" s="955">
        <f t="shared" si="49"/>
        <v>0.33199417244271778</v>
      </c>
      <c r="AH156" s="955">
        <f t="shared" si="50"/>
        <v>0.11021903794849802</v>
      </c>
      <c r="AI156" s="955">
        <f t="shared" si="51"/>
        <v>8.3900426975787881E-2</v>
      </c>
      <c r="AJ156" s="955">
        <f t="shared" si="52"/>
        <v>0.12145159154121231</v>
      </c>
      <c r="AK156" s="955">
        <f t="shared" si="53"/>
        <v>5.0921750537661535E-2</v>
      </c>
      <c r="AL156" s="955" t="s">
        <v>160</v>
      </c>
      <c r="AM156" s="956">
        <f t="shared" si="54"/>
        <v>9.8223351854538121E-2</v>
      </c>
      <c r="AN156" s="364"/>
      <c r="AO156" s="953">
        <v>9497.5643</v>
      </c>
      <c r="AP156" s="949">
        <v>23212.7448</v>
      </c>
      <c r="AQ156" s="949">
        <v>18630.447499999998</v>
      </c>
      <c r="AR156" s="949">
        <v>80800.647200000007</v>
      </c>
      <c r="AS156" s="950">
        <v>26431.451899999996</v>
      </c>
      <c r="AT156" s="364"/>
      <c r="AU156" s="957">
        <f t="shared" ref="AU156:AY160" si="56">+AO156/SUM($AO156:$AS156)</f>
        <v>5.989401059894011E-2</v>
      </c>
      <c r="AV156" s="958">
        <f t="shared" si="56"/>
        <v>0.14638536146385364</v>
      </c>
      <c r="AW156" s="958">
        <f t="shared" si="56"/>
        <v>0.11748825117488251</v>
      </c>
      <c r="AX156" s="958">
        <f t="shared" si="56"/>
        <v>0.50954904509549059</v>
      </c>
      <c r="AY156" s="959">
        <f t="shared" si="56"/>
        <v>0.1666833316668333</v>
      </c>
      <c r="AZ156" s="364"/>
      <c r="BA156" s="957">
        <f t="shared" si="45"/>
        <v>0.18132838899077638</v>
      </c>
      <c r="BB156" s="959">
        <f t="shared" si="46"/>
        <v>0.14279407405538702</v>
      </c>
      <c r="BE156" t="s">
        <v>1024</v>
      </c>
      <c r="BF156" t="s">
        <v>1053</v>
      </c>
    </row>
    <row r="157" spans="1:58" ht="12.75" customHeight="1" outlineLevel="1" x14ac:dyDescent="0.2">
      <c r="A157" s="364" t="s">
        <v>1024</v>
      </c>
      <c r="B157" s="365">
        <v>44440</v>
      </c>
      <c r="C157" s="948">
        <v>164011</v>
      </c>
      <c r="D157" s="949">
        <v>142595</v>
      </c>
      <c r="E157" s="950">
        <v>21416</v>
      </c>
      <c r="F157" s="364"/>
      <c r="G157" s="948">
        <v>85.9</v>
      </c>
      <c r="H157" s="951">
        <v>52.4</v>
      </c>
      <c r="I157" s="952">
        <v>33.5</v>
      </c>
      <c r="J157" s="364"/>
      <c r="K157" s="953">
        <v>159073</v>
      </c>
      <c r="L157" s="950">
        <v>21436</v>
      </c>
      <c r="M157" s="364"/>
      <c r="N157" s="953">
        <v>54599.625500000002</v>
      </c>
      <c r="O157" s="950">
        <v>87995.374500000005</v>
      </c>
      <c r="P157" s="364"/>
      <c r="Q157" s="953">
        <v>980910</v>
      </c>
      <c r="R157" s="952">
        <v>6.8789929520670432</v>
      </c>
      <c r="S157" s="364"/>
      <c r="T157" s="953">
        <v>17984</v>
      </c>
      <c r="U157" s="949">
        <v>20681</v>
      </c>
      <c r="V157" s="949">
        <v>40499</v>
      </c>
      <c r="W157" s="949">
        <v>12643</v>
      </c>
      <c r="X157" s="949">
        <v>10536</v>
      </c>
      <c r="Y157" s="949">
        <v>18575</v>
      </c>
      <c r="Z157" s="949">
        <v>7684</v>
      </c>
      <c r="AA157" s="949" t="s">
        <v>160</v>
      </c>
      <c r="AB157" s="950">
        <v>13993</v>
      </c>
      <c r="AC157" s="364"/>
      <c r="AD157" s="365">
        <f t="shared" si="39"/>
        <v>44440</v>
      </c>
      <c r="AE157" s="954">
        <f t="shared" si="47"/>
        <v>0.12611942915249483</v>
      </c>
      <c r="AF157" s="955">
        <f t="shared" si="48"/>
        <v>0.14503313580420071</v>
      </c>
      <c r="AG157" s="955">
        <f t="shared" si="49"/>
        <v>0.28401416599460011</v>
      </c>
      <c r="AH157" s="955">
        <f t="shared" si="50"/>
        <v>8.8663697885620119E-2</v>
      </c>
      <c r="AI157" s="955">
        <f t="shared" si="51"/>
        <v>7.3887583716119073E-2</v>
      </c>
      <c r="AJ157" s="955">
        <f t="shared" si="52"/>
        <v>0.13026403450331359</v>
      </c>
      <c r="AK157" s="955">
        <f t="shared" si="53"/>
        <v>5.3886882429257689E-2</v>
      </c>
      <c r="AL157" s="955" t="s">
        <v>160</v>
      </c>
      <c r="AM157" s="956">
        <f t="shared" si="54"/>
        <v>9.8131070514393917E-2</v>
      </c>
      <c r="AN157" s="364"/>
      <c r="AO157" s="953">
        <v>9539.6054999999997</v>
      </c>
      <c r="AP157" s="949">
        <v>22145.003499999999</v>
      </c>
      <c r="AQ157" s="949">
        <v>16555.279500000001</v>
      </c>
      <c r="AR157" s="949">
        <v>69130.055999999997</v>
      </c>
      <c r="AS157" s="950">
        <v>25225.055499999999</v>
      </c>
      <c r="AT157" s="364"/>
      <c r="AU157" s="957">
        <f t="shared" si="56"/>
        <v>6.6900000000000001E-2</v>
      </c>
      <c r="AV157" s="958">
        <f t="shared" si="56"/>
        <v>0.15529999999999999</v>
      </c>
      <c r="AW157" s="958">
        <f t="shared" si="56"/>
        <v>0.11610000000000001</v>
      </c>
      <c r="AX157" s="958">
        <f t="shared" si="56"/>
        <v>0.48479999999999995</v>
      </c>
      <c r="AY157" s="959">
        <f t="shared" si="56"/>
        <v>0.1769</v>
      </c>
      <c r="AZ157" s="364"/>
      <c r="BA157" s="957">
        <f t="shared" si="45"/>
        <v>0.13463001263570815</v>
      </c>
      <c r="BB157" s="959">
        <f t="shared" si="46"/>
        <v>0.15032785160770012</v>
      </c>
      <c r="BE157" t="s">
        <v>1024</v>
      </c>
      <c r="BF157" t="s">
        <v>1053</v>
      </c>
    </row>
    <row r="158" spans="1:58" ht="12.75" customHeight="1" outlineLevel="1" x14ac:dyDescent="0.2">
      <c r="A158" s="364" t="s">
        <v>1050</v>
      </c>
      <c r="B158" s="365">
        <v>44470</v>
      </c>
      <c r="C158" s="948">
        <v>177584</v>
      </c>
      <c r="D158" s="949">
        <v>150397</v>
      </c>
      <c r="E158" s="950">
        <v>27187</v>
      </c>
      <c r="F158" s="364"/>
      <c r="G158" s="948">
        <v>93.5</v>
      </c>
      <c r="H158" s="951">
        <v>59.7</v>
      </c>
      <c r="I158" s="952">
        <v>33.799999999999997</v>
      </c>
      <c r="J158" s="364"/>
      <c r="K158" s="953">
        <v>163928</v>
      </c>
      <c r="L158" s="950">
        <v>21670</v>
      </c>
      <c r="M158" s="364"/>
      <c r="N158" s="953">
        <v>64896.305500000002</v>
      </c>
      <c r="O158" s="950">
        <v>85500.694499999998</v>
      </c>
      <c r="P158" s="364"/>
      <c r="Q158" s="953">
        <v>902288</v>
      </c>
      <c r="R158" s="952">
        <v>5.9993749875329963</v>
      </c>
      <c r="S158" s="364"/>
      <c r="T158" s="953">
        <v>19095</v>
      </c>
      <c r="U158" s="949">
        <v>25999</v>
      </c>
      <c r="V158" s="949">
        <v>42665</v>
      </c>
      <c r="W158" s="949">
        <v>12727</v>
      </c>
      <c r="X158" s="949">
        <v>12048</v>
      </c>
      <c r="Y158" s="949">
        <v>18063</v>
      </c>
      <c r="Z158" s="949">
        <v>6588</v>
      </c>
      <c r="AA158" s="949" t="s">
        <v>160</v>
      </c>
      <c r="AB158" s="950">
        <v>13212</v>
      </c>
      <c r="AC158" s="364"/>
      <c r="AD158" s="365">
        <f t="shared" si="39"/>
        <v>44470</v>
      </c>
      <c r="AE158" s="954">
        <f t="shared" si="47"/>
        <v>0.12696396869618409</v>
      </c>
      <c r="AF158" s="955">
        <f t="shared" si="48"/>
        <v>0.17286913967698825</v>
      </c>
      <c r="AG158" s="955">
        <f t="shared" si="49"/>
        <v>0.28368252026303714</v>
      </c>
      <c r="AH158" s="955">
        <f t="shared" si="50"/>
        <v>8.462269859106232E-2</v>
      </c>
      <c r="AI158" s="955">
        <f t="shared" si="51"/>
        <v>8.0107980877278134E-2</v>
      </c>
      <c r="AJ158" s="955">
        <f t="shared" si="52"/>
        <v>0.12010212969673598</v>
      </c>
      <c r="AK158" s="955">
        <f t="shared" si="53"/>
        <v>4.3804065240663048E-2</v>
      </c>
      <c r="AL158" s="955" t="s">
        <v>160</v>
      </c>
      <c r="AM158" s="956">
        <f t="shared" si="54"/>
        <v>8.7847496958051025E-2</v>
      </c>
      <c r="AN158" s="364"/>
      <c r="AO158" s="953">
        <v>8452.3114000000005</v>
      </c>
      <c r="AP158" s="949">
        <v>20559.269899999999</v>
      </c>
      <c r="AQ158" s="949">
        <v>15701.446800000002</v>
      </c>
      <c r="AR158" s="949">
        <v>78507.233999999997</v>
      </c>
      <c r="AS158" s="950">
        <v>27176.7379</v>
      </c>
      <c r="AT158" s="364"/>
      <c r="AU158" s="957">
        <f t="shared" si="56"/>
        <v>5.62E-2</v>
      </c>
      <c r="AV158" s="958">
        <f t="shared" si="56"/>
        <v>0.13669999999999999</v>
      </c>
      <c r="AW158" s="958">
        <f t="shared" si="56"/>
        <v>0.10440000000000001</v>
      </c>
      <c r="AX158" s="958">
        <f t="shared" si="56"/>
        <v>0.52200000000000002</v>
      </c>
      <c r="AY158" s="959">
        <f t="shared" si="56"/>
        <v>0.1807</v>
      </c>
      <c r="AZ158" s="364"/>
      <c r="BA158" s="957">
        <f t="shared" si="45"/>
        <v>0.16584720121028745</v>
      </c>
      <c r="BB158" s="959">
        <f t="shared" si="46"/>
        <v>0.14408532085081485</v>
      </c>
      <c r="BE158" t="s">
        <v>1050</v>
      </c>
      <c r="BF158" t="s">
        <v>1054</v>
      </c>
    </row>
    <row r="159" spans="1:58" ht="12.75" customHeight="1" outlineLevel="1" x14ac:dyDescent="0.2">
      <c r="A159" s="364" t="s">
        <v>1050</v>
      </c>
      <c r="B159" s="365">
        <v>44501</v>
      </c>
      <c r="C159" s="948">
        <v>187182</v>
      </c>
      <c r="D159" s="949">
        <v>161449</v>
      </c>
      <c r="E159" s="950">
        <v>25733</v>
      </c>
      <c r="F159" s="364"/>
      <c r="G159" s="948">
        <v>103.8</v>
      </c>
      <c r="H159" s="951">
        <v>71.599999999999994</v>
      </c>
      <c r="I159" s="952">
        <v>32.200000000000003</v>
      </c>
      <c r="J159" s="364"/>
      <c r="K159" s="953">
        <v>189757</v>
      </c>
      <c r="L159" s="950">
        <v>24355</v>
      </c>
      <c r="M159" s="364"/>
      <c r="N159" s="953">
        <v>75364.393200000006</v>
      </c>
      <c r="O159" s="950">
        <v>86084.606799999994</v>
      </c>
      <c r="P159" s="364"/>
      <c r="Q159" s="953">
        <v>863464</v>
      </c>
      <c r="R159" s="952">
        <v>5.3482152258607982</v>
      </c>
      <c r="S159" s="364"/>
      <c r="T159" s="953">
        <v>28435</v>
      </c>
      <c r="U159" s="949">
        <v>21690</v>
      </c>
      <c r="V159" s="949">
        <v>41356</v>
      </c>
      <c r="W159" s="949">
        <v>14322</v>
      </c>
      <c r="X159" s="949">
        <v>16593</v>
      </c>
      <c r="Y159" s="949">
        <v>17748</v>
      </c>
      <c r="Z159" s="949">
        <v>5807</v>
      </c>
      <c r="AA159" s="949" t="s">
        <v>160</v>
      </c>
      <c r="AB159" s="950">
        <v>15498</v>
      </c>
      <c r="AC159" s="364"/>
      <c r="AD159" s="365">
        <f t="shared" si="39"/>
        <v>44501</v>
      </c>
      <c r="AE159" s="954">
        <f t="shared" si="47"/>
        <v>0.17612372947494256</v>
      </c>
      <c r="AF159" s="955">
        <f t="shared" si="48"/>
        <v>0.13434583057188337</v>
      </c>
      <c r="AG159" s="955">
        <f t="shared" si="49"/>
        <v>0.25615519451963159</v>
      </c>
      <c r="AH159" s="955">
        <f t="shared" si="50"/>
        <v>8.8709127959913037E-2</v>
      </c>
      <c r="AI159" s="955">
        <f t="shared" si="51"/>
        <v>0.10277548947345601</v>
      </c>
      <c r="AJ159" s="955">
        <f t="shared" si="52"/>
        <v>0.10992945140570706</v>
      </c>
      <c r="AK159" s="955">
        <f t="shared" si="53"/>
        <v>3.5968014667170436E-2</v>
      </c>
      <c r="AL159" s="955" t="s">
        <v>160</v>
      </c>
      <c r="AM159" s="956">
        <f t="shared" si="54"/>
        <v>9.5993161927295928E-2</v>
      </c>
      <c r="AN159" s="364"/>
      <c r="AO159" s="953">
        <v>9541.6358999999993</v>
      </c>
      <c r="AP159" s="949">
        <v>22941.902900000001</v>
      </c>
      <c r="AQ159" s="949">
        <v>16112.610199999999</v>
      </c>
      <c r="AR159" s="949">
        <v>84986.753599999996</v>
      </c>
      <c r="AS159" s="950">
        <v>27849.952499999999</v>
      </c>
      <c r="AT159" s="364"/>
      <c r="AU159" s="957">
        <f t="shared" si="56"/>
        <v>5.9105910591059109E-2</v>
      </c>
      <c r="AV159" s="958">
        <f t="shared" si="56"/>
        <v>0.14211421142114214</v>
      </c>
      <c r="AW159" s="958">
        <f t="shared" si="56"/>
        <v>9.9809980998099818E-2</v>
      </c>
      <c r="AX159" s="958">
        <f t="shared" si="56"/>
        <v>0.52645264526452651</v>
      </c>
      <c r="AY159" s="959">
        <f t="shared" si="56"/>
        <v>0.17251725172517252</v>
      </c>
      <c r="AZ159" s="364"/>
      <c r="BA159" s="957">
        <f t="shared" si="45"/>
        <v>0.13561028051666077</v>
      </c>
      <c r="BB159" s="959">
        <f t="shared" si="46"/>
        <v>0.15085259122075703</v>
      </c>
      <c r="BE159" t="s">
        <v>1050</v>
      </c>
      <c r="BF159" t="s">
        <v>1054</v>
      </c>
    </row>
    <row r="160" spans="1:58" ht="12.75" customHeight="1" outlineLevel="1" x14ac:dyDescent="0.2">
      <c r="A160" s="364" t="s">
        <v>1050</v>
      </c>
      <c r="B160" s="365">
        <v>44531</v>
      </c>
      <c r="C160" s="948">
        <v>233048</v>
      </c>
      <c r="D160" s="949">
        <v>193990</v>
      </c>
      <c r="E160" s="950">
        <v>39058</v>
      </c>
      <c r="F160" s="364"/>
      <c r="G160" s="948">
        <v>114.3</v>
      </c>
      <c r="H160" s="951">
        <v>89.8</v>
      </c>
      <c r="I160" s="952">
        <v>24.5</v>
      </c>
      <c r="J160" s="364"/>
      <c r="K160" s="953">
        <v>197101</v>
      </c>
      <c r="L160" s="950">
        <v>28876</v>
      </c>
      <c r="M160" s="364"/>
      <c r="N160" s="953">
        <v>92028.856</v>
      </c>
      <c r="O160" s="950">
        <v>101961.144</v>
      </c>
      <c r="P160" s="364"/>
      <c r="Q160" s="953">
        <v>901849</v>
      </c>
      <c r="R160" s="952">
        <v>4.6489458219495852</v>
      </c>
      <c r="S160" s="364"/>
      <c r="T160" s="953">
        <v>33692</v>
      </c>
      <c r="U160" s="949">
        <v>27657</v>
      </c>
      <c r="V160" s="949">
        <v>48636</v>
      </c>
      <c r="W160" s="949">
        <v>18929</v>
      </c>
      <c r="X160" s="949">
        <v>19589</v>
      </c>
      <c r="Y160" s="949">
        <v>20913</v>
      </c>
      <c r="Z160" s="949">
        <v>7128</v>
      </c>
      <c r="AA160" s="949" t="s">
        <v>160</v>
      </c>
      <c r="AB160" s="950">
        <v>17446</v>
      </c>
      <c r="AC160" s="364"/>
      <c r="AD160" s="365">
        <f t="shared" si="39"/>
        <v>44531</v>
      </c>
      <c r="AE160" s="954">
        <f t="shared" si="47"/>
        <v>0.17367905562142377</v>
      </c>
      <c r="AF160" s="955">
        <f t="shared" si="48"/>
        <v>0.14256920459817515</v>
      </c>
      <c r="AG160" s="955">
        <f t="shared" si="49"/>
        <v>0.25071395432754268</v>
      </c>
      <c r="AH160" s="955">
        <f t="shared" si="50"/>
        <v>9.7577194700757777E-2</v>
      </c>
      <c r="AI160" s="955">
        <f t="shared" si="51"/>
        <v>0.1009794319294809</v>
      </c>
      <c r="AJ160" s="955">
        <f t="shared" si="52"/>
        <v>0.10780452600649518</v>
      </c>
      <c r="AK160" s="955">
        <f t="shared" si="53"/>
        <v>3.6744162070209807E-2</v>
      </c>
      <c r="AL160" s="955" t="s">
        <v>160</v>
      </c>
      <c r="AM160" s="956">
        <f t="shared" si="54"/>
        <v>8.9932470745914733E-2</v>
      </c>
      <c r="AN160" s="364"/>
      <c r="AO160" s="953">
        <v>12298.966</v>
      </c>
      <c r="AP160" s="949">
        <v>28380.737000000001</v>
      </c>
      <c r="AQ160" s="949">
        <v>20330.152000000002</v>
      </c>
      <c r="AR160" s="949">
        <v>96781.611000000004</v>
      </c>
      <c r="AS160" s="950">
        <v>36198.534</v>
      </c>
      <c r="AT160" s="364"/>
      <c r="AU160" s="957">
        <f t="shared" si="56"/>
        <v>6.3399999999999998E-2</v>
      </c>
      <c r="AV160" s="958">
        <f t="shared" si="56"/>
        <v>0.14630000000000001</v>
      </c>
      <c r="AW160" s="958">
        <f t="shared" si="56"/>
        <v>0.1048</v>
      </c>
      <c r="AX160" s="958">
        <f t="shared" si="56"/>
        <v>0.49890000000000001</v>
      </c>
      <c r="AY160" s="959">
        <f t="shared" si="56"/>
        <v>0.18659999999999999</v>
      </c>
      <c r="AZ160" s="364"/>
      <c r="BA160" s="957">
        <f t="shared" si="45"/>
        <v>0.19816236345832847</v>
      </c>
      <c r="BB160" s="959">
        <f t="shared" si="46"/>
        <v>0.14885303366152894</v>
      </c>
      <c r="BE160" t="s">
        <v>1050</v>
      </c>
      <c r="BF160" t="s">
        <v>1054</v>
      </c>
    </row>
    <row r="161" spans="1:58" ht="12.75" customHeight="1" outlineLevel="1" x14ac:dyDescent="0.2">
      <c r="A161" s="364" t="s">
        <v>1114</v>
      </c>
      <c r="B161" s="365">
        <v>44562</v>
      </c>
      <c r="C161" s="1004">
        <v>142956</v>
      </c>
      <c r="D161" s="1005">
        <v>116774</v>
      </c>
      <c r="E161" s="1006">
        <v>26182</v>
      </c>
      <c r="F161" s="364"/>
      <c r="G161" s="1004">
        <v>114.4</v>
      </c>
      <c r="H161" s="1007">
        <v>82.5</v>
      </c>
      <c r="I161" s="1008">
        <v>31.9</v>
      </c>
      <c r="J161" s="364"/>
      <c r="K161" s="1009">
        <v>134629</v>
      </c>
      <c r="L161" s="1006">
        <v>17665</v>
      </c>
      <c r="M161" s="364"/>
      <c r="N161" s="1009">
        <v>50002.626800000005</v>
      </c>
      <c r="O161" s="1006">
        <v>66771.373200000002</v>
      </c>
      <c r="P161" s="364"/>
      <c r="Q161" s="1009">
        <v>614041</v>
      </c>
      <c r="R161" s="1008">
        <v>5.2583708702279619</v>
      </c>
      <c r="S161" s="364"/>
      <c r="T161" s="1009">
        <v>13104</v>
      </c>
      <c r="U161" s="1005">
        <v>13083</v>
      </c>
      <c r="V161" s="1005">
        <v>34660</v>
      </c>
      <c r="W161" s="1005">
        <v>10023</v>
      </c>
      <c r="X161" s="1005">
        <v>11993</v>
      </c>
      <c r="Y161" s="1005">
        <v>15788</v>
      </c>
      <c r="Z161" s="1005">
        <v>4728</v>
      </c>
      <c r="AA161" s="1005" t="s">
        <v>160</v>
      </c>
      <c r="AB161" s="1006">
        <v>13395</v>
      </c>
      <c r="AC161" s="364"/>
      <c r="AD161" s="365">
        <f t="shared" si="39"/>
        <v>44562</v>
      </c>
      <c r="AE161" s="1010">
        <f t="shared" si="47"/>
        <v>0.11221676058026615</v>
      </c>
      <c r="AF161" s="1011">
        <f t="shared" si="48"/>
        <v>0.11203692602805419</v>
      </c>
      <c r="AG161" s="1011">
        <f t="shared" si="49"/>
        <v>0.29681264665079554</v>
      </c>
      <c r="AH161" s="1011">
        <f t="shared" si="50"/>
        <v>8.5832462705739285E-2</v>
      </c>
      <c r="AI161" s="1011">
        <f t="shared" si="51"/>
        <v>0.10270265641324268</v>
      </c>
      <c r="AJ161" s="1011">
        <f t="shared" si="52"/>
        <v>0.13520132906297636</v>
      </c>
      <c r="AK161" s="1011">
        <f t="shared" si="53"/>
        <v>4.0488464898008121E-2</v>
      </c>
      <c r="AL161" s="1011" t="s">
        <v>160</v>
      </c>
      <c r="AM161" s="1012">
        <f t="shared" si="54"/>
        <v>0.11470875366091766</v>
      </c>
      <c r="AN161" s="364"/>
      <c r="AO161" s="1009">
        <v>7134.8914000000004</v>
      </c>
      <c r="AP161" s="1005">
        <v>18555.388600000002</v>
      </c>
      <c r="AQ161" s="1005">
        <v>13020.300999999999</v>
      </c>
      <c r="AR161" s="1005">
        <v>58316.935600000004</v>
      </c>
      <c r="AS161" s="1006">
        <v>19734.806</v>
      </c>
      <c r="AT161" s="364"/>
      <c r="AU161" s="1013">
        <f t="shared" ref="AU161:AY162" si="57">+AO161/SUM($AO161:$AS161)</f>
        <v>6.110611061106111E-2</v>
      </c>
      <c r="AV161" s="1014">
        <f t="shared" si="57"/>
        <v>0.15891589158915895</v>
      </c>
      <c r="AW161" s="1014">
        <f t="shared" si="57"/>
        <v>0.11151115111511151</v>
      </c>
      <c r="AX161" s="1014">
        <f t="shared" si="57"/>
        <v>0.49944994499449946</v>
      </c>
      <c r="AY161" s="1015">
        <f t="shared" si="57"/>
        <v>0.16901690169016903</v>
      </c>
      <c r="AZ161" s="364"/>
      <c r="BA161" s="1013">
        <f t="shared" si="45"/>
        <v>0.19447518736676347</v>
      </c>
      <c r="BB161" s="1015">
        <f t="shared" si="46"/>
        <v>0.15127511261068388</v>
      </c>
      <c r="BE161" t="s">
        <v>1114</v>
      </c>
      <c r="BF161" t="s">
        <v>1113</v>
      </c>
    </row>
    <row r="162" spans="1:58" ht="12.75" customHeight="1" outlineLevel="1" x14ac:dyDescent="0.2">
      <c r="A162" s="364" t="s">
        <v>1114</v>
      </c>
      <c r="B162" s="365">
        <v>44593</v>
      </c>
      <c r="C162" s="1004">
        <v>163086</v>
      </c>
      <c r="D162" s="1005">
        <v>123319</v>
      </c>
      <c r="E162" s="1006">
        <v>39767</v>
      </c>
      <c r="F162" s="364"/>
      <c r="G162" s="1004">
        <v>120.10000000000001</v>
      </c>
      <c r="H162" s="1007">
        <v>84.9</v>
      </c>
      <c r="I162" s="1008">
        <v>35.200000000000003</v>
      </c>
      <c r="J162" s="364"/>
      <c r="K162" s="1009">
        <v>152590</v>
      </c>
      <c r="L162" s="1006">
        <v>14840</v>
      </c>
      <c r="M162" s="364"/>
      <c r="N162" s="1009">
        <v>48365.711799999997</v>
      </c>
      <c r="O162" s="1006">
        <v>74953.28820000001</v>
      </c>
      <c r="P162" s="364"/>
      <c r="Q162" s="1009">
        <v>607057</v>
      </c>
      <c r="R162" s="1008">
        <v>4.9226558762234527</v>
      </c>
      <c r="S162" s="364"/>
      <c r="T162" s="1009">
        <v>17435</v>
      </c>
      <c r="U162" s="1005">
        <v>11497</v>
      </c>
      <c r="V162" s="1005">
        <v>34777</v>
      </c>
      <c r="W162" s="1005">
        <v>13330</v>
      </c>
      <c r="X162" s="1005">
        <v>11931</v>
      </c>
      <c r="Y162" s="1005">
        <v>16620</v>
      </c>
      <c r="Z162" s="1005">
        <v>4017</v>
      </c>
      <c r="AA162" s="1005" t="s">
        <v>160</v>
      </c>
      <c r="AB162" s="1006">
        <v>13712</v>
      </c>
      <c r="AC162" s="364"/>
      <c r="AD162" s="365">
        <f t="shared" si="39"/>
        <v>44593</v>
      </c>
      <c r="AE162" s="1010">
        <f t="shared" si="47"/>
        <v>0.14138129566409069</v>
      </c>
      <c r="AF162" s="1011">
        <f t="shared" si="48"/>
        <v>9.3229753728135967E-2</v>
      </c>
      <c r="AG162" s="1011">
        <f t="shared" si="49"/>
        <v>0.28200844963063276</v>
      </c>
      <c r="AH162" s="1011">
        <f t="shared" si="50"/>
        <v>0.10809364331530422</v>
      </c>
      <c r="AI162" s="1011">
        <f t="shared" si="51"/>
        <v>9.67490816500296E-2</v>
      </c>
      <c r="AJ162" s="1011">
        <f t="shared" si="52"/>
        <v>0.13477241949740104</v>
      </c>
      <c r="AK162" s="1011">
        <f t="shared" si="53"/>
        <v>3.2574055903794225E-2</v>
      </c>
      <c r="AL162" s="1011" t="s">
        <v>160</v>
      </c>
      <c r="AM162" s="1012">
        <f t="shared" si="54"/>
        <v>0.1111913006106115</v>
      </c>
      <c r="AN162" s="364"/>
      <c r="AO162" s="1009">
        <v>6992.1872999999996</v>
      </c>
      <c r="AP162" s="1005">
        <v>18448.522400000002</v>
      </c>
      <c r="AQ162" s="1005">
        <v>14884.603300000001</v>
      </c>
      <c r="AR162" s="1005">
        <v>63176.323700000001</v>
      </c>
      <c r="AS162" s="1006">
        <v>19817.363300000001</v>
      </c>
      <c r="AT162" s="364"/>
      <c r="AU162" s="1013">
        <f t="shared" si="57"/>
        <v>5.6699999999999993E-2</v>
      </c>
      <c r="AV162" s="1014">
        <f t="shared" si="57"/>
        <v>0.14960000000000001</v>
      </c>
      <c r="AW162" s="1014">
        <f t="shared" si="57"/>
        <v>0.1207</v>
      </c>
      <c r="AX162" s="1014">
        <f t="shared" si="57"/>
        <v>0.51229999999999998</v>
      </c>
      <c r="AY162" s="1015">
        <f t="shared" si="57"/>
        <v>0.16070000000000001</v>
      </c>
      <c r="AZ162" s="364"/>
      <c r="BA162" s="1013">
        <f t="shared" si="45"/>
        <v>0.26061340848024117</v>
      </c>
      <c r="BB162" s="1015">
        <f t="shared" si="46"/>
        <v>0.12033830958733042</v>
      </c>
      <c r="BE162" t="s">
        <v>1114</v>
      </c>
      <c r="BF162" t="s">
        <v>1113</v>
      </c>
    </row>
    <row r="163" spans="1:58" ht="12.75" customHeight="1" outlineLevel="1" x14ac:dyDescent="0.2">
      <c r="A163" s="364" t="s">
        <v>1114</v>
      </c>
      <c r="B163" s="365">
        <v>44621</v>
      </c>
      <c r="C163" s="1004">
        <v>171852</v>
      </c>
      <c r="D163" s="1005">
        <v>135401</v>
      </c>
      <c r="E163" s="1006">
        <v>36451</v>
      </c>
      <c r="F163" s="364"/>
      <c r="G163" s="1004">
        <v>125.6</v>
      </c>
      <c r="H163" s="1007">
        <v>86.3</v>
      </c>
      <c r="I163" s="1008">
        <v>39.299999999999997</v>
      </c>
      <c r="J163" s="364"/>
      <c r="K163" s="1009">
        <v>168834</v>
      </c>
      <c r="L163" s="1006">
        <v>17416</v>
      </c>
      <c r="M163" s="364"/>
      <c r="N163" s="1009">
        <v>49786.947700000004</v>
      </c>
      <c r="O163" s="1006">
        <v>85614.052299999996</v>
      </c>
      <c r="P163" s="364"/>
      <c r="Q163" s="1009">
        <v>782410</v>
      </c>
      <c r="R163" s="1008">
        <v>5.7784654470794159</v>
      </c>
      <c r="S163" s="364"/>
      <c r="T163" s="1009">
        <v>19206</v>
      </c>
      <c r="U163" s="1005">
        <v>12760</v>
      </c>
      <c r="V163" s="1005">
        <v>39366</v>
      </c>
      <c r="W163" s="1005">
        <v>17029</v>
      </c>
      <c r="X163" s="1005">
        <v>12414</v>
      </c>
      <c r="Y163" s="1005">
        <v>17459</v>
      </c>
      <c r="Z163" s="1005">
        <v>4693</v>
      </c>
      <c r="AA163" s="1005" t="s">
        <v>160</v>
      </c>
      <c r="AB163" s="1006">
        <v>12474</v>
      </c>
      <c r="AC163" s="364"/>
      <c r="AD163" s="365">
        <f t="shared" si="39"/>
        <v>44621</v>
      </c>
      <c r="AE163" s="1010">
        <f t="shared" si="47"/>
        <v>0.14184533349089001</v>
      </c>
      <c r="AF163" s="1011">
        <f t="shared" si="48"/>
        <v>9.4238594988220181E-2</v>
      </c>
      <c r="AG163" s="1011">
        <f t="shared" si="49"/>
        <v>0.29073640519641658</v>
      </c>
      <c r="AH163" s="1011">
        <f t="shared" si="50"/>
        <v>0.12576716567824461</v>
      </c>
      <c r="AI163" s="1011">
        <f t="shared" si="51"/>
        <v>9.1683222428194766E-2</v>
      </c>
      <c r="AJ163" s="1011">
        <f t="shared" si="52"/>
        <v>0.12894291770370972</v>
      </c>
      <c r="AK163" s="1011">
        <f t="shared" si="53"/>
        <v>3.4660009896529564E-2</v>
      </c>
      <c r="AL163" s="1011" t="s">
        <v>160</v>
      </c>
      <c r="AM163" s="1012">
        <f t="shared" si="54"/>
        <v>9.2126350617794547E-2</v>
      </c>
      <c r="AN163" s="364"/>
      <c r="AO163" s="1009">
        <v>7690.7768000000005</v>
      </c>
      <c r="AP163" s="1005">
        <v>19592.524699999998</v>
      </c>
      <c r="AQ163" s="1005">
        <v>15070.131299999999</v>
      </c>
      <c r="AR163" s="1005">
        <v>71342.786900000006</v>
      </c>
      <c r="AS163" s="1006">
        <v>21704.780299999999</v>
      </c>
      <c r="AT163" s="364"/>
      <c r="AU163" s="1013">
        <f t="shared" ref="AU163:AY166" si="58">+AO163/SUM($AO163:$AS163)</f>
        <v>5.6800000000000003E-2</v>
      </c>
      <c r="AV163" s="1014">
        <f t="shared" si="58"/>
        <v>0.1447</v>
      </c>
      <c r="AW163" s="1014">
        <f t="shared" si="58"/>
        <v>0.1113</v>
      </c>
      <c r="AX163" s="1014">
        <f t="shared" si="58"/>
        <v>0.52690000000000003</v>
      </c>
      <c r="AY163" s="1015">
        <f t="shared" si="58"/>
        <v>0.1603</v>
      </c>
      <c r="AZ163" s="364"/>
      <c r="BA163" s="1013">
        <f t="shared" si="45"/>
        <v>0.21589845647203762</v>
      </c>
      <c r="BB163" s="1015">
        <f t="shared" si="46"/>
        <v>0.1286253425011632</v>
      </c>
      <c r="BE163" t="s">
        <v>1114</v>
      </c>
      <c r="BF163" t="s">
        <v>1113</v>
      </c>
    </row>
    <row r="164" spans="1:58" ht="12.75" customHeight="1" outlineLevel="1" x14ac:dyDescent="0.2">
      <c r="A164" s="364" t="s">
        <v>1119</v>
      </c>
      <c r="B164" s="365">
        <v>44652</v>
      </c>
      <c r="C164" s="1004">
        <v>179261</v>
      </c>
      <c r="D164" s="1005">
        <v>136731</v>
      </c>
      <c r="E164" s="1006">
        <v>42530</v>
      </c>
      <c r="F164" s="364"/>
      <c r="G164" s="1004">
        <v>128.9</v>
      </c>
      <c r="H164" s="1007">
        <v>82.5</v>
      </c>
      <c r="I164" s="1008">
        <v>46.4</v>
      </c>
      <c r="J164" s="364"/>
      <c r="K164" s="1009">
        <v>174340</v>
      </c>
      <c r="L164" s="1006">
        <v>18516</v>
      </c>
      <c r="M164" s="364"/>
      <c r="N164" s="1009">
        <v>57180.904200000004</v>
      </c>
      <c r="O164" s="1006">
        <v>79550.095799999996</v>
      </c>
      <c r="P164" s="364"/>
      <c r="Q164" s="1009">
        <v>675328</v>
      </c>
      <c r="R164" s="1008">
        <v>4.9390993995509431</v>
      </c>
      <c r="S164" s="364"/>
      <c r="T164" s="1009">
        <v>21232</v>
      </c>
      <c r="U164" s="1005">
        <v>9501</v>
      </c>
      <c r="V164" s="1005">
        <v>45214</v>
      </c>
      <c r="W164" s="1005">
        <v>16373</v>
      </c>
      <c r="X164" s="1005">
        <v>11571</v>
      </c>
      <c r="Y164" s="1005">
        <v>17410</v>
      </c>
      <c r="Z164" s="1005">
        <v>4176</v>
      </c>
      <c r="AA164" s="1005" t="s">
        <v>160</v>
      </c>
      <c r="AB164" s="1006">
        <v>11254</v>
      </c>
      <c r="AC164" s="364"/>
      <c r="AD164" s="365">
        <f t="shared" si="39"/>
        <v>44652</v>
      </c>
      <c r="AE164" s="1010">
        <f t="shared" si="47"/>
        <v>0.15528300092883107</v>
      </c>
      <c r="AF164" s="1011">
        <f t="shared" si="48"/>
        <v>6.9486802553919744E-2</v>
      </c>
      <c r="AG164" s="1011">
        <f t="shared" si="49"/>
        <v>0.33067848549341405</v>
      </c>
      <c r="AH164" s="1011">
        <f t="shared" si="50"/>
        <v>0.11974607075206062</v>
      </c>
      <c r="AI164" s="1011">
        <f t="shared" si="51"/>
        <v>8.4626017508831211E-2</v>
      </c>
      <c r="AJ164" s="1011">
        <f t="shared" si="52"/>
        <v>0.12733030549034235</v>
      </c>
      <c r="AK164" s="1011">
        <f t="shared" si="53"/>
        <v>3.0541720604690962E-2</v>
      </c>
      <c r="AL164" s="1011" t="s">
        <v>160</v>
      </c>
      <c r="AM164" s="1012">
        <f t="shared" si="54"/>
        <v>8.2307596667909988E-2</v>
      </c>
      <c r="AN164" s="364"/>
      <c r="AO164" s="1009">
        <v>7055.3195999999998</v>
      </c>
      <c r="AP164" s="1005">
        <v>18663.781500000001</v>
      </c>
      <c r="AQ164" s="1005">
        <v>15067.756200000002</v>
      </c>
      <c r="AR164" s="1005">
        <v>75078.992100000003</v>
      </c>
      <c r="AS164" s="1006">
        <v>20865.150600000001</v>
      </c>
      <c r="AT164" s="364"/>
      <c r="AU164" s="1013">
        <f t="shared" si="58"/>
        <v>5.16E-2</v>
      </c>
      <c r="AV164" s="1014">
        <f t="shared" si="58"/>
        <v>0.13650000000000001</v>
      </c>
      <c r="AW164" s="1014">
        <f t="shared" si="58"/>
        <v>0.11020000000000001</v>
      </c>
      <c r="AX164" s="1014">
        <f t="shared" si="58"/>
        <v>0.54910000000000003</v>
      </c>
      <c r="AY164" s="1015">
        <f t="shared" si="58"/>
        <v>0.15260000000000001</v>
      </c>
      <c r="AZ164" s="364"/>
      <c r="BA164" s="1013">
        <f t="shared" si="45"/>
        <v>0.2439486061718481</v>
      </c>
      <c r="BB164" s="1015">
        <f t="shared" si="46"/>
        <v>0.13541918072712114</v>
      </c>
      <c r="BE164" t="s">
        <v>1119</v>
      </c>
      <c r="BF164" t="s">
        <v>1120</v>
      </c>
    </row>
    <row r="165" spans="1:58" ht="12.75" customHeight="1" outlineLevel="1" x14ac:dyDescent="0.2">
      <c r="A165" s="364" t="s">
        <v>1119</v>
      </c>
      <c r="B165" s="365">
        <v>44682</v>
      </c>
      <c r="C165" s="1004">
        <v>218597</v>
      </c>
      <c r="D165" s="1005">
        <v>175214</v>
      </c>
      <c r="E165" s="1006">
        <v>43383</v>
      </c>
      <c r="F165" s="364"/>
      <c r="G165" s="1004">
        <v>123.9</v>
      </c>
      <c r="H165" s="1007">
        <v>85.2</v>
      </c>
      <c r="I165" s="1008">
        <v>38.700000000000003</v>
      </c>
      <c r="J165" s="364"/>
      <c r="K165" s="1009">
        <v>188956</v>
      </c>
      <c r="L165" s="1006">
        <v>22350</v>
      </c>
      <c r="M165" s="364"/>
      <c r="N165" s="1009">
        <v>84102.720000000001</v>
      </c>
      <c r="O165" s="1006">
        <v>91111.28</v>
      </c>
      <c r="P165" s="364"/>
      <c r="Q165" s="1009">
        <v>849634</v>
      </c>
      <c r="R165" s="1008">
        <v>4.8491216455306079</v>
      </c>
      <c r="S165" s="364"/>
      <c r="T165" s="1009">
        <v>25360</v>
      </c>
      <c r="U165" s="1005">
        <v>24293</v>
      </c>
      <c r="V165" s="1005">
        <v>51768</v>
      </c>
      <c r="W165" s="1005">
        <v>17365</v>
      </c>
      <c r="X165" s="1005">
        <v>13464</v>
      </c>
      <c r="Y165" s="1005">
        <v>19274</v>
      </c>
      <c r="Z165" s="1005">
        <v>4244</v>
      </c>
      <c r="AA165" s="1005" t="s">
        <v>160</v>
      </c>
      <c r="AB165" s="1006">
        <v>19446</v>
      </c>
      <c r="AC165" s="364"/>
      <c r="AD165" s="365">
        <f t="shared" ref="AD165:AD209" si="59">+B165</f>
        <v>44682</v>
      </c>
      <c r="AE165" s="1010">
        <f t="shared" si="47"/>
        <v>0.14473729268209162</v>
      </c>
      <c r="AF165" s="1011">
        <f t="shared" si="48"/>
        <v>0.13864759665323548</v>
      </c>
      <c r="AG165" s="1011">
        <f t="shared" si="49"/>
        <v>0.29545584256965768</v>
      </c>
      <c r="AH165" s="1011">
        <f t="shared" si="50"/>
        <v>9.9107377264373853E-2</v>
      </c>
      <c r="AI165" s="1011">
        <f t="shared" si="51"/>
        <v>7.6843174632164099E-2</v>
      </c>
      <c r="AJ165" s="1011">
        <f t="shared" si="52"/>
        <v>0.11000262536098714</v>
      </c>
      <c r="AK165" s="1011">
        <f t="shared" si="53"/>
        <v>2.4221808759574005E-2</v>
      </c>
      <c r="AL165" s="1011" t="s">
        <v>160</v>
      </c>
      <c r="AM165" s="1012">
        <f t="shared" si="54"/>
        <v>0.11098428207791615</v>
      </c>
      <c r="AN165" s="364"/>
      <c r="AO165" s="1009">
        <v>8357.7078000000001</v>
      </c>
      <c r="AP165" s="1005">
        <v>22059.442600000002</v>
      </c>
      <c r="AQ165" s="1005">
        <v>17276.100399999999</v>
      </c>
      <c r="AR165" s="1005">
        <v>101939.5052</v>
      </c>
      <c r="AS165" s="1006">
        <v>25563.722600000001</v>
      </c>
      <c r="AT165" s="364"/>
      <c r="AU165" s="1013">
        <f t="shared" si="58"/>
        <v>4.7704770477047707E-2</v>
      </c>
      <c r="AV165" s="1014">
        <f t="shared" si="58"/>
        <v>0.12591259125912593</v>
      </c>
      <c r="AW165" s="1014">
        <f t="shared" si="58"/>
        <v>9.8609860986098599E-2</v>
      </c>
      <c r="AX165" s="1014">
        <f t="shared" si="58"/>
        <v>0.58185818581858184</v>
      </c>
      <c r="AY165" s="1015">
        <f t="shared" si="58"/>
        <v>0.14591459145914593</v>
      </c>
      <c r="AZ165" s="364"/>
      <c r="BA165" s="1013">
        <f t="shared" si="45"/>
        <v>0.22959313279281948</v>
      </c>
      <c r="BB165" s="1015">
        <f t="shared" si="46"/>
        <v>0.12755830013583389</v>
      </c>
      <c r="BE165" t="s">
        <v>1119</v>
      </c>
      <c r="BF165" t="s">
        <v>1120</v>
      </c>
    </row>
    <row r="166" spans="1:58" ht="12.75" customHeight="1" outlineLevel="1" x14ac:dyDescent="0.2">
      <c r="A166" s="364" t="s">
        <v>1119</v>
      </c>
      <c r="B166" s="365">
        <v>44713</v>
      </c>
      <c r="C166" s="1004">
        <v>210351</v>
      </c>
      <c r="D166" s="1005">
        <v>165688</v>
      </c>
      <c r="E166" s="1006">
        <v>44663</v>
      </c>
      <c r="F166" s="364"/>
      <c r="G166" s="1004">
        <v>145.5</v>
      </c>
      <c r="H166" s="1007">
        <v>102.2</v>
      </c>
      <c r="I166" s="1008">
        <v>43.3</v>
      </c>
      <c r="J166" s="364"/>
      <c r="K166" s="1009">
        <v>187237</v>
      </c>
      <c r="L166" s="1006">
        <v>26387</v>
      </c>
      <c r="M166" s="364"/>
      <c r="N166" s="1009">
        <v>83440.476800000004</v>
      </c>
      <c r="O166" s="1006">
        <v>82247.523199999996</v>
      </c>
      <c r="P166" s="364"/>
      <c r="Q166" s="1009">
        <v>843703</v>
      </c>
      <c r="R166" s="1008">
        <v>5.0921189223118146</v>
      </c>
      <c r="S166" s="364"/>
      <c r="T166" s="1009">
        <v>19100</v>
      </c>
      <c r="U166" s="1005">
        <v>24804</v>
      </c>
      <c r="V166" s="1005">
        <v>46511</v>
      </c>
      <c r="W166" s="1005">
        <v>16458</v>
      </c>
      <c r="X166" s="1005">
        <v>16673</v>
      </c>
      <c r="Y166" s="1005">
        <v>16652</v>
      </c>
      <c r="Z166" s="1005">
        <v>4016</v>
      </c>
      <c r="AA166" s="1005" t="s">
        <v>160</v>
      </c>
      <c r="AB166" s="1006">
        <v>21474</v>
      </c>
      <c r="AC166" s="364"/>
      <c r="AD166" s="365">
        <f t="shared" si="59"/>
        <v>44713</v>
      </c>
      <c r="AE166" s="1010">
        <f t="shared" si="47"/>
        <v>0.11527690599198494</v>
      </c>
      <c r="AF166" s="1011">
        <f t="shared" si="48"/>
        <v>0.14970305634686881</v>
      </c>
      <c r="AG166" s="1011">
        <f t="shared" si="49"/>
        <v>0.28071435469074407</v>
      </c>
      <c r="AH166" s="1011">
        <f t="shared" si="50"/>
        <v>9.9331273236444403E-2</v>
      </c>
      <c r="AI166" s="1011">
        <f t="shared" si="51"/>
        <v>0.10062889285886727</v>
      </c>
      <c r="AJ166" s="1011">
        <f t="shared" si="52"/>
        <v>0.10050214861667713</v>
      </c>
      <c r="AK166" s="1011">
        <f t="shared" si="53"/>
        <v>2.4238327458838298E-2</v>
      </c>
      <c r="AL166" s="1011" t="s">
        <v>160</v>
      </c>
      <c r="AM166" s="1012">
        <f t="shared" si="54"/>
        <v>0.12960504079957511</v>
      </c>
      <c r="AN166" s="364"/>
      <c r="AO166" s="1009">
        <v>8483.2255999999998</v>
      </c>
      <c r="AP166" s="1005">
        <v>20230.504799999999</v>
      </c>
      <c r="AQ166" s="1005">
        <v>17496.6528</v>
      </c>
      <c r="AR166" s="1005">
        <v>94906.0864</v>
      </c>
      <c r="AS166" s="1006">
        <v>24571.5304</v>
      </c>
      <c r="AT166" s="364"/>
      <c r="AU166" s="1013">
        <f t="shared" si="58"/>
        <v>5.1199999999999996E-2</v>
      </c>
      <c r="AV166" s="1014">
        <f t="shared" si="58"/>
        <v>0.12209999999999999</v>
      </c>
      <c r="AW166" s="1014">
        <f t="shared" si="58"/>
        <v>0.1056</v>
      </c>
      <c r="AX166" s="1014">
        <f t="shared" si="58"/>
        <v>0.57279999999999998</v>
      </c>
      <c r="AY166" s="1015">
        <f t="shared" si="58"/>
        <v>0.14829999999999999</v>
      </c>
      <c r="AZ166" s="364"/>
      <c r="BA166" s="1013">
        <f t="shared" si="45"/>
        <v>0.2385372549229052</v>
      </c>
      <c r="BB166" s="1015">
        <f t="shared" si="46"/>
        <v>0.15925715803196369</v>
      </c>
      <c r="BE166" t="s">
        <v>1119</v>
      </c>
      <c r="BF166" t="s">
        <v>1120</v>
      </c>
    </row>
    <row r="167" spans="1:58" ht="12.75" customHeight="1" outlineLevel="1" x14ac:dyDescent="0.2">
      <c r="A167" s="364" t="s">
        <v>1121</v>
      </c>
      <c r="B167" s="365">
        <v>44743</v>
      </c>
      <c r="C167" s="1004">
        <v>208561</v>
      </c>
      <c r="D167" s="1005">
        <v>169197</v>
      </c>
      <c r="E167" s="1006">
        <v>39364</v>
      </c>
      <c r="F167" s="364"/>
      <c r="G167" s="1004">
        <v>150</v>
      </c>
      <c r="H167" s="1007">
        <v>100.5</v>
      </c>
      <c r="I167" s="1008">
        <v>49.5</v>
      </c>
      <c r="J167" s="364"/>
      <c r="K167" s="1009">
        <v>203096</v>
      </c>
      <c r="L167" s="1006">
        <v>22121</v>
      </c>
      <c r="M167" s="364"/>
      <c r="N167" s="1009">
        <v>87271.812600000005</v>
      </c>
      <c r="O167" s="1006">
        <v>81925.187399999995</v>
      </c>
      <c r="P167" s="364"/>
      <c r="Q167" s="1009">
        <v>871250</v>
      </c>
      <c r="R167" s="1008">
        <v>5.1493229785398089</v>
      </c>
      <c r="S167" s="364"/>
      <c r="T167" s="1009">
        <v>27941</v>
      </c>
      <c r="U167" s="1005">
        <v>27415</v>
      </c>
      <c r="V167" s="1005">
        <v>46065</v>
      </c>
      <c r="W167" s="1005">
        <v>16769</v>
      </c>
      <c r="X167" s="1005">
        <v>17568</v>
      </c>
      <c r="Y167" s="1005">
        <v>14239</v>
      </c>
      <c r="Z167" s="1005">
        <v>3975</v>
      </c>
      <c r="AA167" s="1005" t="s">
        <v>160</v>
      </c>
      <c r="AB167" s="1006">
        <v>15225</v>
      </c>
      <c r="AC167" s="364"/>
      <c r="AD167" s="365">
        <f t="shared" si="59"/>
        <v>44743</v>
      </c>
      <c r="AE167" s="1010">
        <f t="shared" si="47"/>
        <v>0.16513886180015011</v>
      </c>
      <c r="AF167" s="1011">
        <f t="shared" si="48"/>
        <v>0.1620300596346271</v>
      </c>
      <c r="AG167" s="1011">
        <f t="shared" si="49"/>
        <v>0.27225660029433146</v>
      </c>
      <c r="AH167" s="1011">
        <f t="shared" si="50"/>
        <v>9.9109322269307382E-2</v>
      </c>
      <c r="AI167" s="1011">
        <f t="shared" si="51"/>
        <v>0.10383162822035852</v>
      </c>
      <c r="AJ167" s="1011">
        <f t="shared" si="52"/>
        <v>8.4156338469358202E-2</v>
      </c>
      <c r="AK167" s="1011">
        <f t="shared" si="53"/>
        <v>2.3493324349722514E-2</v>
      </c>
      <c r="AL167" s="1011" t="s">
        <v>160</v>
      </c>
      <c r="AM167" s="1012">
        <f t="shared" si="54"/>
        <v>8.9983864962144722E-2</v>
      </c>
      <c r="AN167" s="364"/>
      <c r="AO167" s="1009">
        <v>8612.1273000000001</v>
      </c>
      <c r="AP167" s="1005">
        <v>21572.6175</v>
      </c>
      <c r="AQ167" s="1005">
        <v>16361.349899999999</v>
      </c>
      <c r="AR167" s="1005">
        <v>97254.435599999997</v>
      </c>
      <c r="AS167" s="1006">
        <v>25396.469700000001</v>
      </c>
      <c r="AT167" s="364"/>
      <c r="AU167" s="1013">
        <f t="shared" ref="AU167:AU190" si="60">+AO167/SUM($AO167:$AS167)</f>
        <v>5.0900000000000001E-2</v>
      </c>
      <c r="AV167" s="1014">
        <f t="shared" ref="AV167:AV190" si="61">+AP167/SUM($AO167:$AS167)</f>
        <v>0.1275</v>
      </c>
      <c r="AW167" s="1014">
        <f t="shared" ref="AW167:AW190" si="62">+AQ167/SUM($AO167:$AS167)</f>
        <v>9.6699999999999994E-2</v>
      </c>
      <c r="AX167" s="1014">
        <f t="shared" ref="AX167:AX190" si="63">+AR167/SUM($AO167:$AS167)</f>
        <v>0.57479999999999998</v>
      </c>
      <c r="AY167" s="1015">
        <f t="shared" ref="AY167:AY190" si="64">+AS167/SUM($AO167:$AS167)</f>
        <v>0.15010000000000001</v>
      </c>
      <c r="AZ167" s="364"/>
      <c r="BA167" s="1013">
        <f t="shared" si="45"/>
        <v>0.19381967148540591</v>
      </c>
      <c r="BB167" s="1015">
        <f t="shared" si="46"/>
        <v>0.13074108878999036</v>
      </c>
      <c r="BE167" t="s">
        <v>1121</v>
      </c>
      <c r="BF167" t="s">
        <v>1122</v>
      </c>
    </row>
    <row r="168" spans="1:58" ht="12.75" customHeight="1" outlineLevel="1" x14ac:dyDescent="0.2">
      <c r="A168" s="364" t="s">
        <v>1121</v>
      </c>
      <c r="B168" s="365">
        <v>44774</v>
      </c>
      <c r="C168" s="1004">
        <v>238171</v>
      </c>
      <c r="D168" s="1005">
        <v>194394</v>
      </c>
      <c r="E168" s="1006">
        <v>43777</v>
      </c>
      <c r="F168" s="364"/>
      <c r="G168" s="1004">
        <v>164.8</v>
      </c>
      <c r="H168" s="1007">
        <v>110.4</v>
      </c>
      <c r="I168" s="1008">
        <v>54.4</v>
      </c>
      <c r="J168" s="364"/>
      <c r="K168" s="1009">
        <v>217174</v>
      </c>
      <c r="L168" s="1006">
        <v>23491</v>
      </c>
      <c r="M168" s="364"/>
      <c r="N168" s="1009">
        <v>106838.9424</v>
      </c>
      <c r="O168" s="1006">
        <v>87555.0576</v>
      </c>
      <c r="P168" s="364"/>
      <c r="Q168" s="1009">
        <v>968779</v>
      </c>
      <c r="R168" s="1008">
        <v>4.9835848843071284</v>
      </c>
      <c r="S168" s="364"/>
      <c r="T168" s="1009">
        <v>30546</v>
      </c>
      <c r="U168" s="1005">
        <v>32626</v>
      </c>
      <c r="V168" s="1005">
        <v>56585</v>
      </c>
      <c r="W168" s="1005">
        <v>15400</v>
      </c>
      <c r="X168" s="1005">
        <v>18088</v>
      </c>
      <c r="Y168" s="1005">
        <v>17791</v>
      </c>
      <c r="Z168" s="1005">
        <v>4081</v>
      </c>
      <c r="AA168" s="1005" t="s">
        <v>160</v>
      </c>
      <c r="AB168" s="1006">
        <v>19277</v>
      </c>
      <c r="AC168" s="364"/>
      <c r="AD168" s="365">
        <f t="shared" si="59"/>
        <v>44774</v>
      </c>
      <c r="AE168" s="1010">
        <f t="shared" si="47"/>
        <v>0.15713447945924258</v>
      </c>
      <c r="AF168" s="1011">
        <f t="shared" si="48"/>
        <v>0.16783439818101381</v>
      </c>
      <c r="AG168" s="1011">
        <f t="shared" si="49"/>
        <v>0.29108408695741639</v>
      </c>
      <c r="AH168" s="1011">
        <f t="shared" si="50"/>
        <v>7.9220552074652506E-2</v>
      </c>
      <c r="AI168" s="1011">
        <f t="shared" si="51"/>
        <v>9.3048139345864589E-2</v>
      </c>
      <c r="AJ168" s="1011">
        <f t="shared" si="52"/>
        <v>9.1520314412996281E-2</v>
      </c>
      <c r="AK168" s="1011">
        <f t="shared" si="53"/>
        <v>2.0993446299782916E-2</v>
      </c>
      <c r="AL168" s="1011" t="s">
        <v>160</v>
      </c>
      <c r="AM168" s="1012">
        <f t="shared" si="54"/>
        <v>9.9164583269030937E-2</v>
      </c>
      <c r="AN168" s="364"/>
      <c r="AO168" s="1009">
        <v>9428.1090000000004</v>
      </c>
      <c r="AP168" s="1005">
        <v>23793.8256</v>
      </c>
      <c r="AQ168" s="1005">
        <v>18681.2634</v>
      </c>
      <c r="AR168" s="1005">
        <v>113642.73240000001</v>
      </c>
      <c r="AS168" s="1006">
        <v>28848.069600000003</v>
      </c>
      <c r="AT168" s="364"/>
      <c r="AU168" s="1013">
        <f t="shared" si="60"/>
        <v>4.8500000000000001E-2</v>
      </c>
      <c r="AV168" s="1014">
        <f t="shared" si="61"/>
        <v>0.12239999999999999</v>
      </c>
      <c r="AW168" s="1014">
        <f t="shared" si="62"/>
        <v>9.6100000000000005E-2</v>
      </c>
      <c r="AX168" s="1014">
        <f t="shared" si="63"/>
        <v>0.58460000000000001</v>
      </c>
      <c r="AY168" s="1015">
        <f t="shared" si="64"/>
        <v>0.1484</v>
      </c>
      <c r="AZ168" s="364"/>
      <c r="BA168" s="1013">
        <f t="shared" si="45"/>
        <v>0.20157569506478676</v>
      </c>
      <c r="BB168" s="1015">
        <f t="shared" si="46"/>
        <v>0.12084220706400403</v>
      </c>
      <c r="BE168" t="s">
        <v>1121</v>
      </c>
      <c r="BF168" t="s">
        <v>1122</v>
      </c>
    </row>
    <row r="169" spans="1:58" ht="12.75" customHeight="1" outlineLevel="1" x14ac:dyDescent="0.2">
      <c r="A169" s="364" t="s">
        <v>1121</v>
      </c>
      <c r="B169" s="365">
        <v>44805</v>
      </c>
      <c r="C169" s="1004">
        <v>206284</v>
      </c>
      <c r="D169" s="1005">
        <v>180836</v>
      </c>
      <c r="E169" s="1006">
        <v>25448</v>
      </c>
      <c r="F169" s="364"/>
      <c r="G169" s="1004">
        <v>176.3</v>
      </c>
      <c r="H169" s="1007">
        <v>112.1</v>
      </c>
      <c r="I169" s="1008">
        <v>64.2</v>
      </c>
      <c r="J169" s="364"/>
      <c r="K169" s="1009">
        <v>189007</v>
      </c>
      <c r="L169" s="1006">
        <v>24417</v>
      </c>
      <c r="M169" s="364"/>
      <c r="N169" s="1009">
        <v>95101.652400000006</v>
      </c>
      <c r="O169" s="1006">
        <v>85734.347599999994</v>
      </c>
      <c r="P169" s="364"/>
      <c r="Q169" s="1009">
        <v>933235</v>
      </c>
      <c r="R169" s="1008">
        <v>5.1606704417262046</v>
      </c>
      <c r="S169" s="364"/>
      <c r="T169" s="1009">
        <v>29303</v>
      </c>
      <c r="U169" s="1005">
        <v>26156</v>
      </c>
      <c r="V169" s="1005">
        <v>49990</v>
      </c>
      <c r="W169" s="1005">
        <v>14988</v>
      </c>
      <c r="X169" s="1005">
        <v>17162</v>
      </c>
      <c r="Y169" s="1005">
        <v>16336</v>
      </c>
      <c r="Z169" s="1005">
        <v>6154</v>
      </c>
      <c r="AA169" s="1005" t="s">
        <v>160</v>
      </c>
      <c r="AB169" s="1006">
        <v>20747</v>
      </c>
      <c r="AC169" s="364"/>
      <c r="AD169" s="365">
        <f t="shared" si="59"/>
        <v>44805</v>
      </c>
      <c r="AE169" s="1010">
        <f t="shared" si="47"/>
        <v>0.1620418500741003</v>
      </c>
      <c r="AF169" s="1011">
        <f t="shared" si="48"/>
        <v>0.14463934172399301</v>
      </c>
      <c r="AG169" s="1011">
        <f t="shared" si="49"/>
        <v>0.27643831980357891</v>
      </c>
      <c r="AH169" s="1011">
        <f t="shared" si="50"/>
        <v>8.2881727089738774E-2</v>
      </c>
      <c r="AI169" s="1011">
        <f t="shared" si="51"/>
        <v>9.4903669623305098E-2</v>
      </c>
      <c r="AJ169" s="1011">
        <f t="shared" si="52"/>
        <v>9.033599504523436E-2</v>
      </c>
      <c r="AK169" s="1011">
        <f t="shared" si="53"/>
        <v>3.4030834568338164E-2</v>
      </c>
      <c r="AL169" s="1011" t="s">
        <v>160</v>
      </c>
      <c r="AM169" s="1012">
        <f t="shared" si="54"/>
        <v>0.11472826207171138</v>
      </c>
      <c r="AN169" s="364"/>
      <c r="AO169" s="1009">
        <v>9258.8032000000003</v>
      </c>
      <c r="AP169" s="1005">
        <v>22694.918000000001</v>
      </c>
      <c r="AQ169" s="1005">
        <v>17143.252799999998</v>
      </c>
      <c r="AR169" s="1005">
        <v>103040.35279999999</v>
      </c>
      <c r="AS169" s="1006">
        <v>28680.589599999999</v>
      </c>
      <c r="AT169" s="364"/>
      <c r="AU169" s="1013">
        <f t="shared" si="60"/>
        <v>5.1205120512051214E-2</v>
      </c>
      <c r="AV169" s="1014">
        <f t="shared" si="61"/>
        <v>0.12551255125512553</v>
      </c>
      <c r="AW169" s="1014">
        <f t="shared" si="62"/>
        <v>9.4809480948094813E-2</v>
      </c>
      <c r="AX169" s="1014">
        <f t="shared" si="63"/>
        <v>0.56985698569856991</v>
      </c>
      <c r="AY169" s="1015">
        <f t="shared" si="64"/>
        <v>0.15861586158615862</v>
      </c>
      <c r="AZ169" s="364"/>
      <c r="BA169" s="1013">
        <f t="shared" si="45"/>
        <v>0.13464051595972637</v>
      </c>
      <c r="BB169" s="1015">
        <f t="shared" si="46"/>
        <v>0.13502289367161405</v>
      </c>
      <c r="BE169" t="s">
        <v>1121</v>
      </c>
      <c r="BF169" t="s">
        <v>1122</v>
      </c>
    </row>
    <row r="170" spans="1:58" ht="12.75" customHeight="1" outlineLevel="1" x14ac:dyDescent="0.2">
      <c r="A170" s="364" t="s">
        <v>1123</v>
      </c>
      <c r="B170" s="365">
        <v>44835</v>
      </c>
      <c r="C170" s="1004">
        <v>207879</v>
      </c>
      <c r="D170" s="1005">
        <v>168701</v>
      </c>
      <c r="E170" s="1006">
        <v>39178</v>
      </c>
      <c r="F170" s="364"/>
      <c r="G170" s="1004">
        <v>188.89999999999998</v>
      </c>
      <c r="H170" s="1007">
        <v>114.6</v>
      </c>
      <c r="I170" s="1008">
        <v>74.3</v>
      </c>
      <c r="J170" s="364"/>
      <c r="K170" s="1009">
        <v>187336</v>
      </c>
      <c r="L170" s="1006">
        <v>21464</v>
      </c>
      <c r="M170" s="364"/>
      <c r="N170" s="1009">
        <v>89833.282500000001</v>
      </c>
      <c r="O170" s="1006">
        <v>78867.717499999999</v>
      </c>
      <c r="P170" s="364"/>
      <c r="Q170" s="1009">
        <v>828862</v>
      </c>
      <c r="R170" s="1008">
        <v>4.9132014629433138</v>
      </c>
      <c r="S170" s="364"/>
      <c r="T170" s="1009">
        <v>28163</v>
      </c>
      <c r="U170" s="1005">
        <v>23728</v>
      </c>
      <c r="V170" s="1005">
        <v>49088</v>
      </c>
      <c r="W170" s="1005">
        <v>15363</v>
      </c>
      <c r="X170" s="1005">
        <v>14774</v>
      </c>
      <c r="Y170" s="1005">
        <v>16340</v>
      </c>
      <c r="Z170" s="1005">
        <v>5065</v>
      </c>
      <c r="AA170" s="1005" t="s">
        <v>160</v>
      </c>
      <c r="AB170" s="1006">
        <v>16180</v>
      </c>
      <c r="AC170" s="364"/>
      <c r="AD170" s="365">
        <f t="shared" si="59"/>
        <v>44835</v>
      </c>
      <c r="AE170" s="1010">
        <f t="shared" si="47"/>
        <v>0.16694032637625147</v>
      </c>
      <c r="AF170" s="1011">
        <f t="shared" si="48"/>
        <v>0.14065121131469285</v>
      </c>
      <c r="AG170" s="1011">
        <f t="shared" si="49"/>
        <v>0.29097634276026818</v>
      </c>
      <c r="AH170" s="1011">
        <f t="shared" si="50"/>
        <v>9.1066442996781294E-2</v>
      </c>
      <c r="AI170" s="1011">
        <f t="shared" si="51"/>
        <v>8.7575058831897853E-2</v>
      </c>
      <c r="AJ170" s="1011">
        <f t="shared" si="52"/>
        <v>9.6857754251604908E-2</v>
      </c>
      <c r="AK170" s="1011">
        <f t="shared" si="53"/>
        <v>3.0023532759141915E-2</v>
      </c>
      <c r="AL170" s="1011" t="s">
        <v>160</v>
      </c>
      <c r="AM170" s="1012">
        <f t="shared" si="54"/>
        <v>9.5909330709361529E-2</v>
      </c>
      <c r="AN170" s="364"/>
      <c r="AO170" s="1009">
        <v>8266.3490000000002</v>
      </c>
      <c r="AP170" s="1005">
        <v>21003.2745</v>
      </c>
      <c r="AQ170" s="1005">
        <v>14980.648800000001</v>
      </c>
      <c r="AR170" s="1005">
        <v>95552.246400000004</v>
      </c>
      <c r="AS170" s="1006">
        <v>28915.3514</v>
      </c>
      <c r="AT170" s="364"/>
      <c r="AU170" s="1013">
        <f t="shared" si="60"/>
        <v>4.8995100489951003E-2</v>
      </c>
      <c r="AV170" s="1014">
        <f t="shared" si="61"/>
        <v>0.12448755124487551</v>
      </c>
      <c r="AW170" s="1014">
        <f t="shared" si="62"/>
        <v>8.8791120887911218E-2</v>
      </c>
      <c r="AX170" s="1014">
        <f t="shared" si="63"/>
        <v>0.56634336566343368</v>
      </c>
      <c r="AY170" s="1015">
        <f t="shared" si="64"/>
        <v>0.1713828617138286</v>
      </c>
      <c r="AZ170" s="364"/>
      <c r="BA170" s="1013">
        <f t="shared" si="45"/>
        <v>0.20913225434513388</v>
      </c>
      <c r="BB170" s="1015">
        <f t="shared" si="46"/>
        <v>0.12723101819194907</v>
      </c>
      <c r="BE170" t="s">
        <v>1123</v>
      </c>
      <c r="BF170" t="s">
        <v>1124</v>
      </c>
    </row>
    <row r="171" spans="1:58" ht="12.75" customHeight="1" outlineLevel="1" x14ac:dyDescent="0.2">
      <c r="A171" s="364" t="s">
        <v>1123</v>
      </c>
      <c r="B171" s="365">
        <v>44866</v>
      </c>
      <c r="C171" s="1004">
        <v>232733</v>
      </c>
      <c r="D171" s="1005">
        <v>192052</v>
      </c>
      <c r="E171" s="1006">
        <v>40681</v>
      </c>
      <c r="F171" s="364"/>
      <c r="G171" s="1004">
        <v>198</v>
      </c>
      <c r="H171" s="1007">
        <v>122.5</v>
      </c>
      <c r="I171" s="1008">
        <v>75.5</v>
      </c>
      <c r="J171" s="364"/>
      <c r="K171" s="1009">
        <v>197706</v>
      </c>
      <c r="L171" s="1006">
        <v>29416</v>
      </c>
      <c r="M171" s="364"/>
      <c r="N171" s="1009">
        <v>108067.66039999999</v>
      </c>
      <c r="O171" s="1006">
        <v>83984.339600000007</v>
      </c>
      <c r="P171" s="364"/>
      <c r="Q171" s="1009">
        <v>826808</v>
      </c>
      <c r="R171" s="1008">
        <v>4.3051256951242376</v>
      </c>
      <c r="S171" s="364"/>
      <c r="T171" s="1009">
        <v>27063</v>
      </c>
      <c r="U171" s="1005">
        <v>29757</v>
      </c>
      <c r="V171" s="1005">
        <v>58644</v>
      </c>
      <c r="W171" s="1005">
        <v>17519</v>
      </c>
      <c r="X171" s="1005">
        <v>17096</v>
      </c>
      <c r="Y171" s="1005">
        <v>16163</v>
      </c>
      <c r="Z171" s="1005">
        <v>5435</v>
      </c>
      <c r="AA171" s="1005" t="s">
        <v>160</v>
      </c>
      <c r="AB171" s="1006">
        <v>20375</v>
      </c>
      <c r="AC171" s="364"/>
      <c r="AD171" s="365">
        <f t="shared" si="59"/>
        <v>44866</v>
      </c>
      <c r="AE171" s="1010">
        <f t="shared" si="47"/>
        <v>0.14091496053152272</v>
      </c>
      <c r="AF171" s="1011">
        <f t="shared" si="48"/>
        <v>0.15494241143023765</v>
      </c>
      <c r="AG171" s="1011">
        <f t="shared" si="49"/>
        <v>0.30535479974173663</v>
      </c>
      <c r="AH171" s="1011">
        <f t="shared" si="50"/>
        <v>9.1220086226646943E-2</v>
      </c>
      <c r="AI171" s="1011">
        <f t="shared" si="51"/>
        <v>8.9017557744777459E-2</v>
      </c>
      <c r="AJ171" s="1011">
        <f t="shared" si="52"/>
        <v>8.4159498469164595E-2</v>
      </c>
      <c r="AK171" s="1011">
        <f t="shared" si="53"/>
        <v>2.829962718430425E-2</v>
      </c>
      <c r="AL171" s="1011" t="s">
        <v>160</v>
      </c>
      <c r="AM171" s="1012">
        <f t="shared" si="54"/>
        <v>0.10609105867160977</v>
      </c>
      <c r="AN171" s="364"/>
      <c r="AO171" s="1009">
        <v>8488.6984000000011</v>
      </c>
      <c r="AP171" s="1005">
        <v>22527.6996</v>
      </c>
      <c r="AQ171" s="1005">
        <v>16382.035599999999</v>
      </c>
      <c r="AR171" s="1005">
        <v>115154.37920000001</v>
      </c>
      <c r="AS171" s="1006">
        <v>29499.187199999997</v>
      </c>
      <c r="AT171" s="364"/>
      <c r="AU171" s="1013">
        <f t="shared" si="60"/>
        <v>4.4200000000000003E-2</v>
      </c>
      <c r="AV171" s="1014">
        <f t="shared" si="61"/>
        <v>0.1173</v>
      </c>
      <c r="AW171" s="1014">
        <f t="shared" si="62"/>
        <v>8.5300000000000001E-2</v>
      </c>
      <c r="AX171" s="1014">
        <f t="shared" si="63"/>
        <v>0.59960000000000002</v>
      </c>
      <c r="AY171" s="1015">
        <f t="shared" si="64"/>
        <v>0.15359999999999999</v>
      </c>
      <c r="AZ171" s="364"/>
      <c r="BA171" s="1013">
        <f t="shared" si="45"/>
        <v>0.20576512599516453</v>
      </c>
      <c r="BB171" s="1015">
        <f t="shared" si="46"/>
        <v>0.15316685064461708</v>
      </c>
      <c r="BE171" t="s">
        <v>1123</v>
      </c>
      <c r="BF171" t="s">
        <v>1124</v>
      </c>
    </row>
    <row r="172" spans="1:58" ht="12.75" customHeight="1" outlineLevel="1" x14ac:dyDescent="0.2">
      <c r="A172" s="364" t="s">
        <v>1123</v>
      </c>
      <c r="B172" s="365">
        <v>44896</v>
      </c>
      <c r="C172" s="1004">
        <v>231010</v>
      </c>
      <c r="D172" s="1005">
        <v>202155</v>
      </c>
      <c r="E172" s="1006">
        <v>28855</v>
      </c>
      <c r="F172" s="364"/>
      <c r="G172" s="1004">
        <v>188</v>
      </c>
      <c r="H172" s="1007">
        <v>128.30000000000001</v>
      </c>
      <c r="I172" s="1008">
        <v>59.7</v>
      </c>
      <c r="J172" s="364"/>
      <c r="K172" s="1009">
        <v>175274</v>
      </c>
      <c r="L172" s="1006">
        <v>28875</v>
      </c>
      <c r="M172" s="364"/>
      <c r="N172" s="1009">
        <v>108941.32950000001</v>
      </c>
      <c r="O172" s="1006">
        <v>93213.670499999993</v>
      </c>
      <c r="P172" s="364"/>
      <c r="Q172" s="1009">
        <v>1001418</v>
      </c>
      <c r="R172" s="1008">
        <v>4.9537137345106474</v>
      </c>
      <c r="S172" s="364"/>
      <c r="T172" s="1009">
        <v>32553</v>
      </c>
      <c r="U172" s="1005">
        <v>33242</v>
      </c>
      <c r="V172" s="1005">
        <v>55997</v>
      </c>
      <c r="W172" s="1005">
        <v>20796</v>
      </c>
      <c r="X172" s="1005">
        <v>16889</v>
      </c>
      <c r="Y172" s="1005">
        <v>16495</v>
      </c>
      <c r="Z172" s="1005">
        <v>6037</v>
      </c>
      <c r="AA172" s="1005" t="s">
        <v>160</v>
      </c>
      <c r="AB172" s="1006">
        <v>20146</v>
      </c>
      <c r="AC172" s="364"/>
      <c r="AD172" s="365">
        <f t="shared" si="59"/>
        <v>44896</v>
      </c>
      <c r="AE172" s="1010">
        <f t="shared" si="47"/>
        <v>0.16102990279735846</v>
      </c>
      <c r="AF172" s="1011">
        <f t="shared" si="48"/>
        <v>0.16443817862531226</v>
      </c>
      <c r="AG172" s="1011">
        <f t="shared" si="49"/>
        <v>0.27700032153545545</v>
      </c>
      <c r="AH172" s="1011">
        <f t="shared" si="50"/>
        <v>0.10287155895228908</v>
      </c>
      <c r="AI172" s="1011">
        <f t="shared" si="51"/>
        <v>8.3544804729044547E-2</v>
      </c>
      <c r="AJ172" s="1011">
        <f t="shared" si="52"/>
        <v>8.1595805198980978E-2</v>
      </c>
      <c r="AK172" s="1011">
        <f t="shared" si="53"/>
        <v>2.986322376394351E-2</v>
      </c>
      <c r="AL172" s="1011" t="s">
        <v>160</v>
      </c>
      <c r="AM172" s="1012">
        <f t="shared" si="54"/>
        <v>9.9656204397615689E-2</v>
      </c>
      <c r="AN172" s="364"/>
      <c r="AO172" s="1009">
        <v>10532.2755</v>
      </c>
      <c r="AP172" s="1005">
        <v>27129.201000000005</v>
      </c>
      <c r="AQ172" s="1005">
        <v>18476.967000000001</v>
      </c>
      <c r="AR172" s="1005">
        <v>111892.7925</v>
      </c>
      <c r="AS172" s="1006">
        <v>34123.764000000003</v>
      </c>
      <c r="AT172" s="364"/>
      <c r="AU172" s="1013">
        <f t="shared" si="60"/>
        <v>5.21E-2</v>
      </c>
      <c r="AV172" s="1014">
        <f t="shared" si="61"/>
        <v>0.13420000000000001</v>
      </c>
      <c r="AW172" s="1014">
        <f t="shared" si="62"/>
        <v>9.1400000000000009E-2</v>
      </c>
      <c r="AX172" s="1014">
        <f t="shared" si="63"/>
        <v>0.55349999999999999</v>
      </c>
      <c r="AY172" s="1015">
        <f t="shared" si="64"/>
        <v>0.16880000000000001</v>
      </c>
      <c r="AZ172" s="364"/>
      <c r="BA172" s="1013">
        <f t="shared" si="45"/>
        <v>0.16462795394639251</v>
      </c>
      <c r="BB172" s="1015">
        <f t="shared" si="46"/>
        <v>0.14283594271722194</v>
      </c>
      <c r="BE172" t="s">
        <v>1123</v>
      </c>
      <c r="BF172" t="s">
        <v>1124</v>
      </c>
    </row>
    <row r="173" spans="1:58" ht="12.75" customHeight="1" outlineLevel="1" x14ac:dyDescent="0.2">
      <c r="A173" s="364" t="s">
        <v>1176</v>
      </c>
      <c r="B173" s="365">
        <v>44927</v>
      </c>
      <c r="C173" s="948">
        <v>162413</v>
      </c>
      <c r="D173" s="949">
        <v>130681</v>
      </c>
      <c r="E173" s="950">
        <v>31732</v>
      </c>
      <c r="F173" s="364"/>
      <c r="G173" s="948">
        <v>180.8</v>
      </c>
      <c r="H173" s="951">
        <v>112.5</v>
      </c>
      <c r="I173" s="952">
        <v>68.3</v>
      </c>
      <c r="J173" s="364"/>
      <c r="K173" s="953">
        <v>147835</v>
      </c>
      <c r="L173" s="950">
        <v>19859</v>
      </c>
      <c r="M173" s="364"/>
      <c r="N173" s="953">
        <v>57460.435699999995</v>
      </c>
      <c r="O173" s="950">
        <v>73220.564299999998</v>
      </c>
      <c r="P173" s="364"/>
      <c r="Q173" s="953">
        <v>784651</v>
      </c>
      <c r="R173" s="952">
        <v>6.0043235053297721</v>
      </c>
      <c r="S173" s="364"/>
      <c r="T173" s="953">
        <v>22699</v>
      </c>
      <c r="U173" s="949">
        <v>20046</v>
      </c>
      <c r="V173" s="949">
        <v>37330</v>
      </c>
      <c r="W173" s="949">
        <v>12425</v>
      </c>
      <c r="X173" s="949">
        <v>11027</v>
      </c>
      <c r="Y173" s="949">
        <v>11491</v>
      </c>
      <c r="Z173" s="949">
        <v>3274</v>
      </c>
      <c r="AA173" s="949" t="s">
        <v>160</v>
      </c>
      <c r="AB173" s="950">
        <v>12389</v>
      </c>
      <c r="AC173" s="364"/>
      <c r="AD173" s="365">
        <f t="shared" si="59"/>
        <v>44927</v>
      </c>
      <c r="AE173" s="954">
        <f t="shared" si="47"/>
        <v>0.17369778315133799</v>
      </c>
      <c r="AF173" s="955">
        <f t="shared" si="48"/>
        <v>0.15339643865596375</v>
      </c>
      <c r="AG173" s="955">
        <f t="shared" si="49"/>
        <v>0.28565744063788923</v>
      </c>
      <c r="AH173" s="955">
        <f t="shared" si="50"/>
        <v>9.5078856145881963E-2</v>
      </c>
      <c r="AI173" s="955">
        <f t="shared" si="51"/>
        <v>8.4381050037878491E-2</v>
      </c>
      <c r="AJ173" s="955">
        <f t="shared" si="52"/>
        <v>8.7931680963567765E-2</v>
      </c>
      <c r="AK173" s="955">
        <f t="shared" si="53"/>
        <v>2.5053374247212677E-2</v>
      </c>
      <c r="AL173" s="955" t="s">
        <v>160</v>
      </c>
      <c r="AM173" s="956">
        <f t="shared" si="54"/>
        <v>9.4803376160268141E-2</v>
      </c>
      <c r="AN173" s="364"/>
      <c r="AO173" s="953">
        <v>7109.0463999999993</v>
      </c>
      <c r="AP173" s="949">
        <v>19758.967199999999</v>
      </c>
      <c r="AQ173" s="949">
        <v>13826.049800000001</v>
      </c>
      <c r="AR173" s="949">
        <v>67705.826100000006</v>
      </c>
      <c r="AS173" s="950">
        <v>22281.110500000003</v>
      </c>
      <c r="AT173" s="364"/>
      <c r="AU173" s="957">
        <f t="shared" si="60"/>
        <v>5.4399999999999997E-2</v>
      </c>
      <c r="AV173" s="958">
        <f t="shared" si="61"/>
        <v>0.1512</v>
      </c>
      <c r="AW173" s="958">
        <f t="shared" si="62"/>
        <v>0.10580000000000001</v>
      </c>
      <c r="AX173" s="958">
        <f t="shared" si="63"/>
        <v>0.5181</v>
      </c>
      <c r="AY173" s="959">
        <f t="shared" si="64"/>
        <v>0.17050000000000001</v>
      </c>
      <c r="AZ173" s="364"/>
      <c r="BA173" s="957">
        <f t="shared" si="45"/>
        <v>0.21464470524571314</v>
      </c>
      <c r="BB173" s="959">
        <f t="shared" si="46"/>
        <v>0.1519654731751364</v>
      </c>
      <c r="BE173" t="s">
        <v>1176</v>
      </c>
      <c r="BF173" t="s">
        <v>1163</v>
      </c>
    </row>
    <row r="174" spans="1:58" ht="12.75" customHeight="1" outlineLevel="1" x14ac:dyDescent="0.2">
      <c r="A174" s="364" t="s">
        <v>1176</v>
      </c>
      <c r="B174" s="365">
        <v>44958</v>
      </c>
      <c r="C174" s="948">
        <v>153649</v>
      </c>
      <c r="D174" s="949">
        <v>119906</v>
      </c>
      <c r="E174" s="950">
        <v>33743</v>
      </c>
      <c r="F174" s="364"/>
      <c r="G174" s="948">
        <v>187.39999999999998</v>
      </c>
      <c r="H174" s="951">
        <v>116.1</v>
      </c>
      <c r="I174" s="952">
        <v>71.3</v>
      </c>
      <c r="J174" s="364"/>
      <c r="K174" s="953">
        <v>152120</v>
      </c>
      <c r="L174" s="950">
        <v>16869</v>
      </c>
      <c r="M174" s="364"/>
      <c r="N174" s="953">
        <v>52602.762199999997</v>
      </c>
      <c r="O174" s="950">
        <v>67303.237800000003</v>
      </c>
      <c r="P174" s="364"/>
      <c r="Q174" s="953">
        <v>726577</v>
      </c>
      <c r="R174" s="952">
        <v>6.0595549847380452</v>
      </c>
      <c r="S174" s="364"/>
      <c r="T174" s="953">
        <v>18571</v>
      </c>
      <c r="U174" s="949">
        <v>16278</v>
      </c>
      <c r="V174" s="949">
        <v>35658</v>
      </c>
      <c r="W174" s="949">
        <v>12348</v>
      </c>
      <c r="X174" s="949">
        <v>11953</v>
      </c>
      <c r="Y174" s="949">
        <v>8721</v>
      </c>
      <c r="Z174" s="949">
        <v>4183</v>
      </c>
      <c r="AA174" s="949" t="s">
        <v>160</v>
      </c>
      <c r="AB174" s="950">
        <v>12194</v>
      </c>
      <c r="AC174" s="364"/>
      <c r="AD174" s="365">
        <f t="shared" si="59"/>
        <v>44958</v>
      </c>
      <c r="AE174" s="954">
        <f t="shared" si="47"/>
        <v>0.15487965573032209</v>
      </c>
      <c r="AF174" s="955">
        <f t="shared" si="48"/>
        <v>0.13575634246826682</v>
      </c>
      <c r="AG174" s="955">
        <f t="shared" si="49"/>
        <v>0.29738294997748238</v>
      </c>
      <c r="AH174" s="955">
        <f t="shared" si="50"/>
        <v>0.10298066819008223</v>
      </c>
      <c r="AI174" s="955">
        <f t="shared" si="51"/>
        <v>9.9686421029806682E-2</v>
      </c>
      <c r="AJ174" s="955">
        <f t="shared" si="52"/>
        <v>7.2731973379146997E-2</v>
      </c>
      <c r="AK174" s="955">
        <f t="shared" si="53"/>
        <v>3.4885660434006635E-2</v>
      </c>
      <c r="AL174" s="955" t="s">
        <v>160</v>
      </c>
      <c r="AM174" s="956">
        <f t="shared" si="54"/>
        <v>0.10169632879088619</v>
      </c>
      <c r="AN174" s="364"/>
      <c r="AO174" s="953">
        <v>6462.9334000000008</v>
      </c>
      <c r="AP174" s="949">
        <v>16594.990399999999</v>
      </c>
      <c r="AQ174" s="949">
        <v>13309.566000000001</v>
      </c>
      <c r="AR174" s="949">
        <v>62914.678200000009</v>
      </c>
      <c r="AS174" s="950">
        <v>20623.831999999999</v>
      </c>
      <c r="AT174" s="364"/>
      <c r="AU174" s="957">
        <f t="shared" si="60"/>
        <v>5.3900000000000003E-2</v>
      </c>
      <c r="AV174" s="958">
        <f t="shared" si="61"/>
        <v>0.1384</v>
      </c>
      <c r="AW174" s="958">
        <f t="shared" si="62"/>
        <v>0.111</v>
      </c>
      <c r="AX174" s="958">
        <f t="shared" si="63"/>
        <v>0.52470000000000006</v>
      </c>
      <c r="AY174" s="959">
        <f t="shared" si="64"/>
        <v>0.17199999999999999</v>
      </c>
      <c r="AZ174" s="364"/>
      <c r="BA174" s="957">
        <f t="shared" si="45"/>
        <v>0.22181830134104655</v>
      </c>
      <c r="BB174" s="959">
        <f t="shared" si="46"/>
        <v>0.14068520340933732</v>
      </c>
      <c r="BE174" t="s">
        <v>1176</v>
      </c>
      <c r="BF174" t="s">
        <v>1163</v>
      </c>
    </row>
    <row r="175" spans="1:58" ht="12.75" customHeight="1" outlineLevel="1" x14ac:dyDescent="0.2">
      <c r="A175" s="364" t="s">
        <v>1176</v>
      </c>
      <c r="B175" s="365">
        <v>44986</v>
      </c>
      <c r="C175" s="948">
        <v>229765</v>
      </c>
      <c r="D175" s="949">
        <v>186353</v>
      </c>
      <c r="E175" s="950">
        <v>43412</v>
      </c>
      <c r="F175" s="364"/>
      <c r="G175" s="948">
        <v>203.89999999999998</v>
      </c>
      <c r="H175" s="951">
        <v>131.6</v>
      </c>
      <c r="I175" s="952">
        <v>72.3</v>
      </c>
      <c r="J175" s="364"/>
      <c r="K175" s="953">
        <v>207552</v>
      </c>
      <c r="L175" s="950">
        <v>26475</v>
      </c>
      <c r="M175" s="364"/>
      <c r="N175" s="953">
        <v>91033.440499999997</v>
      </c>
      <c r="O175" s="950">
        <v>95319.559500000003</v>
      </c>
      <c r="P175" s="364"/>
      <c r="Q175" s="953">
        <v>953882</v>
      </c>
      <c r="R175" s="952">
        <v>5.1186833590014649</v>
      </c>
      <c r="S175" s="364"/>
      <c r="T175" s="953">
        <v>29972</v>
      </c>
      <c r="U175" s="949">
        <v>23390</v>
      </c>
      <c r="V175" s="949">
        <v>55669</v>
      </c>
      <c r="W175" s="949">
        <v>17290</v>
      </c>
      <c r="X175" s="949">
        <v>18290</v>
      </c>
      <c r="Y175" s="949">
        <v>16261</v>
      </c>
      <c r="Z175" s="949">
        <v>6729</v>
      </c>
      <c r="AA175" s="949">
        <v>209</v>
      </c>
      <c r="AB175" s="950">
        <v>18543</v>
      </c>
      <c r="AC175" s="364"/>
      <c r="AD175" s="365">
        <f t="shared" si="59"/>
        <v>44986</v>
      </c>
      <c r="AE175" s="954">
        <f t="shared" si="47"/>
        <v>0.16083454519111579</v>
      </c>
      <c r="AF175" s="955">
        <f t="shared" si="48"/>
        <v>0.12551448058255033</v>
      </c>
      <c r="AG175" s="955">
        <f t="shared" si="49"/>
        <v>0.29872875671440763</v>
      </c>
      <c r="AH175" s="955">
        <f t="shared" si="50"/>
        <v>9.2780905056532498E-2</v>
      </c>
      <c r="AI175" s="955">
        <f t="shared" si="51"/>
        <v>9.8147064978830495E-2</v>
      </c>
      <c r="AJ175" s="955">
        <f t="shared" si="52"/>
        <v>8.7259126496487843E-2</v>
      </c>
      <c r="AK175" s="955">
        <f t="shared" si="53"/>
        <v>3.6108890117143272E-2</v>
      </c>
      <c r="AL175" s="955">
        <f t="shared" ref="AL175:AL190" si="65">+AA175/SUM($T175:$AB175)</f>
        <v>1.1215274237602829E-3</v>
      </c>
      <c r="AM175" s="956">
        <f t="shared" si="54"/>
        <v>9.9504703439171893E-2</v>
      </c>
      <c r="AN175" s="364"/>
      <c r="AO175" s="953">
        <v>8851.7674999999999</v>
      </c>
      <c r="AP175" s="949">
        <v>24449.513600000002</v>
      </c>
      <c r="AQ175" s="949">
        <v>18467.582299999998</v>
      </c>
      <c r="AR175" s="949">
        <v>102158.71460000001</v>
      </c>
      <c r="AS175" s="950">
        <v>32444.0573</v>
      </c>
      <c r="AT175" s="364"/>
      <c r="AU175" s="957">
        <f t="shared" si="60"/>
        <v>4.7495250474952497E-2</v>
      </c>
      <c r="AV175" s="958">
        <f t="shared" si="61"/>
        <v>0.13118688131186881</v>
      </c>
      <c r="AW175" s="958">
        <f t="shared" si="62"/>
        <v>9.9090090990900881E-2</v>
      </c>
      <c r="AX175" s="958">
        <f t="shared" si="63"/>
        <v>0.54814518548145186</v>
      </c>
      <c r="AY175" s="959">
        <f t="shared" si="64"/>
        <v>0.17408259174082591</v>
      </c>
      <c r="AZ175" s="364"/>
      <c r="BA175" s="957">
        <f t="shared" si="45"/>
        <v>0.20916204131976565</v>
      </c>
      <c r="BB175" s="959">
        <f t="shared" si="46"/>
        <v>0.14206908394283965</v>
      </c>
      <c r="BE175" t="s">
        <v>1176</v>
      </c>
      <c r="BF175" t="s">
        <v>1163</v>
      </c>
    </row>
    <row r="176" spans="1:58" ht="12.75" customHeight="1" outlineLevel="1" x14ac:dyDescent="0.2">
      <c r="A176" s="364" t="s">
        <v>1177</v>
      </c>
      <c r="B176" s="365">
        <v>45017</v>
      </c>
      <c r="C176" s="948">
        <v>184169</v>
      </c>
      <c r="D176" s="949">
        <v>151497</v>
      </c>
      <c r="E176" s="950">
        <v>32672</v>
      </c>
      <c r="F176" s="364"/>
      <c r="G176" s="948">
        <v>206.1</v>
      </c>
      <c r="H176" s="951">
        <v>132.6</v>
      </c>
      <c r="I176" s="952">
        <v>73.5</v>
      </c>
      <c r="J176" s="364"/>
      <c r="K176" s="953">
        <v>169970</v>
      </c>
      <c r="L176" s="950">
        <v>21772</v>
      </c>
      <c r="M176" s="364"/>
      <c r="N176" s="953">
        <v>75384.907200000001</v>
      </c>
      <c r="O176" s="950">
        <v>76112.092799999999</v>
      </c>
      <c r="P176" s="364"/>
      <c r="Q176" s="953">
        <v>757546</v>
      </c>
      <c r="R176" s="952">
        <v>5.0004026482372588</v>
      </c>
      <c r="S176" s="364"/>
      <c r="T176" s="953">
        <v>24390</v>
      </c>
      <c r="U176" s="949">
        <v>21507</v>
      </c>
      <c r="V176" s="949">
        <v>43617</v>
      </c>
      <c r="W176" s="949">
        <v>14321</v>
      </c>
      <c r="X176" s="949">
        <v>12757</v>
      </c>
      <c r="Y176" s="949">
        <v>13728</v>
      </c>
      <c r="Z176" s="949">
        <v>6553</v>
      </c>
      <c r="AA176" s="949">
        <v>127</v>
      </c>
      <c r="AB176" s="950">
        <v>14497</v>
      </c>
      <c r="AC176" s="364"/>
      <c r="AD176" s="365">
        <f t="shared" si="59"/>
        <v>45017</v>
      </c>
      <c r="AE176" s="954">
        <f t="shared" si="47"/>
        <v>0.16099328699578208</v>
      </c>
      <c r="AF176" s="955">
        <f t="shared" si="48"/>
        <v>0.14196320719222164</v>
      </c>
      <c r="AG176" s="955">
        <f t="shared" si="49"/>
        <v>0.28790669122160834</v>
      </c>
      <c r="AH176" s="955">
        <f t="shared" si="50"/>
        <v>9.4529924684977257E-2</v>
      </c>
      <c r="AI176" s="955">
        <f t="shared" si="51"/>
        <v>8.4206287913292016E-2</v>
      </c>
      <c r="AJ176" s="955">
        <f t="shared" si="52"/>
        <v>9.0615655755559521E-2</v>
      </c>
      <c r="AK176" s="955">
        <f t="shared" si="53"/>
        <v>4.3254981946837232E-2</v>
      </c>
      <c r="AL176" s="955">
        <f t="shared" si="65"/>
        <v>8.3830042839132127E-4</v>
      </c>
      <c r="AM176" s="956">
        <f t="shared" si="54"/>
        <v>9.5691663861330586E-2</v>
      </c>
      <c r="AN176" s="364"/>
      <c r="AO176" s="953">
        <v>7120.3590000000004</v>
      </c>
      <c r="AP176" s="949">
        <v>20603.592000000001</v>
      </c>
      <c r="AQ176" s="949">
        <v>15785.9874</v>
      </c>
      <c r="AR176" s="949">
        <v>83641.493700000006</v>
      </c>
      <c r="AS176" s="950">
        <v>25163.651699999999</v>
      </c>
      <c r="AT176" s="364"/>
      <c r="AU176" s="957">
        <f t="shared" si="60"/>
        <v>4.674756315894172E-2</v>
      </c>
      <c r="AV176" s="958">
        <f t="shared" si="61"/>
        <v>0.13526954445991646</v>
      </c>
      <c r="AW176" s="958">
        <f t="shared" si="62"/>
        <v>0.10364034215237716</v>
      </c>
      <c r="AX176" s="958">
        <f t="shared" si="63"/>
        <v>0.54913467276705796</v>
      </c>
      <c r="AY176" s="959">
        <f t="shared" si="64"/>
        <v>0.16520787746170679</v>
      </c>
      <c r="AZ176" s="364"/>
      <c r="BA176" s="957">
        <f t="shared" si="45"/>
        <v>0.19222215685120903</v>
      </c>
      <c r="BB176" s="959">
        <f t="shared" si="46"/>
        <v>0.14371241674752636</v>
      </c>
      <c r="BE176" t="s">
        <v>1177</v>
      </c>
      <c r="BF176" t="s">
        <v>1178</v>
      </c>
    </row>
    <row r="177" spans="1:58" ht="12.75" customHeight="1" outlineLevel="1" x14ac:dyDescent="0.2">
      <c r="A177" s="364" t="s">
        <v>1177</v>
      </c>
      <c r="B177" s="365">
        <v>45047</v>
      </c>
      <c r="C177" s="948">
        <v>210313</v>
      </c>
      <c r="D177" s="949">
        <v>166381</v>
      </c>
      <c r="E177" s="950">
        <v>43932</v>
      </c>
      <c r="F177" s="364"/>
      <c r="G177" s="948">
        <v>251.7</v>
      </c>
      <c r="H177" s="951">
        <v>129.5</v>
      </c>
      <c r="I177" s="952">
        <v>122.2</v>
      </c>
      <c r="J177" s="364"/>
      <c r="K177" s="953">
        <v>217575</v>
      </c>
      <c r="L177" s="950">
        <v>26766</v>
      </c>
      <c r="M177" s="364"/>
      <c r="N177" s="953">
        <v>79763.051399999997</v>
      </c>
      <c r="O177" s="950">
        <v>86617.948600000003</v>
      </c>
      <c r="P177" s="364"/>
      <c r="Q177" s="953">
        <v>930599</v>
      </c>
      <c r="R177" s="952">
        <v>5.5931807117399224</v>
      </c>
      <c r="S177" s="364"/>
      <c r="T177" s="953">
        <v>26223</v>
      </c>
      <c r="U177" s="949">
        <v>27388</v>
      </c>
      <c r="V177" s="949">
        <v>46535</v>
      </c>
      <c r="W177" s="949">
        <v>16448</v>
      </c>
      <c r="X177" s="949">
        <v>14299</v>
      </c>
      <c r="Y177" s="949">
        <v>10919</v>
      </c>
      <c r="Z177" s="949">
        <v>6708</v>
      </c>
      <c r="AA177" s="949">
        <v>363</v>
      </c>
      <c r="AB177" s="950">
        <v>17498</v>
      </c>
      <c r="AC177" s="364"/>
      <c r="AD177" s="365">
        <f t="shared" si="59"/>
        <v>45047</v>
      </c>
      <c r="AE177" s="954">
        <f t="shared" si="47"/>
        <v>0.15760814035256429</v>
      </c>
      <c r="AF177" s="955">
        <f t="shared" si="48"/>
        <v>0.16461014178301608</v>
      </c>
      <c r="AG177" s="955">
        <f t="shared" si="49"/>
        <v>0.27968938761036416</v>
      </c>
      <c r="AH177" s="955">
        <f t="shared" si="50"/>
        <v>9.8857441654996658E-2</v>
      </c>
      <c r="AI177" s="955">
        <f t="shared" si="51"/>
        <v>8.5941303394017343E-2</v>
      </c>
      <c r="AJ177" s="955">
        <f t="shared" si="52"/>
        <v>6.5626483793221585E-2</v>
      </c>
      <c r="AK177" s="955">
        <f t="shared" si="53"/>
        <v>4.0317103515425438E-2</v>
      </c>
      <c r="AL177" s="955">
        <f t="shared" si="65"/>
        <v>2.1817395015055804E-3</v>
      </c>
      <c r="AM177" s="956">
        <f t="shared" si="54"/>
        <v>0.10516825839488884</v>
      </c>
      <c r="AN177" s="364"/>
      <c r="AO177" s="953">
        <v>8601.8977000000014</v>
      </c>
      <c r="AP177" s="949">
        <v>24025.416400000002</v>
      </c>
      <c r="AQ177" s="949">
        <v>17386.8145</v>
      </c>
      <c r="AR177" s="949">
        <v>87466.491699999984</v>
      </c>
      <c r="AS177" s="950">
        <v>28900.379699999998</v>
      </c>
      <c r="AT177" s="364"/>
      <c r="AU177" s="957">
        <f t="shared" si="60"/>
        <v>5.1700000000000017E-2</v>
      </c>
      <c r="AV177" s="958">
        <f t="shared" si="61"/>
        <v>0.14440000000000003</v>
      </c>
      <c r="AW177" s="958">
        <f t="shared" si="62"/>
        <v>0.10450000000000002</v>
      </c>
      <c r="AX177" s="958">
        <f t="shared" si="63"/>
        <v>0.52569999999999995</v>
      </c>
      <c r="AY177" s="959">
        <f t="shared" si="64"/>
        <v>0.17370000000000002</v>
      </c>
      <c r="AZ177" s="364"/>
      <c r="BA177" s="957">
        <f t="shared" si="45"/>
        <v>0.20191658048948638</v>
      </c>
      <c r="BB177" s="959">
        <f t="shared" si="46"/>
        <v>0.1608717341523371</v>
      </c>
      <c r="BE177" t="s">
        <v>1177</v>
      </c>
      <c r="BF177" t="s">
        <v>1178</v>
      </c>
    </row>
    <row r="178" spans="1:58" ht="12.75" customHeight="1" outlineLevel="1" x14ac:dyDescent="0.2">
      <c r="A178" s="364" t="s">
        <v>1177</v>
      </c>
      <c r="B178" s="365">
        <v>45078</v>
      </c>
      <c r="C178" s="948">
        <v>214420</v>
      </c>
      <c r="D178" s="949">
        <v>179870</v>
      </c>
      <c r="E178" s="950">
        <v>34550</v>
      </c>
      <c r="F178" s="364"/>
      <c r="G178" s="948">
        <v>223.6</v>
      </c>
      <c r="H178" s="951">
        <v>138.1</v>
      </c>
      <c r="I178" s="952">
        <v>85.5</v>
      </c>
      <c r="J178" s="364"/>
      <c r="K178" s="953">
        <v>180204</v>
      </c>
      <c r="L178" s="950">
        <v>27455</v>
      </c>
      <c r="M178" s="364"/>
      <c r="N178" s="953">
        <v>78315.398000000001</v>
      </c>
      <c r="O178" s="950">
        <v>101554.602</v>
      </c>
      <c r="P178" s="364"/>
      <c r="Q178" s="953">
        <v>864283</v>
      </c>
      <c r="R178" s="952">
        <v>4.8050425307166282</v>
      </c>
      <c r="S178" s="364"/>
      <c r="T178" s="953">
        <v>27139</v>
      </c>
      <c r="U178" s="949">
        <v>29772</v>
      </c>
      <c r="V178" s="949">
        <v>52618</v>
      </c>
      <c r="W178" s="949">
        <v>15392</v>
      </c>
      <c r="X178" s="949">
        <v>16306</v>
      </c>
      <c r="Y178" s="949">
        <v>12464</v>
      </c>
      <c r="Z178" s="949">
        <v>6665</v>
      </c>
      <c r="AA178" s="949">
        <v>411</v>
      </c>
      <c r="AB178" s="950">
        <v>19103</v>
      </c>
      <c r="AC178" s="364"/>
      <c r="AD178" s="365">
        <f t="shared" si="59"/>
        <v>45078</v>
      </c>
      <c r="AE178" s="954">
        <f t="shared" si="47"/>
        <v>0.15088119197197977</v>
      </c>
      <c r="AF178" s="955">
        <f t="shared" si="48"/>
        <v>0.16551954189136597</v>
      </c>
      <c r="AG178" s="955">
        <f t="shared" si="49"/>
        <v>0.29253349641407683</v>
      </c>
      <c r="AH178" s="955">
        <f t="shared" si="50"/>
        <v>8.5572913771056872E-2</v>
      </c>
      <c r="AI178" s="955">
        <f t="shared" si="51"/>
        <v>9.0654361483293491E-2</v>
      </c>
      <c r="AJ178" s="955">
        <f t="shared" si="52"/>
        <v>6.9294490465336075E-2</v>
      </c>
      <c r="AK178" s="955">
        <f t="shared" si="53"/>
        <v>3.7054539389559125E-2</v>
      </c>
      <c r="AL178" s="955">
        <f t="shared" si="65"/>
        <v>2.2849835992661367E-3</v>
      </c>
      <c r="AM178" s="956">
        <f t="shared" si="54"/>
        <v>0.10620448101406571</v>
      </c>
      <c r="AN178" s="364"/>
      <c r="AO178" s="953">
        <v>8687.7210000000014</v>
      </c>
      <c r="AP178" s="949">
        <v>24768.098999999998</v>
      </c>
      <c r="AQ178" s="949">
        <v>18418.688000000002</v>
      </c>
      <c r="AR178" s="949">
        <v>96662.137999999992</v>
      </c>
      <c r="AS178" s="950">
        <v>31333.353999999999</v>
      </c>
      <c r="AT178" s="364"/>
      <c r="AU178" s="957">
        <f t="shared" si="60"/>
        <v>4.830000000000001E-2</v>
      </c>
      <c r="AV178" s="958">
        <f t="shared" si="61"/>
        <v>0.13769999999999999</v>
      </c>
      <c r="AW178" s="958">
        <f t="shared" si="62"/>
        <v>0.1024</v>
      </c>
      <c r="AX178" s="958">
        <f t="shared" si="63"/>
        <v>0.53739999999999999</v>
      </c>
      <c r="AY178" s="959">
        <f t="shared" si="64"/>
        <v>0.17419999999999999</v>
      </c>
      <c r="AZ178" s="364"/>
      <c r="BA178" s="957">
        <f t="shared" si="45"/>
        <v>0.19172715367028478</v>
      </c>
      <c r="BB178" s="959">
        <f t="shared" si="46"/>
        <v>0.15263801634513816</v>
      </c>
      <c r="BE178" t="s">
        <v>1177</v>
      </c>
      <c r="BF178" t="s">
        <v>1178</v>
      </c>
    </row>
    <row r="179" spans="1:58" ht="12.75" customHeight="1" outlineLevel="1" x14ac:dyDescent="0.2">
      <c r="A179" s="364" t="s">
        <v>1179</v>
      </c>
      <c r="B179" s="365">
        <v>45108</v>
      </c>
      <c r="C179" s="948">
        <v>244300</v>
      </c>
      <c r="D179" s="949">
        <v>215722</v>
      </c>
      <c r="E179" s="950">
        <v>28578</v>
      </c>
      <c r="F179" s="364"/>
      <c r="G179" s="948">
        <v>198.8</v>
      </c>
      <c r="H179" s="951">
        <v>125.2</v>
      </c>
      <c r="I179" s="952">
        <v>73.599999999999994</v>
      </c>
      <c r="J179" s="364"/>
      <c r="K179" s="953">
        <v>174364</v>
      </c>
      <c r="L179" s="950">
        <v>29182</v>
      </c>
      <c r="M179" s="364"/>
      <c r="N179" s="953">
        <v>101777.63959999999</v>
      </c>
      <c r="O179" s="950">
        <v>113944.36040000001</v>
      </c>
      <c r="P179" s="364"/>
      <c r="Q179" s="953">
        <v>905343</v>
      </c>
      <c r="R179" s="952">
        <v>4.1968042202464284</v>
      </c>
      <c r="S179" s="364"/>
      <c r="T179" s="953">
        <v>29740</v>
      </c>
      <c r="U179" s="949">
        <v>41602</v>
      </c>
      <c r="V179" s="949">
        <v>56522</v>
      </c>
      <c r="W179" s="949">
        <v>17354</v>
      </c>
      <c r="X179" s="949">
        <v>20833</v>
      </c>
      <c r="Y179" s="949">
        <v>22554</v>
      </c>
      <c r="Z179" s="949">
        <v>6734</v>
      </c>
      <c r="AA179" s="949">
        <v>776</v>
      </c>
      <c r="AB179" s="950">
        <v>19607</v>
      </c>
      <c r="AC179" s="364"/>
      <c r="AD179" s="365">
        <f t="shared" si="59"/>
        <v>45108</v>
      </c>
      <c r="AE179" s="954">
        <f t="shared" si="47"/>
        <v>0.13786261948248207</v>
      </c>
      <c r="AF179" s="955">
        <f t="shared" si="48"/>
        <v>0.19285005701782851</v>
      </c>
      <c r="AG179" s="955">
        <f t="shared" si="49"/>
        <v>0.26201314654972602</v>
      </c>
      <c r="AH179" s="955">
        <f t="shared" si="50"/>
        <v>8.0446129741055625E-2</v>
      </c>
      <c r="AI179" s="955">
        <f t="shared" si="51"/>
        <v>9.6573367574934413E-2</v>
      </c>
      <c r="AJ179" s="955">
        <f t="shared" si="52"/>
        <v>0.1045512279693309</v>
      </c>
      <c r="AK179" s="955">
        <f t="shared" si="53"/>
        <v>3.1216102205616488E-2</v>
      </c>
      <c r="AL179" s="955">
        <f t="shared" si="65"/>
        <v>3.5972223509887725E-3</v>
      </c>
      <c r="AM179" s="956">
        <f t="shared" si="54"/>
        <v>9.0890127108037191E-2</v>
      </c>
      <c r="AN179" s="364"/>
      <c r="AO179" s="953">
        <v>9642.7734</v>
      </c>
      <c r="AP179" s="949">
        <v>29187.186600000001</v>
      </c>
      <c r="AQ179" s="949">
        <v>20428.8734</v>
      </c>
      <c r="AR179" s="949">
        <v>124536.31060000001</v>
      </c>
      <c r="AS179" s="950">
        <v>31905.283800000001</v>
      </c>
      <c r="AT179" s="364"/>
      <c r="AU179" s="957">
        <f t="shared" si="60"/>
        <v>4.4704470447044696E-2</v>
      </c>
      <c r="AV179" s="958">
        <f t="shared" si="61"/>
        <v>0.13531353135313529</v>
      </c>
      <c r="AW179" s="958">
        <f t="shared" si="62"/>
        <v>9.4709470947094698E-2</v>
      </c>
      <c r="AX179" s="958">
        <f t="shared" si="63"/>
        <v>0.5773577357735773</v>
      </c>
      <c r="AY179" s="959">
        <f t="shared" si="64"/>
        <v>0.14791479147914791</v>
      </c>
      <c r="AZ179" s="364"/>
      <c r="BA179" s="957">
        <f t="shared" si="45"/>
        <v>0.16389851116056067</v>
      </c>
      <c r="BB179" s="959">
        <f t="shared" si="46"/>
        <v>0.13527595701875561</v>
      </c>
      <c r="BE179" t="s">
        <v>1179</v>
      </c>
      <c r="BF179" t="s">
        <v>1180</v>
      </c>
    </row>
    <row r="180" spans="1:58" ht="12.75" customHeight="1" outlineLevel="1" x14ac:dyDescent="0.2">
      <c r="A180" s="364" t="s">
        <v>1179</v>
      </c>
      <c r="B180" s="365">
        <v>45139</v>
      </c>
      <c r="C180" s="948">
        <v>229583</v>
      </c>
      <c r="D180" s="949">
        <v>196968</v>
      </c>
      <c r="E180" s="950">
        <v>32615</v>
      </c>
      <c r="F180" s="364"/>
      <c r="G180" s="948">
        <v>244.7</v>
      </c>
      <c r="H180" s="951">
        <v>139.9</v>
      </c>
      <c r="I180" s="952">
        <v>104.8</v>
      </c>
      <c r="J180" s="364"/>
      <c r="K180" s="953">
        <v>215283</v>
      </c>
      <c r="L180" s="950">
        <v>33126</v>
      </c>
      <c r="M180" s="364"/>
      <c r="N180" s="953">
        <v>98602.180800000002</v>
      </c>
      <c r="O180" s="950">
        <v>98365.819199999998</v>
      </c>
      <c r="P180" s="364"/>
      <c r="Q180" s="953">
        <v>1017979</v>
      </c>
      <c r="R180" s="952">
        <v>5.1682456033467368</v>
      </c>
      <c r="S180" s="364"/>
      <c r="T180" s="953">
        <v>29649</v>
      </c>
      <c r="U180" s="949">
        <v>28809</v>
      </c>
      <c r="V180" s="949">
        <v>58362</v>
      </c>
      <c r="W180" s="949">
        <v>18179</v>
      </c>
      <c r="X180" s="949">
        <v>16179</v>
      </c>
      <c r="Y180" s="949">
        <v>15712</v>
      </c>
      <c r="Z180" s="949">
        <v>7429</v>
      </c>
      <c r="AA180" s="949">
        <v>1418</v>
      </c>
      <c r="AB180" s="950">
        <v>21231</v>
      </c>
      <c r="AC180" s="364"/>
      <c r="AD180" s="365">
        <f t="shared" si="59"/>
        <v>45139</v>
      </c>
      <c r="AE180" s="954">
        <f t="shared" si="47"/>
        <v>0.15052698915559887</v>
      </c>
      <c r="AF180" s="955">
        <f t="shared" si="48"/>
        <v>0.14626233702936517</v>
      </c>
      <c r="AG180" s="955">
        <f t="shared" si="49"/>
        <v>0.29630193737053734</v>
      </c>
      <c r="AH180" s="955">
        <f t="shared" si="50"/>
        <v>9.2294179765241055E-2</v>
      </c>
      <c r="AI180" s="955">
        <f t="shared" si="51"/>
        <v>8.2140246131351291E-2</v>
      </c>
      <c r="AJ180" s="955">
        <f t="shared" si="52"/>
        <v>7.9769302627838018E-2</v>
      </c>
      <c r="AK180" s="955">
        <f t="shared" si="53"/>
        <v>3.7716786483083548E-2</v>
      </c>
      <c r="AL180" s="955">
        <f t="shared" si="65"/>
        <v>7.1991389464278466E-3</v>
      </c>
      <c r="AM180" s="956">
        <f t="shared" si="54"/>
        <v>0.10778908249055684</v>
      </c>
      <c r="AN180" s="364"/>
      <c r="AO180" s="953">
        <v>9178.7088000000003</v>
      </c>
      <c r="AP180" s="949">
        <v>25999.776000000002</v>
      </c>
      <c r="AQ180" s="949">
        <v>19086.199199999999</v>
      </c>
      <c r="AR180" s="949">
        <v>110892.98399999998</v>
      </c>
      <c r="AS180" s="950">
        <v>31830.0288</v>
      </c>
      <c r="AT180" s="364"/>
      <c r="AU180" s="957">
        <f t="shared" si="60"/>
        <v>4.6595340465953407E-2</v>
      </c>
      <c r="AV180" s="958">
        <f t="shared" si="61"/>
        <v>0.13198680131986801</v>
      </c>
      <c r="AW180" s="958">
        <f t="shared" si="62"/>
        <v>9.6890310968903104E-2</v>
      </c>
      <c r="AX180" s="958">
        <f t="shared" si="63"/>
        <v>0.56294370562943696</v>
      </c>
      <c r="AY180" s="959">
        <f t="shared" si="64"/>
        <v>0.16158384161583841</v>
      </c>
      <c r="AZ180" s="364"/>
      <c r="BA180" s="957">
        <f t="shared" si="45"/>
        <v>0.1514982604292954</v>
      </c>
      <c r="BB180" s="959">
        <f t="shared" si="46"/>
        <v>0.16817960277811625</v>
      </c>
      <c r="BE180" t="s">
        <v>1179</v>
      </c>
      <c r="BF180" t="s">
        <v>1180</v>
      </c>
    </row>
    <row r="181" spans="1:58" ht="12.75" customHeight="1" outlineLevel="1" x14ac:dyDescent="0.2">
      <c r="A181" s="364" t="s">
        <v>1179</v>
      </c>
      <c r="B181" s="365">
        <v>45170</v>
      </c>
      <c r="C181" s="948">
        <v>212924</v>
      </c>
      <c r="D181" s="949">
        <v>187464</v>
      </c>
      <c r="E181" s="950">
        <v>25460</v>
      </c>
      <c r="F181" s="364"/>
      <c r="G181" s="948">
        <v>265.8</v>
      </c>
      <c r="H181" s="951">
        <v>155.80000000000001</v>
      </c>
      <c r="I181" s="952">
        <v>110</v>
      </c>
      <c r="J181" s="364"/>
      <c r="K181" s="953">
        <v>198804</v>
      </c>
      <c r="L181" s="950">
        <v>29404</v>
      </c>
      <c r="M181" s="364"/>
      <c r="N181" s="953">
        <v>102805.2576</v>
      </c>
      <c r="O181" s="950">
        <v>84658.742400000003</v>
      </c>
      <c r="P181" s="364"/>
      <c r="Q181" s="953">
        <v>875313</v>
      </c>
      <c r="R181" s="952">
        <v>4.6692324926385869</v>
      </c>
      <c r="S181" s="364"/>
      <c r="T181" s="953">
        <v>27963</v>
      </c>
      <c r="U181" s="949">
        <v>29652</v>
      </c>
      <c r="V181" s="949">
        <v>53663</v>
      </c>
      <c r="W181" s="949">
        <v>16085</v>
      </c>
      <c r="X181" s="949">
        <v>16769</v>
      </c>
      <c r="Y181" s="949">
        <v>16153</v>
      </c>
      <c r="Z181" s="949">
        <v>5995</v>
      </c>
      <c r="AA181" s="949">
        <v>2049</v>
      </c>
      <c r="AB181" s="950">
        <v>19135</v>
      </c>
      <c r="AC181" s="364"/>
      <c r="AD181" s="365">
        <f t="shared" si="59"/>
        <v>45170</v>
      </c>
      <c r="AE181" s="954">
        <f t="shared" si="47"/>
        <v>0.14916463961080528</v>
      </c>
      <c r="AF181" s="955">
        <f t="shared" si="48"/>
        <v>0.15817436947893995</v>
      </c>
      <c r="AG181" s="955">
        <f t="shared" si="49"/>
        <v>0.28625762813126787</v>
      </c>
      <c r="AH181" s="955">
        <f t="shared" si="50"/>
        <v>8.5803140869713648E-2</v>
      </c>
      <c r="AI181" s="955">
        <f t="shared" si="51"/>
        <v>8.945184142021935E-2</v>
      </c>
      <c r="AJ181" s="955">
        <f t="shared" si="52"/>
        <v>8.6165877181752226E-2</v>
      </c>
      <c r="AK181" s="955">
        <f t="shared" si="53"/>
        <v>3.1979473392224643E-2</v>
      </c>
      <c r="AL181" s="955">
        <f t="shared" si="65"/>
        <v>1.0930098578927154E-2</v>
      </c>
      <c r="AM181" s="956">
        <f t="shared" si="54"/>
        <v>0.10207293133614988</v>
      </c>
      <c r="AN181" s="364"/>
      <c r="AO181" s="953">
        <v>7929.7271999999994</v>
      </c>
      <c r="AP181" s="949">
        <v>22683.144</v>
      </c>
      <c r="AQ181" s="949">
        <v>16590.563999999998</v>
      </c>
      <c r="AR181" s="949">
        <v>111128.65919999999</v>
      </c>
      <c r="AS181" s="950">
        <v>29131.905600000002</v>
      </c>
      <c r="AT181" s="364"/>
      <c r="AU181" s="957">
        <f t="shared" si="60"/>
        <v>4.2299999999999997E-2</v>
      </c>
      <c r="AV181" s="958">
        <f t="shared" si="61"/>
        <v>0.121</v>
      </c>
      <c r="AW181" s="958">
        <f t="shared" si="62"/>
        <v>8.8499999999999995E-2</v>
      </c>
      <c r="AX181" s="958">
        <f t="shared" si="63"/>
        <v>0.59279999999999999</v>
      </c>
      <c r="AY181" s="959">
        <f t="shared" si="64"/>
        <v>0.15540000000000001</v>
      </c>
      <c r="AZ181" s="364"/>
      <c r="BA181" s="957">
        <f t="shared" ref="BA181:BA190" si="66">+E181/K181</f>
        <v>0.12806583368543892</v>
      </c>
      <c r="BB181" s="959">
        <f t="shared" ref="BB181:BB190" si="67">+L181/D181</f>
        <v>0.15685144881150515</v>
      </c>
      <c r="BE181" t="s">
        <v>1179</v>
      </c>
      <c r="BF181" t="s">
        <v>1180</v>
      </c>
    </row>
    <row r="182" spans="1:58" ht="12.75" customHeight="1" outlineLevel="1" x14ac:dyDescent="0.2">
      <c r="A182" s="364" t="s">
        <v>1181</v>
      </c>
      <c r="B182" s="365">
        <v>45200</v>
      </c>
      <c r="C182" s="948">
        <v>235847</v>
      </c>
      <c r="D182" s="949">
        <v>206819</v>
      </c>
      <c r="E182" s="950">
        <v>29028</v>
      </c>
      <c r="F182" s="364"/>
      <c r="G182" s="948">
        <v>263.10000000000002</v>
      </c>
      <c r="H182" s="951">
        <v>149.80000000000001</v>
      </c>
      <c r="I182" s="952">
        <v>113.3</v>
      </c>
      <c r="J182" s="364"/>
      <c r="K182" s="953">
        <v>187182</v>
      </c>
      <c r="L182" s="950">
        <v>33660</v>
      </c>
      <c r="M182" s="364"/>
      <c r="N182" s="953">
        <v>113192.0387</v>
      </c>
      <c r="O182" s="950">
        <v>93626.961299999995</v>
      </c>
      <c r="P182" s="364"/>
      <c r="Q182" s="953">
        <v>911370</v>
      </c>
      <c r="R182" s="952">
        <v>4.4066067430942031</v>
      </c>
      <c r="S182" s="364"/>
      <c r="T182" s="953">
        <v>32286</v>
      </c>
      <c r="U182" s="949">
        <v>32893</v>
      </c>
      <c r="V182" s="949">
        <v>56715</v>
      </c>
      <c r="W182" s="949">
        <v>17775</v>
      </c>
      <c r="X182" s="949">
        <v>19949</v>
      </c>
      <c r="Y182" s="949">
        <v>16335</v>
      </c>
      <c r="Z182" s="949">
        <v>5776</v>
      </c>
      <c r="AA182" s="949">
        <v>2717</v>
      </c>
      <c r="AB182" s="950">
        <v>22373</v>
      </c>
      <c r="AC182" s="364"/>
      <c r="AD182" s="365">
        <f t="shared" si="59"/>
        <v>45200</v>
      </c>
      <c r="AE182" s="954">
        <f t="shared" si="47"/>
        <v>0.15610751429994343</v>
      </c>
      <c r="AF182" s="955">
        <f t="shared" si="48"/>
        <v>0.15904244774416276</v>
      </c>
      <c r="AG182" s="955">
        <f t="shared" si="49"/>
        <v>0.27422528877907737</v>
      </c>
      <c r="AH182" s="955">
        <f t="shared" si="50"/>
        <v>8.594471494398484E-2</v>
      </c>
      <c r="AI182" s="955">
        <f t="shared" si="51"/>
        <v>9.6456321711254775E-2</v>
      </c>
      <c r="AJ182" s="955">
        <f t="shared" si="52"/>
        <v>7.8982105125737959E-2</v>
      </c>
      <c r="AK182" s="955">
        <f t="shared" si="53"/>
        <v>2.7927801604301347E-2</v>
      </c>
      <c r="AL182" s="955">
        <f t="shared" si="65"/>
        <v>1.3137090886233856E-2</v>
      </c>
      <c r="AM182" s="956">
        <f t="shared" si="54"/>
        <v>0.10817671490530367</v>
      </c>
      <c r="AN182" s="364"/>
      <c r="AO182" s="953">
        <v>8831.1713</v>
      </c>
      <c r="AP182" s="949">
        <v>24694.188600000001</v>
      </c>
      <c r="AQ182" s="949">
        <v>17207.340799999998</v>
      </c>
      <c r="AR182" s="949">
        <v>124236.17330000001</v>
      </c>
      <c r="AS182" s="950">
        <v>31829.444100000001</v>
      </c>
      <c r="AT182" s="364"/>
      <c r="AU182" s="957">
        <f t="shared" si="60"/>
        <v>4.2704270427042702E-2</v>
      </c>
      <c r="AV182" s="958">
        <f t="shared" si="61"/>
        <v>0.11941194119411942</v>
      </c>
      <c r="AW182" s="958">
        <f t="shared" si="62"/>
        <v>8.3208320832083196E-2</v>
      </c>
      <c r="AX182" s="958">
        <f t="shared" si="63"/>
        <v>0.60076007600760084</v>
      </c>
      <c r="AY182" s="959">
        <f t="shared" si="64"/>
        <v>0.15391539153915393</v>
      </c>
      <c r="AZ182" s="364"/>
      <c r="BA182" s="957">
        <f t="shared" si="66"/>
        <v>0.15507901400775714</v>
      </c>
      <c r="BB182" s="959">
        <f t="shared" si="67"/>
        <v>0.16275100450152066</v>
      </c>
      <c r="BE182" t="s">
        <v>1181</v>
      </c>
      <c r="BF182" t="s">
        <v>1182</v>
      </c>
    </row>
    <row r="183" spans="1:58" ht="12.75" customHeight="1" outlineLevel="1" x14ac:dyDescent="0.2">
      <c r="A183" s="364" t="s">
        <v>1181</v>
      </c>
      <c r="B183" s="365">
        <v>45231</v>
      </c>
      <c r="C183" s="948">
        <v>223933</v>
      </c>
      <c r="D183" s="949">
        <v>201834</v>
      </c>
      <c r="E183" s="950">
        <v>22099</v>
      </c>
      <c r="F183" s="364"/>
      <c r="G183" s="948">
        <v>251.5</v>
      </c>
      <c r="H183" s="951">
        <v>148.19999999999999</v>
      </c>
      <c r="I183" s="952">
        <v>103.3</v>
      </c>
      <c r="J183" s="364"/>
      <c r="K183" s="953">
        <v>190758</v>
      </c>
      <c r="L183" s="950">
        <v>35277</v>
      </c>
      <c r="M183" s="364"/>
      <c r="N183" s="953">
        <v>103399.5582</v>
      </c>
      <c r="O183" s="950">
        <v>98434.441800000001</v>
      </c>
      <c r="P183" s="364"/>
      <c r="Q183" s="953">
        <v>897135</v>
      </c>
      <c r="R183" s="952">
        <v>4.4449151282737303</v>
      </c>
      <c r="S183" s="364"/>
      <c r="T183" s="953">
        <v>27032</v>
      </c>
      <c r="U183" s="949">
        <v>30105</v>
      </c>
      <c r="V183" s="949">
        <v>56015</v>
      </c>
      <c r="W183" s="949">
        <v>14790</v>
      </c>
      <c r="X183" s="949">
        <v>17840</v>
      </c>
      <c r="Y183" s="949">
        <v>20567</v>
      </c>
      <c r="Z183" s="949">
        <v>5496</v>
      </c>
      <c r="AA183" s="949">
        <v>3539</v>
      </c>
      <c r="AB183" s="950">
        <v>26450</v>
      </c>
      <c r="AC183" s="364"/>
      <c r="AD183" s="365">
        <f t="shared" si="59"/>
        <v>45231</v>
      </c>
      <c r="AE183" s="954">
        <f t="shared" si="47"/>
        <v>0.13393184498151947</v>
      </c>
      <c r="AF183" s="955">
        <f t="shared" si="48"/>
        <v>0.14915722821724783</v>
      </c>
      <c r="AG183" s="955">
        <f t="shared" si="49"/>
        <v>0.27753004944657489</v>
      </c>
      <c r="AH183" s="955">
        <f t="shared" si="50"/>
        <v>7.3278040369808853E-2</v>
      </c>
      <c r="AI183" s="955">
        <f t="shared" si="51"/>
        <v>8.8389468573183902E-2</v>
      </c>
      <c r="AJ183" s="955">
        <f t="shared" si="52"/>
        <v>0.10190057175698841</v>
      </c>
      <c r="AK183" s="955">
        <f t="shared" si="53"/>
        <v>2.7230298165819435E-2</v>
      </c>
      <c r="AL183" s="955">
        <f t="shared" si="65"/>
        <v>1.7534211282539118E-2</v>
      </c>
      <c r="AM183" s="956">
        <f t="shared" si="54"/>
        <v>0.13104828720631806</v>
      </c>
      <c r="AN183" s="364"/>
      <c r="AO183" s="953">
        <v>9223.8137999999999</v>
      </c>
      <c r="AP183" s="949">
        <v>26198.053199999998</v>
      </c>
      <c r="AQ183" s="949">
        <v>17599.924800000001</v>
      </c>
      <c r="AR183" s="949">
        <v>116882.06939999999</v>
      </c>
      <c r="AS183" s="950">
        <v>31909.955399999999</v>
      </c>
      <c r="AT183" s="364"/>
      <c r="AU183" s="957">
        <f t="shared" si="60"/>
        <v>4.5704570457045707E-2</v>
      </c>
      <c r="AV183" s="958">
        <f t="shared" si="61"/>
        <v>0.12981298129812982</v>
      </c>
      <c r="AW183" s="958">
        <f t="shared" si="62"/>
        <v>8.7208720872087211E-2</v>
      </c>
      <c r="AX183" s="958">
        <f t="shared" si="63"/>
        <v>0.57915791579157916</v>
      </c>
      <c r="AY183" s="959">
        <f t="shared" si="64"/>
        <v>0.15811581158115812</v>
      </c>
      <c r="AZ183" s="364"/>
      <c r="BA183" s="957">
        <f t="shared" si="66"/>
        <v>0.11584835236267942</v>
      </c>
      <c r="BB183" s="959">
        <f t="shared" si="67"/>
        <v>0.17478224679687268</v>
      </c>
      <c r="BE183" t="s">
        <v>1181</v>
      </c>
      <c r="BF183" t="s">
        <v>1182</v>
      </c>
    </row>
    <row r="184" spans="1:58" ht="12.75" customHeight="1" outlineLevel="1" x14ac:dyDescent="0.2">
      <c r="A184" s="364" t="s">
        <v>1181</v>
      </c>
      <c r="B184" s="365">
        <v>45261</v>
      </c>
      <c r="C184" s="948">
        <v>261150</v>
      </c>
      <c r="D184" s="949">
        <v>236735</v>
      </c>
      <c r="E184" s="950">
        <v>24415</v>
      </c>
      <c r="F184" s="364"/>
      <c r="G184" s="948">
        <v>210.10000000000002</v>
      </c>
      <c r="H184" s="951">
        <v>144.30000000000001</v>
      </c>
      <c r="I184" s="952">
        <v>65.8</v>
      </c>
      <c r="J184" s="364"/>
      <c r="K184" s="953">
        <v>160480</v>
      </c>
      <c r="L184" s="950">
        <v>44187</v>
      </c>
      <c r="M184" s="364"/>
      <c r="N184" s="953">
        <v>126298.1225</v>
      </c>
      <c r="O184" s="950">
        <v>110436.8775</v>
      </c>
      <c r="P184" s="364"/>
      <c r="Q184" s="953">
        <v>1046981</v>
      </c>
      <c r="R184" s="952">
        <v>4.4225864363106426</v>
      </c>
      <c r="S184" s="364"/>
      <c r="T184" s="953">
        <v>32421</v>
      </c>
      <c r="U184" s="949">
        <v>43575</v>
      </c>
      <c r="V184" s="949">
        <v>58119</v>
      </c>
      <c r="W184" s="949">
        <v>20384</v>
      </c>
      <c r="X184" s="949">
        <v>22528</v>
      </c>
      <c r="Y184" s="949">
        <v>21300</v>
      </c>
      <c r="Z184" s="949">
        <v>6585</v>
      </c>
      <c r="AA184" s="949">
        <v>5458</v>
      </c>
      <c r="AB184" s="950">
        <v>26365</v>
      </c>
      <c r="AC184" s="364"/>
      <c r="AD184" s="365">
        <f t="shared" si="59"/>
        <v>45261</v>
      </c>
      <c r="AE184" s="954">
        <f t="shared" si="47"/>
        <v>0.13695059877077745</v>
      </c>
      <c r="AF184" s="955">
        <f t="shared" si="48"/>
        <v>0.18406657232770821</v>
      </c>
      <c r="AG184" s="955">
        <f t="shared" si="49"/>
        <v>0.24550235495385136</v>
      </c>
      <c r="AH184" s="955">
        <f t="shared" si="50"/>
        <v>8.6104716243901411E-2</v>
      </c>
      <c r="AI184" s="955">
        <f t="shared" si="51"/>
        <v>9.5161256256996216E-2</v>
      </c>
      <c r="AJ184" s="955">
        <f t="shared" si="52"/>
        <v>8.9974021585316921E-2</v>
      </c>
      <c r="AK184" s="955">
        <f t="shared" si="53"/>
        <v>2.7815912307009947E-2</v>
      </c>
      <c r="AL184" s="955">
        <f t="shared" si="65"/>
        <v>2.3055315014678859E-2</v>
      </c>
      <c r="AM184" s="956">
        <f t="shared" si="54"/>
        <v>0.11136925253975964</v>
      </c>
      <c r="AN184" s="364"/>
      <c r="AO184" s="953">
        <v>10653.074999999999</v>
      </c>
      <c r="AP184" s="949">
        <v>29213.098999999998</v>
      </c>
      <c r="AQ184" s="949">
        <v>22537.172000000002</v>
      </c>
      <c r="AR184" s="949">
        <v>135956.9105</v>
      </c>
      <c r="AS184" s="950">
        <v>38374.743499999997</v>
      </c>
      <c r="AT184" s="364"/>
      <c r="AU184" s="957">
        <f t="shared" si="60"/>
        <v>4.4999999999999998E-2</v>
      </c>
      <c r="AV184" s="958">
        <f t="shared" si="61"/>
        <v>0.1234</v>
      </c>
      <c r="AW184" s="958">
        <f t="shared" si="62"/>
        <v>9.5200000000000007E-2</v>
      </c>
      <c r="AX184" s="958">
        <f t="shared" si="63"/>
        <v>0.57430000000000003</v>
      </c>
      <c r="AY184" s="959">
        <f t="shared" si="64"/>
        <v>0.16209999999999999</v>
      </c>
      <c r="AZ184" s="364"/>
      <c r="BA184" s="957">
        <f t="shared" si="66"/>
        <v>0.15213733798604187</v>
      </c>
      <c r="BB184" s="959">
        <f t="shared" si="67"/>
        <v>0.18665174139861027</v>
      </c>
      <c r="BE184" t="s">
        <v>1181</v>
      </c>
      <c r="BF184" t="s">
        <v>1182</v>
      </c>
    </row>
    <row r="185" spans="1:58" ht="12.75" customHeight="1" outlineLevel="1" x14ac:dyDescent="0.2">
      <c r="A185" s="364" t="s">
        <v>1243</v>
      </c>
      <c r="B185" s="365">
        <v>45292</v>
      </c>
      <c r="C185" s="686">
        <v>170346</v>
      </c>
      <c r="D185" s="687">
        <v>152247</v>
      </c>
      <c r="E185" s="683">
        <v>18099</v>
      </c>
      <c r="F185" s="364"/>
      <c r="G185" s="686">
        <v>216.5</v>
      </c>
      <c r="H185" s="688">
        <v>133.9</v>
      </c>
      <c r="I185" s="689">
        <v>82.6</v>
      </c>
      <c r="J185" s="364"/>
      <c r="K185" s="682">
        <v>143027</v>
      </c>
      <c r="L185" s="683">
        <v>31031</v>
      </c>
      <c r="M185" s="364"/>
      <c r="N185" s="682">
        <v>62269.022999999994</v>
      </c>
      <c r="O185" s="683">
        <v>89977.977000000014</v>
      </c>
      <c r="P185" s="364"/>
      <c r="Q185" s="682">
        <v>891928</v>
      </c>
      <c r="R185" s="689">
        <v>5.8584274238572842</v>
      </c>
      <c r="S185" s="364"/>
      <c r="T185" s="682">
        <v>18922</v>
      </c>
      <c r="U185" s="687">
        <v>22145</v>
      </c>
      <c r="V185" s="687">
        <v>40767</v>
      </c>
      <c r="W185" s="687">
        <v>13799</v>
      </c>
      <c r="X185" s="687">
        <v>13352</v>
      </c>
      <c r="Y185" s="687">
        <v>14237</v>
      </c>
      <c r="Z185" s="687">
        <v>5155</v>
      </c>
      <c r="AA185" s="687">
        <v>4280</v>
      </c>
      <c r="AB185" s="683">
        <v>19590</v>
      </c>
      <c r="AC185" s="364"/>
      <c r="AD185" s="365">
        <f t="shared" si="59"/>
        <v>45292</v>
      </c>
      <c r="AE185" s="690">
        <f t="shared" ref="AE185:AE190" si="68">+T185/SUM($T185:$AB185)</f>
        <v>0.12428487917660118</v>
      </c>
      <c r="AF185" s="691">
        <f t="shared" ref="AF185:AF190" si="69">+U185/SUM($T185:$AB185)</f>
        <v>0.1454544260313832</v>
      </c>
      <c r="AG185" s="691">
        <f t="shared" ref="AG185:AG190" si="70">+V185/SUM($T185:$AB185)</f>
        <v>0.2677688230309957</v>
      </c>
      <c r="AH185" s="691">
        <f t="shared" ref="AH185:AH190" si="71">+W185/SUM($T185:$AB185)</f>
        <v>9.0635611867557322E-2</v>
      </c>
      <c r="AI185" s="691">
        <f t="shared" ref="AI185:AI190" si="72">+X185/SUM($T185:$AB185)</f>
        <v>8.7699593423844147E-2</v>
      </c>
      <c r="AJ185" s="691">
        <f t="shared" ref="AJ185:AJ190" si="73">+Y185/SUM($T185:$AB185)</f>
        <v>9.3512515845960834E-2</v>
      </c>
      <c r="AK185" s="691">
        <f t="shared" ref="AK185:AK190" si="74">+Z185/SUM($T185:$AB185)</f>
        <v>3.3859452074589319E-2</v>
      </c>
      <c r="AL185" s="691">
        <f t="shared" si="65"/>
        <v>2.8112212391705582E-2</v>
      </c>
      <c r="AM185" s="692">
        <f t="shared" ref="AM185:AM190" si="75">+AB185/SUM($T185:$AB185)</f>
        <v>0.12867248615736271</v>
      </c>
      <c r="AN185" s="364"/>
      <c r="AO185" s="682">
        <v>8053.8663000000006</v>
      </c>
      <c r="AP185" s="687">
        <v>23978.9025</v>
      </c>
      <c r="AQ185" s="687">
        <v>17036.439299999998</v>
      </c>
      <c r="AR185" s="687">
        <v>76671.589200000002</v>
      </c>
      <c r="AS185" s="683">
        <v>26506.202700000002</v>
      </c>
      <c r="AT185" s="364"/>
      <c r="AU185" s="693">
        <f t="shared" si="60"/>
        <v>5.2900000000000003E-2</v>
      </c>
      <c r="AV185" s="694">
        <f t="shared" si="61"/>
        <v>0.1575</v>
      </c>
      <c r="AW185" s="694">
        <f t="shared" si="62"/>
        <v>0.11189999999999999</v>
      </c>
      <c r="AX185" s="694">
        <f t="shared" si="63"/>
        <v>0.50360000000000005</v>
      </c>
      <c r="AY185" s="695">
        <f t="shared" si="64"/>
        <v>0.1741</v>
      </c>
      <c r="AZ185" s="364"/>
      <c r="BA185" s="693">
        <f t="shared" si="66"/>
        <v>0.12654254091884748</v>
      </c>
      <c r="BB185" s="695">
        <f t="shared" si="67"/>
        <v>0.20382010811378878</v>
      </c>
      <c r="BE185" t="s">
        <v>1243</v>
      </c>
      <c r="BF185" t="s">
        <v>1242</v>
      </c>
    </row>
    <row r="186" spans="1:58" ht="12.75" customHeight="1" outlineLevel="1" x14ac:dyDescent="0.2">
      <c r="A186" s="364" t="s">
        <v>1243</v>
      </c>
      <c r="B186" s="365">
        <v>45323</v>
      </c>
      <c r="C186" s="686">
        <v>184530</v>
      </c>
      <c r="D186" s="687">
        <v>155511</v>
      </c>
      <c r="E186" s="683">
        <v>29019</v>
      </c>
      <c r="F186" s="364"/>
      <c r="G186" s="686">
        <v>217.6</v>
      </c>
      <c r="H186" s="688">
        <v>126</v>
      </c>
      <c r="I186" s="689">
        <v>91.6</v>
      </c>
      <c r="J186" s="364"/>
      <c r="K186" s="682">
        <v>177254</v>
      </c>
      <c r="L186" s="683">
        <v>27591</v>
      </c>
      <c r="M186" s="364"/>
      <c r="N186" s="682">
        <v>71410.651199999993</v>
      </c>
      <c r="O186" s="683">
        <v>84100.348800000007</v>
      </c>
      <c r="P186" s="364"/>
      <c r="Q186" s="682">
        <v>839187</v>
      </c>
      <c r="R186" s="689">
        <v>5.3963192314370048</v>
      </c>
      <c r="S186" s="364"/>
      <c r="T186" s="682">
        <v>16548</v>
      </c>
      <c r="U186" s="687">
        <v>23908</v>
      </c>
      <c r="V186" s="687">
        <v>45450</v>
      </c>
      <c r="W186" s="687">
        <v>13396</v>
      </c>
      <c r="X186" s="687">
        <v>15913</v>
      </c>
      <c r="Y186" s="687">
        <v>11961</v>
      </c>
      <c r="Z186" s="687">
        <v>5443</v>
      </c>
      <c r="AA186" s="687">
        <v>4398</v>
      </c>
      <c r="AB186" s="683">
        <v>18494</v>
      </c>
      <c r="AC186" s="364"/>
      <c r="AD186" s="365">
        <f t="shared" si="59"/>
        <v>45323</v>
      </c>
      <c r="AE186" s="690">
        <f t="shared" si="68"/>
        <v>0.10641047900148543</v>
      </c>
      <c r="AF186" s="691">
        <f t="shared" si="69"/>
        <v>0.15373832076187535</v>
      </c>
      <c r="AG186" s="691">
        <f t="shared" si="70"/>
        <v>0.29226228369697321</v>
      </c>
      <c r="AH186" s="691">
        <f t="shared" si="71"/>
        <v>8.6141816334535826E-2</v>
      </c>
      <c r="AI186" s="691">
        <f t="shared" si="72"/>
        <v>0.10232716656699527</v>
      </c>
      <c r="AJ186" s="691">
        <f t="shared" si="73"/>
        <v>7.6914173273916309E-2</v>
      </c>
      <c r="AK186" s="691">
        <f t="shared" si="74"/>
        <v>3.5000739497527508E-2</v>
      </c>
      <c r="AL186" s="691">
        <f t="shared" si="65"/>
        <v>2.8280957617146055E-2</v>
      </c>
      <c r="AM186" s="692">
        <f t="shared" si="75"/>
        <v>0.11892406324954505</v>
      </c>
      <c r="AN186" s="364"/>
      <c r="AO186" s="682">
        <v>8786.3715000000011</v>
      </c>
      <c r="AP186" s="687">
        <v>20496.3498</v>
      </c>
      <c r="AQ186" s="687">
        <v>16717.432499999999</v>
      </c>
      <c r="AR186" s="687">
        <v>83089.527300000002</v>
      </c>
      <c r="AS186" s="683">
        <v>26421.318899999998</v>
      </c>
      <c r="AT186" s="364"/>
      <c r="AU186" s="693">
        <f t="shared" si="60"/>
        <v>5.6500000000000009E-2</v>
      </c>
      <c r="AV186" s="694">
        <f t="shared" si="61"/>
        <v>0.1318</v>
      </c>
      <c r="AW186" s="694">
        <f t="shared" si="62"/>
        <v>0.1075</v>
      </c>
      <c r="AX186" s="694">
        <f t="shared" si="63"/>
        <v>0.5343</v>
      </c>
      <c r="AY186" s="695">
        <f t="shared" si="64"/>
        <v>0.1699</v>
      </c>
      <c r="AZ186" s="364"/>
      <c r="BA186" s="693">
        <f t="shared" si="66"/>
        <v>0.16371421801482619</v>
      </c>
      <c r="BB186" s="695">
        <f t="shared" si="67"/>
        <v>0.17742153288191831</v>
      </c>
      <c r="BE186" t="s">
        <v>1243</v>
      </c>
      <c r="BF186" t="s">
        <v>1242</v>
      </c>
    </row>
    <row r="187" spans="1:58" ht="12.75" customHeight="1" outlineLevel="1" x14ac:dyDescent="0.2">
      <c r="A187" s="364" t="s">
        <v>1243</v>
      </c>
      <c r="B187" s="365">
        <v>45352</v>
      </c>
      <c r="C187" s="686">
        <v>207164</v>
      </c>
      <c r="D187" s="687">
        <v>176230</v>
      </c>
      <c r="E187" s="683">
        <v>30934</v>
      </c>
      <c r="F187" s="364"/>
      <c r="G187" s="686">
        <v>222.3</v>
      </c>
      <c r="H187" s="688">
        <v>131</v>
      </c>
      <c r="I187" s="689">
        <v>91.3</v>
      </c>
      <c r="J187" s="364"/>
      <c r="K187" s="682">
        <v>181901</v>
      </c>
      <c r="L187" s="683">
        <v>30104</v>
      </c>
      <c r="M187" s="364"/>
      <c r="N187" s="682">
        <v>80871.947</v>
      </c>
      <c r="O187" s="683">
        <v>95358.053</v>
      </c>
      <c r="P187" s="364"/>
      <c r="Q187" s="682">
        <v>863036</v>
      </c>
      <c r="R187" s="689">
        <v>4.8972138682403674</v>
      </c>
      <c r="S187" s="364"/>
      <c r="T187" s="682">
        <v>21465</v>
      </c>
      <c r="U187" s="687">
        <v>30780</v>
      </c>
      <c r="V187" s="687">
        <v>47694</v>
      </c>
      <c r="W187" s="687">
        <v>14856</v>
      </c>
      <c r="X187" s="687">
        <v>17009</v>
      </c>
      <c r="Y187" s="687">
        <v>10999</v>
      </c>
      <c r="Z187" s="687">
        <v>6415</v>
      </c>
      <c r="AA187" s="687">
        <v>6109</v>
      </c>
      <c r="AB187" s="683">
        <v>20903</v>
      </c>
      <c r="AC187" s="364"/>
      <c r="AD187" s="365">
        <f t="shared" si="59"/>
        <v>45352</v>
      </c>
      <c r="AE187" s="690">
        <f t="shared" si="68"/>
        <v>0.12180105543891505</v>
      </c>
      <c r="AF187" s="691">
        <f t="shared" si="69"/>
        <v>0.17465811723316121</v>
      </c>
      <c r="AG187" s="691">
        <f t="shared" si="70"/>
        <v>0.27063496566986323</v>
      </c>
      <c r="AH187" s="691">
        <f t="shared" si="71"/>
        <v>8.4298927537876642E-2</v>
      </c>
      <c r="AI187" s="691">
        <f t="shared" si="72"/>
        <v>9.6515916699767348E-2</v>
      </c>
      <c r="AJ187" s="691">
        <f t="shared" si="73"/>
        <v>6.2412756057424953E-2</v>
      </c>
      <c r="AK187" s="691">
        <f t="shared" si="74"/>
        <v>3.6401293763831354E-2</v>
      </c>
      <c r="AL187" s="691">
        <f t="shared" si="65"/>
        <v>3.4664926516484139E-2</v>
      </c>
      <c r="AM187" s="692">
        <f t="shared" si="75"/>
        <v>0.11861204108267605</v>
      </c>
      <c r="AN187" s="364"/>
      <c r="AO187" s="682">
        <v>8282.81</v>
      </c>
      <c r="AP187" s="687">
        <v>23808.672999999999</v>
      </c>
      <c r="AQ187" s="687">
        <v>18768.494999999999</v>
      </c>
      <c r="AR187" s="687">
        <v>94917.477999999988</v>
      </c>
      <c r="AS187" s="683">
        <v>30452.544000000002</v>
      </c>
      <c r="AT187" s="364"/>
      <c r="AU187" s="693">
        <f t="shared" si="60"/>
        <v>4.7E-2</v>
      </c>
      <c r="AV187" s="694">
        <f t="shared" si="61"/>
        <v>0.1351</v>
      </c>
      <c r="AW187" s="694">
        <f t="shared" si="62"/>
        <v>0.1065</v>
      </c>
      <c r="AX187" s="694">
        <f t="shared" si="63"/>
        <v>0.53859999999999997</v>
      </c>
      <c r="AY187" s="695">
        <f t="shared" si="64"/>
        <v>0.17280000000000001</v>
      </c>
      <c r="AZ187" s="364"/>
      <c r="BA187" s="693">
        <f t="shared" si="66"/>
        <v>0.17005953788049544</v>
      </c>
      <c r="BB187" s="695">
        <f t="shared" si="67"/>
        <v>0.17082222096124383</v>
      </c>
      <c r="BE187" t="s">
        <v>1243</v>
      </c>
      <c r="BF187" t="s">
        <v>1242</v>
      </c>
    </row>
    <row r="188" spans="1:58" ht="12.75" customHeight="1" outlineLevel="1" x14ac:dyDescent="0.2">
      <c r="A188" s="364" t="s">
        <v>1250</v>
      </c>
      <c r="B188" s="365">
        <v>45383</v>
      </c>
      <c r="C188" s="686">
        <v>234046</v>
      </c>
      <c r="D188" s="687">
        <v>208348</v>
      </c>
      <c r="E188" s="683">
        <v>25698</v>
      </c>
      <c r="F188" s="364"/>
      <c r="G188" s="686">
        <v>242.6</v>
      </c>
      <c r="H188" s="688">
        <v>128.69999999999999</v>
      </c>
      <c r="I188" s="689">
        <v>113.9</v>
      </c>
      <c r="J188" s="364"/>
      <c r="K188" s="682">
        <v>207651</v>
      </c>
      <c r="L188" s="683">
        <v>35720</v>
      </c>
      <c r="M188" s="364"/>
      <c r="N188" s="682">
        <v>99381.996000000014</v>
      </c>
      <c r="O188" s="683">
        <v>108966.00399999999</v>
      </c>
      <c r="P188" s="364"/>
      <c r="Q188" s="682">
        <v>968593</v>
      </c>
      <c r="R188" s="689">
        <v>4.6489191160942269</v>
      </c>
      <c r="S188" s="364"/>
      <c r="T188" s="682">
        <v>29860</v>
      </c>
      <c r="U188" s="687">
        <v>33442</v>
      </c>
      <c r="V188" s="687">
        <v>53455</v>
      </c>
      <c r="W188" s="687">
        <v>17432</v>
      </c>
      <c r="X188" s="687">
        <v>18933</v>
      </c>
      <c r="Y188" s="687">
        <v>15674</v>
      </c>
      <c r="Z188" s="687">
        <v>7166</v>
      </c>
      <c r="AA188" s="687">
        <v>7037</v>
      </c>
      <c r="AB188" s="683">
        <v>25349</v>
      </c>
      <c r="AC188" s="364"/>
      <c r="AD188" s="365">
        <f t="shared" si="59"/>
        <v>45383</v>
      </c>
      <c r="AE188" s="690">
        <f t="shared" si="68"/>
        <v>0.14331791041910649</v>
      </c>
      <c r="AF188" s="691">
        <f t="shared" si="69"/>
        <v>0.16051030007487474</v>
      </c>
      <c r="AG188" s="691">
        <f t="shared" si="70"/>
        <v>0.25656593775798187</v>
      </c>
      <c r="AH188" s="691">
        <f t="shared" si="71"/>
        <v>8.3667709793230557E-2</v>
      </c>
      <c r="AI188" s="691">
        <f t="shared" si="72"/>
        <v>9.0872002611016189E-2</v>
      </c>
      <c r="AJ188" s="691">
        <f t="shared" si="73"/>
        <v>7.5229903814771446E-2</v>
      </c>
      <c r="AK188" s="691">
        <f t="shared" si="74"/>
        <v>3.4394378635744044E-2</v>
      </c>
      <c r="AL188" s="691">
        <f t="shared" si="65"/>
        <v>3.3775222224355403E-2</v>
      </c>
      <c r="AM188" s="692">
        <f t="shared" si="75"/>
        <v>0.1216666346689193</v>
      </c>
      <c r="AN188" s="364"/>
      <c r="AO188" s="682">
        <v>10354.8956</v>
      </c>
      <c r="AP188" s="687">
        <v>26960.231199999998</v>
      </c>
      <c r="AQ188" s="687">
        <v>21605.687600000001</v>
      </c>
      <c r="AR188" s="687">
        <v>113966.35600000001</v>
      </c>
      <c r="AS188" s="683">
        <v>35481.664400000001</v>
      </c>
      <c r="AT188" s="364"/>
      <c r="AU188" s="693">
        <f t="shared" si="60"/>
        <v>4.9695030496950302E-2</v>
      </c>
      <c r="AV188" s="694">
        <f t="shared" si="61"/>
        <v>0.12938706129387059</v>
      </c>
      <c r="AW188" s="694">
        <f t="shared" si="62"/>
        <v>0.10368963103689631</v>
      </c>
      <c r="AX188" s="694">
        <f t="shared" si="63"/>
        <v>0.54694530546945308</v>
      </c>
      <c r="AY188" s="695">
        <f t="shared" si="64"/>
        <v>0.17028297170282972</v>
      </c>
      <c r="AZ188" s="364"/>
      <c r="BA188" s="693">
        <f t="shared" si="66"/>
        <v>0.12375572474970022</v>
      </c>
      <c r="BB188" s="695">
        <f t="shared" si="67"/>
        <v>0.17144393034730354</v>
      </c>
      <c r="BE188" t="s">
        <v>1250</v>
      </c>
      <c r="BF188" t="s">
        <v>1253</v>
      </c>
    </row>
    <row r="189" spans="1:58" ht="12.75" customHeight="1" outlineLevel="1" x14ac:dyDescent="0.2">
      <c r="A189" s="364" t="s">
        <v>1250</v>
      </c>
      <c r="B189" s="365">
        <v>45413</v>
      </c>
      <c r="C189" s="686">
        <v>208587</v>
      </c>
      <c r="D189" s="687">
        <v>183426</v>
      </c>
      <c r="E189" s="683">
        <v>25161</v>
      </c>
      <c r="F189" s="364"/>
      <c r="G189" s="686">
        <v>246</v>
      </c>
      <c r="H189" s="688">
        <v>124.4</v>
      </c>
      <c r="I189" s="689">
        <v>121.6</v>
      </c>
      <c r="J189" s="364"/>
      <c r="K189" s="682">
        <v>152829</v>
      </c>
      <c r="L189" s="683">
        <v>32381</v>
      </c>
      <c r="M189" s="364"/>
      <c r="N189" s="682">
        <v>84577.728600000002</v>
      </c>
      <c r="O189" s="683">
        <v>98848.271399999998</v>
      </c>
      <c r="P189" s="364"/>
      <c r="Q189" s="682">
        <v>880443</v>
      </c>
      <c r="R189" s="689">
        <v>4.7999901867783192</v>
      </c>
      <c r="S189" s="364"/>
      <c r="T189" s="682">
        <v>25811</v>
      </c>
      <c r="U189" s="687">
        <v>27536</v>
      </c>
      <c r="V189" s="687">
        <v>49362</v>
      </c>
      <c r="W189" s="687">
        <v>15071</v>
      </c>
      <c r="X189" s="687">
        <v>15458</v>
      </c>
      <c r="Y189" s="687">
        <v>15621</v>
      </c>
      <c r="Z189" s="687">
        <v>6448</v>
      </c>
      <c r="AA189" s="687">
        <v>5255</v>
      </c>
      <c r="AB189" s="683">
        <v>22864</v>
      </c>
      <c r="AC189" s="364"/>
      <c r="AD189" s="365">
        <f t="shared" si="59"/>
        <v>45413</v>
      </c>
      <c r="AE189" s="690">
        <f t="shared" si="68"/>
        <v>0.14071614711109656</v>
      </c>
      <c r="AF189" s="691">
        <f t="shared" si="69"/>
        <v>0.15012048455507943</v>
      </c>
      <c r="AG189" s="691">
        <f t="shared" si="70"/>
        <v>0.26911124922311996</v>
      </c>
      <c r="AH189" s="691">
        <f t="shared" si="71"/>
        <v>8.2163924416385897E-2</v>
      </c>
      <c r="AI189" s="691">
        <f t="shared" si="72"/>
        <v>8.4273767077731626E-2</v>
      </c>
      <c r="AJ189" s="691">
        <f t="shared" si="73"/>
        <v>8.5162408818815219E-2</v>
      </c>
      <c r="AK189" s="691">
        <f t="shared" si="74"/>
        <v>3.5153140776116802E-2</v>
      </c>
      <c r="AL189" s="691">
        <f t="shared" si="65"/>
        <v>2.8649155517756479E-2</v>
      </c>
      <c r="AM189" s="692">
        <f t="shared" si="75"/>
        <v>0.12464972250389802</v>
      </c>
      <c r="AN189" s="364"/>
      <c r="AO189" s="682">
        <v>9318.0407999999989</v>
      </c>
      <c r="AP189" s="687">
        <v>27587.270400000001</v>
      </c>
      <c r="AQ189" s="687">
        <v>19259.73</v>
      </c>
      <c r="AR189" s="687">
        <v>101012.6982</v>
      </c>
      <c r="AS189" s="683">
        <v>26248.260600000001</v>
      </c>
      <c r="AT189" s="364"/>
      <c r="AU189" s="693">
        <f t="shared" si="60"/>
        <v>5.0799999999999991E-2</v>
      </c>
      <c r="AV189" s="694">
        <f t="shared" si="61"/>
        <v>0.15040000000000001</v>
      </c>
      <c r="AW189" s="694">
        <f t="shared" si="62"/>
        <v>0.105</v>
      </c>
      <c r="AX189" s="694">
        <f t="shared" si="63"/>
        <v>0.55069999999999997</v>
      </c>
      <c r="AY189" s="695">
        <f t="shared" si="64"/>
        <v>0.1431</v>
      </c>
      <c r="AZ189" s="364"/>
      <c r="BA189" s="693">
        <f t="shared" si="66"/>
        <v>0.16463498419802525</v>
      </c>
      <c r="BB189" s="695">
        <f t="shared" si="67"/>
        <v>0.17653440624557043</v>
      </c>
      <c r="BE189" t="s">
        <v>1250</v>
      </c>
      <c r="BF189" t="s">
        <v>1253</v>
      </c>
    </row>
    <row r="190" spans="1:58" ht="12.75" customHeight="1" outlineLevel="1" x14ac:dyDescent="0.2">
      <c r="A190" s="364" t="s">
        <v>1250</v>
      </c>
      <c r="B190" s="365">
        <v>45444</v>
      </c>
      <c r="C190" s="686">
        <v>229790</v>
      </c>
      <c r="D190" s="687">
        <v>202584</v>
      </c>
      <c r="E190" s="683">
        <v>27206</v>
      </c>
      <c r="F190" s="364"/>
      <c r="G190" s="686">
        <v>235.29999999999998</v>
      </c>
      <c r="H190" s="688">
        <v>133.69999999999999</v>
      </c>
      <c r="I190" s="689">
        <v>101.6</v>
      </c>
      <c r="J190" s="364"/>
      <c r="K190" s="682">
        <v>196160</v>
      </c>
      <c r="L190" s="683">
        <v>37648</v>
      </c>
      <c r="M190" s="364"/>
      <c r="N190" s="682">
        <v>98860.991999999998</v>
      </c>
      <c r="O190" s="683">
        <v>103723.008</v>
      </c>
      <c r="P190" s="364"/>
      <c r="Q190" s="682">
        <v>958540</v>
      </c>
      <c r="R190" s="689">
        <v>4.7315681396359039</v>
      </c>
      <c r="S190" s="364"/>
      <c r="T190" s="682">
        <v>28642</v>
      </c>
      <c r="U190" s="687">
        <v>29975</v>
      </c>
      <c r="V190" s="687">
        <v>48498</v>
      </c>
      <c r="W190" s="687">
        <v>17403</v>
      </c>
      <c r="X190" s="687">
        <v>17148</v>
      </c>
      <c r="Y190" s="687">
        <v>19448</v>
      </c>
      <c r="Z190" s="687">
        <v>7486</v>
      </c>
      <c r="AA190" s="687">
        <v>5257</v>
      </c>
      <c r="AB190" s="683">
        <v>28727</v>
      </c>
      <c r="AC190" s="364"/>
      <c r="AD190" s="365">
        <f t="shared" si="59"/>
        <v>45444</v>
      </c>
      <c r="AE190" s="690">
        <f t="shared" si="68"/>
        <v>0.14138332740986456</v>
      </c>
      <c r="AF190" s="691">
        <f t="shared" si="69"/>
        <v>0.14796331398333532</v>
      </c>
      <c r="AG190" s="691">
        <f t="shared" si="70"/>
        <v>0.23939699087785807</v>
      </c>
      <c r="AH190" s="691">
        <f t="shared" si="71"/>
        <v>8.5905106030091216E-2</v>
      </c>
      <c r="AI190" s="691">
        <f t="shared" si="72"/>
        <v>8.4646368913635819E-2</v>
      </c>
      <c r="AJ190" s="691">
        <f t="shared" si="73"/>
        <v>9.5999684081664885E-2</v>
      </c>
      <c r="AK190" s="691">
        <f t="shared" si="74"/>
        <v>3.6952572759941557E-2</v>
      </c>
      <c r="AL190" s="691">
        <f t="shared" si="65"/>
        <v>2.594972949492556E-2</v>
      </c>
      <c r="AM190" s="692">
        <f t="shared" si="75"/>
        <v>0.14180290644868301</v>
      </c>
      <c r="AN190" s="364"/>
      <c r="AO190" s="682">
        <v>9521.4480000000003</v>
      </c>
      <c r="AP190" s="687">
        <v>24715.248</v>
      </c>
      <c r="AQ190" s="687">
        <v>19204.963199999998</v>
      </c>
      <c r="AR190" s="687">
        <v>116161.66560000001</v>
      </c>
      <c r="AS190" s="683">
        <v>32980.675199999998</v>
      </c>
      <c r="AT190" s="364"/>
      <c r="AU190" s="693">
        <f t="shared" si="60"/>
        <v>4.7E-2</v>
      </c>
      <c r="AV190" s="694">
        <f t="shared" si="61"/>
        <v>0.122</v>
      </c>
      <c r="AW190" s="694">
        <f t="shared" si="62"/>
        <v>9.4799999999999995E-2</v>
      </c>
      <c r="AX190" s="694">
        <f t="shared" si="63"/>
        <v>0.57340000000000002</v>
      </c>
      <c r="AY190" s="695">
        <f t="shared" si="64"/>
        <v>0.1628</v>
      </c>
      <c r="AZ190" s="364"/>
      <c r="BA190" s="693">
        <f t="shared" si="66"/>
        <v>0.13869290375203916</v>
      </c>
      <c r="BB190" s="695">
        <f t="shared" si="67"/>
        <v>0.1858389606286775</v>
      </c>
      <c r="BE190" t="s">
        <v>1250</v>
      </c>
      <c r="BF190" t="s">
        <v>1253</v>
      </c>
    </row>
    <row r="191" spans="1:58" ht="12.75" customHeight="1" outlineLevel="1" x14ac:dyDescent="0.2">
      <c r="A191" s="364" t="s">
        <v>1251</v>
      </c>
      <c r="B191" s="365">
        <v>45474</v>
      </c>
      <c r="C191" s="686">
        <v>264696</v>
      </c>
      <c r="D191" s="687">
        <v>227496</v>
      </c>
      <c r="E191" s="683">
        <v>37200</v>
      </c>
      <c r="F191" s="364"/>
      <c r="G191" s="686">
        <v>255.8</v>
      </c>
      <c r="H191" s="688">
        <v>130.80000000000001</v>
      </c>
      <c r="I191" s="689">
        <v>125</v>
      </c>
      <c r="J191" s="364"/>
      <c r="K191" s="682">
        <v>232616</v>
      </c>
      <c r="L191" s="683">
        <v>40551</v>
      </c>
      <c r="M191" s="364"/>
      <c r="N191" s="682">
        <v>108515.592</v>
      </c>
      <c r="O191" s="683">
        <v>118980.408</v>
      </c>
      <c r="P191" s="364"/>
      <c r="Q191" s="682">
        <v>1087536</v>
      </c>
      <c r="R191" s="689">
        <v>4.7804620740584447</v>
      </c>
      <c r="S191" s="364"/>
      <c r="T191" s="682">
        <v>26048</v>
      </c>
      <c r="U191" s="687">
        <v>37036</v>
      </c>
      <c r="V191" s="687">
        <v>62677</v>
      </c>
      <c r="W191" s="687">
        <v>19869</v>
      </c>
      <c r="X191" s="687">
        <v>19218</v>
      </c>
      <c r="Y191" s="687">
        <v>17795</v>
      </c>
      <c r="Z191" s="687">
        <v>8422</v>
      </c>
      <c r="AA191" s="687">
        <v>6078</v>
      </c>
      <c r="AB191" s="683">
        <v>30353</v>
      </c>
      <c r="AC191" s="364"/>
      <c r="AD191" s="365">
        <f t="shared" si="59"/>
        <v>45474</v>
      </c>
      <c r="AE191" s="690">
        <f t="shared" ref="AE191:AM193" si="76">+T191/SUM($T191:$AB191)</f>
        <v>0.11449871646094877</v>
      </c>
      <c r="AF191" s="691">
        <f t="shared" si="76"/>
        <v>0.1627984667862292</v>
      </c>
      <c r="AG191" s="691">
        <f t="shared" si="76"/>
        <v>0.27550814080247565</v>
      </c>
      <c r="AH191" s="691">
        <f t="shared" si="76"/>
        <v>8.7337799345922562E-2</v>
      </c>
      <c r="AI191" s="691">
        <f t="shared" si="76"/>
        <v>8.4476210570735316E-2</v>
      </c>
      <c r="AJ191" s="691">
        <f t="shared" si="76"/>
        <v>7.8221155536800646E-2</v>
      </c>
      <c r="AK191" s="691">
        <f t="shared" si="76"/>
        <v>3.7020431128459402E-2</v>
      </c>
      <c r="AL191" s="691">
        <f t="shared" si="76"/>
        <v>2.6716953265112354E-2</v>
      </c>
      <c r="AM191" s="692">
        <f t="shared" si="76"/>
        <v>0.13342212610331611</v>
      </c>
      <c r="AN191" s="364"/>
      <c r="AO191" s="682">
        <v>9418.3343999999997</v>
      </c>
      <c r="AP191" s="687">
        <v>30438.964800000002</v>
      </c>
      <c r="AQ191" s="687">
        <v>19928.649600000001</v>
      </c>
      <c r="AR191" s="687">
        <v>128899.23359999999</v>
      </c>
      <c r="AS191" s="683">
        <v>38810.817600000002</v>
      </c>
      <c r="AT191" s="364"/>
      <c r="AU191" s="693">
        <f t="shared" ref="AU191:AY193" si="77">+AO191/SUM($AO191:$AS191)</f>
        <v>4.1399999999999999E-2</v>
      </c>
      <c r="AV191" s="694">
        <f t="shared" si="77"/>
        <v>0.1338</v>
      </c>
      <c r="AW191" s="694">
        <f t="shared" si="77"/>
        <v>8.7599999999999997E-2</v>
      </c>
      <c r="AX191" s="694">
        <f t="shared" si="77"/>
        <v>0.56659999999999999</v>
      </c>
      <c r="AY191" s="695">
        <f t="shared" si="77"/>
        <v>0.1706</v>
      </c>
      <c r="AZ191" s="364"/>
      <c r="BA191" s="693">
        <f t="shared" ref="BA191:BA196" si="78">+E191/K191</f>
        <v>0.15992021185129141</v>
      </c>
      <c r="BB191" s="695">
        <f t="shared" ref="BB191:BB196" si="79">+L191/D191</f>
        <v>0.17824928789956745</v>
      </c>
      <c r="BE191" t="s">
        <v>1251</v>
      </c>
      <c r="BF191" t="s">
        <v>1254</v>
      </c>
    </row>
    <row r="192" spans="1:58" ht="12.75" customHeight="1" outlineLevel="1" x14ac:dyDescent="0.2">
      <c r="A192" s="364" t="s">
        <v>1251</v>
      </c>
      <c r="B192" s="365">
        <v>45505</v>
      </c>
      <c r="C192" s="686">
        <v>259846</v>
      </c>
      <c r="D192" s="687">
        <v>223450</v>
      </c>
      <c r="E192" s="683">
        <v>36396</v>
      </c>
      <c r="F192" s="364"/>
      <c r="G192" s="686">
        <v>268.89999999999998</v>
      </c>
      <c r="H192" s="688">
        <v>133.69999999999999</v>
      </c>
      <c r="I192" s="689">
        <v>135.19999999999999</v>
      </c>
      <c r="J192" s="364"/>
      <c r="K192" s="682">
        <v>244356</v>
      </c>
      <c r="L192" s="683">
        <v>40008</v>
      </c>
      <c r="M192" s="364"/>
      <c r="N192" s="682">
        <v>111278.1</v>
      </c>
      <c r="O192" s="683">
        <v>112171.9</v>
      </c>
      <c r="P192" s="364"/>
      <c r="Q192" s="682">
        <v>1056020</v>
      </c>
      <c r="R192" s="689">
        <v>4.7259789662116809</v>
      </c>
      <c r="S192" s="364"/>
      <c r="T192" s="682">
        <v>27983</v>
      </c>
      <c r="U192" s="687">
        <v>37071</v>
      </c>
      <c r="V192" s="687">
        <v>60642</v>
      </c>
      <c r="W192" s="687">
        <v>18862</v>
      </c>
      <c r="X192" s="687">
        <v>18439</v>
      </c>
      <c r="Y192" s="687">
        <v>16945</v>
      </c>
      <c r="Z192" s="687">
        <v>8471</v>
      </c>
      <c r="AA192" s="687">
        <v>6705</v>
      </c>
      <c r="AB192" s="683">
        <v>28332</v>
      </c>
      <c r="AC192" s="364"/>
      <c r="AD192" s="365">
        <f t="shared" si="59"/>
        <v>45505</v>
      </c>
      <c r="AE192" s="690">
        <f t="shared" si="76"/>
        <v>0.12523159543522042</v>
      </c>
      <c r="AF192" s="691">
        <f t="shared" si="76"/>
        <v>0.1659028865518013</v>
      </c>
      <c r="AG192" s="691">
        <f t="shared" si="76"/>
        <v>0.27138957261132246</v>
      </c>
      <c r="AH192" s="691">
        <f t="shared" si="76"/>
        <v>8.441262027299172E-2</v>
      </c>
      <c r="AI192" s="691">
        <f t="shared" si="76"/>
        <v>8.2519579324233608E-2</v>
      </c>
      <c r="AJ192" s="691">
        <f t="shared" si="76"/>
        <v>7.5833519803087945E-2</v>
      </c>
      <c r="AK192" s="691">
        <f t="shared" si="76"/>
        <v>3.7910046990378157E-2</v>
      </c>
      <c r="AL192" s="691">
        <f t="shared" si="76"/>
        <v>3.0006712911165807E-2</v>
      </c>
      <c r="AM192" s="692">
        <f t="shared" si="76"/>
        <v>0.12679346609979861</v>
      </c>
      <c r="AN192" s="364"/>
      <c r="AO192" s="682">
        <v>11306.57</v>
      </c>
      <c r="AP192" s="687">
        <v>31260.654999999999</v>
      </c>
      <c r="AQ192" s="687">
        <v>20825.54</v>
      </c>
      <c r="AR192" s="687">
        <v>121802.595</v>
      </c>
      <c r="AS192" s="683">
        <v>38232.294999999998</v>
      </c>
      <c r="AT192" s="364"/>
      <c r="AU192" s="693">
        <f t="shared" si="77"/>
        <v>5.0605060506050611E-2</v>
      </c>
      <c r="AV192" s="694">
        <f t="shared" si="77"/>
        <v>0.13991399139913993</v>
      </c>
      <c r="AW192" s="694">
        <f t="shared" si="77"/>
        <v>9.320932093209322E-2</v>
      </c>
      <c r="AX192" s="694">
        <f t="shared" si="77"/>
        <v>0.54515451545154525</v>
      </c>
      <c r="AY192" s="695">
        <f t="shared" si="77"/>
        <v>0.17111711171117114</v>
      </c>
      <c r="AZ192" s="364"/>
      <c r="BA192" s="693">
        <f t="shared" si="78"/>
        <v>0.14894661886755389</v>
      </c>
      <c r="BB192" s="695">
        <f t="shared" si="79"/>
        <v>0.17904676661445512</v>
      </c>
      <c r="BE192" t="s">
        <v>1251</v>
      </c>
      <c r="BF192" t="s">
        <v>1254</v>
      </c>
    </row>
    <row r="193" spans="1:58" ht="12.75" customHeight="1" outlineLevel="1" x14ac:dyDescent="0.2">
      <c r="A193" s="364" t="s">
        <v>1251</v>
      </c>
      <c r="B193" s="365">
        <v>45536</v>
      </c>
      <c r="C193" s="686">
        <v>262430</v>
      </c>
      <c r="D193" s="687">
        <v>222875</v>
      </c>
      <c r="E193" s="683">
        <v>39555</v>
      </c>
      <c r="F193" s="364"/>
      <c r="G193" s="686">
        <v>266.39999999999998</v>
      </c>
      <c r="H193" s="688">
        <v>144.80000000000001</v>
      </c>
      <c r="I193" s="689">
        <v>121.6</v>
      </c>
      <c r="J193" s="364"/>
      <c r="K193" s="682">
        <v>214602</v>
      </c>
      <c r="L193" s="683">
        <v>41934</v>
      </c>
      <c r="M193" s="364"/>
      <c r="N193" s="682">
        <v>106980</v>
      </c>
      <c r="O193" s="683">
        <v>115895</v>
      </c>
      <c r="P193" s="364"/>
      <c r="Q193" s="682">
        <v>992379</v>
      </c>
      <c r="R193" s="689">
        <v>4.4526259113853053</v>
      </c>
      <c r="S193" s="364"/>
      <c r="T193" s="682">
        <v>27629</v>
      </c>
      <c r="U193" s="687">
        <v>35344</v>
      </c>
      <c r="V193" s="687">
        <v>60307</v>
      </c>
      <c r="W193" s="687">
        <v>19800</v>
      </c>
      <c r="X193" s="687">
        <v>23282</v>
      </c>
      <c r="Y193" s="687">
        <v>14687</v>
      </c>
      <c r="Z193" s="687">
        <v>8679</v>
      </c>
      <c r="AA193" s="687">
        <v>5958</v>
      </c>
      <c r="AB193" s="683">
        <v>27189</v>
      </c>
      <c r="AC193" s="364"/>
      <c r="AD193" s="365">
        <f t="shared" si="59"/>
        <v>45536</v>
      </c>
      <c r="AE193" s="690">
        <f t="shared" si="76"/>
        <v>0.12396634885025239</v>
      </c>
      <c r="AF193" s="691">
        <f t="shared" si="76"/>
        <v>0.15858216489063376</v>
      </c>
      <c r="AG193" s="691">
        <f t="shared" si="76"/>
        <v>0.27058665171060009</v>
      </c>
      <c r="AH193" s="691">
        <f t="shared" si="76"/>
        <v>8.8839035333707239E-2</v>
      </c>
      <c r="AI193" s="691">
        <f t="shared" si="76"/>
        <v>0.10446214245653393</v>
      </c>
      <c r="AJ193" s="691">
        <f t="shared" si="76"/>
        <v>6.5897924845765565E-2</v>
      </c>
      <c r="AK193" s="691">
        <f t="shared" si="76"/>
        <v>3.8941110487941674E-2</v>
      </c>
      <c r="AL193" s="691">
        <f t="shared" si="76"/>
        <v>2.6732473359506449E-2</v>
      </c>
      <c r="AM193" s="692">
        <f t="shared" si="76"/>
        <v>0.12199214806505888</v>
      </c>
      <c r="AN193" s="364"/>
      <c r="AO193" s="682">
        <v>11099.174999999999</v>
      </c>
      <c r="AP193" s="687">
        <v>30422.437500000004</v>
      </c>
      <c r="AQ193" s="687">
        <v>19746.724999999999</v>
      </c>
      <c r="AR193" s="687">
        <v>123428.17499999999</v>
      </c>
      <c r="AS193" s="683">
        <v>38178.487500000003</v>
      </c>
      <c r="AT193" s="364"/>
      <c r="AU193" s="693">
        <f t="shared" si="77"/>
        <v>4.9799999999999997E-2</v>
      </c>
      <c r="AV193" s="694">
        <f t="shared" si="77"/>
        <v>0.13650000000000001</v>
      </c>
      <c r="AW193" s="694">
        <f t="shared" si="77"/>
        <v>8.8599999999999998E-2</v>
      </c>
      <c r="AX193" s="694">
        <f t="shared" si="77"/>
        <v>0.55379999999999996</v>
      </c>
      <c r="AY193" s="695">
        <f t="shared" si="77"/>
        <v>0.17130000000000001</v>
      </c>
      <c r="AZ193" s="364"/>
      <c r="BA193" s="693">
        <f t="shared" si="78"/>
        <v>0.18431794671065507</v>
      </c>
      <c r="BB193" s="695">
        <f t="shared" si="79"/>
        <v>0.18815030846887268</v>
      </c>
      <c r="BE193" t="s">
        <v>1251</v>
      </c>
      <c r="BF193" t="s">
        <v>1254</v>
      </c>
    </row>
    <row r="194" spans="1:58" ht="12.75" customHeight="1" outlineLevel="1" x14ac:dyDescent="0.2">
      <c r="A194" s="364" t="s">
        <v>1252</v>
      </c>
      <c r="B194" s="365">
        <v>45566</v>
      </c>
      <c r="C194" s="686">
        <v>291016</v>
      </c>
      <c r="D194" s="687">
        <v>250155</v>
      </c>
      <c r="E194" s="683">
        <v>40861</v>
      </c>
      <c r="F194" s="364"/>
      <c r="G194" s="686">
        <v>262.8</v>
      </c>
      <c r="H194" s="688">
        <v>131</v>
      </c>
      <c r="I194" s="689">
        <v>131.80000000000001</v>
      </c>
      <c r="J194" s="364"/>
      <c r="K194" s="682">
        <v>231908</v>
      </c>
      <c r="L194" s="683">
        <v>46211</v>
      </c>
      <c r="M194" s="364"/>
      <c r="N194" s="682">
        <v>128829.825</v>
      </c>
      <c r="O194" s="683">
        <v>121325.175</v>
      </c>
      <c r="P194" s="364"/>
      <c r="Q194" s="682">
        <v>1073409</v>
      </c>
      <c r="R194" s="689">
        <v>4.2909755951310187</v>
      </c>
      <c r="S194" s="364"/>
      <c r="T194" s="682">
        <v>29236</v>
      </c>
      <c r="U194" s="687">
        <v>42246</v>
      </c>
      <c r="V194" s="687">
        <v>64031</v>
      </c>
      <c r="W194" s="687">
        <v>20526</v>
      </c>
      <c r="X194" s="687">
        <v>21263</v>
      </c>
      <c r="Y194" s="687">
        <v>23105</v>
      </c>
      <c r="Z194" s="687">
        <v>9945</v>
      </c>
      <c r="AA194" s="687">
        <v>7399</v>
      </c>
      <c r="AB194" s="683">
        <v>32404</v>
      </c>
      <c r="AC194" s="364"/>
      <c r="AD194" s="365">
        <f t="shared" si="59"/>
        <v>45566</v>
      </c>
      <c r="AE194" s="690">
        <f t="shared" ref="AE194:AE203" si="80">+T194/SUM($T194:$AB194)</f>
        <v>0.11687153964541984</v>
      </c>
      <c r="AF194" s="691">
        <f t="shared" ref="AF194:AF203" si="81">+U194/SUM($T194:$AB194)</f>
        <v>0.16887929483720093</v>
      </c>
      <c r="AG194" s="691">
        <f t="shared" ref="AG194:AG203" si="82">+V194/SUM($T194:$AB194)</f>
        <v>0.2559653015130619</v>
      </c>
      <c r="AH194" s="691">
        <f t="shared" ref="AH194:AH203" si="83">+W194/SUM($T194:$AB194)</f>
        <v>8.2053127061222045E-2</v>
      </c>
      <c r="AI194" s="691">
        <f t="shared" ref="AI194:AI203" si="84">+X194/SUM($T194:$AB194)</f>
        <v>8.4999300433731093E-2</v>
      </c>
      <c r="AJ194" s="691">
        <f t="shared" ref="AJ194:AJ203" si="85">+Y194/SUM($T194:$AB194)</f>
        <v>9.2362735104235372E-2</v>
      </c>
      <c r="AK194" s="691">
        <f t="shared" ref="AK194:AK203" si="86">+Z194/SUM($T194:$AB194)</f>
        <v>3.9755351681957186E-2</v>
      </c>
      <c r="AL194" s="691">
        <f t="shared" ref="AL194:AL203" si="87">+AA194/SUM($T194:$AB194)</f>
        <v>2.9577661849653214E-2</v>
      </c>
      <c r="AM194" s="692">
        <f t="shared" ref="AM194:AM203" si="88">+AB194/SUM($T194:$AB194)</f>
        <v>0.12953568787351841</v>
      </c>
      <c r="AN194" s="364"/>
      <c r="AO194" s="682">
        <v>12332.6415</v>
      </c>
      <c r="AP194" s="687">
        <v>32345.041499999999</v>
      </c>
      <c r="AQ194" s="687">
        <v>22113.702000000001</v>
      </c>
      <c r="AR194" s="687">
        <v>138060.54449999999</v>
      </c>
      <c r="AS194" s="683">
        <v>45303.070500000002</v>
      </c>
      <c r="AT194" s="364"/>
      <c r="AU194" s="693">
        <f t="shared" ref="AU194:AU207" si="89">+AO194/SUM($AO194:$AS194)</f>
        <v>4.9300000000000004E-2</v>
      </c>
      <c r="AV194" s="694">
        <f t="shared" ref="AV194:AV207" si="90">+AP194/SUM($AO194:$AS194)</f>
        <v>0.12930000000000003</v>
      </c>
      <c r="AW194" s="694">
        <f t="shared" ref="AW194:AW207" si="91">+AQ194/SUM($AO194:$AS194)</f>
        <v>8.840000000000002E-2</v>
      </c>
      <c r="AX194" s="694">
        <f t="shared" ref="AX194:AX207" si="92">+AR194/SUM($AO194:$AS194)</f>
        <v>0.55190000000000006</v>
      </c>
      <c r="AY194" s="695">
        <f t="shared" ref="AY194:AY207" si="93">+AS194/SUM($AO194:$AS194)</f>
        <v>0.18110000000000004</v>
      </c>
      <c r="AZ194" s="364"/>
      <c r="BA194" s="693">
        <f t="shared" si="78"/>
        <v>0.1761948703796333</v>
      </c>
      <c r="BB194" s="695">
        <f t="shared" si="79"/>
        <v>0.1847294677300074</v>
      </c>
      <c r="BE194" t="s">
        <v>1252</v>
      </c>
      <c r="BF194" t="s">
        <v>1255</v>
      </c>
    </row>
    <row r="195" spans="1:58" ht="12.75" customHeight="1" outlineLevel="1" x14ac:dyDescent="0.2">
      <c r="A195" s="364" t="s">
        <v>1252</v>
      </c>
      <c r="B195" s="365">
        <v>45597</v>
      </c>
      <c r="C195" s="686">
        <v>278212</v>
      </c>
      <c r="D195" s="687">
        <v>241463</v>
      </c>
      <c r="E195" s="683">
        <v>36749</v>
      </c>
      <c r="F195" s="364"/>
      <c r="G195" s="686">
        <v>251</v>
      </c>
      <c r="H195" s="688">
        <v>133.69999999999999</v>
      </c>
      <c r="I195" s="689">
        <v>117.3</v>
      </c>
      <c r="J195" s="364"/>
      <c r="K195" s="682">
        <v>220532</v>
      </c>
      <c r="L195" s="683">
        <v>44240</v>
      </c>
      <c r="M195" s="364"/>
      <c r="N195" s="682">
        <v>134736.35399999999</v>
      </c>
      <c r="O195" s="683">
        <v>106726.64600000001</v>
      </c>
      <c r="P195" s="364"/>
      <c r="Q195" s="682">
        <v>946628</v>
      </c>
      <c r="R195" s="689">
        <v>3.9203853178333739</v>
      </c>
      <c r="S195" s="364"/>
      <c r="T195" s="682">
        <v>30236</v>
      </c>
      <c r="U195" s="687">
        <v>41434</v>
      </c>
      <c r="V195" s="687">
        <v>60006</v>
      </c>
      <c r="W195" s="687">
        <v>17005</v>
      </c>
      <c r="X195" s="687">
        <v>21714</v>
      </c>
      <c r="Y195" s="687">
        <v>25322</v>
      </c>
      <c r="Z195" s="687">
        <v>8745</v>
      </c>
      <c r="AA195" s="687">
        <v>8048</v>
      </c>
      <c r="AB195" s="683">
        <v>28953</v>
      </c>
      <c r="AC195" s="364"/>
      <c r="AD195" s="365">
        <f t="shared" si="59"/>
        <v>45597</v>
      </c>
      <c r="AE195" s="690">
        <f t="shared" si="80"/>
        <v>0.12522001300406274</v>
      </c>
      <c r="AF195" s="691">
        <f t="shared" si="81"/>
        <v>0.1715956481945474</v>
      </c>
      <c r="AG195" s="691">
        <f t="shared" si="82"/>
        <v>0.24851012370425282</v>
      </c>
      <c r="AH195" s="691">
        <f t="shared" si="83"/>
        <v>7.0424868406339686E-2</v>
      </c>
      <c r="AI195" s="691">
        <f t="shared" si="84"/>
        <v>8.9926821086460454E-2</v>
      </c>
      <c r="AJ195" s="691">
        <f t="shared" si="85"/>
        <v>0.10486906896708813</v>
      </c>
      <c r="AK195" s="691">
        <f t="shared" si="86"/>
        <v>3.6216728857009148E-2</v>
      </c>
      <c r="AL195" s="691">
        <f t="shared" si="87"/>
        <v>3.3330158243706075E-2</v>
      </c>
      <c r="AM195" s="692">
        <f t="shared" si="88"/>
        <v>0.11990656953653354</v>
      </c>
      <c r="AN195" s="364"/>
      <c r="AO195" s="682">
        <v>10576.079400000001</v>
      </c>
      <c r="AP195" s="687">
        <v>29096.291499999999</v>
      </c>
      <c r="AQ195" s="687">
        <v>20331.184600000001</v>
      </c>
      <c r="AR195" s="687">
        <v>139275.8584</v>
      </c>
      <c r="AS195" s="683">
        <v>42183.5861</v>
      </c>
      <c r="AT195" s="364"/>
      <c r="AU195" s="693">
        <f t="shared" si="89"/>
        <v>4.3800000000000006E-2</v>
      </c>
      <c r="AV195" s="694">
        <f t="shared" si="90"/>
        <v>0.1205</v>
      </c>
      <c r="AW195" s="694">
        <f t="shared" si="91"/>
        <v>8.4199999999999997E-2</v>
      </c>
      <c r="AX195" s="694">
        <f t="shared" si="92"/>
        <v>0.57679999999999998</v>
      </c>
      <c r="AY195" s="695">
        <f t="shared" si="93"/>
        <v>0.17469999999999999</v>
      </c>
      <c r="AZ195" s="364"/>
      <c r="BA195" s="693">
        <f t="shared" si="78"/>
        <v>0.16663794823426986</v>
      </c>
      <c r="BB195" s="695">
        <f t="shared" si="79"/>
        <v>0.18321647623031273</v>
      </c>
      <c r="BE195" t="s">
        <v>1252</v>
      </c>
      <c r="BF195" t="s">
        <v>1255</v>
      </c>
    </row>
    <row r="196" spans="1:58" ht="12.75" customHeight="1" outlineLevel="1" x14ac:dyDescent="0.2">
      <c r="A196" s="364" t="s">
        <v>1252</v>
      </c>
      <c r="B196" s="365">
        <v>45627</v>
      </c>
      <c r="C196" s="686">
        <v>272645</v>
      </c>
      <c r="D196" s="687">
        <v>243751</v>
      </c>
      <c r="E196" s="683">
        <v>28894</v>
      </c>
      <c r="F196" s="364"/>
      <c r="G196" s="686">
        <v>232.7</v>
      </c>
      <c r="H196" s="688">
        <v>146.6</v>
      </c>
      <c r="I196" s="689">
        <v>86.1</v>
      </c>
      <c r="J196" s="364"/>
      <c r="K196" s="682">
        <v>177758</v>
      </c>
      <c r="L196" s="683">
        <v>51954</v>
      </c>
      <c r="M196" s="364"/>
      <c r="N196" s="682">
        <v>123094.255</v>
      </c>
      <c r="O196" s="683">
        <v>120656.745</v>
      </c>
      <c r="P196" s="364"/>
      <c r="Q196" s="682">
        <v>1118246</v>
      </c>
      <c r="R196" s="689">
        <v>4.5876570762786617</v>
      </c>
      <c r="S196" s="364"/>
      <c r="T196" s="682">
        <v>32517</v>
      </c>
      <c r="U196" s="687">
        <v>40367</v>
      </c>
      <c r="V196" s="687">
        <v>60438</v>
      </c>
      <c r="W196" s="687">
        <v>15987</v>
      </c>
      <c r="X196" s="687">
        <v>24827</v>
      </c>
      <c r="Y196" s="687">
        <v>20098</v>
      </c>
      <c r="Z196" s="687">
        <v>9036</v>
      </c>
      <c r="AA196" s="687">
        <v>10091</v>
      </c>
      <c r="AB196" s="683">
        <v>30390</v>
      </c>
      <c r="AC196" s="364"/>
      <c r="AD196" s="365">
        <f t="shared" si="59"/>
        <v>45627</v>
      </c>
      <c r="AE196" s="690">
        <f t="shared" si="80"/>
        <v>0.13340252963064766</v>
      </c>
      <c r="AF196" s="691">
        <f t="shared" si="81"/>
        <v>0.16560752571271503</v>
      </c>
      <c r="AG196" s="691">
        <f t="shared" si="82"/>
        <v>0.24794975200101743</v>
      </c>
      <c r="AH196" s="691">
        <f t="shared" si="83"/>
        <v>6.5587423231084185E-2</v>
      </c>
      <c r="AI196" s="691">
        <f t="shared" si="84"/>
        <v>0.10185394111203647</v>
      </c>
      <c r="AJ196" s="691">
        <f t="shared" si="85"/>
        <v>8.2452995064635631E-2</v>
      </c>
      <c r="AK196" s="691">
        <f t="shared" si="86"/>
        <v>3.707061714618607E-2</v>
      </c>
      <c r="AL196" s="691">
        <f t="shared" si="87"/>
        <v>4.1398804517725055E-2</v>
      </c>
      <c r="AM196" s="692">
        <f t="shared" si="88"/>
        <v>0.12467641158395247</v>
      </c>
      <c r="AN196" s="364"/>
      <c r="AO196" s="682">
        <v>13991.3074</v>
      </c>
      <c r="AP196" s="687">
        <v>33564.512699999999</v>
      </c>
      <c r="AQ196" s="687">
        <v>23326.970699999998</v>
      </c>
      <c r="AR196" s="687">
        <v>130796.78659999999</v>
      </c>
      <c r="AS196" s="683">
        <v>42071.422599999998</v>
      </c>
      <c r="AT196" s="364"/>
      <c r="AU196" s="693">
        <f t="shared" si="89"/>
        <v>5.7400000000000007E-2</v>
      </c>
      <c r="AV196" s="694">
        <f t="shared" si="90"/>
        <v>0.13770000000000002</v>
      </c>
      <c r="AW196" s="694">
        <f t="shared" si="91"/>
        <v>9.5700000000000007E-2</v>
      </c>
      <c r="AX196" s="694">
        <f t="shared" si="92"/>
        <v>0.53660000000000008</v>
      </c>
      <c r="AY196" s="695">
        <f t="shared" si="93"/>
        <v>0.1726</v>
      </c>
      <c r="AZ196" s="364"/>
      <c r="BA196" s="693">
        <f t="shared" si="78"/>
        <v>0.16254683333520853</v>
      </c>
      <c r="BB196" s="695">
        <f t="shared" si="79"/>
        <v>0.21314374094875507</v>
      </c>
      <c r="BE196" t="s">
        <v>1252</v>
      </c>
      <c r="BF196" t="s">
        <v>1255</v>
      </c>
    </row>
    <row r="197" spans="1:58" ht="12.75" customHeight="1" outlineLevel="1" x14ac:dyDescent="0.2">
      <c r="A197" s="364" t="s">
        <v>1311</v>
      </c>
      <c r="B197" s="365">
        <v>45658</v>
      </c>
      <c r="C197" s="412">
        <v>190389</v>
      </c>
      <c r="D197" s="413">
        <v>160054</v>
      </c>
      <c r="E197" s="414">
        <v>30335</v>
      </c>
      <c r="F197" s="364"/>
      <c r="G197" s="412">
        <v>235.5</v>
      </c>
      <c r="H197" s="419">
        <v>133.1</v>
      </c>
      <c r="I197" s="417">
        <v>102.4</v>
      </c>
      <c r="J197" s="364"/>
      <c r="K197" s="415">
        <v>171558</v>
      </c>
      <c r="L197" s="414">
        <v>38797</v>
      </c>
      <c r="M197" s="364"/>
      <c r="N197" s="415">
        <v>64821.87</v>
      </c>
      <c r="O197" s="414">
        <v>95232.13</v>
      </c>
      <c r="P197" s="364"/>
      <c r="Q197" s="415">
        <v>901389</v>
      </c>
      <c r="R197" s="417">
        <v>5.6317805240731253</v>
      </c>
      <c r="S197" s="364"/>
      <c r="T197" s="415">
        <v>19652</v>
      </c>
      <c r="U197" s="413">
        <v>21128</v>
      </c>
      <c r="V197" s="413">
        <v>43587</v>
      </c>
      <c r="W197" s="413">
        <v>11577</v>
      </c>
      <c r="X197" s="413">
        <v>14753</v>
      </c>
      <c r="Y197" s="413">
        <v>9938</v>
      </c>
      <c r="Z197" s="413">
        <v>7402</v>
      </c>
      <c r="AA197" s="413">
        <v>6587</v>
      </c>
      <c r="AB197" s="414">
        <v>25430</v>
      </c>
      <c r="AC197" s="364"/>
      <c r="AD197" s="365">
        <f t="shared" si="59"/>
        <v>45658</v>
      </c>
      <c r="AE197" s="1175">
        <f t="shared" si="80"/>
        <v>0.12278356054831495</v>
      </c>
      <c r="AF197" s="1176">
        <f t="shared" si="81"/>
        <v>0.13200544816124557</v>
      </c>
      <c r="AG197" s="1176">
        <f t="shared" si="82"/>
        <v>0.27232683969160409</v>
      </c>
      <c r="AH197" s="1176">
        <f t="shared" si="83"/>
        <v>7.2331838004673424E-2</v>
      </c>
      <c r="AI197" s="1176">
        <f t="shared" si="84"/>
        <v>9.2175140889949644E-2</v>
      </c>
      <c r="AJ197" s="1176">
        <f t="shared" si="85"/>
        <v>6.2091544103864943E-2</v>
      </c>
      <c r="AK197" s="1176">
        <f t="shared" si="86"/>
        <v>4.6246891674060008E-2</v>
      </c>
      <c r="AL197" s="1176">
        <f t="shared" si="87"/>
        <v>4.1154860234670798E-2</v>
      </c>
      <c r="AM197" s="1177">
        <f t="shared" si="88"/>
        <v>0.15888387669161658</v>
      </c>
      <c r="AN197" s="364"/>
      <c r="AO197" s="415">
        <v>9475.1967999999997</v>
      </c>
      <c r="AP197" s="413">
        <v>27945.428400000001</v>
      </c>
      <c r="AQ197" s="413">
        <v>18278.166799999999</v>
      </c>
      <c r="AR197" s="413">
        <v>76361.763400000011</v>
      </c>
      <c r="AS197" s="414">
        <v>27977.439200000001</v>
      </c>
      <c r="AT197" s="364"/>
      <c r="AU197" s="1172">
        <f t="shared" si="89"/>
        <v>5.9205920592059202E-2</v>
      </c>
      <c r="AV197" s="1174">
        <f t="shared" si="90"/>
        <v>0.17461746174617462</v>
      </c>
      <c r="AW197" s="1174">
        <f t="shared" si="91"/>
        <v>0.1142114211421142</v>
      </c>
      <c r="AX197" s="1174">
        <f t="shared" si="92"/>
        <v>0.47714771477147722</v>
      </c>
      <c r="AY197" s="1173">
        <f t="shared" si="93"/>
        <v>0.17481748174817482</v>
      </c>
      <c r="AZ197" s="364"/>
      <c r="BA197" s="1172">
        <f t="shared" ref="BA197:BA211" si="94">+E197/K197</f>
        <v>0.17682066706303406</v>
      </c>
      <c r="BB197" s="1173">
        <f t="shared" ref="BB197:BB211" si="95">+L197/D197</f>
        <v>0.24239944018893622</v>
      </c>
      <c r="BE197" t="s">
        <v>1311</v>
      </c>
      <c r="BF197" t="s">
        <v>1312</v>
      </c>
    </row>
    <row r="198" spans="1:58" ht="12.75" customHeight="1" outlineLevel="1" x14ac:dyDescent="0.2">
      <c r="A198" s="364" t="s">
        <v>1311</v>
      </c>
      <c r="B198" s="365">
        <v>45689</v>
      </c>
      <c r="C198" s="412">
        <v>222005</v>
      </c>
      <c r="D198" s="413">
        <v>174042</v>
      </c>
      <c r="E198" s="414">
        <v>47963</v>
      </c>
      <c r="F198" s="364"/>
      <c r="G198" s="412">
        <v>252.39999999999998</v>
      </c>
      <c r="H198" s="419">
        <v>132.19999999999999</v>
      </c>
      <c r="I198" s="417">
        <v>120.2</v>
      </c>
      <c r="J198" s="364"/>
      <c r="K198" s="415">
        <v>208186</v>
      </c>
      <c r="L198" s="414">
        <v>35345</v>
      </c>
      <c r="M198" s="364"/>
      <c r="N198" s="415">
        <v>82495.907999999996</v>
      </c>
      <c r="O198" s="414">
        <v>91546.092000000004</v>
      </c>
      <c r="P198" s="364"/>
      <c r="Q198" s="415">
        <v>929078</v>
      </c>
      <c r="R198" s="417">
        <v>5.3382401948954854</v>
      </c>
      <c r="S198" s="364"/>
      <c r="T198" s="415">
        <v>15986</v>
      </c>
      <c r="U198" s="413">
        <v>27602</v>
      </c>
      <c r="V198" s="413">
        <v>46535</v>
      </c>
      <c r="W198" s="413">
        <v>15883</v>
      </c>
      <c r="X198" s="413">
        <v>16027</v>
      </c>
      <c r="Y198" s="413">
        <v>11778</v>
      </c>
      <c r="Z198" s="413">
        <v>8312</v>
      </c>
      <c r="AA198" s="413">
        <v>7035</v>
      </c>
      <c r="AB198" s="414">
        <v>24884</v>
      </c>
      <c r="AC198" s="364"/>
      <c r="AD198" s="365">
        <f t="shared" si="59"/>
        <v>45689</v>
      </c>
      <c r="AE198" s="1175">
        <f t="shared" si="80"/>
        <v>9.1851392192689119E-2</v>
      </c>
      <c r="AF198" s="1176">
        <f t="shared" si="81"/>
        <v>0.15859390262120637</v>
      </c>
      <c r="AG198" s="1176">
        <f t="shared" si="82"/>
        <v>0.26737798922099265</v>
      </c>
      <c r="AH198" s="1176">
        <f t="shared" si="83"/>
        <v>9.1259581020673164E-2</v>
      </c>
      <c r="AI198" s="1176">
        <f t="shared" si="84"/>
        <v>9.2086967513588677E-2</v>
      </c>
      <c r="AJ198" s="1176">
        <f t="shared" si="85"/>
        <v>6.7673320233047202E-2</v>
      </c>
      <c r="AK198" s="1176">
        <f t="shared" si="86"/>
        <v>4.7758587007733763E-2</v>
      </c>
      <c r="AL198" s="1176">
        <f t="shared" si="87"/>
        <v>4.0421277622642811E-2</v>
      </c>
      <c r="AM198" s="1177">
        <f t="shared" si="88"/>
        <v>0.14297698256742625</v>
      </c>
      <c r="AN198" s="364"/>
      <c r="AO198" s="415">
        <v>9485.2890000000007</v>
      </c>
      <c r="AP198" s="413">
        <v>26837.276400000002</v>
      </c>
      <c r="AQ198" s="413">
        <v>18796.536</v>
      </c>
      <c r="AR198" s="413">
        <v>89857.88459999999</v>
      </c>
      <c r="AS198" s="414">
        <v>29047.609799999998</v>
      </c>
      <c r="AT198" s="364"/>
      <c r="AU198" s="1172">
        <f t="shared" si="89"/>
        <v>5.4505450545054505E-2</v>
      </c>
      <c r="AV198" s="1174">
        <f t="shared" si="90"/>
        <v>0.15421542154215423</v>
      </c>
      <c r="AW198" s="1174">
        <f t="shared" si="91"/>
        <v>0.10801080108010801</v>
      </c>
      <c r="AX198" s="1174">
        <f t="shared" si="92"/>
        <v>0.51635163516351623</v>
      </c>
      <c r="AY198" s="1173">
        <f t="shared" si="93"/>
        <v>0.16691669166916689</v>
      </c>
      <c r="AZ198" s="364"/>
      <c r="BA198" s="1172">
        <f t="shared" si="94"/>
        <v>0.23038532850431825</v>
      </c>
      <c r="BB198" s="1173">
        <f t="shared" si="95"/>
        <v>0.20308316383401709</v>
      </c>
      <c r="BE198" t="s">
        <v>1311</v>
      </c>
      <c r="BF198" t="s">
        <v>1312</v>
      </c>
    </row>
    <row r="199" spans="1:58" ht="12.75" customHeight="1" outlineLevel="1" x14ac:dyDescent="0.2">
      <c r="A199" s="364" t="s">
        <v>1311</v>
      </c>
      <c r="B199" s="365">
        <v>45717</v>
      </c>
      <c r="C199" s="412">
        <v>221102</v>
      </c>
      <c r="D199" s="413">
        <v>184371</v>
      </c>
      <c r="E199" s="414">
        <v>36731</v>
      </c>
      <c r="F199" s="364"/>
      <c r="G199" s="412">
        <v>244.3</v>
      </c>
      <c r="H199" s="419">
        <v>125.8</v>
      </c>
      <c r="I199" s="417">
        <v>118.5</v>
      </c>
      <c r="J199" s="364"/>
      <c r="K199" s="415">
        <v>180174</v>
      </c>
      <c r="L199" s="414">
        <v>37146</v>
      </c>
      <c r="M199" s="364"/>
      <c r="N199" s="415">
        <v>93660.468000000008</v>
      </c>
      <c r="O199" s="414">
        <v>90710.531999999992</v>
      </c>
      <c r="P199" s="364"/>
      <c r="Q199" s="415">
        <v>865746</v>
      </c>
      <c r="R199" s="417">
        <v>4.695673397660153</v>
      </c>
      <c r="S199" s="364"/>
      <c r="T199" s="415">
        <v>20146</v>
      </c>
      <c r="U199" s="413">
        <v>30418</v>
      </c>
      <c r="V199" s="413">
        <v>47048</v>
      </c>
      <c r="W199" s="413">
        <v>14686</v>
      </c>
      <c r="X199" s="413">
        <v>18273</v>
      </c>
      <c r="Y199" s="413">
        <v>12705</v>
      </c>
      <c r="Z199" s="413">
        <v>8217</v>
      </c>
      <c r="AA199" s="413">
        <v>8063</v>
      </c>
      <c r="AB199" s="414">
        <v>24815</v>
      </c>
      <c r="AC199" s="364"/>
      <c r="AD199" s="365">
        <f t="shared" si="59"/>
        <v>45717</v>
      </c>
      <c r="AE199" s="1175">
        <f t="shared" si="80"/>
        <v>0.10926881125556623</v>
      </c>
      <c r="AF199" s="1176">
        <f t="shared" si="81"/>
        <v>0.16498256233355571</v>
      </c>
      <c r="AG199" s="1176">
        <f t="shared" si="82"/>
        <v>0.25518112935331477</v>
      </c>
      <c r="AH199" s="1176">
        <f t="shared" si="83"/>
        <v>7.9654609455933958E-2</v>
      </c>
      <c r="AI199" s="1176">
        <f t="shared" si="84"/>
        <v>9.9109946792066E-2</v>
      </c>
      <c r="AJ199" s="1176">
        <f t="shared" si="85"/>
        <v>6.890996957222123E-2</v>
      </c>
      <c r="AK199" s="1176">
        <f t="shared" si="86"/>
        <v>4.4567746554501519E-2</v>
      </c>
      <c r="AL199" s="1176">
        <f t="shared" si="87"/>
        <v>4.3732474196050357E-2</v>
      </c>
      <c r="AM199" s="1177">
        <f t="shared" si="88"/>
        <v>0.13459275048679023</v>
      </c>
      <c r="AN199" s="364"/>
      <c r="AO199" s="415">
        <v>10085.093699999999</v>
      </c>
      <c r="AP199" s="413">
        <v>26033.1852</v>
      </c>
      <c r="AQ199" s="413">
        <v>18861.153300000002</v>
      </c>
      <c r="AR199" s="413">
        <v>98269.743000000002</v>
      </c>
      <c r="AS199" s="414">
        <v>31121.824800000002</v>
      </c>
      <c r="AT199" s="364"/>
      <c r="AU199" s="1172">
        <f t="shared" si="89"/>
        <v>5.4699999999999999E-2</v>
      </c>
      <c r="AV199" s="1174">
        <f t="shared" si="90"/>
        <v>0.14119999999999999</v>
      </c>
      <c r="AW199" s="1174">
        <f t="shared" si="91"/>
        <v>0.10230000000000002</v>
      </c>
      <c r="AX199" s="1174">
        <f t="shared" si="92"/>
        <v>0.53300000000000003</v>
      </c>
      <c r="AY199" s="1173">
        <f t="shared" si="93"/>
        <v>0.16880000000000001</v>
      </c>
      <c r="AZ199" s="364"/>
      <c r="BA199" s="1172">
        <f t="shared" si="94"/>
        <v>0.20386404253665902</v>
      </c>
      <c r="BB199" s="1173">
        <f t="shared" si="95"/>
        <v>0.20147420147420148</v>
      </c>
      <c r="BE199" t="s">
        <v>1311</v>
      </c>
      <c r="BF199" t="s">
        <v>1312</v>
      </c>
    </row>
    <row r="200" spans="1:58" ht="12.75" customHeight="1" outlineLevel="1" x14ac:dyDescent="0.2">
      <c r="A200" s="364" t="s">
        <v>1313</v>
      </c>
      <c r="B200" s="365">
        <v>45748</v>
      </c>
      <c r="C200" s="412">
        <v>243392</v>
      </c>
      <c r="D200" s="413">
        <v>197158</v>
      </c>
      <c r="E200" s="414">
        <v>46234</v>
      </c>
      <c r="F200" s="364"/>
      <c r="G200" s="412">
        <v>254.8</v>
      </c>
      <c r="H200" s="419">
        <v>121.3</v>
      </c>
      <c r="I200" s="417">
        <v>133.5</v>
      </c>
      <c r="J200" s="364"/>
      <c r="K200" s="415">
        <v>218920</v>
      </c>
      <c r="L200" s="414">
        <v>36667</v>
      </c>
      <c r="M200" s="364"/>
      <c r="N200" s="415">
        <v>100156.264</v>
      </c>
      <c r="O200" s="414">
        <v>97001.736000000004</v>
      </c>
      <c r="P200" s="364"/>
      <c r="Q200" s="415">
        <v>1085597</v>
      </c>
      <c r="R200" s="417">
        <v>5.5062285070856873</v>
      </c>
      <c r="S200" s="364"/>
      <c r="T200" s="415">
        <v>20502</v>
      </c>
      <c r="U200" s="413">
        <v>32500</v>
      </c>
      <c r="V200" s="413">
        <v>52207</v>
      </c>
      <c r="W200" s="413">
        <v>16317</v>
      </c>
      <c r="X200" s="413">
        <v>15259</v>
      </c>
      <c r="Y200" s="413">
        <v>16571</v>
      </c>
      <c r="Z200" s="413">
        <v>8268</v>
      </c>
      <c r="AA200" s="413">
        <v>8486</v>
      </c>
      <c r="AB200" s="414">
        <v>27048</v>
      </c>
      <c r="AC200" s="364"/>
      <c r="AD200" s="365">
        <f t="shared" si="59"/>
        <v>45748</v>
      </c>
      <c r="AE200" s="1175">
        <f t="shared" si="80"/>
        <v>0.1039876647156088</v>
      </c>
      <c r="AF200" s="1176">
        <f t="shared" si="81"/>
        <v>0.16484241065541341</v>
      </c>
      <c r="AG200" s="1176">
        <f t="shared" si="82"/>
        <v>0.26479777640268209</v>
      </c>
      <c r="AH200" s="1176">
        <f t="shared" si="83"/>
        <v>8.276103429736556E-2</v>
      </c>
      <c r="AI200" s="1176">
        <f t="shared" si="84"/>
        <v>7.7394779821260112E-2</v>
      </c>
      <c r="AJ200" s="1176">
        <f t="shared" si="85"/>
        <v>8.4049341137564793E-2</v>
      </c>
      <c r="AK200" s="1176">
        <f t="shared" si="86"/>
        <v>4.1935909270737176E-2</v>
      </c>
      <c r="AL200" s="1176">
        <f t="shared" si="87"/>
        <v>4.3041621440671946E-2</v>
      </c>
      <c r="AM200" s="1177">
        <f t="shared" si="88"/>
        <v>0.13718946225869608</v>
      </c>
      <c r="AN200" s="364"/>
      <c r="AO200" s="415">
        <v>9779.0367999999999</v>
      </c>
      <c r="AP200" s="413">
        <v>27247.235599999996</v>
      </c>
      <c r="AQ200" s="413">
        <v>20839.600600000002</v>
      </c>
      <c r="AR200" s="413">
        <v>106839.92020000001</v>
      </c>
      <c r="AS200" s="414">
        <v>32432.491000000002</v>
      </c>
      <c r="AT200" s="364"/>
      <c r="AU200" s="1172">
        <f t="shared" si="89"/>
        <v>4.9604960496049601E-2</v>
      </c>
      <c r="AV200" s="1174">
        <f t="shared" si="90"/>
        <v>0.13821382138213817</v>
      </c>
      <c r="AW200" s="1174">
        <f t="shared" si="91"/>
        <v>0.10571057105710571</v>
      </c>
      <c r="AX200" s="1174">
        <f t="shared" si="92"/>
        <v>0.54195419541954193</v>
      </c>
      <c r="AY200" s="1173">
        <f t="shared" si="93"/>
        <v>0.16451645164516451</v>
      </c>
      <c r="AZ200" s="364"/>
      <c r="BA200" s="1172">
        <f t="shared" si="94"/>
        <v>0.21119130275899872</v>
      </c>
      <c r="BB200" s="1173">
        <f t="shared" si="95"/>
        <v>0.18597774373852444</v>
      </c>
      <c r="BE200" t="s">
        <v>1313</v>
      </c>
      <c r="BF200" t="s">
        <v>1314</v>
      </c>
    </row>
    <row r="201" spans="1:58" ht="12.75" customHeight="1" outlineLevel="1" x14ac:dyDescent="0.2">
      <c r="A201" s="364" t="s">
        <v>1313</v>
      </c>
      <c r="B201" s="365">
        <v>45778</v>
      </c>
      <c r="C201" s="412">
        <v>264605</v>
      </c>
      <c r="D201" s="413">
        <v>214617</v>
      </c>
      <c r="E201" s="414">
        <v>49988</v>
      </c>
      <c r="F201" s="364"/>
      <c r="G201" s="412">
        <v>270.10000000000002</v>
      </c>
      <c r="H201" s="419">
        <v>144.6</v>
      </c>
      <c r="I201" s="417">
        <v>125.5</v>
      </c>
      <c r="J201" s="364"/>
      <c r="K201" s="415">
        <v>204831</v>
      </c>
      <c r="L201" s="414">
        <v>39152</v>
      </c>
      <c r="M201" s="364"/>
      <c r="N201" s="415">
        <v>112888.542</v>
      </c>
      <c r="O201" s="414">
        <v>101728.458</v>
      </c>
      <c r="P201" s="364"/>
      <c r="Q201" s="415">
        <v>1126806</v>
      </c>
      <c r="R201" s="417">
        <v>5.2503110191643723</v>
      </c>
      <c r="S201" s="364"/>
      <c r="T201" s="415">
        <v>21583</v>
      </c>
      <c r="U201" s="413">
        <v>37194</v>
      </c>
      <c r="V201" s="413">
        <v>56629</v>
      </c>
      <c r="W201" s="413">
        <v>15614</v>
      </c>
      <c r="X201" s="413">
        <v>15950</v>
      </c>
      <c r="Y201" s="413">
        <v>19000</v>
      </c>
      <c r="Z201" s="413">
        <v>9237</v>
      </c>
      <c r="AA201" s="413">
        <v>9403</v>
      </c>
      <c r="AB201" s="414">
        <v>30007</v>
      </c>
      <c r="AC201" s="364"/>
      <c r="AD201" s="365">
        <f>+B201</f>
        <v>45778</v>
      </c>
      <c r="AE201" s="1175">
        <f t="shared" si="80"/>
        <v>0.10056519287847654</v>
      </c>
      <c r="AF201" s="1176">
        <f t="shared" si="81"/>
        <v>0.17330407190483513</v>
      </c>
      <c r="AG201" s="1176">
        <f t="shared" si="82"/>
        <v>0.26386073796577159</v>
      </c>
      <c r="AH201" s="1176">
        <f t="shared" si="83"/>
        <v>7.2752857415768549E-2</v>
      </c>
      <c r="AI201" s="1176">
        <f t="shared" si="84"/>
        <v>7.4318437029685436E-2</v>
      </c>
      <c r="AJ201" s="1176">
        <f t="shared" si="85"/>
        <v>8.8529799596490488E-2</v>
      </c>
      <c r="AK201" s="1176">
        <f t="shared" si="86"/>
        <v>4.303946099330435E-2</v>
      </c>
      <c r="AL201" s="1176">
        <f t="shared" si="87"/>
        <v>4.3812931873989477E-2</v>
      </c>
      <c r="AM201" s="1177">
        <f t="shared" si="88"/>
        <v>0.13981651034167844</v>
      </c>
      <c r="AN201" s="364"/>
      <c r="AO201" s="415">
        <v>10730.85</v>
      </c>
      <c r="AP201" s="413">
        <v>33694.868999999999</v>
      </c>
      <c r="AQ201" s="413">
        <v>20088.1512</v>
      </c>
      <c r="AR201" s="413">
        <v>113103.159</v>
      </c>
      <c r="AS201" s="414">
        <v>40820.153400000003</v>
      </c>
      <c r="AT201" s="364"/>
      <c r="AU201" s="1172">
        <f t="shared" si="89"/>
        <v>4.9125564943996856E-2</v>
      </c>
      <c r="AV201" s="1174">
        <f t="shared" si="90"/>
        <v>0.15425427392415011</v>
      </c>
      <c r="AW201" s="1174">
        <f t="shared" si="91"/>
        <v>9.1963057575162113E-2</v>
      </c>
      <c r="AX201" s="1174">
        <f t="shared" si="92"/>
        <v>0.51778345450972685</v>
      </c>
      <c r="AY201" s="1173">
        <f t="shared" si="93"/>
        <v>0.18687364904696405</v>
      </c>
      <c r="AZ201" s="364"/>
      <c r="BA201" s="1172">
        <f t="shared" si="94"/>
        <v>0.24404509083097772</v>
      </c>
      <c r="BB201" s="1173">
        <f t="shared" si="95"/>
        <v>0.18242730072641031</v>
      </c>
      <c r="BE201" t="s">
        <v>1313</v>
      </c>
      <c r="BF201" t="s">
        <v>1314</v>
      </c>
    </row>
    <row r="202" spans="1:58" ht="12.75" customHeight="1" outlineLevel="1" x14ac:dyDescent="0.2">
      <c r="A202" s="364" t="s">
        <v>1313</v>
      </c>
      <c r="B202" s="365">
        <v>45809</v>
      </c>
      <c r="C202" s="412">
        <v>249134</v>
      </c>
      <c r="D202" s="413">
        <v>202157</v>
      </c>
      <c r="E202" s="414">
        <v>46977</v>
      </c>
      <c r="F202" s="364"/>
      <c r="G202" s="412">
        <v>259.29999999999995</v>
      </c>
      <c r="H202" s="419">
        <v>153.69999999999999</v>
      </c>
      <c r="I202" s="417">
        <v>105.6</v>
      </c>
      <c r="J202" s="364"/>
      <c r="K202" s="415">
        <v>195858</v>
      </c>
      <c r="L202" s="414">
        <v>38179</v>
      </c>
      <c r="M202" s="364"/>
      <c r="N202" s="415">
        <v>109164.78000000001</v>
      </c>
      <c r="O202" s="414">
        <v>92992.219999999987</v>
      </c>
      <c r="P202" s="364"/>
      <c r="Q202" s="415">
        <v>1061215</v>
      </c>
      <c r="R202" s="417">
        <v>5.2494595784464551</v>
      </c>
      <c r="S202" s="364"/>
      <c r="T202" s="415">
        <v>21911</v>
      </c>
      <c r="U202" s="413">
        <v>37302</v>
      </c>
      <c r="V202" s="413">
        <v>50987</v>
      </c>
      <c r="W202" s="413">
        <v>14896</v>
      </c>
      <c r="X202" s="413">
        <v>15579</v>
      </c>
      <c r="Y202" s="413">
        <v>16186</v>
      </c>
      <c r="Z202" s="413">
        <v>9177</v>
      </c>
      <c r="AA202" s="413">
        <v>8163</v>
      </c>
      <c r="AB202" s="414">
        <v>27956</v>
      </c>
      <c r="AC202" s="364"/>
      <c r="AD202" s="365">
        <f t="shared" si="59"/>
        <v>45809</v>
      </c>
      <c r="AE202" s="1175">
        <f t="shared" si="80"/>
        <v>0.10838605638192098</v>
      </c>
      <c r="AF202" s="1176">
        <f t="shared" si="81"/>
        <v>0.18451995231429039</v>
      </c>
      <c r="AG202" s="1176">
        <f t="shared" si="82"/>
        <v>0.2522148627057188</v>
      </c>
      <c r="AH202" s="1176">
        <f t="shared" si="83"/>
        <v>7.3685303996398832E-2</v>
      </c>
      <c r="AI202" s="1176">
        <f t="shared" si="84"/>
        <v>7.7063866203000639E-2</v>
      </c>
      <c r="AJ202" s="1176">
        <f t="shared" si="85"/>
        <v>8.0066482981049389E-2</v>
      </c>
      <c r="AK202" s="1176">
        <f t="shared" si="86"/>
        <v>4.5395410497781424E-2</v>
      </c>
      <c r="AL202" s="1176">
        <f t="shared" si="87"/>
        <v>4.0379507016823558E-2</v>
      </c>
      <c r="AM202" s="1177">
        <f t="shared" si="88"/>
        <v>0.13828855790301597</v>
      </c>
      <c r="AN202" s="364"/>
      <c r="AO202" s="415">
        <v>10673.8896</v>
      </c>
      <c r="AP202" s="413">
        <v>27291.195000000003</v>
      </c>
      <c r="AQ202" s="413">
        <v>19204.915000000001</v>
      </c>
      <c r="AR202" s="413">
        <v>112682.3118</v>
      </c>
      <c r="AS202" s="414">
        <v>32345.119999999999</v>
      </c>
      <c r="AT202" s="364"/>
      <c r="AU202" s="1172">
        <f t="shared" si="89"/>
        <v>5.2789442111577684E-2</v>
      </c>
      <c r="AV202" s="1174">
        <f t="shared" si="90"/>
        <v>0.13497300539892024</v>
      </c>
      <c r="AW202" s="1174">
        <f t="shared" si="91"/>
        <v>9.4981003799240155E-2</v>
      </c>
      <c r="AX202" s="1174">
        <f t="shared" si="92"/>
        <v>0.55728854229154168</v>
      </c>
      <c r="AY202" s="1173">
        <f t="shared" si="93"/>
        <v>0.15996800639872025</v>
      </c>
      <c r="AZ202" s="364"/>
      <c r="BA202" s="1172">
        <f t="shared" si="94"/>
        <v>0.23985234200287964</v>
      </c>
      <c r="BB202" s="1173">
        <f t="shared" si="95"/>
        <v>0.18885816469377761</v>
      </c>
      <c r="BE202" t="s">
        <v>1313</v>
      </c>
      <c r="BF202" t="s">
        <v>1314</v>
      </c>
    </row>
    <row r="203" spans="1:58" ht="12.75" customHeight="1" outlineLevel="1" x14ac:dyDescent="0.2">
      <c r="A203" s="364" t="s">
        <v>1315</v>
      </c>
      <c r="B203" s="365">
        <v>45839</v>
      </c>
      <c r="C203" s="412">
        <v>275006</v>
      </c>
      <c r="D203" s="413">
        <v>230259</v>
      </c>
      <c r="E203" s="414">
        <v>44747</v>
      </c>
      <c r="F203" s="364"/>
      <c r="G203" s="412">
        <v>253.5</v>
      </c>
      <c r="H203" s="419">
        <v>152.6</v>
      </c>
      <c r="I203" s="417">
        <v>100.9</v>
      </c>
      <c r="J203" s="364"/>
      <c r="K203" s="415">
        <v>224849</v>
      </c>
      <c r="L203" s="414">
        <v>44770</v>
      </c>
      <c r="M203" s="364"/>
      <c r="N203" s="415">
        <v>103616.55</v>
      </c>
      <c r="O203" s="414">
        <v>126642.45</v>
      </c>
      <c r="P203" s="364"/>
      <c r="Q203" s="415" t="s">
        <v>160</v>
      </c>
      <c r="R203" s="417" t="s">
        <v>160</v>
      </c>
      <c r="S203" s="364"/>
      <c r="T203" s="415">
        <v>24427</v>
      </c>
      <c r="U203" s="413">
        <v>41837</v>
      </c>
      <c r="V203" s="413">
        <v>60556</v>
      </c>
      <c r="W203" s="413">
        <v>17290</v>
      </c>
      <c r="X203" s="413">
        <v>17801</v>
      </c>
      <c r="Y203" s="413">
        <v>16572</v>
      </c>
      <c r="Z203" s="413">
        <v>7433</v>
      </c>
      <c r="AA203" s="413">
        <v>9692</v>
      </c>
      <c r="AB203" s="414">
        <v>34651</v>
      </c>
      <c r="AC203" s="364"/>
      <c r="AD203" s="365">
        <f t="shared" si="59"/>
        <v>45839</v>
      </c>
      <c r="AE203" s="1175">
        <f t="shared" si="80"/>
        <v>0.1060848870185313</v>
      </c>
      <c r="AF203" s="1176">
        <f t="shared" si="81"/>
        <v>0.18169539518542163</v>
      </c>
      <c r="AG203" s="1176">
        <f t="shared" si="82"/>
        <v>0.2629908060054113</v>
      </c>
      <c r="AH203" s="1176">
        <f t="shared" si="83"/>
        <v>7.5089355899226523E-2</v>
      </c>
      <c r="AI203" s="1176">
        <f t="shared" si="84"/>
        <v>7.730859597236156E-2</v>
      </c>
      <c r="AJ203" s="1176">
        <f t="shared" si="85"/>
        <v>7.1971128164371428E-2</v>
      </c>
      <c r="AK203" s="1176">
        <f t="shared" si="86"/>
        <v>3.2281040046208832E-2</v>
      </c>
      <c r="AL203" s="1176">
        <f t="shared" si="87"/>
        <v>4.2091731484979959E-2</v>
      </c>
      <c r="AM203" s="1177">
        <f t="shared" si="88"/>
        <v>0.15048706022348746</v>
      </c>
      <c r="AN203" s="364"/>
      <c r="AO203" s="415">
        <v>12480.0378</v>
      </c>
      <c r="AP203" s="413">
        <v>34769.108999999997</v>
      </c>
      <c r="AQ203" s="413">
        <v>22473.278400000003</v>
      </c>
      <c r="AR203" s="413">
        <v>121392.5448</v>
      </c>
      <c r="AS203" s="414">
        <v>39167.055899999999</v>
      </c>
      <c r="AT203" s="364"/>
      <c r="AU203" s="1172">
        <f t="shared" si="89"/>
        <v>5.4194580541945807E-2</v>
      </c>
      <c r="AV203" s="1174">
        <f t="shared" si="90"/>
        <v>0.150984901509849</v>
      </c>
      <c r="AW203" s="1174">
        <f t="shared" si="91"/>
        <v>9.7590240975902423E-2</v>
      </c>
      <c r="AX203" s="1174">
        <f t="shared" si="92"/>
        <v>0.52714728527147281</v>
      </c>
      <c r="AY203" s="1173">
        <f t="shared" si="93"/>
        <v>0.17008299170082991</v>
      </c>
      <c r="AZ203" s="364"/>
      <c r="BA203" s="1172">
        <f t="shared" si="94"/>
        <v>0.19900911278235617</v>
      </c>
      <c r="BB203" s="1173">
        <f t="shared" si="95"/>
        <v>0.19443322519423778</v>
      </c>
      <c r="BE203" t="s">
        <v>1315</v>
      </c>
      <c r="BF203" t="s">
        <v>1316</v>
      </c>
    </row>
    <row r="204" spans="1:58" ht="12.75" customHeight="1" outlineLevel="1" x14ac:dyDescent="0.2">
      <c r="A204" s="364" t="s">
        <v>1315</v>
      </c>
      <c r="B204" s="365">
        <v>45870</v>
      </c>
      <c r="C204" s="412">
        <v>269500</v>
      </c>
      <c r="D204" s="413">
        <v>214744</v>
      </c>
      <c r="E204" s="414">
        <v>54756</v>
      </c>
      <c r="F204" s="364"/>
      <c r="G204" s="412">
        <v>259.60000000000002</v>
      </c>
      <c r="H204" s="419">
        <v>151.6</v>
      </c>
      <c r="I204" s="417">
        <v>108</v>
      </c>
      <c r="J204" s="364"/>
      <c r="K204" s="415">
        <v>235215</v>
      </c>
      <c r="L204" s="414">
        <v>39209</v>
      </c>
      <c r="M204" s="364"/>
      <c r="N204" s="415">
        <v>106083.53599999999</v>
      </c>
      <c r="O204" s="414">
        <v>108660.46400000001</v>
      </c>
      <c r="P204" s="364"/>
      <c r="Q204" s="415" t="s">
        <v>160</v>
      </c>
      <c r="R204" s="417" t="s">
        <v>160</v>
      </c>
      <c r="S204" s="364"/>
      <c r="T204" s="415">
        <v>21950</v>
      </c>
      <c r="U204" s="413">
        <v>39402</v>
      </c>
      <c r="V204" s="413">
        <v>54414</v>
      </c>
      <c r="W204" s="413">
        <v>15627</v>
      </c>
      <c r="X204" s="413">
        <v>16811</v>
      </c>
      <c r="Y204" s="413">
        <v>16928</v>
      </c>
      <c r="Z204" s="413">
        <v>7473</v>
      </c>
      <c r="AA204" s="413">
        <v>9815</v>
      </c>
      <c r="AB204" s="414">
        <v>32324</v>
      </c>
      <c r="AC204" s="364"/>
      <c r="AD204" s="365">
        <f t="shared" si="59"/>
        <v>45870</v>
      </c>
      <c r="AE204" s="1175">
        <f t="shared" ref="AE204:AE209" si="96">+T204/SUM($T204:$AB204)</f>
        <v>0.10221473009723206</v>
      </c>
      <c r="AF204" s="1176">
        <f t="shared" ref="AF204:AF209" si="97">+U204/SUM($T204:$AB204)</f>
        <v>0.18348358976269419</v>
      </c>
      <c r="AG204" s="1176">
        <f t="shared" ref="AG204:AG209" si="98">+V204/SUM($T204:$AB204)</f>
        <v>0.25339008307566219</v>
      </c>
      <c r="AH204" s="1176">
        <f t="shared" ref="AH204:AM207" si="99">+W204/SUM($T204:$AB204)</f>
        <v>7.2770368438699107E-2</v>
      </c>
      <c r="AI204" s="1176">
        <f t="shared" si="99"/>
        <v>7.8283910144171659E-2</v>
      </c>
      <c r="AJ204" s="1176">
        <f t="shared" si="99"/>
        <v>7.8828744924188801E-2</v>
      </c>
      <c r="AK204" s="1176">
        <f t="shared" si="99"/>
        <v>3.4799575308274037E-2</v>
      </c>
      <c r="AL204" s="1176">
        <f t="shared" si="99"/>
        <v>4.5705584323659801E-2</v>
      </c>
      <c r="AM204" s="1177">
        <f t="shared" si="99"/>
        <v>0.15052341392541818</v>
      </c>
      <c r="AN204" s="364"/>
      <c r="AO204" s="415">
        <v>10994.8928</v>
      </c>
      <c r="AP204" s="413">
        <v>31502.944800000001</v>
      </c>
      <c r="AQ204" s="413">
        <v>20486.577600000001</v>
      </c>
      <c r="AR204" s="413">
        <v>115360.4768</v>
      </c>
      <c r="AS204" s="414">
        <v>36377.633600000001</v>
      </c>
      <c r="AT204" s="364"/>
      <c r="AU204" s="1172">
        <f t="shared" si="89"/>
        <v>5.1205120512051207E-2</v>
      </c>
      <c r="AV204" s="1174">
        <f t="shared" si="90"/>
        <v>0.14671467146714673</v>
      </c>
      <c r="AW204" s="1174">
        <f t="shared" si="91"/>
        <v>9.5409540954095415E-2</v>
      </c>
      <c r="AX204" s="1174">
        <f t="shared" si="92"/>
        <v>0.53725372537253724</v>
      </c>
      <c r="AY204" s="1173">
        <f t="shared" si="93"/>
        <v>0.16941694169416943</v>
      </c>
      <c r="AZ204" s="364"/>
      <c r="BA204" s="1172">
        <f t="shared" si="94"/>
        <v>0.23279127606657737</v>
      </c>
      <c r="BB204" s="1173">
        <f t="shared" si="95"/>
        <v>0.18258484521104199</v>
      </c>
      <c r="BE204" t="s">
        <v>1315</v>
      </c>
      <c r="BF204" t="s">
        <v>1316</v>
      </c>
    </row>
    <row r="205" spans="1:58" ht="12.75" customHeight="1" outlineLevel="1" x14ac:dyDescent="0.2">
      <c r="A205" s="364" t="s">
        <v>1315</v>
      </c>
      <c r="B205" s="365">
        <v>45901</v>
      </c>
      <c r="C205" s="412">
        <v>280676</v>
      </c>
      <c r="D205" s="413">
        <v>231478</v>
      </c>
      <c r="E205" s="414">
        <v>49198</v>
      </c>
      <c r="F205" s="364"/>
      <c r="G205" s="412" t="s">
        <v>160</v>
      </c>
      <c r="H205" s="1226" t="s">
        <v>160</v>
      </c>
      <c r="I205" s="1227" t="s">
        <v>160</v>
      </c>
      <c r="J205" s="364"/>
      <c r="K205" s="415">
        <v>230499</v>
      </c>
      <c r="L205" s="414">
        <v>41925</v>
      </c>
      <c r="M205" s="364"/>
      <c r="N205" s="415">
        <v>110877.962</v>
      </c>
      <c r="O205" s="414">
        <v>120600.038</v>
      </c>
      <c r="P205" s="364"/>
      <c r="Q205" s="415" t="s">
        <v>160</v>
      </c>
      <c r="R205" s="417" t="s">
        <v>160</v>
      </c>
      <c r="S205" s="364"/>
      <c r="T205" s="415">
        <v>25695</v>
      </c>
      <c r="U205" s="413">
        <v>39899</v>
      </c>
      <c r="V205" s="413">
        <v>58786</v>
      </c>
      <c r="W205" s="413">
        <v>16109</v>
      </c>
      <c r="X205" s="413">
        <v>19284</v>
      </c>
      <c r="Y205" s="413">
        <v>19003</v>
      </c>
      <c r="Z205" s="413">
        <v>7982</v>
      </c>
      <c r="AA205" s="413">
        <v>10024</v>
      </c>
      <c r="AB205" s="414">
        <v>34696</v>
      </c>
      <c r="AC205" s="364"/>
      <c r="AD205" s="365">
        <f t="shared" si="59"/>
        <v>45901</v>
      </c>
      <c r="AE205" s="1175">
        <f t="shared" si="96"/>
        <v>0.1110040695012053</v>
      </c>
      <c r="AF205" s="1176">
        <f t="shared" si="97"/>
        <v>0.17236627238873672</v>
      </c>
      <c r="AG205" s="1176">
        <f t="shared" si="98"/>
        <v>0.25395933954846683</v>
      </c>
      <c r="AH205" s="1176">
        <f t="shared" si="99"/>
        <v>6.9591926662577006E-2</v>
      </c>
      <c r="AI205" s="1176">
        <f t="shared" si="99"/>
        <v>8.330813295431963E-2</v>
      </c>
      <c r="AJ205" s="1176">
        <f t="shared" si="99"/>
        <v>8.2094194696688244E-2</v>
      </c>
      <c r="AK205" s="1176">
        <f t="shared" si="99"/>
        <v>3.4482758620689655E-2</v>
      </c>
      <c r="AL205" s="1176">
        <f t="shared" si="99"/>
        <v>4.3304331297142708E-2</v>
      </c>
      <c r="AM205" s="1177">
        <f t="shared" si="99"/>
        <v>0.14988897433017392</v>
      </c>
      <c r="AN205" s="364"/>
      <c r="AO205" s="415">
        <v>11712.7868</v>
      </c>
      <c r="AP205" s="413">
        <v>32916.171600000001</v>
      </c>
      <c r="AQ205" s="413">
        <v>21319.123800000001</v>
      </c>
      <c r="AR205" s="413">
        <v>123609.25200000001</v>
      </c>
      <c r="AS205" s="414">
        <v>41897.517999999996</v>
      </c>
      <c r="AT205" s="364"/>
      <c r="AU205" s="1172">
        <f t="shared" si="89"/>
        <v>5.0605060506050598E-2</v>
      </c>
      <c r="AV205" s="1174">
        <f t="shared" si="90"/>
        <v>0.14221422142214221</v>
      </c>
      <c r="AW205" s="1174">
        <f t="shared" si="91"/>
        <v>9.2109210921092102E-2</v>
      </c>
      <c r="AX205" s="1174">
        <f t="shared" si="92"/>
        <v>0.53405340534053403</v>
      </c>
      <c r="AY205" s="1173">
        <f t="shared" si="93"/>
        <v>0.18101810181018099</v>
      </c>
      <c r="AZ205" s="364"/>
      <c r="BA205" s="1172">
        <f t="shared" si="94"/>
        <v>0.21344127306409139</v>
      </c>
      <c r="BB205" s="1173">
        <f t="shared" si="95"/>
        <v>0.18111872402560936</v>
      </c>
      <c r="BE205" t="s">
        <v>1315</v>
      </c>
      <c r="BF205" t="s">
        <v>1316</v>
      </c>
    </row>
    <row r="206" spans="1:58" ht="12.75" customHeight="1" outlineLevel="1" x14ac:dyDescent="0.2">
      <c r="A206" s="364" t="s">
        <v>1317</v>
      </c>
      <c r="B206" s="365">
        <v>45931</v>
      </c>
      <c r="C206" s="412">
        <v>285904</v>
      </c>
      <c r="D206" s="413">
        <v>248083</v>
      </c>
      <c r="E206" s="414">
        <v>37821</v>
      </c>
      <c r="F206" s="364"/>
      <c r="G206" s="412" t="s">
        <v>160</v>
      </c>
      <c r="H206" s="1226" t="s">
        <v>160</v>
      </c>
      <c r="I206" s="1227" t="s">
        <v>160</v>
      </c>
      <c r="J206" s="364"/>
      <c r="K206" s="415">
        <v>235476</v>
      </c>
      <c r="L206" s="414">
        <v>45883</v>
      </c>
      <c r="M206" s="364"/>
      <c r="N206" s="415">
        <v>134212.90300000002</v>
      </c>
      <c r="O206" s="414">
        <v>113870.09699999998</v>
      </c>
      <c r="P206" s="364"/>
      <c r="Q206" s="415" t="s">
        <v>160</v>
      </c>
      <c r="R206" s="417" t="s">
        <v>160</v>
      </c>
      <c r="S206" s="364"/>
      <c r="T206" s="415">
        <v>26923</v>
      </c>
      <c r="U206" s="413">
        <v>41970</v>
      </c>
      <c r="V206" s="413">
        <v>63350</v>
      </c>
      <c r="W206" s="413">
        <v>12762</v>
      </c>
      <c r="X206" s="413">
        <v>19151</v>
      </c>
      <c r="Y206" s="413">
        <v>24170</v>
      </c>
      <c r="Z206" s="413">
        <v>10085</v>
      </c>
      <c r="AA206" s="413">
        <v>10195</v>
      </c>
      <c r="AB206" s="414">
        <v>39477</v>
      </c>
      <c r="AC206" s="364"/>
      <c r="AD206" s="365">
        <f t="shared" si="59"/>
        <v>45931</v>
      </c>
      <c r="AE206" s="1175">
        <f t="shared" si="96"/>
        <v>0.10852416328406218</v>
      </c>
      <c r="AF206" s="1176">
        <f t="shared" si="97"/>
        <v>0.16917725116190951</v>
      </c>
      <c r="AG206" s="1176">
        <f t="shared" si="98"/>
        <v>0.2553580858019292</v>
      </c>
      <c r="AH206" s="1176">
        <f t="shared" si="99"/>
        <v>5.1442460789332602E-2</v>
      </c>
      <c r="AI206" s="1176">
        <f t="shared" si="99"/>
        <v>7.7195938456081234E-2</v>
      </c>
      <c r="AJ206" s="1176">
        <f t="shared" si="99"/>
        <v>9.7427070778731306E-2</v>
      </c>
      <c r="AK206" s="1176">
        <f t="shared" si="99"/>
        <v>4.0651717368783834E-2</v>
      </c>
      <c r="AL206" s="1176">
        <f t="shared" si="99"/>
        <v>4.1095117359915834E-2</v>
      </c>
      <c r="AM206" s="1177">
        <f t="shared" si="99"/>
        <v>0.15912819499925429</v>
      </c>
      <c r="AN206" s="364"/>
      <c r="AO206" s="415">
        <v>12255.3002</v>
      </c>
      <c r="AP206" s="413">
        <v>34036.9876</v>
      </c>
      <c r="AQ206" s="413">
        <v>22674.786199999999</v>
      </c>
      <c r="AR206" s="413">
        <v>130640.50779999999</v>
      </c>
      <c r="AS206" s="414">
        <v>48376.185000000005</v>
      </c>
      <c r="AT206" s="364"/>
      <c r="AU206" s="1172">
        <f t="shared" si="89"/>
        <v>4.9419767907162869E-2</v>
      </c>
      <c r="AV206" s="1174">
        <f t="shared" si="90"/>
        <v>0.13725490196078433</v>
      </c>
      <c r="AW206" s="1174">
        <f t="shared" si="91"/>
        <v>9.1436574629851941E-2</v>
      </c>
      <c r="AX206" s="1174">
        <f t="shared" si="92"/>
        <v>0.52681072428971587</v>
      </c>
      <c r="AY206" s="1173">
        <f t="shared" si="93"/>
        <v>0.19507803121248501</v>
      </c>
      <c r="AZ206" s="364"/>
      <c r="BA206" s="1172">
        <f t="shared" si="94"/>
        <v>0.16061509453192682</v>
      </c>
      <c r="BB206" s="1173">
        <f t="shared" si="95"/>
        <v>0.18495019811917784</v>
      </c>
      <c r="BE206" t="s">
        <v>1317</v>
      </c>
      <c r="BF206" t="s">
        <v>1318</v>
      </c>
    </row>
    <row r="207" spans="1:58" ht="12.75" customHeight="1" outlineLevel="1" x14ac:dyDescent="0.2">
      <c r="A207" s="364" t="s">
        <v>1317</v>
      </c>
      <c r="B207" s="365">
        <v>45962</v>
      </c>
      <c r="C207" s="412">
        <v>260639</v>
      </c>
      <c r="D207" s="413">
        <v>227440</v>
      </c>
      <c r="E207" s="414">
        <v>33199</v>
      </c>
      <c r="F207" s="364"/>
      <c r="G207" s="412" t="s">
        <v>160</v>
      </c>
      <c r="H207" s="1226" t="s">
        <v>160</v>
      </c>
      <c r="I207" s="1227" t="s">
        <v>160</v>
      </c>
      <c r="J207" s="364"/>
      <c r="K207" s="415">
        <v>208131</v>
      </c>
      <c r="L207" s="414">
        <v>41239</v>
      </c>
      <c r="M207" s="364"/>
      <c r="N207" s="415">
        <v>127138.95999999999</v>
      </c>
      <c r="O207" s="414">
        <v>100301.04000000001</v>
      </c>
      <c r="P207" s="364"/>
      <c r="Q207" s="415" t="s">
        <v>160</v>
      </c>
      <c r="R207" s="417" t="s">
        <v>160</v>
      </c>
      <c r="S207" s="364"/>
      <c r="T207" s="415">
        <v>27495</v>
      </c>
      <c r="U207" s="413">
        <v>41073</v>
      </c>
      <c r="V207" s="413">
        <v>57065</v>
      </c>
      <c r="W207" s="413">
        <v>8074</v>
      </c>
      <c r="X207" s="413">
        <v>19215</v>
      </c>
      <c r="Y207" s="413">
        <v>19966</v>
      </c>
      <c r="Z207" s="413">
        <v>8974</v>
      </c>
      <c r="AA207" s="413">
        <v>9808</v>
      </c>
      <c r="AB207" s="414">
        <v>35770</v>
      </c>
      <c r="AC207" s="364"/>
      <c r="AD207" s="365">
        <f t="shared" si="59"/>
        <v>45962</v>
      </c>
      <c r="AE207" s="1175">
        <f t="shared" si="96"/>
        <v>0.12088902567710165</v>
      </c>
      <c r="AF207" s="1176">
        <f t="shared" si="97"/>
        <v>0.18058828702075272</v>
      </c>
      <c r="AG207" s="1176">
        <f t="shared" si="98"/>
        <v>0.25090133661625041</v>
      </c>
      <c r="AH207" s="1176">
        <f t="shared" si="99"/>
        <v>3.5499472388322198E-2</v>
      </c>
      <c r="AI207" s="1176">
        <f t="shared" si="99"/>
        <v>8.4483819908547308E-2</v>
      </c>
      <c r="AJ207" s="1176">
        <f t="shared" si="99"/>
        <v>8.778578965881112E-2</v>
      </c>
      <c r="AK207" s="1176">
        <f t="shared" si="99"/>
        <v>3.9456559971860712E-2</v>
      </c>
      <c r="AL207" s="1176">
        <f t="shared" si="99"/>
        <v>4.31234611326064E-2</v>
      </c>
      <c r="AM207" s="1177">
        <f t="shared" si="99"/>
        <v>0.15727224762574746</v>
      </c>
      <c r="AN207" s="364"/>
      <c r="AO207" s="415">
        <v>10689.68</v>
      </c>
      <c r="AP207" s="413">
        <v>29180.552</v>
      </c>
      <c r="AQ207" s="413">
        <v>19491.608</v>
      </c>
      <c r="AR207" s="413">
        <v>119678.928</v>
      </c>
      <c r="AS207" s="414">
        <v>48444.72</v>
      </c>
      <c r="AT207" s="364"/>
      <c r="AU207" s="1172">
        <f t="shared" si="89"/>
        <v>4.6990601879624075E-2</v>
      </c>
      <c r="AV207" s="1174">
        <f t="shared" si="90"/>
        <v>0.1282743451309738</v>
      </c>
      <c r="AW207" s="1174">
        <f t="shared" si="91"/>
        <v>8.5682863427314529E-2</v>
      </c>
      <c r="AX207" s="1174">
        <f t="shared" si="92"/>
        <v>0.52609478104379126</v>
      </c>
      <c r="AY207" s="1173">
        <f t="shared" si="93"/>
        <v>0.21295740851829634</v>
      </c>
      <c r="AZ207" s="364"/>
      <c r="BA207" s="1172">
        <f t="shared" si="94"/>
        <v>0.1595101162248776</v>
      </c>
      <c r="BB207" s="1173">
        <f t="shared" si="95"/>
        <v>0.18131814984171649</v>
      </c>
      <c r="BE207" t="s">
        <v>1317</v>
      </c>
      <c r="BF207" t="s">
        <v>1318</v>
      </c>
    </row>
    <row r="208" spans="1:58" ht="12.75" customHeight="1" outlineLevel="1" x14ac:dyDescent="0.2">
      <c r="A208" s="364" t="s">
        <v>1317</v>
      </c>
      <c r="B208" s="365">
        <v>45992</v>
      </c>
      <c r="C208" s="412">
        <v>284918</v>
      </c>
      <c r="D208" s="413">
        <v>267476</v>
      </c>
      <c r="E208" s="414">
        <v>17442</v>
      </c>
      <c r="F208" s="364"/>
      <c r="G208" s="412" t="s">
        <v>160</v>
      </c>
      <c r="H208" s="1226" t="s">
        <v>160</v>
      </c>
      <c r="I208" s="1227" t="s">
        <v>160</v>
      </c>
      <c r="J208" s="364"/>
      <c r="K208" s="415">
        <v>178050</v>
      </c>
      <c r="L208" s="414">
        <v>53590</v>
      </c>
      <c r="M208" s="364"/>
      <c r="N208" s="415">
        <v>137215.18799999999</v>
      </c>
      <c r="O208" s="414">
        <v>130260.81200000001</v>
      </c>
      <c r="P208" s="364"/>
      <c r="Q208" s="415" t="s">
        <v>160</v>
      </c>
      <c r="R208" s="417" t="s">
        <v>160</v>
      </c>
      <c r="S208" s="364"/>
      <c r="T208" s="415">
        <v>29541</v>
      </c>
      <c r="U208" s="413">
        <v>47965</v>
      </c>
      <c r="V208" s="413">
        <v>66694</v>
      </c>
      <c r="W208" s="413">
        <v>11776</v>
      </c>
      <c r="X208" s="413">
        <v>20546</v>
      </c>
      <c r="Y208" s="413">
        <v>20632</v>
      </c>
      <c r="Z208" s="413">
        <v>10830</v>
      </c>
      <c r="AA208" s="413">
        <v>15659</v>
      </c>
      <c r="AB208" s="414">
        <v>43833</v>
      </c>
      <c r="AC208" s="364"/>
      <c r="AD208" s="365">
        <v>45992</v>
      </c>
      <c r="AE208" s="1175">
        <f t="shared" si="96"/>
        <v>0.11044355381417398</v>
      </c>
      <c r="AF208" s="1176">
        <f t="shared" si="97"/>
        <v>0.17932450014206883</v>
      </c>
      <c r="AG208" s="1176">
        <f t="shared" si="98"/>
        <v>0.24934573569217425</v>
      </c>
      <c r="AH208" s="1176">
        <f t="shared" ref="AH208:AM209" si="100">+W208/SUM($T208:$AB208)</f>
        <v>4.4026379936891534E-2</v>
      </c>
      <c r="AI208" s="1176">
        <f t="shared" si="100"/>
        <v>7.6814368391930496E-2</v>
      </c>
      <c r="AJ208" s="1176">
        <f t="shared" si="100"/>
        <v>7.7135892566062E-2</v>
      </c>
      <c r="AK208" s="1176">
        <f t="shared" si="100"/>
        <v>4.0489614021444915E-2</v>
      </c>
      <c r="AL208" s="1176">
        <f t="shared" si="100"/>
        <v>5.8543570264248009E-2</v>
      </c>
      <c r="AM208" s="1177">
        <f t="shared" si="100"/>
        <v>0.163876385171006</v>
      </c>
      <c r="AN208" s="364"/>
      <c r="AO208" s="415">
        <v>14550.694399999998</v>
      </c>
      <c r="AP208" s="413">
        <v>37339.649599999997</v>
      </c>
      <c r="AQ208" s="413">
        <v>24955.5108</v>
      </c>
      <c r="AR208" s="413">
        <v>139381.74360000002</v>
      </c>
      <c r="AS208" s="414">
        <v>51248.401599999997</v>
      </c>
      <c r="AT208" s="364"/>
      <c r="AU208" s="1172">
        <f t="shared" ref="AU208:AY209" si="101">+AO208/SUM($AO208:$AS208)</f>
        <v>5.4399999999999997E-2</v>
      </c>
      <c r="AV208" s="1174">
        <f t="shared" si="101"/>
        <v>0.1396</v>
      </c>
      <c r="AW208" s="1174">
        <f t="shared" si="101"/>
        <v>9.3299999999999994E-2</v>
      </c>
      <c r="AX208" s="1174">
        <f t="shared" si="101"/>
        <v>0.52110000000000001</v>
      </c>
      <c r="AY208" s="1173">
        <f t="shared" si="101"/>
        <v>0.19159999999999999</v>
      </c>
      <c r="AZ208" s="364"/>
      <c r="BA208" s="1172">
        <f t="shared" si="94"/>
        <v>9.7961246840775063E-2</v>
      </c>
      <c r="BB208" s="1173">
        <f t="shared" si="95"/>
        <v>0.20035442432218217</v>
      </c>
      <c r="BE208" t="s">
        <v>1317</v>
      </c>
      <c r="BF208" t="s">
        <v>1318</v>
      </c>
    </row>
    <row r="209" spans="1:58" ht="12.75" customHeight="1" outlineLevel="1" x14ac:dyDescent="0.2">
      <c r="A209" s="364" t="s">
        <v>1344</v>
      </c>
      <c r="B209" s="365">
        <v>46023</v>
      </c>
      <c r="C209" s="948">
        <v>187349</v>
      </c>
      <c r="D209" s="949">
        <v>162909</v>
      </c>
      <c r="E209" s="950">
        <v>24440</v>
      </c>
      <c r="F209" s="364"/>
      <c r="G209" s="948" t="s">
        <v>160</v>
      </c>
      <c r="H209" s="1228" t="s">
        <v>160</v>
      </c>
      <c r="I209" s="1229" t="s">
        <v>160</v>
      </c>
      <c r="J209" s="364"/>
      <c r="K209" s="953">
        <v>154975</v>
      </c>
      <c r="L209" s="950">
        <v>37744</v>
      </c>
      <c r="M209" s="364"/>
      <c r="N209" s="953">
        <v>67281.417000000001</v>
      </c>
      <c r="O209" s="950">
        <v>95627.582999999999</v>
      </c>
      <c r="P209" s="364"/>
      <c r="Q209" s="953" t="s">
        <v>160</v>
      </c>
      <c r="R209" s="952" t="s">
        <v>160</v>
      </c>
      <c r="S209" s="364"/>
      <c r="T209" s="953">
        <v>16146</v>
      </c>
      <c r="U209" s="949">
        <v>25866</v>
      </c>
      <c r="V209" s="949">
        <v>43151</v>
      </c>
      <c r="W209" s="949">
        <v>9545</v>
      </c>
      <c r="X209" s="949">
        <v>12345</v>
      </c>
      <c r="Y209" s="949">
        <v>10206</v>
      </c>
      <c r="Z209" s="949">
        <v>6721</v>
      </c>
      <c r="AA209" s="949">
        <v>9801</v>
      </c>
      <c r="AB209" s="950">
        <v>29128</v>
      </c>
      <c r="AC209" s="364"/>
      <c r="AD209" s="365">
        <f t="shared" si="59"/>
        <v>46023</v>
      </c>
      <c r="AE209" s="954">
        <f t="shared" si="96"/>
        <v>9.9110546378653117E-2</v>
      </c>
      <c r="AF209" s="955">
        <f t="shared" si="97"/>
        <v>0.1587757582454008</v>
      </c>
      <c r="AG209" s="955">
        <f t="shared" si="98"/>
        <v>0.26487793798992076</v>
      </c>
      <c r="AH209" s="955">
        <f t="shared" si="100"/>
        <v>5.8590992517294931E-2</v>
      </c>
      <c r="AI209" s="955">
        <f t="shared" si="100"/>
        <v>7.577850210853912E-2</v>
      </c>
      <c r="AJ209" s="955">
        <f t="shared" si="100"/>
        <v>6.2648472460085078E-2</v>
      </c>
      <c r="AK209" s="955">
        <f t="shared" si="100"/>
        <v>4.1256161415268645E-2</v>
      </c>
      <c r="AL209" s="955">
        <f t="shared" si="100"/>
        <v>6.0162421965637258E-2</v>
      </c>
      <c r="AM209" s="956">
        <f t="shared" si="100"/>
        <v>0.17879920691920029</v>
      </c>
      <c r="AN209" s="364"/>
      <c r="AO209" s="953">
        <v>8959.9950000000008</v>
      </c>
      <c r="AP209" s="949">
        <v>27124.3485</v>
      </c>
      <c r="AQ209" s="949">
        <v>18734.535</v>
      </c>
      <c r="AR209" s="949">
        <v>79662.501000000004</v>
      </c>
      <c r="AS209" s="950">
        <v>28346.165999999997</v>
      </c>
      <c r="AT209" s="364"/>
      <c r="AU209" s="957">
        <f t="shared" si="101"/>
        <v>5.5027513756878442E-2</v>
      </c>
      <c r="AV209" s="958">
        <f t="shared" si="101"/>
        <v>0.16658329164582292</v>
      </c>
      <c r="AW209" s="958">
        <f t="shared" si="101"/>
        <v>0.11505752876438219</v>
      </c>
      <c r="AX209" s="958">
        <f t="shared" si="101"/>
        <v>0.48924462231115556</v>
      </c>
      <c r="AY209" s="959">
        <f t="shared" si="101"/>
        <v>0.17408704352176085</v>
      </c>
      <c r="AZ209" s="364"/>
      <c r="BA209" s="957">
        <f t="shared" si="94"/>
        <v>0.1577028552992418</v>
      </c>
      <c r="BB209" s="959">
        <f t="shared" si="95"/>
        <v>0.23168762928997169</v>
      </c>
      <c r="BE209" t="s">
        <v>1344</v>
      </c>
      <c r="BF209" t="s">
        <v>1333</v>
      </c>
    </row>
    <row r="210" spans="1:58" ht="12.75" customHeight="1" outlineLevel="1" x14ac:dyDescent="0.2">
      <c r="A210" s="364" t="s">
        <v>1344</v>
      </c>
      <c r="B210" s="365">
        <v>46054</v>
      </c>
      <c r="C210" s="948">
        <v>209090</v>
      </c>
      <c r="D210" s="949">
        <v>177195</v>
      </c>
      <c r="E210" s="950">
        <v>31895</v>
      </c>
      <c r="F210" s="364"/>
      <c r="G210" s="948" t="s">
        <v>160</v>
      </c>
      <c r="H210" s="1228" t="s">
        <v>160</v>
      </c>
      <c r="I210" s="1229" t="s">
        <v>160</v>
      </c>
      <c r="J210" s="364"/>
      <c r="K210" s="953">
        <v>196445</v>
      </c>
      <c r="L210" s="950">
        <v>33473</v>
      </c>
      <c r="M210" s="364"/>
      <c r="N210" s="953">
        <v>85407.99</v>
      </c>
      <c r="O210" s="950">
        <v>91787.01</v>
      </c>
      <c r="P210" s="364"/>
      <c r="Q210" s="953" t="s">
        <v>160</v>
      </c>
      <c r="R210" s="952" t="s">
        <v>160</v>
      </c>
      <c r="S210" s="364"/>
      <c r="T210" s="953">
        <v>16855</v>
      </c>
      <c r="U210" s="949">
        <v>29300</v>
      </c>
      <c r="V210" s="949">
        <v>47903</v>
      </c>
      <c r="W210" s="949">
        <v>10461</v>
      </c>
      <c r="X210" s="949">
        <v>14555</v>
      </c>
      <c r="Y210" s="949">
        <v>12136</v>
      </c>
      <c r="Z210" s="949">
        <v>7573</v>
      </c>
      <c r="AA210" s="949">
        <v>11430</v>
      </c>
      <c r="AB210" s="950">
        <v>26982</v>
      </c>
      <c r="AC210" s="364"/>
      <c r="AD210" s="365">
        <f>+B210</f>
        <v>46054</v>
      </c>
      <c r="AE210" s="954">
        <f t="shared" ref="AE210:AM211" si="102">+T210/SUM($T210:$AB210)</f>
        <v>9.5121194164620892E-2</v>
      </c>
      <c r="AF210" s="955">
        <f t="shared" si="102"/>
        <v>0.16535455289370468</v>
      </c>
      <c r="AG210" s="955">
        <f t="shared" si="102"/>
        <v>0.27034058523096022</v>
      </c>
      <c r="AH210" s="955">
        <f t="shared" si="102"/>
        <v>5.9036654533141456E-2</v>
      </c>
      <c r="AI210" s="955">
        <f t="shared" si="102"/>
        <v>8.2141143937470018E-2</v>
      </c>
      <c r="AJ210" s="955">
        <f t="shared" si="102"/>
        <v>6.8489517198566552E-2</v>
      </c>
      <c r="AK210" s="955">
        <f t="shared" si="102"/>
        <v>4.273822624791896E-2</v>
      </c>
      <c r="AL210" s="955">
        <f t="shared" si="102"/>
        <v>6.4505206128841114E-2</v>
      </c>
      <c r="AM210" s="956">
        <f t="shared" si="102"/>
        <v>0.1522729196647761</v>
      </c>
      <c r="AN210" s="364"/>
      <c r="AO210" s="953">
        <v>8505.36</v>
      </c>
      <c r="AP210" s="949">
        <v>24860.458500000001</v>
      </c>
      <c r="AQ210" s="949">
        <v>18251.084999999999</v>
      </c>
      <c r="AR210" s="949">
        <v>94090.544999999998</v>
      </c>
      <c r="AS210" s="950">
        <v>31452.112499999999</v>
      </c>
      <c r="AT210" s="364"/>
      <c r="AU210" s="957">
        <f t="shared" ref="AU210:AY211" si="103">+AO210/SUM($AO210:$AS210)</f>
        <v>4.800960192038408E-2</v>
      </c>
      <c r="AV210" s="958">
        <f t="shared" si="103"/>
        <v>0.14032806561312264</v>
      </c>
      <c r="AW210" s="958">
        <f t="shared" si="103"/>
        <v>0.10302060412082417</v>
      </c>
      <c r="AX210" s="958">
        <f t="shared" si="103"/>
        <v>0.53110622124424889</v>
      </c>
      <c r="AY210" s="959">
        <f t="shared" si="103"/>
        <v>0.1775355071014203</v>
      </c>
      <c r="AZ210" s="364"/>
      <c r="BA210" s="957">
        <f t="shared" si="94"/>
        <v>0.16236096617373819</v>
      </c>
      <c r="BB210" s="959">
        <f t="shared" si="95"/>
        <v>0.18890487880583537</v>
      </c>
      <c r="BE210" t="s">
        <v>1344</v>
      </c>
      <c r="BF210" t="s">
        <v>1333</v>
      </c>
    </row>
    <row r="211" spans="1:58" ht="12.75" customHeight="1" outlineLevel="1" x14ac:dyDescent="0.2">
      <c r="A211" s="364" t="s">
        <v>1344</v>
      </c>
      <c r="B211" s="365">
        <v>46082</v>
      </c>
      <c r="C211" s="948">
        <v>296434</v>
      </c>
      <c r="D211" s="949">
        <v>258735</v>
      </c>
      <c r="E211" s="950">
        <v>37699</v>
      </c>
      <c r="F211" s="364"/>
      <c r="G211" s="948" t="s">
        <v>160</v>
      </c>
      <c r="H211" s="1228" t="s">
        <v>160</v>
      </c>
      <c r="I211" s="1229" t="s">
        <v>160</v>
      </c>
      <c r="J211" s="364"/>
      <c r="K211" s="953">
        <v>249909</v>
      </c>
      <c r="L211" s="950">
        <v>46972</v>
      </c>
      <c r="M211" s="364"/>
      <c r="N211" s="953">
        <v>130661.175</v>
      </c>
      <c r="O211" s="950">
        <v>128073.825</v>
      </c>
      <c r="P211" s="364"/>
      <c r="Q211" s="953" t="s">
        <v>160</v>
      </c>
      <c r="R211" s="952" t="s">
        <v>160</v>
      </c>
      <c r="S211" s="364"/>
      <c r="T211" s="953">
        <v>28104</v>
      </c>
      <c r="U211" s="949">
        <v>42432</v>
      </c>
      <c r="V211" s="949">
        <v>62795</v>
      </c>
      <c r="W211" s="949">
        <v>16011</v>
      </c>
      <c r="X211" s="949">
        <v>21269</v>
      </c>
      <c r="Y211" s="949">
        <v>19157</v>
      </c>
      <c r="Z211" s="949">
        <v>9910</v>
      </c>
      <c r="AA211" s="949">
        <v>16412</v>
      </c>
      <c r="AB211" s="950">
        <v>42645</v>
      </c>
      <c r="AC211" s="364"/>
      <c r="AD211" s="365">
        <f>+B211</f>
        <v>46082</v>
      </c>
      <c r="AE211" s="954">
        <f t="shared" si="102"/>
        <v>0.10862078961099195</v>
      </c>
      <c r="AF211" s="955">
        <f t="shared" si="102"/>
        <v>0.16399791292248825</v>
      </c>
      <c r="AG211" s="955">
        <f t="shared" si="102"/>
        <v>0.2427000599068545</v>
      </c>
      <c r="AH211" s="955">
        <f t="shared" si="102"/>
        <v>6.1881848223085394E-2</v>
      </c>
      <c r="AI211" s="955">
        <f t="shared" si="102"/>
        <v>8.2203799254063042E-2</v>
      </c>
      <c r="AJ211" s="955">
        <f t="shared" si="102"/>
        <v>7.4041007208147339E-2</v>
      </c>
      <c r="AK211" s="955">
        <f t="shared" si="102"/>
        <v>3.8301737298780607E-2</v>
      </c>
      <c r="AL211" s="955">
        <f t="shared" si="102"/>
        <v>6.3431696523469958E-2</v>
      </c>
      <c r="AM211" s="956">
        <f t="shared" si="102"/>
        <v>0.16482114905211898</v>
      </c>
      <c r="AN211" s="364"/>
      <c r="AO211" s="953">
        <v>13324.852499999999</v>
      </c>
      <c r="AP211" s="949">
        <v>34929.225000000006</v>
      </c>
      <c r="AQ211" s="949">
        <v>23932.987499999999</v>
      </c>
      <c r="AR211" s="949">
        <v>141346.93049999999</v>
      </c>
      <c r="AS211" s="950">
        <v>45175.131000000001</v>
      </c>
      <c r="AT211" s="364"/>
      <c r="AU211" s="957">
        <f t="shared" si="103"/>
        <v>5.1505150515051508E-2</v>
      </c>
      <c r="AV211" s="958">
        <f t="shared" si="103"/>
        <v>0.13501350135013504</v>
      </c>
      <c r="AW211" s="958">
        <f t="shared" si="103"/>
        <v>9.2509250925092518E-2</v>
      </c>
      <c r="AX211" s="958">
        <f t="shared" si="103"/>
        <v>0.54635463546354635</v>
      </c>
      <c r="AY211" s="959">
        <f t="shared" si="103"/>
        <v>0.17461746174617462</v>
      </c>
      <c r="AZ211" s="364"/>
      <c r="BA211" s="957">
        <f t="shared" si="94"/>
        <v>0.15085090973114212</v>
      </c>
      <c r="BB211" s="959">
        <f t="shared" si="95"/>
        <v>0.18154482385452297</v>
      </c>
      <c r="BE211" t="s">
        <v>1344</v>
      </c>
      <c r="BF211" t="s">
        <v>1333</v>
      </c>
    </row>
    <row r="212" spans="1:58" ht="12.75" customHeight="1" outlineLevel="1" x14ac:dyDescent="0.2">
      <c r="A212" s="364" t="s">
        <v>1345</v>
      </c>
      <c r="B212" s="365">
        <v>46113</v>
      </c>
      <c r="C212" s="948">
        <v>278046</v>
      </c>
      <c r="D212" s="949">
        <v>237486</v>
      </c>
      <c r="E212" s="950">
        <v>40560</v>
      </c>
      <c r="F212" s="364"/>
      <c r="G212" s="948" t="s">
        <v>160</v>
      </c>
      <c r="H212" s="1228" t="s">
        <v>160</v>
      </c>
      <c r="I212" s="1229" t="s">
        <v>160</v>
      </c>
      <c r="J212" s="364"/>
      <c r="K212" s="953">
        <v>225782</v>
      </c>
      <c r="L212" s="950">
        <v>48539</v>
      </c>
      <c r="M212" s="364"/>
      <c r="N212" s="953">
        <v>122305.29000000001</v>
      </c>
      <c r="O212" s="950">
        <v>115180.70999999999</v>
      </c>
      <c r="P212" s="364"/>
      <c r="Q212" s="953" t="s">
        <v>160</v>
      </c>
      <c r="R212" s="952" t="s">
        <v>160</v>
      </c>
      <c r="S212" s="364"/>
      <c r="T212" s="953">
        <v>25072</v>
      </c>
      <c r="U212" s="949">
        <v>39083</v>
      </c>
      <c r="V212" s="949">
        <v>45622</v>
      </c>
      <c r="W212" s="949">
        <v>14610</v>
      </c>
      <c r="X212" s="949">
        <v>12083</v>
      </c>
      <c r="Y212" s="949">
        <v>18563</v>
      </c>
      <c r="Z212" s="949">
        <v>9016</v>
      </c>
      <c r="AA212" s="949">
        <v>18474</v>
      </c>
      <c r="AB212" s="950">
        <v>54963</v>
      </c>
      <c r="AC212" s="364"/>
      <c r="AD212" s="365">
        <f t="shared" ref="AD212:AD221" si="104">+B212</f>
        <v>46113</v>
      </c>
      <c r="AE212" s="954">
        <f t="shared" ref="AE212:AE213" si="105">+T212/SUM($T212:$AB212)</f>
        <v>0.10557253901282602</v>
      </c>
      <c r="AF212" s="955">
        <f t="shared" ref="AF212:AF213" si="106">+U212/SUM($T212:$AB212)</f>
        <v>0.1645697009507929</v>
      </c>
      <c r="AG212" s="955">
        <f t="shared" ref="AG212:AG213" si="107">+V212/SUM($T212:$AB212)</f>
        <v>0.19210395560159335</v>
      </c>
      <c r="AH212" s="955">
        <f t="shared" ref="AH212:AH213" si="108">+W212/SUM($T212:$AB212)</f>
        <v>6.1519415881357217E-2</v>
      </c>
      <c r="AI212" s="955">
        <f t="shared" ref="AI212:AI213" si="109">+X212/SUM($T212:$AB212)</f>
        <v>5.0878788644383249E-2</v>
      </c>
      <c r="AJ212" s="955">
        <f t="shared" ref="AJ212:AJ213" si="110">+Y212/SUM($T212:$AB212)</f>
        <v>7.8164607597921557E-2</v>
      </c>
      <c r="AK212" s="955">
        <f t="shared" ref="AK212:AK213" si="111">+Z212/SUM($T212:$AB212)</f>
        <v>3.7964343161281083E-2</v>
      </c>
      <c r="AL212" s="955">
        <f t="shared" ref="AL212:AL213" si="112">+AA212/SUM($T212:$AB212)</f>
        <v>7.7789848664763392E-2</v>
      </c>
      <c r="AM212" s="956">
        <f t="shared" ref="AM212:AM213" si="113">+AB212/SUM($T212:$AB212)</f>
        <v>0.23143680048508122</v>
      </c>
      <c r="AN212" s="364"/>
      <c r="AO212" s="953">
        <v>12040.540200000001</v>
      </c>
      <c r="AP212" s="949">
        <v>33390.531600000002</v>
      </c>
      <c r="AQ212" s="949">
        <v>23154.885000000002</v>
      </c>
      <c r="AR212" s="949">
        <v>123397.72559999999</v>
      </c>
      <c r="AS212" s="950">
        <v>45526.066200000001</v>
      </c>
      <c r="AT212" s="364"/>
      <c r="AU212" s="957">
        <f t="shared" ref="AU212:AU213" si="114">+AO212/SUM($AO212:$AS212)</f>
        <v>5.0694930506949315E-2</v>
      </c>
      <c r="AV212" s="958">
        <f t="shared" ref="AV212:AV213" si="115">+AP212/SUM($AO212:$AS212)</f>
        <v>0.14058594140585942</v>
      </c>
      <c r="AW212" s="958">
        <f t="shared" ref="AW212:AW213" si="116">+AQ212/SUM($AO212:$AS212)</f>
        <v>9.749025097490252E-2</v>
      </c>
      <c r="AX212" s="958">
        <f t="shared" ref="AX212:AX213" si="117">+AR212/SUM($AO212:$AS212)</f>
        <v>0.51954804519548048</v>
      </c>
      <c r="AY212" s="959">
        <f t="shared" ref="AY212:AY213" si="118">+AS212/SUM($AO212:$AS212)</f>
        <v>0.19168083191680832</v>
      </c>
      <c r="AZ212" s="364"/>
      <c r="BA212" s="957">
        <f t="shared" ref="BA212:BA213" si="119">+E212/K212</f>
        <v>0.17964230983869395</v>
      </c>
      <c r="BB212" s="959">
        <f t="shared" ref="BB212:BB213" si="120">+L212/D212</f>
        <v>0.20438678490521547</v>
      </c>
      <c r="BE212" t="s">
        <v>1345</v>
      </c>
      <c r="BF212" t="s">
        <v>1367</v>
      </c>
    </row>
    <row r="213" spans="1:58" ht="12.75" customHeight="1" outlineLevel="1" x14ac:dyDescent="0.2">
      <c r="A213" s="364" t="s">
        <v>1345</v>
      </c>
      <c r="B213" s="365">
        <v>46143</v>
      </c>
      <c r="C213" s="948">
        <v>299471</v>
      </c>
      <c r="D213" s="949">
        <v>264657</v>
      </c>
      <c r="E213" s="950">
        <v>34814</v>
      </c>
      <c r="F213" s="364"/>
      <c r="G213" s="948" t="s">
        <v>160</v>
      </c>
      <c r="H213" s="1228" t="s">
        <v>160</v>
      </c>
      <c r="I213" s="1229" t="s">
        <v>160</v>
      </c>
      <c r="J213" s="364"/>
      <c r="K213" s="953">
        <v>240056</v>
      </c>
      <c r="L213" s="950">
        <v>54321</v>
      </c>
      <c r="M213" s="364"/>
      <c r="N213" s="953">
        <v>138415.611</v>
      </c>
      <c r="O213" s="950">
        <v>126241.389</v>
      </c>
      <c r="P213" s="364"/>
      <c r="Q213" s="953" t="s">
        <v>160</v>
      </c>
      <c r="R213" s="952" t="s">
        <v>160</v>
      </c>
      <c r="S213" s="364"/>
      <c r="T213" s="953">
        <v>27712</v>
      </c>
      <c r="U213" s="949">
        <v>43313</v>
      </c>
      <c r="V213" s="949">
        <v>49642</v>
      </c>
      <c r="W213" s="949">
        <v>14817</v>
      </c>
      <c r="X213" s="949">
        <v>11060</v>
      </c>
      <c r="Y213" s="949">
        <v>20239</v>
      </c>
      <c r="Z213" s="949">
        <v>10287</v>
      </c>
      <c r="AA213" s="949">
        <v>21704</v>
      </c>
      <c r="AB213" s="950">
        <v>65883</v>
      </c>
      <c r="AC213" s="364"/>
      <c r="AD213" s="365">
        <f t="shared" si="104"/>
        <v>46143</v>
      </c>
      <c r="AE213" s="954">
        <f t="shared" si="105"/>
        <v>0.10470911406084102</v>
      </c>
      <c r="AF213" s="955">
        <f t="shared" si="106"/>
        <v>0.16365711090203547</v>
      </c>
      <c r="AG213" s="955">
        <f t="shared" si="107"/>
        <v>0.18757108257102589</v>
      </c>
      <c r="AH213" s="955">
        <f t="shared" si="108"/>
        <v>5.59856720207665E-2</v>
      </c>
      <c r="AI213" s="955">
        <f t="shared" si="109"/>
        <v>4.1789939431037156E-2</v>
      </c>
      <c r="AJ213" s="955">
        <f t="shared" si="110"/>
        <v>7.6472566378368981E-2</v>
      </c>
      <c r="AK213" s="955">
        <f t="shared" si="111"/>
        <v>3.8869177841508062E-2</v>
      </c>
      <c r="AL213" s="955">
        <f t="shared" si="112"/>
        <v>8.2008033038990083E-2</v>
      </c>
      <c r="AM213" s="956">
        <f t="shared" si="113"/>
        <v>0.24893730375542683</v>
      </c>
      <c r="AN213" s="364"/>
      <c r="AO213" s="953">
        <v>12730.001699999999</v>
      </c>
      <c r="AP213" s="949">
        <v>34961.189699999995</v>
      </c>
      <c r="AQ213" s="949">
        <v>24877.758000000002</v>
      </c>
      <c r="AR213" s="949">
        <v>143470.55970000001</v>
      </c>
      <c r="AS213" s="950">
        <v>48591.025200000004</v>
      </c>
      <c r="AT213" s="364"/>
      <c r="AU213" s="957">
        <f t="shared" si="114"/>
        <v>4.8104810481048088E-2</v>
      </c>
      <c r="AV213" s="958">
        <f t="shared" si="115"/>
        <v>0.13211321132113207</v>
      </c>
      <c r="AW213" s="958">
        <f t="shared" si="116"/>
        <v>9.4009400940093996E-2</v>
      </c>
      <c r="AX213" s="958">
        <f t="shared" si="117"/>
        <v>0.54215421542154207</v>
      </c>
      <c r="AY213" s="959">
        <f t="shared" si="118"/>
        <v>0.1836183618361836</v>
      </c>
      <c r="AZ213" s="364"/>
      <c r="BA213" s="957">
        <f t="shared" si="119"/>
        <v>0.1450244942846669</v>
      </c>
      <c r="BB213" s="959">
        <f t="shared" si="120"/>
        <v>0.20525056960518709</v>
      </c>
      <c r="BE213" t="s">
        <v>1345</v>
      </c>
      <c r="BF213" t="s">
        <v>1367</v>
      </c>
    </row>
    <row r="214" spans="1:58" ht="12.75" customHeight="1" outlineLevel="1" x14ac:dyDescent="0.2">
      <c r="A214" s="364" t="s">
        <v>1345</v>
      </c>
      <c r="B214" s="365">
        <v>46174</v>
      </c>
      <c r="C214" s="948">
        <v>294726</v>
      </c>
      <c r="D214" s="949">
        <v>260528</v>
      </c>
      <c r="E214" s="950">
        <v>34198</v>
      </c>
      <c r="F214" s="364"/>
      <c r="G214" s="948">
        <v>0</v>
      </c>
      <c r="H214" s="951">
        <v>0</v>
      </c>
      <c r="I214" s="952">
        <v>0</v>
      </c>
      <c r="J214" s="364"/>
      <c r="K214" s="953">
        <v>232765</v>
      </c>
      <c r="L214" s="950">
        <v>57028</v>
      </c>
      <c r="M214" s="364"/>
      <c r="N214" s="953">
        <v>133129.80799999999</v>
      </c>
      <c r="O214" s="950">
        <v>127398.19200000001</v>
      </c>
      <c r="P214" s="364"/>
      <c r="Q214" s="953">
        <v>0</v>
      </c>
      <c r="R214" s="952">
        <v>0</v>
      </c>
      <c r="S214" s="364"/>
      <c r="T214" s="953">
        <v>26651</v>
      </c>
      <c r="U214" s="949">
        <v>46204</v>
      </c>
      <c r="V214" s="949">
        <v>49080</v>
      </c>
      <c r="W214" s="949">
        <v>14501</v>
      </c>
      <c r="X214" s="949">
        <v>10869</v>
      </c>
      <c r="Y214" s="949">
        <v>16430</v>
      </c>
      <c r="Z214" s="949">
        <v>10033</v>
      </c>
      <c r="AA214" s="949">
        <v>21254</v>
      </c>
      <c r="AB214" s="950">
        <v>65506</v>
      </c>
      <c r="AC214" s="364"/>
      <c r="AD214" s="365">
        <v>46174</v>
      </c>
      <c r="AE214" s="954">
        <f t="shared" ref="AE214" si="121">+T214/SUM($T214:$AB214)</f>
        <v>0.1022961063686053</v>
      </c>
      <c r="AF214" s="955">
        <f t="shared" ref="AF214" si="122">+U214/SUM($T214:$AB214)</f>
        <v>0.17734754037953693</v>
      </c>
      <c r="AG214" s="955">
        <f t="shared" ref="AG214" si="123">+V214/SUM($T214:$AB214)</f>
        <v>0.18838666093471718</v>
      </c>
      <c r="AH214" s="955">
        <f t="shared" ref="AH214" si="124">+W214/SUM($T214:$AB214)</f>
        <v>5.5660044217895964E-2</v>
      </c>
      <c r="AI214" s="955">
        <f t="shared" ref="AI214" si="125">+X214/SUM($T214:$AB214)</f>
        <v>4.1719124240004915E-2</v>
      </c>
      <c r="AJ214" s="955">
        <f t="shared" ref="AJ214" si="126">+Y214/SUM($T214:$AB214)</f>
        <v>6.3064238776638207E-2</v>
      </c>
      <c r="AK214" s="955">
        <f t="shared" ref="AK214" si="127">+Z214/SUM($T214:$AB214)</f>
        <v>3.8510256095314131E-2</v>
      </c>
      <c r="AL214" s="955">
        <f t="shared" ref="AL214" si="128">+AA214/SUM($T214:$AB214)</f>
        <v>8.1580482712030958E-2</v>
      </c>
      <c r="AM214" s="956">
        <f t="shared" ref="AM214" si="129">+AB214/SUM($T214:$AB214)</f>
        <v>0.25143554627525638</v>
      </c>
      <c r="AN214" s="364"/>
      <c r="AO214" s="953">
        <v>13208.7696</v>
      </c>
      <c r="AP214" s="949">
        <v>33295.4784</v>
      </c>
      <c r="AQ214" s="949">
        <v>24932.529599999998</v>
      </c>
      <c r="AR214" s="949">
        <v>142586.97440000001</v>
      </c>
      <c r="AS214" s="950">
        <v>46504.248</v>
      </c>
      <c r="AT214" s="364"/>
      <c r="AU214" s="957">
        <f t="shared" ref="AU214" si="130">+AO214/SUM($AO214:$AS214)</f>
        <v>5.0700000000000002E-2</v>
      </c>
      <c r="AV214" s="958">
        <f t="shared" ref="AV214" si="131">+AP214/SUM($AO214:$AS214)</f>
        <v>0.1278</v>
      </c>
      <c r="AW214" s="958">
        <f t="shared" ref="AW214" si="132">+AQ214/SUM($AO214:$AS214)</f>
        <v>9.5699999999999993E-2</v>
      </c>
      <c r="AX214" s="958">
        <f t="shared" ref="AX214" si="133">+AR214/SUM($AO214:$AS214)</f>
        <v>0.54730000000000001</v>
      </c>
      <c r="AY214" s="959">
        <f t="shared" ref="AY214" si="134">+AS214/SUM($AO214:$AS214)</f>
        <v>0.17849999999999999</v>
      </c>
      <c r="AZ214" s="364"/>
      <c r="BA214" s="957">
        <f t="shared" ref="BA214" si="135">+E214/K214</f>
        <v>0.14692071402487486</v>
      </c>
      <c r="BB214" s="959">
        <f t="shared" ref="BB214" si="136">+L214/D214</f>
        <v>0.21889393846342811</v>
      </c>
      <c r="BE214" t="s">
        <v>1345</v>
      </c>
      <c r="BF214" t="s">
        <v>1367</v>
      </c>
    </row>
    <row r="215" spans="1:58" ht="12.75" customHeight="1" outlineLevel="1" x14ac:dyDescent="0.2">
      <c r="A215" s="364" t="s">
        <v>1346</v>
      </c>
      <c r="B215" s="365">
        <v>46204</v>
      </c>
      <c r="C215" s="948"/>
      <c r="D215" s="949"/>
      <c r="E215" s="950"/>
      <c r="F215" s="364"/>
      <c r="G215" s="948"/>
      <c r="H215" s="951"/>
      <c r="I215" s="952"/>
      <c r="J215" s="364"/>
      <c r="K215" s="953"/>
      <c r="L215" s="950"/>
      <c r="M215" s="364"/>
      <c r="N215" s="953"/>
      <c r="O215" s="950"/>
      <c r="P215" s="364"/>
      <c r="Q215" s="953"/>
      <c r="R215" s="952"/>
      <c r="S215" s="364"/>
      <c r="T215" s="953"/>
      <c r="U215" s="949"/>
      <c r="V215" s="949"/>
      <c r="W215" s="949"/>
      <c r="X215" s="949"/>
      <c r="Y215" s="949"/>
      <c r="Z215" s="949"/>
      <c r="AA215" s="949"/>
      <c r="AB215" s="950"/>
      <c r="AC215" s="364"/>
      <c r="AD215" s="365">
        <f t="shared" si="104"/>
        <v>46204</v>
      </c>
      <c r="AE215" s="954"/>
      <c r="AF215" s="955"/>
      <c r="AG215" s="955"/>
      <c r="AH215" s="955"/>
      <c r="AI215" s="955"/>
      <c r="AJ215" s="955"/>
      <c r="AK215" s="955"/>
      <c r="AL215" s="955"/>
      <c r="AM215" s="956"/>
      <c r="AN215" s="364"/>
      <c r="AO215" s="953"/>
      <c r="AP215" s="949"/>
      <c r="AQ215" s="949"/>
      <c r="AR215" s="949"/>
      <c r="AS215" s="950"/>
      <c r="AT215" s="364"/>
      <c r="AU215" s="957"/>
      <c r="AV215" s="958"/>
      <c r="AW215" s="958"/>
      <c r="AX215" s="958"/>
      <c r="AY215" s="959"/>
      <c r="AZ215" s="364"/>
      <c r="BA215" s="957"/>
      <c r="BB215" s="959"/>
      <c r="BE215" t="s">
        <v>1346</v>
      </c>
      <c r="BF215" t="s">
        <v>1368</v>
      </c>
    </row>
    <row r="216" spans="1:58" ht="12.75" customHeight="1" outlineLevel="1" x14ac:dyDescent="0.2">
      <c r="A216" s="364" t="s">
        <v>1346</v>
      </c>
      <c r="B216" s="365">
        <v>46235</v>
      </c>
      <c r="C216" s="948"/>
      <c r="D216" s="949"/>
      <c r="E216" s="950"/>
      <c r="F216" s="364"/>
      <c r="G216" s="948"/>
      <c r="H216" s="951"/>
      <c r="I216" s="952"/>
      <c r="J216" s="364"/>
      <c r="K216" s="953"/>
      <c r="L216" s="950"/>
      <c r="M216" s="364"/>
      <c r="N216" s="953"/>
      <c r="O216" s="950"/>
      <c r="P216" s="364"/>
      <c r="Q216" s="953"/>
      <c r="R216" s="952"/>
      <c r="S216" s="364"/>
      <c r="T216" s="953"/>
      <c r="U216" s="949"/>
      <c r="V216" s="949"/>
      <c r="W216" s="949"/>
      <c r="X216" s="949"/>
      <c r="Y216" s="949"/>
      <c r="Z216" s="949"/>
      <c r="AA216" s="949"/>
      <c r="AB216" s="950"/>
      <c r="AC216" s="364"/>
      <c r="AD216" s="365">
        <f t="shared" si="104"/>
        <v>46235</v>
      </c>
      <c r="AE216" s="954"/>
      <c r="AF216" s="955"/>
      <c r="AG216" s="955"/>
      <c r="AH216" s="955"/>
      <c r="AI216" s="955"/>
      <c r="AJ216" s="955"/>
      <c r="AK216" s="955"/>
      <c r="AL216" s="955"/>
      <c r="AM216" s="956"/>
      <c r="AN216" s="364"/>
      <c r="AO216" s="953"/>
      <c r="AP216" s="949"/>
      <c r="AQ216" s="949"/>
      <c r="AR216" s="949"/>
      <c r="AS216" s="950"/>
      <c r="AT216" s="364"/>
      <c r="AU216" s="957"/>
      <c r="AV216" s="958"/>
      <c r="AW216" s="958"/>
      <c r="AX216" s="958"/>
      <c r="AY216" s="959"/>
      <c r="AZ216" s="364"/>
      <c r="BA216" s="957"/>
      <c r="BB216" s="959"/>
      <c r="BE216" t="s">
        <v>1346</v>
      </c>
      <c r="BF216" t="s">
        <v>1368</v>
      </c>
    </row>
    <row r="217" spans="1:58" ht="12.75" customHeight="1" outlineLevel="1" x14ac:dyDescent="0.2">
      <c r="A217" s="364" t="s">
        <v>1346</v>
      </c>
      <c r="B217" s="365">
        <v>46266</v>
      </c>
      <c r="C217" s="948"/>
      <c r="D217" s="949"/>
      <c r="E217" s="950"/>
      <c r="F217" s="364"/>
      <c r="G217" s="948"/>
      <c r="H217" s="951"/>
      <c r="I217" s="952"/>
      <c r="J217" s="364"/>
      <c r="K217" s="953"/>
      <c r="L217" s="950"/>
      <c r="M217" s="364"/>
      <c r="N217" s="953"/>
      <c r="O217" s="950"/>
      <c r="P217" s="364"/>
      <c r="Q217" s="953"/>
      <c r="R217" s="952"/>
      <c r="S217" s="364"/>
      <c r="T217" s="953"/>
      <c r="U217" s="949"/>
      <c r="V217" s="949"/>
      <c r="W217" s="949"/>
      <c r="X217" s="949"/>
      <c r="Y217" s="949"/>
      <c r="Z217" s="949"/>
      <c r="AA217" s="949"/>
      <c r="AB217" s="950"/>
      <c r="AC217" s="364"/>
      <c r="AD217" s="365">
        <f t="shared" si="104"/>
        <v>46266</v>
      </c>
      <c r="AE217" s="954"/>
      <c r="AF217" s="955"/>
      <c r="AG217" s="955"/>
      <c r="AH217" s="955"/>
      <c r="AI217" s="955"/>
      <c r="AJ217" s="955"/>
      <c r="AK217" s="955"/>
      <c r="AL217" s="955"/>
      <c r="AM217" s="956"/>
      <c r="AN217" s="364"/>
      <c r="AO217" s="953"/>
      <c r="AP217" s="949"/>
      <c r="AQ217" s="949"/>
      <c r="AR217" s="949"/>
      <c r="AS217" s="950"/>
      <c r="AT217" s="364"/>
      <c r="AU217" s="957"/>
      <c r="AV217" s="958"/>
      <c r="AW217" s="958"/>
      <c r="AX217" s="958"/>
      <c r="AY217" s="959"/>
      <c r="AZ217" s="364"/>
      <c r="BA217" s="957"/>
      <c r="BB217" s="959"/>
      <c r="BE217" t="s">
        <v>1346</v>
      </c>
      <c r="BF217" t="s">
        <v>1368</v>
      </c>
    </row>
    <row r="218" spans="1:58" ht="12.75" customHeight="1" outlineLevel="1" x14ac:dyDescent="0.2">
      <c r="A218" s="364" t="s">
        <v>1347</v>
      </c>
      <c r="B218" s="365">
        <v>46296</v>
      </c>
      <c r="C218" s="948"/>
      <c r="D218" s="949"/>
      <c r="E218" s="950"/>
      <c r="F218" s="364"/>
      <c r="G218" s="948"/>
      <c r="H218" s="951"/>
      <c r="I218" s="952"/>
      <c r="J218" s="364"/>
      <c r="K218" s="953"/>
      <c r="L218" s="950"/>
      <c r="M218" s="364"/>
      <c r="N218" s="953"/>
      <c r="O218" s="950"/>
      <c r="P218" s="364"/>
      <c r="Q218" s="953"/>
      <c r="R218" s="952"/>
      <c r="S218" s="364"/>
      <c r="T218" s="953"/>
      <c r="U218" s="949"/>
      <c r="V218" s="949"/>
      <c r="W218" s="949"/>
      <c r="X218" s="949"/>
      <c r="Y218" s="949"/>
      <c r="Z218" s="949"/>
      <c r="AA218" s="949"/>
      <c r="AB218" s="950"/>
      <c r="AC218" s="364"/>
      <c r="AD218" s="365">
        <f t="shared" si="104"/>
        <v>46296</v>
      </c>
      <c r="AE218" s="954"/>
      <c r="AF218" s="955"/>
      <c r="AG218" s="955"/>
      <c r="AH218" s="955"/>
      <c r="AI218" s="955"/>
      <c r="AJ218" s="955"/>
      <c r="AK218" s="955"/>
      <c r="AL218" s="955"/>
      <c r="AM218" s="956"/>
      <c r="AN218" s="364"/>
      <c r="AO218" s="953"/>
      <c r="AP218" s="949"/>
      <c r="AQ218" s="949"/>
      <c r="AR218" s="949"/>
      <c r="AS218" s="950"/>
      <c r="AT218" s="364"/>
      <c r="AU218" s="957"/>
      <c r="AV218" s="958"/>
      <c r="AW218" s="958"/>
      <c r="AX218" s="958"/>
      <c r="AY218" s="959"/>
      <c r="AZ218" s="364"/>
      <c r="BA218" s="957"/>
      <c r="BB218" s="959"/>
      <c r="BE218" t="s">
        <v>1347</v>
      </c>
      <c r="BF218" t="s">
        <v>1369</v>
      </c>
    </row>
    <row r="219" spans="1:58" ht="12.75" customHeight="1" outlineLevel="1" x14ac:dyDescent="0.2">
      <c r="A219" s="364" t="s">
        <v>1347</v>
      </c>
      <c r="B219" s="365">
        <v>46327</v>
      </c>
      <c r="C219" s="948"/>
      <c r="D219" s="949"/>
      <c r="E219" s="950"/>
      <c r="F219" s="364"/>
      <c r="G219" s="948"/>
      <c r="H219" s="951"/>
      <c r="I219" s="952"/>
      <c r="J219" s="364"/>
      <c r="K219" s="953"/>
      <c r="L219" s="950"/>
      <c r="M219" s="364"/>
      <c r="N219" s="953"/>
      <c r="O219" s="950"/>
      <c r="P219" s="364"/>
      <c r="Q219" s="953"/>
      <c r="R219" s="952"/>
      <c r="S219" s="364"/>
      <c r="T219" s="953"/>
      <c r="U219" s="949"/>
      <c r="V219" s="949"/>
      <c r="W219" s="949"/>
      <c r="X219" s="949"/>
      <c r="Y219" s="949"/>
      <c r="Z219" s="949"/>
      <c r="AA219" s="949"/>
      <c r="AB219" s="950"/>
      <c r="AC219" s="364"/>
      <c r="AD219" s="365">
        <f t="shared" si="104"/>
        <v>46327</v>
      </c>
      <c r="AE219" s="954"/>
      <c r="AF219" s="955"/>
      <c r="AG219" s="955"/>
      <c r="AH219" s="955"/>
      <c r="AI219" s="955"/>
      <c r="AJ219" s="955"/>
      <c r="AK219" s="955"/>
      <c r="AL219" s="955"/>
      <c r="AM219" s="956"/>
      <c r="AN219" s="364"/>
      <c r="AO219" s="953"/>
      <c r="AP219" s="949"/>
      <c r="AQ219" s="949"/>
      <c r="AR219" s="949"/>
      <c r="AS219" s="950"/>
      <c r="AT219" s="364"/>
      <c r="AU219" s="957"/>
      <c r="AV219" s="958"/>
      <c r="AW219" s="958"/>
      <c r="AX219" s="958"/>
      <c r="AY219" s="959"/>
      <c r="AZ219" s="364"/>
      <c r="BA219" s="957"/>
      <c r="BB219" s="959"/>
      <c r="BE219" t="s">
        <v>1347</v>
      </c>
      <c r="BF219" t="s">
        <v>1369</v>
      </c>
    </row>
    <row r="220" spans="1:58" ht="12.75" customHeight="1" outlineLevel="1" x14ac:dyDescent="0.2">
      <c r="A220" s="364" t="s">
        <v>1347</v>
      </c>
      <c r="B220" s="365">
        <v>46357</v>
      </c>
      <c r="C220" s="948"/>
      <c r="D220" s="949"/>
      <c r="E220" s="950"/>
      <c r="F220" s="364"/>
      <c r="G220" s="948"/>
      <c r="H220" s="951"/>
      <c r="I220" s="952"/>
      <c r="J220" s="364"/>
      <c r="K220" s="953"/>
      <c r="L220" s="950"/>
      <c r="M220" s="364"/>
      <c r="N220" s="953"/>
      <c r="O220" s="950"/>
      <c r="P220" s="364"/>
      <c r="Q220" s="953"/>
      <c r="R220" s="952"/>
      <c r="S220" s="364"/>
      <c r="T220" s="953"/>
      <c r="U220" s="949"/>
      <c r="V220" s="949"/>
      <c r="W220" s="949"/>
      <c r="X220" s="949"/>
      <c r="Y220" s="949"/>
      <c r="Z220" s="949"/>
      <c r="AA220" s="949"/>
      <c r="AB220" s="950"/>
      <c r="AC220" s="364"/>
      <c r="AD220" s="365">
        <f t="shared" si="104"/>
        <v>46357</v>
      </c>
      <c r="AE220" s="954"/>
      <c r="AF220" s="955"/>
      <c r="AG220" s="955"/>
      <c r="AH220" s="955"/>
      <c r="AI220" s="955"/>
      <c r="AJ220" s="955"/>
      <c r="AK220" s="955"/>
      <c r="AL220" s="955"/>
      <c r="AM220" s="956"/>
      <c r="AN220" s="364"/>
      <c r="AO220" s="953"/>
      <c r="AP220" s="949"/>
      <c r="AQ220" s="949"/>
      <c r="AR220" s="949"/>
      <c r="AS220" s="950"/>
      <c r="AT220" s="364"/>
      <c r="AU220" s="957"/>
      <c r="AV220" s="958"/>
      <c r="AW220" s="958"/>
      <c r="AX220" s="958"/>
      <c r="AY220" s="959"/>
      <c r="AZ220" s="364"/>
      <c r="BA220" s="957"/>
      <c r="BB220" s="959"/>
      <c r="BE220" t="s">
        <v>1347</v>
      </c>
      <c r="BF220" t="s">
        <v>1369</v>
      </c>
    </row>
    <row r="221" spans="1:58" ht="12.75" customHeight="1" outlineLevel="1" x14ac:dyDescent="0.2">
      <c r="A221" s="364"/>
      <c r="B221" s="365">
        <v>46388</v>
      </c>
      <c r="C221" s="948"/>
      <c r="D221" s="949"/>
      <c r="E221" s="950"/>
      <c r="F221" s="364"/>
      <c r="G221" s="948"/>
      <c r="H221" s="951"/>
      <c r="I221" s="952"/>
      <c r="J221" s="364"/>
      <c r="K221" s="953"/>
      <c r="L221" s="950"/>
      <c r="M221" s="364"/>
      <c r="N221" s="953"/>
      <c r="O221" s="950"/>
      <c r="P221" s="364"/>
      <c r="Q221" s="953"/>
      <c r="R221" s="952"/>
      <c r="S221" s="364"/>
      <c r="T221" s="953"/>
      <c r="U221" s="949"/>
      <c r="V221" s="949"/>
      <c r="W221" s="949"/>
      <c r="X221" s="949"/>
      <c r="Y221" s="949"/>
      <c r="Z221" s="949"/>
      <c r="AA221" s="949"/>
      <c r="AB221" s="950"/>
      <c r="AC221" s="364"/>
      <c r="AD221" s="365">
        <f t="shared" si="104"/>
        <v>46388</v>
      </c>
      <c r="AE221" s="954"/>
      <c r="AF221" s="955"/>
      <c r="AG221" s="955"/>
      <c r="AH221" s="955"/>
      <c r="AI221" s="955"/>
      <c r="AJ221" s="955"/>
      <c r="AK221" s="955"/>
      <c r="AL221" s="955"/>
      <c r="AM221" s="956"/>
      <c r="AN221" s="364"/>
      <c r="AO221" s="953"/>
      <c r="AP221" s="949"/>
      <c r="AQ221" s="949"/>
      <c r="AR221" s="949"/>
      <c r="AS221" s="950"/>
      <c r="AT221" s="364"/>
      <c r="AU221" s="957"/>
      <c r="AV221" s="958"/>
      <c r="AW221" s="958"/>
      <c r="AX221" s="958"/>
      <c r="AY221" s="959"/>
      <c r="AZ221" s="364"/>
      <c r="BA221" s="957"/>
      <c r="BB221" s="959"/>
    </row>
    <row r="222" spans="1:58" ht="12.75" customHeight="1" x14ac:dyDescent="0.2">
      <c r="A222" s="364"/>
      <c r="B222" s="365"/>
      <c r="C222" s="432"/>
      <c r="D222" s="364"/>
      <c r="E222" s="433"/>
      <c r="F222" s="364"/>
      <c r="G222" s="432"/>
      <c r="H222" s="364"/>
      <c r="I222" s="433"/>
      <c r="J222" s="364"/>
      <c r="K222" s="434"/>
      <c r="L222" s="433"/>
      <c r="M222" s="364"/>
      <c r="N222" s="434"/>
      <c r="O222" s="433"/>
      <c r="P222" s="364"/>
      <c r="Q222" s="434"/>
      <c r="R222" s="433"/>
      <c r="S222" s="364"/>
      <c r="T222" s="434"/>
      <c r="U222" s="364"/>
      <c r="V222" s="364"/>
      <c r="W222" s="364"/>
      <c r="X222" s="364"/>
      <c r="Y222" s="364"/>
      <c r="Z222" s="364"/>
      <c r="AA222" s="364"/>
      <c r="AB222" s="433"/>
      <c r="AC222" s="364"/>
      <c r="AD222" s="365"/>
      <c r="AE222" s="435"/>
      <c r="AF222" s="436"/>
      <c r="AG222" s="436"/>
      <c r="AH222" s="436"/>
      <c r="AI222" s="436"/>
      <c r="AJ222" s="436"/>
      <c r="AK222" s="436"/>
      <c r="AL222" s="436"/>
      <c r="AM222" s="437"/>
      <c r="AN222" s="364"/>
      <c r="AO222" s="434"/>
      <c r="AP222" s="364"/>
      <c r="AQ222" s="364"/>
      <c r="AR222" s="364"/>
      <c r="AS222" s="433"/>
      <c r="AT222" s="364"/>
      <c r="AU222" s="434"/>
      <c r="AV222" s="364"/>
      <c r="AW222" s="364"/>
      <c r="AX222" s="364"/>
      <c r="AY222" s="433"/>
      <c r="AZ222" s="364"/>
      <c r="BA222" s="434"/>
      <c r="BB222" s="433"/>
    </row>
    <row r="223" spans="1:58" ht="12.75" customHeight="1" outlineLevel="1" x14ac:dyDescent="0.2">
      <c r="A223" s="364"/>
      <c r="B223" s="438" t="s">
        <v>615</v>
      </c>
      <c r="C223" s="401">
        <f>+SUMIFS('Dados Mercado'!C:C,'Dados Mercado'!$A:$A,$B223)</f>
        <v>771945</v>
      </c>
      <c r="D223" s="402">
        <f>+SUMIFS('Dados Mercado'!D:D,'Dados Mercado'!$A:$A,$B223)</f>
        <v>642003</v>
      </c>
      <c r="E223" s="404">
        <f>+SUMIFS('Dados Mercado'!E:E,'Dados Mercado'!$A:$A,$B223)</f>
        <v>129942</v>
      </c>
      <c r="F223" s="367"/>
      <c r="G223" s="405" t="s">
        <v>160</v>
      </c>
      <c r="H223" s="402" t="s">
        <v>160</v>
      </c>
      <c r="I223" s="404" t="s">
        <v>160</v>
      </c>
      <c r="J223" s="367"/>
      <c r="K223" s="405">
        <f>+SUMIFS('Dados Mercado'!K:K,'Dados Mercado'!$A:$A,$B223)</f>
        <v>0</v>
      </c>
      <c r="L223" s="404">
        <f>+SUMIFS('Dados Mercado'!L:L,'Dados Mercado'!$A:$A,$B223)</f>
        <v>0</v>
      </c>
      <c r="M223" s="367"/>
      <c r="N223" s="405" t="s">
        <v>160</v>
      </c>
      <c r="O223" s="404" t="s">
        <v>160</v>
      </c>
      <c r="P223" s="367"/>
      <c r="Q223" s="405" t="s">
        <v>160</v>
      </c>
      <c r="R223" s="404" t="s">
        <v>160</v>
      </c>
      <c r="S223" s="367"/>
      <c r="T223" s="405" t="s">
        <v>160</v>
      </c>
      <c r="U223" s="402" t="s">
        <v>160</v>
      </c>
      <c r="V223" s="402" t="s">
        <v>160</v>
      </c>
      <c r="W223" s="402" t="s">
        <v>160</v>
      </c>
      <c r="X223" s="402" t="s">
        <v>160</v>
      </c>
      <c r="Y223" s="402" t="s">
        <v>160</v>
      </c>
      <c r="Z223" s="402" t="s">
        <v>160</v>
      </c>
      <c r="AA223" s="402"/>
      <c r="AB223" s="404" t="s">
        <v>160</v>
      </c>
      <c r="AC223" s="367"/>
      <c r="AD223" s="438" t="s">
        <v>615</v>
      </c>
      <c r="AE223" s="439" t="s">
        <v>160</v>
      </c>
      <c r="AF223" s="440" t="s">
        <v>160</v>
      </c>
      <c r="AG223" s="440" t="s">
        <v>160</v>
      </c>
      <c r="AH223" s="440" t="s">
        <v>160</v>
      </c>
      <c r="AI223" s="440" t="s">
        <v>160</v>
      </c>
      <c r="AJ223" s="440" t="s">
        <v>160</v>
      </c>
      <c r="AK223" s="440" t="s">
        <v>160</v>
      </c>
      <c r="AL223" s="661" t="s">
        <v>160</v>
      </c>
      <c r="AM223" s="441" t="s">
        <v>160</v>
      </c>
      <c r="AN223" s="367"/>
      <c r="AO223" s="442" t="s">
        <v>160</v>
      </c>
      <c r="AP223" s="443" t="s">
        <v>160</v>
      </c>
      <c r="AQ223" s="443" t="s">
        <v>160</v>
      </c>
      <c r="AR223" s="443" t="s">
        <v>160</v>
      </c>
      <c r="AS223" s="444" t="s">
        <v>160</v>
      </c>
      <c r="AT223" s="364"/>
      <c r="AU223" s="442" t="s">
        <v>160</v>
      </c>
      <c r="AV223" s="443" t="s">
        <v>160</v>
      </c>
      <c r="AW223" s="443" t="s">
        <v>160</v>
      </c>
      <c r="AX223" s="443" t="s">
        <v>160</v>
      </c>
      <c r="AY223" s="444" t="s">
        <v>160</v>
      </c>
      <c r="AZ223" s="364"/>
      <c r="BA223" s="442" t="s">
        <v>160</v>
      </c>
      <c r="BB223" s="444" t="s">
        <v>160</v>
      </c>
    </row>
    <row r="224" spans="1:58" ht="12.75" customHeight="1" outlineLevel="1" x14ac:dyDescent="0.2">
      <c r="A224" s="364"/>
      <c r="B224" s="445" t="s">
        <v>616</v>
      </c>
      <c r="C224" s="401">
        <f>+SUMIFS('Dados Mercado'!C:C,'Dados Mercado'!$A:$A,$B224)</f>
        <v>887898</v>
      </c>
      <c r="D224" s="402">
        <f>+SUMIFS('Dados Mercado'!D:D,'Dados Mercado'!$A:$A,$B224)</f>
        <v>751567</v>
      </c>
      <c r="E224" s="404">
        <f>+SUMIFS('Dados Mercado'!E:E,'Dados Mercado'!$A:$A,$B224)</f>
        <v>136331</v>
      </c>
      <c r="F224" s="367"/>
      <c r="G224" s="405" t="s">
        <v>160</v>
      </c>
      <c r="H224" s="402" t="s">
        <v>160</v>
      </c>
      <c r="I224" s="404" t="s">
        <v>160</v>
      </c>
      <c r="J224" s="367"/>
      <c r="K224" s="405">
        <f>+SUMIFS('Dados Mercado'!K:K,'Dados Mercado'!$A:$A,$B224)</f>
        <v>0</v>
      </c>
      <c r="L224" s="404">
        <f>+SUMIFS('Dados Mercado'!L:L,'Dados Mercado'!$A:$A,$B224)</f>
        <v>0</v>
      </c>
      <c r="M224" s="367"/>
      <c r="N224" s="405" t="s">
        <v>160</v>
      </c>
      <c r="O224" s="404" t="s">
        <v>160</v>
      </c>
      <c r="P224" s="367"/>
      <c r="Q224" s="405" t="s">
        <v>160</v>
      </c>
      <c r="R224" s="404" t="s">
        <v>160</v>
      </c>
      <c r="S224" s="367"/>
      <c r="T224" s="405" t="s">
        <v>160</v>
      </c>
      <c r="U224" s="402" t="s">
        <v>160</v>
      </c>
      <c r="V224" s="402" t="s">
        <v>160</v>
      </c>
      <c r="W224" s="402" t="s">
        <v>160</v>
      </c>
      <c r="X224" s="402" t="s">
        <v>160</v>
      </c>
      <c r="Y224" s="402" t="s">
        <v>160</v>
      </c>
      <c r="Z224" s="402" t="s">
        <v>160</v>
      </c>
      <c r="AA224" s="402"/>
      <c r="AB224" s="404" t="s">
        <v>160</v>
      </c>
      <c r="AC224" s="367"/>
      <c r="AD224" s="445" t="s">
        <v>616</v>
      </c>
      <c r="AE224" s="439" t="s">
        <v>160</v>
      </c>
      <c r="AF224" s="440" t="s">
        <v>160</v>
      </c>
      <c r="AG224" s="440" t="s">
        <v>160</v>
      </c>
      <c r="AH224" s="440" t="s">
        <v>160</v>
      </c>
      <c r="AI224" s="440" t="s">
        <v>160</v>
      </c>
      <c r="AJ224" s="440" t="s">
        <v>160</v>
      </c>
      <c r="AK224" s="440" t="s">
        <v>160</v>
      </c>
      <c r="AL224" s="661" t="s">
        <v>160</v>
      </c>
      <c r="AM224" s="441" t="s">
        <v>160</v>
      </c>
      <c r="AN224" s="367"/>
      <c r="AO224" s="442" t="s">
        <v>160</v>
      </c>
      <c r="AP224" s="443" t="s">
        <v>160</v>
      </c>
      <c r="AQ224" s="443" t="s">
        <v>160</v>
      </c>
      <c r="AR224" s="443" t="s">
        <v>160</v>
      </c>
      <c r="AS224" s="444" t="s">
        <v>160</v>
      </c>
      <c r="AT224" s="364"/>
      <c r="AU224" s="442" t="s">
        <v>160</v>
      </c>
      <c r="AV224" s="443" t="s">
        <v>160</v>
      </c>
      <c r="AW224" s="443" t="s">
        <v>160</v>
      </c>
      <c r="AX224" s="443" t="s">
        <v>160</v>
      </c>
      <c r="AY224" s="444" t="s">
        <v>160</v>
      </c>
      <c r="AZ224" s="364"/>
      <c r="BA224" s="442" t="s">
        <v>160</v>
      </c>
      <c r="BB224" s="444" t="s">
        <v>160</v>
      </c>
    </row>
    <row r="225" spans="1:54" ht="12.75" customHeight="1" outlineLevel="1" x14ac:dyDescent="0.2">
      <c r="A225" s="364"/>
      <c r="B225" s="438" t="s">
        <v>617</v>
      </c>
      <c r="C225" s="401">
        <f>+SUMIFS('Dados Mercado'!C:C,'Dados Mercado'!$A:$A,$B225)</f>
        <v>955904</v>
      </c>
      <c r="D225" s="402">
        <f>+SUMIFS('Dados Mercado'!D:D,'Dados Mercado'!$A:$A,$B225)</f>
        <v>817772</v>
      </c>
      <c r="E225" s="404">
        <f>+SUMIFS('Dados Mercado'!E:E,'Dados Mercado'!$A:$A,$B225)</f>
        <v>138132</v>
      </c>
      <c r="F225" s="367"/>
      <c r="G225" s="405" t="s">
        <v>160</v>
      </c>
      <c r="H225" s="402" t="s">
        <v>160</v>
      </c>
      <c r="I225" s="404" t="s">
        <v>160</v>
      </c>
      <c r="J225" s="367"/>
      <c r="K225" s="405">
        <f>+SUMIFS('Dados Mercado'!K:K,'Dados Mercado'!$A:$A,$B225)</f>
        <v>0</v>
      </c>
      <c r="L225" s="404">
        <f>+SUMIFS('Dados Mercado'!L:L,'Dados Mercado'!$A:$A,$B225)</f>
        <v>0</v>
      </c>
      <c r="M225" s="367"/>
      <c r="N225" s="405" t="s">
        <v>160</v>
      </c>
      <c r="O225" s="404" t="s">
        <v>160</v>
      </c>
      <c r="P225" s="367"/>
      <c r="Q225" s="405" t="s">
        <v>160</v>
      </c>
      <c r="R225" s="404" t="s">
        <v>160</v>
      </c>
      <c r="S225" s="367"/>
      <c r="T225" s="405" t="s">
        <v>160</v>
      </c>
      <c r="U225" s="402" t="s">
        <v>160</v>
      </c>
      <c r="V225" s="402" t="s">
        <v>160</v>
      </c>
      <c r="W225" s="402" t="s">
        <v>160</v>
      </c>
      <c r="X225" s="402" t="s">
        <v>160</v>
      </c>
      <c r="Y225" s="402" t="s">
        <v>160</v>
      </c>
      <c r="Z225" s="402" t="s">
        <v>160</v>
      </c>
      <c r="AA225" s="402"/>
      <c r="AB225" s="404" t="s">
        <v>160</v>
      </c>
      <c r="AC225" s="367"/>
      <c r="AD225" s="438" t="s">
        <v>617</v>
      </c>
      <c r="AE225" s="439" t="s">
        <v>160</v>
      </c>
      <c r="AF225" s="440" t="s">
        <v>160</v>
      </c>
      <c r="AG225" s="440" t="s">
        <v>160</v>
      </c>
      <c r="AH225" s="440" t="s">
        <v>160</v>
      </c>
      <c r="AI225" s="440" t="s">
        <v>160</v>
      </c>
      <c r="AJ225" s="440" t="s">
        <v>160</v>
      </c>
      <c r="AK225" s="440" t="s">
        <v>160</v>
      </c>
      <c r="AL225" s="661" t="s">
        <v>160</v>
      </c>
      <c r="AM225" s="441" t="s">
        <v>160</v>
      </c>
      <c r="AN225" s="367"/>
      <c r="AO225" s="442" t="s">
        <v>160</v>
      </c>
      <c r="AP225" s="443" t="s">
        <v>160</v>
      </c>
      <c r="AQ225" s="443" t="s">
        <v>160</v>
      </c>
      <c r="AR225" s="443" t="s">
        <v>160</v>
      </c>
      <c r="AS225" s="444" t="s">
        <v>160</v>
      </c>
      <c r="AT225" s="364"/>
      <c r="AU225" s="442" t="s">
        <v>160</v>
      </c>
      <c r="AV225" s="443" t="s">
        <v>160</v>
      </c>
      <c r="AW225" s="443" t="s">
        <v>160</v>
      </c>
      <c r="AX225" s="443" t="s">
        <v>160</v>
      </c>
      <c r="AY225" s="444" t="s">
        <v>160</v>
      </c>
      <c r="AZ225" s="364"/>
      <c r="BA225" s="442" t="s">
        <v>160</v>
      </c>
      <c r="BB225" s="444" t="s">
        <v>160</v>
      </c>
    </row>
    <row r="226" spans="1:54" ht="12.75" customHeight="1" outlineLevel="1" x14ac:dyDescent="0.2">
      <c r="A226" s="364"/>
      <c r="B226" s="445" t="s">
        <v>618</v>
      </c>
      <c r="C226" s="401">
        <f>+SUMIFS('Dados Mercado'!C:C,'Dados Mercado'!$A:$A,$B226)</f>
        <v>917154</v>
      </c>
      <c r="D226" s="402">
        <f>+SUMIFS('Dados Mercado'!D:D,'Dados Mercado'!$A:$A,$B226)</f>
        <v>797525</v>
      </c>
      <c r="E226" s="404">
        <f>+SUMIFS('Dados Mercado'!E:E,'Dados Mercado'!$A:$A,$B226)</f>
        <v>119629</v>
      </c>
      <c r="F226" s="367"/>
      <c r="G226" s="405" t="s">
        <v>160</v>
      </c>
      <c r="H226" s="402" t="s">
        <v>160</v>
      </c>
      <c r="I226" s="404" t="s">
        <v>160</v>
      </c>
      <c r="J226" s="367"/>
      <c r="K226" s="405">
        <f>+SUMIFS('Dados Mercado'!K:K,'Dados Mercado'!$A:$A,$B226)</f>
        <v>0</v>
      </c>
      <c r="L226" s="404">
        <f>+SUMIFS('Dados Mercado'!L:L,'Dados Mercado'!$A:$A,$B226)</f>
        <v>0</v>
      </c>
      <c r="M226" s="367"/>
      <c r="N226" s="405" t="s">
        <v>160</v>
      </c>
      <c r="O226" s="404" t="s">
        <v>160</v>
      </c>
      <c r="P226" s="367"/>
      <c r="Q226" s="405" t="s">
        <v>160</v>
      </c>
      <c r="R226" s="404" t="s">
        <v>160</v>
      </c>
      <c r="S226" s="367"/>
      <c r="T226" s="405" t="s">
        <v>160</v>
      </c>
      <c r="U226" s="402" t="s">
        <v>160</v>
      </c>
      <c r="V226" s="402" t="s">
        <v>160</v>
      </c>
      <c r="W226" s="402" t="s">
        <v>160</v>
      </c>
      <c r="X226" s="402" t="s">
        <v>160</v>
      </c>
      <c r="Y226" s="402" t="s">
        <v>160</v>
      </c>
      <c r="Z226" s="402" t="s">
        <v>160</v>
      </c>
      <c r="AA226" s="402"/>
      <c r="AB226" s="404" t="s">
        <v>160</v>
      </c>
      <c r="AC226" s="367"/>
      <c r="AD226" s="445" t="s">
        <v>618</v>
      </c>
      <c r="AE226" s="439" t="s">
        <v>160</v>
      </c>
      <c r="AF226" s="440" t="s">
        <v>160</v>
      </c>
      <c r="AG226" s="440" t="s">
        <v>160</v>
      </c>
      <c r="AH226" s="440" t="s">
        <v>160</v>
      </c>
      <c r="AI226" s="440" t="s">
        <v>160</v>
      </c>
      <c r="AJ226" s="440" t="s">
        <v>160</v>
      </c>
      <c r="AK226" s="440" t="s">
        <v>160</v>
      </c>
      <c r="AL226" s="661" t="s">
        <v>160</v>
      </c>
      <c r="AM226" s="441" t="s">
        <v>160</v>
      </c>
      <c r="AN226" s="367"/>
      <c r="AO226" s="442" t="s">
        <v>160</v>
      </c>
      <c r="AP226" s="443" t="s">
        <v>160</v>
      </c>
      <c r="AQ226" s="443" t="s">
        <v>160</v>
      </c>
      <c r="AR226" s="443" t="s">
        <v>160</v>
      </c>
      <c r="AS226" s="444" t="s">
        <v>160</v>
      </c>
      <c r="AT226" s="364"/>
      <c r="AU226" s="442" t="s">
        <v>160</v>
      </c>
      <c r="AV226" s="443" t="s">
        <v>160</v>
      </c>
      <c r="AW226" s="443" t="s">
        <v>160</v>
      </c>
      <c r="AX226" s="443" t="s">
        <v>160</v>
      </c>
      <c r="AY226" s="444" t="s">
        <v>160</v>
      </c>
      <c r="AZ226" s="364"/>
      <c r="BA226" s="408" t="s">
        <v>160</v>
      </c>
      <c r="BB226" s="409" t="s">
        <v>160</v>
      </c>
    </row>
    <row r="227" spans="1:54" ht="12.75" customHeight="1" outlineLevel="1" x14ac:dyDescent="0.2">
      <c r="A227" s="364"/>
      <c r="B227" s="438" t="s">
        <v>619</v>
      </c>
      <c r="C227" s="401">
        <f>+SUMIFS('Dados Mercado'!C:C,'Dados Mercado'!$A:$A,$B227)</f>
        <v>813329</v>
      </c>
      <c r="D227" s="402">
        <f>+SUMIFS('Dados Mercado'!D:D,'Dados Mercado'!$A:$A,$B227)</f>
        <v>750419</v>
      </c>
      <c r="E227" s="404">
        <f>+SUMIFS('Dados Mercado'!E:E,'Dados Mercado'!$A:$A,$B227)</f>
        <v>62910</v>
      </c>
      <c r="F227" s="367"/>
      <c r="G227" s="405" t="s">
        <v>160</v>
      </c>
      <c r="H227" s="402" t="s">
        <v>160</v>
      </c>
      <c r="I227" s="404" t="s">
        <v>160</v>
      </c>
      <c r="J227" s="367"/>
      <c r="K227" s="405">
        <f>+SUMIFS('Dados Mercado'!K:K,'Dados Mercado'!$A:$A,$B227)</f>
        <v>736752</v>
      </c>
      <c r="L227" s="404">
        <f>+SUMIFS('Dados Mercado'!L:L,'Dados Mercado'!$A:$A,$B227)</f>
        <v>0</v>
      </c>
      <c r="M227" s="367"/>
      <c r="N227" s="405" t="s">
        <v>160</v>
      </c>
      <c r="O227" s="404" t="s">
        <v>160</v>
      </c>
      <c r="P227" s="367"/>
      <c r="Q227" s="405" t="s">
        <v>160</v>
      </c>
      <c r="R227" s="404" t="s">
        <v>160</v>
      </c>
      <c r="S227" s="367"/>
      <c r="T227" s="405" t="s">
        <v>160</v>
      </c>
      <c r="U227" s="402" t="s">
        <v>160</v>
      </c>
      <c r="V227" s="402" t="s">
        <v>160</v>
      </c>
      <c r="W227" s="402" t="s">
        <v>160</v>
      </c>
      <c r="X227" s="402" t="s">
        <v>160</v>
      </c>
      <c r="Y227" s="402" t="s">
        <v>160</v>
      </c>
      <c r="Z227" s="402" t="s">
        <v>160</v>
      </c>
      <c r="AA227" s="402"/>
      <c r="AB227" s="404" t="s">
        <v>160</v>
      </c>
      <c r="AC227" s="367"/>
      <c r="AD227" s="438" t="s">
        <v>619</v>
      </c>
      <c r="AE227" s="439" t="s">
        <v>160</v>
      </c>
      <c r="AF227" s="440" t="s">
        <v>160</v>
      </c>
      <c r="AG227" s="440" t="s">
        <v>160</v>
      </c>
      <c r="AH227" s="440" t="s">
        <v>160</v>
      </c>
      <c r="AI227" s="440" t="s">
        <v>160</v>
      </c>
      <c r="AJ227" s="440" t="s">
        <v>160</v>
      </c>
      <c r="AK227" s="440" t="s">
        <v>160</v>
      </c>
      <c r="AL227" s="661" t="s">
        <v>160</v>
      </c>
      <c r="AM227" s="441" t="s">
        <v>160</v>
      </c>
      <c r="AN227" s="367"/>
      <c r="AO227" s="442" t="s">
        <v>160</v>
      </c>
      <c r="AP227" s="443" t="s">
        <v>160</v>
      </c>
      <c r="AQ227" s="443" t="s">
        <v>160</v>
      </c>
      <c r="AR227" s="443" t="s">
        <v>160</v>
      </c>
      <c r="AS227" s="444" t="s">
        <v>160</v>
      </c>
      <c r="AT227" s="364"/>
      <c r="AU227" s="442" t="s">
        <v>160</v>
      </c>
      <c r="AV227" s="443" t="s">
        <v>160</v>
      </c>
      <c r="AW227" s="443" t="s">
        <v>160</v>
      </c>
      <c r="AX227" s="443" t="s">
        <v>160</v>
      </c>
      <c r="AY227" s="444" t="s">
        <v>160</v>
      </c>
      <c r="AZ227" s="364"/>
      <c r="BA227" s="408">
        <f t="shared" ref="BA227:BA258" si="137">+E227/K227</f>
        <v>8.5388298911981242E-2</v>
      </c>
      <c r="BB227" s="409" t="s">
        <v>160</v>
      </c>
    </row>
    <row r="228" spans="1:54" ht="12.75" customHeight="1" outlineLevel="1" x14ac:dyDescent="0.2">
      <c r="A228" s="364"/>
      <c r="B228" s="445" t="s">
        <v>620</v>
      </c>
      <c r="C228" s="401">
        <f>+SUMIFS('Dados Mercado'!C:C,'Dados Mercado'!$A:$A,$B228)</f>
        <v>831373</v>
      </c>
      <c r="D228" s="402">
        <f>+SUMIFS('Dados Mercado'!D:D,'Dados Mercado'!$A:$A,$B228)</f>
        <v>745109</v>
      </c>
      <c r="E228" s="404">
        <f>+SUMIFS('Dados Mercado'!E:E,'Dados Mercado'!$A:$A,$B228)</f>
        <v>86264</v>
      </c>
      <c r="F228" s="367"/>
      <c r="G228" s="405" t="s">
        <v>160</v>
      </c>
      <c r="H228" s="402" t="s">
        <v>160</v>
      </c>
      <c r="I228" s="404" t="s">
        <v>160</v>
      </c>
      <c r="J228" s="367"/>
      <c r="K228" s="405">
        <f>+SUMIFS('Dados Mercado'!K:K,'Dados Mercado'!$A:$A,$B228)</f>
        <v>797640</v>
      </c>
      <c r="L228" s="404">
        <f>+SUMIFS('Dados Mercado'!L:L,'Dados Mercado'!$A:$A,$B228)</f>
        <v>0</v>
      </c>
      <c r="M228" s="367"/>
      <c r="N228" s="405" t="s">
        <v>160</v>
      </c>
      <c r="O228" s="404" t="s">
        <v>160</v>
      </c>
      <c r="P228" s="367"/>
      <c r="Q228" s="405" t="s">
        <v>160</v>
      </c>
      <c r="R228" s="404" t="s">
        <v>160</v>
      </c>
      <c r="S228" s="367"/>
      <c r="T228" s="405" t="s">
        <v>160</v>
      </c>
      <c r="U228" s="402" t="s">
        <v>160</v>
      </c>
      <c r="V228" s="402" t="s">
        <v>160</v>
      </c>
      <c r="W228" s="402" t="s">
        <v>160</v>
      </c>
      <c r="X228" s="402" t="s">
        <v>160</v>
      </c>
      <c r="Y228" s="402" t="s">
        <v>160</v>
      </c>
      <c r="Z228" s="402" t="s">
        <v>160</v>
      </c>
      <c r="AA228" s="402"/>
      <c r="AB228" s="404" t="s">
        <v>160</v>
      </c>
      <c r="AC228" s="367"/>
      <c r="AD228" s="445" t="s">
        <v>620</v>
      </c>
      <c r="AE228" s="439" t="s">
        <v>160</v>
      </c>
      <c r="AF228" s="440" t="s">
        <v>160</v>
      </c>
      <c r="AG228" s="440" t="s">
        <v>160</v>
      </c>
      <c r="AH228" s="440" t="s">
        <v>160</v>
      </c>
      <c r="AI228" s="440" t="s">
        <v>160</v>
      </c>
      <c r="AJ228" s="440" t="s">
        <v>160</v>
      </c>
      <c r="AK228" s="440" t="s">
        <v>160</v>
      </c>
      <c r="AL228" s="661" t="s">
        <v>160</v>
      </c>
      <c r="AM228" s="441" t="s">
        <v>160</v>
      </c>
      <c r="AN228" s="367"/>
      <c r="AO228" s="442" t="s">
        <v>160</v>
      </c>
      <c r="AP228" s="443" t="s">
        <v>160</v>
      </c>
      <c r="AQ228" s="443" t="s">
        <v>160</v>
      </c>
      <c r="AR228" s="443" t="s">
        <v>160</v>
      </c>
      <c r="AS228" s="444" t="s">
        <v>160</v>
      </c>
      <c r="AT228" s="364"/>
      <c r="AU228" s="442" t="s">
        <v>160</v>
      </c>
      <c r="AV228" s="443" t="s">
        <v>160</v>
      </c>
      <c r="AW228" s="443" t="s">
        <v>160</v>
      </c>
      <c r="AX228" s="443" t="s">
        <v>160</v>
      </c>
      <c r="AY228" s="444" t="s">
        <v>160</v>
      </c>
      <c r="AZ228" s="364"/>
      <c r="BA228" s="408">
        <f t="shared" si="137"/>
        <v>0.10814903966701771</v>
      </c>
      <c r="BB228" s="409" t="s">
        <v>160</v>
      </c>
    </row>
    <row r="229" spans="1:54" ht="12.75" customHeight="1" outlineLevel="1" x14ac:dyDescent="0.2">
      <c r="A229" s="364"/>
      <c r="B229" s="438" t="s">
        <v>621</v>
      </c>
      <c r="C229" s="401">
        <f>+SUMIFS('Dados Mercado'!C:C,'Dados Mercado'!$A:$A,$B229)</f>
        <v>961067</v>
      </c>
      <c r="D229" s="402">
        <f>+SUMIFS('Dados Mercado'!D:D,'Dados Mercado'!$A:$A,$B229)</f>
        <v>873265</v>
      </c>
      <c r="E229" s="404">
        <f>+SUMIFS('Dados Mercado'!E:E,'Dados Mercado'!$A:$A,$B229)</f>
        <v>87802</v>
      </c>
      <c r="F229" s="367"/>
      <c r="G229" s="405" t="s">
        <v>160</v>
      </c>
      <c r="H229" s="402" t="s">
        <v>160</v>
      </c>
      <c r="I229" s="404" t="s">
        <v>160</v>
      </c>
      <c r="J229" s="367"/>
      <c r="K229" s="405">
        <f>+SUMIFS('Dados Mercado'!K:K,'Dados Mercado'!$A:$A,$B229)</f>
        <v>814547</v>
      </c>
      <c r="L229" s="404">
        <f>+SUMIFS('Dados Mercado'!L:L,'Dados Mercado'!$A:$A,$B229)</f>
        <v>0</v>
      </c>
      <c r="M229" s="367"/>
      <c r="N229" s="405" t="s">
        <v>160</v>
      </c>
      <c r="O229" s="404" t="s">
        <v>160</v>
      </c>
      <c r="P229" s="367"/>
      <c r="Q229" s="405" t="s">
        <v>160</v>
      </c>
      <c r="R229" s="404" t="s">
        <v>160</v>
      </c>
      <c r="S229" s="367"/>
      <c r="T229" s="405" t="s">
        <v>160</v>
      </c>
      <c r="U229" s="402" t="s">
        <v>160</v>
      </c>
      <c r="V229" s="402" t="s">
        <v>160</v>
      </c>
      <c r="W229" s="402" t="s">
        <v>160</v>
      </c>
      <c r="X229" s="402" t="s">
        <v>160</v>
      </c>
      <c r="Y229" s="402" t="s">
        <v>160</v>
      </c>
      <c r="Z229" s="402" t="s">
        <v>160</v>
      </c>
      <c r="AA229" s="402"/>
      <c r="AB229" s="404" t="s">
        <v>160</v>
      </c>
      <c r="AC229" s="367"/>
      <c r="AD229" s="438" t="s">
        <v>621</v>
      </c>
      <c r="AE229" s="446" t="s">
        <v>160</v>
      </c>
      <c r="AF229" s="447" t="s">
        <v>160</v>
      </c>
      <c r="AG229" s="447" t="s">
        <v>160</v>
      </c>
      <c r="AH229" s="447" t="s">
        <v>160</v>
      </c>
      <c r="AI229" s="447" t="s">
        <v>160</v>
      </c>
      <c r="AJ229" s="447" t="s">
        <v>160</v>
      </c>
      <c r="AK229" s="447" t="s">
        <v>160</v>
      </c>
      <c r="AL229" s="661" t="s">
        <v>160</v>
      </c>
      <c r="AM229" s="448" t="s">
        <v>160</v>
      </c>
      <c r="AN229" s="367"/>
      <c r="AO229" s="442" t="s">
        <v>160</v>
      </c>
      <c r="AP229" s="443" t="s">
        <v>160</v>
      </c>
      <c r="AQ229" s="443" t="s">
        <v>160</v>
      </c>
      <c r="AR229" s="443" t="s">
        <v>160</v>
      </c>
      <c r="AS229" s="444" t="s">
        <v>160</v>
      </c>
      <c r="AT229" s="364"/>
      <c r="AU229" s="442" t="s">
        <v>160</v>
      </c>
      <c r="AV229" s="443" t="s">
        <v>160</v>
      </c>
      <c r="AW229" s="443" t="s">
        <v>160</v>
      </c>
      <c r="AX229" s="443" t="s">
        <v>160</v>
      </c>
      <c r="AY229" s="444" t="s">
        <v>160</v>
      </c>
      <c r="AZ229" s="364"/>
      <c r="BA229" s="408">
        <f t="shared" si="137"/>
        <v>0.10779242941168526</v>
      </c>
      <c r="BB229" s="409" t="s">
        <v>160</v>
      </c>
    </row>
    <row r="230" spans="1:54" ht="12.75" customHeight="1" outlineLevel="1" x14ac:dyDescent="0.2">
      <c r="A230" s="364"/>
      <c r="B230" s="445" t="s">
        <v>622</v>
      </c>
      <c r="C230" s="401">
        <f>+SUMIFS('Dados Mercado'!C:C,'Dados Mercado'!$A:$A,$B230)</f>
        <v>1074904</v>
      </c>
      <c r="D230" s="402">
        <f>+SUMIFS('Dados Mercado'!D:D,'Dados Mercado'!$A:$A,$B230)</f>
        <v>960236</v>
      </c>
      <c r="E230" s="404">
        <f>+SUMIFS('Dados Mercado'!E:E,'Dados Mercado'!$A:$A,$B230)</f>
        <v>114668</v>
      </c>
      <c r="F230" s="367"/>
      <c r="G230" s="405" t="s">
        <v>160</v>
      </c>
      <c r="H230" s="402" t="s">
        <v>160</v>
      </c>
      <c r="I230" s="404" t="s">
        <v>160</v>
      </c>
      <c r="J230" s="367"/>
      <c r="K230" s="405">
        <f>+SUMIFS('Dados Mercado'!K:K,'Dados Mercado'!$A:$A,$B230)</f>
        <v>802732</v>
      </c>
      <c r="L230" s="404">
        <f>+SUMIFS('Dados Mercado'!L:L,'Dados Mercado'!$A:$A,$B230)</f>
        <v>0</v>
      </c>
      <c r="M230" s="367"/>
      <c r="N230" s="405" t="s">
        <v>160</v>
      </c>
      <c r="O230" s="404" t="s">
        <v>160</v>
      </c>
      <c r="P230" s="367"/>
      <c r="Q230" s="405" t="s">
        <v>160</v>
      </c>
      <c r="R230" s="404" t="s">
        <v>160</v>
      </c>
      <c r="S230" s="367"/>
      <c r="T230" s="405" t="s">
        <v>160</v>
      </c>
      <c r="U230" s="402" t="s">
        <v>160</v>
      </c>
      <c r="V230" s="402" t="s">
        <v>160</v>
      </c>
      <c r="W230" s="402" t="s">
        <v>160</v>
      </c>
      <c r="X230" s="402" t="s">
        <v>160</v>
      </c>
      <c r="Y230" s="402" t="s">
        <v>160</v>
      </c>
      <c r="Z230" s="402" t="s">
        <v>160</v>
      </c>
      <c r="AA230" s="402"/>
      <c r="AB230" s="404" t="s">
        <v>160</v>
      </c>
      <c r="AC230" s="367"/>
      <c r="AD230" s="445" t="s">
        <v>622</v>
      </c>
      <c r="AE230" s="446" t="s">
        <v>160</v>
      </c>
      <c r="AF230" s="447" t="s">
        <v>160</v>
      </c>
      <c r="AG230" s="447" t="s">
        <v>160</v>
      </c>
      <c r="AH230" s="447" t="s">
        <v>160</v>
      </c>
      <c r="AI230" s="447" t="s">
        <v>160</v>
      </c>
      <c r="AJ230" s="447" t="s">
        <v>160</v>
      </c>
      <c r="AK230" s="447" t="s">
        <v>160</v>
      </c>
      <c r="AL230" s="661" t="s">
        <v>160</v>
      </c>
      <c r="AM230" s="448" t="s">
        <v>160</v>
      </c>
      <c r="AN230" s="367"/>
      <c r="AO230" s="442" t="s">
        <v>160</v>
      </c>
      <c r="AP230" s="443" t="s">
        <v>160</v>
      </c>
      <c r="AQ230" s="443" t="s">
        <v>160</v>
      </c>
      <c r="AR230" s="443" t="s">
        <v>160</v>
      </c>
      <c r="AS230" s="444" t="s">
        <v>160</v>
      </c>
      <c r="AT230" s="364"/>
      <c r="AU230" s="442" t="s">
        <v>160</v>
      </c>
      <c r="AV230" s="443" t="s">
        <v>160</v>
      </c>
      <c r="AW230" s="443" t="s">
        <v>160</v>
      </c>
      <c r="AX230" s="443" t="s">
        <v>160</v>
      </c>
      <c r="AY230" s="444" t="s">
        <v>160</v>
      </c>
      <c r="AZ230" s="364"/>
      <c r="BA230" s="408">
        <f t="shared" si="137"/>
        <v>0.14284717689091753</v>
      </c>
      <c r="BB230" s="409" t="s">
        <v>160</v>
      </c>
    </row>
    <row r="231" spans="1:54" ht="12.75" customHeight="1" outlineLevel="1" x14ac:dyDescent="0.2">
      <c r="A231" s="364"/>
      <c r="B231" s="438" t="s">
        <v>60</v>
      </c>
      <c r="C231" s="401">
        <f>+SUMIFS('Dados Mercado'!C:C,'Dados Mercado'!$A:$A,$B231)</f>
        <v>893707</v>
      </c>
      <c r="D231" s="402">
        <f>+SUMIFS('Dados Mercado'!D:D,'Dados Mercado'!$A:$A,$B231)</f>
        <v>777708</v>
      </c>
      <c r="E231" s="404">
        <f>+SUMIFS('Dados Mercado'!E:E,'Dados Mercado'!$A:$A,$B231)</f>
        <v>115999</v>
      </c>
      <c r="F231" s="367"/>
      <c r="G231" s="405" t="s">
        <v>160</v>
      </c>
      <c r="H231" s="402" t="s">
        <v>160</v>
      </c>
      <c r="I231" s="404" t="s">
        <v>160</v>
      </c>
      <c r="J231" s="367"/>
      <c r="K231" s="405">
        <f>+SUMIFS('Dados Mercado'!K:K,'Dados Mercado'!$A:$A,$B231)</f>
        <v>772708</v>
      </c>
      <c r="L231" s="404">
        <f>+SUMIFS('Dados Mercado'!L:L,'Dados Mercado'!$A:$A,$B231)</f>
        <v>181006</v>
      </c>
      <c r="M231" s="367"/>
      <c r="N231" s="405" t="s">
        <v>160</v>
      </c>
      <c r="O231" s="404" t="s">
        <v>160</v>
      </c>
      <c r="P231" s="367"/>
      <c r="Q231" s="405" t="s">
        <v>160</v>
      </c>
      <c r="R231" s="404" t="s">
        <v>160</v>
      </c>
      <c r="S231" s="367"/>
      <c r="T231" s="405" t="s">
        <v>160</v>
      </c>
      <c r="U231" s="402" t="s">
        <v>160</v>
      </c>
      <c r="V231" s="402" t="s">
        <v>160</v>
      </c>
      <c r="W231" s="402" t="s">
        <v>160</v>
      </c>
      <c r="X231" s="402" t="s">
        <v>160</v>
      </c>
      <c r="Y231" s="402" t="s">
        <v>160</v>
      </c>
      <c r="Z231" s="402" t="s">
        <v>160</v>
      </c>
      <c r="AA231" s="402"/>
      <c r="AB231" s="404" t="s">
        <v>160</v>
      </c>
      <c r="AC231" s="367"/>
      <c r="AD231" s="438" t="s">
        <v>60</v>
      </c>
      <c r="AE231" s="446" t="s">
        <v>160</v>
      </c>
      <c r="AF231" s="447" t="s">
        <v>160</v>
      </c>
      <c r="AG231" s="447" t="s">
        <v>160</v>
      </c>
      <c r="AH231" s="447" t="s">
        <v>160</v>
      </c>
      <c r="AI231" s="447" t="s">
        <v>160</v>
      </c>
      <c r="AJ231" s="447" t="s">
        <v>160</v>
      </c>
      <c r="AK231" s="447" t="s">
        <v>160</v>
      </c>
      <c r="AL231" s="661" t="s">
        <v>160</v>
      </c>
      <c r="AM231" s="448" t="s">
        <v>160</v>
      </c>
      <c r="AN231" s="367"/>
      <c r="AO231" s="442" t="s">
        <v>160</v>
      </c>
      <c r="AP231" s="443" t="s">
        <v>160</v>
      </c>
      <c r="AQ231" s="443" t="s">
        <v>160</v>
      </c>
      <c r="AR231" s="443" t="s">
        <v>160</v>
      </c>
      <c r="AS231" s="444" t="s">
        <v>160</v>
      </c>
      <c r="AT231" s="364"/>
      <c r="AU231" s="442" t="s">
        <v>160</v>
      </c>
      <c r="AV231" s="443" t="s">
        <v>160</v>
      </c>
      <c r="AW231" s="443" t="s">
        <v>160</v>
      </c>
      <c r="AX231" s="443" t="s">
        <v>160</v>
      </c>
      <c r="AY231" s="444" t="s">
        <v>160</v>
      </c>
      <c r="AZ231" s="364"/>
      <c r="BA231" s="408">
        <f t="shared" si="137"/>
        <v>0.15012009711301036</v>
      </c>
      <c r="BB231" s="409">
        <f t="shared" ref="BB231:BB262" si="138">+L231/D231</f>
        <v>0.2327428803612667</v>
      </c>
    </row>
    <row r="232" spans="1:54" ht="12.75" customHeight="1" outlineLevel="1" x14ac:dyDescent="0.2">
      <c r="A232" s="364"/>
      <c r="B232" s="445" t="s">
        <v>61</v>
      </c>
      <c r="C232" s="401">
        <f>+SUMIFS('Dados Mercado'!C:C,'Dados Mercado'!$A:$A,$B232)</f>
        <v>973977</v>
      </c>
      <c r="D232" s="402">
        <f>+SUMIFS('Dados Mercado'!D:D,'Dados Mercado'!$A:$A,$B232)</f>
        <v>860369</v>
      </c>
      <c r="E232" s="404">
        <f>+SUMIFS('Dados Mercado'!E:E,'Dados Mercado'!$A:$A,$B232)</f>
        <v>113608</v>
      </c>
      <c r="F232" s="367"/>
      <c r="G232" s="405" t="s">
        <v>160</v>
      </c>
      <c r="H232" s="402" t="s">
        <v>160</v>
      </c>
      <c r="I232" s="404" t="s">
        <v>160</v>
      </c>
      <c r="J232" s="367"/>
      <c r="K232" s="405">
        <f>+SUMIFS('Dados Mercado'!K:K,'Dados Mercado'!$A:$A,$B232)</f>
        <v>815931</v>
      </c>
      <c r="L232" s="404">
        <f>+SUMIFS('Dados Mercado'!L:L,'Dados Mercado'!$A:$A,$B232)</f>
        <v>207307</v>
      </c>
      <c r="M232" s="367"/>
      <c r="N232" s="405" t="s">
        <v>160</v>
      </c>
      <c r="O232" s="404" t="s">
        <v>160</v>
      </c>
      <c r="P232" s="367"/>
      <c r="Q232" s="405" t="s">
        <v>160</v>
      </c>
      <c r="R232" s="404" t="s">
        <v>160</v>
      </c>
      <c r="S232" s="367"/>
      <c r="T232" s="405" t="s">
        <v>160</v>
      </c>
      <c r="U232" s="402" t="s">
        <v>160</v>
      </c>
      <c r="V232" s="402" t="s">
        <v>160</v>
      </c>
      <c r="W232" s="402" t="s">
        <v>160</v>
      </c>
      <c r="X232" s="402" t="s">
        <v>160</v>
      </c>
      <c r="Y232" s="402" t="s">
        <v>160</v>
      </c>
      <c r="Z232" s="402" t="s">
        <v>160</v>
      </c>
      <c r="AA232" s="402"/>
      <c r="AB232" s="404" t="s">
        <v>160</v>
      </c>
      <c r="AC232" s="367"/>
      <c r="AD232" s="445" t="s">
        <v>61</v>
      </c>
      <c r="AE232" s="446" t="s">
        <v>160</v>
      </c>
      <c r="AF232" s="447" t="s">
        <v>160</v>
      </c>
      <c r="AG232" s="447" t="s">
        <v>160</v>
      </c>
      <c r="AH232" s="447" t="s">
        <v>160</v>
      </c>
      <c r="AI232" s="447" t="s">
        <v>160</v>
      </c>
      <c r="AJ232" s="447" t="s">
        <v>160</v>
      </c>
      <c r="AK232" s="447" t="s">
        <v>160</v>
      </c>
      <c r="AL232" s="661" t="s">
        <v>160</v>
      </c>
      <c r="AM232" s="448" t="s">
        <v>160</v>
      </c>
      <c r="AN232" s="367"/>
      <c r="AO232" s="442" t="s">
        <v>160</v>
      </c>
      <c r="AP232" s="443" t="s">
        <v>160</v>
      </c>
      <c r="AQ232" s="443" t="s">
        <v>160</v>
      </c>
      <c r="AR232" s="443" t="s">
        <v>160</v>
      </c>
      <c r="AS232" s="444" t="s">
        <v>160</v>
      </c>
      <c r="AT232" s="364"/>
      <c r="AU232" s="442" t="s">
        <v>160</v>
      </c>
      <c r="AV232" s="443" t="s">
        <v>160</v>
      </c>
      <c r="AW232" s="443" t="s">
        <v>160</v>
      </c>
      <c r="AX232" s="443" t="s">
        <v>160</v>
      </c>
      <c r="AY232" s="444" t="s">
        <v>160</v>
      </c>
      <c r="AZ232" s="364"/>
      <c r="BA232" s="408">
        <f t="shared" si="137"/>
        <v>0.13923726393530825</v>
      </c>
      <c r="BB232" s="409">
        <f t="shared" si="138"/>
        <v>0.24095126625901211</v>
      </c>
    </row>
    <row r="233" spans="1:54" ht="12.75" customHeight="1" outlineLevel="1" x14ac:dyDescent="0.2">
      <c r="A233" s="364"/>
      <c r="B233" s="438" t="s">
        <v>62</v>
      </c>
      <c r="C233" s="401">
        <f>+SUMIFS('Dados Mercado'!C:C,'Dados Mercado'!$A:$A,$B233)</f>
        <v>1007649</v>
      </c>
      <c r="D233" s="402">
        <f>+SUMIFS('Dados Mercado'!D:D,'Dados Mercado'!$A:$A,$B233)</f>
        <v>889586</v>
      </c>
      <c r="E233" s="404">
        <f>+SUMIFS('Dados Mercado'!E:E,'Dados Mercado'!$A:$A,$B233)</f>
        <v>118063</v>
      </c>
      <c r="F233" s="367"/>
      <c r="G233" s="405" t="s">
        <v>160</v>
      </c>
      <c r="H233" s="402" t="s">
        <v>160</v>
      </c>
      <c r="I233" s="404" t="s">
        <v>160</v>
      </c>
      <c r="J233" s="367"/>
      <c r="K233" s="405">
        <f>+SUMIFS('Dados Mercado'!K:K,'Dados Mercado'!$A:$A,$B233)</f>
        <v>822053</v>
      </c>
      <c r="L233" s="404">
        <f>+SUMIFS('Dados Mercado'!L:L,'Dados Mercado'!$A:$A,$B233)</f>
        <v>218988</v>
      </c>
      <c r="M233" s="367"/>
      <c r="N233" s="405" t="s">
        <v>160</v>
      </c>
      <c r="O233" s="404" t="s">
        <v>160</v>
      </c>
      <c r="P233" s="367"/>
      <c r="Q233" s="405" t="s">
        <v>160</v>
      </c>
      <c r="R233" s="404" t="s">
        <v>160</v>
      </c>
      <c r="S233" s="367"/>
      <c r="T233" s="405" t="s">
        <v>160</v>
      </c>
      <c r="U233" s="402" t="s">
        <v>160</v>
      </c>
      <c r="V233" s="402" t="s">
        <v>160</v>
      </c>
      <c r="W233" s="402" t="s">
        <v>160</v>
      </c>
      <c r="X233" s="402" t="s">
        <v>160</v>
      </c>
      <c r="Y233" s="402" t="s">
        <v>160</v>
      </c>
      <c r="Z233" s="402" t="s">
        <v>160</v>
      </c>
      <c r="AA233" s="402"/>
      <c r="AB233" s="404" t="s">
        <v>160</v>
      </c>
      <c r="AC233" s="367"/>
      <c r="AD233" s="438" t="s">
        <v>62</v>
      </c>
      <c r="AE233" s="446" t="s">
        <v>160</v>
      </c>
      <c r="AF233" s="447" t="s">
        <v>160</v>
      </c>
      <c r="AG233" s="447" t="s">
        <v>160</v>
      </c>
      <c r="AH233" s="447" t="s">
        <v>160</v>
      </c>
      <c r="AI233" s="447" t="s">
        <v>160</v>
      </c>
      <c r="AJ233" s="447" t="s">
        <v>160</v>
      </c>
      <c r="AK233" s="447" t="s">
        <v>160</v>
      </c>
      <c r="AL233" s="661" t="s">
        <v>160</v>
      </c>
      <c r="AM233" s="448" t="s">
        <v>160</v>
      </c>
      <c r="AN233" s="367"/>
      <c r="AO233" s="442" t="s">
        <v>160</v>
      </c>
      <c r="AP233" s="443" t="s">
        <v>160</v>
      </c>
      <c r="AQ233" s="443" t="s">
        <v>160</v>
      </c>
      <c r="AR233" s="443" t="s">
        <v>160</v>
      </c>
      <c r="AS233" s="444" t="s">
        <v>160</v>
      </c>
      <c r="AT233" s="364"/>
      <c r="AU233" s="442" t="s">
        <v>160</v>
      </c>
      <c r="AV233" s="443" t="s">
        <v>160</v>
      </c>
      <c r="AW233" s="443" t="s">
        <v>160</v>
      </c>
      <c r="AX233" s="443" t="s">
        <v>160</v>
      </c>
      <c r="AY233" s="444" t="s">
        <v>160</v>
      </c>
      <c r="AZ233" s="364"/>
      <c r="BA233" s="408">
        <f t="shared" si="137"/>
        <v>0.14361969362072763</v>
      </c>
      <c r="BB233" s="409">
        <f t="shared" si="138"/>
        <v>0.24616844239904856</v>
      </c>
    </row>
    <row r="234" spans="1:54" ht="12.75" customHeight="1" outlineLevel="1" x14ac:dyDescent="0.2">
      <c r="A234" s="364"/>
      <c r="B234" s="445" t="s">
        <v>63</v>
      </c>
      <c r="C234" s="401">
        <f>+SUMIFS('Dados Mercado'!C:C,'Dados Mercado'!$A:$A,$B234)</f>
        <v>1022868</v>
      </c>
      <c r="D234" s="402">
        <f>+SUMIFS('Dados Mercado'!D:D,'Dados Mercado'!$A:$A,$B234)</f>
        <v>898168</v>
      </c>
      <c r="E234" s="404">
        <f>+SUMIFS('Dados Mercado'!E:E,'Dados Mercado'!$A:$A,$B234)</f>
        <v>124700</v>
      </c>
      <c r="F234" s="367"/>
      <c r="G234" s="405" t="s">
        <v>160</v>
      </c>
      <c r="H234" s="402" t="s">
        <v>160</v>
      </c>
      <c r="I234" s="404" t="s">
        <v>160</v>
      </c>
      <c r="J234" s="367"/>
      <c r="K234" s="405">
        <f>+SUMIFS('Dados Mercado'!K:K,'Dados Mercado'!$A:$A,$B234)</f>
        <v>734119</v>
      </c>
      <c r="L234" s="404">
        <f>+SUMIFS('Dados Mercado'!L:L,'Dados Mercado'!$A:$A,$B234)</f>
        <v>246652</v>
      </c>
      <c r="M234" s="367"/>
      <c r="N234" s="405" t="s">
        <v>160</v>
      </c>
      <c r="O234" s="404" t="s">
        <v>160</v>
      </c>
      <c r="P234" s="367"/>
      <c r="Q234" s="405" t="s">
        <v>160</v>
      </c>
      <c r="R234" s="404" t="s">
        <v>160</v>
      </c>
      <c r="S234" s="367"/>
      <c r="T234" s="405" t="s">
        <v>160</v>
      </c>
      <c r="U234" s="402" t="s">
        <v>160</v>
      </c>
      <c r="V234" s="402" t="s">
        <v>160</v>
      </c>
      <c r="W234" s="402" t="s">
        <v>160</v>
      </c>
      <c r="X234" s="402" t="s">
        <v>160</v>
      </c>
      <c r="Y234" s="402" t="s">
        <v>160</v>
      </c>
      <c r="Z234" s="402" t="s">
        <v>160</v>
      </c>
      <c r="AA234" s="402"/>
      <c r="AB234" s="404" t="s">
        <v>160</v>
      </c>
      <c r="AC234" s="367"/>
      <c r="AD234" s="445" t="s">
        <v>63</v>
      </c>
      <c r="AE234" s="446" t="s">
        <v>160</v>
      </c>
      <c r="AF234" s="447" t="s">
        <v>160</v>
      </c>
      <c r="AG234" s="447" t="s">
        <v>160</v>
      </c>
      <c r="AH234" s="447" t="s">
        <v>160</v>
      </c>
      <c r="AI234" s="447" t="s">
        <v>160</v>
      </c>
      <c r="AJ234" s="447" t="s">
        <v>160</v>
      </c>
      <c r="AK234" s="447" t="s">
        <v>160</v>
      </c>
      <c r="AL234" s="661" t="s">
        <v>160</v>
      </c>
      <c r="AM234" s="448" t="s">
        <v>160</v>
      </c>
      <c r="AN234" s="367"/>
      <c r="AO234" s="442" t="s">
        <v>160</v>
      </c>
      <c r="AP234" s="443" t="s">
        <v>160</v>
      </c>
      <c r="AQ234" s="443" t="s">
        <v>160</v>
      </c>
      <c r="AR234" s="443" t="s">
        <v>160</v>
      </c>
      <c r="AS234" s="444" t="s">
        <v>160</v>
      </c>
      <c r="AT234" s="364"/>
      <c r="AU234" s="442" t="s">
        <v>160</v>
      </c>
      <c r="AV234" s="443" t="s">
        <v>160</v>
      </c>
      <c r="AW234" s="443" t="s">
        <v>160</v>
      </c>
      <c r="AX234" s="443" t="s">
        <v>160</v>
      </c>
      <c r="AY234" s="444" t="s">
        <v>160</v>
      </c>
      <c r="AZ234" s="364"/>
      <c r="BA234" s="408">
        <f t="shared" si="137"/>
        <v>0.16986346900161964</v>
      </c>
      <c r="BB234" s="409">
        <f t="shared" si="138"/>
        <v>0.27461677548075636</v>
      </c>
    </row>
    <row r="235" spans="1:54" ht="12.75" customHeight="1" outlineLevel="1" x14ac:dyDescent="0.2">
      <c r="A235" s="364"/>
      <c r="B235" s="438" t="s">
        <v>7</v>
      </c>
      <c r="C235" s="401">
        <f>+SUMIFS('Dados Mercado'!C:C,'Dados Mercado'!$A:$A,$B235)</f>
        <v>876944</v>
      </c>
      <c r="D235" s="402">
        <f>+SUMIFS('Dados Mercado'!D:D,'Dados Mercado'!$A:$A,$B235)</f>
        <v>772285</v>
      </c>
      <c r="E235" s="404">
        <f>+SUMIFS('Dados Mercado'!E:E,'Dados Mercado'!$A:$A,$B235)</f>
        <v>104659</v>
      </c>
      <c r="F235" s="367"/>
      <c r="G235" s="405" t="s">
        <v>160</v>
      </c>
      <c r="H235" s="402" t="s">
        <v>160</v>
      </c>
      <c r="I235" s="404" t="s">
        <v>160</v>
      </c>
      <c r="J235" s="367"/>
      <c r="K235" s="405">
        <f>+SUMIFS('Dados Mercado'!K:K,'Dados Mercado'!$A:$A,$B235)</f>
        <v>705292</v>
      </c>
      <c r="L235" s="404">
        <f>+SUMIFS('Dados Mercado'!L:L,'Dados Mercado'!$A:$A,$B235)</f>
        <v>198537</v>
      </c>
      <c r="M235" s="367"/>
      <c r="N235" s="405" t="s">
        <v>160</v>
      </c>
      <c r="O235" s="404" t="s">
        <v>160</v>
      </c>
      <c r="P235" s="367"/>
      <c r="Q235" s="405" t="s">
        <v>160</v>
      </c>
      <c r="R235" s="404" t="s">
        <v>160</v>
      </c>
      <c r="S235" s="367"/>
      <c r="T235" s="405" t="s">
        <v>160</v>
      </c>
      <c r="U235" s="402" t="s">
        <v>160</v>
      </c>
      <c r="V235" s="402" t="s">
        <v>160</v>
      </c>
      <c r="W235" s="402" t="s">
        <v>160</v>
      </c>
      <c r="X235" s="402" t="s">
        <v>160</v>
      </c>
      <c r="Y235" s="402" t="s">
        <v>160</v>
      </c>
      <c r="Z235" s="402" t="s">
        <v>160</v>
      </c>
      <c r="AA235" s="402"/>
      <c r="AB235" s="404" t="s">
        <v>160</v>
      </c>
      <c r="AC235" s="367"/>
      <c r="AD235" s="438" t="s">
        <v>7</v>
      </c>
      <c r="AE235" s="446" t="s">
        <v>160</v>
      </c>
      <c r="AF235" s="447" t="s">
        <v>160</v>
      </c>
      <c r="AG235" s="447" t="s">
        <v>160</v>
      </c>
      <c r="AH235" s="447" t="s">
        <v>160</v>
      </c>
      <c r="AI235" s="447" t="s">
        <v>160</v>
      </c>
      <c r="AJ235" s="447" t="s">
        <v>160</v>
      </c>
      <c r="AK235" s="447" t="s">
        <v>160</v>
      </c>
      <c r="AL235" s="661" t="s">
        <v>160</v>
      </c>
      <c r="AM235" s="448" t="s">
        <v>160</v>
      </c>
      <c r="AN235" s="367"/>
      <c r="AO235" s="442" t="s">
        <v>160</v>
      </c>
      <c r="AP235" s="443" t="s">
        <v>160</v>
      </c>
      <c r="AQ235" s="443" t="s">
        <v>160</v>
      </c>
      <c r="AR235" s="443" t="s">
        <v>160</v>
      </c>
      <c r="AS235" s="444" t="s">
        <v>160</v>
      </c>
      <c r="AT235" s="364"/>
      <c r="AU235" s="442" t="s">
        <v>160</v>
      </c>
      <c r="AV235" s="443" t="s">
        <v>160</v>
      </c>
      <c r="AW235" s="443" t="s">
        <v>160</v>
      </c>
      <c r="AX235" s="443" t="s">
        <v>160</v>
      </c>
      <c r="AY235" s="444" t="s">
        <v>160</v>
      </c>
      <c r="AZ235" s="364"/>
      <c r="BA235" s="408">
        <f t="shared" si="137"/>
        <v>0.14839102102391633</v>
      </c>
      <c r="BB235" s="409">
        <f t="shared" si="138"/>
        <v>0.25707737428539984</v>
      </c>
    </row>
    <row r="236" spans="1:54" ht="12.75" customHeight="1" outlineLevel="1" x14ac:dyDescent="0.2">
      <c r="A236" s="364"/>
      <c r="B236" s="445" t="s">
        <v>6</v>
      </c>
      <c r="C236" s="401">
        <f>+SUMIFS('Dados Mercado'!C:C,'Dados Mercado'!$A:$A,$B236)</f>
        <v>964507</v>
      </c>
      <c r="D236" s="402">
        <f>+SUMIFS('Dados Mercado'!D:D,'Dados Mercado'!$A:$A,$B236)</f>
        <v>859468</v>
      </c>
      <c r="E236" s="404">
        <f>+SUMIFS('Dados Mercado'!E:E,'Dados Mercado'!$A:$A,$B236)</f>
        <v>105039</v>
      </c>
      <c r="F236" s="367"/>
      <c r="G236" s="405" t="s">
        <v>160</v>
      </c>
      <c r="H236" s="402" t="s">
        <v>160</v>
      </c>
      <c r="I236" s="404" t="s">
        <v>160</v>
      </c>
      <c r="J236" s="367"/>
      <c r="K236" s="405">
        <f>+SUMIFS('Dados Mercado'!K:K,'Dados Mercado'!$A:$A,$B236)</f>
        <v>789026</v>
      </c>
      <c r="L236" s="404">
        <f>+SUMIFS('Dados Mercado'!L:L,'Dados Mercado'!$A:$A,$B236)</f>
        <v>192421</v>
      </c>
      <c r="M236" s="367"/>
      <c r="N236" s="405" t="s">
        <v>160</v>
      </c>
      <c r="O236" s="404" t="s">
        <v>160</v>
      </c>
      <c r="P236" s="367"/>
      <c r="Q236" s="405" t="s">
        <v>160</v>
      </c>
      <c r="R236" s="404" t="s">
        <v>160</v>
      </c>
      <c r="S236" s="367"/>
      <c r="T236" s="405" t="s">
        <v>160</v>
      </c>
      <c r="U236" s="402" t="s">
        <v>160</v>
      </c>
      <c r="V236" s="402" t="s">
        <v>160</v>
      </c>
      <c r="W236" s="402" t="s">
        <v>160</v>
      </c>
      <c r="X236" s="402" t="s">
        <v>160</v>
      </c>
      <c r="Y236" s="402" t="s">
        <v>160</v>
      </c>
      <c r="Z236" s="402" t="s">
        <v>160</v>
      </c>
      <c r="AA236" s="402"/>
      <c r="AB236" s="404" t="s">
        <v>160</v>
      </c>
      <c r="AC236" s="367"/>
      <c r="AD236" s="445" t="s">
        <v>6</v>
      </c>
      <c r="AE236" s="446" t="s">
        <v>160</v>
      </c>
      <c r="AF236" s="447" t="s">
        <v>160</v>
      </c>
      <c r="AG236" s="447" t="s">
        <v>160</v>
      </c>
      <c r="AH236" s="447" t="s">
        <v>160</v>
      </c>
      <c r="AI236" s="447" t="s">
        <v>160</v>
      </c>
      <c r="AJ236" s="447" t="s">
        <v>160</v>
      </c>
      <c r="AK236" s="447" t="s">
        <v>160</v>
      </c>
      <c r="AL236" s="661" t="s">
        <v>160</v>
      </c>
      <c r="AM236" s="448" t="s">
        <v>160</v>
      </c>
      <c r="AN236" s="367"/>
      <c r="AO236" s="442" t="s">
        <v>160</v>
      </c>
      <c r="AP236" s="443" t="s">
        <v>160</v>
      </c>
      <c r="AQ236" s="443" t="s">
        <v>160</v>
      </c>
      <c r="AR236" s="443" t="s">
        <v>160</v>
      </c>
      <c r="AS236" s="444" t="s">
        <v>160</v>
      </c>
      <c r="AT236" s="364"/>
      <c r="AU236" s="442" t="s">
        <v>160</v>
      </c>
      <c r="AV236" s="443" t="s">
        <v>160</v>
      </c>
      <c r="AW236" s="443" t="s">
        <v>160</v>
      </c>
      <c r="AX236" s="443" t="s">
        <v>160</v>
      </c>
      <c r="AY236" s="444" t="s">
        <v>160</v>
      </c>
      <c r="AZ236" s="364"/>
      <c r="BA236" s="408">
        <f t="shared" si="137"/>
        <v>0.13312489068801281</v>
      </c>
      <c r="BB236" s="409">
        <f t="shared" si="138"/>
        <v>0.22388384442469061</v>
      </c>
    </row>
    <row r="237" spans="1:54" ht="12.75" customHeight="1" outlineLevel="1" x14ac:dyDescent="0.2">
      <c r="A237" s="364"/>
      <c r="B237" s="438" t="s">
        <v>5</v>
      </c>
      <c r="C237" s="401">
        <f>+SUMIFS('Dados Mercado'!C:C,'Dados Mercado'!$A:$A,$B237)</f>
        <v>1124986</v>
      </c>
      <c r="D237" s="402">
        <f>+SUMIFS('Dados Mercado'!D:D,'Dados Mercado'!$A:$A,$B237)</f>
        <v>1034398</v>
      </c>
      <c r="E237" s="404">
        <f>+SUMIFS('Dados Mercado'!E:E,'Dados Mercado'!$A:$A,$B237)</f>
        <v>90588</v>
      </c>
      <c r="F237" s="367"/>
      <c r="G237" s="405" t="s">
        <v>160</v>
      </c>
      <c r="H237" s="402" t="s">
        <v>160</v>
      </c>
      <c r="I237" s="404" t="s">
        <v>160</v>
      </c>
      <c r="J237" s="367"/>
      <c r="K237" s="405">
        <f>+SUMIFS('Dados Mercado'!K:K,'Dados Mercado'!$A:$A,$B237)</f>
        <v>876097</v>
      </c>
      <c r="L237" s="404">
        <f>+SUMIFS('Dados Mercado'!L:L,'Dados Mercado'!$A:$A,$B237)</f>
        <v>202287</v>
      </c>
      <c r="M237" s="367"/>
      <c r="N237" s="405" t="s">
        <v>160</v>
      </c>
      <c r="O237" s="404" t="s">
        <v>160</v>
      </c>
      <c r="P237" s="367"/>
      <c r="Q237" s="405" t="s">
        <v>160</v>
      </c>
      <c r="R237" s="404" t="s">
        <v>160</v>
      </c>
      <c r="S237" s="367"/>
      <c r="T237" s="405" t="s">
        <v>160</v>
      </c>
      <c r="U237" s="402" t="s">
        <v>160</v>
      </c>
      <c r="V237" s="402" t="s">
        <v>160</v>
      </c>
      <c r="W237" s="402" t="s">
        <v>160</v>
      </c>
      <c r="X237" s="402" t="s">
        <v>160</v>
      </c>
      <c r="Y237" s="402" t="s">
        <v>160</v>
      </c>
      <c r="Z237" s="402" t="s">
        <v>160</v>
      </c>
      <c r="AA237" s="402"/>
      <c r="AB237" s="404" t="s">
        <v>160</v>
      </c>
      <c r="AC237" s="367"/>
      <c r="AD237" s="438" t="s">
        <v>5</v>
      </c>
      <c r="AE237" s="446" t="s">
        <v>160</v>
      </c>
      <c r="AF237" s="447" t="s">
        <v>160</v>
      </c>
      <c r="AG237" s="447" t="s">
        <v>160</v>
      </c>
      <c r="AH237" s="447" t="s">
        <v>160</v>
      </c>
      <c r="AI237" s="447" t="s">
        <v>160</v>
      </c>
      <c r="AJ237" s="447" t="s">
        <v>160</v>
      </c>
      <c r="AK237" s="447" t="s">
        <v>160</v>
      </c>
      <c r="AL237" s="661" t="s">
        <v>160</v>
      </c>
      <c r="AM237" s="448" t="s">
        <v>160</v>
      </c>
      <c r="AN237" s="367"/>
      <c r="AO237" s="442" t="s">
        <v>160</v>
      </c>
      <c r="AP237" s="443" t="s">
        <v>160</v>
      </c>
      <c r="AQ237" s="443" t="s">
        <v>160</v>
      </c>
      <c r="AR237" s="443" t="s">
        <v>160</v>
      </c>
      <c r="AS237" s="444" t="s">
        <v>160</v>
      </c>
      <c r="AT237" s="364"/>
      <c r="AU237" s="442" t="s">
        <v>160</v>
      </c>
      <c r="AV237" s="443" t="s">
        <v>160</v>
      </c>
      <c r="AW237" s="443" t="s">
        <v>160</v>
      </c>
      <c r="AX237" s="443" t="s">
        <v>160</v>
      </c>
      <c r="AY237" s="444" t="s">
        <v>160</v>
      </c>
      <c r="AZ237" s="364"/>
      <c r="BA237" s="408">
        <f t="shared" si="137"/>
        <v>0.10339950941505335</v>
      </c>
      <c r="BB237" s="409">
        <f t="shared" si="138"/>
        <v>0.19556012289273567</v>
      </c>
    </row>
    <row r="238" spans="1:54" ht="12.75" customHeight="1" outlineLevel="1" x14ac:dyDescent="0.2">
      <c r="A238" s="364"/>
      <c r="B238" s="445" t="s">
        <v>4</v>
      </c>
      <c r="C238" s="401">
        <f>+SUMIFS('Dados Mercado'!C:C,'Dados Mercado'!$A:$A,$B238)</f>
        <v>1080280</v>
      </c>
      <c r="D238" s="402">
        <f>+SUMIFS('Dados Mercado'!D:D,'Dados Mercado'!$A:$A,$B238)</f>
        <v>967968</v>
      </c>
      <c r="E238" s="404">
        <f>+SUMIFS('Dados Mercado'!E:E,'Dados Mercado'!$A:$A,$B238)</f>
        <v>112312</v>
      </c>
      <c r="F238" s="367"/>
      <c r="G238" s="405" t="s">
        <v>160</v>
      </c>
      <c r="H238" s="402" t="s">
        <v>160</v>
      </c>
      <c r="I238" s="404" t="s">
        <v>160</v>
      </c>
      <c r="J238" s="367"/>
      <c r="K238" s="405">
        <f>+SUMIFS('Dados Mercado'!K:K,'Dados Mercado'!$A:$A,$B238)</f>
        <v>862510</v>
      </c>
      <c r="L238" s="404">
        <f>+SUMIFS('Dados Mercado'!L:L,'Dados Mercado'!$A:$A,$B238)</f>
        <v>190423</v>
      </c>
      <c r="M238" s="367"/>
      <c r="N238" s="405" t="s">
        <v>160</v>
      </c>
      <c r="O238" s="404" t="s">
        <v>160</v>
      </c>
      <c r="P238" s="367"/>
      <c r="Q238" s="405" t="s">
        <v>160</v>
      </c>
      <c r="R238" s="404" t="s">
        <v>160</v>
      </c>
      <c r="S238" s="367"/>
      <c r="T238" s="405" t="s">
        <v>160</v>
      </c>
      <c r="U238" s="402" t="s">
        <v>160</v>
      </c>
      <c r="V238" s="402" t="s">
        <v>160</v>
      </c>
      <c r="W238" s="402" t="s">
        <v>160</v>
      </c>
      <c r="X238" s="402" t="s">
        <v>160</v>
      </c>
      <c r="Y238" s="402" t="s">
        <v>160</v>
      </c>
      <c r="Z238" s="402" t="s">
        <v>160</v>
      </c>
      <c r="AA238" s="402"/>
      <c r="AB238" s="404" t="s">
        <v>160</v>
      </c>
      <c r="AC238" s="367"/>
      <c r="AD238" s="445" t="s">
        <v>4</v>
      </c>
      <c r="AE238" s="446" t="s">
        <v>160</v>
      </c>
      <c r="AF238" s="447" t="s">
        <v>160</v>
      </c>
      <c r="AG238" s="447" t="s">
        <v>160</v>
      </c>
      <c r="AH238" s="447" t="s">
        <v>160</v>
      </c>
      <c r="AI238" s="447" t="s">
        <v>160</v>
      </c>
      <c r="AJ238" s="447" t="s">
        <v>160</v>
      </c>
      <c r="AK238" s="447" t="s">
        <v>160</v>
      </c>
      <c r="AL238" s="661" t="s">
        <v>160</v>
      </c>
      <c r="AM238" s="448" t="s">
        <v>160</v>
      </c>
      <c r="AN238" s="367"/>
      <c r="AO238" s="442" t="s">
        <v>160</v>
      </c>
      <c r="AP238" s="443" t="s">
        <v>160</v>
      </c>
      <c r="AQ238" s="443" t="s">
        <v>160</v>
      </c>
      <c r="AR238" s="443" t="s">
        <v>160</v>
      </c>
      <c r="AS238" s="444" t="s">
        <v>160</v>
      </c>
      <c r="AT238" s="364"/>
      <c r="AU238" s="442" t="s">
        <v>160</v>
      </c>
      <c r="AV238" s="443" t="s">
        <v>160</v>
      </c>
      <c r="AW238" s="443" t="s">
        <v>160</v>
      </c>
      <c r="AX238" s="443" t="s">
        <v>160</v>
      </c>
      <c r="AY238" s="444" t="s">
        <v>160</v>
      </c>
      <c r="AZ238" s="364"/>
      <c r="BA238" s="408">
        <f t="shared" si="137"/>
        <v>0.13021530185157273</v>
      </c>
      <c r="BB238" s="409">
        <f t="shared" si="138"/>
        <v>0.19672447849515687</v>
      </c>
    </row>
    <row r="239" spans="1:54" ht="12.75" customHeight="1" outlineLevel="1" x14ac:dyDescent="0.2">
      <c r="A239" s="364"/>
      <c r="B239" s="438" t="s">
        <v>3</v>
      </c>
      <c r="C239" s="401">
        <f>+SUMIFS('Dados Mercado'!C:C,'Dados Mercado'!$A:$A,$B239)</f>
        <v>893929</v>
      </c>
      <c r="D239" s="402">
        <f>+SUMIFS('Dados Mercado'!D:D,'Dados Mercado'!$A:$A,$B239)</f>
        <v>788514</v>
      </c>
      <c r="E239" s="404">
        <f>+SUMIFS('Dados Mercado'!E:E,'Dados Mercado'!$A:$A,$B239)</f>
        <v>105415</v>
      </c>
      <c r="F239" s="367"/>
      <c r="G239" s="401" t="s">
        <v>160</v>
      </c>
      <c r="H239" s="403" t="s">
        <v>160</v>
      </c>
      <c r="I239" s="449" t="s">
        <v>160</v>
      </c>
      <c r="J239" s="367"/>
      <c r="K239" s="405">
        <f>+SUMIFS('Dados Mercado'!K:K,'Dados Mercado'!$A:$A,$B239)</f>
        <v>809031</v>
      </c>
      <c r="L239" s="404">
        <f>+SUMIFS('Dados Mercado'!L:L,'Dados Mercado'!$A:$A,$B239)</f>
        <v>137078</v>
      </c>
      <c r="M239" s="367"/>
      <c r="N239" s="405" t="s">
        <v>160</v>
      </c>
      <c r="O239" s="404" t="s">
        <v>160</v>
      </c>
      <c r="P239" s="367"/>
      <c r="Q239" s="405" t="s">
        <v>160</v>
      </c>
      <c r="R239" s="404" t="s">
        <v>160</v>
      </c>
      <c r="S239" s="367"/>
      <c r="T239" s="405" t="s">
        <v>160</v>
      </c>
      <c r="U239" s="402" t="s">
        <v>160</v>
      </c>
      <c r="V239" s="402" t="s">
        <v>160</v>
      </c>
      <c r="W239" s="402" t="s">
        <v>160</v>
      </c>
      <c r="X239" s="402" t="s">
        <v>160</v>
      </c>
      <c r="Y239" s="402" t="s">
        <v>160</v>
      </c>
      <c r="Z239" s="402" t="s">
        <v>160</v>
      </c>
      <c r="AA239" s="402"/>
      <c r="AB239" s="404" t="s">
        <v>160</v>
      </c>
      <c r="AC239" s="367"/>
      <c r="AD239" s="438" t="s">
        <v>3</v>
      </c>
      <c r="AE239" s="446" t="s">
        <v>160</v>
      </c>
      <c r="AF239" s="447" t="s">
        <v>160</v>
      </c>
      <c r="AG239" s="447" t="s">
        <v>160</v>
      </c>
      <c r="AH239" s="447" t="s">
        <v>160</v>
      </c>
      <c r="AI239" s="447" t="s">
        <v>160</v>
      </c>
      <c r="AJ239" s="447" t="s">
        <v>160</v>
      </c>
      <c r="AK239" s="447" t="s">
        <v>160</v>
      </c>
      <c r="AL239" s="661" t="s">
        <v>160</v>
      </c>
      <c r="AM239" s="448" t="s">
        <v>160</v>
      </c>
      <c r="AN239" s="367"/>
      <c r="AO239" s="442" t="s">
        <v>160</v>
      </c>
      <c r="AP239" s="443" t="s">
        <v>160</v>
      </c>
      <c r="AQ239" s="443" t="s">
        <v>160</v>
      </c>
      <c r="AR239" s="443" t="s">
        <v>160</v>
      </c>
      <c r="AS239" s="444" t="s">
        <v>160</v>
      </c>
      <c r="AT239" s="364"/>
      <c r="AU239" s="442" t="s">
        <v>160</v>
      </c>
      <c r="AV239" s="443" t="s">
        <v>160</v>
      </c>
      <c r="AW239" s="443" t="s">
        <v>160</v>
      </c>
      <c r="AX239" s="443" t="s">
        <v>160</v>
      </c>
      <c r="AY239" s="444" t="s">
        <v>160</v>
      </c>
      <c r="AZ239" s="364"/>
      <c r="BA239" s="408">
        <f t="shared" si="137"/>
        <v>0.13029785014418482</v>
      </c>
      <c r="BB239" s="409">
        <f t="shared" si="138"/>
        <v>0.17384345744019764</v>
      </c>
    </row>
    <row r="240" spans="1:54" ht="12.75" customHeight="1" outlineLevel="1" x14ac:dyDescent="0.2">
      <c r="A240" s="364"/>
      <c r="B240" s="445" t="s">
        <v>2</v>
      </c>
      <c r="C240" s="401">
        <f>+SUMIFS('Dados Mercado'!C:C,'Dados Mercado'!$A:$A,$B240)</f>
        <v>1062663</v>
      </c>
      <c r="D240" s="402">
        <f>+SUMIFS('Dados Mercado'!D:D,'Dados Mercado'!$A:$A,$B240)</f>
        <v>921018</v>
      </c>
      <c r="E240" s="404">
        <f>+SUMIFS('Dados Mercado'!E:E,'Dados Mercado'!$A:$A,$B240)</f>
        <v>141645</v>
      </c>
      <c r="F240" s="367"/>
      <c r="G240" s="401" t="s">
        <v>160</v>
      </c>
      <c r="H240" s="403" t="s">
        <v>160</v>
      </c>
      <c r="I240" s="449" t="s">
        <v>160</v>
      </c>
      <c r="J240" s="367"/>
      <c r="K240" s="405">
        <f>+SUMIFS('Dados Mercado'!K:K,'Dados Mercado'!$A:$A,$B240)</f>
        <v>958596</v>
      </c>
      <c r="L240" s="404">
        <f>+SUMIFS('Dados Mercado'!L:L,'Dados Mercado'!$A:$A,$B240)</f>
        <v>205135</v>
      </c>
      <c r="M240" s="367"/>
      <c r="N240" s="405" t="s">
        <v>160</v>
      </c>
      <c r="O240" s="404" t="s">
        <v>160</v>
      </c>
      <c r="P240" s="367"/>
      <c r="Q240" s="405" t="s">
        <v>160</v>
      </c>
      <c r="R240" s="404" t="s">
        <v>160</v>
      </c>
      <c r="S240" s="367"/>
      <c r="T240" s="405" t="s">
        <v>160</v>
      </c>
      <c r="U240" s="402" t="s">
        <v>160</v>
      </c>
      <c r="V240" s="402" t="s">
        <v>160</v>
      </c>
      <c r="W240" s="402" t="s">
        <v>160</v>
      </c>
      <c r="X240" s="402" t="s">
        <v>160</v>
      </c>
      <c r="Y240" s="402" t="s">
        <v>160</v>
      </c>
      <c r="Z240" s="402" t="s">
        <v>160</v>
      </c>
      <c r="AA240" s="402"/>
      <c r="AB240" s="404" t="s">
        <v>160</v>
      </c>
      <c r="AC240" s="367"/>
      <c r="AD240" s="445" t="s">
        <v>2</v>
      </c>
      <c r="AE240" s="446" t="s">
        <v>160</v>
      </c>
      <c r="AF240" s="447" t="s">
        <v>160</v>
      </c>
      <c r="AG240" s="447" t="s">
        <v>160</v>
      </c>
      <c r="AH240" s="447" t="s">
        <v>160</v>
      </c>
      <c r="AI240" s="447" t="s">
        <v>160</v>
      </c>
      <c r="AJ240" s="447" t="s">
        <v>160</v>
      </c>
      <c r="AK240" s="447" t="s">
        <v>160</v>
      </c>
      <c r="AL240" s="661" t="s">
        <v>160</v>
      </c>
      <c r="AM240" s="448" t="s">
        <v>160</v>
      </c>
      <c r="AN240" s="367"/>
      <c r="AO240" s="442" t="s">
        <v>160</v>
      </c>
      <c r="AP240" s="443" t="s">
        <v>160</v>
      </c>
      <c r="AQ240" s="443" t="s">
        <v>160</v>
      </c>
      <c r="AR240" s="443" t="s">
        <v>160</v>
      </c>
      <c r="AS240" s="444" t="s">
        <v>160</v>
      </c>
      <c r="AT240" s="364"/>
      <c r="AU240" s="442" t="s">
        <v>160</v>
      </c>
      <c r="AV240" s="443" t="s">
        <v>160</v>
      </c>
      <c r="AW240" s="443" t="s">
        <v>160</v>
      </c>
      <c r="AX240" s="443" t="s">
        <v>160</v>
      </c>
      <c r="AY240" s="444" t="s">
        <v>160</v>
      </c>
      <c r="AZ240" s="364"/>
      <c r="BA240" s="408">
        <f t="shared" si="137"/>
        <v>0.14776297835584543</v>
      </c>
      <c r="BB240" s="409">
        <f t="shared" si="138"/>
        <v>0.22272637451168165</v>
      </c>
    </row>
    <row r="241" spans="1:54" ht="12.75" customHeight="1" outlineLevel="1" x14ac:dyDescent="0.2">
      <c r="A241" s="364"/>
      <c r="B241" s="438" t="s">
        <v>1</v>
      </c>
      <c r="C241" s="401">
        <f>+SUMIFS('Dados Mercado'!C:C,'Dados Mercado'!$A:$A,$B241)</f>
        <v>1085575</v>
      </c>
      <c r="D241" s="402">
        <f>+SUMIFS('Dados Mercado'!D:D,'Dados Mercado'!$A:$A,$B241)</f>
        <v>931722</v>
      </c>
      <c r="E241" s="404">
        <f>+SUMIFS('Dados Mercado'!E:E,'Dados Mercado'!$A:$A,$B241)</f>
        <v>153853</v>
      </c>
      <c r="F241" s="367"/>
      <c r="G241" s="401" t="s">
        <v>160</v>
      </c>
      <c r="H241" s="403" t="s">
        <v>160</v>
      </c>
      <c r="I241" s="449" t="s">
        <v>160</v>
      </c>
      <c r="J241" s="367"/>
      <c r="K241" s="405">
        <f>+SUMIFS('Dados Mercado'!K:K,'Dados Mercado'!$A:$A,$B241)</f>
        <v>919831</v>
      </c>
      <c r="L241" s="404">
        <f>+SUMIFS('Dados Mercado'!L:L,'Dados Mercado'!$A:$A,$B241)</f>
        <v>189475</v>
      </c>
      <c r="M241" s="367"/>
      <c r="N241" s="405" t="s">
        <v>160</v>
      </c>
      <c r="O241" s="404" t="s">
        <v>160</v>
      </c>
      <c r="P241" s="367"/>
      <c r="Q241" s="405" t="s">
        <v>160</v>
      </c>
      <c r="R241" s="404" t="s">
        <v>160</v>
      </c>
      <c r="S241" s="367"/>
      <c r="T241" s="405" t="s">
        <v>160</v>
      </c>
      <c r="U241" s="402" t="s">
        <v>160</v>
      </c>
      <c r="V241" s="402" t="s">
        <v>160</v>
      </c>
      <c r="W241" s="402" t="s">
        <v>160</v>
      </c>
      <c r="X241" s="402" t="s">
        <v>160</v>
      </c>
      <c r="Y241" s="402" t="s">
        <v>160</v>
      </c>
      <c r="Z241" s="402" t="s">
        <v>160</v>
      </c>
      <c r="AA241" s="402"/>
      <c r="AB241" s="404" t="s">
        <v>160</v>
      </c>
      <c r="AC241" s="367"/>
      <c r="AD241" s="438" t="s">
        <v>1</v>
      </c>
      <c r="AE241" s="446" t="s">
        <v>160</v>
      </c>
      <c r="AF241" s="447" t="s">
        <v>160</v>
      </c>
      <c r="AG241" s="447" t="s">
        <v>160</v>
      </c>
      <c r="AH241" s="447" t="s">
        <v>160</v>
      </c>
      <c r="AI241" s="447" t="s">
        <v>160</v>
      </c>
      <c r="AJ241" s="447" t="s">
        <v>160</v>
      </c>
      <c r="AK241" s="447" t="s">
        <v>160</v>
      </c>
      <c r="AL241" s="661" t="s">
        <v>160</v>
      </c>
      <c r="AM241" s="448" t="s">
        <v>160</v>
      </c>
      <c r="AN241" s="367"/>
      <c r="AO241" s="442" t="s">
        <v>160</v>
      </c>
      <c r="AP241" s="443" t="s">
        <v>160</v>
      </c>
      <c r="AQ241" s="443" t="s">
        <v>160</v>
      </c>
      <c r="AR241" s="443" t="s">
        <v>160</v>
      </c>
      <c r="AS241" s="444" t="s">
        <v>160</v>
      </c>
      <c r="AT241" s="364"/>
      <c r="AU241" s="442" t="s">
        <v>160</v>
      </c>
      <c r="AV241" s="443" t="s">
        <v>160</v>
      </c>
      <c r="AW241" s="443" t="s">
        <v>160</v>
      </c>
      <c r="AX241" s="443" t="s">
        <v>160</v>
      </c>
      <c r="AY241" s="444" t="s">
        <v>160</v>
      </c>
      <c r="AZ241" s="364"/>
      <c r="BA241" s="408">
        <f t="shared" si="137"/>
        <v>0.1672622470866931</v>
      </c>
      <c r="BB241" s="409">
        <f t="shared" si="138"/>
        <v>0.20336001511180374</v>
      </c>
    </row>
    <row r="242" spans="1:54" ht="12.75" customHeight="1" outlineLevel="1" x14ac:dyDescent="0.2">
      <c r="A242" s="364"/>
      <c r="B242" s="445" t="s">
        <v>0</v>
      </c>
      <c r="C242" s="401">
        <f>+SUMIFS('Dados Mercado'!C:C,'Dados Mercado'!$A:$A,$B242)</f>
        <v>1069248</v>
      </c>
      <c r="D242" s="402">
        <f>+SUMIFS('Dados Mercado'!D:D,'Dados Mercado'!$A:$A,$B242)</f>
        <v>938649</v>
      </c>
      <c r="E242" s="404">
        <f>+SUMIFS('Dados Mercado'!E:E,'Dados Mercado'!$A:$A,$B242)</f>
        <v>130599</v>
      </c>
      <c r="F242" s="367"/>
      <c r="G242" s="401" t="s">
        <v>160</v>
      </c>
      <c r="H242" s="403" t="s">
        <v>160</v>
      </c>
      <c r="I242" s="449" t="s">
        <v>160</v>
      </c>
      <c r="J242" s="367"/>
      <c r="K242" s="405">
        <f>+SUMIFS('Dados Mercado'!K:K,'Dados Mercado'!$A:$A,$B242)</f>
        <v>797722</v>
      </c>
      <c r="L242" s="404">
        <f>+SUMIFS('Dados Mercado'!L:L,'Dados Mercado'!$A:$A,$B242)</f>
        <v>185339</v>
      </c>
      <c r="M242" s="367"/>
      <c r="N242" s="405" t="s">
        <v>160</v>
      </c>
      <c r="O242" s="404" t="s">
        <v>160</v>
      </c>
      <c r="P242" s="367"/>
      <c r="Q242" s="405" t="s">
        <v>160</v>
      </c>
      <c r="R242" s="404" t="s">
        <v>160</v>
      </c>
      <c r="S242" s="367"/>
      <c r="T242" s="405" t="s">
        <v>160</v>
      </c>
      <c r="U242" s="402" t="s">
        <v>160</v>
      </c>
      <c r="V242" s="402" t="s">
        <v>160</v>
      </c>
      <c r="W242" s="402" t="s">
        <v>160</v>
      </c>
      <c r="X242" s="402" t="s">
        <v>160</v>
      </c>
      <c r="Y242" s="402" t="s">
        <v>160</v>
      </c>
      <c r="Z242" s="402" t="s">
        <v>160</v>
      </c>
      <c r="AA242" s="402"/>
      <c r="AB242" s="404" t="s">
        <v>160</v>
      </c>
      <c r="AC242" s="367"/>
      <c r="AD242" s="445" t="s">
        <v>0</v>
      </c>
      <c r="AE242" s="446" t="s">
        <v>160</v>
      </c>
      <c r="AF242" s="447" t="s">
        <v>160</v>
      </c>
      <c r="AG242" s="447" t="s">
        <v>160</v>
      </c>
      <c r="AH242" s="447" t="s">
        <v>160</v>
      </c>
      <c r="AI242" s="447" t="s">
        <v>160</v>
      </c>
      <c r="AJ242" s="447" t="s">
        <v>160</v>
      </c>
      <c r="AK242" s="447" t="s">
        <v>160</v>
      </c>
      <c r="AL242" s="661" t="s">
        <v>160</v>
      </c>
      <c r="AM242" s="448" t="s">
        <v>160</v>
      </c>
      <c r="AN242" s="367"/>
      <c r="AO242" s="442" t="s">
        <v>160</v>
      </c>
      <c r="AP242" s="443" t="s">
        <v>160</v>
      </c>
      <c r="AQ242" s="443" t="s">
        <v>160</v>
      </c>
      <c r="AR242" s="443" t="s">
        <v>160</v>
      </c>
      <c r="AS242" s="444" t="s">
        <v>160</v>
      </c>
      <c r="AT242" s="364"/>
      <c r="AU242" s="442" t="s">
        <v>160</v>
      </c>
      <c r="AV242" s="443" t="s">
        <v>160</v>
      </c>
      <c r="AW242" s="443" t="s">
        <v>160</v>
      </c>
      <c r="AX242" s="443" t="s">
        <v>160</v>
      </c>
      <c r="AY242" s="444" t="s">
        <v>160</v>
      </c>
      <c r="AZ242" s="364"/>
      <c r="BA242" s="408">
        <f t="shared" si="137"/>
        <v>0.16371492825821526</v>
      </c>
      <c r="BB242" s="409">
        <f t="shared" si="138"/>
        <v>0.1974529350161775</v>
      </c>
    </row>
    <row r="243" spans="1:54" ht="12.75" customHeight="1" outlineLevel="1" x14ac:dyDescent="0.2">
      <c r="A243" s="364"/>
      <c r="B243" s="438" t="s">
        <v>45</v>
      </c>
      <c r="C243" s="401">
        <f>+SUMIFS('Dados Mercado'!C:C,'Dados Mercado'!$A:$A,$B243)</f>
        <v>844225</v>
      </c>
      <c r="D243" s="402">
        <f>+SUMIFS('Dados Mercado'!D:D,'Dados Mercado'!$A:$A,$B243)</f>
        <v>775345</v>
      </c>
      <c r="E243" s="404">
        <f>+SUMIFS('Dados Mercado'!E:E,'Dados Mercado'!$A:$A,$B243)</f>
        <v>68880</v>
      </c>
      <c r="F243" s="367"/>
      <c r="G243" s="401" t="s">
        <v>160</v>
      </c>
      <c r="H243" s="403" t="s">
        <v>160</v>
      </c>
      <c r="I243" s="449" t="s">
        <v>160</v>
      </c>
      <c r="J243" s="367"/>
      <c r="K243" s="405">
        <f>+SUMIFS('Dados Mercado'!K:K,'Dados Mercado'!$A:$A,$B243)</f>
        <v>738994</v>
      </c>
      <c r="L243" s="404">
        <f>+SUMIFS('Dados Mercado'!L:L,'Dados Mercado'!$A:$A,$B243)</f>
        <v>128151</v>
      </c>
      <c r="M243" s="367"/>
      <c r="N243" s="405" t="s">
        <v>160</v>
      </c>
      <c r="O243" s="404" t="s">
        <v>160</v>
      </c>
      <c r="P243" s="367"/>
      <c r="Q243" s="405" t="s">
        <v>160</v>
      </c>
      <c r="R243" s="404" t="s">
        <v>160</v>
      </c>
      <c r="S243" s="367"/>
      <c r="T243" s="405" t="s">
        <v>160</v>
      </c>
      <c r="U243" s="402" t="s">
        <v>160</v>
      </c>
      <c r="V243" s="402" t="s">
        <v>160</v>
      </c>
      <c r="W243" s="402" t="s">
        <v>160</v>
      </c>
      <c r="X243" s="402" t="s">
        <v>160</v>
      </c>
      <c r="Y243" s="402" t="s">
        <v>160</v>
      </c>
      <c r="Z243" s="402" t="s">
        <v>160</v>
      </c>
      <c r="AA243" s="402"/>
      <c r="AB243" s="404" t="s">
        <v>160</v>
      </c>
      <c r="AC243" s="367"/>
      <c r="AD243" s="438" t="s">
        <v>45</v>
      </c>
      <c r="AE243" s="446" t="s">
        <v>160</v>
      </c>
      <c r="AF243" s="447" t="s">
        <v>160</v>
      </c>
      <c r="AG243" s="447" t="s">
        <v>160</v>
      </c>
      <c r="AH243" s="447" t="s">
        <v>160</v>
      </c>
      <c r="AI243" s="447" t="s">
        <v>160</v>
      </c>
      <c r="AJ243" s="447" t="s">
        <v>160</v>
      </c>
      <c r="AK243" s="447" t="s">
        <v>160</v>
      </c>
      <c r="AL243" s="661" t="s">
        <v>160</v>
      </c>
      <c r="AM243" s="448" t="s">
        <v>160</v>
      </c>
      <c r="AN243" s="367"/>
      <c r="AO243" s="442" t="s">
        <v>160</v>
      </c>
      <c r="AP243" s="443" t="s">
        <v>160</v>
      </c>
      <c r="AQ243" s="443" t="s">
        <v>160</v>
      </c>
      <c r="AR243" s="443" t="s">
        <v>160</v>
      </c>
      <c r="AS243" s="444" t="s">
        <v>160</v>
      </c>
      <c r="AT243" s="364"/>
      <c r="AU243" s="442" t="s">
        <v>160</v>
      </c>
      <c r="AV243" s="443" t="s">
        <v>160</v>
      </c>
      <c r="AW243" s="443" t="s">
        <v>160</v>
      </c>
      <c r="AX243" s="443" t="s">
        <v>160</v>
      </c>
      <c r="AY243" s="444" t="s">
        <v>160</v>
      </c>
      <c r="AZ243" s="364"/>
      <c r="BA243" s="408">
        <f t="shared" si="137"/>
        <v>9.3207793297374539E-2</v>
      </c>
      <c r="BB243" s="409">
        <f t="shared" si="138"/>
        <v>0.16528255163830294</v>
      </c>
    </row>
    <row r="244" spans="1:54" ht="12.75" customHeight="1" outlineLevel="1" x14ac:dyDescent="0.2">
      <c r="A244" s="364"/>
      <c r="B244" s="445" t="s">
        <v>55</v>
      </c>
      <c r="C244" s="401">
        <f>+SUMIFS('Dados Mercado'!C:C,'Dados Mercado'!$A:$A,$B244)</f>
        <v>897411</v>
      </c>
      <c r="D244" s="402">
        <f>+SUMIFS('Dados Mercado'!D:D,'Dados Mercado'!$A:$A,$B244)</f>
        <v>809536</v>
      </c>
      <c r="E244" s="404">
        <f>+SUMIFS('Dados Mercado'!E:E,'Dados Mercado'!$A:$A,$B244)</f>
        <v>87875</v>
      </c>
      <c r="F244" s="367"/>
      <c r="G244" s="401" t="s">
        <v>160</v>
      </c>
      <c r="H244" s="403" t="s">
        <v>160</v>
      </c>
      <c r="I244" s="449" t="s">
        <v>160</v>
      </c>
      <c r="J244" s="367"/>
      <c r="K244" s="405">
        <f>+SUMIFS('Dados Mercado'!K:K,'Dados Mercado'!$A:$A,$B244)</f>
        <v>731858</v>
      </c>
      <c r="L244" s="404">
        <f>+SUMIFS('Dados Mercado'!L:L,'Dados Mercado'!$A:$A,$B244)</f>
        <v>168864</v>
      </c>
      <c r="M244" s="367"/>
      <c r="N244" s="405" t="s">
        <v>160</v>
      </c>
      <c r="O244" s="404" t="s">
        <v>160</v>
      </c>
      <c r="P244" s="367"/>
      <c r="Q244" s="405" t="s">
        <v>160</v>
      </c>
      <c r="R244" s="404" t="s">
        <v>160</v>
      </c>
      <c r="S244" s="367"/>
      <c r="T244" s="405" t="s">
        <v>160</v>
      </c>
      <c r="U244" s="402" t="s">
        <v>160</v>
      </c>
      <c r="V244" s="402" t="s">
        <v>160</v>
      </c>
      <c r="W244" s="402" t="s">
        <v>160</v>
      </c>
      <c r="X244" s="402" t="s">
        <v>160</v>
      </c>
      <c r="Y244" s="402" t="s">
        <v>160</v>
      </c>
      <c r="Z244" s="402" t="s">
        <v>160</v>
      </c>
      <c r="AA244" s="402"/>
      <c r="AB244" s="404" t="s">
        <v>160</v>
      </c>
      <c r="AC244" s="367"/>
      <c r="AD244" s="445" t="s">
        <v>55</v>
      </c>
      <c r="AE244" s="446" t="s">
        <v>160</v>
      </c>
      <c r="AF244" s="447" t="s">
        <v>160</v>
      </c>
      <c r="AG244" s="447" t="s">
        <v>160</v>
      </c>
      <c r="AH244" s="447" t="s">
        <v>160</v>
      </c>
      <c r="AI244" s="447" t="s">
        <v>160</v>
      </c>
      <c r="AJ244" s="447" t="s">
        <v>160</v>
      </c>
      <c r="AK244" s="447" t="s">
        <v>160</v>
      </c>
      <c r="AL244" s="661" t="s">
        <v>160</v>
      </c>
      <c r="AM244" s="448" t="s">
        <v>160</v>
      </c>
      <c r="AN244" s="367"/>
      <c r="AO244" s="442" t="s">
        <v>160</v>
      </c>
      <c r="AP244" s="443" t="s">
        <v>160</v>
      </c>
      <c r="AQ244" s="443" t="s">
        <v>160</v>
      </c>
      <c r="AR244" s="443" t="s">
        <v>160</v>
      </c>
      <c r="AS244" s="444" t="s">
        <v>160</v>
      </c>
      <c r="AT244" s="364"/>
      <c r="AU244" s="442" t="s">
        <v>160</v>
      </c>
      <c r="AV244" s="443" t="s">
        <v>160</v>
      </c>
      <c r="AW244" s="443" t="s">
        <v>160</v>
      </c>
      <c r="AX244" s="443" t="s">
        <v>160</v>
      </c>
      <c r="AY244" s="444" t="s">
        <v>160</v>
      </c>
      <c r="AZ244" s="364"/>
      <c r="BA244" s="408">
        <f t="shared" si="137"/>
        <v>0.12007110669009562</v>
      </c>
      <c r="BB244" s="409">
        <f t="shared" si="138"/>
        <v>0.20859356470867263</v>
      </c>
    </row>
    <row r="245" spans="1:54" ht="12.75" customHeight="1" outlineLevel="1" x14ac:dyDescent="0.2">
      <c r="A245" s="364"/>
      <c r="B245" s="438" t="s">
        <v>71</v>
      </c>
      <c r="C245" s="401">
        <f>+SUMIFS('Dados Mercado'!C:C,'Dados Mercado'!$A:$A,$B245)</f>
        <v>908290</v>
      </c>
      <c r="D245" s="402">
        <f>+SUMIFS('Dados Mercado'!D:D,'Dados Mercado'!$A:$A,$B245)</f>
        <v>822561</v>
      </c>
      <c r="E245" s="404">
        <f>+SUMIFS('Dados Mercado'!E:E,'Dados Mercado'!$A:$A,$B245)</f>
        <v>85729</v>
      </c>
      <c r="F245" s="367"/>
      <c r="G245" s="401" t="s">
        <v>160</v>
      </c>
      <c r="H245" s="403" t="s">
        <v>160</v>
      </c>
      <c r="I245" s="449" t="s">
        <v>160</v>
      </c>
      <c r="J245" s="367"/>
      <c r="K245" s="405">
        <f>+SUMIFS('Dados Mercado'!K:K,'Dados Mercado'!$A:$A,$B245)</f>
        <v>773464</v>
      </c>
      <c r="L245" s="404">
        <f>+SUMIFS('Dados Mercado'!L:L,'Dados Mercado'!$A:$A,$B245)</f>
        <v>142411</v>
      </c>
      <c r="M245" s="367"/>
      <c r="N245" s="405" t="s">
        <v>160</v>
      </c>
      <c r="O245" s="404" t="s">
        <v>160</v>
      </c>
      <c r="P245" s="367"/>
      <c r="Q245" s="405" t="s">
        <v>160</v>
      </c>
      <c r="R245" s="404" t="s">
        <v>160</v>
      </c>
      <c r="S245" s="367"/>
      <c r="T245" s="405" t="s">
        <v>160</v>
      </c>
      <c r="U245" s="402" t="s">
        <v>160</v>
      </c>
      <c r="V245" s="402" t="s">
        <v>160</v>
      </c>
      <c r="W245" s="402" t="s">
        <v>160</v>
      </c>
      <c r="X245" s="402" t="s">
        <v>160</v>
      </c>
      <c r="Y245" s="402" t="s">
        <v>160</v>
      </c>
      <c r="Z245" s="402" t="s">
        <v>160</v>
      </c>
      <c r="AA245" s="402"/>
      <c r="AB245" s="404" t="s">
        <v>160</v>
      </c>
      <c r="AC245" s="367"/>
      <c r="AD245" s="438" t="s">
        <v>71</v>
      </c>
      <c r="AE245" s="446" t="s">
        <v>160</v>
      </c>
      <c r="AF245" s="447" t="s">
        <v>160</v>
      </c>
      <c r="AG245" s="447" t="s">
        <v>160</v>
      </c>
      <c r="AH245" s="447" t="s">
        <v>160</v>
      </c>
      <c r="AI245" s="447" t="s">
        <v>160</v>
      </c>
      <c r="AJ245" s="447" t="s">
        <v>160</v>
      </c>
      <c r="AK245" s="447" t="s">
        <v>160</v>
      </c>
      <c r="AL245" s="661" t="s">
        <v>160</v>
      </c>
      <c r="AM245" s="448" t="s">
        <v>160</v>
      </c>
      <c r="AN245" s="367"/>
      <c r="AO245" s="442" t="s">
        <v>160</v>
      </c>
      <c r="AP245" s="443" t="s">
        <v>160</v>
      </c>
      <c r="AQ245" s="443" t="s">
        <v>160</v>
      </c>
      <c r="AR245" s="443" t="s">
        <v>160</v>
      </c>
      <c r="AS245" s="444" t="s">
        <v>160</v>
      </c>
      <c r="AT245" s="364"/>
      <c r="AU245" s="442" t="s">
        <v>160</v>
      </c>
      <c r="AV245" s="443" t="s">
        <v>160</v>
      </c>
      <c r="AW245" s="443" t="s">
        <v>160</v>
      </c>
      <c r="AX245" s="443" t="s">
        <v>160</v>
      </c>
      <c r="AY245" s="444" t="s">
        <v>160</v>
      </c>
      <c r="AZ245" s="364"/>
      <c r="BA245" s="408">
        <f t="shared" si="137"/>
        <v>0.11083773776155063</v>
      </c>
      <c r="BB245" s="409">
        <f t="shared" si="138"/>
        <v>0.17313123282042303</v>
      </c>
    </row>
    <row r="246" spans="1:54" ht="12.75" customHeight="1" outlineLevel="1" x14ac:dyDescent="0.2">
      <c r="A246" s="364"/>
      <c r="B246" s="445" t="s">
        <v>77</v>
      </c>
      <c r="C246" s="401">
        <f>+SUMIFS('Dados Mercado'!C:C,'Dados Mercado'!$A:$A,$B246)</f>
        <v>993627</v>
      </c>
      <c r="D246" s="402">
        <f>+SUMIFS('Dados Mercado'!D:D,'Dados Mercado'!$A:$A,$B246)</f>
        <v>925955</v>
      </c>
      <c r="E246" s="404">
        <f>+SUMIFS('Dados Mercado'!E:E,'Dados Mercado'!$A:$A,$B246)</f>
        <v>67672</v>
      </c>
      <c r="F246" s="367"/>
      <c r="G246" s="401" t="s">
        <v>160</v>
      </c>
      <c r="H246" s="403" t="s">
        <v>160</v>
      </c>
      <c r="I246" s="449" t="s">
        <v>160</v>
      </c>
      <c r="J246" s="367"/>
      <c r="K246" s="405">
        <f>+SUMIFS('Dados Mercado'!K:K,'Dados Mercado'!$A:$A,$B246)</f>
        <v>729168</v>
      </c>
      <c r="L246" s="404">
        <f>+SUMIFS('Dados Mercado'!L:L,'Dados Mercado'!$A:$A,$B246)</f>
        <v>149528</v>
      </c>
      <c r="M246" s="367"/>
      <c r="N246" s="405">
        <f>+SUMIFS('Dados Mercado'!N:N,'Dados Mercado'!$A:$A,$B246)</f>
        <v>97562.124400000001</v>
      </c>
      <c r="O246" s="404">
        <f>+SUMIFS('Dados Mercado'!O:O,'Dados Mercado'!$A:$A,$B246)</f>
        <v>256436.8756</v>
      </c>
      <c r="P246" s="367"/>
      <c r="Q246" s="405" t="s">
        <v>160</v>
      </c>
      <c r="R246" s="404" t="s">
        <v>160</v>
      </c>
      <c r="S246" s="367"/>
      <c r="T246" s="405" t="s">
        <v>160</v>
      </c>
      <c r="U246" s="402" t="s">
        <v>160</v>
      </c>
      <c r="V246" s="402" t="s">
        <v>160</v>
      </c>
      <c r="W246" s="402" t="s">
        <v>160</v>
      </c>
      <c r="X246" s="402" t="s">
        <v>160</v>
      </c>
      <c r="Y246" s="402" t="s">
        <v>160</v>
      </c>
      <c r="Z246" s="402" t="s">
        <v>160</v>
      </c>
      <c r="AA246" s="402"/>
      <c r="AB246" s="404" t="s">
        <v>160</v>
      </c>
      <c r="AC246" s="367"/>
      <c r="AD246" s="445" t="s">
        <v>77</v>
      </c>
      <c r="AE246" s="446" t="s">
        <v>160</v>
      </c>
      <c r="AF246" s="447" t="s">
        <v>160</v>
      </c>
      <c r="AG246" s="447" t="s">
        <v>160</v>
      </c>
      <c r="AH246" s="447" t="s">
        <v>160</v>
      </c>
      <c r="AI246" s="447" t="s">
        <v>160</v>
      </c>
      <c r="AJ246" s="447" t="s">
        <v>160</v>
      </c>
      <c r="AK246" s="447" t="s">
        <v>160</v>
      </c>
      <c r="AL246" s="661" t="s">
        <v>160</v>
      </c>
      <c r="AM246" s="448" t="s">
        <v>160</v>
      </c>
      <c r="AN246" s="367"/>
      <c r="AO246" s="442" t="s">
        <v>160</v>
      </c>
      <c r="AP246" s="443" t="s">
        <v>160</v>
      </c>
      <c r="AQ246" s="443" t="s">
        <v>160</v>
      </c>
      <c r="AR246" s="443" t="s">
        <v>160</v>
      </c>
      <c r="AS246" s="444" t="s">
        <v>160</v>
      </c>
      <c r="AT246" s="364"/>
      <c r="AU246" s="442" t="s">
        <v>160</v>
      </c>
      <c r="AV246" s="443" t="s">
        <v>160</v>
      </c>
      <c r="AW246" s="443" t="s">
        <v>160</v>
      </c>
      <c r="AX246" s="443" t="s">
        <v>160</v>
      </c>
      <c r="AY246" s="444" t="s">
        <v>160</v>
      </c>
      <c r="AZ246" s="364"/>
      <c r="BA246" s="408">
        <f t="shared" si="137"/>
        <v>9.2807144581221343E-2</v>
      </c>
      <c r="BB246" s="409">
        <f t="shared" si="138"/>
        <v>0.16148516936568191</v>
      </c>
    </row>
    <row r="247" spans="1:54" ht="12.75" customHeight="1" outlineLevel="1" collapsed="1" x14ac:dyDescent="0.2">
      <c r="A247" s="364"/>
      <c r="B247" s="438" t="s">
        <v>87</v>
      </c>
      <c r="C247" s="401">
        <f>+SUMIFS('Dados Mercado'!C:C,'Dados Mercado'!$A:$A,$B247)</f>
        <v>723780</v>
      </c>
      <c r="D247" s="402">
        <f>+SUMIFS('Dados Mercado'!D:D,'Dados Mercado'!$A:$A,$B247)</f>
        <v>649865</v>
      </c>
      <c r="E247" s="404">
        <f>+SUMIFS('Dados Mercado'!E:E,'Dados Mercado'!$A:$A,$B247)</f>
        <v>73915</v>
      </c>
      <c r="F247" s="367"/>
      <c r="G247" s="401" t="s">
        <v>160</v>
      </c>
      <c r="H247" s="403" t="s">
        <v>160</v>
      </c>
      <c r="I247" s="449" t="s">
        <v>160</v>
      </c>
      <c r="J247" s="367"/>
      <c r="K247" s="405">
        <f>+SUMIFS('Dados Mercado'!K:K,'Dados Mercado'!$A:$A,$B247)</f>
        <v>636572</v>
      </c>
      <c r="L247" s="404">
        <f>+SUMIFS('Dados Mercado'!L:L,'Dados Mercado'!$A:$A,$B247)</f>
        <v>97930</v>
      </c>
      <c r="M247" s="367"/>
      <c r="N247" s="405">
        <f>+SUMIFS('Dados Mercado'!N:N,'Dados Mercado'!$A:$A,$B247)</f>
        <v>159042.50770000002</v>
      </c>
      <c r="O247" s="404">
        <f>+SUMIFS('Dados Mercado'!O:O,'Dados Mercado'!$A:$A,$B247)</f>
        <v>490822.49229999998</v>
      </c>
      <c r="P247" s="367"/>
      <c r="Q247" s="405">
        <f>+SUMIFS('Dados Mercado'!Q:Q,'Dados Mercado'!$A:$A,$B247)</f>
        <v>2336194</v>
      </c>
      <c r="R247" s="406">
        <f t="shared" ref="R247:R284" si="139">+Q247/D247</f>
        <v>3.5948912466435337</v>
      </c>
      <c r="S247" s="367"/>
      <c r="T247" s="405" t="s">
        <v>160</v>
      </c>
      <c r="U247" s="402" t="s">
        <v>160</v>
      </c>
      <c r="V247" s="402" t="s">
        <v>160</v>
      </c>
      <c r="W247" s="402" t="s">
        <v>160</v>
      </c>
      <c r="X247" s="402" t="s">
        <v>160</v>
      </c>
      <c r="Y247" s="402" t="s">
        <v>160</v>
      </c>
      <c r="Z247" s="402" t="s">
        <v>160</v>
      </c>
      <c r="AA247" s="402"/>
      <c r="AB247" s="404" t="s">
        <v>160</v>
      </c>
      <c r="AC247" s="367"/>
      <c r="AD247" s="438" t="s">
        <v>87</v>
      </c>
      <c r="AE247" s="446" t="s">
        <v>160</v>
      </c>
      <c r="AF247" s="447" t="s">
        <v>160</v>
      </c>
      <c r="AG247" s="447" t="s">
        <v>160</v>
      </c>
      <c r="AH247" s="447" t="s">
        <v>160</v>
      </c>
      <c r="AI247" s="447" t="s">
        <v>160</v>
      </c>
      <c r="AJ247" s="447" t="s">
        <v>160</v>
      </c>
      <c r="AK247" s="447" t="s">
        <v>160</v>
      </c>
      <c r="AL247" s="661" t="s">
        <v>160</v>
      </c>
      <c r="AM247" s="448" t="s">
        <v>160</v>
      </c>
      <c r="AN247" s="367"/>
      <c r="AO247" s="442" t="s">
        <v>160</v>
      </c>
      <c r="AP247" s="443" t="s">
        <v>160</v>
      </c>
      <c r="AQ247" s="443" t="s">
        <v>160</v>
      </c>
      <c r="AR247" s="443" t="s">
        <v>160</v>
      </c>
      <c r="AS247" s="444" t="s">
        <v>160</v>
      </c>
      <c r="AT247" s="364"/>
      <c r="AU247" s="442" t="s">
        <v>160</v>
      </c>
      <c r="AV247" s="443" t="s">
        <v>160</v>
      </c>
      <c r="AW247" s="443" t="s">
        <v>160</v>
      </c>
      <c r="AX247" s="443" t="s">
        <v>160</v>
      </c>
      <c r="AY247" s="444" t="s">
        <v>160</v>
      </c>
      <c r="AZ247" s="364"/>
      <c r="BA247" s="408">
        <f t="shared" si="137"/>
        <v>0.11611412377547238</v>
      </c>
      <c r="BB247" s="409">
        <f t="shared" si="138"/>
        <v>0.15069283620444246</v>
      </c>
    </row>
    <row r="248" spans="1:54" ht="12.75" customHeight="1" outlineLevel="1" x14ac:dyDescent="0.2">
      <c r="A248" s="364"/>
      <c r="B248" s="445" t="s">
        <v>88</v>
      </c>
      <c r="C248" s="401">
        <f>+SUMIFS('Dados Mercado'!C:C,'Dados Mercado'!$A:$A,$B248)</f>
        <v>733218</v>
      </c>
      <c r="D248" s="402">
        <f>+SUMIFS('Dados Mercado'!D:D,'Dados Mercado'!$A:$A,$B248)</f>
        <v>622134</v>
      </c>
      <c r="E248" s="404">
        <f>+SUMIFS('Dados Mercado'!E:E,'Dados Mercado'!$A:$A,$B248)</f>
        <v>111084</v>
      </c>
      <c r="F248" s="367"/>
      <c r="G248" s="401" t="s">
        <v>160</v>
      </c>
      <c r="H248" s="403" t="s">
        <v>160</v>
      </c>
      <c r="I248" s="449" t="s">
        <v>160</v>
      </c>
      <c r="J248" s="367"/>
      <c r="K248" s="405">
        <f>+SUMIFS('Dados Mercado'!K:K,'Dados Mercado'!$A:$A,$B248)</f>
        <v>597804</v>
      </c>
      <c r="L248" s="404">
        <f>+SUMIFS('Dados Mercado'!L:L,'Dados Mercado'!$A:$A,$B248)</f>
        <v>115028</v>
      </c>
      <c r="M248" s="367"/>
      <c r="N248" s="405">
        <f>+SUMIFS('Dados Mercado'!N:N,'Dados Mercado'!$A:$A,$B248)</f>
        <v>185539.52039999998</v>
      </c>
      <c r="O248" s="404">
        <f>+SUMIFS('Dados Mercado'!O:O,'Dados Mercado'!$A:$A,$B248)</f>
        <v>436594.47960000002</v>
      </c>
      <c r="P248" s="367"/>
      <c r="Q248" s="405">
        <f>+SUMIFS('Dados Mercado'!Q:Q,'Dados Mercado'!$A:$A,$B248)</f>
        <v>2469723</v>
      </c>
      <c r="R248" s="406">
        <f t="shared" si="139"/>
        <v>3.9697605339042714</v>
      </c>
      <c r="S248" s="367"/>
      <c r="T248" s="405" t="s">
        <v>160</v>
      </c>
      <c r="U248" s="402" t="s">
        <v>160</v>
      </c>
      <c r="V248" s="402" t="s">
        <v>160</v>
      </c>
      <c r="W248" s="402" t="s">
        <v>160</v>
      </c>
      <c r="X248" s="402" t="s">
        <v>160</v>
      </c>
      <c r="Y248" s="402" t="s">
        <v>160</v>
      </c>
      <c r="Z248" s="402" t="s">
        <v>160</v>
      </c>
      <c r="AA248" s="402"/>
      <c r="AB248" s="404" t="s">
        <v>160</v>
      </c>
      <c r="AC248" s="367"/>
      <c r="AD248" s="445" t="s">
        <v>88</v>
      </c>
      <c r="AE248" s="446" t="s">
        <v>160</v>
      </c>
      <c r="AF248" s="447" t="s">
        <v>160</v>
      </c>
      <c r="AG248" s="447" t="s">
        <v>160</v>
      </c>
      <c r="AH248" s="447" t="s">
        <v>160</v>
      </c>
      <c r="AI248" s="447" t="s">
        <v>160</v>
      </c>
      <c r="AJ248" s="447" t="s">
        <v>160</v>
      </c>
      <c r="AK248" s="447" t="s">
        <v>160</v>
      </c>
      <c r="AL248" s="661" t="s">
        <v>160</v>
      </c>
      <c r="AM248" s="448" t="s">
        <v>160</v>
      </c>
      <c r="AN248" s="367"/>
      <c r="AO248" s="442" t="s">
        <v>160</v>
      </c>
      <c r="AP248" s="443" t="s">
        <v>160</v>
      </c>
      <c r="AQ248" s="443" t="s">
        <v>160</v>
      </c>
      <c r="AR248" s="443" t="s">
        <v>160</v>
      </c>
      <c r="AS248" s="444" t="s">
        <v>160</v>
      </c>
      <c r="AT248" s="364"/>
      <c r="AU248" s="442" t="s">
        <v>160</v>
      </c>
      <c r="AV248" s="443" t="s">
        <v>160</v>
      </c>
      <c r="AW248" s="443" t="s">
        <v>160</v>
      </c>
      <c r="AX248" s="443" t="s">
        <v>160</v>
      </c>
      <c r="AY248" s="444" t="s">
        <v>160</v>
      </c>
      <c r="AZ248" s="364"/>
      <c r="BA248" s="408">
        <f t="shared" si="137"/>
        <v>0.18582010157175261</v>
      </c>
      <c r="BB248" s="409">
        <f t="shared" si="138"/>
        <v>0.18489264370698275</v>
      </c>
    </row>
    <row r="249" spans="1:54" ht="12.75" customHeight="1" outlineLevel="1" x14ac:dyDescent="0.2">
      <c r="A249" s="364"/>
      <c r="B249" s="438" t="s">
        <v>378</v>
      </c>
      <c r="C249" s="401">
        <f>+SUMIFS('Dados Mercado'!C:C,'Dados Mercado'!$A:$A,$B249)</f>
        <v>701746</v>
      </c>
      <c r="D249" s="402">
        <f>+SUMIFS('Dados Mercado'!D:D,'Dados Mercado'!$A:$A,$B249)</f>
        <v>612651</v>
      </c>
      <c r="E249" s="404">
        <f>+SUMIFS('Dados Mercado'!E:E,'Dados Mercado'!$A:$A,$B249)</f>
        <v>89095</v>
      </c>
      <c r="F249" s="367"/>
      <c r="G249" s="401" t="s">
        <v>160</v>
      </c>
      <c r="H249" s="403" t="s">
        <v>160</v>
      </c>
      <c r="I249" s="449" t="s">
        <v>160</v>
      </c>
      <c r="J249" s="367"/>
      <c r="K249" s="405">
        <f>+SUMIFS('Dados Mercado'!K:K,'Dados Mercado'!$A:$A,$B249)</f>
        <v>594004</v>
      </c>
      <c r="L249" s="404">
        <f>+SUMIFS('Dados Mercado'!L:L,'Dados Mercado'!$A:$A,$B249)</f>
        <v>100687</v>
      </c>
      <c r="M249" s="367"/>
      <c r="N249" s="405">
        <f>+SUMIFS('Dados Mercado'!N:N,'Dados Mercado'!$A:$A,$B249)</f>
        <v>184548.44500000001</v>
      </c>
      <c r="O249" s="404">
        <f>+SUMIFS('Dados Mercado'!O:O,'Dados Mercado'!$A:$A,$B249)</f>
        <v>428102.55500000005</v>
      </c>
      <c r="P249" s="367"/>
      <c r="Q249" s="405">
        <f>+SUMIFS('Dados Mercado'!Q:Q,'Dados Mercado'!$A:$A,$B249)</f>
        <v>2670649</v>
      </c>
      <c r="R249" s="406">
        <f t="shared" si="139"/>
        <v>4.359168596803074</v>
      </c>
      <c r="S249" s="367"/>
      <c r="T249" s="405" t="s">
        <v>160</v>
      </c>
      <c r="U249" s="402" t="s">
        <v>160</v>
      </c>
      <c r="V249" s="402" t="s">
        <v>160</v>
      </c>
      <c r="W249" s="402" t="s">
        <v>160</v>
      </c>
      <c r="X249" s="402" t="s">
        <v>160</v>
      </c>
      <c r="Y249" s="402" t="s">
        <v>160</v>
      </c>
      <c r="Z249" s="402" t="s">
        <v>160</v>
      </c>
      <c r="AA249" s="402"/>
      <c r="AB249" s="404" t="s">
        <v>160</v>
      </c>
      <c r="AC249" s="367"/>
      <c r="AD249" s="438" t="s">
        <v>378</v>
      </c>
      <c r="AE249" s="446" t="s">
        <v>160</v>
      </c>
      <c r="AF249" s="447" t="s">
        <v>160</v>
      </c>
      <c r="AG249" s="447" t="s">
        <v>160</v>
      </c>
      <c r="AH249" s="447" t="s">
        <v>160</v>
      </c>
      <c r="AI249" s="447" t="s">
        <v>160</v>
      </c>
      <c r="AJ249" s="447" t="s">
        <v>160</v>
      </c>
      <c r="AK249" s="447" t="s">
        <v>160</v>
      </c>
      <c r="AL249" s="661" t="s">
        <v>160</v>
      </c>
      <c r="AM249" s="448" t="s">
        <v>160</v>
      </c>
      <c r="AN249" s="367"/>
      <c r="AO249" s="442" t="s">
        <v>160</v>
      </c>
      <c r="AP249" s="443" t="s">
        <v>160</v>
      </c>
      <c r="AQ249" s="443" t="s">
        <v>160</v>
      </c>
      <c r="AR249" s="443" t="s">
        <v>160</v>
      </c>
      <c r="AS249" s="444" t="s">
        <v>160</v>
      </c>
      <c r="AT249" s="364"/>
      <c r="AU249" s="442" t="s">
        <v>160</v>
      </c>
      <c r="AV249" s="443" t="s">
        <v>160</v>
      </c>
      <c r="AW249" s="443" t="s">
        <v>160</v>
      </c>
      <c r="AX249" s="443" t="s">
        <v>160</v>
      </c>
      <c r="AY249" s="444" t="s">
        <v>160</v>
      </c>
      <c r="AZ249" s="364"/>
      <c r="BA249" s="408">
        <f t="shared" si="137"/>
        <v>0.14999057245405756</v>
      </c>
      <c r="BB249" s="409">
        <f t="shared" si="138"/>
        <v>0.16434642235138766</v>
      </c>
    </row>
    <row r="250" spans="1:54" ht="12.75" customHeight="1" outlineLevel="1" x14ac:dyDescent="0.2">
      <c r="A250" s="364"/>
      <c r="B250" s="445" t="s">
        <v>406</v>
      </c>
      <c r="C250" s="401">
        <f>+SUMIFS('Dados Mercado'!C:C,'Dados Mercado'!$A:$A,$B250)</f>
        <v>710808</v>
      </c>
      <c r="D250" s="402">
        <f>+SUMIFS('Dados Mercado'!D:D,'Dados Mercado'!$A:$A,$B250)</f>
        <v>595879</v>
      </c>
      <c r="E250" s="404">
        <f>+SUMIFS('Dados Mercado'!E:E,'Dados Mercado'!$A:$A,$B250)</f>
        <v>114929</v>
      </c>
      <c r="F250" s="367"/>
      <c r="G250" s="401" t="s">
        <v>160</v>
      </c>
      <c r="H250" s="403" t="s">
        <v>160</v>
      </c>
      <c r="I250" s="449" t="s">
        <v>160</v>
      </c>
      <c r="J250" s="367"/>
      <c r="K250" s="405">
        <f>+SUMIFS('Dados Mercado'!K:K,'Dados Mercado'!$A:$A,$B250)</f>
        <v>505481</v>
      </c>
      <c r="L250" s="404">
        <f>+SUMIFS('Dados Mercado'!L:L,'Dados Mercado'!$A:$A,$B250)</f>
        <v>79225</v>
      </c>
      <c r="M250" s="367"/>
      <c r="N250" s="405">
        <f>+SUMIFS('Dados Mercado'!N:N,'Dados Mercado'!$A:$A,$B250)</f>
        <v>185914.24800000002</v>
      </c>
      <c r="O250" s="404">
        <f>+SUMIFS('Dados Mercado'!O:O,'Dados Mercado'!$A:$A,$B250)</f>
        <v>409964.75199999998</v>
      </c>
      <c r="P250" s="367"/>
      <c r="Q250" s="405">
        <f>+SUMIFS('Dados Mercado'!Q:Q,'Dados Mercado'!$A:$A,$B250)</f>
        <v>2511144</v>
      </c>
      <c r="R250" s="406">
        <f t="shared" si="139"/>
        <v>4.2141844233476933</v>
      </c>
      <c r="S250" s="367"/>
      <c r="T250" s="405" t="s">
        <v>160</v>
      </c>
      <c r="U250" s="402" t="s">
        <v>160</v>
      </c>
      <c r="V250" s="402" t="s">
        <v>160</v>
      </c>
      <c r="W250" s="402" t="s">
        <v>160</v>
      </c>
      <c r="X250" s="402" t="s">
        <v>160</v>
      </c>
      <c r="Y250" s="402" t="s">
        <v>160</v>
      </c>
      <c r="Z250" s="402" t="s">
        <v>160</v>
      </c>
      <c r="AA250" s="402"/>
      <c r="AB250" s="404" t="s">
        <v>160</v>
      </c>
      <c r="AC250" s="367"/>
      <c r="AD250" s="445" t="s">
        <v>406</v>
      </c>
      <c r="AE250" s="446" t="s">
        <v>160</v>
      </c>
      <c r="AF250" s="447" t="s">
        <v>160</v>
      </c>
      <c r="AG250" s="447" t="s">
        <v>160</v>
      </c>
      <c r="AH250" s="447" t="s">
        <v>160</v>
      </c>
      <c r="AI250" s="447" t="s">
        <v>160</v>
      </c>
      <c r="AJ250" s="447" t="s">
        <v>160</v>
      </c>
      <c r="AK250" s="447" t="s">
        <v>160</v>
      </c>
      <c r="AL250" s="661" t="s">
        <v>160</v>
      </c>
      <c r="AM250" s="448" t="s">
        <v>160</v>
      </c>
      <c r="AN250" s="367"/>
      <c r="AO250" s="442" t="s">
        <v>160</v>
      </c>
      <c r="AP250" s="443" t="s">
        <v>160</v>
      </c>
      <c r="AQ250" s="443" t="s">
        <v>160</v>
      </c>
      <c r="AR250" s="443" t="s">
        <v>160</v>
      </c>
      <c r="AS250" s="444" t="s">
        <v>160</v>
      </c>
      <c r="AT250" s="364"/>
      <c r="AU250" s="442" t="s">
        <v>160</v>
      </c>
      <c r="AV250" s="443" t="s">
        <v>160</v>
      </c>
      <c r="AW250" s="443" t="s">
        <v>160</v>
      </c>
      <c r="AX250" s="443" t="s">
        <v>160</v>
      </c>
      <c r="AY250" s="444" t="s">
        <v>160</v>
      </c>
      <c r="AZ250" s="364"/>
      <c r="BA250" s="408">
        <f t="shared" si="137"/>
        <v>0.22736561809444866</v>
      </c>
      <c r="BB250" s="409">
        <f t="shared" si="138"/>
        <v>0.13295484485944295</v>
      </c>
    </row>
    <row r="251" spans="1:54" ht="12.75" customHeight="1" outlineLevel="1" x14ac:dyDescent="0.2">
      <c r="A251" s="364"/>
      <c r="B251" s="438" t="s">
        <v>467</v>
      </c>
      <c r="C251" s="401">
        <f>+SUMIFS('Dados Mercado'!C:C,'Dados Mercado'!$A:$A,$B251)</f>
        <v>561591</v>
      </c>
      <c r="D251" s="402">
        <f>+SUMIFS('Dados Mercado'!D:D,'Dados Mercado'!$A:$A,$B251)</f>
        <v>465480</v>
      </c>
      <c r="E251" s="404">
        <f>+SUMIFS('Dados Mercado'!E:E,'Dados Mercado'!$A:$A,$B251)</f>
        <v>96111</v>
      </c>
      <c r="F251" s="367"/>
      <c r="G251" s="401" t="s">
        <v>160</v>
      </c>
      <c r="H251" s="403" t="s">
        <v>160</v>
      </c>
      <c r="I251" s="449" t="s">
        <v>160</v>
      </c>
      <c r="J251" s="367"/>
      <c r="K251" s="405">
        <f>+SUMIFS('Dados Mercado'!K:K,'Dados Mercado'!$A:$A,$B251)</f>
        <v>472231</v>
      </c>
      <c r="L251" s="404">
        <f>+SUMIFS('Dados Mercado'!L:L,'Dados Mercado'!$A:$A,$B251)</f>
        <v>47176</v>
      </c>
      <c r="M251" s="367"/>
      <c r="N251" s="405">
        <f>+SUMIFS('Dados Mercado'!N:N,'Dados Mercado'!$A:$A,$B251)</f>
        <v>124630.35070000001</v>
      </c>
      <c r="O251" s="404">
        <f>+SUMIFS('Dados Mercado'!O:O,'Dados Mercado'!$A:$A,$B251)</f>
        <v>340849.64929999999</v>
      </c>
      <c r="P251" s="367"/>
      <c r="Q251" s="405">
        <f>+SUMIFS('Dados Mercado'!Q:Q,'Dados Mercado'!$A:$A,$B251)</f>
        <v>2209169</v>
      </c>
      <c r="R251" s="406">
        <f t="shared" si="139"/>
        <v>4.746001976454413</v>
      </c>
      <c r="S251" s="367"/>
      <c r="T251" s="405">
        <f>+SUMIFS('Dados Mercado'!T:T,'Dados Mercado'!$A:$A,$B251)</f>
        <v>75820</v>
      </c>
      <c r="U251" s="402">
        <f>+SUMIFS('Dados Mercado'!U:U,'Dados Mercado'!$A:$A,$B251)</f>
        <v>63233</v>
      </c>
      <c r="V251" s="402">
        <f>+SUMIFS('Dados Mercado'!V:V,'Dados Mercado'!$A:$A,$B251)</f>
        <v>83909</v>
      </c>
      <c r="W251" s="402">
        <f>+SUMIFS('Dados Mercado'!W:W,'Dados Mercado'!$A:$A,$B251)</f>
        <v>41503</v>
      </c>
      <c r="X251" s="402">
        <f>+SUMIFS('Dados Mercado'!X:X,'Dados Mercado'!$A:$A,$B251)</f>
        <v>45321</v>
      </c>
      <c r="Y251" s="402">
        <f>+SUMIFS('Dados Mercado'!Y:Y,'Dados Mercado'!$A:$A,$B251)</f>
        <v>39755</v>
      </c>
      <c r="Z251" s="402">
        <f>+SUMIFS('Dados Mercado'!Z:Z,'Dados Mercado'!$A:$A,$B251)</f>
        <v>31306</v>
      </c>
      <c r="AA251" s="402">
        <f>+SUMIFS('Dados Mercado'!AA:AA,'Dados Mercado'!$A:$A,$B251)</f>
        <v>0</v>
      </c>
      <c r="AB251" s="404">
        <f>+SUMIFS('Dados Mercado'!AB:AB,'Dados Mercado'!$A:$A,$B251)</f>
        <v>84634</v>
      </c>
      <c r="AC251" s="367"/>
      <c r="AD251" s="438" t="s">
        <v>467</v>
      </c>
      <c r="AE251" s="446">
        <f t="shared" ref="AE251:AE284" si="140">+T251/SUM($T251:$AB251)</f>
        <v>0.16288527351277496</v>
      </c>
      <c r="AF251" s="447">
        <f t="shared" ref="AF251:AF284" si="141">+U251/SUM($T251:$AB251)</f>
        <v>0.13584442759210366</v>
      </c>
      <c r="AG251" s="447">
        <f t="shared" ref="AG251:AG284" si="142">+V251/SUM($T251:$AB251)</f>
        <v>0.18026299677108196</v>
      </c>
      <c r="AH251" s="447">
        <f t="shared" ref="AH251:AH284" si="143">+W251/SUM($T251:$AB251)</f>
        <v>8.9161533983127136E-2</v>
      </c>
      <c r="AI251" s="447">
        <f t="shared" ref="AI251:AI284" si="144">+X251/SUM($T251:$AB251)</f>
        <v>9.7363802174524852E-2</v>
      </c>
      <c r="AJ251" s="447">
        <f t="shared" ref="AJ251:AJ284" si="145">+Y251/SUM($T251:$AB251)</f>
        <v>8.5406278666583596E-2</v>
      </c>
      <c r="AK251" s="447">
        <f t="shared" ref="AK251:AL284" si="146">+Z251/SUM($T251:$AB251)</f>
        <v>6.7255161864823693E-2</v>
      </c>
      <c r="AL251" s="661" t="s">
        <v>160</v>
      </c>
      <c r="AM251" s="448">
        <f t="shared" ref="AM251:AM284" si="147">+AB251/SUM($T251:$AB251)</f>
        <v>0.18182052543498017</v>
      </c>
      <c r="AN251" s="367"/>
      <c r="AO251" s="451">
        <f>+SUMIFS('Dados Mercado'!AO:AO,'Dados Mercado'!$A:$A,$B251)</f>
        <v>23463.405899999998</v>
      </c>
      <c r="AP251" s="450">
        <f>+SUMIFS('Dados Mercado'!AP:AP,'Dados Mercado'!$A:$A,$B251)</f>
        <v>75576.250500000009</v>
      </c>
      <c r="AQ251" s="450">
        <f>+SUMIFS('Dados Mercado'!AQ:AQ,'Dados Mercado'!$A:$A,$B251)</f>
        <v>47559.897900000004</v>
      </c>
      <c r="AR251" s="450">
        <f>+SUMIFS('Dados Mercado'!AR:AR,'Dados Mercado'!$A:$A,$B251)</f>
        <v>230881.66509999998</v>
      </c>
      <c r="AS251" s="452">
        <f>+SUMIFS('Dados Mercado'!AS:AS,'Dados Mercado'!$A:$A,$B251)</f>
        <v>88031.102799999993</v>
      </c>
      <c r="AT251" s="364"/>
      <c r="AU251" s="408">
        <f t="shared" ref="AU251:AU257" si="148">+AO251/SUM($AO251:$AS251)</f>
        <v>5.040340455245633E-2</v>
      </c>
      <c r="AV251" s="410">
        <f t="shared" ref="AV251:AV257" si="149">+AP251/SUM($AO251:$AS251)</f>
        <v>0.16235069813582695</v>
      </c>
      <c r="AW251" s="410">
        <f t="shared" ref="AW251:AY257" si="150">+AQ251/SUM($AO251:$AS251)</f>
        <v>0.10216678620929533</v>
      </c>
      <c r="AX251" s="410">
        <f t="shared" si="150"/>
        <v>0.49597326233784489</v>
      </c>
      <c r="AY251" s="409">
        <f t="shared" si="150"/>
        <v>0.18910584876457648</v>
      </c>
      <c r="AZ251" s="364"/>
      <c r="BA251" s="408">
        <f t="shared" si="137"/>
        <v>0.20352539329268937</v>
      </c>
      <c r="BB251" s="409">
        <f t="shared" si="138"/>
        <v>0.10134914496863452</v>
      </c>
    </row>
    <row r="252" spans="1:54" ht="12.75" customHeight="1" x14ac:dyDescent="0.2">
      <c r="A252" s="364"/>
      <c r="B252" s="445" t="s">
        <v>501</v>
      </c>
      <c r="C252" s="401">
        <f>+SUMIFS('Dados Mercado'!C:C,'Dados Mercado'!$A:$A,$B252)</f>
        <v>614396</v>
      </c>
      <c r="D252" s="402">
        <f>+SUMIFS('Dados Mercado'!D:D,'Dados Mercado'!$A:$A,$B252)</f>
        <v>486784</v>
      </c>
      <c r="E252" s="404">
        <f>+SUMIFS('Dados Mercado'!E:E,'Dados Mercado'!$A:$A,$B252)</f>
        <v>127612</v>
      </c>
      <c r="F252" s="367"/>
      <c r="G252" s="401" t="s">
        <v>160</v>
      </c>
      <c r="H252" s="403" t="s">
        <v>160</v>
      </c>
      <c r="I252" s="449" t="s">
        <v>160</v>
      </c>
      <c r="J252" s="367"/>
      <c r="K252" s="405">
        <f>+SUMIFS('Dados Mercado'!K:K,'Dados Mercado'!$A:$A,$B252)</f>
        <v>512160</v>
      </c>
      <c r="L252" s="404">
        <f>+SUMIFS('Dados Mercado'!L:L,'Dados Mercado'!$A:$A,$B252)</f>
        <v>68996</v>
      </c>
      <c r="M252" s="367"/>
      <c r="N252" s="405">
        <f>+SUMIFS('Dados Mercado'!N:N,'Dados Mercado'!$A:$A,$B252)</f>
        <v>169650.54520000002</v>
      </c>
      <c r="O252" s="404">
        <f>+SUMIFS('Dados Mercado'!O:O,'Dados Mercado'!$A:$A,$B252)</f>
        <v>317133.45479999995</v>
      </c>
      <c r="P252" s="367"/>
      <c r="Q252" s="405">
        <f>+SUMIFS('Dados Mercado'!Q:Q,'Dados Mercado'!$A:$A,$B252)</f>
        <v>2404821</v>
      </c>
      <c r="R252" s="406">
        <f t="shared" si="139"/>
        <v>4.9402219464896131</v>
      </c>
      <c r="S252" s="367"/>
      <c r="T252" s="405">
        <f>+SUMIFS('Dados Mercado'!T:T,'Dados Mercado'!$A:$A,$B252)</f>
        <v>81708</v>
      </c>
      <c r="U252" s="402">
        <f>+SUMIFS('Dados Mercado'!U:U,'Dados Mercado'!$A:$A,$B252)</f>
        <v>63542</v>
      </c>
      <c r="V252" s="402">
        <f>+SUMIFS('Dados Mercado'!V:V,'Dados Mercado'!$A:$A,$B252)</f>
        <v>86801</v>
      </c>
      <c r="W252" s="402">
        <f>+SUMIFS('Dados Mercado'!W:W,'Dados Mercado'!$A:$A,$B252)</f>
        <v>44172</v>
      </c>
      <c r="X252" s="402">
        <f>+SUMIFS('Dados Mercado'!X:X,'Dados Mercado'!$A:$A,$B252)</f>
        <v>49266</v>
      </c>
      <c r="Y252" s="402">
        <f>+SUMIFS('Dados Mercado'!Y:Y,'Dados Mercado'!$A:$A,$B252)</f>
        <v>41730</v>
      </c>
      <c r="Z252" s="402">
        <f>+SUMIFS('Dados Mercado'!Z:Z,'Dados Mercado'!$A:$A,$B252)</f>
        <v>31404</v>
      </c>
      <c r="AA252" s="402">
        <f>+SUMIFS('Dados Mercado'!AA:AA,'Dados Mercado'!$A:$A,$B252)</f>
        <v>0</v>
      </c>
      <c r="AB252" s="404">
        <f>+SUMIFS('Dados Mercado'!AB:AB,'Dados Mercado'!$A:$A,$B252)</f>
        <v>88161</v>
      </c>
      <c r="AC252" s="367"/>
      <c r="AD252" s="445" t="s">
        <v>501</v>
      </c>
      <c r="AE252" s="660">
        <f t="shared" si="140"/>
        <v>0.1678526820930844</v>
      </c>
      <c r="AF252" s="447">
        <f t="shared" si="141"/>
        <v>0.13053428214567447</v>
      </c>
      <c r="AG252" s="447">
        <f t="shared" si="142"/>
        <v>0.17831522810938732</v>
      </c>
      <c r="AH252" s="447">
        <f t="shared" si="143"/>
        <v>9.0742505916381805E-2</v>
      </c>
      <c r="AI252" s="447">
        <f t="shared" si="144"/>
        <v>0.10120710623192217</v>
      </c>
      <c r="AJ252" s="447">
        <f t="shared" si="145"/>
        <v>8.5725907178543254E-2</v>
      </c>
      <c r="AK252" s="447">
        <f t="shared" si="146"/>
        <v>6.451321325269524E-2</v>
      </c>
      <c r="AL252" s="661" t="s">
        <v>160</v>
      </c>
      <c r="AM252" s="448">
        <f t="shared" si="147"/>
        <v>0.18110907507231133</v>
      </c>
      <c r="AN252" s="367"/>
      <c r="AO252" s="451">
        <f>+SUMIFS('Dados Mercado'!AO:AO,'Dados Mercado'!$A:$A,$B252)</f>
        <v>23458.888500000001</v>
      </c>
      <c r="AP252" s="450">
        <f>+SUMIFS('Dados Mercado'!AP:AP,'Dados Mercado'!$A:$A,$B252)</f>
        <v>76641.592699999994</v>
      </c>
      <c r="AQ252" s="450">
        <f>+SUMIFS('Dados Mercado'!AQ:AQ,'Dados Mercado'!$A:$A,$B252)</f>
        <v>45036.698499999999</v>
      </c>
      <c r="AR252" s="450">
        <f>+SUMIFS('Dados Mercado'!AR:AR,'Dados Mercado'!$A:$A,$B252)</f>
        <v>252037.3316</v>
      </c>
      <c r="AS252" s="452">
        <f>+SUMIFS('Dados Mercado'!AS:AS,'Dados Mercado'!$A:$A,$B252)</f>
        <v>89593.253900000011</v>
      </c>
      <c r="AT252" s="364"/>
      <c r="AU252" s="408">
        <f t="shared" si="148"/>
        <v>4.8193184054333101E-2</v>
      </c>
      <c r="AV252" s="410">
        <f t="shared" si="149"/>
        <v>0.15745001657722751</v>
      </c>
      <c r="AW252" s="410">
        <f t="shared" si="150"/>
        <v>9.2521941097507984E-2</v>
      </c>
      <c r="AX252" s="410">
        <f t="shared" si="150"/>
        <v>0.5177773665773544</v>
      </c>
      <c r="AY252" s="409">
        <f t="shared" si="150"/>
        <v>0.18405749169357694</v>
      </c>
      <c r="AZ252" s="364"/>
      <c r="BA252" s="408">
        <f t="shared" si="137"/>
        <v>0.24916432364885974</v>
      </c>
      <c r="BB252" s="409">
        <f t="shared" si="138"/>
        <v>0.14173843018669471</v>
      </c>
    </row>
    <row r="253" spans="1:54" ht="12.75" customHeight="1" x14ac:dyDescent="0.2">
      <c r="A253" s="364"/>
      <c r="B253" s="438" t="s">
        <v>511</v>
      </c>
      <c r="C253" s="401">
        <f>+SUMIFS('Dados Mercado'!C:C,'Dados Mercado'!$A:$A,$B253)</f>
        <v>626083</v>
      </c>
      <c r="D253" s="402">
        <f>+SUMIFS('Dados Mercado'!D:D,'Dados Mercado'!$A:$A,$B253)</f>
        <v>508363</v>
      </c>
      <c r="E253" s="404">
        <f>+SUMIFS('Dados Mercado'!E:E,'Dados Mercado'!$A:$A,$B253)</f>
        <v>117720</v>
      </c>
      <c r="F253" s="367"/>
      <c r="G253" s="401" t="s">
        <v>160</v>
      </c>
      <c r="H253" s="403" t="s">
        <v>160</v>
      </c>
      <c r="I253" s="449" t="s">
        <v>160</v>
      </c>
      <c r="J253" s="367"/>
      <c r="K253" s="405">
        <f>+SUMIFS('Dados Mercado'!K:K,'Dados Mercado'!$A:$A,$B253)</f>
        <v>519229</v>
      </c>
      <c r="L253" s="404">
        <f>+SUMIFS('Dados Mercado'!L:L,'Dados Mercado'!$A:$A,$B253)</f>
        <v>57824</v>
      </c>
      <c r="M253" s="367"/>
      <c r="N253" s="405">
        <f>+SUMIFS('Dados Mercado'!N:N,'Dados Mercado'!$A:$A,$B253)</f>
        <v>184111.1422</v>
      </c>
      <c r="O253" s="404">
        <f>+SUMIFS('Dados Mercado'!O:O,'Dados Mercado'!$A:$A,$B253)</f>
        <v>324251.8578</v>
      </c>
      <c r="P253" s="367"/>
      <c r="Q253" s="405">
        <f>+SUMIFS('Dados Mercado'!Q:Q,'Dados Mercado'!$A:$A,$B253)</f>
        <v>2708730</v>
      </c>
      <c r="R253" s="406">
        <f t="shared" si="139"/>
        <v>5.3283382150156484</v>
      </c>
      <c r="S253" s="367"/>
      <c r="T253" s="405">
        <f>+SUMIFS('Dados Mercado'!T:T,'Dados Mercado'!$A:$A,$B253)</f>
        <v>88573</v>
      </c>
      <c r="U253" s="402">
        <f>+SUMIFS('Dados Mercado'!U:U,'Dados Mercado'!$A:$A,$B253)</f>
        <v>51954</v>
      </c>
      <c r="V253" s="402">
        <f>+SUMIFS('Dados Mercado'!V:V,'Dados Mercado'!$A:$A,$B253)</f>
        <v>94284</v>
      </c>
      <c r="W253" s="402">
        <f>+SUMIFS('Dados Mercado'!W:W,'Dados Mercado'!$A:$A,$B253)</f>
        <v>48568</v>
      </c>
      <c r="X253" s="402">
        <f>+SUMIFS('Dados Mercado'!X:X,'Dados Mercado'!$A:$A,$B253)</f>
        <v>57505</v>
      </c>
      <c r="Y253" s="402">
        <f>+SUMIFS('Dados Mercado'!Y:Y,'Dados Mercado'!$A:$A,$B253)</f>
        <v>41905</v>
      </c>
      <c r="Z253" s="402">
        <f>+SUMIFS('Dados Mercado'!Z:Z,'Dados Mercado'!$A:$A,$B253)</f>
        <v>27800</v>
      </c>
      <c r="AA253" s="402">
        <f>+SUMIFS('Dados Mercado'!AA:AA,'Dados Mercado'!$A:$A,$B253)</f>
        <v>0</v>
      </c>
      <c r="AB253" s="404">
        <f>+SUMIFS('Dados Mercado'!AB:AB,'Dados Mercado'!$A:$A,$B253)</f>
        <v>97774</v>
      </c>
      <c r="AC253" s="367"/>
      <c r="AD253" s="438" t="s">
        <v>511</v>
      </c>
      <c r="AE253" s="660">
        <f t="shared" si="140"/>
        <v>0.17423179893107876</v>
      </c>
      <c r="AF253" s="447">
        <f t="shared" si="141"/>
        <v>0.10219862578511811</v>
      </c>
      <c r="AG253" s="447">
        <f t="shared" si="142"/>
        <v>0.18546589740008615</v>
      </c>
      <c r="AH253" s="447">
        <f t="shared" si="143"/>
        <v>9.5538030895246109E-2</v>
      </c>
      <c r="AI253" s="447">
        <f t="shared" si="144"/>
        <v>0.11311798852394844</v>
      </c>
      <c r="AJ253" s="447">
        <f t="shared" si="145"/>
        <v>8.243125483168523E-2</v>
      </c>
      <c r="AK253" s="447">
        <f t="shared" si="146"/>
        <v>5.4685333118263915E-2</v>
      </c>
      <c r="AL253" s="661" t="s">
        <v>160</v>
      </c>
      <c r="AM253" s="448">
        <f t="shared" si="147"/>
        <v>0.19233107051457324</v>
      </c>
      <c r="AN253" s="367"/>
      <c r="AO253" s="451">
        <f>+SUMIFS('Dados Mercado'!AO:AO,'Dados Mercado'!$A:$A,$B253)</f>
        <v>22884.958299999998</v>
      </c>
      <c r="AP253" s="450">
        <f>+SUMIFS('Dados Mercado'!AP:AP,'Dados Mercado'!$A:$A,$B253)</f>
        <v>75811.770900000003</v>
      </c>
      <c r="AQ253" s="450">
        <f>+SUMIFS('Dados Mercado'!AQ:AQ,'Dados Mercado'!$A:$A,$B253)</f>
        <v>47239.7736</v>
      </c>
      <c r="AR253" s="450">
        <f>+SUMIFS('Dados Mercado'!AR:AR,'Dados Mercado'!$A:$A,$B253)</f>
        <v>270430.53339999996</v>
      </c>
      <c r="AS253" s="452">
        <f>+SUMIFS('Dados Mercado'!AS:AS,'Dados Mercado'!$A:$A,$B253)</f>
        <v>91995.638600000006</v>
      </c>
      <c r="AT253" s="364"/>
      <c r="AU253" s="408">
        <f t="shared" si="148"/>
        <v>4.5016991676274029E-2</v>
      </c>
      <c r="AV253" s="410">
        <f t="shared" si="149"/>
        <v>0.14912930208699107</v>
      </c>
      <c r="AW253" s="410">
        <f t="shared" si="150"/>
        <v>9.292533842809185E-2</v>
      </c>
      <c r="AX253" s="410">
        <f t="shared" si="150"/>
        <v>0.53196378649630938</v>
      </c>
      <c r="AY253" s="409">
        <f t="shared" si="150"/>
        <v>0.18096458131233362</v>
      </c>
      <c r="AZ253" s="364"/>
      <c r="BA253" s="408">
        <f t="shared" si="137"/>
        <v>0.22672077253003972</v>
      </c>
      <c r="BB253" s="409">
        <f t="shared" si="138"/>
        <v>0.11374549288598895</v>
      </c>
    </row>
    <row r="254" spans="1:54" ht="12.75" customHeight="1" x14ac:dyDescent="0.2">
      <c r="A254" s="364"/>
      <c r="B254" s="445" t="s">
        <v>538</v>
      </c>
      <c r="C254" s="401">
        <f>+SUMIFS('Dados Mercado'!C:C,'Dados Mercado'!$A:$A,$B254)</f>
        <v>675579</v>
      </c>
      <c r="D254" s="402">
        <f>+SUMIFS('Dados Mercado'!D:D,'Dados Mercado'!$A:$A,$B254)</f>
        <v>527966</v>
      </c>
      <c r="E254" s="404">
        <f>+SUMIFS('Dados Mercado'!E:E,'Dados Mercado'!$A:$A,$B254)</f>
        <v>147613</v>
      </c>
      <c r="F254" s="367"/>
      <c r="G254" s="401" t="s">
        <v>160</v>
      </c>
      <c r="H254" s="403" t="s">
        <v>160</v>
      </c>
      <c r="I254" s="449" t="s">
        <v>160</v>
      </c>
      <c r="J254" s="367"/>
      <c r="K254" s="405">
        <f>+SUMIFS('Dados Mercado'!K:K,'Dados Mercado'!$A:$A,$B254)</f>
        <v>573549</v>
      </c>
      <c r="L254" s="404">
        <f>+SUMIFS('Dados Mercado'!L:L,'Dados Mercado'!$A:$A,$B254)</f>
        <v>63087</v>
      </c>
      <c r="M254" s="367"/>
      <c r="N254" s="405">
        <f>+SUMIFS('Dados Mercado'!N:N,'Dados Mercado'!$A:$A,$B254)</f>
        <v>197530.5699</v>
      </c>
      <c r="O254" s="404">
        <f>+SUMIFS('Dados Mercado'!O:O,'Dados Mercado'!$A:$A,$B254)</f>
        <v>330435.4301</v>
      </c>
      <c r="P254" s="367"/>
      <c r="Q254" s="405">
        <f>+SUMIFS('Dados Mercado'!Q:Q,'Dados Mercado'!$A:$A,$B254)</f>
        <v>2686047</v>
      </c>
      <c r="R254" s="406">
        <f t="shared" si="139"/>
        <v>5.0875378338756665</v>
      </c>
      <c r="S254" s="367"/>
      <c r="T254" s="405">
        <f>+SUMIFS('Dados Mercado'!T:T,'Dados Mercado'!$A:$A,$B254)</f>
        <v>99780</v>
      </c>
      <c r="U254" s="402">
        <f>+SUMIFS('Dados Mercado'!U:U,'Dados Mercado'!$A:$A,$B254)</f>
        <v>49744</v>
      </c>
      <c r="V254" s="402">
        <f>+SUMIFS('Dados Mercado'!V:V,'Dados Mercado'!$A:$A,$B254)</f>
        <v>99873</v>
      </c>
      <c r="W254" s="402">
        <f>+SUMIFS('Dados Mercado'!W:W,'Dados Mercado'!$A:$A,$B254)</f>
        <v>46645</v>
      </c>
      <c r="X254" s="402">
        <f>+SUMIFS('Dados Mercado'!X:X,'Dados Mercado'!$A:$A,$B254)</f>
        <v>58788</v>
      </c>
      <c r="Y254" s="402">
        <f>+SUMIFS('Dados Mercado'!Y:Y,'Dados Mercado'!$A:$A,$B254)</f>
        <v>48595</v>
      </c>
      <c r="Z254" s="402">
        <f>+SUMIFS('Dados Mercado'!Z:Z,'Dados Mercado'!$A:$A,$B254)</f>
        <v>32041</v>
      </c>
      <c r="AA254" s="402">
        <f>+SUMIFS('Dados Mercado'!AA:AA,'Dados Mercado'!$A:$A,$B254)</f>
        <v>0</v>
      </c>
      <c r="AB254" s="404">
        <f>+SUMIFS('Dados Mercado'!AB:AB,'Dados Mercado'!$A:$A,$B254)</f>
        <v>92502</v>
      </c>
      <c r="AC254" s="367"/>
      <c r="AD254" s="445" t="s">
        <v>538</v>
      </c>
      <c r="AE254" s="660">
        <f t="shared" si="140"/>
        <v>0.18898872658949029</v>
      </c>
      <c r="AF254" s="447">
        <f t="shared" si="141"/>
        <v>9.4217831383720224E-2</v>
      </c>
      <c r="AG254" s="447">
        <f t="shared" si="142"/>
        <v>0.18916487362870477</v>
      </c>
      <c r="AH254" s="447">
        <f t="shared" si="143"/>
        <v>8.8348157464088736E-2</v>
      </c>
      <c r="AI254" s="447">
        <f t="shared" si="144"/>
        <v>0.11134765743378387</v>
      </c>
      <c r="AJ254" s="447">
        <f t="shared" si="145"/>
        <v>9.2041563125037876E-2</v>
      </c>
      <c r="AK254" s="447">
        <f t="shared" si="146"/>
        <v>6.0687390144857266E-2</v>
      </c>
      <c r="AL254" s="661" t="s">
        <v>160</v>
      </c>
      <c r="AM254" s="448">
        <f t="shared" si="147"/>
        <v>0.17520380023031698</v>
      </c>
      <c r="AN254" s="367"/>
      <c r="AO254" s="451">
        <f>+SUMIFS('Dados Mercado'!AO:AO,'Dados Mercado'!$A:$A,$B254)</f>
        <v>23215.357100000001</v>
      </c>
      <c r="AP254" s="450">
        <f>+SUMIFS('Dados Mercado'!AP:AP,'Dados Mercado'!$A:$A,$B254)</f>
        <v>78815.560900000011</v>
      </c>
      <c r="AQ254" s="450">
        <f>+SUMIFS('Dados Mercado'!AQ:AQ,'Dados Mercado'!$A:$A,$B254)</f>
        <v>47004.1829</v>
      </c>
      <c r="AR254" s="450">
        <f>+SUMIFS('Dados Mercado'!AR:AR,'Dados Mercado'!$A:$A,$B254)</f>
        <v>283079.00790000003</v>
      </c>
      <c r="AS254" s="452">
        <f>+SUMIFS('Dados Mercado'!AS:AS,'Dados Mercado'!$A:$A,$B254)</f>
        <v>95854.437699999995</v>
      </c>
      <c r="AT254" s="364"/>
      <c r="AU254" s="408">
        <f t="shared" si="148"/>
        <v>4.3971098759384139E-2</v>
      </c>
      <c r="AV254" s="410">
        <f t="shared" si="149"/>
        <v>0.1492807884531811</v>
      </c>
      <c r="AW254" s="410">
        <f t="shared" si="150"/>
        <v>8.9028377185723123E-2</v>
      </c>
      <c r="AX254" s="410">
        <f t="shared" si="150"/>
        <v>0.53616642464135877</v>
      </c>
      <c r="AY254" s="409">
        <f t="shared" si="150"/>
        <v>0.18155331096035279</v>
      </c>
      <c r="AZ254" s="364"/>
      <c r="BA254" s="408">
        <f t="shared" si="137"/>
        <v>0.25736772272290598</v>
      </c>
      <c r="BB254" s="409">
        <f t="shared" si="138"/>
        <v>0.11949064901906563</v>
      </c>
    </row>
    <row r="255" spans="1:54" ht="12.75" customHeight="1" x14ac:dyDescent="0.2">
      <c r="A255" s="364"/>
      <c r="B255" s="438" t="s">
        <v>567</v>
      </c>
      <c r="C255" s="401">
        <f>+SUMIFS('Dados Mercado'!C:C,'Dados Mercado'!$A:$A,$B255)</f>
        <v>626085</v>
      </c>
      <c r="D255" s="402">
        <f>+SUMIFS('Dados Mercado'!D:D,'Dados Mercado'!$A:$A,$B255)</f>
        <v>460582</v>
      </c>
      <c r="E255" s="404">
        <f>+SUMIFS('Dados Mercado'!E:E,'Dados Mercado'!$A:$A,$B255)</f>
        <v>165503</v>
      </c>
      <c r="F255" s="367"/>
      <c r="G255" s="401" t="s">
        <v>160</v>
      </c>
      <c r="H255" s="403" t="s">
        <v>160</v>
      </c>
      <c r="I255" s="449" t="s">
        <v>160</v>
      </c>
      <c r="J255" s="367"/>
      <c r="K255" s="405">
        <f>+SUMIFS('Dados Mercado'!K:K,'Dados Mercado'!$A:$A,$B255)</f>
        <v>597846</v>
      </c>
      <c r="L255" s="404">
        <f>+SUMIFS('Dados Mercado'!L:L,'Dados Mercado'!$A:$A,$B255)</f>
        <v>51686</v>
      </c>
      <c r="M255" s="367"/>
      <c r="N255" s="405">
        <f>+SUMIFS('Dados Mercado'!N:N,'Dados Mercado'!$A:$A,$B255)</f>
        <v>159631.45870000002</v>
      </c>
      <c r="O255" s="404">
        <f>+SUMIFS('Dados Mercado'!O:O,'Dados Mercado'!$A:$A,$B255)</f>
        <v>300949.54129999998</v>
      </c>
      <c r="P255" s="367"/>
      <c r="Q255" s="405">
        <f>+SUMIFS('Dados Mercado'!Q:Q,'Dados Mercado'!$A:$A,$B255)</f>
        <v>2428537</v>
      </c>
      <c r="R255" s="406">
        <f t="shared" si="139"/>
        <v>5.2727570769157284</v>
      </c>
      <c r="S255" s="367"/>
      <c r="T255" s="405">
        <f>+SUMIFS('Dados Mercado'!T:T,'Dados Mercado'!$A:$A,$B255)</f>
        <v>81872</v>
      </c>
      <c r="U255" s="402">
        <f>+SUMIFS('Dados Mercado'!U:U,'Dados Mercado'!$A:$A,$B255)</f>
        <v>58831</v>
      </c>
      <c r="V255" s="402">
        <f>+SUMIFS('Dados Mercado'!V:V,'Dados Mercado'!$A:$A,$B255)</f>
        <v>81934</v>
      </c>
      <c r="W255" s="402">
        <f>+SUMIFS('Dados Mercado'!W:W,'Dados Mercado'!$A:$A,$B255)</f>
        <v>40744</v>
      </c>
      <c r="X255" s="402">
        <f>+SUMIFS('Dados Mercado'!X:X,'Dados Mercado'!$A:$A,$B255)</f>
        <v>50398</v>
      </c>
      <c r="Y255" s="402">
        <f>+SUMIFS('Dados Mercado'!Y:Y,'Dados Mercado'!$A:$A,$B255)</f>
        <v>39681</v>
      </c>
      <c r="Z255" s="402">
        <f>+SUMIFS('Dados Mercado'!Z:Z,'Dados Mercado'!$A:$A,$B255)</f>
        <v>30116</v>
      </c>
      <c r="AA255" s="402">
        <f>+SUMIFS('Dados Mercado'!AA:AA,'Dados Mercado'!$A:$A,$B255)</f>
        <v>0</v>
      </c>
      <c r="AB255" s="404">
        <f>+SUMIFS('Dados Mercado'!AB:AB,'Dados Mercado'!$A:$A,$B255)</f>
        <v>77004</v>
      </c>
      <c r="AC255" s="367"/>
      <c r="AD255" s="438" t="s">
        <v>567</v>
      </c>
      <c r="AE255" s="660">
        <f t="shared" si="140"/>
        <v>0.17775847844022755</v>
      </c>
      <c r="AF255" s="661">
        <f t="shared" si="141"/>
        <v>0.12773242433453472</v>
      </c>
      <c r="AG255" s="661">
        <f t="shared" si="142"/>
        <v>0.17789309131964046</v>
      </c>
      <c r="AH255" s="661">
        <f t="shared" si="143"/>
        <v>8.846237352902861E-2</v>
      </c>
      <c r="AI255" s="661">
        <f t="shared" si="144"/>
        <v>0.109422901558904</v>
      </c>
      <c r="AJ255" s="661">
        <f t="shared" si="145"/>
        <v>8.6154413999739457E-2</v>
      </c>
      <c r="AK255" s="661">
        <f t="shared" si="146"/>
        <v>6.5387120587085845E-2</v>
      </c>
      <c r="AL255" s="661" t="s">
        <v>160</v>
      </c>
      <c r="AM255" s="662">
        <f t="shared" si="147"/>
        <v>0.16718919623083939</v>
      </c>
      <c r="AN255" s="367"/>
      <c r="AO255" s="451">
        <f>+SUMIFS('Dados Mercado'!AO:AO,'Dados Mercado'!$A:$A,$B255)</f>
        <v>21522.241699999999</v>
      </c>
      <c r="AP255" s="450">
        <f>+SUMIFS('Dados Mercado'!AP:AP,'Dados Mercado'!$A:$A,$B255)</f>
        <v>72265.602799999993</v>
      </c>
      <c r="AQ255" s="450">
        <f>+SUMIFS('Dados Mercado'!AQ:AQ,'Dados Mercado'!$A:$A,$B255)</f>
        <v>45196.327999999994</v>
      </c>
      <c r="AR255" s="450">
        <f>+SUMIFS('Dados Mercado'!AR:AR,'Dados Mercado'!$A:$A,$B255)</f>
        <v>236894.16080000001</v>
      </c>
      <c r="AS255" s="452">
        <f>+SUMIFS('Dados Mercado'!AS:AS,'Dados Mercado'!$A:$A,$B255)</f>
        <v>84701.5524</v>
      </c>
      <c r="AT255" s="364"/>
      <c r="AU255" s="408">
        <f t="shared" si="148"/>
        <v>4.6728574929602057E-2</v>
      </c>
      <c r="AV255" s="410">
        <f t="shared" si="149"/>
        <v>0.15690134337970285</v>
      </c>
      <c r="AW255" s="410">
        <f t="shared" si="150"/>
        <v>9.8129183238884976E-2</v>
      </c>
      <c r="AX255" s="410">
        <f t="shared" si="150"/>
        <v>0.51433891959906752</v>
      </c>
      <c r="AY255" s="409">
        <f t="shared" si="150"/>
        <v>0.18390197885274259</v>
      </c>
      <c r="AZ255" s="364"/>
      <c r="BA255" s="408">
        <f t="shared" si="137"/>
        <v>0.27683216079057149</v>
      </c>
      <c r="BB255" s="409">
        <f t="shared" si="138"/>
        <v>0.11221888827613759</v>
      </c>
    </row>
    <row r="256" spans="1:54" ht="12.75" customHeight="1" x14ac:dyDescent="0.2">
      <c r="A256" s="364"/>
      <c r="B256" s="445" t="s">
        <v>575</v>
      </c>
      <c r="C256" s="401">
        <f>+SUMIFS('Dados Mercado'!C:C,'Dados Mercado'!$A:$A,$B256)</f>
        <v>723137</v>
      </c>
      <c r="D256" s="402">
        <f>+SUMIFS('Dados Mercado'!D:D,'Dados Mercado'!$A:$A,$B256)</f>
        <v>532511</v>
      </c>
      <c r="E256" s="404">
        <f>+SUMIFS('Dados Mercado'!E:E,'Dados Mercado'!$A:$A,$B256)</f>
        <v>190626</v>
      </c>
      <c r="F256" s="367"/>
      <c r="G256" s="401" t="s">
        <v>160</v>
      </c>
      <c r="H256" s="403" t="s">
        <v>160</v>
      </c>
      <c r="I256" s="449" t="s">
        <v>160</v>
      </c>
      <c r="J256" s="367"/>
      <c r="K256" s="405">
        <f>+SUMIFS('Dados Mercado'!K:K,'Dados Mercado'!$A:$A,$B256)</f>
        <v>633657</v>
      </c>
      <c r="L256" s="404">
        <f>+SUMIFS('Dados Mercado'!L:L,'Dados Mercado'!$A:$A,$B256)</f>
        <v>58769</v>
      </c>
      <c r="M256" s="367"/>
      <c r="N256" s="405">
        <f>+SUMIFS('Dados Mercado'!N:N,'Dados Mercado'!$A:$A,$B256)</f>
        <v>220614.28570000001</v>
      </c>
      <c r="O256" s="404">
        <f>+SUMIFS('Dados Mercado'!O:O,'Dados Mercado'!$A:$A,$B256)</f>
        <v>311896.71429999999</v>
      </c>
      <c r="P256" s="367"/>
      <c r="Q256" s="405">
        <f>+SUMIFS('Dados Mercado'!Q:Q,'Dados Mercado'!$A:$A,$B256)</f>
        <v>2641922</v>
      </c>
      <c r="R256" s="406">
        <f t="shared" si="139"/>
        <v>4.9612533825592333</v>
      </c>
      <c r="S256" s="367"/>
      <c r="T256" s="405">
        <f>+SUMIFS('Dados Mercado'!T:T,'Dados Mercado'!$A:$A,$B256)</f>
        <v>93957</v>
      </c>
      <c r="U256" s="402">
        <f>+SUMIFS('Dados Mercado'!U:U,'Dados Mercado'!$A:$A,$B256)</f>
        <v>66105</v>
      </c>
      <c r="V256" s="402">
        <f>+SUMIFS('Dados Mercado'!V:V,'Dados Mercado'!$A:$A,$B256)</f>
        <v>93693</v>
      </c>
      <c r="W256" s="402">
        <f>+SUMIFS('Dados Mercado'!W:W,'Dados Mercado'!$A:$A,$B256)</f>
        <v>47285</v>
      </c>
      <c r="X256" s="402">
        <f>+SUMIFS('Dados Mercado'!X:X,'Dados Mercado'!$A:$A,$B256)</f>
        <v>57168</v>
      </c>
      <c r="Y256" s="402">
        <f>+SUMIFS('Dados Mercado'!Y:Y,'Dados Mercado'!$A:$A,$B256)</f>
        <v>45421</v>
      </c>
      <c r="Z256" s="402">
        <f>+SUMIFS('Dados Mercado'!Z:Z,'Dados Mercado'!$A:$A,$B256)</f>
        <v>34896</v>
      </c>
      <c r="AA256" s="402">
        <f>+SUMIFS('Dados Mercado'!AA:AA,'Dados Mercado'!$A:$A,$B256)</f>
        <v>0</v>
      </c>
      <c r="AB256" s="404">
        <f>+SUMIFS('Dados Mercado'!AB:AB,'Dados Mercado'!$A:$A,$B256)</f>
        <v>93986</v>
      </c>
      <c r="AC256" s="367"/>
      <c r="AD256" s="445" t="s">
        <v>575</v>
      </c>
      <c r="AE256" s="660">
        <f t="shared" si="140"/>
        <v>0.17644142562313267</v>
      </c>
      <c r="AF256" s="661">
        <f t="shared" si="141"/>
        <v>0.12413828071157215</v>
      </c>
      <c r="AG256" s="661">
        <f t="shared" si="142"/>
        <v>0.17594566121638802</v>
      </c>
      <c r="AH256" s="661">
        <f t="shared" si="143"/>
        <v>8.8796287776214955E-2</v>
      </c>
      <c r="AI256" s="661">
        <f t="shared" si="144"/>
        <v>0.10735552880597772</v>
      </c>
      <c r="AJ256" s="661">
        <f t="shared" si="145"/>
        <v>8.5295890601320909E-2</v>
      </c>
      <c r="AK256" s="661">
        <f t="shared" si="146"/>
        <v>6.5531040673338203E-2</v>
      </c>
      <c r="AL256" s="661" t="s">
        <v>160</v>
      </c>
      <c r="AM256" s="662">
        <f t="shared" si="147"/>
        <v>0.17649588459205537</v>
      </c>
      <c r="AN256" s="367"/>
      <c r="AO256" s="451">
        <f>+SUMIFS('Dados Mercado'!AO:AO,'Dados Mercado'!$A:$A,$B256)</f>
        <v>24620.8658</v>
      </c>
      <c r="AP256" s="450">
        <f>+SUMIFS('Dados Mercado'!AP:AP,'Dados Mercado'!$A:$A,$B256)</f>
        <v>79586.48539999999</v>
      </c>
      <c r="AQ256" s="450">
        <f>+SUMIFS('Dados Mercado'!AQ:AQ,'Dados Mercado'!$A:$A,$B256)</f>
        <v>47922.142499999994</v>
      </c>
      <c r="AR256" s="450">
        <f>+SUMIFS('Dados Mercado'!AR:AR,'Dados Mercado'!$A:$A,$B256)</f>
        <v>290340.32530000003</v>
      </c>
      <c r="AS256" s="452">
        <f>+SUMIFS('Dados Mercado'!AS:AS,'Dados Mercado'!$A:$A,$B256)</f>
        <v>90003.193700000003</v>
      </c>
      <c r="AT256" s="364"/>
      <c r="AU256" s="665">
        <f t="shared" si="148"/>
        <v>4.6238711094775446E-2</v>
      </c>
      <c r="AV256" s="666">
        <f t="shared" si="149"/>
        <v>0.14946576352563376</v>
      </c>
      <c r="AW256" s="666">
        <f t="shared" si="150"/>
        <v>8.9999194995821777E-2</v>
      </c>
      <c r="AX256" s="666">
        <f t="shared" si="150"/>
        <v>0.54526768188265029</v>
      </c>
      <c r="AY256" s="407">
        <f t="shared" si="150"/>
        <v>0.16902864850111865</v>
      </c>
      <c r="AZ256" s="364"/>
      <c r="BA256" s="408">
        <f t="shared" si="137"/>
        <v>0.30083467869841257</v>
      </c>
      <c r="BB256" s="409">
        <f t="shared" si="138"/>
        <v>0.1103620394696072</v>
      </c>
    </row>
    <row r="257" spans="1:54" ht="12.75" customHeight="1" x14ac:dyDescent="0.2">
      <c r="A257" s="364"/>
      <c r="B257" s="438" t="s">
        <v>595</v>
      </c>
      <c r="C257" s="401">
        <f>+SUMIFS('Dados Mercado'!C:C,'Dados Mercado'!$A:$A,$B257)</f>
        <v>764893</v>
      </c>
      <c r="D257" s="402">
        <f>+SUMIFS('Dados Mercado'!D:D,'Dados Mercado'!$A:$A,$B257)</f>
        <v>582986</v>
      </c>
      <c r="E257" s="404">
        <f>+SUMIFS('Dados Mercado'!E:E,'Dados Mercado'!$A:$A,$B257)</f>
        <v>181907</v>
      </c>
      <c r="F257" s="367"/>
      <c r="G257" s="401" t="s">
        <v>160</v>
      </c>
      <c r="H257" s="403" t="s">
        <v>160</v>
      </c>
      <c r="I257" s="449" t="s">
        <v>160</v>
      </c>
      <c r="J257" s="367"/>
      <c r="K257" s="405">
        <f>+SUMIFS('Dados Mercado'!K:K,'Dados Mercado'!$A:$A,$B257)</f>
        <v>702748</v>
      </c>
      <c r="L257" s="404">
        <f>+SUMIFS('Dados Mercado'!L:L,'Dados Mercado'!$A:$A,$B257)</f>
        <v>64108</v>
      </c>
      <c r="M257" s="367"/>
      <c r="N257" s="405">
        <f>+SUMIFS('Dados Mercado'!N:N,'Dados Mercado'!$A:$A,$B257)</f>
        <v>239886.503</v>
      </c>
      <c r="O257" s="404">
        <f>+SUMIFS('Dados Mercado'!O:O,'Dados Mercado'!$A:$A,$B257)</f>
        <v>343099.49699999997</v>
      </c>
      <c r="P257" s="367"/>
      <c r="Q257" s="405">
        <f>+SUMIFS('Dados Mercado'!Q:Q,'Dados Mercado'!$A:$A,$B257)</f>
        <v>2868112</v>
      </c>
      <c r="R257" s="406">
        <f t="shared" si="139"/>
        <v>4.9196927541999296</v>
      </c>
      <c r="S257" s="367"/>
      <c r="T257" s="405">
        <f>+SUMIFS('Dados Mercado'!T:T,'Dados Mercado'!$A:$A,$B257)</f>
        <v>107040</v>
      </c>
      <c r="U257" s="402">
        <f>+SUMIFS('Dados Mercado'!U:U,'Dados Mercado'!$A:$A,$B257)</f>
        <v>72247</v>
      </c>
      <c r="V257" s="402">
        <f>+SUMIFS('Dados Mercado'!V:V,'Dados Mercado'!$A:$A,$B257)</f>
        <v>102763</v>
      </c>
      <c r="W257" s="402">
        <f>+SUMIFS('Dados Mercado'!W:W,'Dados Mercado'!$A:$A,$B257)</f>
        <v>50568</v>
      </c>
      <c r="X257" s="402">
        <f>+SUMIFS('Dados Mercado'!X:X,'Dados Mercado'!$A:$A,$B257)</f>
        <v>68972</v>
      </c>
      <c r="Y257" s="402">
        <f>+SUMIFS('Dados Mercado'!Y:Y,'Dados Mercado'!$A:$A,$B257)</f>
        <v>48531</v>
      </c>
      <c r="Z257" s="402">
        <f>+SUMIFS('Dados Mercado'!Z:Z,'Dados Mercado'!$A:$A,$B257)</f>
        <v>31482</v>
      </c>
      <c r="AA257" s="402">
        <f>+SUMIFS('Dados Mercado'!AA:AA,'Dados Mercado'!$A:$A,$B257)</f>
        <v>0</v>
      </c>
      <c r="AB257" s="404">
        <f>+SUMIFS('Dados Mercado'!AB:AB,'Dados Mercado'!$A:$A,$B257)</f>
        <v>101383</v>
      </c>
      <c r="AC257" s="367"/>
      <c r="AD257" s="438" t="s">
        <v>595</v>
      </c>
      <c r="AE257" s="660">
        <f t="shared" si="140"/>
        <v>0.18360646739372816</v>
      </c>
      <c r="AF257" s="661">
        <f t="shared" si="141"/>
        <v>0.12392578895548093</v>
      </c>
      <c r="AG257" s="661">
        <f t="shared" si="142"/>
        <v>0.17627009911044175</v>
      </c>
      <c r="AH257" s="661">
        <f t="shared" si="143"/>
        <v>8.6739647264256772E-2</v>
      </c>
      <c r="AI257" s="661">
        <f t="shared" si="144"/>
        <v>0.11830815834342506</v>
      </c>
      <c r="AJ257" s="661">
        <f t="shared" si="145"/>
        <v>8.3245566788910888E-2</v>
      </c>
      <c r="AK257" s="661">
        <f t="shared" si="146"/>
        <v>5.4001296772135179E-2</v>
      </c>
      <c r="AL257" s="661" t="s">
        <v>160</v>
      </c>
      <c r="AM257" s="662">
        <f t="shared" si="147"/>
        <v>0.17390297537162128</v>
      </c>
      <c r="AN257" s="367"/>
      <c r="AO257" s="451">
        <f>+SUMIFS('Dados Mercado'!AO:AO,'Dados Mercado'!$A:$A,$B257)</f>
        <v>26826.621600000002</v>
      </c>
      <c r="AP257" s="450">
        <f>+SUMIFS('Dados Mercado'!AP:AP,'Dados Mercado'!$A:$A,$B257)</f>
        <v>87796.250800000009</v>
      </c>
      <c r="AQ257" s="450">
        <f>+SUMIFS('Dados Mercado'!AQ:AQ,'Dados Mercado'!$A:$A,$B257)</f>
        <v>50331.436999999998</v>
      </c>
      <c r="AR257" s="450">
        <f>+SUMIFS('Dados Mercado'!AR:AR,'Dados Mercado'!$A:$A,$B257)</f>
        <v>320734.53320000001</v>
      </c>
      <c r="AS257" s="452">
        <f>+SUMIFS('Dados Mercado'!AS:AS,'Dados Mercado'!$A:$A,$B257)</f>
        <v>97235.905199999994</v>
      </c>
      <c r="AT257" s="364"/>
      <c r="AU257" s="665">
        <f t="shared" si="148"/>
        <v>4.6020728578166574E-2</v>
      </c>
      <c r="AV257" s="666">
        <f t="shared" si="149"/>
        <v>0.15061335297797765</v>
      </c>
      <c r="AW257" s="666">
        <f t="shared" si="150"/>
        <v>8.6342940816896974E-2</v>
      </c>
      <c r="AX257" s="666">
        <f t="shared" si="150"/>
        <v>0.55021601743702808</v>
      </c>
      <c r="AY257" s="407">
        <f t="shared" si="150"/>
        <v>0.16680696018993069</v>
      </c>
      <c r="AZ257" s="364"/>
      <c r="BA257" s="408">
        <f t="shared" si="137"/>
        <v>0.25885096791452983</v>
      </c>
      <c r="BB257" s="409">
        <f t="shared" si="138"/>
        <v>0.1099649048176114</v>
      </c>
    </row>
    <row r="258" spans="1:54" ht="12.75" customHeight="1" x14ac:dyDescent="0.2">
      <c r="A258" s="364"/>
      <c r="B258" s="445" t="s">
        <v>596</v>
      </c>
      <c r="C258" s="401">
        <f>+SUMIFS('Dados Mercado'!C:C,'Dados Mercado'!$A:$A,$B258)</f>
        <v>786479</v>
      </c>
      <c r="D258" s="402">
        <f>+SUMIFS('Dados Mercado'!D:D,'Dados Mercado'!$A:$A,$B258)</f>
        <v>599907</v>
      </c>
      <c r="E258" s="404">
        <f>+SUMIFS('Dados Mercado'!E:E,'Dados Mercado'!$A:$A,$B258)</f>
        <v>186572</v>
      </c>
      <c r="F258" s="367"/>
      <c r="G258" s="401" t="s">
        <v>160</v>
      </c>
      <c r="H258" s="403" t="s">
        <v>160</v>
      </c>
      <c r="I258" s="449" t="s">
        <v>160</v>
      </c>
      <c r="J258" s="367"/>
      <c r="K258" s="405">
        <f>+SUMIFS('Dados Mercado'!K:K,'Dados Mercado'!$A:$A,$B258)</f>
        <v>699318</v>
      </c>
      <c r="L258" s="404">
        <f>+SUMIFS('Dados Mercado'!L:L,'Dados Mercado'!$A:$A,$B258)</f>
        <v>67762</v>
      </c>
      <c r="M258" s="367"/>
      <c r="N258" s="405">
        <f>+SUMIFS('Dados Mercado'!N:N,'Dados Mercado'!$A:$A,$B258)</f>
        <v>250035.48109999998</v>
      </c>
      <c r="O258" s="404">
        <f>+SUMIFS('Dados Mercado'!O:O,'Dados Mercado'!$A:$A,$B258)</f>
        <v>349871.51890000002</v>
      </c>
      <c r="P258" s="367"/>
      <c r="Q258" s="405">
        <f>+SUMIFS('Dados Mercado'!Q:Q,'Dados Mercado'!$A:$A,$B258)</f>
        <v>2792191</v>
      </c>
      <c r="R258" s="406">
        <f t="shared" si="139"/>
        <v>4.6543730944963135</v>
      </c>
      <c r="S258" s="367"/>
      <c r="T258" s="405">
        <f>+SUMIFS('Dados Mercado'!T:T,'Dados Mercado'!$A:$A,$B258)</f>
        <v>111285</v>
      </c>
      <c r="U258" s="402">
        <f>+SUMIFS('Dados Mercado'!U:U,'Dados Mercado'!$A:$A,$B258)</f>
        <v>74935</v>
      </c>
      <c r="V258" s="402">
        <f>+SUMIFS('Dados Mercado'!V:V,'Dados Mercado'!$A:$A,$B258)</f>
        <v>101668</v>
      </c>
      <c r="W258" s="402">
        <f>+SUMIFS('Dados Mercado'!W:W,'Dados Mercado'!$A:$A,$B258)</f>
        <v>52077</v>
      </c>
      <c r="X258" s="402">
        <f>+SUMIFS('Dados Mercado'!X:X,'Dados Mercado'!$A:$A,$B258)</f>
        <v>69412</v>
      </c>
      <c r="Y258" s="402">
        <f>+SUMIFS('Dados Mercado'!Y:Y,'Dados Mercado'!$A:$A,$B258)</f>
        <v>49810</v>
      </c>
      <c r="Z258" s="402">
        <f>+SUMIFS('Dados Mercado'!Z:Z,'Dados Mercado'!$A:$A,$B258)</f>
        <v>34602</v>
      </c>
      <c r="AA258" s="402">
        <f>+SUMIFS('Dados Mercado'!AA:AA,'Dados Mercado'!$A:$A,$B258)</f>
        <v>0</v>
      </c>
      <c r="AB258" s="404">
        <f>+SUMIFS('Dados Mercado'!AB:AB,'Dados Mercado'!$A:$A,$B258)</f>
        <v>106118</v>
      </c>
      <c r="AC258" s="367"/>
      <c r="AD258" s="445" t="s">
        <v>596</v>
      </c>
      <c r="AE258" s="660">
        <f t="shared" si="140"/>
        <v>0.18550375308172767</v>
      </c>
      <c r="AF258" s="661">
        <f t="shared" si="141"/>
        <v>0.12491102787598744</v>
      </c>
      <c r="AG258" s="661">
        <f t="shared" si="142"/>
        <v>0.16947293497158727</v>
      </c>
      <c r="AH258" s="661">
        <f t="shared" si="143"/>
        <v>8.6808455310573143E-2</v>
      </c>
      <c r="AI258" s="661">
        <f t="shared" si="144"/>
        <v>0.11570460087980304</v>
      </c>
      <c r="AJ258" s="661">
        <f t="shared" si="145"/>
        <v>8.302953624478461E-2</v>
      </c>
      <c r="AK258" s="661">
        <f t="shared" si="146"/>
        <v>5.7678940235736539E-2</v>
      </c>
      <c r="AL258" s="661" t="s">
        <v>160</v>
      </c>
      <c r="AM258" s="662">
        <f t="shared" si="147"/>
        <v>0.17689075139980029</v>
      </c>
      <c r="AN258" s="367"/>
      <c r="AO258" s="587">
        <f>+SUMIFS('Dados Mercado'!AO:AO,'Dados Mercado'!$A:$A,$B258)</f>
        <v>29744.921443636376</v>
      </c>
      <c r="AP258" s="588">
        <f>+SUMIFS('Dados Mercado'!AP:AP,'Dados Mercado'!$A:$A,$B258)</f>
        <v>91425.672919999997</v>
      </c>
      <c r="AQ258" s="588">
        <f>+SUMIFS('Dados Mercado'!AQ:AQ,'Dados Mercado'!$A:$A,$B258)</f>
        <v>60395.544460000005</v>
      </c>
      <c r="AR258" s="588">
        <f>+SUMIFS('Dados Mercado'!AR:AR,'Dados Mercado'!$A:$A,$B258)</f>
        <v>315537.26326727273</v>
      </c>
      <c r="AS258" s="589">
        <f>+SUMIFS('Dados Mercado'!AS:AS,'Dados Mercado'!$A:$A,$B258)</f>
        <v>103796.20300727271</v>
      </c>
      <c r="AT258" s="364"/>
      <c r="AU258" s="665">
        <f t="shared" ref="AU258:AY261" si="151">+AO258/SUM($AO258:$AS258)</f>
        <v>4.950065067654074E-2</v>
      </c>
      <c r="AV258" s="666">
        <f t="shared" si="151"/>
        <v>0.15214799967302664</v>
      </c>
      <c r="AW258" s="666">
        <f t="shared" si="151"/>
        <v>0.10050854410219141</v>
      </c>
      <c r="AX258" s="666">
        <f t="shared" si="151"/>
        <v>0.525108122205733</v>
      </c>
      <c r="AY258" s="407">
        <f t="shared" si="151"/>
        <v>0.1727346833425083</v>
      </c>
      <c r="AZ258" s="364"/>
      <c r="BA258" s="408">
        <f t="shared" si="137"/>
        <v>0.26679135958176392</v>
      </c>
      <c r="BB258" s="409">
        <f t="shared" si="138"/>
        <v>0.11295417456372404</v>
      </c>
    </row>
    <row r="259" spans="1:54" ht="12.75" customHeight="1" outlineLevel="1" x14ac:dyDescent="0.2">
      <c r="A259" s="364"/>
      <c r="B259" s="438" t="s">
        <v>623</v>
      </c>
      <c r="C259" s="401">
        <f>+SUMIFS('Dados Mercado'!C:C,'Dados Mercado'!$A:$A,$B259)</f>
        <v>698647</v>
      </c>
      <c r="D259" s="402">
        <f>+SUMIFS('Dados Mercado'!D:D,'Dados Mercado'!$A:$A,$B259)</f>
        <v>528244</v>
      </c>
      <c r="E259" s="404">
        <f>+SUMIFS('Dados Mercado'!E:E,'Dados Mercado'!$A:$A,$B259)</f>
        <v>170403</v>
      </c>
      <c r="F259" s="367"/>
      <c r="G259" s="401" t="s">
        <v>160</v>
      </c>
      <c r="H259" s="403" t="s">
        <v>160</v>
      </c>
      <c r="I259" s="449" t="s">
        <v>160</v>
      </c>
      <c r="J259" s="367"/>
      <c r="K259" s="405">
        <f>+SUMIFS('Dados Mercado'!K:K,'Dados Mercado'!$A:$A,$B259)</f>
        <v>668934</v>
      </c>
      <c r="L259" s="404">
        <f>+SUMIFS('Dados Mercado'!L:L,'Dados Mercado'!$A:$A,$B259)</f>
        <v>63509</v>
      </c>
      <c r="M259" s="367"/>
      <c r="N259" s="405">
        <f>+SUMIFS('Dados Mercado'!N:N,'Dados Mercado'!$A:$A,$B259)</f>
        <v>192873.70069999999</v>
      </c>
      <c r="O259" s="404">
        <f>+SUMIFS('Dados Mercado'!O:O,'Dados Mercado'!$A:$A,$B259)</f>
        <v>335370.29930000001</v>
      </c>
      <c r="P259" s="367"/>
      <c r="Q259" s="405">
        <f>+SUMIFS('Dados Mercado'!Q:Q,'Dados Mercado'!$A:$A,$B259)</f>
        <v>2460216</v>
      </c>
      <c r="R259" s="406">
        <f t="shared" si="139"/>
        <v>4.6573477408167436</v>
      </c>
      <c r="S259" s="367"/>
      <c r="T259" s="405">
        <f>+SUMIFS('Dados Mercado'!T:T,'Dados Mercado'!$A:$A,$B259)</f>
        <v>91870</v>
      </c>
      <c r="U259" s="402">
        <f>+SUMIFS('Dados Mercado'!U:U,'Dados Mercado'!$A:$A,$B259)</f>
        <v>77475</v>
      </c>
      <c r="V259" s="402">
        <f>+SUMIFS('Dados Mercado'!V:V,'Dados Mercado'!$A:$A,$B259)</f>
        <v>86093</v>
      </c>
      <c r="W259" s="402">
        <f>+SUMIFS('Dados Mercado'!W:W,'Dados Mercado'!$A:$A,$B259)</f>
        <v>43097</v>
      </c>
      <c r="X259" s="402">
        <f>+SUMIFS('Dados Mercado'!X:X,'Dados Mercado'!$A:$A,$B259)</f>
        <v>63914</v>
      </c>
      <c r="Y259" s="402">
        <f>+SUMIFS('Dados Mercado'!Y:Y,'Dados Mercado'!$A:$A,$B259)</f>
        <v>42394</v>
      </c>
      <c r="Z259" s="402">
        <f>+SUMIFS('Dados Mercado'!Z:Z,'Dados Mercado'!$A:$A,$B259)</f>
        <v>33404</v>
      </c>
      <c r="AA259" s="402">
        <f>+SUMIFS('Dados Mercado'!AA:AA,'Dados Mercado'!$A:$A,$B259)</f>
        <v>0</v>
      </c>
      <c r="AB259" s="404">
        <f>+SUMIFS('Dados Mercado'!AB:AB,'Dados Mercado'!$A:$A,$B259)</f>
        <v>89997</v>
      </c>
      <c r="AC259" s="367"/>
      <c r="AD259" s="445" t="s">
        <v>623</v>
      </c>
      <c r="AE259" s="660">
        <f t="shared" si="140"/>
        <v>0.17391584192153625</v>
      </c>
      <c r="AF259" s="661">
        <f t="shared" si="141"/>
        <v>0.14666517745587265</v>
      </c>
      <c r="AG259" s="661">
        <f t="shared" si="142"/>
        <v>0.16297960790846655</v>
      </c>
      <c r="AH259" s="661">
        <f t="shared" si="143"/>
        <v>8.1585403714949906E-2</v>
      </c>
      <c r="AI259" s="661">
        <f t="shared" si="144"/>
        <v>0.12099332884046009</v>
      </c>
      <c r="AJ259" s="661">
        <f t="shared" si="145"/>
        <v>8.0254579323191549E-2</v>
      </c>
      <c r="AK259" s="661">
        <f t="shared" si="146"/>
        <v>6.3235928851061246E-2</v>
      </c>
      <c r="AL259" s="661" t="s">
        <v>160</v>
      </c>
      <c r="AM259" s="662">
        <f t="shared" si="147"/>
        <v>0.17037013198446171</v>
      </c>
      <c r="AN259" s="367"/>
      <c r="AO259" s="587">
        <f>+SUMIFS('Dados Mercado'!AO:AO,'Dados Mercado'!$A:$A,$B259)</f>
        <v>25656.389379999997</v>
      </c>
      <c r="AP259" s="588">
        <f>+SUMIFS('Dados Mercado'!AP:AP,'Dados Mercado'!$A:$A,$B259)</f>
        <v>79281.734906666679</v>
      </c>
      <c r="AQ259" s="588">
        <f>+SUMIFS('Dados Mercado'!AQ:AQ,'Dados Mercado'!$A:$A,$B259)</f>
        <v>51483.94587333333</v>
      </c>
      <c r="AR259" s="588">
        <f>+SUMIFS('Dados Mercado'!AR:AR,'Dados Mercado'!$A:$A,$B259)</f>
        <v>279279.50524666661</v>
      </c>
      <c r="AS259" s="589">
        <f>+SUMIFS('Dados Mercado'!AS:AS,'Dados Mercado'!$A:$A,$B259)</f>
        <v>93018.203126666602</v>
      </c>
      <c r="AT259" s="364"/>
      <c r="AU259" s="665">
        <f t="shared" si="151"/>
        <v>4.8525495776176049E-2</v>
      </c>
      <c r="AV259" s="666">
        <f t="shared" si="151"/>
        <v>0.14995038605628472</v>
      </c>
      <c r="AW259" s="666">
        <f t="shared" si="151"/>
        <v>9.7374730365014178E-2</v>
      </c>
      <c r="AX259" s="666">
        <f t="shared" si="151"/>
        <v>0.52821838067300408</v>
      </c>
      <c r="AY259" s="407">
        <f t="shared" si="151"/>
        <v>0.17593100712952098</v>
      </c>
      <c r="AZ259" s="364"/>
      <c r="BA259" s="408">
        <f t="shared" ref="BA259:BA282" si="152">+E259/K259</f>
        <v>0.25473813560082159</v>
      </c>
      <c r="BB259" s="409">
        <f t="shared" si="138"/>
        <v>0.12022663769015833</v>
      </c>
    </row>
    <row r="260" spans="1:54" ht="12.75" customHeight="1" outlineLevel="1" x14ac:dyDescent="0.2">
      <c r="A260" s="364"/>
      <c r="B260" s="445" t="s">
        <v>624</v>
      </c>
      <c r="C260" s="401">
        <f>+SUMIFS('Dados Mercado'!C:C,'Dados Mercado'!$A:$A,$B260)</f>
        <v>790431</v>
      </c>
      <c r="D260" s="402">
        <f>+SUMIFS('Dados Mercado'!D:D,'Dados Mercado'!$A:$A,$B260)</f>
        <v>600898</v>
      </c>
      <c r="E260" s="404">
        <f>+SUMIFS('Dados Mercado'!E:E,'Dados Mercado'!$A:$A,$B260)</f>
        <v>189533</v>
      </c>
      <c r="F260" s="367"/>
      <c r="G260" s="401" t="s">
        <v>160</v>
      </c>
      <c r="H260" s="403" t="s">
        <v>160</v>
      </c>
      <c r="I260" s="449" t="s">
        <v>160</v>
      </c>
      <c r="J260" s="367"/>
      <c r="K260" s="405">
        <f>+SUMIFS('Dados Mercado'!K:K,'Dados Mercado'!$A:$A,$B260)</f>
        <v>701967</v>
      </c>
      <c r="L260" s="404">
        <f>+SUMIFS('Dados Mercado'!L:L,'Dados Mercado'!$A:$A,$B260)</f>
        <v>78841</v>
      </c>
      <c r="M260" s="367"/>
      <c r="N260" s="405">
        <f>+SUMIFS('Dados Mercado'!N:N,'Dados Mercado'!$A:$A,$B260)</f>
        <v>260313.20910000001</v>
      </c>
      <c r="O260" s="404">
        <f>+SUMIFS('Dados Mercado'!O:O,'Dados Mercado'!$A:$A,$B260)</f>
        <v>340584.79090000002</v>
      </c>
      <c r="P260" s="367"/>
      <c r="Q260" s="405">
        <f>+SUMIFS('Dados Mercado'!Q:Q,'Dados Mercado'!$A:$A,$B260)</f>
        <v>2650670</v>
      </c>
      <c r="R260" s="406">
        <f t="shared" si="139"/>
        <v>4.4111812653728251</v>
      </c>
      <c r="S260" s="367"/>
      <c r="T260" s="405">
        <f>+SUMIFS('Dados Mercado'!T:T,'Dados Mercado'!$A:$A,$B260)</f>
        <v>98546</v>
      </c>
      <c r="U260" s="402">
        <f>+SUMIFS('Dados Mercado'!U:U,'Dados Mercado'!$A:$A,$B260)</f>
        <v>88868</v>
      </c>
      <c r="V260" s="402">
        <f>+SUMIFS('Dados Mercado'!V:V,'Dados Mercado'!$A:$A,$B260)</f>
        <v>110279</v>
      </c>
      <c r="W260" s="402">
        <f>+SUMIFS('Dados Mercado'!W:W,'Dados Mercado'!$A:$A,$B260)</f>
        <v>47907</v>
      </c>
      <c r="X260" s="402">
        <f>+SUMIFS('Dados Mercado'!X:X,'Dados Mercado'!$A:$A,$B260)</f>
        <v>76520</v>
      </c>
      <c r="Y260" s="402">
        <f>+SUMIFS('Dados Mercado'!Y:Y,'Dados Mercado'!$A:$A,$B260)</f>
        <v>46229</v>
      </c>
      <c r="Z260" s="402">
        <f>+SUMIFS('Dados Mercado'!Z:Z,'Dados Mercado'!$A:$A,$B260)</f>
        <v>31305</v>
      </c>
      <c r="AA260" s="402">
        <f>+SUMIFS('Dados Mercado'!AA:AA,'Dados Mercado'!$A:$A,$B260)</f>
        <v>0</v>
      </c>
      <c r="AB260" s="404">
        <f>+SUMIFS('Dados Mercado'!AB:AB,'Dados Mercado'!$A:$A,$B260)</f>
        <v>101244</v>
      </c>
      <c r="AC260" s="367"/>
      <c r="AD260" s="445" t="s">
        <v>624</v>
      </c>
      <c r="AE260" s="660">
        <f t="shared" si="140"/>
        <v>0.16399788316819161</v>
      </c>
      <c r="AF260" s="661">
        <f t="shared" si="141"/>
        <v>0.14789198832414152</v>
      </c>
      <c r="AG260" s="661">
        <f t="shared" si="142"/>
        <v>0.18352365958948108</v>
      </c>
      <c r="AH260" s="661">
        <f t="shared" si="143"/>
        <v>7.972567723640285E-2</v>
      </c>
      <c r="AI260" s="661">
        <f t="shared" si="144"/>
        <v>0.12734274369360524</v>
      </c>
      <c r="AJ260" s="661">
        <f t="shared" si="145"/>
        <v>7.693318999231151E-2</v>
      </c>
      <c r="AK260" s="661">
        <f t="shared" si="146"/>
        <v>5.2097028114588502E-2</v>
      </c>
      <c r="AL260" s="661" t="s">
        <v>160</v>
      </c>
      <c r="AM260" s="662">
        <f t="shared" si="147"/>
        <v>0.1684878298812777</v>
      </c>
      <c r="AN260" s="367"/>
      <c r="AO260" s="587">
        <f>+SUMIFS('Dados Mercado'!AO:AO,'Dados Mercado'!$A:$A,$B260)</f>
        <v>30896.9185</v>
      </c>
      <c r="AP260" s="588">
        <f>+SUMIFS('Dados Mercado'!AP:AP,'Dados Mercado'!$A:$A,$B260)</f>
        <v>87515.585900000005</v>
      </c>
      <c r="AQ260" s="588">
        <f>+SUMIFS('Dados Mercado'!AQ:AQ,'Dados Mercado'!$A:$A,$B260)</f>
        <v>58791.588000000003</v>
      </c>
      <c r="AR260" s="588">
        <f>+SUMIFS('Dados Mercado'!AR:AR,'Dados Mercado'!$A:$A,$B260)</f>
        <v>319657.3713</v>
      </c>
      <c r="AS260" s="589">
        <f>+SUMIFS('Dados Mercado'!AS:AS,'Dados Mercado'!$A:$A,$B260)</f>
        <v>105228.28719999999</v>
      </c>
      <c r="AT260" s="364"/>
      <c r="AU260" s="665">
        <f t="shared" si="151"/>
        <v>5.1316134270373279E-2</v>
      </c>
      <c r="AV260" s="666">
        <f t="shared" si="151"/>
        <v>0.14535305703042156</v>
      </c>
      <c r="AW260" s="666">
        <f t="shared" si="151"/>
        <v>9.7645887364996173E-2</v>
      </c>
      <c r="AX260" s="666">
        <f t="shared" si="151"/>
        <v>0.5309131584156318</v>
      </c>
      <c r="AY260" s="407">
        <f t="shared" si="151"/>
        <v>0.17477176291857718</v>
      </c>
      <c r="AZ260" s="364"/>
      <c r="BA260" s="408">
        <f t="shared" si="152"/>
        <v>0.27000272092562755</v>
      </c>
      <c r="BB260" s="409">
        <f t="shared" si="138"/>
        <v>0.13120529607354325</v>
      </c>
    </row>
    <row r="261" spans="1:54" ht="12.75" customHeight="1" outlineLevel="1" x14ac:dyDescent="0.2">
      <c r="A261" s="364"/>
      <c r="B261" s="438" t="s">
        <v>625</v>
      </c>
      <c r="C261" s="401">
        <f>+SUMIFS('Dados Mercado'!C:C,'Dados Mercado'!$A:$A,$B261)</f>
        <v>791230</v>
      </c>
      <c r="D261" s="402">
        <f>+SUMIFS('Dados Mercado'!D:D,'Dados Mercado'!$A:$A,$B261)</f>
        <v>653805</v>
      </c>
      <c r="E261" s="404">
        <f>+SUMIFS('Dados Mercado'!E:E,'Dados Mercado'!$A:$A,$B261)</f>
        <v>137425</v>
      </c>
      <c r="F261" s="367"/>
      <c r="G261" s="401" t="s">
        <v>160</v>
      </c>
      <c r="H261" s="403" t="s">
        <v>160</v>
      </c>
      <c r="I261" s="449" t="s">
        <v>160</v>
      </c>
      <c r="J261" s="367"/>
      <c r="K261" s="405">
        <f>+SUMIFS('Dados Mercado'!K:K,'Dados Mercado'!$A:$A,$B261)</f>
        <v>724352</v>
      </c>
      <c r="L261" s="404">
        <f>+SUMIFS('Dados Mercado'!L:L,'Dados Mercado'!$A:$A,$B261)</f>
        <v>83606</v>
      </c>
      <c r="M261" s="367"/>
      <c r="N261" s="405">
        <f>+SUMIFS('Dados Mercado'!N:N,'Dados Mercado'!$A:$A,$B261)</f>
        <v>297863.9436</v>
      </c>
      <c r="O261" s="404">
        <f>+SUMIFS('Dados Mercado'!O:O,'Dados Mercado'!$A:$A,$B261)</f>
        <v>355941.0564</v>
      </c>
      <c r="P261" s="367"/>
      <c r="Q261" s="405">
        <f>+SUMIFS('Dados Mercado'!Q:Q,'Dados Mercado'!$A:$A,$B261)</f>
        <v>2762252</v>
      </c>
      <c r="R261" s="406">
        <f t="shared" si="139"/>
        <v>4.2248866252169988</v>
      </c>
      <c r="S261" s="367"/>
      <c r="T261" s="405">
        <f>+SUMIFS('Dados Mercado'!T:T,'Dados Mercado'!$A:$A,$B261)</f>
        <v>113078</v>
      </c>
      <c r="U261" s="402">
        <f>+SUMIFS('Dados Mercado'!U:U,'Dados Mercado'!$A:$A,$B261)</f>
        <v>96895</v>
      </c>
      <c r="V261" s="402">
        <f>+SUMIFS('Dados Mercado'!V:V,'Dados Mercado'!$A:$A,$B261)</f>
        <v>118597</v>
      </c>
      <c r="W261" s="402">
        <f>+SUMIFS('Dados Mercado'!W:W,'Dados Mercado'!$A:$A,$B261)</f>
        <v>52563</v>
      </c>
      <c r="X261" s="402">
        <f>+SUMIFS('Dados Mercado'!X:X,'Dados Mercado'!$A:$A,$B261)</f>
        <v>83534</v>
      </c>
      <c r="Y261" s="402">
        <f>+SUMIFS('Dados Mercado'!Y:Y,'Dados Mercado'!$A:$A,$B261)</f>
        <v>51834</v>
      </c>
      <c r="Z261" s="402">
        <f>+SUMIFS('Dados Mercado'!Z:Z,'Dados Mercado'!$A:$A,$B261)</f>
        <v>31540</v>
      </c>
      <c r="AA261" s="402">
        <f>+SUMIFS('Dados Mercado'!AA:AA,'Dados Mercado'!$A:$A,$B261)</f>
        <v>0</v>
      </c>
      <c r="AB261" s="404">
        <f>+SUMIFS('Dados Mercado'!AB:AB,'Dados Mercado'!$A:$A,$B261)</f>
        <v>105764</v>
      </c>
      <c r="AC261" s="367"/>
      <c r="AD261" s="445" t="s">
        <v>625</v>
      </c>
      <c r="AE261" s="660">
        <f t="shared" si="140"/>
        <v>0.17295370943935884</v>
      </c>
      <c r="AF261" s="661">
        <f t="shared" si="141"/>
        <v>0.14820168092932909</v>
      </c>
      <c r="AG261" s="661">
        <f t="shared" si="142"/>
        <v>0.18139506427757512</v>
      </c>
      <c r="AH261" s="661">
        <f t="shared" si="143"/>
        <v>8.0395530777525412E-2</v>
      </c>
      <c r="AI261" s="661">
        <f t="shared" si="144"/>
        <v>0.12776592409051629</v>
      </c>
      <c r="AJ261" s="661">
        <f t="shared" si="145"/>
        <v>7.9280519420928258E-2</v>
      </c>
      <c r="AK261" s="661">
        <f t="shared" si="146"/>
        <v>4.8240683384189478E-2</v>
      </c>
      <c r="AL261" s="661" t="s">
        <v>160</v>
      </c>
      <c r="AM261" s="662">
        <f t="shared" si="147"/>
        <v>0.16176688768057754</v>
      </c>
      <c r="AN261" s="367"/>
      <c r="AO261" s="587">
        <f>+SUMIFS('Dados Mercado'!AO:AO,'Dados Mercado'!$A:$A,$B261)</f>
        <v>33002.156600000002</v>
      </c>
      <c r="AP261" s="588">
        <f>+SUMIFS('Dados Mercado'!AP:AP,'Dados Mercado'!$A:$A,$B261)</f>
        <v>94240.852400000003</v>
      </c>
      <c r="AQ261" s="588">
        <f>+SUMIFS('Dados Mercado'!AQ:AQ,'Dados Mercado'!$A:$A,$B261)</f>
        <v>59260.113599999997</v>
      </c>
      <c r="AR261" s="588">
        <f>+SUMIFS('Dados Mercado'!AR:AR,'Dados Mercado'!$A:$A,$B261)</f>
        <v>356986.76019999996</v>
      </c>
      <c r="AS261" s="589">
        <f>+SUMIFS('Dados Mercado'!AS:AS,'Dados Mercado'!$A:$A,$B261)</f>
        <v>111078.38430000001</v>
      </c>
      <c r="AT261" s="364"/>
      <c r="AU261" s="665">
        <f t="shared" si="151"/>
        <v>5.0418204271057608E-2</v>
      </c>
      <c r="AV261" s="666">
        <f t="shared" si="151"/>
        <v>0.14397406219755318</v>
      </c>
      <c r="AW261" s="666">
        <f t="shared" si="151"/>
        <v>9.0533129359518252E-2</v>
      </c>
      <c r="AX261" s="666">
        <f t="shared" si="151"/>
        <v>0.54537743141994111</v>
      </c>
      <c r="AY261" s="407">
        <f t="shared" si="151"/>
        <v>0.16969717275192975</v>
      </c>
      <c r="AZ261" s="364"/>
      <c r="BA261" s="408">
        <f t="shared" si="152"/>
        <v>0.18972129572362609</v>
      </c>
      <c r="BB261" s="409">
        <f t="shared" si="138"/>
        <v>0.12787604866894564</v>
      </c>
    </row>
    <row r="262" spans="1:54" ht="12.75" customHeight="1" outlineLevel="1" x14ac:dyDescent="0.2">
      <c r="A262" s="364"/>
      <c r="B262" s="445" t="s">
        <v>626</v>
      </c>
      <c r="C262" s="401">
        <f>+SUMIFS('Dados Mercado'!C:C,'Dados Mercado'!$A:$A,$B262)</f>
        <v>790462</v>
      </c>
      <c r="D262" s="402">
        <f>+SUMIFS('Dados Mercado'!D:D,'Dados Mercado'!$A:$A,$B262)</f>
        <v>692391</v>
      </c>
      <c r="E262" s="404">
        <f>+SUMIFS('Dados Mercado'!E:E,'Dados Mercado'!$A:$A,$B262)</f>
        <v>98071</v>
      </c>
      <c r="F262" s="367"/>
      <c r="G262" s="401" t="s">
        <v>160</v>
      </c>
      <c r="H262" s="403" t="s">
        <v>160</v>
      </c>
      <c r="I262" s="449" t="s">
        <v>160</v>
      </c>
      <c r="J262" s="367"/>
      <c r="K262" s="405">
        <f>+SUMIFS('Dados Mercado'!K:K,'Dados Mercado'!$A:$A,$B262)</f>
        <v>651695</v>
      </c>
      <c r="L262" s="404">
        <f>+SUMIFS('Dados Mercado'!L:L,'Dados Mercado'!$A:$A,$B262)</f>
        <v>82610</v>
      </c>
      <c r="M262" s="367"/>
      <c r="N262" s="405">
        <f>+SUMIFS('Dados Mercado'!N:N,'Dados Mercado'!$A:$A,$B262)</f>
        <v>312174.47399999993</v>
      </c>
      <c r="O262" s="404">
        <f>+SUMIFS('Dados Mercado'!O:O,'Dados Mercado'!$A:$A,$B262)</f>
        <v>380216.52600000007</v>
      </c>
      <c r="P262" s="367"/>
      <c r="Q262" s="405">
        <f>+SUMIFS('Dados Mercado'!Q:Q,'Dados Mercado'!$A:$A,$B262)</f>
        <v>2817028</v>
      </c>
      <c r="R262" s="406">
        <f t="shared" si="139"/>
        <v>4.0685508621573652</v>
      </c>
      <c r="S262" s="367"/>
      <c r="T262" s="405">
        <f>+SUMIFS('Dados Mercado'!T:T,'Dados Mercado'!$A:$A,$B262)</f>
        <v>130936</v>
      </c>
      <c r="U262" s="402">
        <f>+SUMIFS('Dados Mercado'!U:U,'Dados Mercado'!$A:$A,$B262)</f>
        <v>103675</v>
      </c>
      <c r="V262" s="402">
        <f>+SUMIFS('Dados Mercado'!V:V,'Dados Mercado'!$A:$A,$B262)</f>
        <v>118145</v>
      </c>
      <c r="W262" s="402">
        <f>+SUMIFS('Dados Mercado'!W:W,'Dados Mercado'!$A:$A,$B262)</f>
        <v>57354</v>
      </c>
      <c r="X262" s="402">
        <f>+SUMIFS('Dados Mercado'!X:X,'Dados Mercado'!$A:$A,$B262)</f>
        <v>88362</v>
      </c>
      <c r="Y262" s="402">
        <f>+SUMIFS('Dados Mercado'!Y:Y,'Dados Mercado'!$A:$A,$B262)</f>
        <v>50511</v>
      </c>
      <c r="Z262" s="402">
        <f>+SUMIFS('Dados Mercado'!Z:Z,'Dados Mercado'!$A:$A,$B262)</f>
        <v>35352</v>
      </c>
      <c r="AA262" s="402">
        <f>+SUMIFS('Dados Mercado'!AA:AA,'Dados Mercado'!$A:$A,$B262)</f>
        <v>0</v>
      </c>
      <c r="AB262" s="404">
        <f>+SUMIFS('Dados Mercado'!AB:AB,'Dados Mercado'!$A:$A,$B262)</f>
        <v>108056</v>
      </c>
      <c r="AC262" s="367"/>
      <c r="AD262" s="445" t="s">
        <v>626</v>
      </c>
      <c r="AE262" s="660">
        <f t="shared" si="140"/>
        <v>0.18910702189947587</v>
      </c>
      <c r="AF262" s="661">
        <f t="shared" si="141"/>
        <v>0.14973475969502781</v>
      </c>
      <c r="AG262" s="661">
        <f t="shared" si="142"/>
        <v>0.17063335600838256</v>
      </c>
      <c r="AH262" s="661">
        <f t="shared" si="143"/>
        <v>8.2834698891233419E-2</v>
      </c>
      <c r="AI262" s="661">
        <f t="shared" si="144"/>
        <v>0.12761864322326547</v>
      </c>
      <c r="AJ262" s="661">
        <f t="shared" si="145"/>
        <v>7.2951554829568846E-2</v>
      </c>
      <c r="AK262" s="661">
        <f t="shared" si="146"/>
        <v>5.1057856037990096E-2</v>
      </c>
      <c r="AL262" s="661" t="s">
        <v>160</v>
      </c>
      <c r="AM262" s="662">
        <f t="shared" si="147"/>
        <v>0.15606210941505594</v>
      </c>
      <c r="AN262" s="367"/>
      <c r="AO262" s="587">
        <f>+SUMIFS('Dados Mercado'!AO:AO,'Dados Mercado'!$A:$A,$B262)</f>
        <v>33993.1754</v>
      </c>
      <c r="AP262" s="588">
        <f>+SUMIFS('Dados Mercado'!AP:AP,'Dados Mercado'!$A:$A,$B262)</f>
        <v>97262.226299999995</v>
      </c>
      <c r="AQ262" s="588">
        <f>+SUMIFS('Dados Mercado'!AQ:AQ,'Dados Mercado'!$A:$A,$B262)</f>
        <v>63217.781099999993</v>
      </c>
      <c r="AR262" s="588">
        <f>+SUMIFS('Dados Mercado'!AR:AR,'Dados Mercado'!$A:$A,$B262)</f>
        <v>374421.04989999998</v>
      </c>
      <c r="AS262" s="589">
        <f>+SUMIFS('Dados Mercado'!AS:AS,'Dados Mercado'!$A:$A,$B262)</f>
        <v>123543.46400000001</v>
      </c>
      <c r="AT262" s="364"/>
      <c r="AU262" s="665">
        <f t="shared" ref="AU262:AY263" si="153">+AO262/SUM($AO262:$AS262)</f>
        <v>4.9092034650920532E-2</v>
      </c>
      <c r="AV262" s="666">
        <f t="shared" si="153"/>
        <v>0.14046350561722676</v>
      </c>
      <c r="AW262" s="666">
        <f t="shared" si="153"/>
        <v>9.1297428492529378E-2</v>
      </c>
      <c r="AX262" s="666">
        <f t="shared" si="153"/>
        <v>0.54072886511581508</v>
      </c>
      <c r="AY262" s="407">
        <f t="shared" si="153"/>
        <v>0.17841816612350825</v>
      </c>
      <c r="AZ262" s="364"/>
      <c r="BA262" s="408">
        <f t="shared" si="152"/>
        <v>0.15048604024888942</v>
      </c>
      <c r="BB262" s="409">
        <f t="shared" si="138"/>
        <v>0.11931119844134311</v>
      </c>
    </row>
    <row r="263" spans="1:54" ht="12.75" customHeight="1" outlineLevel="1" x14ac:dyDescent="0.2">
      <c r="A263" s="364"/>
      <c r="B263" s="438" t="s">
        <v>798</v>
      </c>
      <c r="C263" s="401">
        <f>+SUMIFS('Dados Mercado'!C:C,'Dados Mercado'!$A:$A,$B263)</f>
        <v>681419</v>
      </c>
      <c r="D263" s="402">
        <f>+SUMIFS('Dados Mercado'!D:D,'Dados Mercado'!$A:$A,$B263)</f>
        <v>581456</v>
      </c>
      <c r="E263" s="404">
        <f>+SUMIFS('Dados Mercado'!E:E,'Dados Mercado'!$A:$A,$B263)</f>
        <v>99963</v>
      </c>
      <c r="F263" s="367"/>
      <c r="G263" s="401" t="s">
        <v>160</v>
      </c>
      <c r="H263" s="403" t="s">
        <v>160</v>
      </c>
      <c r="I263" s="449" t="s">
        <v>160</v>
      </c>
      <c r="J263" s="367"/>
      <c r="K263" s="405">
        <f>+SUMIFS('Dados Mercado'!K:K,'Dados Mercado'!$A:$A,$B263)</f>
        <v>666970</v>
      </c>
      <c r="L263" s="404">
        <f>+SUMIFS('Dados Mercado'!L:L,'Dados Mercado'!$A:$A,$B263)</f>
        <v>68113</v>
      </c>
      <c r="M263" s="367"/>
      <c r="N263" s="405">
        <f>+SUMIFS('Dados Mercado'!N:N,'Dados Mercado'!$A:$A,$B263)</f>
        <v>246688.43280000001</v>
      </c>
      <c r="O263" s="404">
        <f>+SUMIFS('Dados Mercado'!O:O,'Dados Mercado'!$A:$A,$B263)</f>
        <v>334767.56719999999</v>
      </c>
      <c r="P263" s="367"/>
      <c r="Q263" s="405">
        <f>+SUMIFS('Dados Mercado'!Q:Q,'Dados Mercado'!$A:$A,$B263)</f>
        <v>2479375</v>
      </c>
      <c r="R263" s="406">
        <f t="shared" si="139"/>
        <v>4.2640801711565448</v>
      </c>
      <c r="S263" s="367"/>
      <c r="T263" s="405">
        <f>+SUMIFS('Dados Mercado'!T:T,'Dados Mercado'!$A:$A,$B263)</f>
        <v>106416</v>
      </c>
      <c r="U263" s="402">
        <f>+SUMIFS('Dados Mercado'!U:U,'Dados Mercado'!$A:$A,$B263)</f>
        <v>82288</v>
      </c>
      <c r="V263" s="402">
        <f>+SUMIFS('Dados Mercado'!V:V,'Dados Mercado'!$A:$A,$B263)</f>
        <v>107584</v>
      </c>
      <c r="W263" s="402">
        <f>+SUMIFS('Dados Mercado'!W:W,'Dados Mercado'!$A:$A,$B263)</f>
        <v>47519</v>
      </c>
      <c r="X263" s="402">
        <f>+SUMIFS('Dados Mercado'!X:X,'Dados Mercado'!$A:$A,$B263)</f>
        <v>73557</v>
      </c>
      <c r="Y263" s="402">
        <f>+SUMIFS('Dados Mercado'!Y:Y,'Dados Mercado'!$A:$A,$B263)</f>
        <v>41765</v>
      </c>
      <c r="Z263" s="402">
        <f>+SUMIFS('Dados Mercado'!Z:Z,'Dados Mercado'!$A:$A,$B263)</f>
        <v>31599</v>
      </c>
      <c r="AA263" s="402">
        <f>+SUMIFS('Dados Mercado'!AA:AA,'Dados Mercado'!$A:$A,$B263)</f>
        <v>0</v>
      </c>
      <c r="AB263" s="404">
        <f>+SUMIFS('Dados Mercado'!AB:AB,'Dados Mercado'!$A:$A,$B263)</f>
        <v>90728</v>
      </c>
      <c r="AC263" s="367"/>
      <c r="AD263" s="445" t="s">
        <v>798</v>
      </c>
      <c r="AE263" s="660">
        <f t="shared" si="140"/>
        <v>0.18301642772625959</v>
      </c>
      <c r="AF263" s="661">
        <f t="shared" si="141"/>
        <v>0.14152059657136568</v>
      </c>
      <c r="AG263" s="661">
        <f t="shared" si="142"/>
        <v>0.18502517817341296</v>
      </c>
      <c r="AH263" s="661">
        <f t="shared" si="143"/>
        <v>8.1724154536198787E-2</v>
      </c>
      <c r="AI263" s="661">
        <f t="shared" si="144"/>
        <v>0.12650484301477669</v>
      </c>
      <c r="AJ263" s="661">
        <f t="shared" si="145"/>
        <v>7.1828306871027217E-2</v>
      </c>
      <c r="AK263" s="661">
        <f t="shared" si="146"/>
        <v>5.434461077020445E-2</v>
      </c>
      <c r="AL263" s="661" t="s">
        <v>160</v>
      </c>
      <c r="AM263" s="662">
        <f t="shared" si="147"/>
        <v>0.15603588233675464</v>
      </c>
      <c r="AN263" s="367"/>
      <c r="AO263" s="587">
        <f>+SUMIFS('Dados Mercado'!AO:AO,'Dados Mercado'!$A:$A,$B263)</f>
        <v>28761.853000000003</v>
      </c>
      <c r="AP263" s="588">
        <f>+SUMIFS('Dados Mercado'!AP:AP,'Dados Mercado'!$A:$A,$B263)</f>
        <v>86808.246400000004</v>
      </c>
      <c r="AQ263" s="588">
        <f>+SUMIFS('Dados Mercado'!AQ:AQ,'Dados Mercado'!$A:$A,$B263)</f>
        <v>54327.263800000001</v>
      </c>
      <c r="AR263" s="588">
        <f>+SUMIFS('Dados Mercado'!AR:AR,'Dados Mercado'!$A:$A,$B263)</f>
        <v>315664.69050000003</v>
      </c>
      <c r="AS263" s="589">
        <f>+SUMIFS('Dados Mercado'!AS:AS,'Dados Mercado'!$A:$A,$B263)</f>
        <v>95894.822800000009</v>
      </c>
      <c r="AT263" s="364"/>
      <c r="AU263" s="665">
        <f t="shared" si="153"/>
        <v>4.9465152382629017E-2</v>
      </c>
      <c r="AV263" s="666">
        <f t="shared" si="153"/>
        <v>0.14929438434459721</v>
      </c>
      <c r="AW263" s="666">
        <f t="shared" si="153"/>
        <v>9.343300594708849E-2</v>
      </c>
      <c r="AX263" s="666">
        <f t="shared" si="153"/>
        <v>0.54288581536794334</v>
      </c>
      <c r="AY263" s="407">
        <f t="shared" si="153"/>
        <v>0.164921641957742</v>
      </c>
      <c r="AZ263" s="364"/>
      <c r="BA263" s="408">
        <f t="shared" si="152"/>
        <v>0.1498763062806423</v>
      </c>
      <c r="BB263" s="409">
        <f t="shared" ref="BB263:BB282" si="154">+L263/D263</f>
        <v>0.11714213973198316</v>
      </c>
    </row>
    <row r="264" spans="1:54" ht="12.75" customHeight="1" outlineLevel="1" x14ac:dyDescent="0.2">
      <c r="A264" s="364"/>
      <c r="B264" s="445" t="s">
        <v>799</v>
      </c>
      <c r="C264" s="401">
        <f>+SUMIFS('Dados Mercado'!C:C,'Dados Mercado'!$A:$A,$B264)</f>
        <v>782593</v>
      </c>
      <c r="D264" s="402">
        <f>+SUMIFS('Dados Mercado'!D:D,'Dados Mercado'!$A:$A,$B264)</f>
        <v>670317</v>
      </c>
      <c r="E264" s="404">
        <f>+SUMIFS('Dados Mercado'!E:E,'Dados Mercado'!$A:$A,$B264)</f>
        <v>112276</v>
      </c>
      <c r="F264" s="367"/>
      <c r="G264" s="401" t="s">
        <v>160</v>
      </c>
      <c r="H264" s="403" t="s">
        <v>160</v>
      </c>
      <c r="I264" s="449" t="s">
        <v>160</v>
      </c>
      <c r="J264" s="367"/>
      <c r="K264" s="405">
        <f>+SUMIFS('Dados Mercado'!K:K,'Dados Mercado'!$A:$A,$B264)</f>
        <v>737875</v>
      </c>
      <c r="L264" s="404">
        <f>+SUMIFS('Dados Mercado'!L:L,'Dados Mercado'!$A:$A,$B264)</f>
        <v>73690</v>
      </c>
      <c r="M264" s="367"/>
      <c r="N264" s="405">
        <f>+SUMIFS('Dados Mercado'!N:N,'Dados Mercado'!$A:$A,$B264)</f>
        <v>315939.57039999997</v>
      </c>
      <c r="O264" s="404">
        <f>+SUMIFS('Dados Mercado'!O:O,'Dados Mercado'!$A:$A,$B264)</f>
        <v>354377.42960000003</v>
      </c>
      <c r="P264" s="367"/>
      <c r="Q264" s="405">
        <f>+SUMIFS('Dados Mercado'!Q:Q,'Dados Mercado'!$A:$A,$B264)</f>
        <v>2644050</v>
      </c>
      <c r="R264" s="406">
        <f t="shared" si="139"/>
        <v>3.9444770160983533</v>
      </c>
      <c r="S264" s="367"/>
      <c r="T264" s="405">
        <f>+SUMIFS('Dados Mercado'!T:T,'Dados Mercado'!$A:$A,$B264)</f>
        <v>115643</v>
      </c>
      <c r="U264" s="402">
        <f>+SUMIFS('Dados Mercado'!U:U,'Dados Mercado'!$A:$A,$B264)</f>
        <v>103622</v>
      </c>
      <c r="V264" s="402">
        <f>+SUMIFS('Dados Mercado'!V:V,'Dados Mercado'!$A:$A,$B264)</f>
        <v>125289</v>
      </c>
      <c r="W264" s="402">
        <f>+SUMIFS('Dados Mercado'!W:W,'Dados Mercado'!$A:$A,$B264)</f>
        <v>55476</v>
      </c>
      <c r="X264" s="402">
        <f>+SUMIFS('Dados Mercado'!X:X,'Dados Mercado'!$A:$A,$B264)</f>
        <v>83249</v>
      </c>
      <c r="Y264" s="402">
        <f>+SUMIFS('Dados Mercado'!Y:Y,'Dados Mercado'!$A:$A,$B264)</f>
        <v>51344</v>
      </c>
      <c r="Z264" s="402">
        <f>+SUMIFS('Dados Mercado'!Z:Z,'Dados Mercado'!$A:$A,$B264)</f>
        <v>33069</v>
      </c>
      <c r="AA264" s="402">
        <f>+SUMIFS('Dados Mercado'!AA:AA,'Dados Mercado'!$A:$A,$B264)</f>
        <v>0</v>
      </c>
      <c r="AB264" s="404">
        <f>+SUMIFS('Dados Mercado'!AB:AB,'Dados Mercado'!$A:$A,$B264)</f>
        <v>102625</v>
      </c>
      <c r="AC264" s="367"/>
      <c r="AD264" s="445" t="s">
        <v>799</v>
      </c>
      <c r="AE264" s="660">
        <f t="shared" si="140"/>
        <v>0.17251986746569162</v>
      </c>
      <c r="AF264" s="661">
        <f t="shared" si="141"/>
        <v>0.15458656128369114</v>
      </c>
      <c r="AG264" s="661">
        <f t="shared" si="142"/>
        <v>0.18691007389041303</v>
      </c>
      <c r="AH264" s="661">
        <f t="shared" si="143"/>
        <v>8.2760843004130877E-2</v>
      </c>
      <c r="AI264" s="661">
        <f t="shared" si="144"/>
        <v>0.12419347860788255</v>
      </c>
      <c r="AJ264" s="661">
        <f t="shared" si="145"/>
        <v>7.6596595342203769E-2</v>
      </c>
      <c r="AK264" s="661">
        <f t="shared" si="146"/>
        <v>4.9333375104614684E-2</v>
      </c>
      <c r="AL264" s="661" t="s">
        <v>160</v>
      </c>
      <c r="AM264" s="662">
        <f t="shared" si="147"/>
        <v>0.15309920530137233</v>
      </c>
      <c r="AN264" s="367"/>
      <c r="AO264" s="587">
        <f>+SUMIFS('Dados Mercado'!AO:AO,'Dados Mercado'!$A:$A,$B264)</f>
        <v>33276.355000000003</v>
      </c>
      <c r="AP264" s="588">
        <f>+SUMIFS('Dados Mercado'!AP:AP,'Dados Mercado'!$A:$A,$B264)</f>
        <v>91783.889800000004</v>
      </c>
      <c r="AQ264" s="588">
        <f>+SUMIFS('Dados Mercado'!AQ:AQ,'Dados Mercado'!$A:$A,$B264)</f>
        <v>60541.7307</v>
      </c>
      <c r="AR264" s="588">
        <f>+SUMIFS('Dados Mercado'!AR:AR,'Dados Mercado'!$A:$A,$B264)</f>
        <v>377083.9987</v>
      </c>
      <c r="AS264" s="589">
        <f>+SUMIFS('Dados Mercado'!AS:AS,'Dados Mercado'!$A:$A,$B264)</f>
        <v>107654.48569999999</v>
      </c>
      <c r="AT264" s="364"/>
      <c r="AU264" s="665">
        <f t="shared" ref="AU264:AY265" si="155">+AO264/SUM($AO264:$AS264)</f>
        <v>4.9640976474796254E-2</v>
      </c>
      <c r="AV264" s="666">
        <f t="shared" si="155"/>
        <v>0.13692130386056681</v>
      </c>
      <c r="AW264" s="666">
        <f t="shared" si="155"/>
        <v>9.031489865467987E-2</v>
      </c>
      <c r="AX264" s="666">
        <f t="shared" si="155"/>
        <v>0.56252609122870578</v>
      </c>
      <c r="AY264" s="407">
        <f t="shared" si="155"/>
        <v>0.16059672978125125</v>
      </c>
      <c r="AZ264" s="364"/>
      <c r="BA264" s="408">
        <f t="shared" si="152"/>
        <v>0.15216127392851092</v>
      </c>
      <c r="BB264" s="409">
        <f t="shared" si="154"/>
        <v>0.10993306152163827</v>
      </c>
    </row>
    <row r="265" spans="1:54" ht="12.75" customHeight="1" outlineLevel="1" x14ac:dyDescent="0.2">
      <c r="A265" s="364"/>
      <c r="B265" s="438" t="s">
        <v>800</v>
      </c>
      <c r="C265" s="401">
        <f>+SUMIFS('Dados Mercado'!C:C,'Dados Mercado'!$A:$A,$B265)</f>
        <v>798600</v>
      </c>
      <c r="D265" s="402">
        <f>+SUMIFS('Dados Mercado'!D:D,'Dados Mercado'!$A:$A,$B265)</f>
        <v>688397</v>
      </c>
      <c r="E265" s="404">
        <f>+SUMIFS('Dados Mercado'!E:E,'Dados Mercado'!$A:$A,$B265)</f>
        <v>110203</v>
      </c>
      <c r="F265" s="367"/>
      <c r="G265" s="401" t="s">
        <v>160</v>
      </c>
      <c r="H265" s="403" t="s">
        <v>160</v>
      </c>
      <c r="I265" s="449" t="s">
        <v>160</v>
      </c>
      <c r="J265" s="367"/>
      <c r="K265" s="405">
        <f>+SUMIFS('Dados Mercado'!K:K,'Dados Mercado'!$A:$A,$B265)</f>
        <v>744430</v>
      </c>
      <c r="L265" s="404">
        <f>+SUMIFS('Dados Mercado'!L:L,'Dados Mercado'!$A:$A,$B265)</f>
        <v>75436</v>
      </c>
      <c r="M265" s="367"/>
      <c r="N265" s="405">
        <f>+SUMIFS('Dados Mercado'!N:N,'Dados Mercado'!$A:$A,$B265)</f>
        <v>313657.44099999999</v>
      </c>
      <c r="O265" s="404">
        <f>+SUMIFS('Dados Mercado'!O:O,'Dados Mercado'!$A:$A,$B265)</f>
        <v>374739.55900000001</v>
      </c>
      <c r="P265" s="367"/>
      <c r="Q265" s="405">
        <f>+SUMIFS('Dados Mercado'!Q:Q,'Dados Mercado'!$A:$A,$B265)</f>
        <v>2934410</v>
      </c>
      <c r="R265" s="406">
        <f t="shared" si="139"/>
        <v>4.2626711040286347</v>
      </c>
      <c r="S265" s="367"/>
      <c r="T265" s="405">
        <f>+SUMIFS('Dados Mercado'!T:T,'Dados Mercado'!$A:$A,$B265)</f>
        <v>123734</v>
      </c>
      <c r="U265" s="402">
        <f>+SUMIFS('Dados Mercado'!U:U,'Dados Mercado'!$A:$A,$B265)</f>
        <v>110007</v>
      </c>
      <c r="V265" s="402">
        <f>+SUMIFS('Dados Mercado'!V:V,'Dados Mercado'!$A:$A,$B265)</f>
        <v>126727</v>
      </c>
      <c r="W265" s="402">
        <f>+SUMIFS('Dados Mercado'!W:W,'Dados Mercado'!$A:$A,$B265)</f>
        <v>54086</v>
      </c>
      <c r="X265" s="402">
        <f>+SUMIFS('Dados Mercado'!X:X,'Dados Mercado'!$A:$A,$B265)</f>
        <v>86407</v>
      </c>
      <c r="Y265" s="402">
        <f>+SUMIFS('Dados Mercado'!Y:Y,'Dados Mercado'!$A:$A,$B265)</f>
        <v>51468</v>
      </c>
      <c r="Z265" s="402">
        <f>+SUMIFS('Dados Mercado'!Z:Z,'Dados Mercado'!$A:$A,$B265)</f>
        <v>31597</v>
      </c>
      <c r="AA265" s="402">
        <f>+SUMIFS('Dados Mercado'!AA:AA,'Dados Mercado'!$A:$A,$B265)</f>
        <v>0</v>
      </c>
      <c r="AB265" s="404">
        <f>+SUMIFS('Dados Mercado'!AB:AB,'Dados Mercado'!$A:$A,$B265)</f>
        <v>104371</v>
      </c>
      <c r="AC265" s="367"/>
      <c r="AD265" s="445" t="s">
        <v>800</v>
      </c>
      <c r="AE265" s="660">
        <f t="shared" si="140"/>
        <v>0.17974221270574972</v>
      </c>
      <c r="AF265" s="661">
        <f t="shared" si="141"/>
        <v>0.15980168420257496</v>
      </c>
      <c r="AG265" s="661">
        <f t="shared" si="142"/>
        <v>0.18408999458161496</v>
      </c>
      <c r="AH265" s="661">
        <f t="shared" si="143"/>
        <v>7.8568035595739091E-2</v>
      </c>
      <c r="AI265" s="661">
        <f t="shared" si="144"/>
        <v>0.12551914084459984</v>
      </c>
      <c r="AJ265" s="661">
        <f t="shared" si="145"/>
        <v>7.4764997523231513E-2</v>
      </c>
      <c r="AK265" s="661">
        <f t="shared" si="146"/>
        <v>4.5899386545844911E-2</v>
      </c>
      <c r="AL265" s="661" t="s">
        <v>160</v>
      </c>
      <c r="AM265" s="662">
        <f t="shared" si="147"/>
        <v>0.15161454800064497</v>
      </c>
      <c r="AN265" s="367"/>
      <c r="AO265" s="587">
        <f>+SUMIFS('Dados Mercado'!AO:AO,'Dados Mercado'!$A:$A,$B265)</f>
        <v>37200.262900000002</v>
      </c>
      <c r="AP265" s="588">
        <f>+SUMIFS('Dados Mercado'!AP:AP,'Dados Mercado'!$A:$A,$B265)</f>
        <v>100322.79419999999</v>
      </c>
      <c r="AQ265" s="588">
        <f>+SUMIFS('Dados Mercado'!AQ:AQ,'Dados Mercado'!$A:$A,$B265)</f>
        <v>63013.784</v>
      </c>
      <c r="AR265" s="588">
        <f>+SUMIFS('Dados Mercado'!AR:AR,'Dados Mercado'!$A:$A,$B265)</f>
        <v>373290.80170000001</v>
      </c>
      <c r="AS265" s="589">
        <f>+SUMIFS('Dados Mercado'!AS:AS,'Dados Mercado'!$A:$A,$B265)</f>
        <v>114568.47249999999</v>
      </c>
      <c r="AT265" s="364"/>
      <c r="AU265" s="665">
        <f t="shared" si="155"/>
        <v>5.4039036643587515E-2</v>
      </c>
      <c r="AV265" s="666">
        <f t="shared" si="155"/>
        <v>0.14573410856085345</v>
      </c>
      <c r="AW265" s="666">
        <f t="shared" si="155"/>
        <v>9.1537099933428387E-2</v>
      </c>
      <c r="AX265" s="666">
        <f t="shared" si="155"/>
        <v>0.54226163309669684</v>
      </c>
      <c r="AY265" s="407">
        <f t="shared" si="155"/>
        <v>0.16642812176543376</v>
      </c>
      <c r="AZ265" s="364"/>
      <c r="BA265" s="408">
        <f t="shared" si="152"/>
        <v>0.14803675295192295</v>
      </c>
      <c r="BB265" s="409">
        <f t="shared" si="154"/>
        <v>0.10958211613356827</v>
      </c>
    </row>
    <row r="266" spans="1:54" ht="12.75" customHeight="1" outlineLevel="1" x14ac:dyDescent="0.2">
      <c r="A266" s="364"/>
      <c r="B266" s="445" t="s">
        <v>801</v>
      </c>
      <c r="C266" s="401">
        <f>+SUMIFS('Dados Mercado'!C:C,'Dados Mercado'!$A:$A,$B266)</f>
        <v>810481</v>
      </c>
      <c r="D266" s="402">
        <f>+SUMIFS('Dados Mercado'!D:D,'Dados Mercado'!$A:$A,$B266)</f>
        <v>725413</v>
      </c>
      <c r="E266" s="404">
        <f>+SUMIFS('Dados Mercado'!E:E,'Dados Mercado'!$A:$A,$B266)</f>
        <v>85068</v>
      </c>
      <c r="F266" s="367"/>
      <c r="G266" s="401" t="s">
        <v>160</v>
      </c>
      <c r="H266" s="403" t="s">
        <v>160</v>
      </c>
      <c r="I266" s="449" t="s">
        <v>160</v>
      </c>
      <c r="J266" s="367"/>
      <c r="K266" s="405">
        <f>+SUMIFS('Dados Mercado'!K:K,'Dados Mercado'!$A:$A,$B266)</f>
        <v>654566</v>
      </c>
      <c r="L266" s="404">
        <f>+SUMIFS('Dados Mercado'!L:L,'Dados Mercado'!$A:$A,$B266)</f>
        <v>77303</v>
      </c>
      <c r="M266" s="367"/>
      <c r="N266" s="405">
        <f>+SUMIFS('Dados Mercado'!N:N,'Dados Mercado'!$A:$A,$B266)</f>
        <v>331092.43449999997</v>
      </c>
      <c r="O266" s="404">
        <f>+SUMIFS('Dados Mercado'!O:O,'Dados Mercado'!$A:$A,$B266)</f>
        <v>394320.56550000003</v>
      </c>
      <c r="P266" s="367"/>
      <c r="Q266" s="405">
        <f>+SUMIFS('Dados Mercado'!Q:Q,'Dados Mercado'!$A:$A,$B266)</f>
        <v>2918553</v>
      </c>
      <c r="R266" s="406">
        <f t="shared" si="139"/>
        <v>4.0232984520542088</v>
      </c>
      <c r="S266" s="367"/>
      <c r="T266" s="405">
        <f>+SUMIFS('Dados Mercado'!T:T,'Dados Mercado'!$A:$A,$B266)</f>
        <v>129954</v>
      </c>
      <c r="U266" s="402">
        <f>+SUMIFS('Dados Mercado'!U:U,'Dados Mercado'!$A:$A,$B266)</f>
        <v>115088</v>
      </c>
      <c r="V266" s="402">
        <f>+SUMIFS('Dados Mercado'!V:V,'Dados Mercado'!$A:$A,$B266)</f>
        <v>136480</v>
      </c>
      <c r="W266" s="402">
        <f>+SUMIFS('Dados Mercado'!W:W,'Dados Mercado'!$A:$A,$B266)</f>
        <v>59818</v>
      </c>
      <c r="X266" s="402">
        <f>+SUMIFS('Dados Mercado'!X:X,'Dados Mercado'!$A:$A,$B266)</f>
        <v>92025</v>
      </c>
      <c r="Y266" s="402">
        <f>+SUMIFS('Dados Mercado'!Y:Y,'Dados Mercado'!$A:$A,$B266)</f>
        <v>49407</v>
      </c>
      <c r="Z266" s="402">
        <f>+SUMIFS('Dados Mercado'!Z:Z,'Dados Mercado'!$A:$A,$B266)</f>
        <v>32865</v>
      </c>
      <c r="AA266" s="402">
        <f>+SUMIFS('Dados Mercado'!AA:AA,'Dados Mercado'!$A:$A,$B266)</f>
        <v>0</v>
      </c>
      <c r="AB266" s="404">
        <f>+SUMIFS('Dados Mercado'!AB:AB,'Dados Mercado'!$A:$A,$B266)</f>
        <v>109776</v>
      </c>
      <c r="AC266" s="367"/>
      <c r="AD266" s="445" t="s">
        <v>801</v>
      </c>
      <c r="AE266" s="660">
        <f t="shared" si="140"/>
        <v>0.17914484576372355</v>
      </c>
      <c r="AF266" s="661">
        <f t="shared" si="141"/>
        <v>0.1586516922084385</v>
      </c>
      <c r="AG266" s="661">
        <f t="shared" si="142"/>
        <v>0.1881411003111331</v>
      </c>
      <c r="AH266" s="661">
        <f t="shared" si="143"/>
        <v>8.2460612092697533E-2</v>
      </c>
      <c r="AI266" s="661">
        <f t="shared" si="144"/>
        <v>0.1268587687289861</v>
      </c>
      <c r="AJ266" s="661">
        <f t="shared" si="145"/>
        <v>6.8108787683705693E-2</v>
      </c>
      <c r="AK266" s="661">
        <f t="shared" si="146"/>
        <v>4.5305226126358365E-2</v>
      </c>
      <c r="AL266" s="661" t="s">
        <v>160</v>
      </c>
      <c r="AM266" s="662">
        <f t="shared" si="147"/>
        <v>0.15132896708495713</v>
      </c>
      <c r="AN266" s="367"/>
      <c r="AO266" s="587">
        <f>+SUMIFS('Dados Mercado'!AO:AO,'Dados Mercado'!$A:$A,$B266)</f>
        <v>35240.075100000002</v>
      </c>
      <c r="AP266" s="588">
        <f>+SUMIFS('Dados Mercado'!AP:AP,'Dados Mercado'!$A:$A,$B266)</f>
        <v>102713.70089999998</v>
      </c>
      <c r="AQ266" s="588">
        <f>+SUMIFS('Dados Mercado'!AQ:AQ,'Dados Mercado'!$A:$A,$B266)</f>
        <v>63183.416100000002</v>
      </c>
      <c r="AR266" s="588">
        <f>+SUMIFS('Dados Mercado'!AR:AR,'Dados Mercado'!$A:$A,$B266)</f>
        <v>392184.9841</v>
      </c>
      <c r="AS266" s="589">
        <f>+SUMIFS('Dados Mercado'!AS:AS,'Dados Mercado'!$A:$A,$B266)</f>
        <v>132140.20610000001</v>
      </c>
      <c r="AT266" s="364"/>
      <c r="AU266" s="665">
        <f t="shared" ref="AU266:AY267" si="156">+AO266/SUM($AO266:$AS266)</f>
        <v>4.8576019873387728E-2</v>
      </c>
      <c r="AV266" s="666">
        <f t="shared" si="156"/>
        <v>0.14158377250982651</v>
      </c>
      <c r="AW266" s="666">
        <f t="shared" si="156"/>
        <v>8.7093993626084124E-2</v>
      </c>
      <c r="AX266" s="666">
        <f t="shared" si="156"/>
        <v>0.54060002788376149</v>
      </c>
      <c r="AY266" s="407">
        <f t="shared" si="156"/>
        <v>0.18214618610694022</v>
      </c>
      <c r="AZ266" s="364"/>
      <c r="BA266" s="408">
        <f t="shared" si="152"/>
        <v>0.12996092067110115</v>
      </c>
      <c r="BB266" s="409">
        <f t="shared" si="154"/>
        <v>0.10656412278247013</v>
      </c>
    </row>
    <row r="267" spans="1:54" ht="12.75" customHeight="1" outlineLevel="1" x14ac:dyDescent="0.2">
      <c r="A267" s="364"/>
      <c r="B267" s="445" t="s">
        <v>913</v>
      </c>
      <c r="C267" s="401">
        <f>+SUMIFS('Dados Mercado'!C:C,'Dados Mercado'!$A:$A,$B267)</f>
        <v>619515</v>
      </c>
      <c r="D267" s="402">
        <f>+SUMIFS('Dados Mercado'!D:D,'Dados Mercado'!$A:$A,$B267)</f>
        <v>534285</v>
      </c>
      <c r="E267" s="404">
        <f>+SUMIFS('Dados Mercado'!E:E,'Dados Mercado'!$A:$A,$B267)</f>
        <v>85230</v>
      </c>
      <c r="F267" s="367"/>
      <c r="G267" s="401" t="s">
        <v>160</v>
      </c>
      <c r="H267" s="403" t="s">
        <v>160</v>
      </c>
      <c r="I267" s="449" t="s">
        <v>160</v>
      </c>
      <c r="J267" s="367"/>
      <c r="K267" s="405">
        <f>+SUMIFS('Dados Mercado'!K:K,'Dados Mercado'!$A:$A,$B267)</f>
        <v>555215</v>
      </c>
      <c r="L267" s="404">
        <f>+SUMIFS('Dados Mercado'!L:L,'Dados Mercado'!$A:$A,$B267)</f>
        <v>59648</v>
      </c>
      <c r="M267" s="367"/>
      <c r="N267" s="405">
        <f>+SUMIFS('Dados Mercado'!N:N,'Dados Mercado'!$A:$A,$B267)</f>
        <v>236938.95750000002</v>
      </c>
      <c r="O267" s="404">
        <f>+SUMIFS('Dados Mercado'!O:O,'Dados Mercado'!$A:$A,$B267)</f>
        <v>297346.04249999998</v>
      </c>
      <c r="P267" s="367"/>
      <c r="Q267" s="405">
        <f>+SUMIFS('Dados Mercado'!Q:Q,'Dados Mercado'!$A:$A,$B267)</f>
        <v>2336587</v>
      </c>
      <c r="R267" s="406">
        <f t="shared" si="139"/>
        <v>4.3732970231243629</v>
      </c>
      <c r="S267" s="367"/>
      <c r="T267" s="405">
        <f>+SUMIFS('Dados Mercado'!T:T,'Dados Mercado'!$A:$A,$B267)</f>
        <v>94729</v>
      </c>
      <c r="U267" s="402">
        <f>+SUMIFS('Dados Mercado'!U:U,'Dados Mercado'!$A:$A,$B267)</f>
        <v>86075</v>
      </c>
      <c r="V267" s="402">
        <f>+SUMIFS('Dados Mercado'!V:V,'Dados Mercado'!$A:$A,$B267)</f>
        <v>102487</v>
      </c>
      <c r="W267" s="402">
        <f>+SUMIFS('Dados Mercado'!W:W,'Dados Mercado'!$A:$A,$B267)</f>
        <v>41796</v>
      </c>
      <c r="X267" s="402">
        <f>+SUMIFS('Dados Mercado'!X:X,'Dados Mercado'!$A:$A,$B267)</f>
        <v>63331</v>
      </c>
      <c r="Y267" s="402">
        <f>+SUMIFS('Dados Mercado'!Y:Y,'Dados Mercado'!$A:$A,$B267)</f>
        <v>48563</v>
      </c>
      <c r="Z267" s="402">
        <f>+SUMIFS('Dados Mercado'!Z:Z,'Dados Mercado'!$A:$A,$B267)</f>
        <v>24079</v>
      </c>
      <c r="AA267" s="402">
        <f>+SUMIFS('Dados Mercado'!AA:AA,'Dados Mercado'!$A:$A,$B267)</f>
        <v>0</v>
      </c>
      <c r="AB267" s="404">
        <f>+SUMIFS('Dados Mercado'!AB:AB,'Dados Mercado'!$A:$A,$B267)</f>
        <v>73225</v>
      </c>
      <c r="AC267" s="367"/>
      <c r="AD267" s="445" t="s">
        <v>913</v>
      </c>
      <c r="AE267" s="660">
        <f t="shared" si="140"/>
        <v>0.17730050441243905</v>
      </c>
      <c r="AF267" s="661">
        <f t="shared" si="141"/>
        <v>0.16110315655502214</v>
      </c>
      <c r="AG267" s="661">
        <f t="shared" si="142"/>
        <v>0.19182084468027363</v>
      </c>
      <c r="AH267" s="661">
        <f t="shared" si="143"/>
        <v>7.8227912069401162E-2</v>
      </c>
      <c r="AI267" s="661">
        <f t="shared" si="144"/>
        <v>0.11853411568732043</v>
      </c>
      <c r="AJ267" s="661">
        <f t="shared" si="145"/>
        <v>9.0893437023311527E-2</v>
      </c>
      <c r="AK267" s="661">
        <f t="shared" si="146"/>
        <v>4.5067707309769132E-2</v>
      </c>
      <c r="AL267" s="661" t="s">
        <v>160</v>
      </c>
      <c r="AM267" s="662">
        <f t="shared" si="147"/>
        <v>0.13705232226246292</v>
      </c>
      <c r="AN267" s="367"/>
      <c r="AO267" s="587">
        <f>+SUMIFS('Dados Mercado'!AO:AO,'Dados Mercado'!$A:$A,$B267)</f>
        <v>28991.577000000005</v>
      </c>
      <c r="AP267" s="588">
        <f>+SUMIFS('Dados Mercado'!AP:AP,'Dados Mercado'!$A:$A,$B267)</f>
        <v>77131.96179999999</v>
      </c>
      <c r="AQ267" s="588">
        <f>+SUMIFS('Dados Mercado'!AQ:AQ,'Dados Mercado'!$A:$A,$B267)</f>
        <v>54766.8986</v>
      </c>
      <c r="AR267" s="588">
        <f>+SUMIFS('Dados Mercado'!AR:AR,'Dados Mercado'!$A:$A,$B267)</f>
        <v>286440.59140000003</v>
      </c>
      <c r="AS267" s="589">
        <f>+SUMIFS('Dados Mercado'!AS:AS,'Dados Mercado'!$A:$A,$B267)</f>
        <v>87034.128599999996</v>
      </c>
      <c r="AT267" s="364"/>
      <c r="AU267" s="665">
        <f t="shared" si="156"/>
        <v>5.4254242812276601E-2</v>
      </c>
      <c r="AV267" s="666">
        <f t="shared" si="156"/>
        <v>0.14434317195247579</v>
      </c>
      <c r="AW267" s="666">
        <f t="shared" si="156"/>
        <v>0.10248965120868489</v>
      </c>
      <c r="AX267" s="666">
        <f t="shared" si="156"/>
        <v>0.53603905013886299</v>
      </c>
      <c r="AY267" s="407">
        <f t="shared" si="156"/>
        <v>0.16287388388769974</v>
      </c>
      <c r="AZ267" s="364"/>
      <c r="BA267" s="408">
        <f t="shared" si="152"/>
        <v>0.15350810046558541</v>
      </c>
      <c r="BB267" s="409">
        <f t="shared" si="154"/>
        <v>0.11164079096362428</v>
      </c>
    </row>
    <row r="268" spans="1:54" ht="12.75" customHeight="1" outlineLevel="1" x14ac:dyDescent="0.2">
      <c r="A268" s="364"/>
      <c r="B268" s="438" t="s">
        <v>914</v>
      </c>
      <c r="C268" s="401">
        <f>+SUMIFS('Dados Mercado'!C:C,'Dados Mercado'!$A:$A,$B268)</f>
        <v>258702</v>
      </c>
      <c r="D268" s="402">
        <f>+SUMIFS('Dados Mercado'!D:D,'Dados Mercado'!$A:$A,$B268)</f>
        <v>230963</v>
      </c>
      <c r="E268" s="404">
        <f>+SUMIFS('Dados Mercado'!E:E,'Dados Mercado'!$A:$A,$B268)</f>
        <v>27739</v>
      </c>
      <c r="F268" s="367"/>
      <c r="G268" s="401" t="s">
        <v>160</v>
      </c>
      <c r="H268" s="403" t="s">
        <v>160</v>
      </c>
      <c r="I268" s="449" t="s">
        <v>160</v>
      </c>
      <c r="J268" s="367"/>
      <c r="K268" s="405">
        <f>+SUMIFS('Dados Mercado'!K:K,'Dados Mercado'!$A:$A,$B268)</f>
        <v>130342</v>
      </c>
      <c r="L268" s="404">
        <f>+SUMIFS('Dados Mercado'!L:L,'Dados Mercado'!$A:$A,$B268)</f>
        <v>34439</v>
      </c>
      <c r="M268" s="367"/>
      <c r="N268" s="405">
        <f>+SUMIFS('Dados Mercado'!N:N,'Dados Mercado'!$A:$A,$B268)</f>
        <v>94638.097100000014</v>
      </c>
      <c r="O268" s="404">
        <f>+SUMIFS('Dados Mercado'!O:O,'Dados Mercado'!$A:$A,$B268)</f>
        <v>136324.90289999999</v>
      </c>
      <c r="P268" s="367"/>
      <c r="Q268" s="405">
        <f>+SUMIFS('Dados Mercado'!Q:Q,'Dados Mercado'!$A:$A,$B268)</f>
        <v>1010343</v>
      </c>
      <c r="R268" s="406">
        <f t="shared" si="139"/>
        <v>4.3744798950481245</v>
      </c>
      <c r="S268" s="367"/>
      <c r="T268" s="405">
        <f>+SUMIFS('Dados Mercado'!T:T,'Dados Mercado'!$A:$A,$B268)</f>
        <v>39735</v>
      </c>
      <c r="U268" s="402">
        <f>+SUMIFS('Dados Mercado'!U:U,'Dados Mercado'!$A:$A,$B268)</f>
        <v>37928</v>
      </c>
      <c r="V268" s="402">
        <f>+SUMIFS('Dados Mercado'!V:V,'Dados Mercado'!$A:$A,$B268)</f>
        <v>45146</v>
      </c>
      <c r="W268" s="402">
        <f>+SUMIFS('Dados Mercado'!W:W,'Dados Mercado'!$A:$A,$B268)</f>
        <v>17104</v>
      </c>
      <c r="X268" s="402">
        <f>+SUMIFS('Dados Mercado'!X:X,'Dados Mercado'!$A:$A,$B268)</f>
        <v>25834</v>
      </c>
      <c r="Y268" s="402">
        <f>+SUMIFS('Dados Mercado'!Y:Y,'Dados Mercado'!$A:$A,$B268)</f>
        <v>22261</v>
      </c>
      <c r="Z268" s="402">
        <f>+SUMIFS('Dados Mercado'!Z:Z,'Dados Mercado'!$A:$A,$B268)</f>
        <v>10233</v>
      </c>
      <c r="AA268" s="402">
        <f>+SUMIFS('Dados Mercado'!AA:AA,'Dados Mercado'!$A:$A,$B268)</f>
        <v>0</v>
      </c>
      <c r="AB268" s="404">
        <f>+SUMIFS('Dados Mercado'!AB:AB,'Dados Mercado'!$A:$A,$B268)</f>
        <v>32722</v>
      </c>
      <c r="AC268" s="367"/>
      <c r="AD268" s="445" t="s">
        <v>914</v>
      </c>
      <c r="AE268" s="660">
        <f t="shared" si="140"/>
        <v>0.17204054329048377</v>
      </c>
      <c r="AF268" s="661">
        <f t="shared" si="141"/>
        <v>0.16421677931097189</v>
      </c>
      <c r="AG268" s="661">
        <f t="shared" si="142"/>
        <v>0.19546853825071547</v>
      </c>
      <c r="AH268" s="661">
        <f t="shared" si="143"/>
        <v>7.4055151690963494E-2</v>
      </c>
      <c r="AI268" s="661">
        <f t="shared" si="144"/>
        <v>0.11185341375025437</v>
      </c>
      <c r="AJ268" s="661">
        <f t="shared" si="145"/>
        <v>9.6383403402276552E-2</v>
      </c>
      <c r="AK268" s="661">
        <f t="shared" si="146"/>
        <v>4.4305797898364675E-2</v>
      </c>
      <c r="AL268" s="661" t="s">
        <v>160</v>
      </c>
      <c r="AM268" s="662">
        <f t="shared" si="147"/>
        <v>0.14167637240596978</v>
      </c>
      <c r="AN268" s="367"/>
      <c r="AO268" s="587">
        <f>+SUMIFS('Dados Mercado'!AO:AO,'Dados Mercado'!$A:$A,$B268)</f>
        <v>16902.765100000001</v>
      </c>
      <c r="AP268" s="588">
        <f>+SUMIFS('Dados Mercado'!AP:AP,'Dados Mercado'!$A:$A,$B268)</f>
        <v>28906.010699999999</v>
      </c>
      <c r="AQ268" s="588">
        <f>+SUMIFS('Dados Mercado'!AQ:AQ,'Dados Mercado'!$A:$A,$B268)</f>
        <v>34882.483999999997</v>
      </c>
      <c r="AR268" s="588">
        <f>+SUMIFS('Dados Mercado'!AR:AR,'Dados Mercado'!$A:$A,$B268)</f>
        <v>94286.082399999985</v>
      </c>
      <c r="AS268" s="589">
        <f>+SUMIFS('Dados Mercado'!AS:AS,'Dados Mercado'!$A:$A,$B268)</f>
        <v>56291.864799999996</v>
      </c>
      <c r="AT268" s="364"/>
      <c r="AU268" s="665">
        <f t="shared" ref="AU268:AY269" si="157">+AO268/SUM($AO268:$AS268)</f>
        <v>7.3086967864251812E-2</v>
      </c>
      <c r="AV268" s="666">
        <f t="shared" si="157"/>
        <v>0.12498858397521119</v>
      </c>
      <c r="AW268" s="666">
        <f t="shared" si="157"/>
        <v>0.15083064646820879</v>
      </c>
      <c r="AX268" s="666">
        <f t="shared" si="157"/>
        <v>0.40768973795979674</v>
      </c>
      <c r="AY268" s="407">
        <f t="shared" si="157"/>
        <v>0.2434040637325314</v>
      </c>
      <c r="AZ268" s="364"/>
      <c r="BA268" s="408">
        <f t="shared" si="152"/>
        <v>0.21281705052860936</v>
      </c>
      <c r="BB268" s="409">
        <f t="shared" si="154"/>
        <v>0.1491104635807467</v>
      </c>
    </row>
    <row r="269" spans="1:54" ht="12.75" customHeight="1" outlineLevel="1" x14ac:dyDescent="0.2">
      <c r="A269" s="364"/>
      <c r="B269" s="438" t="s">
        <v>923</v>
      </c>
      <c r="C269" s="401">
        <f>+SUMIFS('Dados Mercado'!C:C,'Dados Mercado'!$A:$A,$B269)</f>
        <v>618961</v>
      </c>
      <c r="D269" s="402">
        <f>+SUMIFS('Dados Mercado'!D:D,'Dados Mercado'!$A:$A,$B269)</f>
        <v>536411</v>
      </c>
      <c r="E269" s="404">
        <f>+SUMIFS('Dados Mercado'!E:E,'Dados Mercado'!$A:$A,$B269)</f>
        <v>82550</v>
      </c>
      <c r="F269" s="367"/>
      <c r="G269" s="401" t="s">
        <v>160</v>
      </c>
      <c r="H269" s="403" t="s">
        <v>160</v>
      </c>
      <c r="I269" s="449" t="s">
        <v>160</v>
      </c>
      <c r="J269" s="367"/>
      <c r="K269" s="405">
        <f>+SUMIFS('Dados Mercado'!K:K,'Dados Mercado'!$A:$A,$B269)</f>
        <v>572575</v>
      </c>
      <c r="L269" s="404">
        <f>+SUMIFS('Dados Mercado'!L:L,'Dados Mercado'!$A:$A,$B269)</f>
        <v>54807</v>
      </c>
      <c r="M269" s="367"/>
      <c r="N269" s="405">
        <f>+SUMIFS('Dados Mercado'!N:N,'Dados Mercado'!$A:$A,$B269)</f>
        <v>236581.7542</v>
      </c>
      <c r="O269" s="404">
        <f>+SUMIFS('Dados Mercado'!O:O,'Dados Mercado'!$A:$A,$B269)</f>
        <v>299829.24580000003</v>
      </c>
      <c r="P269" s="367"/>
      <c r="Q269" s="405">
        <f>+SUMIFS('Dados Mercado'!Q:Q,'Dados Mercado'!$A:$A,$B269)</f>
        <v>2770050</v>
      </c>
      <c r="R269" s="406">
        <f t="shared" si="139"/>
        <v>5.1640439886579506</v>
      </c>
      <c r="S269" s="367"/>
      <c r="T269" s="405">
        <f>+SUMIFS('Dados Mercado'!T:T,'Dados Mercado'!$A:$A,$B269)</f>
        <v>88618</v>
      </c>
      <c r="U269" s="402">
        <f>+SUMIFS('Dados Mercado'!U:U,'Dados Mercado'!$A:$A,$B269)</f>
        <v>99583</v>
      </c>
      <c r="V269" s="402">
        <f>+SUMIFS('Dados Mercado'!V:V,'Dados Mercado'!$A:$A,$B269)</f>
        <v>127108</v>
      </c>
      <c r="W269" s="402">
        <f>+SUMIFS('Dados Mercado'!W:W,'Dados Mercado'!$A:$A,$B269)</f>
        <v>35003</v>
      </c>
      <c r="X269" s="402">
        <f>+SUMIFS('Dados Mercado'!X:X,'Dados Mercado'!$A:$A,$B269)</f>
        <v>45010</v>
      </c>
      <c r="Y269" s="402">
        <f>+SUMIFS('Dados Mercado'!Y:Y,'Dados Mercado'!$A:$A,$B269)</f>
        <v>53237</v>
      </c>
      <c r="Z269" s="402">
        <f>+SUMIFS('Dados Mercado'!Z:Z,'Dados Mercado'!$A:$A,$B269)</f>
        <v>21826</v>
      </c>
      <c r="AA269" s="402">
        <f>+SUMIFS('Dados Mercado'!AA:AA,'Dados Mercado'!$A:$A,$B269)</f>
        <v>0</v>
      </c>
      <c r="AB269" s="404">
        <f>+SUMIFS('Dados Mercado'!AB:AB,'Dados Mercado'!$A:$A,$B269)</f>
        <v>66026</v>
      </c>
      <c r="AC269" s="367"/>
      <c r="AD269" s="445" t="s">
        <v>923</v>
      </c>
      <c r="AE269" s="660">
        <f t="shared" si="140"/>
        <v>0.16520541152213508</v>
      </c>
      <c r="AF269" s="661">
        <f t="shared" si="141"/>
        <v>0.18564682678021144</v>
      </c>
      <c r="AG269" s="661">
        <f t="shared" si="142"/>
        <v>0.23696009216813227</v>
      </c>
      <c r="AH269" s="661">
        <f t="shared" si="143"/>
        <v>6.5254068242448421E-2</v>
      </c>
      <c r="AI269" s="661">
        <f t="shared" si="144"/>
        <v>8.3909539513544656E-2</v>
      </c>
      <c r="AJ269" s="661">
        <f t="shared" si="145"/>
        <v>9.9246659744114119E-2</v>
      </c>
      <c r="AK269" s="661">
        <f t="shared" si="146"/>
        <v>4.0688949331762397E-2</v>
      </c>
      <c r="AL269" s="661" t="s">
        <v>160</v>
      </c>
      <c r="AM269" s="662">
        <f t="shared" si="147"/>
        <v>0.12308845269765162</v>
      </c>
      <c r="AN269" s="367"/>
      <c r="AO269" s="587">
        <f>+SUMIFS('Dados Mercado'!AO:AO,'Dados Mercado'!$A:$A,$B269)</f>
        <v>34458.606</v>
      </c>
      <c r="AP269" s="588">
        <f>+SUMIFS('Dados Mercado'!AP:AP,'Dados Mercado'!$A:$A,$B269)</f>
        <v>88548.40849999999</v>
      </c>
      <c r="AQ269" s="588">
        <f>+SUMIFS('Dados Mercado'!AQ:AQ,'Dados Mercado'!$A:$A,$B269)</f>
        <v>52322.195299999992</v>
      </c>
      <c r="AR269" s="588">
        <f>+SUMIFS('Dados Mercado'!AR:AR,'Dados Mercado'!$A:$A,$B269)</f>
        <v>275380.29909999995</v>
      </c>
      <c r="AS269" s="589">
        <f>+SUMIFS('Dados Mercado'!AS:AS,'Dados Mercado'!$A:$A,$B269)</f>
        <v>85652.918600000005</v>
      </c>
      <c r="AT269" s="364"/>
      <c r="AU269" s="665">
        <f t="shared" si="157"/>
        <v>6.4245003440327686E-2</v>
      </c>
      <c r="AV269" s="666">
        <f t="shared" si="157"/>
        <v>0.16509062521908288</v>
      </c>
      <c r="AW269" s="666">
        <f t="shared" si="157"/>
        <v>9.7550075503750694E-2</v>
      </c>
      <c r="AX269" s="666">
        <f t="shared" si="157"/>
        <v>0.51342205378470518</v>
      </c>
      <c r="AY269" s="407">
        <f t="shared" si="157"/>
        <v>0.15969224205213373</v>
      </c>
      <c r="AZ269" s="364"/>
      <c r="BA269" s="408">
        <f t="shared" si="152"/>
        <v>0.14417325241234774</v>
      </c>
      <c r="BB269" s="409">
        <f t="shared" si="154"/>
        <v>0.10217351993154503</v>
      </c>
    </row>
    <row r="270" spans="1:54" ht="12.75" customHeight="1" x14ac:dyDescent="0.2">
      <c r="A270" s="364"/>
      <c r="B270" s="438" t="s">
        <v>924</v>
      </c>
      <c r="C270" s="401">
        <f>+SUMIFS('Dados Mercado'!C:C,'Dados Mercado'!$A:$A,$B270)</f>
        <v>764618</v>
      </c>
      <c r="D270" s="402">
        <f>+SUMIFS('Dados Mercado'!D:D,'Dados Mercado'!$A:$A,$B270)</f>
        <v>653169</v>
      </c>
      <c r="E270" s="404">
        <f>+SUMIFS('Dados Mercado'!E:E,'Dados Mercado'!$A:$A,$B270)</f>
        <v>111449</v>
      </c>
      <c r="F270" s="367"/>
      <c r="G270" s="401" t="s">
        <v>160</v>
      </c>
      <c r="H270" s="403" t="s">
        <v>160</v>
      </c>
      <c r="I270" s="449" t="s">
        <v>160</v>
      </c>
      <c r="J270" s="367"/>
      <c r="K270" s="405">
        <f>+SUMIFS('Dados Mercado'!K:K,'Dados Mercado'!$A:$A,$B270)</f>
        <v>646582</v>
      </c>
      <c r="L270" s="404">
        <f>+SUMIFS('Dados Mercado'!L:L,'Dados Mercado'!$A:$A,$B270)</f>
        <v>58789</v>
      </c>
      <c r="M270" s="367"/>
      <c r="N270" s="405">
        <f>+SUMIFS('Dados Mercado'!N:N,'Dados Mercado'!$A:$A,$B270)</f>
        <v>292157.98989999999</v>
      </c>
      <c r="O270" s="404">
        <f>+SUMIFS('Dados Mercado'!O:O,'Dados Mercado'!$A:$A,$B270)</f>
        <v>361011.01010000001</v>
      </c>
      <c r="P270" s="367"/>
      <c r="Q270" s="405">
        <f>+SUMIFS('Dados Mercado'!Q:Q,'Dados Mercado'!$A:$A,$B270)</f>
        <v>3337362</v>
      </c>
      <c r="R270" s="406">
        <f t="shared" si="139"/>
        <v>5.1094923365928269</v>
      </c>
      <c r="S270" s="367"/>
      <c r="T270" s="405">
        <f>+SUMIFS('Dados Mercado'!T:T,'Dados Mercado'!$A:$A,$B270)</f>
        <v>115508</v>
      </c>
      <c r="U270" s="402">
        <f>+SUMIFS('Dados Mercado'!U:U,'Dados Mercado'!$A:$A,$B270)</f>
        <v>106305</v>
      </c>
      <c r="V270" s="402">
        <f>+SUMIFS('Dados Mercado'!V:V,'Dados Mercado'!$A:$A,$B270)</f>
        <v>157305</v>
      </c>
      <c r="W270" s="402">
        <f>+SUMIFS('Dados Mercado'!W:W,'Dados Mercado'!$A:$A,$B270)</f>
        <v>44075</v>
      </c>
      <c r="X270" s="402">
        <f>+SUMIFS('Dados Mercado'!X:X,'Dados Mercado'!$A:$A,$B270)</f>
        <v>58859</v>
      </c>
      <c r="Y270" s="402">
        <f>+SUMIFS('Dados Mercado'!Y:Y,'Dados Mercado'!$A:$A,$B270)</f>
        <v>63804</v>
      </c>
      <c r="Z270" s="402">
        <f>+SUMIFS('Dados Mercado'!Z:Z,'Dados Mercado'!$A:$A,$B270)</f>
        <v>27978</v>
      </c>
      <c r="AA270" s="402">
        <f>+SUMIFS('Dados Mercado'!AA:AA,'Dados Mercado'!$A:$A,$B270)</f>
        <v>0</v>
      </c>
      <c r="AB270" s="404">
        <f>+SUMIFS('Dados Mercado'!AB:AB,'Dados Mercado'!$A:$A,$B270)</f>
        <v>79335</v>
      </c>
      <c r="AC270" s="367"/>
      <c r="AD270" s="445" t="s">
        <v>924</v>
      </c>
      <c r="AE270" s="660">
        <f t="shared" si="140"/>
        <v>0.17684244047099601</v>
      </c>
      <c r="AF270" s="661">
        <f t="shared" si="141"/>
        <v>0.16275267197310345</v>
      </c>
      <c r="AG270" s="661">
        <f t="shared" si="142"/>
        <v>0.24083353619048056</v>
      </c>
      <c r="AH270" s="661">
        <f t="shared" si="143"/>
        <v>6.747870765452739E-2</v>
      </c>
      <c r="AI270" s="661">
        <f t="shared" si="144"/>
        <v>9.0112972293541177E-2</v>
      </c>
      <c r="AJ270" s="661">
        <f t="shared" si="145"/>
        <v>9.7683754127951578E-2</v>
      </c>
      <c r="AK270" s="661">
        <f t="shared" si="146"/>
        <v>4.2834243511250536E-2</v>
      </c>
      <c r="AL270" s="661" t="s">
        <v>160</v>
      </c>
      <c r="AM270" s="662">
        <f t="shared" si="147"/>
        <v>0.1214616737781493</v>
      </c>
      <c r="AN270" s="367"/>
      <c r="AO270" s="587">
        <f>+SUMIFS('Dados Mercado'!AO:AO,'Dados Mercado'!$A:$A,$B270)</f>
        <v>41483.4735</v>
      </c>
      <c r="AP270" s="588">
        <f>+SUMIFS('Dados Mercado'!AP:AP,'Dados Mercado'!$A:$A,$B270)</f>
        <v>106977.6513</v>
      </c>
      <c r="AQ270" s="588">
        <f>+SUMIFS('Dados Mercado'!AQ:AQ,'Dados Mercado'!$A:$A,$B270)</f>
        <v>64082.714000000007</v>
      </c>
      <c r="AR270" s="588">
        <f>+SUMIFS('Dados Mercado'!AR:AR,'Dados Mercado'!$A:$A,$B270)</f>
        <v>326469.05150000006</v>
      </c>
      <c r="AS270" s="589">
        <f>+SUMIFS('Dados Mercado'!AS:AS,'Dados Mercado'!$A:$A,$B270)</f>
        <v>114156.1097</v>
      </c>
      <c r="AT270" s="364"/>
      <c r="AU270" s="665">
        <f t="shared" ref="AU270:AY271" si="158">+AO270/SUM($AO270:$AS270)</f>
        <v>6.3511087482718859E-2</v>
      </c>
      <c r="AV270" s="666">
        <f t="shared" si="158"/>
        <v>0.16378249932253364</v>
      </c>
      <c r="AW270" s="666">
        <f t="shared" si="158"/>
        <v>9.8110464519902199E-2</v>
      </c>
      <c r="AX270" s="666">
        <f t="shared" si="158"/>
        <v>0.49982324865387057</v>
      </c>
      <c r="AY270" s="407">
        <f t="shared" si="158"/>
        <v>0.17477270002097464</v>
      </c>
      <c r="AZ270" s="364"/>
      <c r="BA270" s="408">
        <f t="shared" si="152"/>
        <v>0.17236638199021934</v>
      </c>
      <c r="BB270" s="409">
        <f t="shared" si="154"/>
        <v>9.0005802479909483E-2</v>
      </c>
    </row>
    <row r="271" spans="1:54" ht="12.75" customHeight="1" x14ac:dyDescent="0.2">
      <c r="A271" s="364"/>
      <c r="B271" s="438" t="s">
        <v>1049</v>
      </c>
      <c r="C271" s="401">
        <f>+SUMIFS('Dados Mercado'!C:C,'Dados Mercado'!$A:$A,$B271)</f>
        <v>588153</v>
      </c>
      <c r="D271" s="402">
        <f>+SUMIFS('Dados Mercado'!D:D,'Dados Mercado'!$A:$A,$B271)</f>
        <v>498518</v>
      </c>
      <c r="E271" s="404">
        <f>+SUMIFS('Dados Mercado'!E:E,'Dados Mercado'!$A:$A,$B271)</f>
        <v>89635</v>
      </c>
      <c r="F271" s="367"/>
      <c r="G271" s="401" t="s">
        <v>160</v>
      </c>
      <c r="H271" s="403" t="s">
        <v>160</v>
      </c>
      <c r="I271" s="449" t="s">
        <v>160</v>
      </c>
      <c r="J271" s="367"/>
      <c r="K271" s="405">
        <f>+SUMIFS('Dados Mercado'!K:K,'Dados Mercado'!$A:$A,$B271)</f>
        <v>559515</v>
      </c>
      <c r="L271" s="404">
        <f>+SUMIFS('Dados Mercado'!L:L,'Dados Mercado'!$A:$A,$B271)</f>
        <v>45886</v>
      </c>
      <c r="M271" s="367"/>
      <c r="N271" s="405">
        <f>+SUMIFS('Dados Mercado'!N:N,'Dados Mercado'!$A:$A,$B271)</f>
        <v>209234.10499999998</v>
      </c>
      <c r="O271" s="404">
        <f>+SUMIFS('Dados Mercado'!O:O,'Dados Mercado'!$A:$A,$B271)</f>
        <v>289283.89500000002</v>
      </c>
      <c r="P271" s="367"/>
      <c r="Q271" s="405">
        <f>+SUMIFS('Dados Mercado'!Q:Q,'Dados Mercado'!$A:$A,$B271)</f>
        <v>2661012</v>
      </c>
      <c r="R271" s="406">
        <f t="shared" si="139"/>
        <v>5.3378453736876104</v>
      </c>
      <c r="S271" s="367"/>
      <c r="T271" s="405">
        <f>+SUMIFS('Dados Mercado'!T:T,'Dados Mercado'!$A:$A,$B271)</f>
        <v>74815</v>
      </c>
      <c r="U271" s="402">
        <f>+SUMIFS('Dados Mercado'!U:U,'Dados Mercado'!$A:$A,$B271)</f>
        <v>86006</v>
      </c>
      <c r="V271" s="402">
        <f>+SUMIFS('Dados Mercado'!V:V,'Dados Mercado'!$A:$A,$B271)</f>
        <v>136434</v>
      </c>
      <c r="W271" s="402">
        <f>+SUMIFS('Dados Mercado'!W:W,'Dados Mercado'!$A:$A,$B271)</f>
        <v>33150</v>
      </c>
      <c r="X271" s="402">
        <f>+SUMIFS('Dados Mercado'!X:X,'Dados Mercado'!$A:$A,$B271)</f>
        <v>50428</v>
      </c>
      <c r="Y271" s="402">
        <f>+SUMIFS('Dados Mercado'!Y:Y,'Dados Mercado'!$A:$A,$B271)</f>
        <v>53660</v>
      </c>
      <c r="Z271" s="402">
        <f>+SUMIFS('Dados Mercado'!Z:Z,'Dados Mercado'!$A:$A,$B271)</f>
        <v>20813</v>
      </c>
      <c r="AA271" s="402">
        <f>+SUMIFS('Dados Mercado'!AA:AA,'Dados Mercado'!$A:$A,$B271)</f>
        <v>0</v>
      </c>
      <c r="AB271" s="404">
        <f>+SUMIFS('Dados Mercado'!AB:AB,'Dados Mercado'!$A:$A,$B271)</f>
        <v>43212</v>
      </c>
      <c r="AC271" s="367"/>
      <c r="AD271" s="445" t="s">
        <v>1049</v>
      </c>
      <c r="AE271" s="660">
        <f t="shared" si="140"/>
        <v>0.1500748217717314</v>
      </c>
      <c r="AF271" s="661">
        <f t="shared" si="141"/>
        <v>0.17252335923677781</v>
      </c>
      <c r="AG271" s="661">
        <f t="shared" si="142"/>
        <v>0.27367918510465017</v>
      </c>
      <c r="AH271" s="661">
        <f t="shared" si="143"/>
        <v>6.6497097396683774E-2</v>
      </c>
      <c r="AI271" s="661">
        <f t="shared" si="144"/>
        <v>0.10115582586787238</v>
      </c>
      <c r="AJ271" s="661">
        <f t="shared" si="145"/>
        <v>0.10763904212084618</v>
      </c>
      <c r="AK271" s="661">
        <f t="shared" si="146"/>
        <v>4.1749746247878715E-2</v>
      </c>
      <c r="AL271" s="661" t="s">
        <v>160</v>
      </c>
      <c r="AM271" s="662">
        <f t="shared" si="147"/>
        <v>8.6680922253559556E-2</v>
      </c>
      <c r="AN271" s="367"/>
      <c r="AO271" s="587">
        <f>+SUMIFS('Dados Mercado'!AO:AO,'Dados Mercado'!$A:$A,$B271)</f>
        <v>28323.1342</v>
      </c>
      <c r="AP271" s="588">
        <f>+SUMIFS('Dados Mercado'!AP:AP,'Dados Mercado'!$A:$A,$B271)</f>
        <v>76270.876799999998</v>
      </c>
      <c r="AQ271" s="588">
        <f>+SUMIFS('Dados Mercado'!AQ:AQ,'Dados Mercado'!$A:$A,$B271)</f>
        <v>53375.810799999992</v>
      </c>
      <c r="AR271" s="588">
        <f>+SUMIFS('Dados Mercado'!AR:AR,'Dados Mercado'!$A:$A,$B271)</f>
        <v>257139.62400000001</v>
      </c>
      <c r="AS271" s="589">
        <f>+SUMIFS('Dados Mercado'!AS:AS,'Dados Mercado'!$A:$A,$B271)</f>
        <v>83374.551200000016</v>
      </c>
      <c r="AT271" s="364"/>
      <c r="AU271" s="665">
        <f t="shared" si="158"/>
        <v>5.6818542561959118E-2</v>
      </c>
      <c r="AV271" s="666">
        <f t="shared" si="158"/>
        <v>0.15300566770250801</v>
      </c>
      <c r="AW271" s="666">
        <f t="shared" si="158"/>
        <v>0.10707627751588582</v>
      </c>
      <c r="AX271" s="666">
        <f t="shared" si="158"/>
        <v>0.51584328794410628</v>
      </c>
      <c r="AY271" s="407">
        <f t="shared" si="158"/>
        <v>0.16725622427554082</v>
      </c>
      <c r="AZ271" s="364"/>
      <c r="BA271" s="408">
        <f t="shared" si="152"/>
        <v>0.16020124572174116</v>
      </c>
      <c r="BB271" s="409">
        <f t="shared" si="154"/>
        <v>9.2044820848996428E-2</v>
      </c>
    </row>
    <row r="272" spans="1:54" ht="12.75" customHeight="1" x14ac:dyDescent="0.2">
      <c r="A272" s="364"/>
      <c r="B272" s="438" t="s">
        <v>1023</v>
      </c>
      <c r="C272" s="401">
        <f>+SUMIFS('Dados Mercado'!C:C,'Dados Mercado'!$A:$A,$B272)</f>
        <v>607259</v>
      </c>
      <c r="D272" s="402">
        <f>+SUMIFS('Dados Mercado'!D:D,'Dados Mercado'!$A:$A,$B272)</f>
        <v>509382</v>
      </c>
      <c r="E272" s="404">
        <f>+SUMIFS('Dados Mercado'!E:E,'Dados Mercado'!$A:$A,$B272)</f>
        <v>97877</v>
      </c>
      <c r="F272" s="367"/>
      <c r="G272" s="401" t="s">
        <v>160</v>
      </c>
      <c r="H272" s="403" t="s">
        <v>160</v>
      </c>
      <c r="I272" s="449" t="s">
        <v>160</v>
      </c>
      <c r="J272" s="367"/>
      <c r="K272" s="405">
        <f>+SUMIFS('Dados Mercado'!K:K,'Dados Mercado'!$A:$A,$B272)</f>
        <v>504509</v>
      </c>
      <c r="L272" s="404">
        <f>+SUMIFS('Dados Mercado'!L:L,'Dados Mercado'!$A:$A,$B272)</f>
        <v>59453</v>
      </c>
      <c r="M272" s="367"/>
      <c r="N272" s="405">
        <f>+SUMIFS('Dados Mercado'!N:N,'Dados Mercado'!$A:$A,$B272)</f>
        <v>226876.63740000001</v>
      </c>
      <c r="O272" s="404">
        <f>+SUMIFS('Dados Mercado'!O:O,'Dados Mercado'!$A:$A,$B272)</f>
        <v>282505.36259999999</v>
      </c>
      <c r="P272" s="367"/>
      <c r="Q272" s="405">
        <f>+SUMIFS('Dados Mercado'!Q:Q,'Dados Mercado'!$A:$A,$B272)</f>
        <v>2790487</v>
      </c>
      <c r="R272" s="406">
        <f t="shared" si="139"/>
        <v>5.4781814041328509</v>
      </c>
      <c r="S272" s="367"/>
      <c r="T272" s="405">
        <f>+SUMIFS('Dados Mercado'!T:T,'Dados Mercado'!$A:$A,$B272)</f>
        <v>49826</v>
      </c>
      <c r="U272" s="402">
        <f>+SUMIFS('Dados Mercado'!U:U,'Dados Mercado'!$A:$A,$B272)</f>
        <v>79306</v>
      </c>
      <c r="V272" s="402">
        <f>+SUMIFS('Dados Mercado'!V:V,'Dados Mercado'!$A:$A,$B272)</f>
        <v>160874</v>
      </c>
      <c r="W272" s="402">
        <f>+SUMIFS('Dados Mercado'!W:W,'Dados Mercado'!$A:$A,$B272)</f>
        <v>45474</v>
      </c>
      <c r="X272" s="402">
        <f>+SUMIFS('Dados Mercado'!X:X,'Dados Mercado'!$A:$A,$B272)</f>
        <v>52095</v>
      </c>
      <c r="Y272" s="402">
        <f>+SUMIFS('Dados Mercado'!Y:Y,'Dados Mercado'!$A:$A,$B272)</f>
        <v>57028</v>
      </c>
      <c r="Z272" s="402">
        <f>+SUMIFS('Dados Mercado'!Z:Z,'Dados Mercado'!$A:$A,$B272)</f>
        <v>19349</v>
      </c>
      <c r="AA272" s="402">
        <f>+SUMIFS('Dados Mercado'!AA:AA,'Dados Mercado'!$A:$A,$B272)</f>
        <v>0</v>
      </c>
      <c r="AB272" s="404">
        <f>+SUMIFS('Dados Mercado'!AB:AB,'Dados Mercado'!$A:$A,$B272)</f>
        <v>45430</v>
      </c>
      <c r="AC272" s="367"/>
      <c r="AD272" s="445" t="s">
        <v>1023</v>
      </c>
      <c r="AE272" s="660">
        <f t="shared" si="140"/>
        <v>9.7816569882720625E-2</v>
      </c>
      <c r="AF272" s="661">
        <f t="shared" si="141"/>
        <v>0.15569062118410151</v>
      </c>
      <c r="AG272" s="661">
        <f t="shared" si="142"/>
        <v>0.31582191753929273</v>
      </c>
      <c r="AH272" s="661">
        <f t="shared" si="143"/>
        <v>8.927288361190619E-2</v>
      </c>
      <c r="AI272" s="661">
        <f t="shared" si="144"/>
        <v>0.10227098719624958</v>
      </c>
      <c r="AJ272" s="661">
        <f t="shared" si="145"/>
        <v>0.11195527128952339</v>
      </c>
      <c r="AK272" s="661">
        <f t="shared" si="146"/>
        <v>3.7985244865346636E-2</v>
      </c>
      <c r="AL272" s="661" t="s">
        <v>160</v>
      </c>
      <c r="AM272" s="662">
        <f t="shared" si="147"/>
        <v>8.9186504430859362E-2</v>
      </c>
      <c r="AN272" s="367"/>
      <c r="AO272" s="587">
        <f>+SUMIFS('Dados Mercado'!AO:AO,'Dados Mercado'!$A:$A,$B272)</f>
        <v>31037.198400000001</v>
      </c>
      <c r="AP272" s="588">
        <f>+SUMIFS('Dados Mercado'!AP:AP,'Dados Mercado'!$A:$A,$B272)</f>
        <v>82087.0864</v>
      </c>
      <c r="AQ272" s="588">
        <f>+SUMIFS('Dados Mercado'!AQ:AQ,'Dados Mercado'!$A:$A,$B272)</f>
        <v>55454.113599999997</v>
      </c>
      <c r="AR272" s="588">
        <f>+SUMIFS('Dados Mercado'!AR:AR,'Dados Mercado'!$A:$A,$B272)</f>
        <v>259374.93029999998</v>
      </c>
      <c r="AS272" s="589">
        <f>+SUMIFS('Dados Mercado'!AS:AS,'Dados Mercado'!$A:$A,$B272)</f>
        <v>81193.303400000004</v>
      </c>
      <c r="AT272" s="364"/>
      <c r="AU272" s="665">
        <f t="shared" ref="AU272:AY273" si="159">+AO272/SUM($AO272:$AS272)</f>
        <v>6.0959253078009326E-2</v>
      </c>
      <c r="AV272" s="666">
        <f t="shared" si="159"/>
        <v>0.16122484413071306</v>
      </c>
      <c r="AW272" s="666">
        <f t="shared" si="159"/>
        <v>0.10891580166459477</v>
      </c>
      <c r="AX272" s="666">
        <f t="shared" si="159"/>
        <v>0.50943071002983076</v>
      </c>
      <c r="AY272" s="407">
        <f t="shared" si="159"/>
        <v>0.15946939109685218</v>
      </c>
      <c r="AZ272" s="364"/>
      <c r="BA272" s="408">
        <f t="shared" si="152"/>
        <v>0.1940044677101895</v>
      </c>
      <c r="BB272" s="409">
        <f t="shared" si="154"/>
        <v>0.11671594206312748</v>
      </c>
    </row>
    <row r="273" spans="1:54" ht="12.75" customHeight="1" x14ac:dyDescent="0.2">
      <c r="A273" s="364"/>
      <c r="B273" s="438" t="s">
        <v>1024</v>
      </c>
      <c r="C273" s="401">
        <f>+SUMIFS('Dados Mercado'!C:C,'Dados Mercado'!$A:$A,$B273)</f>
        <v>533317</v>
      </c>
      <c r="D273" s="402">
        <f>+SUMIFS('Dados Mercado'!D:D,'Dados Mercado'!$A:$A,$B273)</f>
        <v>463358</v>
      </c>
      <c r="E273" s="404">
        <f>+SUMIFS('Dados Mercado'!E:E,'Dados Mercado'!$A:$A,$B273)</f>
        <v>69959</v>
      </c>
      <c r="F273" s="367"/>
      <c r="G273" s="401" t="s">
        <v>160</v>
      </c>
      <c r="H273" s="403" t="s">
        <v>160</v>
      </c>
      <c r="I273" s="449" t="s">
        <v>160</v>
      </c>
      <c r="J273" s="367"/>
      <c r="K273" s="405">
        <f>+SUMIFS('Dados Mercado'!K:K,'Dados Mercado'!$A:$A,$B273)</f>
        <v>455752</v>
      </c>
      <c r="L273" s="404">
        <f>+SUMIFS('Dados Mercado'!L:L,'Dados Mercado'!$A:$A,$B273)</f>
        <v>67681</v>
      </c>
      <c r="M273" s="367"/>
      <c r="N273" s="405">
        <f>+SUMIFS('Dados Mercado'!N:N,'Dados Mercado'!$A:$A,$B273)</f>
        <v>183909.3731</v>
      </c>
      <c r="O273" s="404">
        <f>+SUMIFS('Dados Mercado'!O:O,'Dados Mercado'!$A:$A,$B273)</f>
        <v>279448.62690000003</v>
      </c>
      <c r="P273" s="367"/>
      <c r="Q273" s="405">
        <f>+SUMIFS('Dados Mercado'!Q:Q,'Dados Mercado'!$A:$A,$B273)</f>
        <v>3116247</v>
      </c>
      <c r="R273" s="406">
        <f t="shared" si="139"/>
        <v>6.7253549091631095</v>
      </c>
      <c r="S273" s="367"/>
      <c r="T273" s="405">
        <f>+SUMIFS('Dados Mercado'!T:T,'Dados Mercado'!$A:$A,$B273)</f>
        <v>36332</v>
      </c>
      <c r="U273" s="402">
        <f>+SUMIFS('Dados Mercado'!U:U,'Dados Mercado'!$A:$A,$B273)</f>
        <v>61647</v>
      </c>
      <c r="V273" s="402">
        <f>+SUMIFS('Dados Mercado'!V:V,'Dados Mercado'!$A:$A,$B273)</f>
        <v>150440</v>
      </c>
      <c r="W273" s="402">
        <f>+SUMIFS('Dados Mercado'!W:W,'Dados Mercado'!$A:$A,$B273)</f>
        <v>48765</v>
      </c>
      <c r="X273" s="402">
        <f>+SUMIFS('Dados Mercado'!X:X,'Dados Mercado'!$A:$A,$B273)</f>
        <v>41756</v>
      </c>
      <c r="Y273" s="402">
        <f>+SUMIFS('Dados Mercado'!Y:Y,'Dados Mercado'!$A:$A,$B273)</f>
        <v>56735</v>
      </c>
      <c r="Z273" s="402">
        <f>+SUMIFS('Dados Mercado'!Z:Z,'Dados Mercado'!$A:$A,$B273)</f>
        <v>21769</v>
      </c>
      <c r="AA273" s="402">
        <f>+SUMIFS('Dados Mercado'!AA:AA,'Dados Mercado'!$A:$A,$B273)</f>
        <v>0</v>
      </c>
      <c r="AB273" s="404">
        <f>+SUMIFS('Dados Mercado'!AB:AB,'Dados Mercado'!$A:$A,$B273)</f>
        <v>45914</v>
      </c>
      <c r="AC273" s="364"/>
      <c r="AD273" s="445" t="s">
        <v>1024</v>
      </c>
      <c r="AE273" s="660">
        <f t="shared" si="140"/>
        <v>7.8410214132485029E-2</v>
      </c>
      <c r="AF273" s="661">
        <f t="shared" si="141"/>
        <v>0.13304399621890634</v>
      </c>
      <c r="AG273" s="661">
        <f t="shared" si="142"/>
        <v>0.32467336271306418</v>
      </c>
      <c r="AH273" s="661">
        <f t="shared" si="143"/>
        <v>0.10524259859547046</v>
      </c>
      <c r="AI273" s="661">
        <f t="shared" si="144"/>
        <v>9.0116065763405404E-2</v>
      </c>
      <c r="AJ273" s="661">
        <f t="shared" si="145"/>
        <v>0.12244312173308759</v>
      </c>
      <c r="AK273" s="661">
        <f t="shared" si="146"/>
        <v>4.6980952093197914E-2</v>
      </c>
      <c r="AL273" s="661" t="s">
        <v>160</v>
      </c>
      <c r="AM273" s="662">
        <f t="shared" si="147"/>
        <v>9.908968875038307E-2</v>
      </c>
      <c r="AN273" s="367"/>
      <c r="AO273" s="587">
        <f>+SUMIFS('Dados Mercado'!AO:AO,'Dados Mercado'!$A:$A,$B273)</f>
        <v>29402.133199999997</v>
      </c>
      <c r="AP273" s="588">
        <f>+SUMIFS('Dados Mercado'!AP:AP,'Dados Mercado'!$A:$A,$B273)</f>
        <v>70824.090300000011</v>
      </c>
      <c r="AQ273" s="588">
        <f>+SUMIFS('Dados Mercado'!AQ:AQ,'Dados Mercado'!$A:$A,$B273)</f>
        <v>53855.637600000002</v>
      </c>
      <c r="AR273" s="588">
        <f>+SUMIFS('Dados Mercado'!AR:AR,'Dados Mercado'!$A:$A,$B273)</f>
        <v>230725.51179999998</v>
      </c>
      <c r="AS273" s="589">
        <f>+SUMIFS('Dados Mercado'!AS:AS,'Dados Mercado'!$A:$A,$B273)</f>
        <v>78566.482799999998</v>
      </c>
      <c r="AT273" s="364"/>
      <c r="AU273" s="665">
        <f t="shared" si="159"/>
        <v>6.345229200638304E-2</v>
      </c>
      <c r="AV273" s="666">
        <f t="shared" si="159"/>
        <v>0.15284438133223754</v>
      </c>
      <c r="AW273" s="666">
        <f t="shared" si="159"/>
        <v>0.11622502421644504</v>
      </c>
      <c r="AX273" s="666">
        <f t="shared" si="159"/>
        <v>0.49792518279101522</v>
      </c>
      <c r="AY273" s="407">
        <f t="shared" si="159"/>
        <v>0.16955311965391923</v>
      </c>
      <c r="AZ273" s="364"/>
      <c r="BA273" s="408">
        <f t="shared" si="152"/>
        <v>0.15350234337973284</v>
      </c>
      <c r="BB273" s="409">
        <f t="shared" si="154"/>
        <v>0.14606632452660795</v>
      </c>
    </row>
    <row r="274" spans="1:54" ht="12.75" customHeight="1" x14ac:dyDescent="0.2">
      <c r="A274" s="364"/>
      <c r="B274" s="438" t="s">
        <v>1050</v>
      </c>
      <c r="C274" s="401">
        <f>+SUMIFS('Dados Mercado'!C:C,'Dados Mercado'!$A:$A,$B274)</f>
        <v>597814</v>
      </c>
      <c r="D274" s="402">
        <f>+SUMIFS('Dados Mercado'!D:D,'Dados Mercado'!$A:$A,$B274)</f>
        <v>505836</v>
      </c>
      <c r="E274" s="404">
        <f>+SUMIFS('Dados Mercado'!E:E,'Dados Mercado'!$A:$A,$B274)</f>
        <v>91978</v>
      </c>
      <c r="F274" s="364"/>
      <c r="G274" s="401" t="s">
        <v>160</v>
      </c>
      <c r="H274" s="403" t="s">
        <v>160</v>
      </c>
      <c r="I274" s="449" t="s">
        <v>160</v>
      </c>
      <c r="J274" s="364"/>
      <c r="K274" s="405">
        <f>+SUMIFS('Dados Mercado'!K:K,'Dados Mercado'!$A:$A,$B274)</f>
        <v>550786</v>
      </c>
      <c r="L274" s="404">
        <f>+SUMIFS('Dados Mercado'!L:L,'Dados Mercado'!$A:$A,$B274)</f>
        <v>74901</v>
      </c>
      <c r="M274" s="367"/>
      <c r="N274" s="405">
        <f>+SUMIFS('Dados Mercado'!N:N,'Dados Mercado'!$A:$A,$B274)</f>
        <v>232289.55470000001</v>
      </c>
      <c r="O274" s="404">
        <f>+SUMIFS('Dados Mercado'!O:O,'Dados Mercado'!$A:$A,$B274)</f>
        <v>273546.44530000002</v>
      </c>
      <c r="P274" s="367"/>
      <c r="Q274" s="405">
        <f>+SUMIFS('Dados Mercado'!Q:Q,'Dados Mercado'!$A:$A,$B274)</f>
        <v>2667601</v>
      </c>
      <c r="R274" s="406">
        <f t="shared" si="139"/>
        <v>5.2736479807684704</v>
      </c>
      <c r="S274" s="367"/>
      <c r="T274" s="405">
        <f>+SUMIFS('Dados Mercado'!T:T,'Dados Mercado'!$A:$A,$B274)</f>
        <v>81222</v>
      </c>
      <c r="U274" s="402">
        <f>+SUMIFS('Dados Mercado'!U:U,'Dados Mercado'!$A:$A,$B274)</f>
        <v>75346</v>
      </c>
      <c r="V274" s="402">
        <f>+SUMIFS('Dados Mercado'!V:V,'Dados Mercado'!$A:$A,$B274)</f>
        <v>132657</v>
      </c>
      <c r="W274" s="402">
        <f>+SUMIFS('Dados Mercado'!W:W,'Dados Mercado'!$A:$A,$B274)</f>
        <v>45978</v>
      </c>
      <c r="X274" s="402">
        <f>+SUMIFS('Dados Mercado'!X:X,'Dados Mercado'!$A:$A,$B274)</f>
        <v>48230</v>
      </c>
      <c r="Y274" s="402">
        <f>+SUMIFS('Dados Mercado'!Y:Y,'Dados Mercado'!$A:$A,$B274)</f>
        <v>56724</v>
      </c>
      <c r="Z274" s="402">
        <f>+SUMIFS('Dados Mercado'!Z:Z,'Dados Mercado'!$A:$A,$B274)</f>
        <v>19523</v>
      </c>
      <c r="AA274" s="402">
        <f>+SUMIFS('Dados Mercado'!AA:AA,'Dados Mercado'!$A:$A,$B274)</f>
        <v>0</v>
      </c>
      <c r="AB274" s="404">
        <f>+SUMIFS('Dados Mercado'!AB:AB,'Dados Mercado'!$A:$A,$B274)</f>
        <v>46156</v>
      </c>
      <c r="AC274" s="364"/>
      <c r="AD274" s="445" t="s">
        <v>1050</v>
      </c>
      <c r="AE274" s="660">
        <f t="shared" si="140"/>
        <v>0.16056982895642066</v>
      </c>
      <c r="AF274" s="661">
        <f t="shared" si="141"/>
        <v>0.148953415731581</v>
      </c>
      <c r="AG274" s="661">
        <f t="shared" si="142"/>
        <v>0.26225298318031931</v>
      </c>
      <c r="AH274" s="661">
        <f t="shared" si="143"/>
        <v>9.0895072711313543E-2</v>
      </c>
      <c r="AI274" s="661">
        <f t="shared" si="144"/>
        <v>9.5347108549015888E-2</v>
      </c>
      <c r="AJ274" s="661">
        <f t="shared" si="145"/>
        <v>0.1121391122814509</v>
      </c>
      <c r="AK274" s="661">
        <f t="shared" si="146"/>
        <v>3.8595513170276534E-2</v>
      </c>
      <c r="AL274" s="661" t="s">
        <v>160</v>
      </c>
      <c r="AM274" s="662">
        <f t="shared" si="147"/>
        <v>9.124696541962217E-2</v>
      </c>
      <c r="AN274" s="367"/>
      <c r="AO274" s="587">
        <f>+SUMIFS('Dados Mercado'!AO:AO,'Dados Mercado'!$A:$A,$B274)</f>
        <v>30292.9133</v>
      </c>
      <c r="AP274" s="588">
        <f>+SUMIFS('Dados Mercado'!AP:AP,'Dados Mercado'!$A:$A,$B274)</f>
        <v>71881.909799999994</v>
      </c>
      <c r="AQ274" s="588">
        <f>+SUMIFS('Dados Mercado'!AQ:AQ,'Dados Mercado'!$A:$A,$B274)</f>
        <v>52144.209000000003</v>
      </c>
      <c r="AR274" s="588">
        <f>+SUMIFS('Dados Mercado'!AR:AR,'Dados Mercado'!$A:$A,$B274)</f>
        <v>260275.5986</v>
      </c>
      <c r="AS274" s="589">
        <f>+SUMIFS('Dados Mercado'!AS:AS,'Dados Mercado'!$A:$A,$B274)</f>
        <v>91225.224400000006</v>
      </c>
      <c r="AT274" s="364"/>
      <c r="AU274" s="665">
        <f t="shared" ref="AU274:AY275" si="160">+AO274/SUM($AO274:$AS274)</f>
        <v>5.988873903340771E-2</v>
      </c>
      <c r="AV274" s="666">
        <f t="shared" si="160"/>
        <v>0.14210970383080163</v>
      </c>
      <c r="AW274" s="666">
        <f t="shared" si="160"/>
        <v>0.10308849776110737</v>
      </c>
      <c r="AX274" s="666">
        <f t="shared" si="160"/>
        <v>0.51456184642760572</v>
      </c>
      <c r="AY274" s="407">
        <f t="shared" si="160"/>
        <v>0.18035121294707754</v>
      </c>
      <c r="AZ274" s="364"/>
      <c r="BA274" s="408">
        <f t="shared" si="152"/>
        <v>0.16699407755462195</v>
      </c>
      <c r="BB274" s="409">
        <f t="shared" si="154"/>
        <v>0.14807368396080944</v>
      </c>
    </row>
    <row r="275" spans="1:54" ht="12.75" customHeight="1" x14ac:dyDescent="0.2">
      <c r="A275" s="364"/>
      <c r="B275" s="438" t="s">
        <v>1114</v>
      </c>
      <c r="C275" s="401">
        <f>+SUMIFS('Dados Mercado'!C:C,'Dados Mercado'!$A:$A,$B275)</f>
        <v>477894</v>
      </c>
      <c r="D275" s="402">
        <f>+SUMIFS('Dados Mercado'!D:D,'Dados Mercado'!$A:$A,$B275)</f>
        <v>375494</v>
      </c>
      <c r="E275" s="404">
        <f>+SUMIFS('Dados Mercado'!E:E,'Dados Mercado'!$A:$A,$B275)</f>
        <v>102400</v>
      </c>
      <c r="F275" s="367"/>
      <c r="G275" s="401" t="s">
        <v>160</v>
      </c>
      <c r="H275" s="403" t="s">
        <v>160</v>
      </c>
      <c r="I275" s="449" t="s">
        <v>160</v>
      </c>
      <c r="J275" s="367"/>
      <c r="K275" s="405">
        <f>+SUMIFS('Dados Mercado'!K:K,'Dados Mercado'!$A:$A,$B275)</f>
        <v>456053</v>
      </c>
      <c r="L275" s="404">
        <f>+SUMIFS('Dados Mercado'!L:L,'Dados Mercado'!$A:$A,$B275)</f>
        <v>49921</v>
      </c>
      <c r="M275" s="367"/>
      <c r="N275" s="405">
        <f>+SUMIFS('Dados Mercado'!N:N,'Dados Mercado'!$A:$A,$B275)</f>
        <v>148155.28630000001</v>
      </c>
      <c r="O275" s="404">
        <f>+SUMIFS('Dados Mercado'!O:O,'Dados Mercado'!$A:$A,$B275)</f>
        <v>227338.71370000002</v>
      </c>
      <c r="P275" s="367"/>
      <c r="Q275" s="405">
        <f>+SUMIFS('Dados Mercado'!Q:Q,'Dados Mercado'!$A:$A,$B275)</f>
        <v>2003508</v>
      </c>
      <c r="R275" s="406">
        <f t="shared" si="139"/>
        <v>5.3356591583354191</v>
      </c>
      <c r="S275" s="367"/>
      <c r="T275" s="405">
        <f>+SUMIFS('Dados Mercado'!T:T,'Dados Mercado'!$A:$A,$B275)</f>
        <v>49745</v>
      </c>
      <c r="U275" s="402">
        <f>+SUMIFS('Dados Mercado'!U:U,'Dados Mercado'!$A:$A,$B275)</f>
        <v>37340</v>
      </c>
      <c r="V275" s="402">
        <f>+SUMIFS('Dados Mercado'!V:V,'Dados Mercado'!$A:$A,$B275)</f>
        <v>108803</v>
      </c>
      <c r="W275" s="402">
        <f>+SUMIFS('Dados Mercado'!W:W,'Dados Mercado'!$A:$A,$B275)</f>
        <v>40382</v>
      </c>
      <c r="X275" s="402">
        <f>+SUMIFS('Dados Mercado'!X:X,'Dados Mercado'!$A:$A,$B275)</f>
        <v>36338</v>
      </c>
      <c r="Y275" s="402">
        <f>+SUMIFS('Dados Mercado'!Y:Y,'Dados Mercado'!$A:$A,$B275)</f>
        <v>49867</v>
      </c>
      <c r="Z275" s="402">
        <f>+SUMIFS('Dados Mercado'!Z:Z,'Dados Mercado'!$A:$A,$B275)</f>
        <v>13438</v>
      </c>
      <c r="AA275" s="402">
        <f>+SUMIFS('Dados Mercado'!AA:AA,'Dados Mercado'!$A:$A,$B275)</f>
        <v>0</v>
      </c>
      <c r="AB275" s="404">
        <f>+SUMIFS('Dados Mercado'!AB:AB,'Dados Mercado'!$A:$A,$B275)</f>
        <v>39581</v>
      </c>
      <c r="AC275" s="367"/>
      <c r="AD275" s="445" t="s">
        <v>1114</v>
      </c>
      <c r="AE275" s="660">
        <f t="shared" si="140"/>
        <v>0.1324788145749333</v>
      </c>
      <c r="AF275" s="661">
        <f t="shared" si="141"/>
        <v>9.9442334631179199E-2</v>
      </c>
      <c r="AG275" s="661">
        <f t="shared" si="142"/>
        <v>0.28975962332287603</v>
      </c>
      <c r="AH275" s="661">
        <f t="shared" si="143"/>
        <v>0.1075436624819571</v>
      </c>
      <c r="AI275" s="661">
        <f t="shared" si="144"/>
        <v>9.6773849915045243E-2</v>
      </c>
      <c r="AJ275" s="661">
        <f t="shared" si="145"/>
        <v>0.1328037198996522</v>
      </c>
      <c r="AK275" s="661">
        <f t="shared" si="146"/>
        <v>3.5787522570267433E-2</v>
      </c>
      <c r="AL275" s="661" t="s">
        <v>160</v>
      </c>
      <c r="AM275" s="662">
        <f t="shared" si="147"/>
        <v>0.10541047260408955</v>
      </c>
      <c r="AN275" s="367"/>
      <c r="AO275" s="587">
        <f>+SUMIFS('Dados Mercado'!AO:AO,'Dados Mercado'!$A:$A,$B275)</f>
        <v>21817.855500000001</v>
      </c>
      <c r="AP275" s="588">
        <f>+SUMIFS('Dados Mercado'!AP:AP,'Dados Mercado'!$A:$A,$B275)</f>
        <v>56596.435700000002</v>
      </c>
      <c r="AQ275" s="588">
        <f>+SUMIFS('Dados Mercado'!AQ:AQ,'Dados Mercado'!$A:$A,$B275)</f>
        <v>42975.035600000003</v>
      </c>
      <c r="AR275" s="588">
        <f>+SUMIFS('Dados Mercado'!AR:AR,'Dados Mercado'!$A:$A,$B275)</f>
        <v>192836.04620000001</v>
      </c>
      <c r="AS275" s="589">
        <f>+SUMIFS('Dados Mercado'!AS:AS,'Dados Mercado'!$A:$A,$B275)</f>
        <v>61256.9496</v>
      </c>
      <c r="AT275" s="364"/>
      <c r="AU275" s="665">
        <f t="shared" si="160"/>
        <v>5.8106212161797254E-2</v>
      </c>
      <c r="AV275" s="666">
        <f t="shared" si="160"/>
        <v>0.15072996062265223</v>
      </c>
      <c r="AW275" s="666">
        <f t="shared" si="160"/>
        <v>0.11445288636339121</v>
      </c>
      <c r="AX275" s="666">
        <f t="shared" si="160"/>
        <v>0.51356890749135897</v>
      </c>
      <c r="AY275" s="407">
        <f t="shared" si="160"/>
        <v>0.16314203336080035</v>
      </c>
      <c r="AZ275" s="364"/>
      <c r="BA275" s="408">
        <f t="shared" si="152"/>
        <v>0.22453530620344564</v>
      </c>
      <c r="BB275" s="409">
        <f t="shared" si="154"/>
        <v>0.13294753045321631</v>
      </c>
    </row>
    <row r="276" spans="1:54" ht="12.75" customHeight="1" x14ac:dyDescent="0.2">
      <c r="A276" s="364"/>
      <c r="B276" s="438" t="s">
        <v>1119</v>
      </c>
      <c r="C276" s="401">
        <f>+SUMIFS('Dados Mercado'!C:C,'Dados Mercado'!$A:$A,$B276)</f>
        <v>608209</v>
      </c>
      <c r="D276" s="402">
        <f>+SUMIFS('Dados Mercado'!D:D,'Dados Mercado'!$A:$A,$B276)</f>
        <v>477633</v>
      </c>
      <c r="E276" s="404">
        <f>+SUMIFS('Dados Mercado'!E:E,'Dados Mercado'!$A:$A,$B276)</f>
        <v>130576</v>
      </c>
      <c r="F276" s="367"/>
      <c r="G276" s="401" t="s">
        <v>160</v>
      </c>
      <c r="H276" s="403" t="s">
        <v>160</v>
      </c>
      <c r="I276" s="449" t="s">
        <v>160</v>
      </c>
      <c r="J276" s="367"/>
      <c r="K276" s="405">
        <f>+SUMIFS('Dados Mercado'!K:K,'Dados Mercado'!$A:$A,$B276)</f>
        <v>550533</v>
      </c>
      <c r="L276" s="404">
        <f>+SUMIFS('Dados Mercado'!L:L,'Dados Mercado'!$A:$A,$B276)</f>
        <v>67253</v>
      </c>
      <c r="M276" s="367"/>
      <c r="N276" s="405">
        <f>+SUMIFS('Dados Mercado'!N:N,'Dados Mercado'!$A:$A,$B276)</f>
        <v>224724.10100000002</v>
      </c>
      <c r="O276" s="404">
        <f>+SUMIFS('Dados Mercado'!O:O,'Dados Mercado'!$A:$A,$B276)</f>
        <v>252908.89899999998</v>
      </c>
      <c r="P276" s="367"/>
      <c r="Q276" s="405">
        <f>+SUMIFS('Dados Mercado'!Q:Q,'Dados Mercado'!$A:$A,$B276)</f>
        <v>2368665</v>
      </c>
      <c r="R276" s="406">
        <f t="shared" si="139"/>
        <v>4.9591736751857596</v>
      </c>
      <c r="S276" s="367"/>
      <c r="T276" s="405">
        <f>+SUMIFS('Dados Mercado'!T:T,'Dados Mercado'!$A:$A,$B276)</f>
        <v>65692</v>
      </c>
      <c r="U276" s="402">
        <f>+SUMIFS('Dados Mercado'!U:U,'Dados Mercado'!$A:$A,$B276)</f>
        <v>58598</v>
      </c>
      <c r="V276" s="402">
        <f>+SUMIFS('Dados Mercado'!V:V,'Dados Mercado'!$A:$A,$B276)</f>
        <v>143493</v>
      </c>
      <c r="W276" s="402">
        <f>+SUMIFS('Dados Mercado'!W:W,'Dados Mercado'!$A:$A,$B276)</f>
        <v>50196</v>
      </c>
      <c r="X276" s="402">
        <f>+SUMIFS('Dados Mercado'!X:X,'Dados Mercado'!$A:$A,$B276)</f>
        <v>41708</v>
      </c>
      <c r="Y276" s="402">
        <f>+SUMIFS('Dados Mercado'!Y:Y,'Dados Mercado'!$A:$A,$B276)</f>
        <v>53336</v>
      </c>
      <c r="Z276" s="402">
        <f>+SUMIFS('Dados Mercado'!Z:Z,'Dados Mercado'!$A:$A,$B276)</f>
        <v>12436</v>
      </c>
      <c r="AA276" s="402">
        <f>+SUMIFS('Dados Mercado'!AA:AA,'Dados Mercado'!$A:$A,$B276)</f>
        <v>0</v>
      </c>
      <c r="AB276" s="404">
        <f>+SUMIFS('Dados Mercado'!AB:AB,'Dados Mercado'!$A:$A,$B276)</f>
        <v>52174</v>
      </c>
      <c r="AC276" s="367"/>
      <c r="AD276" s="445" t="s">
        <v>1119</v>
      </c>
      <c r="AE276" s="660">
        <f t="shared" si="140"/>
        <v>0.13753656049728558</v>
      </c>
      <c r="AF276" s="661">
        <f t="shared" si="141"/>
        <v>0.12268415289563325</v>
      </c>
      <c r="AG276" s="661">
        <f t="shared" si="142"/>
        <v>0.30042522187537291</v>
      </c>
      <c r="AH276" s="661">
        <f t="shared" si="143"/>
        <v>0.10509324104490268</v>
      </c>
      <c r="AI276" s="661">
        <f t="shared" si="144"/>
        <v>8.7322274633452879E-2</v>
      </c>
      <c r="AJ276" s="661">
        <f t="shared" si="145"/>
        <v>0.11166732616883675</v>
      </c>
      <c r="AK276" s="661">
        <f t="shared" si="146"/>
        <v>2.6036726943071353E-2</v>
      </c>
      <c r="AL276" s="661" t="s">
        <v>160</v>
      </c>
      <c r="AM276" s="662">
        <f t="shared" si="147"/>
        <v>0.10923449594144458</v>
      </c>
      <c r="AN276" s="367"/>
      <c r="AO276" s="587">
        <f>+SUMIFS('Dados Mercado'!AO:AO,'Dados Mercado'!$A:$A,$B276)</f>
        <v>23896.252999999997</v>
      </c>
      <c r="AP276" s="588">
        <f>+SUMIFS('Dados Mercado'!AP:AP,'Dados Mercado'!$A:$A,$B276)</f>
        <v>60953.728900000002</v>
      </c>
      <c r="AQ276" s="588">
        <f>+SUMIFS('Dados Mercado'!AQ:AQ,'Dados Mercado'!$A:$A,$B276)</f>
        <v>49840.509399999995</v>
      </c>
      <c r="AR276" s="588">
        <f>+SUMIFS('Dados Mercado'!AR:AR,'Dados Mercado'!$A:$A,$B276)</f>
        <v>271924.58369999996</v>
      </c>
      <c r="AS276" s="589">
        <f>+SUMIFS('Dados Mercado'!AS:AS,'Dados Mercado'!$A:$A,$B276)</f>
        <v>71000.403600000005</v>
      </c>
      <c r="AT276" s="364"/>
      <c r="AU276" s="665">
        <f t="shared" ref="AU276:AY277" si="161">+AO276/SUM($AO276:$AS276)</f>
        <v>5.0032409062715832E-2</v>
      </c>
      <c r="AV276" s="666">
        <f t="shared" si="161"/>
        <v>0.12762092442788767</v>
      </c>
      <c r="AW276" s="666">
        <f t="shared" si="161"/>
        <v>0.10435279347749346</v>
      </c>
      <c r="AX276" s="666">
        <f t="shared" si="161"/>
        <v>0.5693378792853887</v>
      </c>
      <c r="AY276" s="407">
        <f t="shared" si="161"/>
        <v>0.14865599374651425</v>
      </c>
      <c r="AZ276" s="364"/>
      <c r="BA276" s="408">
        <f t="shared" si="152"/>
        <v>0.23718105908274345</v>
      </c>
      <c r="BB276" s="409">
        <f t="shared" si="154"/>
        <v>0.14080476014010757</v>
      </c>
    </row>
    <row r="277" spans="1:54" ht="12.75" customHeight="1" x14ac:dyDescent="0.2">
      <c r="A277" s="364"/>
      <c r="B277" s="438" t="s">
        <v>1121</v>
      </c>
      <c r="C277" s="401">
        <f>+SUMIFS('Dados Mercado'!C:C,'Dados Mercado'!$A:$A,$B277)</f>
        <v>653016</v>
      </c>
      <c r="D277" s="402">
        <f>+SUMIFS('Dados Mercado'!D:D,'Dados Mercado'!$A:$A,$B277)</f>
        <v>544427</v>
      </c>
      <c r="E277" s="404">
        <f>+SUMIFS('Dados Mercado'!E:E,'Dados Mercado'!$A:$A,$B277)</f>
        <v>108589</v>
      </c>
      <c r="F277" s="367"/>
      <c r="G277" s="401" t="s">
        <v>160</v>
      </c>
      <c r="H277" s="403" t="s">
        <v>160</v>
      </c>
      <c r="I277" s="449" t="s">
        <v>160</v>
      </c>
      <c r="J277" s="367"/>
      <c r="K277" s="405">
        <f>+SUMIFS('Dados Mercado'!K:K,'Dados Mercado'!$A:$A,$B277)</f>
        <v>609277</v>
      </c>
      <c r="L277" s="404">
        <f>+SUMIFS('Dados Mercado'!L:L,'Dados Mercado'!$A:$A,$B277)</f>
        <v>70029</v>
      </c>
      <c r="M277" s="367"/>
      <c r="N277" s="405">
        <f>+SUMIFS('Dados Mercado'!N:N,'Dados Mercado'!$A:$A,$B277)</f>
        <v>289212.40740000003</v>
      </c>
      <c r="O277" s="404">
        <f>+SUMIFS('Dados Mercado'!O:O,'Dados Mercado'!$A:$A,$B277)</f>
        <v>255214.59259999997</v>
      </c>
      <c r="P277" s="367"/>
      <c r="Q277" s="405">
        <f>+SUMIFS('Dados Mercado'!Q:Q,'Dados Mercado'!$A:$A,$B277)</f>
        <v>2773264</v>
      </c>
      <c r="R277" s="406">
        <f t="shared" si="139"/>
        <v>5.0939134172258171</v>
      </c>
      <c r="S277" s="367"/>
      <c r="T277" s="405">
        <f>+SUMIFS('Dados Mercado'!T:T,'Dados Mercado'!$A:$A,$B277)</f>
        <v>87790</v>
      </c>
      <c r="U277" s="402">
        <f>+SUMIFS('Dados Mercado'!U:U,'Dados Mercado'!$A:$A,$B277)</f>
        <v>86197</v>
      </c>
      <c r="V277" s="402">
        <f>+SUMIFS('Dados Mercado'!V:V,'Dados Mercado'!$A:$A,$B277)</f>
        <v>152640</v>
      </c>
      <c r="W277" s="402">
        <f>+SUMIFS('Dados Mercado'!W:W,'Dados Mercado'!$A:$A,$B277)</f>
        <v>47157</v>
      </c>
      <c r="X277" s="402">
        <f>+SUMIFS('Dados Mercado'!X:X,'Dados Mercado'!$A:$A,$B277)</f>
        <v>52818</v>
      </c>
      <c r="Y277" s="402">
        <f>+SUMIFS('Dados Mercado'!Y:Y,'Dados Mercado'!$A:$A,$B277)</f>
        <v>48366</v>
      </c>
      <c r="Z277" s="402">
        <f>+SUMIFS('Dados Mercado'!Z:Z,'Dados Mercado'!$A:$A,$B277)</f>
        <v>14210</v>
      </c>
      <c r="AA277" s="402">
        <f>+SUMIFS('Dados Mercado'!AA:AA,'Dados Mercado'!$A:$A,$B277)</f>
        <v>0</v>
      </c>
      <c r="AB277" s="404">
        <f>+SUMIFS('Dados Mercado'!AB:AB,'Dados Mercado'!$A:$A,$B277)</f>
        <v>55249</v>
      </c>
      <c r="AC277" s="367"/>
      <c r="AD277" s="445" t="s">
        <v>1121</v>
      </c>
      <c r="AE277" s="660">
        <f t="shared" si="140"/>
        <v>0.16125210542460239</v>
      </c>
      <c r="AF277" s="661">
        <f t="shared" si="141"/>
        <v>0.15832609330543856</v>
      </c>
      <c r="AG277" s="661">
        <f t="shared" si="142"/>
        <v>0.28036816689840877</v>
      </c>
      <c r="AH277" s="661">
        <f t="shared" si="143"/>
        <v>8.6617673260143233E-2</v>
      </c>
      <c r="AI277" s="661">
        <f t="shared" si="144"/>
        <v>9.701576152542031E-2</v>
      </c>
      <c r="AJ277" s="661">
        <f t="shared" si="145"/>
        <v>8.8838356657550049E-2</v>
      </c>
      <c r="AK277" s="661">
        <f t="shared" si="146"/>
        <v>2.6100836292101606E-2</v>
      </c>
      <c r="AL277" s="661" t="s">
        <v>160</v>
      </c>
      <c r="AM277" s="662">
        <f t="shared" si="147"/>
        <v>0.10148100663633508</v>
      </c>
      <c r="AN277" s="367"/>
      <c r="AO277" s="587">
        <f>+SUMIFS('Dados Mercado'!AO:AO,'Dados Mercado'!$A:$A,$B277)</f>
        <v>27299.039499999999</v>
      </c>
      <c r="AP277" s="588">
        <f>+SUMIFS('Dados Mercado'!AP:AP,'Dados Mercado'!$A:$A,$B277)</f>
        <v>68061.361100000009</v>
      </c>
      <c r="AQ277" s="588">
        <f>+SUMIFS('Dados Mercado'!AQ:AQ,'Dados Mercado'!$A:$A,$B277)</f>
        <v>52185.866099999999</v>
      </c>
      <c r="AR277" s="588">
        <f>+SUMIFS('Dados Mercado'!AR:AR,'Dados Mercado'!$A:$A,$B277)</f>
        <v>313937.5208</v>
      </c>
      <c r="AS277" s="589">
        <f>+SUMIFS('Dados Mercado'!AS:AS,'Dados Mercado'!$A:$A,$B277)</f>
        <v>82925.128900000011</v>
      </c>
      <c r="AT277" s="364"/>
      <c r="AU277" s="665">
        <f t="shared" si="161"/>
        <v>5.0144365159409426E-2</v>
      </c>
      <c r="AV277" s="666">
        <f t="shared" si="161"/>
        <v>0.12501882142208059</v>
      </c>
      <c r="AW277" s="666">
        <f t="shared" si="161"/>
        <v>9.5857846056394969E-2</v>
      </c>
      <c r="AX277" s="666">
        <f t="shared" si="161"/>
        <v>0.57665756629404097</v>
      </c>
      <c r="AY277" s="407">
        <f t="shared" si="161"/>
        <v>0.15232140106807407</v>
      </c>
      <c r="AZ277" s="364"/>
      <c r="BA277" s="408">
        <f t="shared" si="152"/>
        <v>0.17822599572936448</v>
      </c>
      <c r="BB277" s="409">
        <f t="shared" si="154"/>
        <v>0.12862881524979475</v>
      </c>
    </row>
    <row r="278" spans="1:54" ht="12.75" customHeight="1" x14ac:dyDescent="0.2">
      <c r="A278" s="364"/>
      <c r="B278" s="438" t="s">
        <v>1123</v>
      </c>
      <c r="C278" s="401">
        <f>+SUMIFS('Dados Mercado'!C:C,'Dados Mercado'!$A:$A,$B278)</f>
        <v>671622</v>
      </c>
      <c r="D278" s="402">
        <f>+SUMIFS('Dados Mercado'!D:D,'Dados Mercado'!$A:$A,$B278)</f>
        <v>562908</v>
      </c>
      <c r="E278" s="404">
        <f>+SUMIFS('Dados Mercado'!E:E,'Dados Mercado'!$A:$A,$B278)</f>
        <v>108714</v>
      </c>
      <c r="F278" s="367"/>
      <c r="G278" s="401" t="s">
        <v>160</v>
      </c>
      <c r="H278" s="403" t="s">
        <v>160</v>
      </c>
      <c r="I278" s="449" t="s">
        <v>160</v>
      </c>
      <c r="J278" s="367"/>
      <c r="K278" s="405">
        <f>+SUMIFS('Dados Mercado'!K:K,'Dados Mercado'!$A:$A,$B278)</f>
        <v>560316</v>
      </c>
      <c r="L278" s="404">
        <f>+SUMIFS('Dados Mercado'!L:L,'Dados Mercado'!$A:$A,$B278)</f>
        <v>79755</v>
      </c>
      <c r="M278" s="367"/>
      <c r="N278" s="405">
        <f>+SUMIFS('Dados Mercado'!N:N,'Dados Mercado'!$A:$A,$B278)</f>
        <v>306842.27240000002</v>
      </c>
      <c r="O278" s="404">
        <f>+SUMIFS('Dados Mercado'!O:O,'Dados Mercado'!$A:$A,$B278)</f>
        <v>256065.72759999998</v>
      </c>
      <c r="P278" s="367"/>
      <c r="Q278" s="405">
        <f>+SUMIFS('Dados Mercado'!Q:Q,'Dados Mercado'!$A:$A,$B278)</f>
        <v>2657088</v>
      </c>
      <c r="R278" s="406">
        <f t="shared" si="139"/>
        <v>4.7202882176128247</v>
      </c>
      <c r="S278" s="367"/>
      <c r="T278" s="405">
        <f>+SUMIFS('Dados Mercado'!T:T,'Dados Mercado'!$A:$A,$B278)</f>
        <v>87779</v>
      </c>
      <c r="U278" s="402">
        <f>+SUMIFS('Dados Mercado'!U:U,'Dados Mercado'!$A:$A,$B278)</f>
        <v>86727</v>
      </c>
      <c r="V278" s="402">
        <f>+SUMIFS('Dados Mercado'!V:V,'Dados Mercado'!$A:$A,$B278)</f>
        <v>163729</v>
      </c>
      <c r="W278" s="402">
        <f>+SUMIFS('Dados Mercado'!W:W,'Dados Mercado'!$A:$A,$B278)</f>
        <v>53678</v>
      </c>
      <c r="X278" s="402">
        <f>+SUMIFS('Dados Mercado'!X:X,'Dados Mercado'!$A:$A,$B278)</f>
        <v>48759</v>
      </c>
      <c r="Y278" s="402">
        <f>+SUMIFS('Dados Mercado'!Y:Y,'Dados Mercado'!$A:$A,$B278)</f>
        <v>48998</v>
      </c>
      <c r="Z278" s="402">
        <f>+SUMIFS('Dados Mercado'!Z:Z,'Dados Mercado'!$A:$A,$B278)</f>
        <v>16537</v>
      </c>
      <c r="AA278" s="402">
        <f>+SUMIFS('Dados Mercado'!AA:AA,'Dados Mercado'!$A:$A,$B278)</f>
        <v>0</v>
      </c>
      <c r="AB278" s="404">
        <f>+SUMIFS('Dados Mercado'!AB:AB,'Dados Mercado'!$A:$A,$B278)</f>
        <v>56701</v>
      </c>
      <c r="AC278" s="367"/>
      <c r="AD278" s="445" t="s">
        <v>1123</v>
      </c>
      <c r="AE278" s="660">
        <f t="shared" si="140"/>
        <v>0.15593844820112701</v>
      </c>
      <c r="AF278" s="661">
        <f t="shared" si="141"/>
        <v>0.15406958153019676</v>
      </c>
      <c r="AG278" s="661">
        <f t="shared" si="142"/>
        <v>0.29086280528967434</v>
      </c>
      <c r="AH278" s="661">
        <f t="shared" si="143"/>
        <v>9.5358388937446262E-2</v>
      </c>
      <c r="AI278" s="661">
        <f t="shared" si="144"/>
        <v>8.6619838410539551E-2</v>
      </c>
      <c r="AJ278" s="661">
        <f t="shared" si="145"/>
        <v>8.7044419336729975E-2</v>
      </c>
      <c r="AK278" s="661">
        <f t="shared" si="146"/>
        <v>2.9377802411761779E-2</v>
      </c>
      <c r="AL278" s="661" t="s">
        <v>160</v>
      </c>
      <c r="AM278" s="662">
        <f t="shared" si="147"/>
        <v>0.10072871588252431</v>
      </c>
      <c r="AN278" s="367"/>
      <c r="AO278" s="587">
        <f>+SUMIFS('Dados Mercado'!AO:AO,'Dados Mercado'!$A:$A,$B278)</f>
        <v>27287.322900000003</v>
      </c>
      <c r="AP278" s="588">
        <f>+SUMIFS('Dados Mercado'!AP:AP,'Dados Mercado'!$A:$A,$B278)</f>
        <v>70660.175100000008</v>
      </c>
      <c r="AQ278" s="588">
        <f>+SUMIFS('Dados Mercado'!AQ:AQ,'Dados Mercado'!$A:$A,$B278)</f>
        <v>49839.651400000002</v>
      </c>
      <c r="AR278" s="588">
        <f>+SUMIFS('Dados Mercado'!AR:AR,'Dados Mercado'!$A:$A,$B278)</f>
        <v>322599.41810000001</v>
      </c>
      <c r="AS278" s="589">
        <f>+SUMIFS('Dados Mercado'!AS:AS,'Dados Mercado'!$A:$A,$B278)</f>
        <v>92538.302599999995</v>
      </c>
      <c r="AT278" s="364"/>
      <c r="AU278" s="665">
        <f t="shared" ref="AU278:AU284" si="162">+AO278/SUM($AO278:$AS278)</f>
        <v>4.8474182523064908E-2</v>
      </c>
      <c r="AV278" s="666">
        <f t="shared" ref="AV278:AV284" si="163">+AP278/SUM($AO278:$AS278)</f>
        <v>0.12552327824394699</v>
      </c>
      <c r="AW278" s="666">
        <f t="shared" ref="AW278:AW284" si="164">+AQ278/SUM($AO278:$AS278)</f>
        <v>8.8536950572367337E-2</v>
      </c>
      <c r="AX278" s="666">
        <f t="shared" ref="AX278:AX284" si="165">+AR278/SUM($AO278:$AS278)</f>
        <v>0.57307721728956884</v>
      </c>
      <c r="AY278" s="407">
        <f t="shared" ref="AY278:AY284" si="166">+AS278/SUM($AO278:$AS278)</f>
        <v>0.164388371371052</v>
      </c>
      <c r="AZ278" s="364"/>
      <c r="BA278" s="408">
        <f t="shared" si="152"/>
        <v>0.19402265864262308</v>
      </c>
      <c r="BB278" s="409">
        <f t="shared" si="154"/>
        <v>0.14168389861220662</v>
      </c>
    </row>
    <row r="279" spans="1:54" ht="12.75" customHeight="1" x14ac:dyDescent="0.2">
      <c r="A279" s="364"/>
      <c r="B279" s="438" t="s">
        <v>1176</v>
      </c>
      <c r="C279" s="401">
        <f>+SUMIFS('Dados Mercado'!C:C,'Dados Mercado'!$A:$A,$B279)</f>
        <v>545827</v>
      </c>
      <c r="D279" s="402">
        <f>+SUMIFS('Dados Mercado'!D:D,'Dados Mercado'!$A:$A,$B279)</f>
        <v>436940</v>
      </c>
      <c r="E279" s="404">
        <f>+SUMIFS('Dados Mercado'!E:E,'Dados Mercado'!$A:$A,$B279)</f>
        <v>108887</v>
      </c>
      <c r="F279" s="367"/>
      <c r="G279" s="401" t="s">
        <v>160</v>
      </c>
      <c r="H279" s="403" t="s">
        <v>160</v>
      </c>
      <c r="I279" s="449" t="s">
        <v>160</v>
      </c>
      <c r="J279" s="367"/>
      <c r="K279" s="405">
        <f>+SUMIFS('Dados Mercado'!K:K,'Dados Mercado'!$A:$A,$B279)</f>
        <v>507507</v>
      </c>
      <c r="L279" s="404">
        <f>+SUMIFS('Dados Mercado'!L:L,'Dados Mercado'!$A:$A,$B279)</f>
        <v>63203</v>
      </c>
      <c r="M279" s="367"/>
      <c r="N279" s="405">
        <f>+SUMIFS('Dados Mercado'!N:N,'Dados Mercado'!$A:$A,$B279)</f>
        <v>201096.6384</v>
      </c>
      <c r="O279" s="404">
        <f>+SUMIFS('Dados Mercado'!O:O,'Dados Mercado'!$A:$A,$B279)</f>
        <v>235843.3616</v>
      </c>
      <c r="P279" s="367"/>
      <c r="Q279" s="405">
        <f>+SUMIFS('Dados Mercado'!Q:Q,'Dados Mercado'!$A:$A,$B279)</f>
        <v>2465110</v>
      </c>
      <c r="R279" s="406">
        <f t="shared" si="139"/>
        <v>5.6417585938572801</v>
      </c>
      <c r="S279" s="367"/>
      <c r="T279" s="405">
        <f>+SUMIFS('Dados Mercado'!T:T,'Dados Mercado'!$A:$A,$B279)</f>
        <v>71242</v>
      </c>
      <c r="U279" s="402">
        <f>+SUMIFS('Dados Mercado'!U:U,'Dados Mercado'!$A:$A,$B279)</f>
        <v>59714</v>
      </c>
      <c r="V279" s="402">
        <f>+SUMIFS('Dados Mercado'!V:V,'Dados Mercado'!$A:$A,$B279)</f>
        <v>128657</v>
      </c>
      <c r="W279" s="402">
        <f>+SUMIFS('Dados Mercado'!W:W,'Dados Mercado'!$A:$A,$B279)</f>
        <v>42063</v>
      </c>
      <c r="X279" s="402">
        <f>+SUMIFS('Dados Mercado'!X:X,'Dados Mercado'!$A:$A,$B279)</f>
        <v>41270</v>
      </c>
      <c r="Y279" s="402">
        <f>+SUMIFS('Dados Mercado'!Y:Y,'Dados Mercado'!$A:$A,$B279)</f>
        <v>36473</v>
      </c>
      <c r="Z279" s="402">
        <f>+SUMIFS('Dados Mercado'!Z:Z,'Dados Mercado'!$A:$A,$B279)</f>
        <v>14186</v>
      </c>
      <c r="AA279" s="402">
        <f>+SUMIFS('Dados Mercado'!AA:AA,'Dados Mercado'!$A:$A,$B279)</f>
        <v>209</v>
      </c>
      <c r="AB279" s="404">
        <f>+SUMIFS('Dados Mercado'!AB:AB,'Dados Mercado'!$A:$A,$B279)</f>
        <v>43126</v>
      </c>
      <c r="AC279" s="364"/>
      <c r="AD279" s="445" t="s">
        <v>1176</v>
      </c>
      <c r="AE279" s="660">
        <f t="shared" si="140"/>
        <v>0.16304755801711907</v>
      </c>
      <c r="AF279" s="661">
        <f t="shared" si="141"/>
        <v>0.13666407287041699</v>
      </c>
      <c r="AG279" s="661">
        <f t="shared" si="142"/>
        <v>0.29445003890694377</v>
      </c>
      <c r="AH279" s="661">
        <f t="shared" si="143"/>
        <v>9.6267222044216602E-2</v>
      </c>
      <c r="AI279" s="661">
        <f t="shared" si="144"/>
        <v>9.4452327550693466E-2</v>
      </c>
      <c r="AJ279" s="661">
        <f t="shared" si="145"/>
        <v>8.3473703483315786E-2</v>
      </c>
      <c r="AK279" s="661">
        <f t="shared" si="146"/>
        <v>3.2466700233441663E-2</v>
      </c>
      <c r="AL279" s="661">
        <f>+AA279/SUM($T279:$AB279)</f>
        <v>4.7832654369020917E-4</v>
      </c>
      <c r="AM279" s="662">
        <f t="shared" si="147"/>
        <v>9.8700050350162494E-2</v>
      </c>
      <c r="AN279" s="367"/>
      <c r="AO279" s="587">
        <f>+SUMIFS('Dados Mercado'!AO:AO,'Dados Mercado'!$A:$A,$B279)</f>
        <v>22423.747300000003</v>
      </c>
      <c r="AP279" s="588">
        <f>+SUMIFS('Dados Mercado'!AP:AP,'Dados Mercado'!$A:$A,$B279)</f>
        <v>60803.4712</v>
      </c>
      <c r="AQ279" s="588">
        <f>+SUMIFS('Dados Mercado'!AQ:AQ,'Dados Mercado'!$A:$A,$B279)</f>
        <v>45603.198099999994</v>
      </c>
      <c r="AR279" s="588">
        <f>+SUMIFS('Dados Mercado'!AR:AR,'Dados Mercado'!$A:$A,$B279)</f>
        <v>232779.21890000004</v>
      </c>
      <c r="AS279" s="589">
        <f>+SUMIFS('Dados Mercado'!AS:AS,'Dados Mercado'!$A:$A,$B279)</f>
        <v>75348.999800000005</v>
      </c>
      <c r="AT279" s="364"/>
      <c r="AU279" s="665">
        <f t="shared" si="162"/>
        <v>5.1317780422406957E-2</v>
      </c>
      <c r="AV279" s="666">
        <f t="shared" si="163"/>
        <v>0.13915154957002859</v>
      </c>
      <c r="AW279" s="666">
        <f t="shared" si="164"/>
        <v>0.1043650231759134</v>
      </c>
      <c r="AX279" s="666">
        <f t="shared" si="165"/>
        <v>0.5327259838684324</v>
      </c>
      <c r="AY279" s="407">
        <f t="shared" si="166"/>
        <v>0.17243966296321872</v>
      </c>
      <c r="AZ279" s="364"/>
      <c r="BA279" s="408">
        <f t="shared" si="152"/>
        <v>0.21455270567696602</v>
      </c>
      <c r="BB279" s="409">
        <f t="shared" si="154"/>
        <v>0.14464915091316885</v>
      </c>
    </row>
    <row r="280" spans="1:54" ht="12.75" customHeight="1" x14ac:dyDescent="0.2">
      <c r="A280" s="364"/>
      <c r="B280" s="438" t="s">
        <v>1177</v>
      </c>
      <c r="C280" s="401">
        <f>+SUMIFS('Dados Mercado'!C:C,'Dados Mercado'!$A:$A,$B280)</f>
        <v>608902</v>
      </c>
      <c r="D280" s="402">
        <f>+SUMIFS('Dados Mercado'!D:D,'Dados Mercado'!$A:$A,$B280)</f>
        <v>497748</v>
      </c>
      <c r="E280" s="404">
        <f>+SUMIFS('Dados Mercado'!E:E,'Dados Mercado'!$A:$A,$B280)</f>
        <v>111154</v>
      </c>
      <c r="F280" s="367"/>
      <c r="G280" s="401" t="s">
        <v>160</v>
      </c>
      <c r="H280" s="403" t="s">
        <v>160</v>
      </c>
      <c r="I280" s="449" t="s">
        <v>160</v>
      </c>
      <c r="J280" s="367"/>
      <c r="K280" s="405">
        <f>+SUMIFS('Dados Mercado'!K:K,'Dados Mercado'!$A:$A,$B280)</f>
        <v>567749</v>
      </c>
      <c r="L280" s="404">
        <f>+SUMIFS('Dados Mercado'!L:L,'Dados Mercado'!$A:$A,$B280)</f>
        <v>75993</v>
      </c>
      <c r="M280" s="367"/>
      <c r="N280" s="405">
        <f>+SUMIFS('Dados Mercado'!N:N,'Dados Mercado'!$A:$A,$B280)</f>
        <v>233463.3566</v>
      </c>
      <c r="O280" s="404">
        <f>+SUMIFS('Dados Mercado'!O:O,'Dados Mercado'!$A:$A,$B280)</f>
        <v>264284.6434</v>
      </c>
      <c r="P280" s="367"/>
      <c r="Q280" s="405">
        <f>+SUMIFS('Dados Mercado'!Q:Q,'Dados Mercado'!$A:$A,$B280)</f>
        <v>2552428</v>
      </c>
      <c r="R280" s="406">
        <f t="shared" si="139"/>
        <v>5.1279522971463471</v>
      </c>
      <c r="S280" s="367"/>
      <c r="T280" s="405">
        <f>+SUMIFS('Dados Mercado'!T:T,'Dados Mercado'!$A:$A,$B280)</f>
        <v>77752</v>
      </c>
      <c r="U280" s="402">
        <f>+SUMIFS('Dados Mercado'!U:U,'Dados Mercado'!$A:$A,$B280)</f>
        <v>78667</v>
      </c>
      <c r="V280" s="402">
        <f>+SUMIFS('Dados Mercado'!V:V,'Dados Mercado'!$A:$A,$B280)</f>
        <v>142770</v>
      </c>
      <c r="W280" s="402">
        <f>+SUMIFS('Dados Mercado'!W:W,'Dados Mercado'!$A:$A,$B280)</f>
        <v>46161</v>
      </c>
      <c r="X280" s="402">
        <f>+SUMIFS('Dados Mercado'!X:X,'Dados Mercado'!$A:$A,$B280)</f>
        <v>43362</v>
      </c>
      <c r="Y280" s="402">
        <f>+SUMIFS('Dados Mercado'!Y:Y,'Dados Mercado'!$A:$A,$B280)</f>
        <v>37111</v>
      </c>
      <c r="Z280" s="402">
        <f>+SUMIFS('Dados Mercado'!Z:Z,'Dados Mercado'!$A:$A,$B280)</f>
        <v>19926</v>
      </c>
      <c r="AA280" s="402">
        <f>+SUMIFS('Dados Mercado'!AA:AA,'Dados Mercado'!$A:$A,$B280)</f>
        <v>901</v>
      </c>
      <c r="AB280" s="404">
        <f>+SUMIFS('Dados Mercado'!AB:AB,'Dados Mercado'!$A:$A,$B280)</f>
        <v>51098</v>
      </c>
      <c r="AC280" s="364"/>
      <c r="AD280" s="445" t="s">
        <v>1177</v>
      </c>
      <c r="AE280" s="660">
        <f t="shared" si="140"/>
        <v>0.15620755884503806</v>
      </c>
      <c r="AF280" s="661">
        <f t="shared" si="141"/>
        <v>0.15804583845640766</v>
      </c>
      <c r="AG280" s="661">
        <f t="shared" si="142"/>
        <v>0.28683189083632682</v>
      </c>
      <c r="AH280" s="661">
        <f t="shared" si="143"/>
        <v>9.273969960703006E-2</v>
      </c>
      <c r="AI280" s="661">
        <f t="shared" si="144"/>
        <v>8.7116372140119094E-2</v>
      </c>
      <c r="AJ280" s="661">
        <f t="shared" si="145"/>
        <v>7.4557808368893502E-2</v>
      </c>
      <c r="AK280" s="661">
        <f t="shared" si="146"/>
        <v>4.0032305503989972E-2</v>
      </c>
      <c r="AL280" s="661">
        <f>+AA280/SUM($T280:$AB280)</f>
        <v>1.8101529287912759E-3</v>
      </c>
      <c r="AM280" s="662">
        <f t="shared" si="147"/>
        <v>0.10265837331340356</v>
      </c>
      <c r="AN280" s="367"/>
      <c r="AO280" s="587">
        <f>+SUMIFS('Dados Mercado'!AO:AO,'Dados Mercado'!$A:$A,$B280)</f>
        <v>24409.977700000003</v>
      </c>
      <c r="AP280" s="588">
        <f>+SUMIFS('Dados Mercado'!AP:AP,'Dados Mercado'!$A:$A,$B280)</f>
        <v>69397.107400000008</v>
      </c>
      <c r="AQ280" s="588">
        <f>+SUMIFS('Dados Mercado'!AQ:AQ,'Dados Mercado'!$A:$A,$B280)</f>
        <v>51591.4899</v>
      </c>
      <c r="AR280" s="588">
        <f>+SUMIFS('Dados Mercado'!AR:AR,'Dados Mercado'!$A:$A,$B280)</f>
        <v>267770.12339999998</v>
      </c>
      <c r="AS280" s="589">
        <f>+SUMIFS('Dados Mercado'!AS:AS,'Dados Mercado'!$A:$A,$B280)</f>
        <v>85397.385399999999</v>
      </c>
      <c r="AT280" s="364"/>
      <c r="AU280" s="665">
        <f t="shared" si="162"/>
        <v>4.8960365522561451E-2</v>
      </c>
      <c r="AV280" s="666">
        <f t="shared" si="163"/>
        <v>0.13919339813704351</v>
      </c>
      <c r="AW280" s="666">
        <f t="shared" si="164"/>
        <v>0.10347974235787757</v>
      </c>
      <c r="AX280" s="666">
        <f t="shared" si="165"/>
        <v>0.53708050366983262</v>
      </c>
      <c r="AY280" s="407">
        <f t="shared" si="166"/>
        <v>0.17128599031268479</v>
      </c>
      <c r="AZ280" s="364"/>
      <c r="BA280" s="408">
        <f t="shared" si="152"/>
        <v>0.19578017750801852</v>
      </c>
      <c r="BB280" s="409">
        <f t="shared" si="154"/>
        <v>0.1526736420839461</v>
      </c>
    </row>
    <row r="281" spans="1:54" ht="12.75" customHeight="1" x14ac:dyDescent="0.2">
      <c r="A281" s="364"/>
      <c r="B281" s="438" t="s">
        <v>1179</v>
      </c>
      <c r="C281" s="401">
        <f>+SUMIFS('Dados Mercado'!C:C,'Dados Mercado'!$A:$A,$B281)</f>
        <v>686807</v>
      </c>
      <c r="D281" s="402">
        <f>+SUMIFS('Dados Mercado'!D:D,'Dados Mercado'!$A:$A,$B281)</f>
        <v>600154</v>
      </c>
      <c r="E281" s="404">
        <f>+SUMIFS('Dados Mercado'!E:E,'Dados Mercado'!$A:$A,$B281)</f>
        <v>86653</v>
      </c>
      <c r="F281" s="367"/>
      <c r="G281" s="401" t="s">
        <v>160</v>
      </c>
      <c r="H281" s="403" t="s">
        <v>160</v>
      </c>
      <c r="I281" s="449" t="s">
        <v>160</v>
      </c>
      <c r="J281" s="367"/>
      <c r="K281" s="405">
        <f>+SUMIFS('Dados Mercado'!K:K,'Dados Mercado'!$A:$A,$B281)</f>
        <v>588451</v>
      </c>
      <c r="L281" s="404">
        <f>+SUMIFS('Dados Mercado'!L:L,'Dados Mercado'!$A:$A,$B281)</f>
        <v>91712</v>
      </c>
      <c r="M281" s="367"/>
      <c r="N281" s="405">
        <f>+SUMIFS('Dados Mercado'!N:N,'Dados Mercado'!$A:$A,$B281)</f>
        <v>303185.07799999998</v>
      </c>
      <c r="O281" s="404">
        <f>+SUMIFS('Dados Mercado'!O:O,'Dados Mercado'!$A:$A,$B281)</f>
        <v>296968.92200000002</v>
      </c>
      <c r="P281" s="367"/>
      <c r="Q281" s="405">
        <f>+SUMIFS('Dados Mercado'!Q:Q,'Dados Mercado'!$A:$A,$B281)</f>
        <v>2798635</v>
      </c>
      <c r="R281" s="406">
        <f t="shared" si="139"/>
        <v>4.6631947800064646</v>
      </c>
      <c r="S281" s="367"/>
      <c r="T281" s="405">
        <f>+SUMIFS('Dados Mercado'!T:T,'Dados Mercado'!$A:$A,$B281)</f>
        <v>87352</v>
      </c>
      <c r="U281" s="402">
        <f>+SUMIFS('Dados Mercado'!U:U,'Dados Mercado'!$A:$A,$B281)</f>
        <v>100063</v>
      </c>
      <c r="V281" s="402">
        <f>+SUMIFS('Dados Mercado'!V:V,'Dados Mercado'!$A:$A,$B281)</f>
        <v>168547</v>
      </c>
      <c r="W281" s="402">
        <f>+SUMIFS('Dados Mercado'!W:W,'Dados Mercado'!$A:$A,$B281)</f>
        <v>51618</v>
      </c>
      <c r="X281" s="402">
        <f>+SUMIFS('Dados Mercado'!X:X,'Dados Mercado'!$A:$A,$B281)</f>
        <v>53781</v>
      </c>
      <c r="Y281" s="402">
        <f>+SUMIFS('Dados Mercado'!Y:Y,'Dados Mercado'!$A:$A,$B281)</f>
        <v>54419</v>
      </c>
      <c r="Z281" s="402">
        <f>+SUMIFS('Dados Mercado'!Z:Z,'Dados Mercado'!$A:$A,$B281)</f>
        <v>20158</v>
      </c>
      <c r="AA281" s="402">
        <f>+SUMIFS('Dados Mercado'!AA:AA,'Dados Mercado'!$A:$A,$B281)</f>
        <v>4243</v>
      </c>
      <c r="AB281" s="404">
        <f>+SUMIFS('Dados Mercado'!AB:AB,'Dados Mercado'!$A:$A,$B281)</f>
        <v>59973</v>
      </c>
      <c r="AC281" s="364"/>
      <c r="AD281" s="445" t="s">
        <v>1179</v>
      </c>
      <c r="AE281" s="660">
        <f t="shared" si="140"/>
        <v>0.14554930901068724</v>
      </c>
      <c r="AF281" s="661">
        <f t="shared" si="141"/>
        <v>0.16672887292261654</v>
      </c>
      <c r="AG281" s="661">
        <f t="shared" si="142"/>
        <v>0.28083958450664331</v>
      </c>
      <c r="AH281" s="661">
        <f t="shared" si="143"/>
        <v>8.6007924632677618E-2</v>
      </c>
      <c r="AI281" s="661">
        <f t="shared" si="144"/>
        <v>8.9611999586772725E-2</v>
      </c>
      <c r="AJ281" s="661">
        <f t="shared" si="145"/>
        <v>9.0675060067915897E-2</v>
      </c>
      <c r="AK281" s="661">
        <f t="shared" si="146"/>
        <v>3.3588045734928032E-2</v>
      </c>
      <c r="AL281" s="661">
        <f>+AA281/SUM($T281:$AB281)</f>
        <v>7.0698520713016995E-3</v>
      </c>
      <c r="AM281" s="662">
        <f t="shared" si="147"/>
        <v>9.9929351466456942E-2</v>
      </c>
      <c r="AN281" s="367"/>
      <c r="AO281" s="587">
        <f>+SUMIFS('Dados Mercado'!AO:AO,'Dados Mercado'!$A:$A,$B281)</f>
        <v>26751.2094</v>
      </c>
      <c r="AP281" s="588">
        <f>+SUMIFS('Dados Mercado'!AP:AP,'Dados Mercado'!$A:$A,$B281)</f>
        <v>77870.106599999999</v>
      </c>
      <c r="AQ281" s="588">
        <f>+SUMIFS('Dados Mercado'!AQ:AQ,'Dados Mercado'!$A:$A,$B281)</f>
        <v>56105.636599999998</v>
      </c>
      <c r="AR281" s="588">
        <f>+SUMIFS('Dados Mercado'!AR:AR,'Dados Mercado'!$A:$A,$B281)</f>
        <v>346557.95380000002</v>
      </c>
      <c r="AS281" s="589">
        <f>+SUMIFS('Dados Mercado'!AS:AS,'Dados Mercado'!$A:$A,$B281)</f>
        <v>92867.218200000003</v>
      </c>
      <c r="AT281" s="364"/>
      <c r="AU281" s="665">
        <f t="shared" si="162"/>
        <v>4.4574047651384424E-2</v>
      </c>
      <c r="AV281" s="666">
        <f t="shared" si="163"/>
        <v>0.1297506138996013</v>
      </c>
      <c r="AW281" s="666">
        <f t="shared" si="164"/>
        <v>9.3485691877529017E-2</v>
      </c>
      <c r="AX281" s="666">
        <f t="shared" si="165"/>
        <v>0.57745018236997847</v>
      </c>
      <c r="AY281" s="407">
        <f t="shared" si="166"/>
        <v>0.15473946420150689</v>
      </c>
      <c r="AZ281" s="364"/>
      <c r="BA281" s="408">
        <f t="shared" si="152"/>
        <v>0.14725610118769447</v>
      </c>
      <c r="BB281" s="409">
        <f t="shared" si="154"/>
        <v>0.15281411104483184</v>
      </c>
    </row>
    <row r="282" spans="1:54" ht="12.75" customHeight="1" x14ac:dyDescent="0.2">
      <c r="A282" s="364"/>
      <c r="B282" s="438" t="s">
        <v>1181</v>
      </c>
      <c r="C282" s="401">
        <f>+SUMIFS('Dados Mercado'!C:C,'Dados Mercado'!$A:$A,$B282)</f>
        <v>720930</v>
      </c>
      <c r="D282" s="402">
        <f>+SUMIFS('Dados Mercado'!D:D,'Dados Mercado'!$A:$A,$B282)</f>
        <v>645388</v>
      </c>
      <c r="E282" s="404">
        <f>+SUMIFS('Dados Mercado'!E:E,'Dados Mercado'!$A:$A,$B282)</f>
        <v>75542</v>
      </c>
      <c r="F282" s="367"/>
      <c r="G282" s="401" t="s">
        <v>160</v>
      </c>
      <c r="H282" s="403" t="s">
        <v>160</v>
      </c>
      <c r="I282" s="449" t="s">
        <v>160</v>
      </c>
      <c r="J282" s="367"/>
      <c r="K282" s="405">
        <f>+SUMIFS('Dados Mercado'!K:K,'Dados Mercado'!$A:$A,$B282)</f>
        <v>538420</v>
      </c>
      <c r="L282" s="404">
        <f>+SUMIFS('Dados Mercado'!L:L,'Dados Mercado'!$A:$A,$B282)</f>
        <v>113124</v>
      </c>
      <c r="M282" s="367"/>
      <c r="N282" s="405">
        <f>+SUMIFS('Dados Mercado'!N:N,'Dados Mercado'!$A:$A,$B282)</f>
        <v>342889.7194</v>
      </c>
      <c r="O282" s="404">
        <f>+SUMIFS('Dados Mercado'!O:O,'Dados Mercado'!$A:$A,$B282)</f>
        <v>302498.2806</v>
      </c>
      <c r="P282" s="367"/>
      <c r="Q282" s="405">
        <f>+SUMIFS('Dados Mercado'!Q:Q,'Dados Mercado'!$A:$A,$B282)</f>
        <v>2855486</v>
      </c>
      <c r="R282" s="406">
        <f t="shared" si="139"/>
        <v>4.4244485487799583</v>
      </c>
      <c r="S282" s="367"/>
      <c r="T282" s="405">
        <f>+SUMIFS('Dados Mercado'!T:T,'Dados Mercado'!$A:$A,$B282)</f>
        <v>91739</v>
      </c>
      <c r="U282" s="402">
        <f>+SUMIFS('Dados Mercado'!U:U,'Dados Mercado'!$A:$A,$B282)</f>
        <v>106573</v>
      </c>
      <c r="V282" s="402">
        <f>+SUMIFS('Dados Mercado'!V:V,'Dados Mercado'!$A:$A,$B282)</f>
        <v>170849</v>
      </c>
      <c r="W282" s="402">
        <f>+SUMIFS('Dados Mercado'!W:W,'Dados Mercado'!$A:$A,$B282)</f>
        <v>52949</v>
      </c>
      <c r="X282" s="402">
        <f>+SUMIFS('Dados Mercado'!X:X,'Dados Mercado'!$A:$A,$B282)</f>
        <v>60317</v>
      </c>
      <c r="Y282" s="402">
        <f>+SUMIFS('Dados Mercado'!Y:Y,'Dados Mercado'!$A:$A,$B282)</f>
        <v>58202</v>
      </c>
      <c r="Z282" s="402">
        <f>+SUMIFS('Dados Mercado'!Z:Z,'Dados Mercado'!$A:$A,$B282)</f>
        <v>17857</v>
      </c>
      <c r="AA282" s="402">
        <f>+SUMIFS('Dados Mercado'!AA:AA,'Dados Mercado'!$A:$A,$B282)</f>
        <v>11714</v>
      </c>
      <c r="AB282" s="404">
        <f>+SUMIFS('Dados Mercado'!AB:AB,'Dados Mercado'!$A:$A,$B282)</f>
        <v>75188</v>
      </c>
      <c r="AC282" s="364"/>
      <c r="AD282" s="445" t="s">
        <v>1181</v>
      </c>
      <c r="AE282" s="660">
        <f t="shared" si="140"/>
        <v>0.14214550007127497</v>
      </c>
      <c r="AF282" s="661">
        <f t="shared" si="141"/>
        <v>0.16513012327468127</v>
      </c>
      <c r="AG282" s="661">
        <f t="shared" si="142"/>
        <v>0.26472292636367578</v>
      </c>
      <c r="AH282" s="661">
        <f t="shared" si="143"/>
        <v>8.2042120398891832E-2</v>
      </c>
      <c r="AI282" s="661">
        <f t="shared" si="144"/>
        <v>9.3458508680049832E-2</v>
      </c>
      <c r="AJ282" s="661">
        <f t="shared" si="145"/>
        <v>9.0181410252437297E-2</v>
      </c>
      <c r="AK282" s="661">
        <f t="shared" si="146"/>
        <v>2.7668627244386321E-2</v>
      </c>
      <c r="AL282" s="661">
        <f>+AA282/SUM($T282:$AB282)</f>
        <v>1.8150321976857332E-2</v>
      </c>
      <c r="AM282" s="662">
        <f t="shared" si="147"/>
        <v>0.11650046173774535</v>
      </c>
      <c r="AN282" s="367"/>
      <c r="AO282" s="587">
        <f>+SUMIFS('Dados Mercado'!AO:AO,'Dados Mercado'!$A:$A,$B282)</f>
        <v>28708.060099999995</v>
      </c>
      <c r="AP282" s="588">
        <f>+SUMIFS('Dados Mercado'!AP:AP,'Dados Mercado'!$A:$A,$B282)</f>
        <v>80105.340800000005</v>
      </c>
      <c r="AQ282" s="588">
        <f>+SUMIFS('Dados Mercado'!AQ:AQ,'Dados Mercado'!$A:$A,$B282)</f>
        <v>57344.437600000005</v>
      </c>
      <c r="AR282" s="588">
        <f>+SUMIFS('Dados Mercado'!AR:AR,'Dados Mercado'!$A:$A,$B282)</f>
        <v>377075.1532</v>
      </c>
      <c r="AS282" s="589">
        <f>+SUMIFS('Dados Mercado'!AS:AS,'Dados Mercado'!$A:$A,$B282)</f>
        <v>102114.143</v>
      </c>
      <c r="AT282" s="364"/>
      <c r="AU282" s="665">
        <f t="shared" si="162"/>
        <v>4.4484678952429836E-2</v>
      </c>
      <c r="AV282" s="666">
        <f t="shared" si="163"/>
        <v>0.12412752221676518</v>
      </c>
      <c r="AW282" s="666">
        <f t="shared" si="164"/>
        <v>8.885828187128697E-2</v>
      </c>
      <c r="AX282" s="666">
        <f t="shared" si="165"/>
        <v>0.58429817523756333</v>
      </c>
      <c r="AY282" s="407">
        <f t="shared" si="166"/>
        <v>0.15823134172195463</v>
      </c>
      <c r="AZ282" s="364"/>
      <c r="BA282" s="408">
        <f t="shared" si="152"/>
        <v>0.14030310909698748</v>
      </c>
      <c r="BB282" s="409">
        <f t="shared" si="154"/>
        <v>0.17528060639491283</v>
      </c>
    </row>
    <row r="283" spans="1:54" ht="12.75" customHeight="1" x14ac:dyDescent="0.2">
      <c r="A283" s="364"/>
      <c r="B283" s="438" t="s">
        <v>1243</v>
      </c>
      <c r="C283" s="401">
        <f>+SUMIFS('Dados Mercado'!C:C,'Dados Mercado'!$A:$A,$B283)</f>
        <v>562040</v>
      </c>
      <c r="D283" s="402">
        <f>+SUMIFS('Dados Mercado'!D:D,'Dados Mercado'!$A:$A,$B283)</f>
        <v>483988</v>
      </c>
      <c r="E283" s="404">
        <f>+SUMIFS('Dados Mercado'!E:E,'Dados Mercado'!$A:$A,$B283)</f>
        <v>78052</v>
      </c>
      <c r="F283" s="367"/>
      <c r="G283" s="401" t="s">
        <v>160</v>
      </c>
      <c r="H283" s="403" t="s">
        <v>160</v>
      </c>
      <c r="I283" s="449" t="s">
        <v>160</v>
      </c>
      <c r="J283" s="367"/>
      <c r="K283" s="405">
        <f>+SUMIFS('Dados Mercado'!K:K,'Dados Mercado'!$A:$A,$B283)</f>
        <v>502182</v>
      </c>
      <c r="L283" s="404">
        <f>+SUMIFS('Dados Mercado'!L:L,'Dados Mercado'!$A:$A,$B283)</f>
        <v>88726</v>
      </c>
      <c r="M283" s="367"/>
      <c r="N283" s="405">
        <f>+SUMIFS('Dados Mercado'!N:N,'Dados Mercado'!$A:$A,$B283)</f>
        <v>214551.62119999999</v>
      </c>
      <c r="O283" s="404">
        <f>+SUMIFS('Dados Mercado'!O:O,'Dados Mercado'!$A:$A,$B283)</f>
        <v>269436.37880000001</v>
      </c>
      <c r="P283" s="367"/>
      <c r="Q283" s="405">
        <f>+SUMIFS('Dados Mercado'!Q:Q,'Dados Mercado'!$A:$A,$B283)</f>
        <v>2594151</v>
      </c>
      <c r="R283" s="406">
        <f t="shared" si="139"/>
        <v>5.3599490070001732</v>
      </c>
      <c r="S283" s="367"/>
      <c r="T283" s="405">
        <f>+SUMIFS('Dados Mercado'!T:T,'Dados Mercado'!$A:$A,$B283)</f>
        <v>56935</v>
      </c>
      <c r="U283" s="402">
        <f>+SUMIFS('Dados Mercado'!U:U,'Dados Mercado'!$A:$A,$B283)</f>
        <v>76833</v>
      </c>
      <c r="V283" s="402">
        <f>+SUMIFS('Dados Mercado'!V:V,'Dados Mercado'!$A:$A,$B283)</f>
        <v>133911</v>
      </c>
      <c r="W283" s="402">
        <f>+SUMIFS('Dados Mercado'!W:W,'Dados Mercado'!$A:$A,$B283)</f>
        <v>42051</v>
      </c>
      <c r="X283" s="402">
        <f>+SUMIFS('Dados Mercado'!X:X,'Dados Mercado'!$A:$A,$B283)</f>
        <v>46274</v>
      </c>
      <c r="Y283" s="402">
        <f>+SUMIFS('Dados Mercado'!Y:Y,'Dados Mercado'!$A:$A,$B283)</f>
        <v>37197</v>
      </c>
      <c r="Z283" s="402">
        <f>+SUMIFS('Dados Mercado'!Z:Z,'Dados Mercado'!$A:$A,$B283)</f>
        <v>17013</v>
      </c>
      <c r="AA283" s="402">
        <f>+SUMIFS('Dados Mercado'!AA:AA,'Dados Mercado'!$A:$A,$B283)</f>
        <v>14787</v>
      </c>
      <c r="AB283" s="404">
        <f>+SUMIFS('Dados Mercado'!AB:AB,'Dados Mercado'!$A:$A,$B283)</f>
        <v>58987</v>
      </c>
      <c r="AC283" s="364"/>
      <c r="AD283" s="445" t="s">
        <v>1243</v>
      </c>
      <c r="AE283" s="660">
        <f t="shared" si="140"/>
        <v>0.11763721414580527</v>
      </c>
      <c r="AF283" s="661">
        <f t="shared" si="141"/>
        <v>0.15874980371414169</v>
      </c>
      <c r="AG283" s="661">
        <f t="shared" si="142"/>
        <v>0.27668247973090243</v>
      </c>
      <c r="AH283" s="661">
        <f t="shared" si="143"/>
        <v>8.6884385563278432E-2</v>
      </c>
      <c r="AI283" s="661">
        <f t="shared" si="144"/>
        <v>9.5609808507648955E-2</v>
      </c>
      <c r="AJ283" s="661">
        <f t="shared" si="145"/>
        <v>7.6855211286230241E-2</v>
      </c>
      <c r="AK283" s="661">
        <f t="shared" si="146"/>
        <v>3.5151697975982873E-2</v>
      </c>
      <c r="AL283" s="661">
        <f>+AA283/SUM($T283:$AB283)</f>
        <v>3.0552410390340255E-2</v>
      </c>
      <c r="AM283" s="662">
        <f t="shared" si="147"/>
        <v>0.12187698868566989</v>
      </c>
      <c r="AN283" s="367"/>
      <c r="AO283" s="587">
        <f>+SUMIFS('Dados Mercado'!AO:AO,'Dados Mercado'!$A:$A,$B283)</f>
        <v>25123.0478</v>
      </c>
      <c r="AP283" s="588">
        <f>+SUMIFS('Dados Mercado'!AP:AP,'Dados Mercado'!$A:$A,$B283)</f>
        <v>68283.925300000003</v>
      </c>
      <c r="AQ283" s="588">
        <f>+SUMIFS('Dados Mercado'!AQ:AQ,'Dados Mercado'!$A:$A,$B283)</f>
        <v>52522.366799999989</v>
      </c>
      <c r="AR283" s="588">
        <f>+SUMIFS('Dados Mercado'!AR:AR,'Dados Mercado'!$A:$A,$B283)</f>
        <v>254678.59450000001</v>
      </c>
      <c r="AS283" s="589">
        <f>+SUMIFS('Dados Mercado'!AS:AS,'Dados Mercado'!$A:$A,$B283)</f>
        <v>83380.065600000002</v>
      </c>
      <c r="AT283" s="364"/>
      <c r="AU283" s="665">
        <f t="shared" si="162"/>
        <v>5.1908410539104277E-2</v>
      </c>
      <c r="AV283" s="666">
        <f t="shared" si="163"/>
        <v>0.14108598828896585</v>
      </c>
      <c r="AW283" s="666">
        <f t="shared" si="164"/>
        <v>0.10851997735481042</v>
      </c>
      <c r="AX283" s="666">
        <f t="shared" si="165"/>
        <v>0.5262084896732977</v>
      </c>
      <c r="AY283" s="407">
        <f t="shared" si="166"/>
        <v>0.17227713414382176</v>
      </c>
      <c r="AZ283" s="364"/>
      <c r="BA283" s="408">
        <f t="shared" ref="BA283:BA288" si="167">+E283/K283</f>
        <v>0.15542572214854375</v>
      </c>
      <c r="BB283" s="409">
        <f t="shared" ref="BB283:BB288" si="168">+L283/D283</f>
        <v>0.18332272700976057</v>
      </c>
    </row>
    <row r="284" spans="1:54" ht="12.75" customHeight="1" x14ac:dyDescent="0.2">
      <c r="A284" s="364"/>
      <c r="B284" s="438" t="s">
        <v>1250</v>
      </c>
      <c r="C284" s="401">
        <f>+SUMIFS('Dados Mercado'!C:C,'Dados Mercado'!$A:$A,$B284)</f>
        <v>672423</v>
      </c>
      <c r="D284" s="402">
        <f>+SUMIFS('Dados Mercado'!D:D,'Dados Mercado'!$A:$A,$B284)</f>
        <v>594358</v>
      </c>
      <c r="E284" s="404">
        <f>+SUMIFS('Dados Mercado'!E:E,'Dados Mercado'!$A:$A,$B284)</f>
        <v>78065</v>
      </c>
      <c r="F284" s="367"/>
      <c r="G284" s="401" t="s">
        <v>160</v>
      </c>
      <c r="H284" s="403" t="s">
        <v>160</v>
      </c>
      <c r="I284" s="449" t="s">
        <v>160</v>
      </c>
      <c r="J284" s="367"/>
      <c r="K284" s="405">
        <f>+SUMIFS('Dados Mercado'!K:K,'Dados Mercado'!$A:$A,$B284)</f>
        <v>556640</v>
      </c>
      <c r="L284" s="404">
        <f>+SUMIFS('Dados Mercado'!L:L,'Dados Mercado'!$A:$A,$B284)</f>
        <v>105749</v>
      </c>
      <c r="M284" s="367"/>
      <c r="N284" s="405">
        <f>+SUMIFS('Dados Mercado'!N:N,'Dados Mercado'!$A:$A,$B284)</f>
        <v>282820.71660000004</v>
      </c>
      <c r="O284" s="404">
        <f>+SUMIFS('Dados Mercado'!O:O,'Dados Mercado'!$A:$A,$B284)</f>
        <v>311537.28339999996</v>
      </c>
      <c r="P284" s="367"/>
      <c r="Q284" s="405">
        <f>+SUMIFS('Dados Mercado'!Q:Q,'Dados Mercado'!$A:$A,$B284)</f>
        <v>2807576</v>
      </c>
      <c r="R284" s="406">
        <f t="shared" si="139"/>
        <v>4.7237119715726887</v>
      </c>
      <c r="S284" s="367"/>
      <c r="T284" s="405">
        <f>+SUMIFS('Dados Mercado'!T:T,'Dados Mercado'!$A:$A,$B284)</f>
        <v>84313</v>
      </c>
      <c r="U284" s="402">
        <f>+SUMIFS('Dados Mercado'!U:U,'Dados Mercado'!$A:$A,$B284)</f>
        <v>90953</v>
      </c>
      <c r="V284" s="402">
        <f>+SUMIFS('Dados Mercado'!V:V,'Dados Mercado'!$A:$A,$B284)</f>
        <v>151315</v>
      </c>
      <c r="W284" s="402">
        <f>+SUMIFS('Dados Mercado'!W:W,'Dados Mercado'!$A:$A,$B284)</f>
        <v>49906</v>
      </c>
      <c r="X284" s="402">
        <f>+SUMIFS('Dados Mercado'!X:X,'Dados Mercado'!$A:$A,$B284)</f>
        <v>51539</v>
      </c>
      <c r="Y284" s="402">
        <f>+SUMIFS('Dados Mercado'!Y:Y,'Dados Mercado'!$A:$A,$B284)</f>
        <v>50743</v>
      </c>
      <c r="Z284" s="402">
        <f>+SUMIFS('Dados Mercado'!Z:Z,'Dados Mercado'!$A:$A,$B284)</f>
        <v>21100</v>
      </c>
      <c r="AA284" s="402">
        <f>+SUMIFS('Dados Mercado'!AA:AA,'Dados Mercado'!$A:$A,$B284)</f>
        <v>17549</v>
      </c>
      <c r="AB284" s="404">
        <f>+SUMIFS('Dados Mercado'!AB:AB,'Dados Mercado'!$A:$A,$B284)</f>
        <v>76940</v>
      </c>
      <c r="AC284" s="364"/>
      <c r="AD284" s="445" t="s">
        <v>1250</v>
      </c>
      <c r="AE284" s="660">
        <f t="shared" si="140"/>
        <v>0.14185558198930612</v>
      </c>
      <c r="AF284" s="661">
        <f t="shared" si="141"/>
        <v>0.15302730004475418</v>
      </c>
      <c r="AG284" s="661">
        <f t="shared" si="142"/>
        <v>0.25458562011447644</v>
      </c>
      <c r="AH284" s="661">
        <f t="shared" si="143"/>
        <v>8.3966229107709497E-2</v>
      </c>
      <c r="AI284" s="661">
        <f t="shared" si="144"/>
        <v>8.6713731454779786E-2</v>
      </c>
      <c r="AJ284" s="661">
        <f t="shared" si="145"/>
        <v>8.5374471278253178E-2</v>
      </c>
      <c r="AK284" s="661">
        <f t="shared" si="146"/>
        <v>3.5500489603908753E-2</v>
      </c>
      <c r="AL284" s="661">
        <f t="shared" si="146"/>
        <v>2.9525975926966576E-2</v>
      </c>
      <c r="AM284" s="662">
        <f t="shared" si="147"/>
        <v>0.12945060047984547</v>
      </c>
      <c r="AN284" s="367"/>
      <c r="AO284" s="587">
        <f>+SUMIFS('Dados Mercado'!AO:AO,'Dados Mercado'!$A:$A,$B284)</f>
        <v>29194.384399999999</v>
      </c>
      <c r="AP284" s="588">
        <f>+SUMIFS('Dados Mercado'!AP:AP,'Dados Mercado'!$A:$A,$B284)</f>
        <v>79262.74960000001</v>
      </c>
      <c r="AQ284" s="588">
        <f>+SUMIFS('Dados Mercado'!AQ:AQ,'Dados Mercado'!$A:$A,$B284)</f>
        <v>60070.380799999999</v>
      </c>
      <c r="AR284" s="588">
        <f>+SUMIFS('Dados Mercado'!AR:AR,'Dados Mercado'!$A:$A,$B284)</f>
        <v>331140.71980000002</v>
      </c>
      <c r="AS284" s="589">
        <f>+SUMIFS('Dados Mercado'!AS:AS,'Dados Mercado'!$A:$A,$B284)</f>
        <v>94710.600200000001</v>
      </c>
      <c r="AT284" s="364"/>
      <c r="AU284" s="665">
        <f t="shared" si="162"/>
        <v>4.9117469685513768E-2</v>
      </c>
      <c r="AV284" s="666">
        <f t="shared" si="163"/>
        <v>0.13335392338906346</v>
      </c>
      <c r="AW284" s="666">
        <f t="shared" si="164"/>
        <v>0.10106413163283787</v>
      </c>
      <c r="AX284" s="666">
        <f t="shared" si="165"/>
        <v>0.55712064496950686</v>
      </c>
      <c r="AY284" s="407">
        <f t="shared" si="166"/>
        <v>0.15934383032307797</v>
      </c>
      <c r="AZ284" s="364"/>
      <c r="BA284" s="408">
        <f t="shared" si="167"/>
        <v>0.1402432451853981</v>
      </c>
      <c r="BB284" s="409">
        <f t="shared" si="168"/>
        <v>0.17792138744662309</v>
      </c>
    </row>
    <row r="285" spans="1:54" ht="12.75" customHeight="1" x14ac:dyDescent="0.2">
      <c r="A285" s="947">
        <v>3</v>
      </c>
      <c r="B285" s="438" t="s">
        <v>1251</v>
      </c>
      <c r="C285" s="401">
        <f>+SUMIFS('Dados Mercado'!C:C,'Dados Mercado'!$A:$A,$B285)</f>
        <v>786972</v>
      </c>
      <c r="D285" s="402">
        <f>+SUMIFS('Dados Mercado'!D:D,'Dados Mercado'!$A:$A,$B285)</f>
        <v>673821</v>
      </c>
      <c r="E285" s="404">
        <f>+SUMIFS('Dados Mercado'!E:E,'Dados Mercado'!$A:$A,$B285)</f>
        <v>113151</v>
      </c>
      <c r="F285" s="367"/>
      <c r="G285" s="401" t="s">
        <v>160</v>
      </c>
      <c r="H285" s="403" t="s">
        <v>160</v>
      </c>
      <c r="I285" s="449" t="s">
        <v>160</v>
      </c>
      <c r="J285" s="367"/>
      <c r="K285" s="405">
        <f>+SUMIFS('Dados Mercado'!K:K,'Dados Mercado'!$A:$A,$B285)</f>
        <v>691574</v>
      </c>
      <c r="L285" s="404">
        <f>+SUMIFS('Dados Mercado'!L:L,'Dados Mercado'!$A:$A,$B285)</f>
        <v>122493</v>
      </c>
      <c r="M285" s="367"/>
      <c r="N285" s="405">
        <f>+SUMIFS('Dados Mercado'!N:N,'Dados Mercado'!$A:$A,$B285)</f>
        <v>326773.69200000004</v>
      </c>
      <c r="O285" s="404">
        <f>+SUMIFS('Dados Mercado'!O:O,'Dados Mercado'!$A:$A,$B285)</f>
        <v>347047.30799999996</v>
      </c>
      <c r="P285" s="367"/>
      <c r="Q285" s="405">
        <f>+SUMIFS('Dados Mercado'!Q:Q,'Dados Mercado'!$A:$A,$B285)</f>
        <v>3135935</v>
      </c>
      <c r="R285" s="406">
        <f t="shared" ref="R285:R290" si="169">+Q285/D285</f>
        <v>4.6539585438862847</v>
      </c>
      <c r="S285" s="367"/>
      <c r="T285" s="405">
        <f>+SUMIFS('Dados Mercado'!T:T,'Dados Mercado'!$A:$A,$B285)</f>
        <v>81660</v>
      </c>
      <c r="U285" s="402">
        <f>+SUMIFS('Dados Mercado'!U:U,'Dados Mercado'!$A:$A,$B285)</f>
        <v>109451</v>
      </c>
      <c r="V285" s="402">
        <f>+SUMIFS('Dados Mercado'!V:V,'Dados Mercado'!$A:$A,$B285)</f>
        <v>183626</v>
      </c>
      <c r="W285" s="402">
        <f>+SUMIFS('Dados Mercado'!W:W,'Dados Mercado'!$A:$A,$B285)</f>
        <v>58531</v>
      </c>
      <c r="X285" s="402">
        <f>+SUMIFS('Dados Mercado'!X:X,'Dados Mercado'!$A:$A,$B285)</f>
        <v>60939</v>
      </c>
      <c r="Y285" s="402">
        <f>+SUMIFS('Dados Mercado'!Y:Y,'Dados Mercado'!$A:$A,$B285)</f>
        <v>49427</v>
      </c>
      <c r="Z285" s="402">
        <f>+SUMIFS('Dados Mercado'!Z:Z,'Dados Mercado'!$A:$A,$B285)</f>
        <v>25572</v>
      </c>
      <c r="AA285" s="402">
        <f>+SUMIFS('Dados Mercado'!AA:AA,'Dados Mercado'!$A:$A,$B285)</f>
        <v>18741</v>
      </c>
      <c r="AB285" s="404">
        <f>+SUMIFS('Dados Mercado'!AB:AB,'Dados Mercado'!$A:$A,$B285)</f>
        <v>85874</v>
      </c>
      <c r="AC285" s="364"/>
      <c r="AD285" s="445" t="s">
        <v>1251</v>
      </c>
      <c r="AE285" s="660">
        <f t="shared" ref="AE285:AM285" si="170">+T285/SUM($T285:$AB285)</f>
        <v>0.12118945535980624</v>
      </c>
      <c r="AF285" s="661">
        <f t="shared" si="170"/>
        <v>0.16243334654158895</v>
      </c>
      <c r="AG285" s="661">
        <f t="shared" si="170"/>
        <v>0.27251451053024467</v>
      </c>
      <c r="AH285" s="661">
        <f t="shared" si="170"/>
        <v>8.6864315597168978E-2</v>
      </c>
      <c r="AI285" s="661">
        <f t="shared" si="170"/>
        <v>9.0437964978829694E-2</v>
      </c>
      <c r="AJ285" s="661">
        <f t="shared" si="170"/>
        <v>7.335330896484378E-2</v>
      </c>
      <c r="AK285" s="661">
        <f t="shared" si="170"/>
        <v>3.7950731722519782E-2</v>
      </c>
      <c r="AL285" s="661">
        <f t="shared" si="170"/>
        <v>2.7813024527285436E-2</v>
      </c>
      <c r="AM285" s="662">
        <f t="shared" si="170"/>
        <v>0.12744334177771247</v>
      </c>
      <c r="AN285" s="367"/>
      <c r="AO285" s="587">
        <f>+SUMIFS('Dados Mercado'!AO:AO,'Dados Mercado'!$A:$A,$B285)</f>
        <v>31824.079399999999</v>
      </c>
      <c r="AP285" s="588">
        <f>+SUMIFS('Dados Mercado'!AP:AP,'Dados Mercado'!$A:$A,$B285)</f>
        <v>92122.0573</v>
      </c>
      <c r="AQ285" s="588">
        <f>+SUMIFS('Dados Mercado'!AQ:AQ,'Dados Mercado'!$A:$A,$B285)</f>
        <v>60500.914599999996</v>
      </c>
      <c r="AR285" s="588">
        <f>+SUMIFS('Dados Mercado'!AR:AR,'Dados Mercado'!$A:$A,$B285)</f>
        <v>374130.0036</v>
      </c>
      <c r="AS285" s="589">
        <f>+SUMIFS('Dados Mercado'!AS:AS,'Dados Mercado'!$A:$A,$B285)</f>
        <v>115221.6001</v>
      </c>
      <c r="AT285" s="364"/>
      <c r="AU285" s="665">
        <f t="shared" ref="AU285:AY286" si="171">+AO285/SUM($AO285:$AS285)</f>
        <v>4.7230844353644483E-2</v>
      </c>
      <c r="AV285" s="666">
        <f t="shared" si="171"/>
        <v>0.13672045293708696</v>
      </c>
      <c r="AW285" s="666">
        <f t="shared" si="171"/>
        <v>8.9790791582984086E-2</v>
      </c>
      <c r="AX285" s="666">
        <f t="shared" si="171"/>
        <v>0.5552548982158475</v>
      </c>
      <c r="AY285" s="407">
        <f t="shared" si="171"/>
        <v>0.17100301291043685</v>
      </c>
      <c r="AZ285" s="364"/>
      <c r="BA285" s="408">
        <f t="shared" si="167"/>
        <v>0.16361372752590467</v>
      </c>
      <c r="BB285" s="409">
        <f t="shared" si="168"/>
        <v>0.1817886352606998</v>
      </c>
    </row>
    <row r="286" spans="1:54" ht="12.75" customHeight="1" x14ac:dyDescent="0.2">
      <c r="A286" s="364"/>
      <c r="B286" s="438" t="s">
        <v>1252</v>
      </c>
      <c r="C286" s="401">
        <f>+SUMIFS('Dados Mercado'!C:C,'Dados Mercado'!$A:$A,$B286)</f>
        <v>841873</v>
      </c>
      <c r="D286" s="402">
        <f>+SUMIFS('Dados Mercado'!D:D,'Dados Mercado'!$A:$A,$B286)</f>
        <v>735369</v>
      </c>
      <c r="E286" s="404">
        <f>+SUMIFS('Dados Mercado'!E:E,'Dados Mercado'!$A:$A,$B286)</f>
        <v>106504</v>
      </c>
      <c r="F286" s="367"/>
      <c r="G286" s="401" t="s">
        <v>160</v>
      </c>
      <c r="H286" s="403" t="s">
        <v>160</v>
      </c>
      <c r="I286" s="449" t="s">
        <v>160</v>
      </c>
      <c r="J286" s="367"/>
      <c r="K286" s="405">
        <f>+SUMIFS('Dados Mercado'!K:K,'Dados Mercado'!$A:$A,$B286)</f>
        <v>630198</v>
      </c>
      <c r="L286" s="404">
        <f>+SUMIFS('Dados Mercado'!L:L,'Dados Mercado'!$A:$A,$B286)</f>
        <v>142405</v>
      </c>
      <c r="M286" s="367"/>
      <c r="N286" s="405">
        <f>+SUMIFS('Dados Mercado'!N:N,'Dados Mercado'!$A:$A,$B286)</f>
        <v>386660.43400000001</v>
      </c>
      <c r="O286" s="404">
        <f>+SUMIFS('Dados Mercado'!O:O,'Dados Mercado'!$A:$A,$B286)</f>
        <v>348708.56599999999</v>
      </c>
      <c r="P286" s="367"/>
      <c r="Q286" s="405">
        <f>+SUMIFS('Dados Mercado'!Q:Q,'Dados Mercado'!$A:$A,$B286)</f>
        <v>3138283</v>
      </c>
      <c r="R286" s="406">
        <f t="shared" si="169"/>
        <v>4.2676302645338602</v>
      </c>
      <c r="S286" s="367"/>
      <c r="T286" s="405">
        <f>+SUMIFS('Dados Mercado'!T:T,'Dados Mercado'!$A:$A,$B286)</f>
        <v>91989</v>
      </c>
      <c r="U286" s="402">
        <f>+SUMIFS('Dados Mercado'!U:U,'Dados Mercado'!$A:$A,$B286)</f>
        <v>124047</v>
      </c>
      <c r="V286" s="402">
        <f>+SUMIFS('Dados Mercado'!V:V,'Dados Mercado'!$A:$A,$B286)</f>
        <v>184475</v>
      </c>
      <c r="W286" s="402">
        <f>+SUMIFS('Dados Mercado'!W:W,'Dados Mercado'!$A:$A,$B286)</f>
        <v>53518</v>
      </c>
      <c r="X286" s="402">
        <f>+SUMIFS('Dados Mercado'!X:X,'Dados Mercado'!$A:$A,$B286)</f>
        <v>67804</v>
      </c>
      <c r="Y286" s="402">
        <f>+SUMIFS('Dados Mercado'!Y:Y,'Dados Mercado'!$A:$A,$B286)</f>
        <v>68525</v>
      </c>
      <c r="Z286" s="402">
        <f>+SUMIFS('Dados Mercado'!Z:Z,'Dados Mercado'!$A:$A,$B286)</f>
        <v>27726</v>
      </c>
      <c r="AA286" s="402">
        <f>+SUMIFS('Dados Mercado'!AA:AA,'Dados Mercado'!$A:$A,$B286)</f>
        <v>25538</v>
      </c>
      <c r="AB286" s="404">
        <f>+SUMIFS('Dados Mercado'!AB:AB,'Dados Mercado'!$A:$A,$B286)</f>
        <v>91747</v>
      </c>
      <c r="AC286" s="364"/>
      <c r="AD286" s="445" t="s">
        <v>1252</v>
      </c>
      <c r="AE286" s="660">
        <f t="shared" ref="AE286:AM291" si="172">+T286/SUM($T286:$AB286)</f>
        <v>0.1250923006001069</v>
      </c>
      <c r="AF286" s="661">
        <f t="shared" si="172"/>
        <v>0.16868674094230243</v>
      </c>
      <c r="AG286" s="661">
        <f t="shared" si="172"/>
        <v>0.25086045237153048</v>
      </c>
      <c r="AH286" s="661">
        <f t="shared" si="172"/>
        <v>7.2777068383355834E-2</v>
      </c>
      <c r="AI286" s="661">
        <f t="shared" si="172"/>
        <v>9.2204049939554153E-2</v>
      </c>
      <c r="AJ286" s="661">
        <f t="shared" si="172"/>
        <v>9.3184510089492481E-2</v>
      </c>
      <c r="AK286" s="661">
        <f t="shared" si="172"/>
        <v>3.7703520273495349E-2</v>
      </c>
      <c r="AL286" s="661">
        <f t="shared" si="172"/>
        <v>3.4728143285887768E-2</v>
      </c>
      <c r="AM286" s="662">
        <f t="shared" si="172"/>
        <v>0.1247632141142746</v>
      </c>
      <c r="AN286" s="367"/>
      <c r="AO286" s="587">
        <f>+SUMIFS('Dados Mercado'!AO:AO,'Dados Mercado'!$A:$A,$B286)</f>
        <v>36900.028299999998</v>
      </c>
      <c r="AP286" s="588">
        <f>+SUMIFS('Dados Mercado'!AP:AP,'Dados Mercado'!$A:$A,$B286)</f>
        <v>95005.845700000005</v>
      </c>
      <c r="AQ286" s="588">
        <f>+SUMIFS('Dados Mercado'!AQ:AQ,'Dados Mercado'!$A:$A,$B286)</f>
        <v>65771.857300000003</v>
      </c>
      <c r="AR286" s="588">
        <f>+SUMIFS('Dados Mercado'!AR:AR,'Dados Mercado'!$A:$A,$B286)</f>
        <v>408133.18949999998</v>
      </c>
      <c r="AS286" s="589">
        <f>+SUMIFS('Dados Mercado'!AS:AS,'Dados Mercado'!$A:$A,$B286)</f>
        <v>129558.07920000001</v>
      </c>
      <c r="AT286" s="364"/>
      <c r="AU286" s="665">
        <f t="shared" si="171"/>
        <v>5.0178928265945395E-2</v>
      </c>
      <c r="AV286" s="666">
        <f t="shared" si="171"/>
        <v>0.12919479295428554</v>
      </c>
      <c r="AW286" s="666">
        <f t="shared" si="171"/>
        <v>8.9440617295534625E-2</v>
      </c>
      <c r="AX286" s="666">
        <f t="shared" si="171"/>
        <v>0.55500461604990148</v>
      </c>
      <c r="AY286" s="407">
        <f t="shared" si="171"/>
        <v>0.17618104543433297</v>
      </c>
      <c r="AZ286" s="364"/>
      <c r="BA286" s="408">
        <f t="shared" si="167"/>
        <v>0.16900085369994827</v>
      </c>
      <c r="BB286" s="409">
        <f t="shared" si="168"/>
        <v>0.193651078574158</v>
      </c>
    </row>
    <row r="287" spans="1:54" ht="12.75" customHeight="1" x14ac:dyDescent="0.2">
      <c r="A287" s="364"/>
      <c r="B287" s="438" t="s">
        <v>1311</v>
      </c>
      <c r="C287" s="401">
        <f>+SUMIFS('Dados Mercado'!C:C,'Dados Mercado'!$A:$A,$B287)</f>
        <v>633496</v>
      </c>
      <c r="D287" s="402">
        <f>+SUMIFS('Dados Mercado'!D:D,'Dados Mercado'!$A:$A,$B287)</f>
        <v>518467</v>
      </c>
      <c r="E287" s="404">
        <f>+SUMIFS('Dados Mercado'!E:E,'Dados Mercado'!$A:$A,$B287)</f>
        <v>115029</v>
      </c>
      <c r="F287" s="367"/>
      <c r="G287" s="401" t="s">
        <v>160</v>
      </c>
      <c r="H287" s="403" t="s">
        <v>160</v>
      </c>
      <c r="I287" s="449" t="s">
        <v>160</v>
      </c>
      <c r="J287" s="367"/>
      <c r="K287" s="405">
        <f>+SUMIFS('Dados Mercado'!K:K,'Dados Mercado'!$A:$A,$B287)</f>
        <v>559918</v>
      </c>
      <c r="L287" s="404">
        <f>+SUMIFS('Dados Mercado'!L:L,'Dados Mercado'!$A:$A,$B287)</f>
        <v>111288</v>
      </c>
      <c r="M287" s="367"/>
      <c r="N287" s="405">
        <f>+SUMIFS('Dados Mercado'!N:N,'Dados Mercado'!$A:$A,$B287)</f>
        <v>240978.24599999998</v>
      </c>
      <c r="O287" s="404">
        <f>+SUMIFS('Dados Mercado'!O:O,'Dados Mercado'!$A:$A,$B287)</f>
        <v>277488.75400000002</v>
      </c>
      <c r="P287" s="367"/>
      <c r="Q287" s="405">
        <f>+SUMIFS('Dados Mercado'!Q:Q,'Dados Mercado'!$A:$A,$B287)</f>
        <v>2696213</v>
      </c>
      <c r="R287" s="406">
        <f t="shared" si="169"/>
        <v>5.2003560496617913</v>
      </c>
      <c r="S287" s="367"/>
      <c r="T287" s="405">
        <f>+SUMIFS('Dados Mercado'!T:T,'Dados Mercado'!$A:$A,$B287)</f>
        <v>55784</v>
      </c>
      <c r="U287" s="402">
        <f>+SUMIFS('Dados Mercado'!U:U,'Dados Mercado'!$A:$A,$B287)</f>
        <v>79148</v>
      </c>
      <c r="V287" s="402">
        <f>+SUMIFS('Dados Mercado'!V:V,'Dados Mercado'!$A:$A,$B287)</f>
        <v>137170</v>
      </c>
      <c r="W287" s="402">
        <f>+SUMIFS('Dados Mercado'!W:W,'Dados Mercado'!$A:$A,$B287)</f>
        <v>42146</v>
      </c>
      <c r="X287" s="402">
        <f>+SUMIFS('Dados Mercado'!X:X,'Dados Mercado'!$A:$A,$B287)</f>
        <v>49053</v>
      </c>
      <c r="Y287" s="402">
        <f>+SUMIFS('Dados Mercado'!Y:Y,'Dados Mercado'!$A:$A,$B287)</f>
        <v>34421</v>
      </c>
      <c r="Z287" s="402">
        <f>+SUMIFS('Dados Mercado'!Z:Z,'Dados Mercado'!$A:$A,$B287)</f>
        <v>23931</v>
      </c>
      <c r="AA287" s="402">
        <f>+SUMIFS('Dados Mercado'!AA:AA,'Dados Mercado'!$A:$A,$B287)</f>
        <v>21685</v>
      </c>
      <c r="AB287" s="404">
        <f>+SUMIFS('Dados Mercado'!AB:AB,'Dados Mercado'!$A:$A,$B287)</f>
        <v>75129</v>
      </c>
      <c r="AC287" s="364"/>
      <c r="AD287" s="445" t="s">
        <v>1311</v>
      </c>
      <c r="AE287" s="660">
        <f t="shared" si="172"/>
        <v>0.10759411881566233</v>
      </c>
      <c r="AF287" s="661">
        <f t="shared" si="172"/>
        <v>0.15265773906535998</v>
      </c>
      <c r="AG287" s="661">
        <f t="shared" si="172"/>
        <v>0.26456842962040011</v>
      </c>
      <c r="AH287" s="661">
        <f t="shared" si="172"/>
        <v>8.1289648135754053E-2</v>
      </c>
      <c r="AI287" s="661">
        <f t="shared" si="172"/>
        <v>9.461161462542457E-2</v>
      </c>
      <c r="AJ287" s="661">
        <f t="shared" si="172"/>
        <v>6.6389953458947243E-2</v>
      </c>
      <c r="AK287" s="661">
        <f t="shared" si="172"/>
        <v>4.615722890752931E-2</v>
      </c>
      <c r="AL287" s="661">
        <f t="shared" si="172"/>
        <v>4.1825227063631822E-2</v>
      </c>
      <c r="AM287" s="662">
        <f t="shared" si="172"/>
        <v>0.14490604030729054</v>
      </c>
      <c r="AN287" s="367"/>
      <c r="AO287" s="587">
        <f>+SUMIFS('Dados Mercado'!AO:AO,'Dados Mercado'!$A:$A,$B287)</f>
        <v>29045.5795</v>
      </c>
      <c r="AP287" s="588">
        <f>+SUMIFS('Dados Mercado'!AP:AP,'Dados Mercado'!$A:$A,$B287)</f>
        <v>80815.890000000014</v>
      </c>
      <c r="AQ287" s="588">
        <f>+SUMIFS('Dados Mercado'!AQ:AQ,'Dados Mercado'!$A:$A,$B287)</f>
        <v>55935.856100000005</v>
      </c>
      <c r="AR287" s="588">
        <f>+SUMIFS('Dados Mercado'!AR:AR,'Dados Mercado'!$A:$A,$B287)</f>
        <v>264489.391</v>
      </c>
      <c r="AS287" s="589">
        <f>+SUMIFS('Dados Mercado'!AS:AS,'Dados Mercado'!$A:$A,$B287)</f>
        <v>88146.873800000001</v>
      </c>
      <c r="AT287" s="364"/>
      <c r="AU287" s="665">
        <f t="shared" ref="AU287:AY291" si="173">+AO287/SUM($AO287:$AS287)</f>
        <v>5.6025651188206647E-2</v>
      </c>
      <c r="AV287" s="666">
        <f t="shared" si="173"/>
        <v>0.15588474878266687</v>
      </c>
      <c r="AW287" s="666">
        <f t="shared" si="173"/>
        <v>0.10789396585364465</v>
      </c>
      <c r="AX287" s="666">
        <f t="shared" si="173"/>
        <v>0.51017024339787065</v>
      </c>
      <c r="AY287" s="407">
        <f t="shared" si="173"/>
        <v>0.17002539077761114</v>
      </c>
      <c r="AZ287" s="364"/>
      <c r="BA287" s="408">
        <f t="shared" si="167"/>
        <v>0.20543901071228288</v>
      </c>
      <c r="BB287" s="409">
        <f t="shared" si="168"/>
        <v>0.21464818397313618</v>
      </c>
    </row>
    <row r="288" spans="1:54" ht="12.75" customHeight="1" x14ac:dyDescent="0.2">
      <c r="A288" s="364"/>
      <c r="B288" s="438" t="s">
        <v>1313</v>
      </c>
      <c r="C288" s="401">
        <f>+SUMIFS('Dados Mercado'!C:C,'Dados Mercado'!$A:$A,$B288)</f>
        <v>757131</v>
      </c>
      <c r="D288" s="402">
        <f>+SUMIFS('Dados Mercado'!D:D,'Dados Mercado'!$A:$A,$B288)</f>
        <v>613932</v>
      </c>
      <c r="E288" s="404">
        <f>+SUMIFS('Dados Mercado'!E:E,'Dados Mercado'!$A:$A,$B288)</f>
        <v>143199</v>
      </c>
      <c r="F288" s="367"/>
      <c r="G288" s="401" t="s">
        <v>160</v>
      </c>
      <c r="H288" s="403" t="s">
        <v>160</v>
      </c>
      <c r="I288" s="449" t="s">
        <v>160</v>
      </c>
      <c r="J288" s="367"/>
      <c r="K288" s="405">
        <f>+SUMIFS('Dados Mercado'!K:K,'Dados Mercado'!$A:$A,$B288)</f>
        <v>619609</v>
      </c>
      <c r="L288" s="404">
        <f>+SUMIFS('Dados Mercado'!L:L,'Dados Mercado'!$A:$A,$B288)</f>
        <v>113998</v>
      </c>
      <c r="M288" s="367"/>
      <c r="N288" s="405">
        <f>+SUMIFS('Dados Mercado'!N:N,'Dados Mercado'!$A:$A,$B288)</f>
        <v>322209.58600000001</v>
      </c>
      <c r="O288" s="404">
        <f>+SUMIFS('Dados Mercado'!O:O,'Dados Mercado'!$A:$A,$B288)</f>
        <v>291722.41399999999</v>
      </c>
      <c r="P288" s="367"/>
      <c r="Q288" s="405">
        <f>+SUMIFS('Dados Mercado'!Q:Q,'Dados Mercado'!$A:$A,$B288)</f>
        <v>3273618</v>
      </c>
      <c r="R288" s="406">
        <f t="shared" si="169"/>
        <v>5.332215945739919</v>
      </c>
      <c r="S288" s="367"/>
      <c r="T288" s="405">
        <f>+SUMIFS('Dados Mercado'!T:T,'Dados Mercado'!$A:$A,$B288)</f>
        <v>63996</v>
      </c>
      <c r="U288" s="402">
        <f>+SUMIFS('Dados Mercado'!U:U,'Dados Mercado'!$A:$A,$B288)</f>
        <v>106996</v>
      </c>
      <c r="V288" s="402">
        <f>+SUMIFS('Dados Mercado'!V:V,'Dados Mercado'!$A:$A,$B288)</f>
        <v>159823</v>
      </c>
      <c r="W288" s="402">
        <f>+SUMIFS('Dados Mercado'!W:W,'Dados Mercado'!$A:$A,$B288)</f>
        <v>46827</v>
      </c>
      <c r="X288" s="402">
        <f>+SUMIFS('Dados Mercado'!X:X,'Dados Mercado'!$A:$A,$B288)</f>
        <v>46788</v>
      </c>
      <c r="Y288" s="402">
        <f>+SUMIFS('Dados Mercado'!Y:Y,'Dados Mercado'!$A:$A,$B288)</f>
        <v>51757</v>
      </c>
      <c r="Z288" s="402">
        <f>+SUMIFS('Dados Mercado'!Z:Z,'Dados Mercado'!$A:$A,$B288)</f>
        <v>26682</v>
      </c>
      <c r="AA288" s="402">
        <f>+SUMIFS('Dados Mercado'!AA:AA,'Dados Mercado'!$A:$A,$B288)</f>
        <v>26052</v>
      </c>
      <c r="AB288" s="404">
        <f>+SUMIFS('Dados Mercado'!AB:AB,'Dados Mercado'!$A:$A,$B288)</f>
        <v>85011</v>
      </c>
      <c r="AC288" s="364"/>
      <c r="AD288" s="445" t="s">
        <v>1313</v>
      </c>
      <c r="AE288" s="660">
        <f t="shared" si="172"/>
        <v>0.10423955747542073</v>
      </c>
      <c r="AF288" s="661">
        <f t="shared" si="172"/>
        <v>0.1742798876748565</v>
      </c>
      <c r="AG288" s="661">
        <f t="shared" si="172"/>
        <v>0.26032687659219589</v>
      </c>
      <c r="AH288" s="661">
        <f t="shared" si="172"/>
        <v>7.6273919587185546E-2</v>
      </c>
      <c r="AI288" s="661">
        <f t="shared" si="172"/>
        <v>7.6210394636539558E-2</v>
      </c>
      <c r="AJ288" s="661">
        <f t="shared" si="172"/>
        <v>8.4304124886795284E-2</v>
      </c>
      <c r="AK288" s="661">
        <f t="shared" si="172"/>
        <v>4.3460839311194072E-2</v>
      </c>
      <c r="AL288" s="661">
        <f t="shared" si="172"/>
        <v>4.2434667031527921E-2</v>
      </c>
      <c r="AM288" s="662">
        <f t="shared" si="172"/>
        <v>0.13846973280428451</v>
      </c>
      <c r="AN288" s="367"/>
      <c r="AO288" s="587">
        <f>+SUMIFS('Dados Mercado'!AO:AO,'Dados Mercado'!$A:$A,$B288)</f>
        <v>31183.776400000002</v>
      </c>
      <c r="AP288" s="588">
        <f>+SUMIFS('Dados Mercado'!AP:AP,'Dados Mercado'!$A:$A,$B288)</f>
        <v>88233.299599999998</v>
      </c>
      <c r="AQ288" s="588">
        <f>+SUMIFS('Dados Mercado'!AQ:AQ,'Dados Mercado'!$A:$A,$B288)</f>
        <v>60132.666799999999</v>
      </c>
      <c r="AR288" s="588">
        <f>+SUMIFS('Dados Mercado'!AR:AR,'Dados Mercado'!$A:$A,$B288)</f>
        <v>332625.391</v>
      </c>
      <c r="AS288" s="589">
        <f>+SUMIFS('Dados Mercado'!AS:AS,'Dados Mercado'!$A:$A,$B288)</f>
        <v>105597.7644</v>
      </c>
      <c r="AT288" s="364"/>
      <c r="AU288" s="665">
        <f t="shared" si="173"/>
        <v>5.0477734602569845E-2</v>
      </c>
      <c r="AV288" s="666">
        <f t="shared" si="173"/>
        <v>0.14282481451854664</v>
      </c>
      <c r="AW288" s="666">
        <f t="shared" si="173"/>
        <v>9.7337819407759818E-2</v>
      </c>
      <c r="AX288" s="666">
        <f t="shared" si="173"/>
        <v>0.53842664831877207</v>
      </c>
      <c r="AY288" s="407">
        <f t="shared" si="173"/>
        <v>0.17093298315235156</v>
      </c>
      <c r="AZ288" s="364"/>
      <c r="BA288" s="408">
        <f t="shared" si="167"/>
        <v>0.23111187862022664</v>
      </c>
      <c r="BB288" s="409">
        <f t="shared" si="168"/>
        <v>0.18568505958314602</v>
      </c>
    </row>
    <row r="289" spans="1:54" ht="12.75" customHeight="1" x14ac:dyDescent="0.2">
      <c r="A289" s="364"/>
      <c r="B289" s="438" t="s">
        <v>1315</v>
      </c>
      <c r="C289" s="401">
        <f>+SUMIFS('Dados Mercado'!C:C,'Dados Mercado'!$A:$A,$B289)</f>
        <v>825182</v>
      </c>
      <c r="D289" s="402">
        <f>+SUMIFS('Dados Mercado'!D:D,'Dados Mercado'!$A:$A,$B289)</f>
        <v>676481</v>
      </c>
      <c r="E289" s="404">
        <f>+SUMIFS('Dados Mercado'!E:E,'Dados Mercado'!$A:$A,$B289)</f>
        <v>148701</v>
      </c>
      <c r="F289" s="367"/>
      <c r="G289" s="401" t="s">
        <v>160</v>
      </c>
      <c r="H289" s="403" t="s">
        <v>160</v>
      </c>
      <c r="I289" s="449" t="s">
        <v>160</v>
      </c>
      <c r="J289" s="367"/>
      <c r="K289" s="405">
        <f>+SUMIFS('Dados Mercado'!K:K,'Dados Mercado'!$A:$A,$B289)</f>
        <v>690563</v>
      </c>
      <c r="L289" s="404">
        <f>+SUMIFS('Dados Mercado'!L:L,'Dados Mercado'!$A:$A,$B289)</f>
        <v>125904</v>
      </c>
      <c r="M289" s="367"/>
      <c r="N289" s="405">
        <f>+SUMIFS('Dados Mercado'!N:N,'Dados Mercado'!$A:$A,$B289)</f>
        <v>320578.04800000001</v>
      </c>
      <c r="O289" s="404">
        <f>+SUMIFS('Dados Mercado'!O:O,'Dados Mercado'!$A:$A,$B289)</f>
        <v>355902.95199999999</v>
      </c>
      <c r="P289" s="367"/>
      <c r="Q289" s="405">
        <f>+SUMIFS('Dados Mercado'!Q:Q,'Dados Mercado'!$A:$A,$B289)</f>
        <v>0</v>
      </c>
      <c r="R289" s="406">
        <f t="shared" si="169"/>
        <v>0</v>
      </c>
      <c r="S289" s="367"/>
      <c r="T289" s="405">
        <f>+SUMIFS('Dados Mercado'!T:T,'Dados Mercado'!$A:$A,$B289)</f>
        <v>72072</v>
      </c>
      <c r="U289" s="402">
        <f>+SUMIFS('Dados Mercado'!U:U,'Dados Mercado'!$A:$A,$B289)</f>
        <v>121138</v>
      </c>
      <c r="V289" s="402">
        <f>+SUMIFS('Dados Mercado'!V:V,'Dados Mercado'!$A:$A,$B289)</f>
        <v>173756</v>
      </c>
      <c r="W289" s="402">
        <f>+SUMIFS('Dados Mercado'!W:W,'Dados Mercado'!$A:$A,$B289)</f>
        <v>49026</v>
      </c>
      <c r="X289" s="402">
        <f>+SUMIFS('Dados Mercado'!X:X,'Dados Mercado'!$A:$A,$B289)</f>
        <v>53896</v>
      </c>
      <c r="Y289" s="402">
        <f>+SUMIFS('Dados Mercado'!Y:Y,'Dados Mercado'!$A:$A,$B289)</f>
        <v>52503</v>
      </c>
      <c r="Z289" s="402">
        <f>+SUMIFS('Dados Mercado'!Z:Z,'Dados Mercado'!$A:$A,$B289)</f>
        <v>22888</v>
      </c>
      <c r="AA289" s="402">
        <f>+SUMIFS('Dados Mercado'!AA:AA,'Dados Mercado'!$A:$A,$B289)</f>
        <v>29531</v>
      </c>
      <c r="AB289" s="404">
        <f>+SUMIFS('Dados Mercado'!AB:AB,'Dados Mercado'!$A:$A,$B289)</f>
        <v>101671</v>
      </c>
      <c r="AC289" s="364"/>
      <c r="AD289" s="445" t="s">
        <v>1315</v>
      </c>
      <c r="AE289" s="660">
        <f t="shared" si="172"/>
        <v>0.10653957760824029</v>
      </c>
      <c r="AF289" s="661">
        <f t="shared" si="172"/>
        <v>0.17907080908406889</v>
      </c>
      <c r="AG289" s="661">
        <f t="shared" si="172"/>
        <v>0.2568527423534438</v>
      </c>
      <c r="AH289" s="661">
        <f t="shared" si="172"/>
        <v>7.2472101951126494E-2</v>
      </c>
      <c r="AI289" s="661">
        <f t="shared" si="172"/>
        <v>7.9671121583606924E-2</v>
      </c>
      <c r="AJ289" s="661">
        <f t="shared" si="172"/>
        <v>7.7611935885856367E-2</v>
      </c>
      <c r="AK289" s="661">
        <f t="shared" si="172"/>
        <v>3.3833914034540509E-2</v>
      </c>
      <c r="AL289" s="661">
        <f t="shared" si="172"/>
        <v>4.3653849849441449E-2</v>
      </c>
      <c r="AM289" s="662">
        <f t="shared" si="172"/>
        <v>0.1502939476496753</v>
      </c>
      <c r="AN289" s="367"/>
      <c r="AO289" s="587">
        <f>+SUMIFS('Dados Mercado'!AO:AO,'Dados Mercado'!$A:$A,$B289)</f>
        <v>35187.717400000001</v>
      </c>
      <c r="AP289" s="588">
        <f>+SUMIFS('Dados Mercado'!AP:AP,'Dados Mercado'!$A:$A,$B289)</f>
        <v>99188.225399999996</v>
      </c>
      <c r="AQ289" s="588">
        <f>+SUMIFS('Dados Mercado'!AQ:AQ,'Dados Mercado'!$A:$A,$B289)</f>
        <v>64278.979800000001</v>
      </c>
      <c r="AR289" s="588">
        <f>+SUMIFS('Dados Mercado'!AR:AR,'Dados Mercado'!$A:$A,$B289)</f>
        <v>360362.27360000001</v>
      </c>
      <c r="AS289" s="589">
        <f>+SUMIFS('Dados Mercado'!AS:AS,'Dados Mercado'!$A:$A,$B289)</f>
        <v>117442.2075</v>
      </c>
      <c r="AT289" s="364"/>
      <c r="AU289" s="665">
        <f t="shared" si="173"/>
        <v>5.2017485761207995E-2</v>
      </c>
      <c r="AV289" s="666">
        <f t="shared" si="173"/>
        <v>0.14662849663627198</v>
      </c>
      <c r="AW289" s="666">
        <f t="shared" si="173"/>
        <v>9.5022671646540963E-2</v>
      </c>
      <c r="AX289" s="666">
        <f t="shared" si="173"/>
        <v>0.5327182557134138</v>
      </c>
      <c r="AY289" s="407">
        <f t="shared" si="173"/>
        <v>0.17361309024256527</v>
      </c>
      <c r="AZ289" s="364"/>
      <c r="BA289" s="408">
        <f>+E289/K289</f>
        <v>0.21533299641017548</v>
      </c>
      <c r="BB289" s="409">
        <f>+L289/D289</f>
        <v>0.18611609195232387</v>
      </c>
    </row>
    <row r="290" spans="1:54" ht="12.75" customHeight="1" x14ac:dyDescent="0.2">
      <c r="A290" s="364"/>
      <c r="B290" s="438" t="s">
        <v>1317</v>
      </c>
      <c r="C290" s="401">
        <f>+SUMIFS('Dados Mercado'!C:C,'Dados Mercado'!$A:$A,$B290)</f>
        <v>831461</v>
      </c>
      <c r="D290" s="402">
        <f>+SUMIFS('Dados Mercado'!D:D,'Dados Mercado'!$A:$A,$B290)</f>
        <v>742999</v>
      </c>
      <c r="E290" s="404">
        <f>+SUMIFS('Dados Mercado'!E:E,'Dados Mercado'!$A:$A,$B290)</f>
        <v>88462</v>
      </c>
      <c r="F290" s="367"/>
      <c r="G290" s="401" t="s">
        <v>160</v>
      </c>
      <c r="H290" s="403" t="s">
        <v>160</v>
      </c>
      <c r="I290" s="449" t="s">
        <v>160</v>
      </c>
      <c r="J290" s="367"/>
      <c r="K290" s="405">
        <f>+SUMIFS('Dados Mercado'!K:K,'Dados Mercado'!$A:$A,$B290)</f>
        <v>621657</v>
      </c>
      <c r="L290" s="404">
        <f>+SUMIFS('Dados Mercado'!L:L,'Dados Mercado'!$A:$A,$B290)</f>
        <v>140712</v>
      </c>
      <c r="M290" s="367"/>
      <c r="N290" s="405">
        <f>+SUMIFS('Dados Mercado'!N:N,'Dados Mercado'!$A:$A,$B290)</f>
        <v>398567.05099999998</v>
      </c>
      <c r="O290" s="404">
        <f>+SUMIFS('Dados Mercado'!O:O,'Dados Mercado'!$A:$A,$B290)</f>
        <v>344431.94900000002</v>
      </c>
      <c r="P290" s="367"/>
      <c r="Q290" s="405">
        <f>+SUMIFS('Dados Mercado'!Q:Q,'Dados Mercado'!$A:$A,$B290)</f>
        <v>0</v>
      </c>
      <c r="R290" s="406">
        <f t="shared" si="169"/>
        <v>0</v>
      </c>
      <c r="S290" s="367"/>
      <c r="T290" s="405">
        <f>+SUMIFS('Dados Mercado'!T:T,'Dados Mercado'!$A:$A,$B290)</f>
        <v>83959</v>
      </c>
      <c r="U290" s="402">
        <f>+SUMIFS('Dados Mercado'!U:U,'Dados Mercado'!$A:$A,$B290)</f>
        <v>131008</v>
      </c>
      <c r="V290" s="402">
        <f>+SUMIFS('Dados Mercado'!V:V,'Dados Mercado'!$A:$A,$B290)</f>
        <v>187109</v>
      </c>
      <c r="W290" s="402">
        <f>+SUMIFS('Dados Mercado'!W:W,'Dados Mercado'!$A:$A,$B290)</f>
        <v>32612</v>
      </c>
      <c r="X290" s="402">
        <f>+SUMIFS('Dados Mercado'!X:X,'Dados Mercado'!$A:$A,$B290)</f>
        <v>58912</v>
      </c>
      <c r="Y290" s="402">
        <f>+SUMIFS('Dados Mercado'!Y:Y,'Dados Mercado'!$A:$A,$B290)</f>
        <v>64768</v>
      </c>
      <c r="Z290" s="402">
        <f>+SUMIFS('Dados Mercado'!Z:Z,'Dados Mercado'!$A:$A,$B290)</f>
        <v>29889</v>
      </c>
      <c r="AA290" s="402">
        <f>+SUMIFS('Dados Mercado'!AA:AA,'Dados Mercado'!$A:$A,$B290)</f>
        <v>35662</v>
      </c>
      <c r="AB290" s="404">
        <f>+SUMIFS('Dados Mercado'!AB:AB,'Dados Mercado'!$A:$A,$B290)</f>
        <v>119080</v>
      </c>
      <c r="AC290" s="364"/>
      <c r="AD290" s="445" t="s">
        <v>1317</v>
      </c>
      <c r="AE290" s="660">
        <f t="shared" si="172"/>
        <v>0.11300015208634197</v>
      </c>
      <c r="AF290" s="661">
        <f t="shared" si="172"/>
        <v>0.17632325211743219</v>
      </c>
      <c r="AG290" s="661">
        <f t="shared" si="172"/>
        <v>0.25182941026838529</v>
      </c>
      <c r="AH290" s="661">
        <f t="shared" si="172"/>
        <v>4.3892387472930651E-2</v>
      </c>
      <c r="AI290" s="661">
        <f t="shared" si="172"/>
        <v>7.9289474144648917E-2</v>
      </c>
      <c r="AJ290" s="661">
        <f t="shared" si="172"/>
        <v>8.7171045990640628E-2</v>
      </c>
      <c r="AK290" s="661">
        <f t="shared" si="172"/>
        <v>4.0227510400417769E-2</v>
      </c>
      <c r="AL290" s="661">
        <f t="shared" si="172"/>
        <v>4.7997372809384667E-2</v>
      </c>
      <c r="AM290" s="662">
        <f t="shared" si="172"/>
        <v>0.16026939470981791</v>
      </c>
      <c r="AN290" s="367"/>
      <c r="AO290" s="587">
        <f>+SUMIFS('Dados Mercado'!AO:AO,'Dados Mercado'!$A:$A,$B290)</f>
        <v>37495.674599999998</v>
      </c>
      <c r="AP290" s="588">
        <f>+SUMIFS('Dados Mercado'!AP:AP,'Dados Mercado'!$A:$A,$B290)</f>
        <v>100557.18919999999</v>
      </c>
      <c r="AQ290" s="588">
        <f>+SUMIFS('Dados Mercado'!AQ:AQ,'Dados Mercado'!$A:$A,$B290)</f>
        <v>67121.904999999999</v>
      </c>
      <c r="AR290" s="588">
        <f>+SUMIFS('Dados Mercado'!AR:AR,'Dados Mercado'!$A:$A,$B290)</f>
        <v>389701.17940000002</v>
      </c>
      <c r="AS290" s="589">
        <f>+SUMIFS('Dados Mercado'!AS:AS,'Dados Mercado'!$A:$A,$B290)</f>
        <v>148069.30660000001</v>
      </c>
      <c r="AT290" s="364"/>
      <c r="AU290" s="665">
        <f t="shared" si="173"/>
        <v>5.0468960340952433E-2</v>
      </c>
      <c r="AV290" s="666">
        <f t="shared" si="173"/>
        <v>0.13534939290657408</v>
      </c>
      <c r="AW290" s="666">
        <f t="shared" si="173"/>
        <v>9.0345694472561286E-2</v>
      </c>
      <c r="AX290" s="666">
        <f t="shared" si="173"/>
        <v>0.5245355251712418</v>
      </c>
      <c r="AY290" s="407">
        <f t="shared" si="173"/>
        <v>0.19930042710867046</v>
      </c>
      <c r="AZ290" s="364"/>
      <c r="BA290" s="408">
        <f>+E290/K290</f>
        <v>0.14230033603739684</v>
      </c>
      <c r="BB290" s="409">
        <f>+L290/D290</f>
        <v>0.18938383497151409</v>
      </c>
    </row>
    <row r="291" spans="1:54" ht="12.75" customHeight="1" x14ac:dyDescent="0.2">
      <c r="B291" s="438" t="s">
        <v>1344</v>
      </c>
      <c r="C291" s="401">
        <f>+SUMIFS('Dados Mercado'!C:C,'Dados Mercado'!$A:$A,$B291)</f>
        <v>692873</v>
      </c>
      <c r="D291" s="402">
        <f>+SUMIFS('Dados Mercado'!D:D,'Dados Mercado'!$A:$A,$B291)</f>
        <v>598839</v>
      </c>
      <c r="E291" s="404">
        <f>+SUMIFS('Dados Mercado'!E:E,'Dados Mercado'!$A:$A,$B291)</f>
        <v>94034</v>
      </c>
      <c r="F291" s="367"/>
      <c r="G291" s="401" t="s">
        <v>160</v>
      </c>
      <c r="H291" s="403" t="s">
        <v>160</v>
      </c>
      <c r="I291" s="449" t="s">
        <v>160</v>
      </c>
      <c r="J291" s="367"/>
      <c r="K291" s="405">
        <f>+SUMIFS('Dados Mercado'!K:K,'Dados Mercado'!$A:$A,$B291)</f>
        <v>601329</v>
      </c>
      <c r="L291" s="404">
        <f>+SUMIFS('Dados Mercado'!L:L,'Dados Mercado'!$A:$A,$B291)</f>
        <v>118189</v>
      </c>
      <c r="M291" s="367"/>
      <c r="N291" s="405">
        <f>+SUMIFS('Dados Mercado'!N:N,'Dados Mercado'!$A:$A,$B291)</f>
        <v>283350.58199999999</v>
      </c>
      <c r="O291" s="404">
        <f>+SUMIFS('Dados Mercado'!O:O,'Dados Mercado'!$A:$A,$B291)</f>
        <v>315488.41800000001</v>
      </c>
      <c r="P291" s="367"/>
      <c r="Q291" s="405">
        <f>+SUMIFS('Dados Mercado'!Q:Q,'Dados Mercado'!$A:$A,$B291)</f>
        <v>0</v>
      </c>
      <c r="R291" s="406">
        <f>+Q291/D291</f>
        <v>0</v>
      </c>
      <c r="S291" s="367"/>
      <c r="T291" s="405">
        <f>+SUMIFS('Dados Mercado'!T:T,'Dados Mercado'!$A:$A,$B291)</f>
        <v>61105</v>
      </c>
      <c r="U291" s="402">
        <f>+SUMIFS('Dados Mercado'!U:U,'Dados Mercado'!$A:$A,$B291)</f>
        <v>97598</v>
      </c>
      <c r="V291" s="402">
        <f>+SUMIFS('Dados Mercado'!V:V,'Dados Mercado'!$A:$A,$B291)</f>
        <v>153849</v>
      </c>
      <c r="W291" s="402">
        <f>+SUMIFS('Dados Mercado'!W:W,'Dados Mercado'!$A:$A,$B291)</f>
        <v>36017</v>
      </c>
      <c r="X291" s="402">
        <f>+SUMIFS('Dados Mercado'!X:X,'Dados Mercado'!$A:$A,$B291)</f>
        <v>48169</v>
      </c>
      <c r="Y291" s="402">
        <f>+SUMIFS('Dados Mercado'!Y:Y,'Dados Mercado'!$A:$A,$B291)</f>
        <v>41499</v>
      </c>
      <c r="Z291" s="402">
        <f>+SUMIFS('Dados Mercado'!Z:Z,'Dados Mercado'!$A:$A,$B291)</f>
        <v>24204</v>
      </c>
      <c r="AA291" s="402">
        <f>+SUMIFS('Dados Mercado'!AA:AA,'Dados Mercado'!$A:$A,$B291)</f>
        <v>37643</v>
      </c>
      <c r="AB291" s="404">
        <f>+SUMIFS('Dados Mercado'!AB:AB,'Dados Mercado'!$A:$A,$B291)</f>
        <v>98755</v>
      </c>
      <c r="AC291" s="364"/>
      <c r="AD291" s="445" t="s">
        <v>1344</v>
      </c>
      <c r="AE291" s="660">
        <f t="shared" si="172"/>
        <v>0.1020391123490621</v>
      </c>
      <c r="AF291" s="661">
        <f t="shared" si="172"/>
        <v>0.16297869711224552</v>
      </c>
      <c r="AG291" s="661">
        <f t="shared" si="172"/>
        <v>0.2569121249618011</v>
      </c>
      <c r="AH291" s="661">
        <f t="shared" si="172"/>
        <v>6.0144713353672691E-2</v>
      </c>
      <c r="AI291" s="661">
        <f t="shared" si="172"/>
        <v>8.0437312867064431E-2</v>
      </c>
      <c r="AJ291" s="661">
        <f t="shared" si="172"/>
        <v>6.9299093746399282E-2</v>
      </c>
      <c r="AK291" s="661">
        <f t="shared" si="172"/>
        <v>4.0418209234869475E-2</v>
      </c>
      <c r="AL291" s="661">
        <f t="shared" si="172"/>
        <v>6.2859967370194655E-2</v>
      </c>
      <c r="AM291" s="662">
        <f t="shared" si="172"/>
        <v>0.16491076900469073</v>
      </c>
      <c r="AN291" s="367"/>
      <c r="AO291" s="587">
        <f>+SUMIFS('Dados Mercado'!AO:AO,'Dados Mercado'!$A:$A,$B291)</f>
        <v>30790.207500000004</v>
      </c>
      <c r="AP291" s="588">
        <f>+SUMIFS('Dados Mercado'!AP:AP,'Dados Mercado'!$A:$A,$B291)</f>
        <v>86914.032000000007</v>
      </c>
      <c r="AQ291" s="588">
        <f>+SUMIFS('Dados Mercado'!AQ:AQ,'Dados Mercado'!$A:$A,$B291)</f>
        <v>60918.607499999998</v>
      </c>
      <c r="AR291" s="588">
        <f>+SUMIFS('Dados Mercado'!AR:AR,'Dados Mercado'!$A:$A,$B291)</f>
        <v>315099.97649999999</v>
      </c>
      <c r="AS291" s="589">
        <f>+SUMIFS('Dados Mercado'!AS:AS,'Dados Mercado'!$A:$A,$B291)</f>
        <v>104973.40950000001</v>
      </c>
      <c r="AT291" s="364"/>
      <c r="AU291" s="665">
        <f t="shared" si="173"/>
        <v>5.14287643764079E-2</v>
      </c>
      <c r="AV291" s="666">
        <f t="shared" si="173"/>
        <v>0.14517217114342526</v>
      </c>
      <c r="AW291" s="666">
        <f t="shared" si="173"/>
        <v>0.10175211424789439</v>
      </c>
      <c r="AX291" s="666">
        <f t="shared" si="173"/>
        <v>0.5263102707713212</v>
      </c>
      <c r="AY291" s="407">
        <f t="shared" si="173"/>
        <v>0.1753366794609513</v>
      </c>
      <c r="AZ291" s="364"/>
      <c r="BA291" s="408">
        <f>+E291/K291</f>
        <v>0.15637695837054258</v>
      </c>
      <c r="BB291" s="409">
        <f>+L291/D291</f>
        <v>0.19736356516526143</v>
      </c>
    </row>
  </sheetData>
  <mergeCells count="8">
    <mergeCell ref="C3:E3"/>
    <mergeCell ref="Q3:R3"/>
    <mergeCell ref="N3:O3"/>
    <mergeCell ref="BA3:BB3"/>
    <mergeCell ref="AU3:AY3"/>
    <mergeCell ref="AO3:AS3"/>
    <mergeCell ref="K3:L3"/>
    <mergeCell ref="G3:I3"/>
  </mergeCells>
  <phoneticPr fontId="181" type="noConversion"/>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8">
    <tabColor rgb="FF548235"/>
    <pageSetUpPr autoPageBreaks="0"/>
  </sheetPr>
  <dimension ref="B1:AI30"/>
  <sheetViews>
    <sheetView showGridLines="0" topLeftCell="D1" zoomScaleNormal="100" zoomScaleSheetLayoutView="50" workbookViewId="0">
      <pane xSplit="1" ySplit="6" topLeftCell="E7" activePane="bottomRight" state="frozen"/>
      <selection activeCell="D1" sqref="D1"/>
      <selection pane="topRight" activeCell="E1" sqref="E1"/>
      <selection pane="bottomLeft" activeCell="D7" sqref="D7"/>
      <selection pane="bottomRight" activeCell="E2" sqref="E2"/>
    </sheetView>
  </sheetViews>
  <sheetFormatPr defaultColWidth="9.140625" defaultRowHeight="12.75" x14ac:dyDescent="0.2"/>
  <cols>
    <col min="1" max="1" width="1.42578125" style="39" customWidth="1"/>
    <col min="2" max="2" width="53.140625" style="18" bestFit="1" customWidth="1"/>
    <col min="3" max="3" width="10" style="18" customWidth="1"/>
    <col min="4" max="5" width="9.140625" style="37" customWidth="1"/>
    <col min="6" max="6" width="9.140625" style="18" customWidth="1"/>
    <col min="7" max="7" width="10.42578125" style="18" bestFit="1" customWidth="1"/>
    <col min="8" max="9" width="9.140625" style="18" customWidth="1"/>
    <col min="10" max="27" width="10.85546875" style="18" customWidth="1"/>
    <col min="28" max="16384" width="9.140625" style="39"/>
  </cols>
  <sheetData>
    <row r="1" spans="2:35" s="577" customFormat="1" ht="16.5" customHeight="1" x14ac:dyDescent="0.2">
      <c r="C1" s="546"/>
      <c r="D1" s="806"/>
      <c r="E1" s="546"/>
      <c r="F1" s="806"/>
      <c r="G1" s="546"/>
      <c r="H1" s="806"/>
      <c r="I1" s="806"/>
      <c r="J1" s="806"/>
      <c r="K1" s="806"/>
      <c r="L1" s="806"/>
      <c r="M1" s="806"/>
      <c r="N1" s="806"/>
      <c r="O1" s="806"/>
      <c r="P1" s="806"/>
      <c r="Q1" s="806"/>
      <c r="R1" s="806"/>
      <c r="S1" s="806"/>
      <c r="T1" s="806"/>
      <c r="U1" s="806"/>
      <c r="V1" s="806"/>
      <c r="W1" s="806"/>
      <c r="X1" s="806"/>
      <c r="Y1" s="806"/>
      <c r="Z1" s="806"/>
      <c r="AA1" s="806"/>
      <c r="AB1" s="806"/>
      <c r="AC1" s="806"/>
      <c r="AD1" s="806"/>
      <c r="AE1" s="806"/>
      <c r="AF1" s="813"/>
      <c r="AG1" s="813"/>
      <c r="AH1" s="813"/>
      <c r="AI1" s="813"/>
    </row>
    <row r="2" spans="2:35" s="577" customFormat="1" ht="12.75" customHeight="1" x14ac:dyDescent="0.2">
      <c r="C2" s="545"/>
      <c r="D2" s="807"/>
      <c r="E2" s="545"/>
      <c r="F2" s="807"/>
      <c r="G2" s="545"/>
      <c r="H2" s="807"/>
      <c r="I2" s="807"/>
      <c r="J2" s="807"/>
      <c r="K2" s="807"/>
      <c r="L2" s="807"/>
      <c r="M2" s="807"/>
      <c r="N2" s="807"/>
      <c r="O2" s="807"/>
      <c r="P2" s="807"/>
      <c r="Q2" s="807"/>
      <c r="R2" s="807"/>
      <c r="S2" s="807"/>
      <c r="T2" s="807"/>
      <c r="U2" s="807"/>
      <c r="V2" s="807"/>
      <c r="W2" s="807"/>
      <c r="X2" s="807"/>
      <c r="Y2" s="807"/>
      <c r="Z2" s="807"/>
      <c r="AA2" s="807"/>
      <c r="AB2" s="807"/>
      <c r="AC2" s="807"/>
      <c r="AD2" s="807"/>
      <c r="AE2" s="807"/>
      <c r="AF2" s="813"/>
      <c r="AG2" s="813"/>
      <c r="AH2" s="813"/>
      <c r="AI2" s="813"/>
    </row>
    <row r="3" spans="2:35" ht="12.75" customHeight="1" x14ac:dyDescent="0.2">
      <c r="C3"/>
      <c r="D3" s="28"/>
      <c r="E3" s="28"/>
      <c r="F3" s="28"/>
      <c r="G3"/>
      <c r="H3" s="28"/>
      <c r="I3" s="550"/>
      <c r="J3" s="550"/>
      <c r="K3" s="550"/>
      <c r="L3" s="550"/>
      <c r="M3" s="550"/>
      <c r="N3" s="550"/>
      <c r="O3" s="550"/>
      <c r="P3" s="814"/>
      <c r="Q3" s="814"/>
      <c r="R3" s="814"/>
      <c r="S3" s="814"/>
      <c r="T3" s="814"/>
      <c r="U3" s="814"/>
      <c r="V3" s="814"/>
      <c r="W3" s="814"/>
      <c r="X3" s="814"/>
      <c r="Y3" s="814"/>
      <c r="Z3" s="814"/>
      <c r="AA3" s="814"/>
      <c r="AB3" s="814"/>
      <c r="AC3" s="814"/>
      <c r="AD3" s="814"/>
      <c r="AE3" s="814"/>
      <c r="AF3" s="815"/>
      <c r="AG3" s="815"/>
      <c r="AH3" s="815"/>
      <c r="AI3" s="815"/>
    </row>
    <row r="4" spans="2:35" s="577" customFormat="1" x14ac:dyDescent="0.2">
      <c r="B4" s="547" t="s">
        <v>626</v>
      </c>
      <c r="C4"/>
      <c r="D4" s="28"/>
      <c r="E4" s="28"/>
      <c r="F4" s="28"/>
      <c r="G4"/>
      <c r="H4" s="28"/>
      <c r="I4" s="28"/>
      <c r="J4" s="28"/>
      <c r="K4" s="28"/>
      <c r="L4" s="28"/>
      <c r="M4" s="28"/>
      <c r="N4" s="28"/>
      <c r="O4" s="28"/>
    </row>
    <row r="5" spans="2:35" x14ac:dyDescent="0.2">
      <c r="B5" s="128" t="s">
        <v>919</v>
      </c>
      <c r="C5" s="197" t="s">
        <v>798</v>
      </c>
      <c r="D5" s="197" t="s">
        <v>799</v>
      </c>
      <c r="E5" s="197" t="s">
        <v>800</v>
      </c>
      <c r="F5" s="197" t="s">
        <v>801</v>
      </c>
      <c r="G5" s="197" t="s">
        <v>913</v>
      </c>
      <c r="H5" s="197" t="s">
        <v>914</v>
      </c>
      <c r="I5" s="197" t="s">
        <v>923</v>
      </c>
      <c r="J5" s="197" t="s">
        <v>924</v>
      </c>
      <c r="K5" s="197" t="s">
        <v>1049</v>
      </c>
      <c r="L5" s="197" t="s">
        <v>1023</v>
      </c>
      <c r="M5" s="197" t="s">
        <v>1024</v>
      </c>
      <c r="N5" s="197" t="s">
        <v>1050</v>
      </c>
      <c r="O5" s="197" t="s">
        <v>1114</v>
      </c>
      <c r="P5" s="197" t="s">
        <v>1119</v>
      </c>
      <c r="Q5" s="197" t="s">
        <v>1121</v>
      </c>
      <c r="R5" s="197" t="s">
        <v>1123</v>
      </c>
      <c r="S5" s="197" t="s">
        <v>1176</v>
      </c>
      <c r="T5" s="197" t="s">
        <v>1177</v>
      </c>
      <c r="U5" s="197" t="s">
        <v>1179</v>
      </c>
      <c r="V5" s="197" t="s">
        <v>1181</v>
      </c>
      <c r="W5" s="197" t="s">
        <v>1243</v>
      </c>
      <c r="X5" s="197" t="s">
        <v>1250</v>
      </c>
      <c r="Y5" s="197" t="s">
        <v>1251</v>
      </c>
      <c r="Z5" s="197" t="s">
        <v>1252</v>
      </c>
      <c r="AA5" s="197" t="s">
        <v>1311</v>
      </c>
      <c r="AB5" s="197" t="s">
        <v>1313</v>
      </c>
      <c r="AC5" s="197" t="s">
        <v>1315</v>
      </c>
      <c r="AD5" s="197" t="s">
        <v>1317</v>
      </c>
      <c r="AE5" s="197" t="s">
        <v>1344</v>
      </c>
    </row>
    <row r="6" spans="2:35" x14ac:dyDescent="0.2">
      <c r="B6" s="119" t="s">
        <v>69</v>
      </c>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row>
    <row r="7" spans="2:35" x14ac:dyDescent="0.2">
      <c r="B7" s="701" t="s">
        <v>929</v>
      </c>
      <c r="C7" s="118">
        <v>-4981</v>
      </c>
      <c r="D7" s="118">
        <v>-4381</v>
      </c>
      <c r="E7" s="118">
        <v>-4770</v>
      </c>
      <c r="F7" s="118">
        <v>-4810.0787082777097</v>
      </c>
      <c r="G7" s="118">
        <v>-5221.6656000000103</v>
      </c>
      <c r="H7" s="118">
        <v>-4983.0441500000097</v>
      </c>
      <c r="I7" s="118">
        <v>-5318.7323999999899</v>
      </c>
      <c r="J7" s="118">
        <v>-5262.5423200000096</v>
      </c>
      <c r="K7" s="118">
        <v>-7298.4094699999896</v>
      </c>
      <c r="L7" s="118">
        <v>-6225.2279400000098</v>
      </c>
      <c r="M7" s="996">
        <v>-5997.3069699999887</v>
      </c>
      <c r="N7" s="996">
        <v>-5965.6264300000103</v>
      </c>
      <c r="O7" s="996">
        <v>-6375.8603899999998</v>
      </c>
      <c r="P7" s="996">
        <v>-7005.7261199999921</v>
      </c>
      <c r="Q7" s="996">
        <v>-6648.5328399999698</v>
      </c>
      <c r="R7" s="996">
        <v>-7125.4665299999797</v>
      </c>
      <c r="S7" s="1102">
        <v>-7315.9999799999896</v>
      </c>
      <c r="T7" s="1102">
        <v>-7304.5372799999996</v>
      </c>
      <c r="U7" s="1121">
        <v>-7948.7313800000102</v>
      </c>
      <c r="V7" s="1120">
        <v>-8621.4421400000192</v>
      </c>
      <c r="W7" s="1134">
        <v>-6907.8126200000097</v>
      </c>
      <c r="X7" s="1134">
        <v>-7069.81412000001</v>
      </c>
      <c r="Y7" s="1134">
        <v>-6995.6201300000002</v>
      </c>
      <c r="Z7" s="1134">
        <v>-6526.4769800000004</v>
      </c>
      <c r="AA7" s="1134">
        <v>-7229.6381000000001</v>
      </c>
      <c r="AB7" s="1134">
        <v>-7348.6779800000004</v>
      </c>
      <c r="AC7" s="1134">
        <v>-7539.0055199999997</v>
      </c>
      <c r="AD7" s="1134">
        <v>-7908.9215800000002</v>
      </c>
      <c r="AE7" s="1134">
        <v>-7770.7715099999996</v>
      </c>
    </row>
    <row r="8" spans="2:35" x14ac:dyDescent="0.2">
      <c r="B8" s="701" t="s">
        <v>843</v>
      </c>
      <c r="C8" s="118">
        <v>-4272</v>
      </c>
      <c r="D8" s="118">
        <v>-3494</v>
      </c>
      <c r="E8" s="118">
        <v>-4021.75416</v>
      </c>
      <c r="F8" s="118">
        <v>-4144.3807600000655</v>
      </c>
      <c r="G8" s="118">
        <v>-3810.7884600000052</v>
      </c>
      <c r="H8" s="118">
        <v>-4061.4094700000032</v>
      </c>
      <c r="I8" s="118">
        <v>-3924.1983000000018</v>
      </c>
      <c r="J8" s="118">
        <v>-3865.4446300000013</v>
      </c>
      <c r="K8" s="118">
        <v>-5501.1694200000056</v>
      </c>
      <c r="L8" s="118">
        <v>-4954.1161700000048</v>
      </c>
      <c r="M8" s="996">
        <v>-4775.7531600000057</v>
      </c>
      <c r="N8" s="996">
        <v>-4663.5948900000003</v>
      </c>
      <c r="O8" s="996">
        <v>-5553.500309999994</v>
      </c>
      <c r="P8" s="996">
        <v>-5581.817279999992</v>
      </c>
      <c r="Q8" s="996">
        <v>-4409.7001599999994</v>
      </c>
      <c r="R8" s="996">
        <v>-5095.7663600000069</v>
      </c>
      <c r="S8" s="1102">
        <v>-5053.6814900000018</v>
      </c>
      <c r="T8" s="1102">
        <v>-5095.7564200000015</v>
      </c>
      <c r="U8" s="1121">
        <v>-5920.678399999998</v>
      </c>
      <c r="V8" s="1120">
        <v>-6373.5846400000064</v>
      </c>
      <c r="W8" s="1134">
        <v>-5198.6491800000003</v>
      </c>
      <c r="X8" s="1134">
        <v>-5253.2675500000023</v>
      </c>
      <c r="Y8" s="1134">
        <v>-4965.0352899999998</v>
      </c>
      <c r="Z8" s="1134">
        <v>-4793.1115600000003</v>
      </c>
      <c r="AA8" s="1134">
        <v>-4813.7135399999997</v>
      </c>
      <c r="AB8" s="1134">
        <v>-4914.2713100000001</v>
      </c>
      <c r="AC8" s="1134">
        <v>-5054.678350000001</v>
      </c>
      <c r="AD8" s="1134">
        <v>-5101.2033500000016</v>
      </c>
      <c r="AE8" s="1134">
        <v>-5292.6441200000027</v>
      </c>
    </row>
    <row r="9" spans="2:35" x14ac:dyDescent="0.2">
      <c r="B9" s="701" t="s">
        <v>844</v>
      </c>
      <c r="C9" s="118">
        <v>-217</v>
      </c>
      <c r="D9" s="118">
        <v>-186</v>
      </c>
      <c r="E9" s="118">
        <v>-209</v>
      </c>
      <c r="F9" s="118">
        <v>-201.85305000000017</v>
      </c>
      <c r="G9" s="118">
        <v>-196.01873999999995</v>
      </c>
      <c r="H9" s="118">
        <v>-197.94529999999997</v>
      </c>
      <c r="I9" s="118">
        <v>-196.80850000000001</v>
      </c>
      <c r="J9" s="118">
        <v>-203.06792000000004</v>
      </c>
      <c r="K9" s="118">
        <v>-178.78923000000003</v>
      </c>
      <c r="L9" s="118">
        <v>-192.26224000000005</v>
      </c>
      <c r="M9" s="996">
        <v>-181.80132000000003</v>
      </c>
      <c r="N9" s="996">
        <v>-159.93155999999999</v>
      </c>
      <c r="O9" s="996">
        <v>-118.05309999999999</v>
      </c>
      <c r="P9" s="996">
        <v>-177.22330999999997</v>
      </c>
      <c r="Q9" s="996">
        <v>-155.3493</v>
      </c>
      <c r="R9" s="996">
        <v>-144.98169000000001</v>
      </c>
      <c r="S9" s="1102">
        <v>-147.01964999999998</v>
      </c>
      <c r="T9" s="1102">
        <v>-148.90146999999996</v>
      </c>
      <c r="U9" s="1121">
        <v>-160.21681000000001</v>
      </c>
      <c r="V9" s="1120">
        <v>-161.16570000000002</v>
      </c>
      <c r="W9" s="1134">
        <v>-152.83681999999999</v>
      </c>
      <c r="X9" s="1134">
        <v>-159.91055999999995</v>
      </c>
      <c r="Y9" s="1134">
        <v>-157.91458999999992</v>
      </c>
      <c r="Z9" s="1134">
        <v>-198.64352999999986</v>
      </c>
      <c r="AA9" s="1134">
        <v>-176.74209999999999</v>
      </c>
      <c r="AB9" s="1134">
        <v>-176.74209999999999</v>
      </c>
      <c r="AC9" s="1134">
        <v>-176.74209999999999</v>
      </c>
      <c r="AD9" s="1134">
        <v>-176.74207999999999</v>
      </c>
      <c r="AE9" s="1134">
        <v>-184.91507000000001</v>
      </c>
    </row>
    <row r="10" spans="2:35" x14ac:dyDescent="0.2">
      <c r="B10" s="701" t="s">
        <v>910</v>
      </c>
      <c r="C10" s="118">
        <v>0</v>
      </c>
      <c r="D10" s="118">
        <v>0</v>
      </c>
      <c r="E10" s="118">
        <v>9.7541600000000184</v>
      </c>
      <c r="F10" s="118">
        <v>56.499990000000004</v>
      </c>
      <c r="G10" s="118">
        <v>-9.8000000000000007</v>
      </c>
      <c r="H10" s="118">
        <v>5.6092300000000108</v>
      </c>
      <c r="I10" s="118">
        <v>27.477259999999895</v>
      </c>
      <c r="J10" s="118">
        <v>0</v>
      </c>
      <c r="K10" s="118">
        <v>0</v>
      </c>
      <c r="L10" s="118">
        <v>0</v>
      </c>
      <c r="M10" s="996">
        <v>0</v>
      </c>
      <c r="N10" s="996">
        <v>0</v>
      </c>
      <c r="O10" s="996">
        <v>0</v>
      </c>
      <c r="P10" s="996">
        <v>0</v>
      </c>
      <c r="Q10" s="996">
        <v>0</v>
      </c>
      <c r="R10" s="996">
        <v>0</v>
      </c>
      <c r="S10" s="1102">
        <v>0</v>
      </c>
      <c r="T10" s="1102">
        <v>0</v>
      </c>
      <c r="U10" s="1121">
        <v>0</v>
      </c>
      <c r="V10" s="1120">
        <v>0</v>
      </c>
      <c r="W10" s="1134">
        <v>0</v>
      </c>
      <c r="X10" s="1134">
        <v>0</v>
      </c>
      <c r="Y10" s="1134">
        <v>0</v>
      </c>
      <c r="Z10" s="1134">
        <v>0</v>
      </c>
      <c r="AA10" s="1134">
        <v>0</v>
      </c>
      <c r="AB10" s="1134">
        <v>0</v>
      </c>
      <c r="AC10" s="1134">
        <v>0</v>
      </c>
      <c r="AD10" s="1134">
        <v>0</v>
      </c>
      <c r="AE10" s="1134">
        <v>0</v>
      </c>
    </row>
    <row r="11" spans="2:35" x14ac:dyDescent="0.2">
      <c r="B11" s="701" t="s">
        <v>852</v>
      </c>
      <c r="C11" s="118">
        <v>-838</v>
      </c>
      <c r="D11" s="118">
        <v>-917</v>
      </c>
      <c r="E11" s="118">
        <v>-1201</v>
      </c>
      <c r="F11" s="118">
        <v>-1224.1684900000091</v>
      </c>
      <c r="G11" s="118">
        <v>-1214.5590799999986</v>
      </c>
      <c r="H11" s="118">
        <v>-1178.78061</v>
      </c>
      <c r="I11" s="118">
        <v>-1044.0683999999987</v>
      </c>
      <c r="J11" s="118">
        <v>-974.2493999999997</v>
      </c>
      <c r="K11" s="118">
        <v>-1325.2262599999988</v>
      </c>
      <c r="L11" s="118">
        <v>-874.68511000000069</v>
      </c>
      <c r="M11" s="996">
        <v>-1000.2897800000001</v>
      </c>
      <c r="N11" s="996">
        <v>-857.40150000000051</v>
      </c>
      <c r="O11" s="996">
        <v>-763.18351999999925</v>
      </c>
      <c r="P11" s="996">
        <v>-690.71831999999984</v>
      </c>
      <c r="Q11" s="996">
        <v>-1350.3123799999987</v>
      </c>
      <c r="R11" s="996">
        <v>-1346.3791600000009</v>
      </c>
      <c r="S11" s="1102">
        <v>-1350.4075399999986</v>
      </c>
      <c r="T11" s="1102">
        <v>-1997.7186700000013</v>
      </c>
      <c r="U11" s="1121">
        <v>-1914.1340700000019</v>
      </c>
      <c r="V11" s="1120">
        <v>-2139.8714500000006</v>
      </c>
      <c r="W11" s="1134">
        <v>-1822.4608600000006</v>
      </c>
      <c r="X11" s="1134">
        <v>-1869.0719899999981</v>
      </c>
      <c r="Y11" s="1134">
        <v>-1829.7233800000001</v>
      </c>
      <c r="Z11" s="1134">
        <v>-2131.4848699999984</v>
      </c>
      <c r="AA11" s="1134">
        <v>-2272.0156100000008</v>
      </c>
      <c r="AB11" s="1134">
        <v>-2189.9028099999996</v>
      </c>
      <c r="AC11" s="1134">
        <v>-2225.7544799999996</v>
      </c>
      <c r="AD11" s="1134">
        <v>-1987.7027899999998</v>
      </c>
      <c r="AE11" s="1134">
        <v>-1670.5591600000002</v>
      </c>
    </row>
    <row r="12" spans="2:35" x14ac:dyDescent="0.2">
      <c r="B12" s="119" t="s">
        <v>70</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row>
    <row r="13" spans="2:35" x14ac:dyDescent="0.2">
      <c r="B13" s="701" t="s">
        <v>929</v>
      </c>
      <c r="C13" s="118">
        <v>-4719</v>
      </c>
      <c r="D13" s="118">
        <v>-3891</v>
      </c>
      <c r="E13" s="118">
        <v>-4334</v>
      </c>
      <c r="F13" s="118">
        <v>-4368.29738</v>
      </c>
      <c r="G13" s="118">
        <v>-4649.11193</v>
      </c>
      <c r="H13" s="118">
        <v>-4410.0316700000003</v>
      </c>
      <c r="I13" s="118">
        <v>-4105.63141</v>
      </c>
      <c r="J13" s="118">
        <v>-4024.5754499999998</v>
      </c>
      <c r="K13" s="118">
        <v>-2208.1629600000001</v>
      </c>
      <c r="L13" s="118">
        <v>-2587.8254499999998</v>
      </c>
      <c r="M13" s="997">
        <v>-2588.4667799999984</v>
      </c>
      <c r="N13" s="997">
        <v>-2576.5198399999999</v>
      </c>
      <c r="O13" s="997">
        <v>-2932.1561299999998</v>
      </c>
      <c r="P13" s="997">
        <v>-2939.8680899999995</v>
      </c>
      <c r="Q13" s="997">
        <v>-2957.4588600000002</v>
      </c>
      <c r="R13" s="997">
        <v>-2981.36715</v>
      </c>
      <c r="S13" s="1102">
        <v>-2965.89284</v>
      </c>
      <c r="T13" s="1102">
        <v>-2687.7272699999999</v>
      </c>
      <c r="U13" s="1121">
        <v>-2919.9746599999999</v>
      </c>
      <c r="V13" s="1120">
        <v>-2809.4375100000002</v>
      </c>
      <c r="W13" s="1134">
        <v>-2823.2623800000001</v>
      </c>
      <c r="X13" s="1134">
        <v>-2831.43163</v>
      </c>
      <c r="Y13" s="1134">
        <v>-2885.5690199999999</v>
      </c>
      <c r="Z13" s="1134">
        <v>-2612.3018499999998</v>
      </c>
      <c r="AA13" s="1134">
        <v>-3474.6312899999998</v>
      </c>
      <c r="AB13" s="1134">
        <v>-3523.0232900000001</v>
      </c>
      <c r="AC13" s="1134">
        <v>-3551.6418600000002</v>
      </c>
      <c r="AD13" s="1134">
        <v>-3579.5062800000001</v>
      </c>
      <c r="AE13" s="1134">
        <v>-3404.48135</v>
      </c>
    </row>
    <row r="14" spans="2:35" x14ac:dyDescent="0.2">
      <c r="B14" s="701" t="s">
        <v>807</v>
      </c>
      <c r="C14" s="118">
        <v>-4441</v>
      </c>
      <c r="D14" s="118">
        <v>-3463</v>
      </c>
      <c r="E14" s="118">
        <v>-4045</v>
      </c>
      <c r="F14" s="118">
        <v>-4098.6000999999724</v>
      </c>
      <c r="G14" s="118">
        <v>-3874.5827399999985</v>
      </c>
      <c r="H14" s="118">
        <v>-3625.8885200000004</v>
      </c>
      <c r="I14" s="118">
        <v>-3404.3640799999971</v>
      </c>
      <c r="J14" s="118">
        <v>-3263.7494699999993</v>
      </c>
      <c r="K14" s="118">
        <v>-1832.6725199999996</v>
      </c>
      <c r="L14" s="118">
        <v>-2154.1461500000005</v>
      </c>
      <c r="M14" s="997">
        <v>-2149.62075</v>
      </c>
      <c r="N14" s="997">
        <v>-2105.9890599999994</v>
      </c>
      <c r="O14" s="997">
        <v>-2128.59656</v>
      </c>
      <c r="P14" s="997">
        <v>-2442.54612</v>
      </c>
      <c r="Q14" s="997">
        <v>-2467.9047399999999</v>
      </c>
      <c r="R14" s="997">
        <v>-2486.7018399999997</v>
      </c>
      <c r="S14" s="1102">
        <v>-2208.9716399999993</v>
      </c>
      <c r="T14" s="1102">
        <v>-2098.15398</v>
      </c>
      <c r="U14" s="1121">
        <v>-2411.6025400000008</v>
      </c>
      <c r="V14" s="1120">
        <v>-2392.4915899999996</v>
      </c>
      <c r="W14" s="1134">
        <v>-2162.65724</v>
      </c>
      <c r="X14" s="1134">
        <v>-2159.1878899999992</v>
      </c>
      <c r="Y14" s="1134">
        <v>-2155.9959599999997</v>
      </c>
      <c r="Z14" s="1134">
        <v>-2127.8839999999996</v>
      </c>
      <c r="AA14" s="1134">
        <v>-2453.6142299999983</v>
      </c>
      <c r="AB14" s="1134">
        <v>-2371.6650499999996</v>
      </c>
      <c r="AC14" s="1134">
        <v>-2515.5637699999997</v>
      </c>
      <c r="AD14" s="1134">
        <v>-2517.5142999999994</v>
      </c>
      <c r="AE14" s="1134">
        <v>-2365.30771</v>
      </c>
    </row>
    <row r="15" spans="2:35" x14ac:dyDescent="0.2">
      <c r="B15" s="701" t="s">
        <v>910</v>
      </c>
      <c r="C15" s="118">
        <v>0</v>
      </c>
      <c r="D15" s="118">
        <v>0</v>
      </c>
      <c r="E15" s="118">
        <v>0</v>
      </c>
      <c r="F15" s="118">
        <v>49.165940000000063</v>
      </c>
      <c r="G15" s="118">
        <v>7.8098400000000252</v>
      </c>
      <c r="H15" s="118">
        <v>32.312469999999742</v>
      </c>
      <c r="I15" s="118">
        <v>8.2517399999999981</v>
      </c>
      <c r="J15" s="118">
        <v>34.996680000000154</v>
      </c>
      <c r="K15" s="118">
        <v>2.1621800000000002</v>
      </c>
      <c r="L15" s="118">
        <v>0</v>
      </c>
      <c r="M15" s="997">
        <v>0</v>
      </c>
      <c r="N15" s="997">
        <v>0</v>
      </c>
      <c r="O15" s="997">
        <v>0</v>
      </c>
      <c r="P15" s="997">
        <v>0</v>
      </c>
      <c r="Q15" s="997">
        <v>0</v>
      </c>
      <c r="R15" s="997">
        <v>0</v>
      </c>
      <c r="S15" s="1102">
        <v>0</v>
      </c>
      <c r="T15" s="1102">
        <v>0</v>
      </c>
      <c r="U15" s="1121">
        <v>0</v>
      </c>
      <c r="V15" s="1120">
        <v>0</v>
      </c>
      <c r="W15" s="1134">
        <v>0</v>
      </c>
      <c r="X15" s="1134">
        <v>0</v>
      </c>
      <c r="Y15" s="1134">
        <v>0</v>
      </c>
      <c r="Z15" s="1134">
        <v>0</v>
      </c>
      <c r="AA15" s="1134">
        <v>0</v>
      </c>
      <c r="AB15" s="1134">
        <v>0</v>
      </c>
      <c r="AC15" s="1134">
        <v>0</v>
      </c>
      <c r="AD15" s="1134">
        <v>0</v>
      </c>
      <c r="AE15" s="1134">
        <v>0</v>
      </c>
    </row>
    <row r="16" spans="2:35" x14ac:dyDescent="0.2">
      <c r="B16" s="701" t="s">
        <v>852</v>
      </c>
      <c r="C16" s="118">
        <v>-469</v>
      </c>
      <c r="D16" s="118">
        <v>-699</v>
      </c>
      <c r="E16" s="118">
        <v>-517</v>
      </c>
      <c r="F16" s="118">
        <v>-574.84391999999843</v>
      </c>
      <c r="G16" s="118">
        <v>-358.90522000000021</v>
      </c>
      <c r="H16" s="118">
        <v>-311.67889000000002</v>
      </c>
      <c r="I16" s="118">
        <v>-216.77308000000011</v>
      </c>
      <c r="J16" s="118">
        <v>-151.00315000000001</v>
      </c>
      <c r="K16" s="118">
        <v>-185.40473</v>
      </c>
      <c r="L16" s="118">
        <v>-290.75840999999991</v>
      </c>
      <c r="M16" s="997">
        <v>-255.75893000000002</v>
      </c>
      <c r="N16" s="997">
        <v>-231.56411999999997</v>
      </c>
      <c r="O16" s="997">
        <v>-479.7569400000001</v>
      </c>
      <c r="P16" s="997">
        <v>-382.29656699999998</v>
      </c>
      <c r="Q16" s="997">
        <v>-70.824930000000037</v>
      </c>
      <c r="R16" s="997">
        <v>-168.24672999999996</v>
      </c>
      <c r="S16" s="1102">
        <v>-478.61081999999982</v>
      </c>
      <c r="T16" s="1102">
        <v>-735.60271000000012</v>
      </c>
      <c r="U16" s="1121">
        <v>-792.15287999999975</v>
      </c>
      <c r="V16" s="1120">
        <v>-677.04791999999975</v>
      </c>
      <c r="W16" s="1134">
        <v>-566.77583000000027</v>
      </c>
      <c r="X16" s="1134">
        <v>-483.10908999999981</v>
      </c>
      <c r="Y16" s="1134">
        <v>-398.48783999999995</v>
      </c>
      <c r="Z16" s="1134">
        <v>-302.70145999999988</v>
      </c>
      <c r="AA16" s="1134">
        <v>-1059.2949600000004</v>
      </c>
      <c r="AB16" s="1134">
        <v>-1055.4812000000002</v>
      </c>
      <c r="AC16" s="1134">
        <v>-1020.9503000000001</v>
      </c>
      <c r="AD16" s="1134">
        <v>-997.18365000000017</v>
      </c>
      <c r="AE16" s="1134">
        <v>-863.14944000000025</v>
      </c>
    </row>
    <row r="17" spans="2:31" x14ac:dyDescent="0.2">
      <c r="B17" s="119" t="s">
        <v>96</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row>
    <row r="18" spans="2:31" x14ac:dyDescent="0.2">
      <c r="B18" s="701" t="s">
        <v>929</v>
      </c>
      <c r="C18" s="118">
        <f t="shared" ref="C18:F19" si="0">+C13+C7</f>
        <v>-9700</v>
      </c>
      <c r="D18" s="118">
        <f t="shared" si="0"/>
        <v>-8272</v>
      </c>
      <c r="E18" s="118">
        <f t="shared" si="0"/>
        <v>-9104</v>
      </c>
      <c r="F18" s="118">
        <f t="shared" si="0"/>
        <v>-9178.3760882777096</v>
      </c>
      <c r="G18" s="118">
        <f t="shared" ref="G18:K19" si="1">+G13+G7</f>
        <v>-9870.7775300000103</v>
      </c>
      <c r="H18" s="118">
        <f t="shared" si="1"/>
        <v>-9393.0758200000091</v>
      </c>
      <c r="I18" s="118">
        <f t="shared" si="1"/>
        <v>-9424.3638099999898</v>
      </c>
      <c r="J18" s="118">
        <f t="shared" si="1"/>
        <v>-9287.1177700000098</v>
      </c>
      <c r="K18" s="118">
        <f t="shared" si="1"/>
        <v>-9506.5724299999893</v>
      </c>
      <c r="L18" s="118">
        <f t="shared" ref="L18:O19" si="2">+L13+L7</f>
        <v>-8813.05339000001</v>
      </c>
      <c r="M18" s="118">
        <f t="shared" si="2"/>
        <v>-8585.7737499999876</v>
      </c>
      <c r="N18" s="118">
        <f t="shared" si="2"/>
        <v>-8542.1462700000102</v>
      </c>
      <c r="O18" s="118">
        <f t="shared" si="2"/>
        <v>-9308.0165199999992</v>
      </c>
      <c r="P18" s="118">
        <f t="shared" ref="P18:W19" si="3">+P13+P7</f>
        <v>-9945.594209999992</v>
      </c>
      <c r="Q18" s="118">
        <f t="shared" si="3"/>
        <v>-9605.9916999999696</v>
      </c>
      <c r="R18" s="118">
        <f t="shared" si="3"/>
        <v>-10106.83367999998</v>
      </c>
      <c r="S18" s="118">
        <f t="shared" si="3"/>
        <v>-10281.89281999999</v>
      </c>
      <c r="T18" s="118">
        <f t="shared" si="3"/>
        <v>-9992.2645499999999</v>
      </c>
      <c r="U18" s="118">
        <f t="shared" si="3"/>
        <v>-10868.70604000001</v>
      </c>
      <c r="V18" s="118">
        <f t="shared" si="3"/>
        <v>-11430.879650000019</v>
      </c>
      <c r="W18" s="118">
        <f t="shared" si="3"/>
        <v>-9731.0750000000098</v>
      </c>
      <c r="X18" s="118">
        <f t="shared" ref="X18:Z19" si="4">+X13+X7</f>
        <v>-9901.2457500000091</v>
      </c>
      <c r="Y18" s="118">
        <f t="shared" si="4"/>
        <v>-9881.1891500000002</v>
      </c>
      <c r="Z18" s="118">
        <f t="shared" si="4"/>
        <v>-9138.7788299999993</v>
      </c>
      <c r="AA18" s="118">
        <f>+AA13+AA7</f>
        <v>-10704.269389999999</v>
      </c>
      <c r="AB18" s="118">
        <f>+AB13+AB7</f>
        <v>-10871.701270000001</v>
      </c>
      <c r="AC18" s="118">
        <v>-11090.64738</v>
      </c>
      <c r="AD18" s="118">
        <v>-11488.42786</v>
      </c>
      <c r="AE18" s="118">
        <v>-11175.252860000001</v>
      </c>
    </row>
    <row r="19" spans="2:31" x14ac:dyDescent="0.2">
      <c r="B19" s="701" t="s">
        <v>843</v>
      </c>
      <c r="C19" s="118">
        <f t="shared" si="0"/>
        <v>-8713</v>
      </c>
      <c r="D19" s="118">
        <f t="shared" si="0"/>
        <v>-6957</v>
      </c>
      <c r="E19" s="118">
        <f t="shared" si="0"/>
        <v>-8066.7541600000004</v>
      </c>
      <c r="F19" s="118">
        <f t="shared" si="0"/>
        <v>-8242.9808600000379</v>
      </c>
      <c r="G19" s="118">
        <f t="shared" si="1"/>
        <v>-7685.3712000000032</v>
      </c>
      <c r="H19" s="118">
        <f t="shared" si="1"/>
        <v>-7687.2979900000037</v>
      </c>
      <c r="I19" s="118">
        <f t="shared" si="1"/>
        <v>-7328.5623799999994</v>
      </c>
      <c r="J19" s="118">
        <f t="shared" si="1"/>
        <v>-7129.1941000000006</v>
      </c>
      <c r="K19" s="118">
        <f t="shared" si="1"/>
        <v>-7333.8419400000057</v>
      </c>
      <c r="L19" s="118">
        <f t="shared" si="2"/>
        <v>-7108.2623200000053</v>
      </c>
      <c r="M19" s="118">
        <f t="shared" si="2"/>
        <v>-6925.3739100000057</v>
      </c>
      <c r="N19" s="118">
        <f t="shared" si="2"/>
        <v>-6769.5839500000002</v>
      </c>
      <c r="O19" s="118">
        <f>+O14+O8</f>
        <v>-7682.0968699999939</v>
      </c>
      <c r="P19" s="118">
        <f t="shared" si="3"/>
        <v>-8024.363399999992</v>
      </c>
      <c r="Q19" s="118">
        <f t="shared" si="3"/>
        <v>-6877.6048999999994</v>
      </c>
      <c r="R19" s="118">
        <f t="shared" si="3"/>
        <v>-7582.4682000000066</v>
      </c>
      <c r="S19" s="118">
        <f t="shared" si="3"/>
        <v>-7262.6531300000006</v>
      </c>
      <c r="T19" s="118">
        <f t="shared" si="3"/>
        <v>-7193.9104000000016</v>
      </c>
      <c r="U19" s="118">
        <f t="shared" si="3"/>
        <v>-8332.2809399999987</v>
      </c>
      <c r="V19" s="118">
        <f t="shared" si="3"/>
        <v>-8766.076230000006</v>
      </c>
      <c r="W19" s="118">
        <f t="shared" si="3"/>
        <v>-7361.3064200000008</v>
      </c>
      <c r="X19" s="118">
        <f t="shared" si="4"/>
        <v>-7412.4554400000015</v>
      </c>
      <c r="Y19" s="118">
        <f t="shared" si="4"/>
        <v>-7121.03125</v>
      </c>
      <c r="Z19" s="118">
        <f t="shared" si="4"/>
        <v>-6920.9955599999994</v>
      </c>
      <c r="AA19" s="118">
        <f>+AA14+AA8</f>
        <v>-7267.3277699999981</v>
      </c>
      <c r="AB19" s="118">
        <f>+AB14+AB8</f>
        <v>-7285.9363599999997</v>
      </c>
      <c r="AC19" s="118">
        <v>-7570.2421200000008</v>
      </c>
      <c r="AD19" s="118">
        <v>-7618.7176500000005</v>
      </c>
      <c r="AE19" s="118">
        <v>-7657.9518300000018</v>
      </c>
    </row>
    <row r="20" spans="2:31" x14ac:dyDescent="0.2">
      <c r="B20" s="701" t="s">
        <v>844</v>
      </c>
      <c r="C20" s="118">
        <f t="shared" ref="C20:K21" si="5">+C9</f>
        <v>-217</v>
      </c>
      <c r="D20" s="118">
        <f t="shared" si="5"/>
        <v>-186</v>
      </c>
      <c r="E20" s="118">
        <f t="shared" si="5"/>
        <v>-209</v>
      </c>
      <c r="F20" s="118">
        <f t="shared" si="5"/>
        <v>-201.85305000000017</v>
      </c>
      <c r="G20" s="118">
        <f t="shared" si="5"/>
        <v>-196.01873999999995</v>
      </c>
      <c r="H20" s="118">
        <f t="shared" si="5"/>
        <v>-197.94529999999997</v>
      </c>
      <c r="I20" s="118">
        <f t="shared" si="5"/>
        <v>-196.80850000000001</v>
      </c>
      <c r="J20" s="118">
        <f t="shared" si="5"/>
        <v>-203.06792000000004</v>
      </c>
      <c r="K20" s="118">
        <f t="shared" si="5"/>
        <v>-178.78923000000003</v>
      </c>
      <c r="L20" s="118">
        <f t="shared" ref="L20:N21" si="6">+L9</f>
        <v>-192.26224000000005</v>
      </c>
      <c r="M20" s="118">
        <f t="shared" si="6"/>
        <v>-181.80132000000003</v>
      </c>
      <c r="N20" s="118">
        <f t="shared" si="6"/>
        <v>-159.93155999999999</v>
      </c>
      <c r="O20" s="118">
        <f t="shared" ref="O20:W20" si="7">+O9</f>
        <v>-118.05309999999999</v>
      </c>
      <c r="P20" s="118">
        <f t="shared" si="7"/>
        <v>-177.22330999999997</v>
      </c>
      <c r="Q20" s="118">
        <f t="shared" si="7"/>
        <v>-155.3493</v>
      </c>
      <c r="R20" s="118">
        <f t="shared" si="7"/>
        <v>-144.98169000000001</v>
      </c>
      <c r="S20" s="118">
        <f t="shared" si="7"/>
        <v>-147.01964999999998</v>
      </c>
      <c r="T20" s="118">
        <f t="shared" si="7"/>
        <v>-148.90146999999996</v>
      </c>
      <c r="U20" s="118">
        <f t="shared" si="7"/>
        <v>-160.21681000000001</v>
      </c>
      <c r="V20" s="118">
        <f t="shared" si="7"/>
        <v>-161.16570000000002</v>
      </c>
      <c r="W20" s="118">
        <f t="shared" si="7"/>
        <v>-152.83681999999999</v>
      </c>
      <c r="X20" s="118">
        <f t="shared" ref="X20:Z21" si="8">+X9</f>
        <v>-159.91055999999995</v>
      </c>
      <c r="Y20" s="118">
        <f t="shared" si="8"/>
        <v>-157.91458999999992</v>
      </c>
      <c r="Z20" s="118">
        <f t="shared" si="8"/>
        <v>-198.64352999999986</v>
      </c>
      <c r="AA20" s="118">
        <f>+AA9</f>
        <v>-176.74209999999999</v>
      </c>
      <c r="AB20" s="118">
        <f>+AB9</f>
        <v>-176.74209999999999</v>
      </c>
      <c r="AC20" s="118">
        <v>-176.74209999999999</v>
      </c>
      <c r="AD20" s="118">
        <v>-176.74207999999999</v>
      </c>
      <c r="AE20" s="118">
        <v>-184.91507000000001</v>
      </c>
    </row>
    <row r="21" spans="2:31" x14ac:dyDescent="0.2">
      <c r="B21" s="701" t="s">
        <v>910</v>
      </c>
      <c r="C21" s="118">
        <v>0</v>
      </c>
      <c r="D21" s="118">
        <v>0</v>
      </c>
      <c r="E21" s="118">
        <f t="shared" ref="E21:J21" si="9">+E10</f>
        <v>9.7541600000000184</v>
      </c>
      <c r="F21" s="118">
        <f t="shared" si="9"/>
        <v>56.499990000000004</v>
      </c>
      <c r="G21" s="118">
        <f t="shared" si="9"/>
        <v>-9.8000000000000007</v>
      </c>
      <c r="H21" s="118">
        <f t="shared" si="9"/>
        <v>5.6092300000000108</v>
      </c>
      <c r="I21" s="118">
        <f t="shared" si="9"/>
        <v>27.477259999999895</v>
      </c>
      <c r="J21" s="118">
        <f t="shared" si="9"/>
        <v>0</v>
      </c>
      <c r="K21" s="118">
        <f t="shared" si="5"/>
        <v>0</v>
      </c>
      <c r="L21" s="118">
        <f t="shared" si="6"/>
        <v>0</v>
      </c>
      <c r="M21" s="118">
        <f t="shared" si="6"/>
        <v>0</v>
      </c>
      <c r="N21" s="118">
        <f t="shared" si="6"/>
        <v>0</v>
      </c>
      <c r="O21" s="118">
        <f t="shared" ref="O21:W21" si="10">+O10</f>
        <v>0</v>
      </c>
      <c r="P21" s="118">
        <f t="shared" si="10"/>
        <v>0</v>
      </c>
      <c r="Q21" s="118">
        <f t="shared" si="10"/>
        <v>0</v>
      </c>
      <c r="R21" s="118">
        <f t="shared" si="10"/>
        <v>0</v>
      </c>
      <c r="S21" s="118">
        <f t="shared" si="10"/>
        <v>0</v>
      </c>
      <c r="T21" s="118">
        <f t="shared" si="10"/>
        <v>0</v>
      </c>
      <c r="U21" s="118">
        <f t="shared" si="10"/>
        <v>0</v>
      </c>
      <c r="V21" s="118">
        <f t="shared" si="10"/>
        <v>0</v>
      </c>
      <c r="W21" s="118">
        <f t="shared" si="10"/>
        <v>0</v>
      </c>
      <c r="X21" s="118">
        <f t="shared" si="8"/>
        <v>0</v>
      </c>
      <c r="Y21" s="118">
        <f t="shared" si="8"/>
        <v>0</v>
      </c>
      <c r="Z21" s="118">
        <f t="shared" si="8"/>
        <v>0</v>
      </c>
      <c r="AA21" s="118">
        <f>+AA10</f>
        <v>0</v>
      </c>
      <c r="AB21" s="118">
        <f>+AB10</f>
        <v>0</v>
      </c>
      <c r="AC21" s="118">
        <v>0</v>
      </c>
      <c r="AD21" s="118">
        <v>0</v>
      </c>
      <c r="AE21" s="118">
        <v>0</v>
      </c>
    </row>
    <row r="22" spans="2:31" x14ac:dyDescent="0.2">
      <c r="B22" s="701" t="s">
        <v>852</v>
      </c>
      <c r="C22" s="118">
        <f t="shared" ref="C22:K22" si="11">+C16+C11</f>
        <v>-1307</v>
      </c>
      <c r="D22" s="118">
        <f t="shared" si="11"/>
        <v>-1616</v>
      </c>
      <c r="E22" s="118">
        <f t="shared" si="11"/>
        <v>-1718</v>
      </c>
      <c r="F22" s="118">
        <f t="shared" si="11"/>
        <v>-1799.0124100000075</v>
      </c>
      <c r="G22" s="118">
        <f t="shared" si="11"/>
        <v>-1573.4642999999987</v>
      </c>
      <c r="H22" s="118">
        <f t="shared" si="11"/>
        <v>-1490.4594999999999</v>
      </c>
      <c r="I22" s="118">
        <f t="shared" si="11"/>
        <v>-1260.8414799999989</v>
      </c>
      <c r="J22" s="118">
        <f t="shared" si="11"/>
        <v>-1125.2525499999997</v>
      </c>
      <c r="K22" s="118">
        <f t="shared" si="11"/>
        <v>-1510.6309899999987</v>
      </c>
      <c r="L22" s="118">
        <f t="shared" ref="L22:W22" si="12">+L16+L11</f>
        <v>-1165.4435200000007</v>
      </c>
      <c r="M22" s="118">
        <f t="shared" si="12"/>
        <v>-1256.04871</v>
      </c>
      <c r="N22" s="118">
        <f t="shared" si="12"/>
        <v>-1088.9656200000004</v>
      </c>
      <c r="O22" s="118">
        <f t="shared" si="12"/>
        <v>-1242.9404599999993</v>
      </c>
      <c r="P22" s="118">
        <f t="shared" si="12"/>
        <v>-1073.0148869999998</v>
      </c>
      <c r="Q22" s="118">
        <f t="shared" si="12"/>
        <v>-1421.1373099999987</v>
      </c>
      <c r="R22" s="118">
        <f t="shared" si="12"/>
        <v>-1514.6258900000007</v>
      </c>
      <c r="S22" s="118">
        <f t="shared" si="12"/>
        <v>-1829.0183599999984</v>
      </c>
      <c r="T22" s="118">
        <f t="shared" si="12"/>
        <v>-2733.3213800000012</v>
      </c>
      <c r="U22" s="118">
        <f t="shared" si="12"/>
        <v>-2706.2869500000015</v>
      </c>
      <c r="V22" s="118">
        <f t="shared" si="12"/>
        <v>-2816.9193700000005</v>
      </c>
      <c r="W22" s="118">
        <f t="shared" si="12"/>
        <v>-2389.2366900000006</v>
      </c>
      <c r="X22" s="118">
        <f>+X16+X11</f>
        <v>-2352.181079999998</v>
      </c>
      <c r="Y22" s="118">
        <f>+Y16+Y11</f>
        <v>-2228.2112200000001</v>
      </c>
      <c r="Z22" s="118">
        <f>+Z16+Z11</f>
        <v>-2434.1863299999982</v>
      </c>
      <c r="AA22" s="118">
        <f>+AA16+AA11</f>
        <v>-3331.3105700000015</v>
      </c>
      <c r="AB22" s="118">
        <f>+AB16+AB11</f>
        <v>-3245.3840099999998</v>
      </c>
      <c r="AC22" s="118">
        <v>-3246.7047799999991</v>
      </c>
      <c r="AD22" s="118">
        <v>-2984.8864400000002</v>
      </c>
      <c r="AE22" s="118">
        <v>-2533.7086000000004</v>
      </c>
    </row>
    <row r="23" spans="2:31" x14ac:dyDescent="0.2">
      <c r="B23" s="119" t="s">
        <v>856</v>
      </c>
      <c r="C23" s="120">
        <f t="shared" ref="C23:H23" si="13">+SUM(C24:C25)</f>
        <v>3957</v>
      </c>
      <c r="D23" s="120">
        <f t="shared" si="13"/>
        <v>610</v>
      </c>
      <c r="E23" s="120">
        <f t="shared" si="13"/>
        <v>672</v>
      </c>
      <c r="F23" s="120">
        <f t="shared" si="13"/>
        <v>-2093</v>
      </c>
      <c r="G23" s="120">
        <f t="shared" si="13"/>
        <v>-420</v>
      </c>
      <c r="H23" s="120">
        <f t="shared" si="13"/>
        <v>1442</v>
      </c>
      <c r="I23" s="120">
        <f t="shared" ref="I23:N23" si="14">+SUM(I24:I25)</f>
        <v>202</v>
      </c>
      <c r="J23" s="120">
        <f t="shared" si="14"/>
        <v>-647</v>
      </c>
      <c r="K23" s="120">
        <f t="shared" si="14"/>
        <v>-1461</v>
      </c>
      <c r="L23" s="120">
        <f t="shared" si="14"/>
        <v>-1131</v>
      </c>
      <c r="M23" s="120">
        <f t="shared" si="14"/>
        <v>-771</v>
      </c>
      <c r="N23" s="120">
        <f t="shared" si="14"/>
        <v>-945</v>
      </c>
      <c r="O23" s="120">
        <f t="shared" ref="O23:W23" si="15">+SUM(O24:O25)</f>
        <v>176</v>
      </c>
      <c r="P23" s="120">
        <f t="shared" si="15"/>
        <v>-86</v>
      </c>
      <c r="Q23" s="120">
        <f t="shared" si="15"/>
        <v>-4838</v>
      </c>
      <c r="R23" s="120">
        <f t="shared" si="15"/>
        <v>-1138</v>
      </c>
      <c r="S23" s="120">
        <f t="shared" si="15"/>
        <v>-668</v>
      </c>
      <c r="T23" s="120">
        <f t="shared" si="15"/>
        <v>-245</v>
      </c>
      <c r="U23" s="120">
        <f t="shared" si="15"/>
        <v>50</v>
      </c>
      <c r="V23" s="120">
        <f t="shared" si="15"/>
        <v>-1430</v>
      </c>
      <c r="W23" s="120">
        <f t="shared" si="15"/>
        <v>-180</v>
      </c>
      <c r="X23" s="120">
        <f t="shared" ref="X23:AE23" si="16">+SUM(X24:X25)</f>
        <v>-123</v>
      </c>
      <c r="Y23" s="120">
        <f t="shared" si="16"/>
        <v>-680</v>
      </c>
      <c r="Z23" s="120">
        <f t="shared" si="16"/>
        <v>-1072</v>
      </c>
      <c r="AA23" s="120">
        <f t="shared" si="16"/>
        <v>-133</v>
      </c>
      <c r="AB23" s="120">
        <f t="shared" si="16"/>
        <v>-676</v>
      </c>
      <c r="AC23" s="120">
        <f t="shared" si="16"/>
        <v>-357</v>
      </c>
      <c r="AD23" s="120">
        <f t="shared" si="16"/>
        <v>-1004</v>
      </c>
      <c r="AE23" s="120">
        <f t="shared" si="16"/>
        <v>-1020</v>
      </c>
    </row>
    <row r="24" spans="2:31" x14ac:dyDescent="0.2">
      <c r="B24" s="701" t="s">
        <v>854</v>
      </c>
      <c r="C24" s="118">
        <f>SUM(DFC!S20,DFC!S22,DFC!S57)</f>
        <v>9471</v>
      </c>
      <c r="D24" s="118">
        <f>SUM(DFC!T20,DFC!T22,DFC!T57)</f>
        <v>7150</v>
      </c>
      <c r="E24" s="118">
        <f>SUM(DFC!U20,DFC!U22,DFC!U57)</f>
        <v>8369</v>
      </c>
      <c r="F24" s="118">
        <f>SUM(DFC!V20,DFC!V22,DFC!V57)</f>
        <v>8150</v>
      </c>
      <c r="G24" s="118">
        <f>SUM(DFC!W20,DFC!W22,DFC!W57)</f>
        <v>7898</v>
      </c>
      <c r="H24" s="118">
        <f>SUM(DFC!X20,DFC!X22,DFC!X57)</f>
        <v>8186</v>
      </c>
      <c r="I24" s="118">
        <f>SUM(DFC!Y20,DFC!Y22,DFC!Y57)</f>
        <v>7700</v>
      </c>
      <c r="J24" s="118">
        <f>SUM(DFC!Z20,DFC!Z22,DFC!Z57)</f>
        <v>7232</v>
      </c>
      <c r="K24" s="118">
        <f>SUM(DFC!AA20,DFC!AA22,DFC!AA57)</f>
        <v>7477</v>
      </c>
      <c r="L24" s="118">
        <f>SUM(DFC!AB20,DFC!AB22,DFC!AB57)</f>
        <v>6858</v>
      </c>
      <c r="M24" s="118">
        <f>SUM(DFC!AC20,DFC!AC22,DFC!AC57)</f>
        <v>7050</v>
      </c>
      <c r="N24" s="118">
        <f>SUM(DFC!AD20,DFC!AD22,DFC!AD57)</f>
        <v>6856</v>
      </c>
      <c r="O24" s="118">
        <f>SUM(DFC!AE20,DFC!AE22,DFC!AE57)</f>
        <v>7513</v>
      </c>
      <c r="P24" s="118">
        <f>SUM(DFC!AF20,DFC!AF22,DFC!AF57)</f>
        <v>7625</v>
      </c>
      <c r="Q24" s="118">
        <f>SUM(DFC!AG20,DFC!AG22,DFC!AG57)</f>
        <v>6461</v>
      </c>
      <c r="R24" s="118">
        <f>SUM(DFC!AH20,DFC!AH22,DFC!AH57)</f>
        <v>7600</v>
      </c>
      <c r="S24" s="118">
        <f>SUM(DFC!AI20,DFC!AI22,DFC!AI57)</f>
        <v>7471</v>
      </c>
      <c r="T24" s="118">
        <f>SUM(DFC!AJ20,DFC!AJ22,DFC!AJ57)</f>
        <v>7605</v>
      </c>
      <c r="U24" s="118">
        <f>SUM(DFC!AK20,DFC!AK22,DFC!AK57)</f>
        <v>8291</v>
      </c>
      <c r="V24" s="118">
        <f>SUM(DFC!AL20,DFC!AL22,DFC!AL57)</f>
        <v>7330</v>
      </c>
      <c r="W24" s="118">
        <f>SUM(DFC!AM20,DFC!AM22,DFC!AM57)</f>
        <v>7482</v>
      </c>
      <c r="X24" s="118">
        <f>SUM(DFC!AN20,DFC!AN22,DFC!AN57)</f>
        <v>7620</v>
      </c>
      <c r="Y24" s="118">
        <f>SUM(DFC!AO20,DFC!AO22,DFC!AO57)</f>
        <v>7376</v>
      </c>
      <c r="Z24" s="118">
        <f>SUM(DFC!AP20,DFC!AP22,DFC!AP57)</f>
        <v>7035</v>
      </c>
      <c r="AA24" s="118">
        <f>SUM(DFC!AQ20,DFC!AQ22,DFC!AQ57)</f>
        <v>7310</v>
      </c>
      <c r="AB24" s="118">
        <f>SUM(DFC!AR20,DFC!AR22,DFC!AR57)</f>
        <v>7004</v>
      </c>
      <c r="AC24" s="118">
        <f>SUM(DFC!AS20,DFC!AS22,DFC!AS57)</f>
        <v>7505</v>
      </c>
      <c r="AD24" s="118">
        <f>SUM(DFC!AT20,DFC!AT22,DFC!AT57)</f>
        <v>7472</v>
      </c>
      <c r="AE24" s="118">
        <f>SUM(DFC!AU20,DFC!AU22,DFC!AU57)</f>
        <v>7496</v>
      </c>
    </row>
    <row r="25" spans="2:31" x14ac:dyDescent="0.2">
      <c r="B25" s="701" t="s">
        <v>855</v>
      </c>
      <c r="C25" s="118">
        <f>DFC!S83</f>
        <v>-5514</v>
      </c>
      <c r="D25" s="118">
        <f>DFC!T83</f>
        <v>-6540</v>
      </c>
      <c r="E25" s="118">
        <f>DFC!U83</f>
        <v>-7697</v>
      </c>
      <c r="F25" s="118">
        <f>DFC!V83</f>
        <v>-10243</v>
      </c>
      <c r="G25" s="118">
        <f>DFC!W83</f>
        <v>-8318</v>
      </c>
      <c r="H25" s="118">
        <f>DFC!X83</f>
        <v>-6744</v>
      </c>
      <c r="I25" s="118">
        <f>DFC!Y83</f>
        <v>-7498</v>
      </c>
      <c r="J25" s="118">
        <f>DFC!Z83</f>
        <v>-7879</v>
      </c>
      <c r="K25" s="118">
        <f>DFC!AA83</f>
        <v>-8938</v>
      </c>
      <c r="L25" s="118">
        <f>DFC!AB83</f>
        <v>-7989</v>
      </c>
      <c r="M25" s="118">
        <f>DFC!AC83</f>
        <v>-7821</v>
      </c>
      <c r="N25" s="118">
        <f>DFC!AD83</f>
        <v>-7801</v>
      </c>
      <c r="O25" s="118">
        <f>DFC!AE83</f>
        <v>-7337</v>
      </c>
      <c r="P25" s="118">
        <f>DFC!AF83</f>
        <v>-7711</v>
      </c>
      <c r="Q25" s="118">
        <f>DFC!AG83</f>
        <v>-11299</v>
      </c>
      <c r="R25" s="118">
        <f>DFC!AH83</f>
        <v>-8738</v>
      </c>
      <c r="S25" s="118">
        <f>DFC!AI83</f>
        <v>-8139</v>
      </c>
      <c r="T25" s="118">
        <f>DFC!AJ83</f>
        <v>-7850</v>
      </c>
      <c r="U25" s="118">
        <f>DFC!AK83</f>
        <v>-8241</v>
      </c>
      <c r="V25" s="118">
        <f>DFC!AL83</f>
        <v>-8760</v>
      </c>
      <c r="W25" s="118">
        <f>DFC!AM83</f>
        <v>-7662</v>
      </c>
      <c r="X25" s="118">
        <f>DFC!AN83</f>
        <v>-7743</v>
      </c>
      <c r="Y25" s="118">
        <f>DFC!AO83</f>
        <v>-8056</v>
      </c>
      <c r="Z25" s="118">
        <f>DFC!AP83</f>
        <v>-8107</v>
      </c>
      <c r="AA25" s="118">
        <f>DFC!AQ83</f>
        <v>-7443</v>
      </c>
      <c r="AB25" s="118">
        <f>DFC!AR83</f>
        <v>-7680</v>
      </c>
      <c r="AC25" s="118">
        <f>DFC!AS83</f>
        <v>-7862</v>
      </c>
      <c r="AD25" s="118">
        <f>DFC!AT83</f>
        <v>-8476</v>
      </c>
      <c r="AE25" s="118">
        <f>DFC!AU83</f>
        <v>-8516</v>
      </c>
    </row>
    <row r="26" spans="2:31" x14ac:dyDescent="0.2">
      <c r="B26"/>
      <c r="C26"/>
      <c r="D26"/>
      <c r="E26"/>
      <c r="F26"/>
      <c r="G26"/>
      <c r="H26"/>
      <c r="I26"/>
      <c r="J26"/>
      <c r="K26"/>
      <c r="L26"/>
      <c r="M26"/>
      <c r="N26"/>
    </row>
    <row r="27" spans="2:31" x14ac:dyDescent="0.2">
      <c r="B27"/>
      <c r="C27"/>
      <c r="D27"/>
      <c r="E27"/>
      <c r="F27"/>
      <c r="G27"/>
      <c r="H27"/>
      <c r="I27"/>
      <c r="J27"/>
      <c r="K27"/>
      <c r="L27"/>
      <c r="M27"/>
      <c r="N27"/>
    </row>
    <row r="28" spans="2:31" x14ac:dyDescent="0.2">
      <c r="B28"/>
      <c r="C28"/>
      <c r="D28"/>
      <c r="E28"/>
      <c r="F28"/>
      <c r="G28"/>
      <c r="H28"/>
      <c r="I28"/>
      <c r="J28"/>
      <c r="K28"/>
      <c r="L28"/>
      <c r="M28"/>
      <c r="N28"/>
      <c r="W28" s="1206"/>
      <c r="X28" s="1206"/>
      <c r="Y28" s="1206"/>
      <c r="Z28" s="1206"/>
      <c r="AA28" s="1206"/>
      <c r="AB28" s="1206"/>
    </row>
    <row r="29" spans="2:31" x14ac:dyDescent="0.2">
      <c r="AB29" s="18"/>
    </row>
    <row r="30" spans="2:31" x14ac:dyDescent="0.2">
      <c r="W30" s="1206"/>
      <c r="X30" s="1206"/>
      <c r="Y30" s="1206"/>
      <c r="Z30" s="1206"/>
      <c r="AA30" s="1206"/>
      <c r="AB30" s="1206"/>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19">
    <pageSetUpPr autoPageBreaks="0"/>
  </sheetPr>
  <dimension ref="B1:AY13"/>
  <sheetViews>
    <sheetView showGridLines="0" zoomScaleNormal="10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2.75" outlineLevelRow="1" x14ac:dyDescent="0.2"/>
  <cols>
    <col min="1" max="1" width="1.42578125" customWidth="1"/>
    <col min="2" max="2" width="58.5703125" customWidth="1"/>
    <col min="3" max="51" width="10.85546875" customWidth="1"/>
  </cols>
  <sheetData>
    <row r="1" spans="2:51" s="550" customFormat="1" ht="7.5" customHeight="1" x14ac:dyDescent="0.2"/>
    <row r="2" spans="2:51" s="550" customFormat="1" x14ac:dyDescent="0.2">
      <c r="B2" s="578"/>
    </row>
    <row r="3" spans="2:51" ht="12.75" customHeight="1" x14ac:dyDescent="0.2">
      <c r="B3" s="44"/>
      <c r="V3" s="544"/>
      <c r="W3" s="544"/>
      <c r="X3" s="544"/>
      <c r="Y3" s="544"/>
      <c r="Z3" s="544"/>
      <c r="AA3" s="544"/>
      <c r="AB3" s="544"/>
      <c r="AC3" s="544"/>
      <c r="AD3" s="544"/>
      <c r="AE3" s="544"/>
      <c r="AF3" s="544"/>
      <c r="AG3" s="544"/>
      <c r="AH3" s="544"/>
      <c r="AI3" s="544"/>
      <c r="AJ3" s="544"/>
      <c r="AK3" s="544"/>
      <c r="AL3" s="544"/>
      <c r="AM3" s="544"/>
      <c r="AN3" s="544"/>
      <c r="AO3" s="544"/>
      <c r="AP3" s="328"/>
      <c r="AQ3" s="328"/>
      <c r="AR3" s="328"/>
      <c r="AS3" s="328"/>
      <c r="AT3" s="328"/>
      <c r="AU3" s="328"/>
      <c r="AV3" s="328"/>
      <c r="AW3" s="328"/>
      <c r="AX3" s="328"/>
      <c r="AY3" s="328"/>
    </row>
    <row r="4" spans="2:51" ht="12.75" customHeight="1" x14ac:dyDescent="0.2">
      <c r="B4" s="44"/>
      <c r="V4" s="40"/>
      <c r="W4" s="40"/>
      <c r="X4" s="40"/>
      <c r="Y4" s="40"/>
      <c r="Z4" s="40"/>
      <c r="AA4" s="40"/>
    </row>
    <row r="5" spans="2:51" x14ac:dyDescent="0.2">
      <c r="B5" s="140" t="s">
        <v>96</v>
      </c>
      <c r="C5" s="246" t="s">
        <v>45</v>
      </c>
      <c r="D5" s="246" t="s">
        <v>55</v>
      </c>
      <c r="E5" s="246" t="s">
        <v>71</v>
      </c>
      <c r="F5" s="246" t="s">
        <v>77</v>
      </c>
      <c r="G5" s="246" t="s">
        <v>87</v>
      </c>
      <c r="H5" s="246" t="s">
        <v>88</v>
      </c>
      <c r="I5" s="246" t="s">
        <v>378</v>
      </c>
      <c r="J5" s="246" t="s">
        <v>406</v>
      </c>
      <c r="K5" s="246" t="s">
        <v>467</v>
      </c>
      <c r="L5" s="246" t="s">
        <v>501</v>
      </c>
      <c r="M5" s="246" t="s">
        <v>511</v>
      </c>
      <c r="N5" s="246" t="s">
        <v>538</v>
      </c>
      <c r="O5" s="246" t="s">
        <v>567</v>
      </c>
      <c r="P5" s="246" t="s">
        <v>575</v>
      </c>
      <c r="Q5" s="246" t="s">
        <v>595</v>
      </c>
      <c r="R5" s="246" t="s">
        <v>596</v>
      </c>
      <c r="S5" s="246" t="s">
        <v>623</v>
      </c>
      <c r="T5" s="246" t="s">
        <v>624</v>
      </c>
      <c r="U5" s="246" t="s">
        <v>625</v>
      </c>
      <c r="V5" s="246" t="s">
        <v>626</v>
      </c>
      <c r="W5" s="246" t="s">
        <v>798</v>
      </c>
      <c r="X5" s="246" t="s">
        <v>799</v>
      </c>
      <c r="Y5" s="246" t="s">
        <v>800</v>
      </c>
      <c r="Z5" s="246" t="s">
        <v>801</v>
      </c>
      <c r="AA5" s="246" t="s">
        <v>913</v>
      </c>
      <c r="AB5" s="246" t="s">
        <v>914</v>
      </c>
      <c r="AC5" s="246" t="s">
        <v>923</v>
      </c>
      <c r="AD5" s="246" t="s">
        <v>924</v>
      </c>
      <c r="AE5" s="246" t="s">
        <v>1049</v>
      </c>
      <c r="AF5" s="246" t="s">
        <v>1023</v>
      </c>
      <c r="AG5" s="246" t="s">
        <v>1024</v>
      </c>
      <c r="AH5" s="246" t="s">
        <v>1050</v>
      </c>
      <c r="AI5" s="246" t="s">
        <v>1114</v>
      </c>
      <c r="AJ5" s="246" t="s">
        <v>1119</v>
      </c>
      <c r="AK5" s="246" t="s">
        <v>1121</v>
      </c>
      <c r="AL5" s="246" t="s">
        <v>1123</v>
      </c>
      <c r="AM5" s="246" t="s">
        <v>1176</v>
      </c>
      <c r="AN5" s="246" t="s">
        <v>1177</v>
      </c>
      <c r="AO5" s="246" t="s">
        <v>1179</v>
      </c>
      <c r="AP5" s="246" t="s">
        <v>1181</v>
      </c>
      <c r="AQ5" s="246" t="s">
        <v>1243</v>
      </c>
      <c r="AR5" s="246" t="s">
        <v>1250</v>
      </c>
      <c r="AS5" s="246" t="s">
        <v>1251</v>
      </c>
      <c r="AT5" s="246" t="s">
        <v>1252</v>
      </c>
      <c r="AU5" s="246" t="s">
        <v>1311</v>
      </c>
      <c r="AV5" s="246" t="s">
        <v>1313</v>
      </c>
      <c r="AW5" s="246" t="s">
        <v>1315</v>
      </c>
      <c r="AX5" s="246" t="s">
        <v>1317</v>
      </c>
      <c r="AY5" s="246" t="s">
        <v>1344</v>
      </c>
    </row>
    <row r="6" spans="2:51" x14ac:dyDescent="0.2">
      <c r="B6" s="129" t="s">
        <v>791</v>
      </c>
      <c r="C6" s="118">
        <v>0</v>
      </c>
      <c r="D6" s="118">
        <v>0</v>
      </c>
      <c r="E6" s="118">
        <v>0</v>
      </c>
      <c r="F6" s="118">
        <v>0</v>
      </c>
      <c r="G6" s="118">
        <v>0</v>
      </c>
      <c r="H6" s="118">
        <v>0</v>
      </c>
      <c r="I6" s="118">
        <v>0</v>
      </c>
      <c r="J6" s="118">
        <v>0</v>
      </c>
      <c r="K6" s="118">
        <v>0</v>
      </c>
      <c r="L6" s="118">
        <v>0</v>
      </c>
      <c r="M6" s="118">
        <v>0</v>
      </c>
      <c r="N6" s="118">
        <v>0</v>
      </c>
      <c r="O6" s="118">
        <v>0</v>
      </c>
      <c r="P6" s="261">
        <v>0</v>
      </c>
      <c r="Q6" s="118">
        <v>0</v>
      </c>
      <c r="R6" s="118">
        <v>0</v>
      </c>
      <c r="S6" s="118">
        <v>0</v>
      </c>
      <c r="T6" s="118">
        <v>0</v>
      </c>
      <c r="U6" s="118">
        <v>-54312</v>
      </c>
      <c r="V6" s="118">
        <v>-52102</v>
      </c>
      <c r="W6" s="118">
        <v>-53995</v>
      </c>
      <c r="X6" s="118">
        <v>-53222</v>
      </c>
      <c r="Y6" s="118">
        <v>-57992</v>
      </c>
      <c r="Z6" s="118">
        <v>-57220</v>
      </c>
      <c r="AA6" s="118">
        <v>-69884</v>
      </c>
      <c r="AB6" s="118">
        <v>-74610</v>
      </c>
      <c r="AC6" s="118">
        <v>0</v>
      </c>
      <c r="AD6" s="118">
        <v>0</v>
      </c>
      <c r="AE6" s="118">
        <v>0</v>
      </c>
      <c r="AF6" s="118">
        <v>0</v>
      </c>
      <c r="AG6" s="118">
        <v>0</v>
      </c>
      <c r="AH6" s="118">
        <v>0</v>
      </c>
      <c r="AI6" s="118">
        <v>0</v>
      </c>
      <c r="AJ6" s="118">
        <v>0</v>
      </c>
      <c r="AK6" s="118">
        <v>0</v>
      </c>
      <c r="AL6" s="118">
        <v>0</v>
      </c>
      <c r="AM6" s="118">
        <v>0</v>
      </c>
      <c r="AN6" s="118">
        <v>0</v>
      </c>
      <c r="AO6" s="118">
        <v>0</v>
      </c>
      <c r="AP6" s="118">
        <v>0</v>
      </c>
      <c r="AQ6" s="118">
        <v>0</v>
      </c>
      <c r="AR6" s="118">
        <v>0</v>
      </c>
      <c r="AS6" s="118">
        <v>0</v>
      </c>
      <c r="AT6" s="118">
        <v>0</v>
      </c>
      <c r="AU6" s="118">
        <v>0</v>
      </c>
      <c r="AV6" s="118">
        <v>0</v>
      </c>
      <c r="AW6" s="118">
        <v>0</v>
      </c>
      <c r="AX6" s="118">
        <v>0</v>
      </c>
      <c r="AY6" s="118">
        <v>0</v>
      </c>
    </row>
    <row r="7" spans="2:51" x14ac:dyDescent="0.2">
      <c r="B7" s="129" t="s">
        <v>16</v>
      </c>
      <c r="C7" s="118">
        <v>-14651</v>
      </c>
      <c r="D7" s="118">
        <v>-7673</v>
      </c>
      <c r="E7" s="118">
        <v>-6695</v>
      </c>
      <c r="F7" s="118">
        <v>-5724</v>
      </c>
      <c r="G7" s="118">
        <v>-4844</v>
      </c>
      <c r="H7" s="118">
        <v>-3987</v>
      </c>
      <c r="I7" s="118">
        <v>-3216</v>
      </c>
      <c r="J7" s="118">
        <v>-2476</v>
      </c>
      <c r="K7" s="118">
        <v>-2051</v>
      </c>
      <c r="L7" s="118">
        <v>-1744</v>
      </c>
      <c r="M7" s="118">
        <v>-1445</v>
      </c>
      <c r="N7" s="118">
        <v>-1182</v>
      </c>
      <c r="O7" s="118">
        <v>-2263</v>
      </c>
      <c r="P7" s="261">
        <v>-55148</v>
      </c>
      <c r="Q7" s="118">
        <v>-55263</v>
      </c>
      <c r="R7" s="118">
        <v>-54747</v>
      </c>
      <c r="S7" s="118">
        <v>-54863</v>
      </c>
      <c r="T7" s="118">
        <v>-50020</v>
      </c>
      <c r="U7" s="118">
        <v>-10232</v>
      </c>
      <c r="V7" s="118">
        <v>-10015</v>
      </c>
      <c r="W7" s="118">
        <v>-40232</v>
      </c>
      <c r="X7" s="118">
        <v>-37227</v>
      </c>
      <c r="Y7" s="118">
        <v>-36828</v>
      </c>
      <c r="Z7" s="118">
        <v>-33802</v>
      </c>
      <c r="AA7" s="118">
        <v>-33402</v>
      </c>
      <c r="AB7" s="118">
        <v>-121744</v>
      </c>
      <c r="AC7" s="118">
        <v>-168276</v>
      </c>
      <c r="AD7" s="118">
        <v>-168764</v>
      </c>
      <c r="AE7" s="118">
        <v>-169300</v>
      </c>
      <c r="AF7" s="118">
        <v>-127243</v>
      </c>
      <c r="AG7" s="118">
        <v>-127676</v>
      </c>
      <c r="AH7" s="118">
        <v>-128886</v>
      </c>
      <c r="AI7" s="118">
        <v>-119250</v>
      </c>
      <c r="AJ7" s="118">
        <v>-68411</v>
      </c>
      <c r="AK7" s="118">
        <v>-66432</v>
      </c>
      <c r="AL7" s="118">
        <v>-101740</v>
      </c>
      <c r="AM7" s="118">
        <v>-90366</v>
      </c>
      <c r="AN7" s="118">
        <v>-91267</v>
      </c>
      <c r="AO7" s="118">
        <v>-95806</v>
      </c>
      <c r="AP7" s="118">
        <v>-101599</v>
      </c>
      <c r="AQ7" s="118">
        <v>-107217</v>
      </c>
      <c r="AR7" s="118">
        <v>-105966</v>
      </c>
      <c r="AS7" s="118">
        <v>-105679</v>
      </c>
      <c r="AT7" s="118">
        <v>-105996</v>
      </c>
      <c r="AU7" s="118">
        <v>-110285</v>
      </c>
      <c r="AV7" s="118">
        <v>-111205</v>
      </c>
      <c r="AW7" s="118">
        <v>-85819</v>
      </c>
      <c r="AX7" s="118">
        <v>-125950</v>
      </c>
      <c r="AY7" s="118">
        <v>-125204</v>
      </c>
    </row>
    <row r="8" spans="2:51" x14ac:dyDescent="0.2">
      <c r="B8" s="129" t="s">
        <v>792</v>
      </c>
      <c r="C8" s="118">
        <v>20576</v>
      </c>
      <c r="D8" s="118">
        <v>-1995</v>
      </c>
      <c r="E8" s="118">
        <v>8359</v>
      </c>
      <c r="F8" s="118">
        <v>16023</v>
      </c>
      <c r="G8" s="118">
        <v>48760</v>
      </c>
      <c r="H8" s="118">
        <v>0</v>
      </c>
      <c r="I8" s="118">
        <v>0</v>
      </c>
      <c r="J8" s="118">
        <v>0</v>
      </c>
      <c r="K8" s="118">
        <v>0</v>
      </c>
      <c r="L8" s="118">
        <v>0</v>
      </c>
      <c r="M8" s="118">
        <v>0</v>
      </c>
      <c r="N8" s="118">
        <v>0</v>
      </c>
      <c r="O8" s="118">
        <v>0</v>
      </c>
      <c r="P8" s="118">
        <v>0</v>
      </c>
      <c r="Q8" s="118">
        <v>0</v>
      </c>
      <c r="R8" s="118">
        <v>0</v>
      </c>
      <c r="S8" s="118">
        <v>0</v>
      </c>
      <c r="T8" s="118">
        <v>0</v>
      </c>
      <c r="U8" s="118">
        <v>3735</v>
      </c>
      <c r="V8" s="118">
        <v>2086</v>
      </c>
      <c r="W8" s="118">
        <v>2642</v>
      </c>
      <c r="X8" s="118">
        <v>1444</v>
      </c>
      <c r="Y8" s="118">
        <v>5294</v>
      </c>
      <c r="Z8" s="118">
        <v>3748</v>
      </c>
      <c r="AA8" s="118">
        <v>19506</v>
      </c>
      <c r="AB8" s="118">
        <v>23748</v>
      </c>
      <c r="AC8" s="118">
        <v>0</v>
      </c>
      <c r="AD8" s="118">
        <v>0</v>
      </c>
      <c r="AE8" s="118">
        <v>0</v>
      </c>
      <c r="AF8" s="118">
        <v>0</v>
      </c>
      <c r="AG8" s="118">
        <v>0</v>
      </c>
      <c r="AH8" s="118">
        <v>0</v>
      </c>
      <c r="AI8" s="118">
        <v>0</v>
      </c>
      <c r="AJ8" s="118">
        <v>0</v>
      </c>
      <c r="AK8" s="118">
        <v>0</v>
      </c>
      <c r="AL8" s="118">
        <v>0</v>
      </c>
      <c r="AM8" s="118">
        <v>0</v>
      </c>
      <c r="AN8" s="118">
        <v>0</v>
      </c>
      <c r="AO8" s="118">
        <v>0</v>
      </c>
      <c r="AP8" s="118">
        <v>0</v>
      </c>
      <c r="AQ8" s="118">
        <v>0</v>
      </c>
      <c r="AR8" s="118">
        <v>0</v>
      </c>
      <c r="AS8" s="118">
        <v>0</v>
      </c>
      <c r="AT8" s="118">
        <v>0</v>
      </c>
      <c r="AU8" s="118">
        <v>0</v>
      </c>
      <c r="AV8" s="118">
        <v>0</v>
      </c>
      <c r="AW8" s="118">
        <v>0</v>
      </c>
      <c r="AX8" s="118">
        <v>0</v>
      </c>
      <c r="AY8" s="118">
        <v>0</v>
      </c>
    </row>
    <row r="9" spans="2:51" x14ac:dyDescent="0.2">
      <c r="B9" s="129" t="s">
        <v>793</v>
      </c>
      <c r="C9" s="118"/>
      <c r="D9" s="118"/>
      <c r="E9" s="118"/>
      <c r="F9" s="118"/>
      <c r="G9" s="118"/>
      <c r="H9" s="118"/>
      <c r="I9" s="118"/>
      <c r="J9" s="118"/>
      <c r="K9" s="118"/>
      <c r="L9" s="118"/>
      <c r="M9" s="118"/>
      <c r="N9" s="118"/>
      <c r="O9" s="118"/>
      <c r="P9" s="118"/>
      <c r="Q9" s="118"/>
      <c r="R9" s="118"/>
      <c r="S9" s="118"/>
      <c r="T9" s="118"/>
      <c r="U9" s="118">
        <v>210</v>
      </c>
      <c r="V9" s="118">
        <v>-472</v>
      </c>
      <c r="W9" s="118">
        <v>19</v>
      </c>
      <c r="X9" s="118">
        <v>498</v>
      </c>
      <c r="Y9" s="118">
        <v>605</v>
      </c>
      <c r="Z9" s="118">
        <v>-9</v>
      </c>
      <c r="AA9" s="118">
        <v>1152</v>
      </c>
      <c r="AB9" s="118">
        <v>123</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v>0</v>
      </c>
      <c r="AY9" s="118">
        <v>0</v>
      </c>
    </row>
    <row r="10" spans="2:51" x14ac:dyDescent="0.2">
      <c r="B10" s="129" t="s">
        <v>366</v>
      </c>
      <c r="C10" s="118">
        <v>-285063</v>
      </c>
      <c r="D10" s="118">
        <v>-358630</v>
      </c>
      <c r="E10" s="118">
        <v>-358318</v>
      </c>
      <c r="F10" s="118">
        <v>-359798</v>
      </c>
      <c r="G10" s="118">
        <v>-358645</v>
      </c>
      <c r="H10" s="118">
        <v>-360487</v>
      </c>
      <c r="I10" s="118">
        <v>-360340</v>
      </c>
      <c r="J10" s="118">
        <v>-361821</v>
      </c>
      <c r="K10" s="118">
        <v>-339814</v>
      </c>
      <c r="L10" s="118">
        <v>-340849</v>
      </c>
      <c r="M10" s="118">
        <v>-340288</v>
      </c>
      <c r="N10" s="118">
        <v>-290395</v>
      </c>
      <c r="O10" s="118">
        <v>-219189</v>
      </c>
      <c r="P10" s="118">
        <v>-218703</v>
      </c>
      <c r="Q10" s="118">
        <v>-164712</v>
      </c>
      <c r="R10" s="118">
        <v>-168127</v>
      </c>
      <c r="S10" s="118">
        <v>-99306</v>
      </c>
      <c r="T10" s="118">
        <v>-98093</v>
      </c>
      <c r="U10" s="118">
        <v>-98314</v>
      </c>
      <c r="V10" s="118">
        <v>-98083</v>
      </c>
      <c r="W10" s="118">
        <v>-51160</v>
      </c>
      <c r="X10" s="118">
        <v>-50140</v>
      </c>
      <c r="Y10" s="118">
        <v>-51179</v>
      </c>
      <c r="Z10" s="118">
        <v>-50135</v>
      </c>
      <c r="AA10" s="118">
        <v>-50891</v>
      </c>
      <c r="AB10" s="118">
        <v>-51514</v>
      </c>
      <c r="AC10" s="118">
        <v>-25167</v>
      </c>
      <c r="AD10" s="118">
        <v>-25047</v>
      </c>
      <c r="AE10" s="118">
        <v>-25289</v>
      </c>
      <c r="AF10" s="118">
        <v>-25070</v>
      </c>
      <c r="AG10" s="118">
        <v>0</v>
      </c>
      <c r="AH10" s="118">
        <v>0</v>
      </c>
      <c r="AI10" s="118">
        <v>0</v>
      </c>
      <c r="AJ10" s="118">
        <v>0</v>
      </c>
      <c r="AK10" s="118">
        <v>0</v>
      </c>
      <c r="AL10" s="118">
        <v>0</v>
      </c>
      <c r="AM10" s="118">
        <v>0</v>
      </c>
      <c r="AN10" s="118">
        <v>0</v>
      </c>
      <c r="AO10" s="118">
        <v>0</v>
      </c>
      <c r="AP10" s="118">
        <v>0</v>
      </c>
      <c r="AQ10" s="118">
        <v>0</v>
      </c>
      <c r="AR10" s="118">
        <v>0</v>
      </c>
      <c r="AS10" s="118">
        <v>0</v>
      </c>
      <c r="AT10" s="118">
        <v>0</v>
      </c>
      <c r="AU10" s="118">
        <v>0</v>
      </c>
      <c r="AV10" s="118">
        <v>0</v>
      </c>
      <c r="AW10" s="118">
        <v>0</v>
      </c>
      <c r="AX10" s="118">
        <v>0</v>
      </c>
      <c r="AY10" s="118">
        <v>0</v>
      </c>
    </row>
    <row r="11" spans="2:51" x14ac:dyDescent="0.2">
      <c r="B11" s="129" t="s">
        <v>17</v>
      </c>
      <c r="C11" s="118">
        <v>221474</v>
      </c>
      <c r="D11" s="118">
        <v>179882</v>
      </c>
      <c r="E11" s="118">
        <v>186093</v>
      </c>
      <c r="F11" s="118">
        <v>227857</v>
      </c>
      <c r="G11" s="118">
        <v>306960</v>
      </c>
      <c r="H11" s="118">
        <v>131505</v>
      </c>
      <c r="I11" s="118">
        <v>206751</v>
      </c>
      <c r="J11" s="118">
        <v>214259</v>
      </c>
      <c r="K11" s="118">
        <v>232693</v>
      </c>
      <c r="L11" s="118">
        <v>219216</v>
      </c>
      <c r="M11" s="118">
        <v>241918</v>
      </c>
      <c r="N11" s="118">
        <v>192858</v>
      </c>
      <c r="O11" s="118">
        <v>125754</v>
      </c>
      <c r="P11" s="118">
        <v>182650</v>
      </c>
      <c r="Q11" s="118">
        <v>145031</v>
      </c>
      <c r="R11" s="118">
        <v>148306</v>
      </c>
      <c r="S11" s="118">
        <v>125064</v>
      </c>
      <c r="T11" s="118">
        <v>90264</v>
      </c>
      <c r="U11" s="118">
        <v>96725</v>
      </c>
      <c r="V11" s="118">
        <v>82206</v>
      </c>
      <c r="W11" s="118">
        <v>106975</v>
      </c>
      <c r="X11" s="118">
        <v>105427</v>
      </c>
      <c r="Y11" s="118">
        <v>111177</v>
      </c>
      <c r="Z11" s="118">
        <v>65963</v>
      </c>
      <c r="AA11" s="118">
        <v>124996</v>
      </c>
      <c r="AB11" s="118">
        <v>242830</v>
      </c>
      <c r="AC11" s="118">
        <v>184150</v>
      </c>
      <c r="AD11" s="118">
        <v>210044</v>
      </c>
      <c r="AE11" s="118">
        <v>244408</v>
      </c>
      <c r="AF11" s="118">
        <v>198379</v>
      </c>
      <c r="AG11" s="118">
        <v>168681</v>
      </c>
      <c r="AH11" s="118">
        <v>145942</v>
      </c>
      <c r="AI11" s="118">
        <v>207326</v>
      </c>
      <c r="AJ11" s="118">
        <v>112430</v>
      </c>
      <c r="AK11" s="118">
        <v>135357</v>
      </c>
      <c r="AL11" s="118">
        <v>188735</v>
      </c>
      <c r="AM11" s="118">
        <v>241309</v>
      </c>
      <c r="AN11" s="118">
        <v>236287</v>
      </c>
      <c r="AO11" s="118">
        <v>257994</v>
      </c>
      <c r="AP11" s="118">
        <v>230703</v>
      </c>
      <c r="AQ11" s="118">
        <v>298820</v>
      </c>
      <c r="AR11" s="118">
        <v>281990</v>
      </c>
      <c r="AS11" s="118">
        <v>258267</v>
      </c>
      <c r="AT11" s="118">
        <v>239484</v>
      </c>
      <c r="AU11" s="118">
        <v>338645</v>
      </c>
      <c r="AV11" s="118">
        <v>346349</v>
      </c>
      <c r="AW11" s="118">
        <v>244670</v>
      </c>
      <c r="AX11" s="118">
        <v>112111</v>
      </c>
      <c r="AY11" s="118">
        <v>183741</v>
      </c>
    </row>
    <row r="12" spans="2:51" s="311" customFormat="1" hidden="1" outlineLevel="1" x14ac:dyDescent="0.2">
      <c r="B12" s="318" t="s">
        <v>379</v>
      </c>
      <c r="C12" s="312">
        <v>-216263</v>
      </c>
      <c r="D12" s="312">
        <v>-48143</v>
      </c>
      <c r="E12" s="312">
        <v>-132397</v>
      </c>
      <c r="F12" s="312">
        <v>-143833</v>
      </c>
      <c r="G12" s="312">
        <v>-175920</v>
      </c>
      <c r="H12" s="312">
        <v>0</v>
      </c>
      <c r="I12" s="312">
        <v>0</v>
      </c>
      <c r="J12" s="312">
        <v>0</v>
      </c>
      <c r="K12" s="312">
        <v>0</v>
      </c>
      <c r="L12" s="312">
        <v>0</v>
      </c>
      <c r="M12" s="312">
        <v>0</v>
      </c>
      <c r="N12" s="312">
        <v>0</v>
      </c>
      <c r="O12" s="312">
        <v>0</v>
      </c>
      <c r="P12" s="312">
        <v>0</v>
      </c>
      <c r="Q12" s="312">
        <v>0</v>
      </c>
      <c r="R12" s="312">
        <v>0</v>
      </c>
      <c r="S12" s="312">
        <v>0</v>
      </c>
      <c r="T12" s="312" t="s">
        <v>160</v>
      </c>
      <c r="U12" s="312" t="s">
        <v>160</v>
      </c>
      <c r="V12" s="312"/>
      <c r="W12" s="312" t="s">
        <v>160</v>
      </c>
      <c r="X12" s="312"/>
      <c r="Y12" s="312" t="s">
        <v>160</v>
      </c>
      <c r="Z12" s="312" t="s">
        <v>160</v>
      </c>
      <c r="AA12" s="312" t="s">
        <v>160</v>
      </c>
      <c r="AB12" s="312" t="s">
        <v>160</v>
      </c>
      <c r="AC12" s="312" t="s">
        <v>160</v>
      </c>
      <c r="AD12" s="312" t="s">
        <v>160</v>
      </c>
      <c r="AE12" s="312" t="s">
        <v>160</v>
      </c>
      <c r="AF12" s="312" t="s">
        <v>160</v>
      </c>
      <c r="AG12" s="312" t="s">
        <v>160</v>
      </c>
      <c r="AH12" s="312">
        <v>0</v>
      </c>
      <c r="AI12" s="312">
        <v>0</v>
      </c>
      <c r="AJ12" s="118">
        <v>0</v>
      </c>
      <c r="AK12" s="118">
        <v>0</v>
      </c>
      <c r="AL12" s="118">
        <v>0</v>
      </c>
      <c r="AM12" s="118">
        <v>0</v>
      </c>
      <c r="AN12" s="118">
        <v>0</v>
      </c>
      <c r="AO12" s="118">
        <v>0</v>
      </c>
      <c r="AP12" s="118">
        <v>0</v>
      </c>
      <c r="AQ12" s="118">
        <v>0</v>
      </c>
      <c r="AR12" s="118"/>
      <c r="AS12" s="118">
        <v>0</v>
      </c>
      <c r="AT12" s="118">
        <v>0</v>
      </c>
      <c r="AU12" s="118">
        <v>0</v>
      </c>
      <c r="AV12" s="118">
        <v>0</v>
      </c>
      <c r="AW12" s="118">
        <v>0</v>
      </c>
      <c r="AX12" s="118">
        <v>0</v>
      </c>
      <c r="AY12" s="118">
        <v>0</v>
      </c>
    </row>
    <row r="13" spans="2:51" collapsed="1" x14ac:dyDescent="0.2">
      <c r="B13" s="126" t="s">
        <v>179</v>
      </c>
      <c r="C13" s="120">
        <f>SUM(C6:C12)</f>
        <v>-273927</v>
      </c>
      <c r="D13" s="120">
        <f t="shared" ref="D13:Z13" si="0">SUM(D6:D12)</f>
        <v>-236559</v>
      </c>
      <c r="E13" s="120">
        <f t="shared" si="0"/>
        <v>-302958</v>
      </c>
      <c r="F13" s="120">
        <f t="shared" si="0"/>
        <v>-265475</v>
      </c>
      <c r="G13" s="120">
        <f t="shared" si="0"/>
        <v>-183689</v>
      </c>
      <c r="H13" s="120">
        <f t="shared" si="0"/>
        <v>-232969</v>
      </c>
      <c r="I13" s="120">
        <f t="shared" si="0"/>
        <v>-156805</v>
      </c>
      <c r="J13" s="120">
        <f t="shared" si="0"/>
        <v>-150038</v>
      </c>
      <c r="K13" s="120">
        <f t="shared" si="0"/>
        <v>-109172</v>
      </c>
      <c r="L13" s="120">
        <f t="shared" si="0"/>
        <v>-123377</v>
      </c>
      <c r="M13" s="120">
        <f t="shared" si="0"/>
        <v>-99815</v>
      </c>
      <c r="N13" s="120">
        <f t="shared" si="0"/>
        <v>-98719</v>
      </c>
      <c r="O13" s="120">
        <f t="shared" si="0"/>
        <v>-95698</v>
      </c>
      <c r="P13" s="120">
        <f t="shared" si="0"/>
        <v>-91201</v>
      </c>
      <c r="Q13" s="120">
        <f t="shared" si="0"/>
        <v>-74944</v>
      </c>
      <c r="R13" s="120">
        <f t="shared" si="0"/>
        <v>-74568</v>
      </c>
      <c r="S13" s="120">
        <f t="shared" si="0"/>
        <v>-29105</v>
      </c>
      <c r="T13" s="120">
        <f t="shared" si="0"/>
        <v>-57849</v>
      </c>
      <c r="U13" s="120">
        <f t="shared" si="0"/>
        <v>-62188</v>
      </c>
      <c r="V13" s="120">
        <f t="shared" si="0"/>
        <v>-76380</v>
      </c>
      <c r="W13" s="120">
        <f t="shared" si="0"/>
        <v>-35751</v>
      </c>
      <c r="X13" s="120">
        <f t="shared" si="0"/>
        <v>-33220</v>
      </c>
      <c r="Y13" s="120">
        <v>-28923</v>
      </c>
      <c r="Z13" s="120">
        <f t="shared" si="0"/>
        <v>-71455</v>
      </c>
      <c r="AA13" s="120">
        <f t="shared" ref="AA13:AI13" si="1">SUM(AA6:AA12)</f>
        <v>-8523</v>
      </c>
      <c r="AB13" s="120">
        <f t="shared" si="1"/>
        <v>18833</v>
      </c>
      <c r="AC13" s="120">
        <f t="shared" si="1"/>
        <v>-9293</v>
      </c>
      <c r="AD13" s="120">
        <f t="shared" si="1"/>
        <v>16233</v>
      </c>
      <c r="AE13" s="120">
        <f t="shared" si="1"/>
        <v>49819</v>
      </c>
      <c r="AF13" s="120">
        <f t="shared" si="1"/>
        <v>46066</v>
      </c>
      <c r="AG13" s="120">
        <f t="shared" si="1"/>
        <v>41005</v>
      </c>
      <c r="AH13" s="120">
        <f t="shared" si="1"/>
        <v>17056</v>
      </c>
      <c r="AI13" s="120">
        <f t="shared" si="1"/>
        <v>88076</v>
      </c>
      <c r="AJ13" s="120">
        <f t="shared" ref="AJ13:AO13" si="2">SUM(AJ6:AJ12)</f>
        <v>44019</v>
      </c>
      <c r="AK13" s="120">
        <f t="shared" si="2"/>
        <v>68925</v>
      </c>
      <c r="AL13" s="120">
        <f t="shared" si="2"/>
        <v>86995</v>
      </c>
      <c r="AM13" s="120">
        <f t="shared" si="2"/>
        <v>150943</v>
      </c>
      <c r="AN13" s="120">
        <f t="shared" si="2"/>
        <v>145020</v>
      </c>
      <c r="AO13" s="120">
        <f t="shared" si="2"/>
        <v>162188</v>
      </c>
      <c r="AP13" s="120">
        <f t="shared" ref="AP13:AV13" si="3">SUM(AP6:AP12)</f>
        <v>129104</v>
      </c>
      <c r="AQ13" s="120">
        <f t="shared" si="3"/>
        <v>191603</v>
      </c>
      <c r="AR13" s="120">
        <f t="shared" si="3"/>
        <v>176024</v>
      </c>
      <c r="AS13" s="120">
        <f t="shared" si="3"/>
        <v>152588</v>
      </c>
      <c r="AT13" s="120">
        <f>SUM(AT6:AT12)</f>
        <v>133488</v>
      </c>
      <c r="AU13" s="120">
        <f t="shared" si="3"/>
        <v>228360</v>
      </c>
      <c r="AV13" s="120">
        <f t="shared" si="3"/>
        <v>235144</v>
      </c>
      <c r="AW13" s="120">
        <f>SUM(AW6:AW12)</f>
        <v>158851</v>
      </c>
      <c r="AX13" s="120">
        <f>SUM(AX6:AX12)</f>
        <v>-13839</v>
      </c>
      <c r="AY13" s="120">
        <f>SUM(AY6:AY12)</f>
        <v>58537</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18">
    <pageSetUpPr autoPageBreaks="0"/>
  </sheetPr>
  <dimension ref="B1:O372"/>
  <sheetViews>
    <sheetView showGridLines="0" zoomScaleNormal="100" workbookViewId="0">
      <pane xSplit="1" ySplit="5" topLeftCell="B308" activePane="bottomRight" state="frozen"/>
      <selection activeCell="AY7" sqref="AY7"/>
      <selection pane="topRight" activeCell="AY7" sqref="AY7"/>
      <selection pane="bottomLeft" activeCell="AY7" sqref="AY7"/>
      <selection pane="bottomRight" activeCell="E2" sqref="E2"/>
    </sheetView>
  </sheetViews>
  <sheetFormatPr defaultRowHeight="12.75" x14ac:dyDescent="0.2"/>
  <cols>
    <col min="1" max="1" width="1.42578125" customWidth="1"/>
    <col min="2" max="2" width="38.42578125" bestFit="1" customWidth="1"/>
    <col min="3" max="7" width="10.85546875" customWidth="1"/>
    <col min="8" max="8" width="1.42578125" customWidth="1"/>
    <col min="9" max="9" width="38.42578125" bestFit="1" customWidth="1"/>
    <col min="10" max="16" width="10.85546875" customWidth="1"/>
  </cols>
  <sheetData>
    <row r="1" spans="2:15" ht="7.5" customHeight="1" x14ac:dyDescent="0.2">
      <c r="C1" s="544"/>
      <c r="D1" s="544"/>
      <c r="E1" s="544"/>
      <c r="F1" s="544"/>
      <c r="G1" s="544"/>
      <c r="H1" s="544"/>
      <c r="I1" s="544"/>
      <c r="J1" s="544"/>
      <c r="K1" s="544"/>
      <c r="L1" s="544"/>
      <c r="M1" s="544"/>
      <c r="N1" s="544"/>
      <c r="O1" s="544"/>
    </row>
    <row r="2" spans="2:15" x14ac:dyDescent="0.2">
      <c r="C2" s="548"/>
      <c r="D2" s="548"/>
      <c r="E2" s="548"/>
      <c r="F2" s="548"/>
      <c r="G2" s="548"/>
      <c r="H2" s="544"/>
      <c r="I2" s="544"/>
      <c r="J2" s="548"/>
      <c r="K2" s="548"/>
      <c r="L2" s="544"/>
      <c r="M2" s="544"/>
      <c r="N2" s="544"/>
      <c r="O2" s="544"/>
    </row>
    <row r="3" spans="2:15" x14ac:dyDescent="0.2">
      <c r="B3" s="40"/>
      <c r="C3" s="544"/>
      <c r="D3" s="544"/>
      <c r="E3" s="544"/>
      <c r="F3" s="544"/>
      <c r="G3" s="544"/>
      <c r="H3" s="544"/>
      <c r="I3" s="544"/>
      <c r="J3" s="544"/>
      <c r="K3" s="544"/>
      <c r="L3" s="544"/>
    </row>
    <row r="4" spans="2:15" x14ac:dyDescent="0.2">
      <c r="B4" s="40"/>
      <c r="F4" s="1153"/>
      <c r="G4" s="1153"/>
    </row>
    <row r="5" spans="2:15" ht="25.5" x14ac:dyDescent="0.2">
      <c r="B5" s="141" t="s">
        <v>96</v>
      </c>
      <c r="C5" s="139" t="s">
        <v>1280</v>
      </c>
      <c r="D5" s="139" t="s">
        <v>1281</v>
      </c>
      <c r="E5" s="139" t="s">
        <v>161</v>
      </c>
      <c r="F5" s="139" t="s">
        <v>162</v>
      </c>
      <c r="G5" s="139" t="s">
        <v>1227</v>
      </c>
      <c r="I5" s="139" t="s">
        <v>97</v>
      </c>
      <c r="J5" s="139" t="s">
        <v>1280</v>
      </c>
      <c r="K5" s="139" t="s">
        <v>1281</v>
      </c>
      <c r="L5" s="139" t="s">
        <v>161</v>
      </c>
      <c r="M5" s="139" t="s">
        <v>162</v>
      </c>
      <c r="N5" s="139" t="s">
        <v>1227</v>
      </c>
    </row>
    <row r="6" spans="2:15" x14ac:dyDescent="0.2">
      <c r="B6" s="129" t="s">
        <v>16</v>
      </c>
      <c r="C6" s="118">
        <v>125204</v>
      </c>
      <c r="D6" s="118">
        <v>183821</v>
      </c>
      <c r="E6" s="118">
        <v>44914</v>
      </c>
      <c r="F6" s="118">
        <v>60933</v>
      </c>
      <c r="G6" s="118">
        <v>77974</v>
      </c>
      <c r="I6" s="129" t="str">
        <f t="shared" ref="I6:I11" si="0">B6</f>
        <v>Empréstimos e financiamentos</v>
      </c>
      <c r="J6" s="118">
        <v>104537</v>
      </c>
      <c r="K6" s="118">
        <v>139108</v>
      </c>
      <c r="L6" s="118">
        <v>40927</v>
      </c>
      <c r="M6" s="118">
        <v>56347</v>
      </c>
      <c r="N6" s="118">
        <v>41834</v>
      </c>
    </row>
    <row r="7" spans="2:15" x14ac:dyDescent="0.2">
      <c r="B7" s="129" t="s">
        <v>1019</v>
      </c>
      <c r="C7" s="118">
        <v>67191</v>
      </c>
      <c r="D7" s="118">
        <v>95618</v>
      </c>
      <c r="E7" s="118">
        <v>46196</v>
      </c>
      <c r="F7" s="118">
        <v>26428</v>
      </c>
      <c r="G7" s="118">
        <v>22994</v>
      </c>
      <c r="I7" s="129" t="str">
        <f t="shared" si="0"/>
        <v>Arrendamento</v>
      </c>
      <c r="J7" s="118">
        <v>57061</v>
      </c>
      <c r="K7" s="118">
        <v>69041</v>
      </c>
      <c r="L7" s="118">
        <v>32597</v>
      </c>
      <c r="M7" s="118">
        <v>17476</v>
      </c>
      <c r="N7" s="118">
        <v>18968</v>
      </c>
    </row>
    <row r="8" spans="2:15" x14ac:dyDescent="0.2">
      <c r="B8" s="129" t="s">
        <v>164</v>
      </c>
      <c r="C8" s="118">
        <v>68197</v>
      </c>
      <c r="D8" s="118">
        <v>68197</v>
      </c>
      <c r="E8" s="118">
        <v>68197</v>
      </c>
      <c r="F8" s="118">
        <v>0</v>
      </c>
      <c r="G8" s="118">
        <v>0</v>
      </c>
      <c r="I8" s="129" t="str">
        <f t="shared" si="0"/>
        <v>Fornecedores e fretes a pagar</v>
      </c>
      <c r="J8" s="118">
        <v>60325</v>
      </c>
      <c r="K8" s="118">
        <v>60325</v>
      </c>
      <c r="L8" s="118">
        <v>60325</v>
      </c>
      <c r="M8" s="118">
        <v>0</v>
      </c>
      <c r="N8" s="118">
        <v>0</v>
      </c>
    </row>
    <row r="9" spans="2:15" x14ac:dyDescent="0.2">
      <c r="B9" s="129" t="s">
        <v>24</v>
      </c>
      <c r="C9" s="118">
        <v>65281</v>
      </c>
      <c r="D9" s="118">
        <v>65281</v>
      </c>
      <c r="E9" s="118">
        <v>65281</v>
      </c>
      <c r="F9" s="118">
        <v>0</v>
      </c>
      <c r="G9" s="118">
        <v>0</v>
      </c>
      <c r="I9" s="129" t="str">
        <f t="shared" si="0"/>
        <v>Demais contas a pagar</v>
      </c>
      <c r="J9" s="118">
        <v>36277</v>
      </c>
      <c r="K9" s="118">
        <v>36277</v>
      </c>
      <c r="L9" s="118">
        <v>36277</v>
      </c>
      <c r="M9" s="118">
        <v>0</v>
      </c>
      <c r="N9" s="118">
        <v>0</v>
      </c>
    </row>
    <row r="10" spans="2:15" x14ac:dyDescent="0.2">
      <c r="B10" s="129" t="s">
        <v>25</v>
      </c>
      <c r="C10" s="118">
        <v>8331</v>
      </c>
      <c r="D10" s="118">
        <v>8331</v>
      </c>
      <c r="E10" s="118">
        <v>952</v>
      </c>
      <c r="F10" s="118">
        <v>7379</v>
      </c>
      <c r="G10" s="118">
        <v>0</v>
      </c>
      <c r="I10" s="129" t="str">
        <f t="shared" si="0"/>
        <v>Partes relacionadas</v>
      </c>
      <c r="J10" s="118">
        <v>2683</v>
      </c>
      <c r="K10" s="118">
        <v>2683</v>
      </c>
      <c r="L10" s="118">
        <v>2179</v>
      </c>
      <c r="M10" s="118">
        <v>504</v>
      </c>
      <c r="N10" s="118">
        <v>0</v>
      </c>
    </row>
    <row r="11" spans="2:15" x14ac:dyDescent="0.2">
      <c r="B11" s="126" t="s">
        <v>1375</v>
      </c>
      <c r="C11" s="120">
        <f>SUM(C6:C10)</f>
        <v>334204</v>
      </c>
      <c r="D11" s="120">
        <f>SUM(D6:D10)</f>
        <v>421248</v>
      </c>
      <c r="E11" s="120">
        <f>SUM(E6:E10)</f>
        <v>225540</v>
      </c>
      <c r="F11" s="120">
        <f>SUM(F6:F10)</f>
        <v>94740</v>
      </c>
      <c r="G11" s="120">
        <f>SUM(G6:G10)</f>
        <v>100968</v>
      </c>
      <c r="I11" s="126" t="str">
        <f t="shared" si="0"/>
        <v>Em 31 março de 2026</v>
      </c>
      <c r="J11" s="120">
        <f>SUM(J6:J10)</f>
        <v>260883</v>
      </c>
      <c r="K11" s="120">
        <f>SUM(K6:K10)</f>
        <v>307434</v>
      </c>
      <c r="L11" s="120">
        <f>SUM(L6:L10)</f>
        <v>172305</v>
      </c>
      <c r="M11" s="120">
        <f>SUM(M6:M10)</f>
        <v>74327</v>
      </c>
      <c r="N11" s="120">
        <f>SUM(N6:N10)</f>
        <v>60802</v>
      </c>
    </row>
    <row r="12" spans="2:15" x14ac:dyDescent="0.2">
      <c r="B12" s="129" t="s">
        <v>16</v>
      </c>
      <c r="C12" s="118">
        <v>125950</v>
      </c>
      <c r="D12" s="118">
        <v>188291</v>
      </c>
      <c r="E12" s="118">
        <v>46609</v>
      </c>
      <c r="F12" s="118">
        <v>60802</v>
      </c>
      <c r="G12" s="118">
        <v>80880</v>
      </c>
      <c r="I12" s="129" t="str">
        <f t="shared" ref="I12:I17" si="1">B12</f>
        <v>Empréstimos e financiamentos</v>
      </c>
      <c r="J12" s="118">
        <v>105560</v>
      </c>
      <c r="K12" s="118">
        <v>144022</v>
      </c>
      <c r="L12" s="118">
        <v>36618</v>
      </c>
      <c r="M12" s="118">
        <v>32628</v>
      </c>
      <c r="N12" s="118">
        <v>41114</v>
      </c>
    </row>
    <row r="13" spans="2:15" x14ac:dyDescent="0.2">
      <c r="B13" s="129" t="s">
        <v>1019</v>
      </c>
      <c r="C13" s="118">
        <v>76067</v>
      </c>
      <c r="D13" s="118">
        <v>95618</v>
      </c>
      <c r="E13" s="118">
        <v>46196</v>
      </c>
      <c r="F13" s="118">
        <v>26428</v>
      </c>
      <c r="G13" s="118">
        <v>22994</v>
      </c>
      <c r="I13" s="129" t="str">
        <f t="shared" si="1"/>
        <v>Arrendamento</v>
      </c>
      <c r="J13" s="118">
        <v>63253</v>
      </c>
      <c r="K13" s="118">
        <v>77239</v>
      </c>
      <c r="L13" s="118">
        <v>39438</v>
      </c>
      <c r="M13" s="118">
        <v>24997</v>
      </c>
      <c r="N13" s="118">
        <v>33711</v>
      </c>
    </row>
    <row r="14" spans="2:15" x14ac:dyDescent="0.2">
      <c r="B14" s="129" t="s">
        <v>164</v>
      </c>
      <c r="C14" s="118">
        <v>62248</v>
      </c>
      <c r="D14" s="118">
        <v>62248</v>
      </c>
      <c r="E14" s="118">
        <v>62248</v>
      </c>
      <c r="F14" s="118">
        <v>0</v>
      </c>
      <c r="G14" s="118">
        <v>0</v>
      </c>
      <c r="I14" s="129" t="str">
        <f t="shared" si="1"/>
        <v>Fornecedores e fretes a pagar</v>
      </c>
      <c r="J14" s="118">
        <v>55064</v>
      </c>
      <c r="K14" s="118">
        <v>55064</v>
      </c>
      <c r="L14" s="118">
        <v>56755</v>
      </c>
      <c r="M14" s="118">
        <v>0</v>
      </c>
      <c r="N14" s="118">
        <v>0</v>
      </c>
    </row>
    <row r="15" spans="2:15" x14ac:dyDescent="0.2">
      <c r="B15" s="129" t="s">
        <v>24</v>
      </c>
      <c r="C15" s="118">
        <v>71554</v>
      </c>
      <c r="D15" s="118">
        <v>71554</v>
      </c>
      <c r="E15" s="118">
        <v>71554</v>
      </c>
      <c r="F15" s="118">
        <v>0</v>
      </c>
      <c r="G15" s="118">
        <v>0</v>
      </c>
      <c r="I15" s="129" t="str">
        <f t="shared" si="1"/>
        <v>Demais contas a pagar</v>
      </c>
      <c r="J15" s="118">
        <v>41050</v>
      </c>
      <c r="K15" s="118">
        <v>41050</v>
      </c>
      <c r="L15" s="118">
        <v>39441</v>
      </c>
      <c r="M15" s="118">
        <v>0</v>
      </c>
      <c r="N15" s="118">
        <v>0</v>
      </c>
    </row>
    <row r="16" spans="2:15" x14ac:dyDescent="0.2">
      <c r="B16" s="129" t="s">
        <v>25</v>
      </c>
      <c r="C16" s="118">
        <v>8329</v>
      </c>
      <c r="D16" s="118">
        <v>8329</v>
      </c>
      <c r="E16" s="118">
        <v>950</v>
      </c>
      <c r="F16" s="118">
        <v>7379</v>
      </c>
      <c r="G16" s="118">
        <v>0</v>
      </c>
      <c r="I16" s="129" t="str">
        <f t="shared" si="1"/>
        <v>Partes relacionadas</v>
      </c>
      <c r="J16" s="118">
        <v>2055</v>
      </c>
      <c r="K16" s="118">
        <v>2055</v>
      </c>
      <c r="L16" s="118">
        <v>1209</v>
      </c>
      <c r="M16" s="118">
        <v>504</v>
      </c>
      <c r="N16" s="118">
        <v>0</v>
      </c>
    </row>
    <row r="17" spans="2:14" x14ac:dyDescent="0.2">
      <c r="B17" s="126" t="s">
        <v>1358</v>
      </c>
      <c r="C17" s="120">
        <f>SUM(C12:C16)</f>
        <v>344148</v>
      </c>
      <c r="D17" s="120">
        <f>SUM(D12:D16)</f>
        <v>426040</v>
      </c>
      <c r="E17" s="120">
        <f>SUM(E12:E16)</f>
        <v>227557</v>
      </c>
      <c r="F17" s="120">
        <f>SUM(F12:F16)</f>
        <v>94609</v>
      </c>
      <c r="G17" s="120">
        <f>SUM(G12:G16)</f>
        <v>103874</v>
      </c>
      <c r="I17" s="126" t="str">
        <f t="shared" si="1"/>
        <v>Em 31 dezembro de 2025</v>
      </c>
      <c r="J17" s="120">
        <f>SUM(J12:J16)</f>
        <v>266982</v>
      </c>
      <c r="K17" s="120">
        <f>SUM(K12:K16)</f>
        <v>319430</v>
      </c>
      <c r="L17" s="120">
        <f>SUM(L12:L16)</f>
        <v>173461</v>
      </c>
      <c r="M17" s="120">
        <f>SUM(M12:M16)</f>
        <v>58129</v>
      </c>
      <c r="N17" s="120">
        <f>SUM(N12:N16)</f>
        <v>74825</v>
      </c>
    </row>
    <row r="18" spans="2:14" x14ac:dyDescent="0.2">
      <c r="B18" s="129" t="s">
        <v>16</v>
      </c>
      <c r="C18" s="118">
        <v>85819</v>
      </c>
      <c r="D18" s="118">
        <v>139918</v>
      </c>
      <c r="E18" s="118">
        <v>40027</v>
      </c>
      <c r="F18" s="118">
        <v>15278</v>
      </c>
      <c r="G18" s="118">
        <v>84613</v>
      </c>
      <c r="I18" s="129" t="str">
        <f t="shared" ref="I18:I55" si="2">B18</f>
        <v>Empréstimos e financiamentos</v>
      </c>
      <c r="J18" s="118">
        <v>65050</v>
      </c>
      <c r="K18" s="118">
        <v>94444</v>
      </c>
      <c r="L18" s="118">
        <v>36770</v>
      </c>
      <c r="M18" s="118">
        <v>10637</v>
      </c>
      <c r="N18" s="118">
        <v>47037</v>
      </c>
    </row>
    <row r="19" spans="2:14" x14ac:dyDescent="0.2">
      <c r="B19" s="129" t="s">
        <v>1019</v>
      </c>
      <c r="C19" s="118">
        <v>80989</v>
      </c>
      <c r="D19" s="118">
        <v>99368</v>
      </c>
      <c r="E19" s="118">
        <v>42994</v>
      </c>
      <c r="F19" s="118">
        <v>29569</v>
      </c>
      <c r="G19" s="118">
        <v>26805</v>
      </c>
      <c r="I19" s="129" t="str">
        <f t="shared" si="2"/>
        <v>Arrendamento</v>
      </c>
      <c r="J19" s="118">
        <v>69707</v>
      </c>
      <c r="K19" s="118">
        <v>86157</v>
      </c>
      <c r="L19" s="118">
        <v>36667</v>
      </c>
      <c r="M19" s="118">
        <v>22918</v>
      </c>
      <c r="N19" s="118">
        <v>26572</v>
      </c>
    </row>
    <row r="20" spans="2:14" x14ac:dyDescent="0.2">
      <c r="B20" s="129" t="s">
        <v>164</v>
      </c>
      <c r="C20" s="118">
        <v>59589</v>
      </c>
      <c r="D20" s="118">
        <v>59589</v>
      </c>
      <c r="E20" s="118">
        <v>59589</v>
      </c>
      <c r="F20" s="118">
        <v>0</v>
      </c>
      <c r="G20" s="118">
        <v>0</v>
      </c>
      <c r="I20" s="129" t="str">
        <f t="shared" si="2"/>
        <v>Fornecedores e fretes a pagar</v>
      </c>
      <c r="J20" s="118">
        <v>53580</v>
      </c>
      <c r="K20" s="118">
        <v>53580</v>
      </c>
      <c r="L20" s="118">
        <v>53580</v>
      </c>
      <c r="M20" s="118">
        <v>0</v>
      </c>
      <c r="N20" s="118">
        <v>0</v>
      </c>
    </row>
    <row r="21" spans="2:14" x14ac:dyDescent="0.2">
      <c r="B21" s="129" t="s">
        <v>24</v>
      </c>
      <c r="C21" s="118">
        <v>42920</v>
      </c>
      <c r="D21" s="118">
        <v>42920</v>
      </c>
      <c r="E21" s="118">
        <v>42920</v>
      </c>
      <c r="F21" s="118">
        <v>0</v>
      </c>
      <c r="G21" s="118">
        <v>0</v>
      </c>
      <c r="I21" s="129" t="str">
        <f t="shared" si="2"/>
        <v>Demais contas a pagar</v>
      </c>
      <c r="J21" s="118">
        <v>35957</v>
      </c>
      <c r="K21" s="118">
        <v>35957</v>
      </c>
      <c r="L21" s="118">
        <v>35957</v>
      </c>
      <c r="M21" s="118">
        <v>0</v>
      </c>
      <c r="N21" s="118">
        <v>0</v>
      </c>
    </row>
    <row r="22" spans="2:14" x14ac:dyDescent="0.2">
      <c r="B22" s="129" t="s">
        <v>25</v>
      </c>
      <c r="C22" s="118">
        <v>8264</v>
      </c>
      <c r="D22" s="118">
        <v>8264</v>
      </c>
      <c r="E22" s="118">
        <v>885</v>
      </c>
      <c r="F22" s="118">
        <v>7379</v>
      </c>
      <c r="G22" s="118">
        <v>0</v>
      </c>
      <c r="I22" s="129" t="str">
        <f t="shared" si="2"/>
        <v>Partes relacionadas</v>
      </c>
      <c r="J22" s="118">
        <v>1945</v>
      </c>
      <c r="K22" s="118">
        <v>1945</v>
      </c>
      <c r="L22" s="118">
        <v>1441</v>
      </c>
      <c r="M22" s="118">
        <v>504</v>
      </c>
      <c r="N22" s="118">
        <v>0</v>
      </c>
    </row>
    <row r="23" spans="2:14" x14ac:dyDescent="0.2">
      <c r="B23" s="126" t="s">
        <v>1342</v>
      </c>
      <c r="C23" s="120">
        <f>SUM(C18:C22)</f>
        <v>277581</v>
      </c>
      <c r="D23" s="120">
        <f>SUM(D18:D22)</f>
        <v>350059</v>
      </c>
      <c r="E23" s="120">
        <f>SUM(E18:E22)</f>
        <v>186415</v>
      </c>
      <c r="F23" s="120">
        <f>SUM(F18:F22)</f>
        <v>52226</v>
      </c>
      <c r="G23" s="120">
        <f>SUM(G18:G22)</f>
        <v>111418</v>
      </c>
      <c r="I23" s="126" t="str">
        <f t="shared" si="2"/>
        <v>Em 30 setembro de 2025</v>
      </c>
      <c r="J23" s="120">
        <f>SUM(J18:J22)</f>
        <v>226239</v>
      </c>
      <c r="K23" s="120">
        <f>SUM(K18:K22)</f>
        <v>272083</v>
      </c>
      <c r="L23" s="120">
        <f>SUM(L18:L22)</f>
        <v>164415</v>
      </c>
      <c r="M23" s="120">
        <f>SUM(M18:M22)</f>
        <v>34059</v>
      </c>
      <c r="N23" s="120">
        <f>SUM(N18:N22)</f>
        <v>73609</v>
      </c>
    </row>
    <row r="24" spans="2:14" x14ac:dyDescent="0.2">
      <c r="B24" s="129" t="s">
        <v>16</v>
      </c>
      <c r="C24" s="118">
        <v>111205</v>
      </c>
      <c r="D24" s="118">
        <v>168750</v>
      </c>
      <c r="E24" s="118">
        <v>41716</v>
      </c>
      <c r="F24" s="118">
        <v>39023</v>
      </c>
      <c r="G24" s="118">
        <v>88011</v>
      </c>
      <c r="I24" s="129" t="s">
        <v>16</v>
      </c>
      <c r="J24" s="118">
        <v>90861</v>
      </c>
      <c r="K24" s="118">
        <v>123220</v>
      </c>
      <c r="L24" s="118">
        <v>38556</v>
      </c>
      <c r="M24" s="118">
        <v>35123</v>
      </c>
      <c r="N24" s="118">
        <v>49541</v>
      </c>
    </row>
    <row r="25" spans="2:14" x14ac:dyDescent="0.2">
      <c r="B25" s="129" t="s">
        <v>1019</v>
      </c>
      <c r="C25" s="118">
        <v>85858</v>
      </c>
      <c r="D25" s="118">
        <v>106854</v>
      </c>
      <c r="E25" s="118">
        <v>42442</v>
      </c>
      <c r="F25" s="118">
        <v>31415</v>
      </c>
      <c r="G25" s="118">
        <v>32997</v>
      </c>
      <c r="I25" s="129" t="s">
        <v>1019</v>
      </c>
      <c r="J25" s="118">
        <v>74073</v>
      </c>
      <c r="K25" s="118">
        <v>92836</v>
      </c>
      <c r="L25" s="118">
        <v>36297</v>
      </c>
      <c r="M25" s="118">
        <v>25550</v>
      </c>
      <c r="N25" s="118">
        <v>30989</v>
      </c>
    </row>
    <row r="26" spans="2:14" x14ac:dyDescent="0.2">
      <c r="B26" s="129" t="s">
        <v>164</v>
      </c>
      <c r="C26" s="118">
        <v>52246</v>
      </c>
      <c r="D26" s="118">
        <v>52246</v>
      </c>
      <c r="E26" s="118">
        <v>52246</v>
      </c>
      <c r="F26" s="118">
        <v>0</v>
      </c>
      <c r="G26" s="118">
        <v>0</v>
      </c>
      <c r="I26" s="129" t="s">
        <v>164</v>
      </c>
      <c r="J26" s="118">
        <v>45279</v>
      </c>
      <c r="K26" s="118">
        <v>45279</v>
      </c>
      <c r="L26" s="118">
        <v>45279</v>
      </c>
      <c r="M26" s="118">
        <v>0</v>
      </c>
      <c r="N26" s="118">
        <v>0</v>
      </c>
    </row>
    <row r="27" spans="2:14" x14ac:dyDescent="0.2">
      <c r="B27" s="129" t="s">
        <v>24</v>
      </c>
      <c r="C27" s="118">
        <v>39066</v>
      </c>
      <c r="D27" s="118">
        <v>39066</v>
      </c>
      <c r="E27" s="118">
        <v>39066</v>
      </c>
      <c r="F27" s="118">
        <v>0</v>
      </c>
      <c r="G27" s="118">
        <v>0</v>
      </c>
      <c r="I27" s="129" t="s">
        <v>24</v>
      </c>
      <c r="J27" s="118">
        <v>32733</v>
      </c>
      <c r="K27" s="118">
        <v>32733</v>
      </c>
      <c r="L27" s="118">
        <v>32733</v>
      </c>
      <c r="M27" s="118">
        <v>0</v>
      </c>
      <c r="N27" s="118">
        <v>0</v>
      </c>
    </row>
    <row r="28" spans="2:14" x14ac:dyDescent="0.2">
      <c r="B28" s="129" t="s">
        <v>25</v>
      </c>
      <c r="C28" s="118">
        <v>1545</v>
      </c>
      <c r="D28" s="118">
        <v>1545</v>
      </c>
      <c r="E28" s="118">
        <v>1021</v>
      </c>
      <c r="F28" s="118">
        <v>524</v>
      </c>
      <c r="G28" s="118">
        <v>0</v>
      </c>
      <c r="I28" s="129" t="s">
        <v>25</v>
      </c>
      <c r="J28" s="118">
        <v>2096</v>
      </c>
      <c r="K28" s="118">
        <v>2096</v>
      </c>
      <c r="L28" s="118">
        <v>1592</v>
      </c>
      <c r="M28" s="118">
        <v>504</v>
      </c>
      <c r="N28" s="118">
        <v>0</v>
      </c>
    </row>
    <row r="29" spans="2:14" x14ac:dyDescent="0.2">
      <c r="B29" s="126" t="s">
        <v>1335</v>
      </c>
      <c r="C29" s="120">
        <v>289920</v>
      </c>
      <c r="D29" s="120">
        <v>368461</v>
      </c>
      <c r="E29" s="120">
        <v>176491</v>
      </c>
      <c r="F29" s="120">
        <v>70962</v>
      </c>
      <c r="G29" s="120">
        <v>121008</v>
      </c>
      <c r="I29" s="126" t="s">
        <v>1335</v>
      </c>
      <c r="J29" s="120">
        <v>245042</v>
      </c>
      <c r="K29" s="120">
        <v>296164</v>
      </c>
      <c r="L29" s="120">
        <v>154457</v>
      </c>
      <c r="M29" s="120">
        <v>61177</v>
      </c>
      <c r="N29" s="120">
        <v>80530</v>
      </c>
    </row>
    <row r="30" spans="2:14" x14ac:dyDescent="0.2">
      <c r="B30" s="129" t="s">
        <v>16</v>
      </c>
      <c r="C30" s="118">
        <v>110285</v>
      </c>
      <c r="D30" s="118">
        <v>167226</v>
      </c>
      <c r="E30" s="118">
        <v>38611</v>
      </c>
      <c r="F30" s="118">
        <v>36741</v>
      </c>
      <c r="G30" s="118">
        <v>91874</v>
      </c>
      <c r="I30" s="129" t="str">
        <f t="shared" ref="I30:I35" si="3">B30</f>
        <v>Empréstimos e financiamentos</v>
      </c>
      <c r="J30" s="118">
        <v>89721</v>
      </c>
      <c r="K30" s="118">
        <v>122880</v>
      </c>
      <c r="L30" s="118">
        <v>37701</v>
      </c>
      <c r="M30" s="118">
        <v>34342</v>
      </c>
      <c r="N30" s="118">
        <v>50837</v>
      </c>
    </row>
    <row r="31" spans="2:14" x14ac:dyDescent="0.2">
      <c r="B31" s="129" t="s">
        <v>1019</v>
      </c>
      <c r="C31" s="118">
        <v>88423</v>
      </c>
      <c r="D31" s="118">
        <v>111772</v>
      </c>
      <c r="E31" s="118">
        <v>40028</v>
      </c>
      <c r="F31" s="118">
        <v>43243</v>
      </c>
      <c r="G31" s="118">
        <v>28501</v>
      </c>
      <c r="I31" s="129" t="str">
        <f t="shared" si="3"/>
        <v>Arrendamento</v>
      </c>
      <c r="J31" s="118">
        <v>75721</v>
      </c>
      <c r="K31" s="118">
        <v>96388</v>
      </c>
      <c r="L31" s="118">
        <v>33864</v>
      </c>
      <c r="M31" s="118">
        <v>30904</v>
      </c>
      <c r="N31" s="118">
        <v>31620</v>
      </c>
    </row>
    <row r="32" spans="2:14" x14ac:dyDescent="0.2">
      <c r="B32" s="129" t="s">
        <v>164</v>
      </c>
      <c r="C32" s="118">
        <v>48147</v>
      </c>
      <c r="D32" s="118">
        <v>48147</v>
      </c>
      <c r="E32" s="118">
        <v>48147</v>
      </c>
      <c r="F32" s="118">
        <v>0</v>
      </c>
      <c r="G32" s="118">
        <v>0</v>
      </c>
      <c r="I32" s="129" t="str">
        <f t="shared" si="3"/>
        <v>Fornecedores e fretes a pagar</v>
      </c>
      <c r="J32" s="118">
        <v>40717</v>
      </c>
      <c r="K32" s="118">
        <v>40717</v>
      </c>
      <c r="L32" s="118">
        <v>40717</v>
      </c>
      <c r="M32" s="118">
        <v>0</v>
      </c>
      <c r="N32" s="118">
        <v>0</v>
      </c>
    </row>
    <row r="33" spans="2:14" x14ac:dyDescent="0.2">
      <c r="B33" s="129" t="s">
        <v>24</v>
      </c>
      <c r="C33" s="118">
        <v>41642</v>
      </c>
      <c r="D33" s="118">
        <v>41642</v>
      </c>
      <c r="E33" s="118">
        <v>41642</v>
      </c>
      <c r="F33" s="118">
        <v>0</v>
      </c>
      <c r="G33" s="118">
        <v>0</v>
      </c>
      <c r="I33" s="129" t="str">
        <f t="shared" si="3"/>
        <v>Demais contas a pagar</v>
      </c>
      <c r="J33" s="118">
        <v>35319</v>
      </c>
      <c r="K33" s="118">
        <v>35319</v>
      </c>
      <c r="L33" s="118">
        <v>35319</v>
      </c>
      <c r="M33" s="118">
        <v>0</v>
      </c>
      <c r="N33" s="118">
        <v>0</v>
      </c>
    </row>
    <row r="34" spans="2:14" x14ac:dyDescent="0.2">
      <c r="B34" s="129" t="s">
        <v>25</v>
      </c>
      <c r="C34" s="118">
        <v>1644</v>
      </c>
      <c r="D34" s="118">
        <v>1644</v>
      </c>
      <c r="E34" s="118">
        <v>1120</v>
      </c>
      <c r="F34" s="118">
        <v>524</v>
      </c>
      <c r="G34" s="118">
        <v>0</v>
      </c>
      <c r="I34" s="129" t="str">
        <f t="shared" si="3"/>
        <v>Partes relacionadas</v>
      </c>
      <c r="J34" s="118">
        <v>2152</v>
      </c>
      <c r="K34" s="118">
        <v>2152</v>
      </c>
      <c r="L34" s="118">
        <v>1648</v>
      </c>
      <c r="M34" s="118">
        <v>504</v>
      </c>
      <c r="N34" s="118">
        <v>0</v>
      </c>
    </row>
    <row r="35" spans="2:14" x14ac:dyDescent="0.2">
      <c r="B35" s="126" t="s">
        <v>1327</v>
      </c>
      <c r="C35" s="120">
        <f>SUM(C30:C34)</f>
        <v>290141</v>
      </c>
      <c r="D35" s="120">
        <f>SUM(D30:D34)</f>
        <v>370431</v>
      </c>
      <c r="E35" s="120">
        <f>SUM(E30:E34)</f>
        <v>169548</v>
      </c>
      <c r="F35" s="120">
        <f>SUM(F30:F34)</f>
        <v>80508</v>
      </c>
      <c r="G35" s="120">
        <f>SUM(G30:G34)</f>
        <v>120375</v>
      </c>
      <c r="I35" s="126" t="str">
        <f t="shared" si="3"/>
        <v>Em 31 março de 2025</v>
      </c>
      <c r="J35" s="120">
        <f>SUM(J30:J34)</f>
        <v>243630</v>
      </c>
      <c r="K35" s="120">
        <f>SUM(K30:K34)</f>
        <v>297456</v>
      </c>
      <c r="L35" s="120">
        <f>SUM(L30:L34)</f>
        <v>149249</v>
      </c>
      <c r="M35" s="120">
        <f>SUM(M30:M34)</f>
        <v>65750</v>
      </c>
      <c r="N35" s="120">
        <f>SUM(N30:N34)</f>
        <v>82457</v>
      </c>
    </row>
    <row r="36" spans="2:14" x14ac:dyDescent="0.2">
      <c r="B36" s="129" t="s">
        <v>16</v>
      </c>
      <c r="C36" s="118">
        <v>105996</v>
      </c>
      <c r="D36" s="118">
        <v>151975</v>
      </c>
      <c r="E36" s="118">
        <v>39131</v>
      </c>
      <c r="F36" s="118">
        <v>35452</v>
      </c>
      <c r="G36" s="118">
        <v>77392</v>
      </c>
      <c r="I36" s="129" t="str">
        <f t="shared" ref="I36:I41" si="4">B36</f>
        <v>Empréstimos e financiamentos</v>
      </c>
      <c r="J36" s="118">
        <v>85708</v>
      </c>
      <c r="K36" s="118">
        <v>110360</v>
      </c>
      <c r="L36" s="118">
        <v>36618</v>
      </c>
      <c r="M36" s="118">
        <v>32628</v>
      </c>
      <c r="N36" s="118">
        <v>41114</v>
      </c>
    </row>
    <row r="37" spans="2:14" x14ac:dyDescent="0.2">
      <c r="B37" s="129" t="s">
        <v>1019</v>
      </c>
      <c r="C37" s="118">
        <v>71077</v>
      </c>
      <c r="D37" s="118">
        <v>91717</v>
      </c>
      <c r="E37" s="118">
        <v>37539</v>
      </c>
      <c r="F37" s="118">
        <v>23394</v>
      </c>
      <c r="G37" s="118">
        <v>30784</v>
      </c>
      <c r="I37" s="129" t="str">
        <f t="shared" si="4"/>
        <v>Arrendamento</v>
      </c>
      <c r="J37" s="118">
        <v>78782</v>
      </c>
      <c r="K37" s="118">
        <v>98146</v>
      </c>
      <c r="L37" s="118">
        <v>39438</v>
      </c>
      <c r="M37" s="118">
        <v>24997</v>
      </c>
      <c r="N37" s="118">
        <v>33711</v>
      </c>
    </row>
    <row r="38" spans="2:14" x14ac:dyDescent="0.2">
      <c r="B38" s="129" t="s">
        <v>164</v>
      </c>
      <c r="C38" s="118">
        <v>62418</v>
      </c>
      <c r="D38" s="118">
        <v>62418</v>
      </c>
      <c r="E38" s="118">
        <v>62418</v>
      </c>
      <c r="F38" s="118">
        <v>0</v>
      </c>
      <c r="G38" s="118">
        <v>0</v>
      </c>
      <c r="I38" s="129" t="str">
        <f t="shared" si="4"/>
        <v>Fornecedores e fretes a pagar</v>
      </c>
      <c r="J38" s="118">
        <v>56755</v>
      </c>
      <c r="K38" s="118">
        <v>56755</v>
      </c>
      <c r="L38" s="118">
        <v>56755</v>
      </c>
      <c r="M38" s="118">
        <v>0</v>
      </c>
      <c r="N38" s="118">
        <v>0</v>
      </c>
    </row>
    <row r="39" spans="2:14" x14ac:dyDescent="0.2">
      <c r="B39" s="129" t="s">
        <v>24</v>
      </c>
      <c r="C39" s="118">
        <v>45780</v>
      </c>
      <c r="D39" s="118">
        <v>45780</v>
      </c>
      <c r="E39" s="118">
        <v>45780</v>
      </c>
      <c r="F39" s="118">
        <v>0</v>
      </c>
      <c r="G39" s="118">
        <v>0</v>
      </c>
      <c r="I39" s="129" t="str">
        <f t="shared" si="4"/>
        <v>Demais contas a pagar</v>
      </c>
      <c r="J39" s="118">
        <v>39441</v>
      </c>
      <c r="K39" s="118">
        <v>39441</v>
      </c>
      <c r="L39" s="118">
        <v>39441</v>
      </c>
      <c r="M39" s="118">
        <v>0</v>
      </c>
      <c r="N39" s="118">
        <v>0</v>
      </c>
    </row>
    <row r="40" spans="2:14" x14ac:dyDescent="0.2">
      <c r="B40" s="129" t="s">
        <v>25</v>
      </c>
      <c r="C40" s="118">
        <v>1185</v>
      </c>
      <c r="D40" s="118">
        <v>1185</v>
      </c>
      <c r="E40" s="118">
        <v>661</v>
      </c>
      <c r="F40" s="118">
        <v>524</v>
      </c>
      <c r="G40" s="118">
        <v>0</v>
      </c>
      <c r="I40" s="129" t="str">
        <f t="shared" si="4"/>
        <v>Partes relacionadas</v>
      </c>
      <c r="J40" s="118">
        <v>1713</v>
      </c>
      <c r="K40" s="118">
        <v>1713</v>
      </c>
      <c r="L40" s="118">
        <v>1209</v>
      </c>
      <c r="M40" s="118">
        <v>504</v>
      </c>
      <c r="N40" s="118">
        <v>0</v>
      </c>
    </row>
    <row r="41" spans="2:14" x14ac:dyDescent="0.2">
      <c r="B41" s="126" t="s">
        <v>1308</v>
      </c>
      <c r="C41" s="120">
        <f>SUM(C36:C40)</f>
        <v>286456</v>
      </c>
      <c r="D41" s="120">
        <f>SUM(D36:D40)</f>
        <v>353075</v>
      </c>
      <c r="E41" s="120">
        <f>SUM(E36:E40)</f>
        <v>185529</v>
      </c>
      <c r="F41" s="120">
        <f>SUM(F36:F40)</f>
        <v>59370</v>
      </c>
      <c r="G41" s="120">
        <f>SUM(G36:G40)</f>
        <v>108176</v>
      </c>
      <c r="I41" s="126" t="str">
        <f t="shared" si="4"/>
        <v>Em 30 de dezembro de 2024</v>
      </c>
      <c r="J41" s="120">
        <f>SUM(J36:J40)</f>
        <v>262399</v>
      </c>
      <c r="K41" s="120">
        <f>SUM(K36:K40)</f>
        <v>306415</v>
      </c>
      <c r="L41" s="120">
        <f>SUM(L36:L40)</f>
        <v>173461</v>
      </c>
      <c r="M41" s="120">
        <f>SUM(M36:M40)</f>
        <v>58129</v>
      </c>
      <c r="N41" s="120">
        <f>SUM(N36:N40)</f>
        <v>74825</v>
      </c>
    </row>
    <row r="42" spans="2:14" x14ac:dyDescent="0.2">
      <c r="B42" s="129" t="s">
        <v>16</v>
      </c>
      <c r="C42" s="118">
        <v>105996</v>
      </c>
      <c r="D42" s="118">
        <v>151975</v>
      </c>
      <c r="E42" s="118">
        <v>39131</v>
      </c>
      <c r="F42" s="118">
        <v>35452</v>
      </c>
      <c r="G42" s="118">
        <v>77392</v>
      </c>
      <c r="I42" s="129" t="str">
        <f t="shared" si="2"/>
        <v>Empréstimos e financiamentos</v>
      </c>
      <c r="J42" s="118">
        <v>85708</v>
      </c>
      <c r="K42" s="118">
        <v>110360</v>
      </c>
      <c r="L42" s="118">
        <v>36618</v>
      </c>
      <c r="M42" s="118">
        <v>32628</v>
      </c>
      <c r="N42" s="118">
        <v>41114</v>
      </c>
    </row>
    <row r="43" spans="2:14" x14ac:dyDescent="0.2">
      <c r="B43" s="129" t="s">
        <v>1019</v>
      </c>
      <c r="C43" s="118">
        <v>68195</v>
      </c>
      <c r="D43" s="118">
        <v>72723</v>
      </c>
      <c r="E43" s="118">
        <v>29663</v>
      </c>
      <c r="F43" s="118">
        <v>21721</v>
      </c>
      <c r="G43" s="118">
        <v>21339</v>
      </c>
      <c r="I43" s="129" t="str">
        <f t="shared" si="2"/>
        <v>Arrendamento</v>
      </c>
      <c r="J43" s="118">
        <v>75900</v>
      </c>
      <c r="K43" s="118">
        <v>77518</v>
      </c>
      <c r="L43" s="118">
        <v>28939</v>
      </c>
      <c r="M43" s="118">
        <v>23459</v>
      </c>
      <c r="N43" s="118">
        <v>25120</v>
      </c>
    </row>
    <row r="44" spans="2:14" x14ac:dyDescent="0.2">
      <c r="B44" s="129" t="s">
        <v>164</v>
      </c>
      <c r="C44" s="118">
        <v>59614</v>
      </c>
      <c r="D44" s="118">
        <v>59614</v>
      </c>
      <c r="E44" s="118">
        <v>59614</v>
      </c>
      <c r="F44" s="118">
        <v>0</v>
      </c>
      <c r="G44" s="118">
        <v>0</v>
      </c>
      <c r="I44" s="129" t="str">
        <f t="shared" si="2"/>
        <v>Fornecedores e fretes a pagar</v>
      </c>
      <c r="J44" s="118">
        <v>53951</v>
      </c>
      <c r="K44" s="118">
        <v>53951</v>
      </c>
      <c r="L44" s="118">
        <v>53951</v>
      </c>
      <c r="M44" s="118">
        <v>0</v>
      </c>
      <c r="N44" s="118">
        <v>0</v>
      </c>
    </row>
    <row r="45" spans="2:14" x14ac:dyDescent="0.2">
      <c r="B45" s="129" t="s">
        <v>24</v>
      </c>
      <c r="C45" s="118">
        <v>52870</v>
      </c>
      <c r="D45" s="118">
        <v>52870</v>
      </c>
      <c r="E45" s="118">
        <v>52870</v>
      </c>
      <c r="F45" s="118">
        <v>0</v>
      </c>
      <c r="G45" s="118">
        <v>0</v>
      </c>
      <c r="I45" s="129" t="str">
        <f t="shared" si="2"/>
        <v>Demais contas a pagar</v>
      </c>
      <c r="J45" s="118">
        <v>46531</v>
      </c>
      <c r="K45" s="118">
        <v>46531</v>
      </c>
      <c r="L45" s="118">
        <v>46531</v>
      </c>
      <c r="M45" s="118">
        <v>0</v>
      </c>
      <c r="N45" s="118">
        <v>0</v>
      </c>
    </row>
    <row r="46" spans="2:14" x14ac:dyDescent="0.2">
      <c r="B46" s="129" t="s">
        <v>25</v>
      </c>
      <c r="C46" s="118">
        <v>1185</v>
      </c>
      <c r="D46" s="118">
        <v>1185</v>
      </c>
      <c r="E46" s="118">
        <v>661</v>
      </c>
      <c r="F46" s="118">
        <v>524</v>
      </c>
      <c r="G46" s="118">
        <v>0</v>
      </c>
      <c r="I46" s="129" t="str">
        <f t="shared" si="2"/>
        <v>Partes relacionadas</v>
      </c>
      <c r="J46" s="118">
        <v>1713</v>
      </c>
      <c r="K46" s="118">
        <v>1713</v>
      </c>
      <c r="L46" s="118">
        <v>1209</v>
      </c>
      <c r="M46" s="118">
        <v>504</v>
      </c>
      <c r="N46" s="118">
        <v>0</v>
      </c>
    </row>
    <row r="47" spans="2:14" x14ac:dyDescent="0.2">
      <c r="B47" s="126" t="s">
        <v>1293</v>
      </c>
      <c r="C47" s="120">
        <f>SUM(C42:C46)</f>
        <v>287860</v>
      </c>
      <c r="D47" s="120">
        <f>SUM(D42:D46)</f>
        <v>338367</v>
      </c>
      <c r="E47" s="120">
        <f>SUM(E42:E46)</f>
        <v>181939</v>
      </c>
      <c r="F47" s="120">
        <f>SUM(F42:F46)</f>
        <v>57697</v>
      </c>
      <c r="G47" s="120">
        <f>SUM(G42:G46)</f>
        <v>98731</v>
      </c>
      <c r="I47" s="126" t="str">
        <f t="shared" si="2"/>
        <v>Em 30 de setembro de 2024</v>
      </c>
      <c r="J47" s="120">
        <v>263803</v>
      </c>
      <c r="K47" s="120">
        <v>290073</v>
      </c>
      <c r="L47" s="120">
        <v>167248</v>
      </c>
      <c r="M47" s="120">
        <v>56591</v>
      </c>
      <c r="N47" s="120">
        <v>66234</v>
      </c>
    </row>
    <row r="48" spans="2:14" x14ac:dyDescent="0.2">
      <c r="B48" s="129" t="s">
        <v>16</v>
      </c>
      <c r="C48" s="118">
        <v>105966</v>
      </c>
      <c r="D48" s="118">
        <v>156807</v>
      </c>
      <c r="E48" s="118">
        <v>14299</v>
      </c>
      <c r="F48" s="118">
        <v>37282</v>
      </c>
      <c r="G48" s="118">
        <v>105226</v>
      </c>
      <c r="I48" s="129" t="str">
        <f t="shared" si="2"/>
        <v>Empréstimos e financiamentos</v>
      </c>
      <c r="J48" s="118">
        <v>85634</v>
      </c>
      <c r="K48" s="118">
        <v>115172</v>
      </c>
      <c r="L48" s="118">
        <v>11855</v>
      </c>
      <c r="M48" s="118">
        <v>34916</v>
      </c>
      <c r="N48" s="118">
        <v>68401</v>
      </c>
    </row>
    <row r="49" spans="2:14" x14ac:dyDescent="0.2">
      <c r="B49" s="129" t="s">
        <v>1019</v>
      </c>
      <c r="C49" s="118">
        <v>67477</v>
      </c>
      <c r="D49" s="118">
        <v>82758</v>
      </c>
      <c r="E49" s="118">
        <v>33679</v>
      </c>
      <c r="F49" s="118">
        <v>22582</v>
      </c>
      <c r="G49" s="118">
        <v>26497</v>
      </c>
      <c r="I49" s="129" t="str">
        <f t="shared" si="2"/>
        <v>Arrendamento</v>
      </c>
      <c r="J49" s="118">
        <v>72095</v>
      </c>
      <c r="K49" s="118">
        <v>90166</v>
      </c>
      <c r="L49" s="118">
        <v>32609</v>
      </c>
      <c r="M49" s="118">
        <v>25628</v>
      </c>
      <c r="N49" s="118">
        <v>31929</v>
      </c>
    </row>
    <row r="50" spans="2:14" x14ac:dyDescent="0.2">
      <c r="B50" s="129" t="s">
        <v>164</v>
      </c>
      <c r="C50" s="118">
        <v>54715</v>
      </c>
      <c r="D50" s="118">
        <v>54715</v>
      </c>
      <c r="E50" s="118">
        <v>54715</v>
      </c>
      <c r="F50" s="118">
        <v>0</v>
      </c>
      <c r="G50" s="118">
        <v>0</v>
      </c>
      <c r="I50" s="129" t="str">
        <f t="shared" si="2"/>
        <v>Fornecedores e fretes a pagar</v>
      </c>
      <c r="J50" s="118">
        <v>44198</v>
      </c>
      <c r="K50" s="118">
        <v>44198</v>
      </c>
      <c r="L50" s="118">
        <v>44198</v>
      </c>
      <c r="M50" s="118">
        <v>0</v>
      </c>
      <c r="N50" s="118">
        <v>0</v>
      </c>
    </row>
    <row r="51" spans="2:14" x14ac:dyDescent="0.2">
      <c r="B51" s="129" t="s">
        <v>24</v>
      </c>
      <c r="C51" s="118">
        <v>34519</v>
      </c>
      <c r="D51" s="118">
        <v>34519</v>
      </c>
      <c r="E51" s="118">
        <v>34519</v>
      </c>
      <c r="F51" s="118">
        <v>0</v>
      </c>
      <c r="G51" s="118">
        <v>0</v>
      </c>
      <c r="I51" s="129" t="str">
        <f t="shared" si="2"/>
        <v>Demais contas a pagar</v>
      </c>
      <c r="J51" s="118">
        <v>29252</v>
      </c>
      <c r="K51" s="118">
        <v>29252</v>
      </c>
      <c r="L51" s="118">
        <v>29252</v>
      </c>
      <c r="M51" s="118">
        <v>0</v>
      </c>
      <c r="N51" s="118">
        <v>0</v>
      </c>
    </row>
    <row r="52" spans="2:14" x14ac:dyDescent="0.2">
      <c r="B52" s="129" t="s">
        <v>25</v>
      </c>
      <c r="C52" s="118">
        <v>1418</v>
      </c>
      <c r="D52" s="118">
        <v>1418</v>
      </c>
      <c r="E52" s="118">
        <v>894</v>
      </c>
      <c r="F52" s="118">
        <v>524</v>
      </c>
      <c r="G52" s="118">
        <v>0</v>
      </c>
      <c r="I52" s="129" t="str">
        <f t="shared" si="2"/>
        <v>Partes relacionadas</v>
      </c>
      <c r="J52" s="118">
        <v>1827</v>
      </c>
      <c r="K52" s="118">
        <v>1827</v>
      </c>
      <c r="L52" s="118">
        <v>1323</v>
      </c>
      <c r="M52" s="118">
        <v>504</v>
      </c>
      <c r="N52" s="118">
        <v>0</v>
      </c>
    </row>
    <row r="53" spans="2:14" x14ac:dyDescent="0.2">
      <c r="B53" s="126" t="s">
        <v>1273</v>
      </c>
      <c r="C53" s="120">
        <f>SUM(C48:C52)</f>
        <v>264095</v>
      </c>
      <c r="D53" s="120">
        <f>SUM(D48:D52)</f>
        <v>330217</v>
      </c>
      <c r="E53" s="120">
        <f>SUM(E48:E52)</f>
        <v>138106</v>
      </c>
      <c r="F53" s="120">
        <f>SUM(F48:F52)</f>
        <v>60388</v>
      </c>
      <c r="G53" s="120">
        <f>SUM(G48:G52)</f>
        <v>131723</v>
      </c>
      <c r="I53" s="126" t="str">
        <f t="shared" si="2"/>
        <v>Em 30 de junho de 2024</v>
      </c>
      <c r="J53" s="120">
        <f>SUM(J48:J52)</f>
        <v>233006</v>
      </c>
      <c r="K53" s="120">
        <f>SUM(K48:K52)</f>
        <v>280615</v>
      </c>
      <c r="L53" s="120">
        <f>SUM(L48:L52)</f>
        <v>119237</v>
      </c>
      <c r="M53" s="120">
        <f>SUM(M48:M52)</f>
        <v>61048</v>
      </c>
      <c r="N53" s="120">
        <f>SUM(N48:N52)</f>
        <v>100330</v>
      </c>
    </row>
    <row r="54" spans="2:14" x14ac:dyDescent="0.2">
      <c r="B54" s="129" t="s">
        <v>16</v>
      </c>
      <c r="C54" s="118">
        <v>107217</v>
      </c>
      <c r="D54" s="118">
        <v>152183</v>
      </c>
      <c r="E54" s="118">
        <v>24137</v>
      </c>
      <c r="F54" s="118">
        <v>36269</v>
      </c>
      <c r="G54" s="118">
        <v>91777</v>
      </c>
      <c r="I54" s="129" t="str">
        <f t="shared" si="2"/>
        <v>Empréstimos e financiamentos</v>
      </c>
      <c r="J54" s="118">
        <v>95722</v>
      </c>
      <c r="K54" s="118">
        <v>128440</v>
      </c>
      <c r="L54" s="118">
        <v>22730</v>
      </c>
      <c r="M54" s="118">
        <v>34900</v>
      </c>
      <c r="N54" s="118">
        <v>70810</v>
      </c>
    </row>
    <row r="55" spans="2:14" x14ac:dyDescent="0.2">
      <c r="B55" s="129" t="s">
        <v>1019</v>
      </c>
      <c r="C55" s="118">
        <v>66175</v>
      </c>
      <c r="D55" s="118">
        <v>81422</v>
      </c>
      <c r="E55" s="118">
        <v>33685</v>
      </c>
      <c r="F55" s="118">
        <v>21645</v>
      </c>
      <c r="G55" s="118">
        <v>26092</v>
      </c>
      <c r="I55" s="129" t="str">
        <f t="shared" si="2"/>
        <v>Arrendamento</v>
      </c>
      <c r="J55" s="118">
        <v>65625</v>
      </c>
      <c r="K55" s="118">
        <v>82892</v>
      </c>
      <c r="L55" s="118">
        <v>29242</v>
      </c>
      <c r="M55" s="118">
        <v>22973</v>
      </c>
      <c r="N55" s="118">
        <v>30677</v>
      </c>
    </row>
    <row r="56" spans="2:14" x14ac:dyDescent="0.2">
      <c r="B56" s="129" t="s">
        <v>164</v>
      </c>
      <c r="C56" s="118">
        <v>45666</v>
      </c>
      <c r="D56" s="118">
        <v>45666</v>
      </c>
      <c r="E56" s="118">
        <v>45666</v>
      </c>
      <c r="F56" s="118">
        <v>0</v>
      </c>
      <c r="G56" s="118">
        <v>0</v>
      </c>
      <c r="I56" s="129" t="str">
        <f t="shared" ref="I56:I72" si="5">B56</f>
        <v>Fornecedores e fretes a pagar</v>
      </c>
      <c r="J56" s="118">
        <v>34620</v>
      </c>
      <c r="K56" s="118">
        <v>34620</v>
      </c>
      <c r="L56" s="118">
        <v>34620</v>
      </c>
      <c r="M56" s="118">
        <v>0</v>
      </c>
      <c r="N56" s="118">
        <v>0</v>
      </c>
    </row>
    <row r="57" spans="2:14" x14ac:dyDescent="0.2">
      <c r="B57" s="129" t="s">
        <v>24</v>
      </c>
      <c r="C57" s="118">
        <v>30730</v>
      </c>
      <c r="D57" s="118">
        <v>30730</v>
      </c>
      <c r="E57" s="118">
        <v>30730</v>
      </c>
      <c r="F57" s="118">
        <v>0</v>
      </c>
      <c r="G57" s="118">
        <v>0</v>
      </c>
      <c r="I57" s="129" t="str">
        <f t="shared" si="5"/>
        <v>Demais contas a pagar</v>
      </c>
      <c r="J57" s="118">
        <v>24216</v>
      </c>
      <c r="K57" s="118">
        <v>24216</v>
      </c>
      <c r="L57" s="118">
        <v>24216</v>
      </c>
      <c r="M57" s="118">
        <v>0</v>
      </c>
      <c r="N57" s="118">
        <v>0</v>
      </c>
    </row>
    <row r="58" spans="2:14" x14ac:dyDescent="0.2">
      <c r="B58" s="129" t="s">
        <v>25</v>
      </c>
      <c r="C58" s="118">
        <v>1679</v>
      </c>
      <c r="D58" s="118">
        <v>1679</v>
      </c>
      <c r="E58" s="118">
        <v>1155</v>
      </c>
      <c r="F58" s="118">
        <v>524</v>
      </c>
      <c r="G58" s="118">
        <v>0</v>
      </c>
      <c r="I58" s="129" t="str">
        <f t="shared" si="5"/>
        <v>Partes relacionadas</v>
      </c>
      <c r="J58" s="118">
        <v>2041</v>
      </c>
      <c r="K58" s="118">
        <v>2041</v>
      </c>
      <c r="L58" s="118">
        <v>1537</v>
      </c>
      <c r="M58" s="118">
        <v>504</v>
      </c>
      <c r="N58" s="118">
        <v>0</v>
      </c>
    </row>
    <row r="59" spans="2:14" x14ac:dyDescent="0.2">
      <c r="B59" s="126" t="s">
        <v>1262</v>
      </c>
      <c r="C59" s="120">
        <f>+SUM(C54:C58)</f>
        <v>251467</v>
      </c>
      <c r="D59" s="120">
        <f>+SUM(D54:D58)</f>
        <v>311680</v>
      </c>
      <c r="E59" s="120">
        <f>+SUM(E54:E58)</f>
        <v>135373</v>
      </c>
      <c r="F59" s="120">
        <f>+SUM(F54:F58)</f>
        <v>58438</v>
      </c>
      <c r="G59" s="120">
        <f>+SUM(G54:G58)</f>
        <v>117869</v>
      </c>
      <c r="I59" s="126" t="str">
        <f t="shared" si="5"/>
        <v>Em 31 de março de 2024</v>
      </c>
      <c r="J59" s="120">
        <f>+SUM(J54:J58)</f>
        <v>222224</v>
      </c>
      <c r="K59" s="120">
        <f>+SUM(K54:K58)</f>
        <v>272209</v>
      </c>
      <c r="L59" s="120">
        <f>+SUM(L54:L58)</f>
        <v>112345</v>
      </c>
      <c r="M59" s="120">
        <f>+SUM(M54:M58)</f>
        <v>58377</v>
      </c>
      <c r="N59" s="120">
        <f>+SUM(N54:N58)</f>
        <v>101487</v>
      </c>
    </row>
    <row r="60" spans="2:14" x14ac:dyDescent="0.2">
      <c r="B60" s="129" t="s">
        <v>16</v>
      </c>
      <c r="C60" s="121" t="s">
        <v>1282</v>
      </c>
      <c r="D60" s="121" t="s">
        <v>1282</v>
      </c>
      <c r="E60" s="118">
        <v>20811</v>
      </c>
      <c r="F60" s="118">
        <v>36295</v>
      </c>
      <c r="G60" s="118">
        <v>66569</v>
      </c>
      <c r="I60" s="129" t="str">
        <f t="shared" si="5"/>
        <v>Empréstimos e financiamentos</v>
      </c>
      <c r="J60" s="121" t="s">
        <v>160</v>
      </c>
      <c r="K60" s="121" t="s">
        <v>160</v>
      </c>
      <c r="L60" s="118">
        <v>20811</v>
      </c>
      <c r="M60" s="118">
        <v>36295</v>
      </c>
      <c r="N60" s="118">
        <v>66569</v>
      </c>
    </row>
    <row r="61" spans="2:14" x14ac:dyDescent="0.2">
      <c r="B61" s="129" t="s">
        <v>164</v>
      </c>
      <c r="C61" s="121" t="s">
        <v>1282</v>
      </c>
      <c r="D61" s="121" t="s">
        <v>1282</v>
      </c>
      <c r="E61" s="118">
        <v>49620</v>
      </c>
      <c r="F61" s="118">
        <v>0</v>
      </c>
      <c r="G61" s="118">
        <v>0</v>
      </c>
      <c r="I61" s="129" t="str">
        <f t="shared" si="5"/>
        <v>Fornecedores e fretes a pagar</v>
      </c>
      <c r="J61" s="121" t="s">
        <v>160</v>
      </c>
      <c r="K61" s="121" t="s">
        <v>160</v>
      </c>
      <c r="L61" s="118">
        <v>39751</v>
      </c>
      <c r="M61" s="118">
        <v>0</v>
      </c>
      <c r="N61" s="118">
        <v>0</v>
      </c>
    </row>
    <row r="62" spans="2:14" x14ac:dyDescent="0.2">
      <c r="B62" s="129" t="s">
        <v>24</v>
      </c>
      <c r="C62" s="121" t="s">
        <v>1282</v>
      </c>
      <c r="D62" s="121" t="s">
        <v>1282</v>
      </c>
      <c r="E62" s="118">
        <v>36632</v>
      </c>
      <c r="F62" s="118">
        <v>0</v>
      </c>
      <c r="G62" s="118">
        <v>0</v>
      </c>
      <c r="I62" s="129" t="str">
        <f t="shared" si="5"/>
        <v>Demais contas a pagar</v>
      </c>
      <c r="J62" s="121" t="s">
        <v>160</v>
      </c>
      <c r="K62" s="121" t="s">
        <v>160</v>
      </c>
      <c r="L62" s="118">
        <v>29766</v>
      </c>
      <c r="M62" s="118">
        <v>0</v>
      </c>
      <c r="N62" s="118">
        <v>0</v>
      </c>
    </row>
    <row r="63" spans="2:14" x14ac:dyDescent="0.2">
      <c r="B63" s="129" t="s">
        <v>1019</v>
      </c>
      <c r="C63" s="121" t="s">
        <v>1282</v>
      </c>
      <c r="D63" s="121" t="s">
        <v>1282</v>
      </c>
      <c r="E63" s="118">
        <v>37128</v>
      </c>
      <c r="F63" s="118">
        <v>19927</v>
      </c>
      <c r="G63" s="118">
        <v>30586</v>
      </c>
      <c r="I63" s="129" t="str">
        <f t="shared" si="5"/>
        <v>Arrendamento</v>
      </c>
      <c r="J63" s="121" t="s">
        <v>160</v>
      </c>
      <c r="K63" s="121" t="s">
        <v>160</v>
      </c>
      <c r="L63" s="118">
        <v>30781</v>
      </c>
      <c r="M63" s="118">
        <v>20944</v>
      </c>
      <c r="N63" s="118">
        <v>35254</v>
      </c>
    </row>
    <row r="64" spans="2:14" x14ac:dyDescent="0.2">
      <c r="B64" s="129" t="s">
        <v>25</v>
      </c>
      <c r="C64" s="121" t="s">
        <v>1282</v>
      </c>
      <c r="D64" s="121" t="s">
        <v>1282</v>
      </c>
      <c r="E64" s="118">
        <v>731</v>
      </c>
      <c r="F64" s="118">
        <v>524</v>
      </c>
      <c r="G64" s="118">
        <v>0</v>
      </c>
      <c r="I64" s="129" t="str">
        <f t="shared" si="5"/>
        <v>Partes relacionadas</v>
      </c>
      <c r="J64" s="121" t="s">
        <v>160</v>
      </c>
      <c r="K64" s="121" t="s">
        <v>160</v>
      </c>
      <c r="L64" s="118">
        <v>1316</v>
      </c>
      <c r="M64" s="118">
        <v>504</v>
      </c>
      <c r="N64" s="118">
        <v>0</v>
      </c>
    </row>
    <row r="65" spans="2:14" x14ac:dyDescent="0.2">
      <c r="B65" s="126" t="s">
        <v>1245</v>
      </c>
      <c r="C65" s="120" t="s">
        <v>1282</v>
      </c>
      <c r="D65" s="120" t="s">
        <v>1282</v>
      </c>
      <c r="E65" s="120">
        <f>SUM(E60:E64)</f>
        <v>144922</v>
      </c>
      <c r="F65" s="120">
        <f>SUM(F60:F64)</f>
        <v>56746</v>
      </c>
      <c r="G65" s="120">
        <f>SUM(G60:G64)</f>
        <v>97155</v>
      </c>
      <c r="I65" s="126" t="str">
        <f t="shared" si="5"/>
        <v>Em 31 de dezembro de 2023</v>
      </c>
      <c r="J65" s="120" t="s">
        <v>160</v>
      </c>
      <c r="K65" s="120" t="s">
        <v>160</v>
      </c>
      <c r="L65" s="120">
        <f>SUM(L60:L64)</f>
        <v>122425</v>
      </c>
      <c r="M65" s="120">
        <f>SUM(M60:M64)</f>
        <v>57743</v>
      </c>
      <c r="N65" s="120">
        <f>SUM(N60:N64)</f>
        <v>101823</v>
      </c>
    </row>
    <row r="66" spans="2:14" x14ac:dyDescent="0.2">
      <c r="B66" s="129" t="s">
        <v>16</v>
      </c>
      <c r="C66" s="121" t="s">
        <v>1282</v>
      </c>
      <c r="D66" s="121" t="s">
        <v>1282</v>
      </c>
      <c r="E66" s="118">
        <v>21505</v>
      </c>
      <c r="F66" s="118">
        <v>37278</v>
      </c>
      <c r="G66" s="118">
        <v>69721</v>
      </c>
      <c r="I66" s="129" t="str">
        <f t="shared" si="5"/>
        <v>Empréstimos e financiamentos</v>
      </c>
      <c r="J66" s="121" t="s">
        <v>160</v>
      </c>
      <c r="K66" s="121" t="s">
        <v>160</v>
      </c>
      <c r="L66" s="118">
        <v>21505</v>
      </c>
      <c r="M66" s="118">
        <v>37278</v>
      </c>
      <c r="N66" s="118">
        <v>69721</v>
      </c>
    </row>
    <row r="67" spans="2:14" x14ac:dyDescent="0.2">
      <c r="B67" s="129" t="s">
        <v>164</v>
      </c>
      <c r="C67" s="121" t="s">
        <v>1282</v>
      </c>
      <c r="D67" s="121" t="s">
        <v>1282</v>
      </c>
      <c r="E67" s="118">
        <v>43470</v>
      </c>
      <c r="F67" s="118">
        <v>0</v>
      </c>
      <c r="G67" s="118">
        <v>0</v>
      </c>
      <c r="I67" s="129" t="str">
        <f t="shared" si="5"/>
        <v>Fornecedores e fretes a pagar</v>
      </c>
      <c r="J67" s="121" t="s">
        <v>160</v>
      </c>
      <c r="K67" s="121" t="s">
        <v>160</v>
      </c>
      <c r="L67" s="118">
        <v>33351</v>
      </c>
      <c r="M67" s="118">
        <v>0</v>
      </c>
      <c r="N67" s="118">
        <v>0</v>
      </c>
    </row>
    <row r="68" spans="2:14" x14ac:dyDescent="0.2">
      <c r="B68" s="129" t="s">
        <v>24</v>
      </c>
      <c r="C68" s="121" t="s">
        <v>1282</v>
      </c>
      <c r="D68" s="121" t="s">
        <v>1282</v>
      </c>
      <c r="E68" s="118">
        <v>29824</v>
      </c>
      <c r="F68" s="118">
        <v>0</v>
      </c>
      <c r="G68" s="118">
        <v>0</v>
      </c>
      <c r="I68" s="129" t="str">
        <f t="shared" si="5"/>
        <v>Demais contas a pagar</v>
      </c>
      <c r="J68" s="121" t="s">
        <v>160</v>
      </c>
      <c r="K68" s="121" t="s">
        <v>160</v>
      </c>
      <c r="L68" s="118">
        <v>22423</v>
      </c>
      <c r="M68" s="118">
        <v>0</v>
      </c>
      <c r="N68" s="118">
        <v>0</v>
      </c>
    </row>
    <row r="69" spans="2:14" x14ac:dyDescent="0.2">
      <c r="B69" s="129" t="s">
        <v>1019</v>
      </c>
      <c r="C69" s="121" t="s">
        <v>1282</v>
      </c>
      <c r="D69" s="121" t="s">
        <v>1282</v>
      </c>
      <c r="E69" s="118">
        <v>35192</v>
      </c>
      <c r="F69" s="118">
        <v>22648</v>
      </c>
      <c r="G69" s="118">
        <v>34159</v>
      </c>
      <c r="I69" s="129" t="str">
        <f t="shared" si="5"/>
        <v>Arrendamento</v>
      </c>
      <c r="J69" s="121" t="s">
        <v>160</v>
      </c>
      <c r="K69" s="121" t="s">
        <v>160</v>
      </c>
      <c r="L69" s="118">
        <v>29364</v>
      </c>
      <c r="M69" s="118">
        <v>22360</v>
      </c>
      <c r="N69" s="118">
        <v>39944</v>
      </c>
    </row>
    <row r="70" spans="2:14" x14ac:dyDescent="0.2">
      <c r="B70" s="129" t="s">
        <v>25</v>
      </c>
      <c r="C70" s="121" t="s">
        <v>1282</v>
      </c>
      <c r="D70" s="121" t="s">
        <v>1282</v>
      </c>
      <c r="E70" s="118">
        <v>656</v>
      </c>
      <c r="F70" s="118">
        <v>524</v>
      </c>
      <c r="G70" s="118">
        <v>0</v>
      </c>
      <c r="I70" s="129" t="str">
        <f t="shared" si="5"/>
        <v>Partes relacionadas</v>
      </c>
      <c r="J70" s="121" t="s">
        <v>160</v>
      </c>
      <c r="K70" s="121" t="s">
        <v>160</v>
      </c>
      <c r="L70" s="118">
        <v>1044</v>
      </c>
      <c r="M70" s="118">
        <v>504</v>
      </c>
      <c r="N70" s="118">
        <v>0</v>
      </c>
    </row>
    <row r="71" spans="2:14" x14ac:dyDescent="0.2">
      <c r="B71" s="126" t="s">
        <v>1223</v>
      </c>
      <c r="C71" s="120" t="s">
        <v>1282</v>
      </c>
      <c r="D71" s="120" t="s">
        <v>1282</v>
      </c>
      <c r="E71" s="120">
        <f>SUM(E66:E70)</f>
        <v>130647</v>
      </c>
      <c r="F71" s="120">
        <f>SUM(F66:F70)</f>
        <v>60450</v>
      </c>
      <c r="G71" s="120">
        <f>SUM(G66:G70)</f>
        <v>103880</v>
      </c>
      <c r="I71" s="126" t="str">
        <f t="shared" si="5"/>
        <v>Em 30 de setembros de 2023</v>
      </c>
      <c r="J71" s="120" t="s">
        <v>160</v>
      </c>
      <c r="K71" s="120" t="s">
        <v>160</v>
      </c>
      <c r="L71" s="120">
        <f>SUM(L66:L70)</f>
        <v>107687</v>
      </c>
      <c r="M71" s="120">
        <f>SUM(M66:M70)</f>
        <v>60142</v>
      </c>
      <c r="N71" s="120">
        <f>SUM(N66:N70)</f>
        <v>109665</v>
      </c>
    </row>
    <row r="72" spans="2:14" x14ac:dyDescent="0.2">
      <c r="B72" s="129" t="s">
        <v>16</v>
      </c>
      <c r="C72" s="121" t="s">
        <v>1282</v>
      </c>
      <c r="D72" s="121" t="s">
        <v>1282</v>
      </c>
      <c r="E72" s="118">
        <v>64763</v>
      </c>
      <c r="F72" s="118">
        <v>6730</v>
      </c>
      <c r="G72" s="118">
        <v>47119</v>
      </c>
      <c r="I72" s="129" t="str">
        <f t="shared" si="5"/>
        <v>Empréstimos e financiamentos</v>
      </c>
      <c r="J72" s="121" t="s">
        <v>160</v>
      </c>
      <c r="K72" s="121" t="s">
        <v>160</v>
      </c>
      <c r="L72" s="118">
        <v>64763</v>
      </c>
      <c r="M72" s="118">
        <v>6730</v>
      </c>
      <c r="N72" s="118">
        <v>47119</v>
      </c>
    </row>
    <row r="73" spans="2:14" x14ac:dyDescent="0.2">
      <c r="B73" s="129" t="s">
        <v>23</v>
      </c>
      <c r="C73" s="121" t="s">
        <v>1282</v>
      </c>
      <c r="D73" s="121" t="s">
        <v>1282</v>
      </c>
      <c r="E73" s="118">
        <v>0</v>
      </c>
      <c r="F73" s="118">
        <v>0</v>
      </c>
      <c r="G73" s="118">
        <v>0</v>
      </c>
      <c r="I73" s="129" t="str">
        <f t="shared" ref="I73:I78" si="6">B73</f>
        <v>Debêntures</v>
      </c>
      <c r="J73" s="121" t="s">
        <v>160</v>
      </c>
      <c r="K73" s="121" t="s">
        <v>160</v>
      </c>
      <c r="L73" s="118">
        <v>0</v>
      </c>
      <c r="M73" s="118">
        <v>0</v>
      </c>
      <c r="N73" s="118">
        <v>0</v>
      </c>
    </row>
    <row r="74" spans="2:14" x14ac:dyDescent="0.2">
      <c r="B74" s="129" t="s">
        <v>164</v>
      </c>
      <c r="C74" s="121" t="s">
        <v>1282</v>
      </c>
      <c r="D74" s="121" t="s">
        <v>1282</v>
      </c>
      <c r="E74" s="118">
        <v>36160</v>
      </c>
      <c r="F74" s="118">
        <v>0</v>
      </c>
      <c r="G74" s="118">
        <v>0</v>
      </c>
      <c r="I74" s="129" t="str">
        <f t="shared" si="6"/>
        <v>Fornecedores e fretes a pagar</v>
      </c>
      <c r="J74" s="121" t="s">
        <v>160</v>
      </c>
      <c r="K74" s="121" t="s">
        <v>160</v>
      </c>
      <c r="L74" s="118">
        <v>0</v>
      </c>
      <c r="M74" s="118">
        <v>0</v>
      </c>
      <c r="N74" s="118">
        <v>0</v>
      </c>
    </row>
    <row r="75" spans="2:14" x14ac:dyDescent="0.2">
      <c r="B75" s="129" t="s">
        <v>24</v>
      </c>
      <c r="C75" s="121" t="s">
        <v>1282</v>
      </c>
      <c r="D75" s="121" t="s">
        <v>1282</v>
      </c>
      <c r="E75" s="118">
        <v>30478</v>
      </c>
      <c r="F75" s="118">
        <v>0</v>
      </c>
      <c r="G75" s="118">
        <v>0</v>
      </c>
      <c r="I75" s="129" t="str">
        <f t="shared" si="6"/>
        <v>Demais contas a pagar</v>
      </c>
      <c r="J75" s="121" t="s">
        <v>160</v>
      </c>
      <c r="K75" s="121" t="s">
        <v>160</v>
      </c>
      <c r="L75" s="118">
        <v>28711</v>
      </c>
      <c r="M75" s="118">
        <v>0</v>
      </c>
      <c r="N75" s="118">
        <v>0</v>
      </c>
    </row>
    <row r="76" spans="2:14" x14ac:dyDescent="0.2">
      <c r="B76" s="129" t="s">
        <v>792</v>
      </c>
      <c r="C76" s="121" t="s">
        <v>1282</v>
      </c>
      <c r="D76" s="121" t="s">
        <v>1282</v>
      </c>
      <c r="E76" s="118">
        <v>0</v>
      </c>
      <c r="F76" s="118">
        <v>0</v>
      </c>
      <c r="G76" s="118">
        <v>0</v>
      </c>
      <c r="I76" s="129" t="str">
        <f t="shared" si="6"/>
        <v>Instrumento financeiros derivativos</v>
      </c>
      <c r="J76" s="121" t="s">
        <v>160</v>
      </c>
      <c r="K76" s="121" t="s">
        <v>160</v>
      </c>
      <c r="L76" s="118">
        <v>24159</v>
      </c>
      <c r="M76" s="118">
        <v>0</v>
      </c>
      <c r="N76" s="118">
        <v>0</v>
      </c>
    </row>
    <row r="77" spans="2:14" x14ac:dyDescent="0.2">
      <c r="B77" s="129" t="s">
        <v>566</v>
      </c>
      <c r="C77" s="121" t="s">
        <v>1282</v>
      </c>
      <c r="D77" s="121" t="s">
        <v>1282</v>
      </c>
      <c r="E77" s="118">
        <v>0</v>
      </c>
      <c r="F77" s="118">
        <v>0</v>
      </c>
      <c r="G77" s="118">
        <v>0</v>
      </c>
      <c r="I77" s="129" t="str">
        <f t="shared" si="6"/>
        <v>Dividendos a pagar</v>
      </c>
      <c r="J77" s="121" t="s">
        <v>160</v>
      </c>
      <c r="K77" s="121" t="s">
        <v>160</v>
      </c>
      <c r="L77" s="118">
        <v>0</v>
      </c>
      <c r="M77" s="118">
        <v>0</v>
      </c>
      <c r="N77" s="118">
        <v>0</v>
      </c>
    </row>
    <row r="78" spans="2:14" x14ac:dyDescent="0.2">
      <c r="B78" s="129" t="s">
        <v>25</v>
      </c>
      <c r="C78" s="121" t="s">
        <v>1282</v>
      </c>
      <c r="D78" s="121" t="s">
        <v>1282</v>
      </c>
      <c r="E78" s="118">
        <v>684</v>
      </c>
      <c r="F78" s="118">
        <v>524</v>
      </c>
      <c r="G78" s="118">
        <v>0</v>
      </c>
      <c r="I78" s="129" t="str">
        <f t="shared" si="6"/>
        <v>Partes relacionadas</v>
      </c>
      <c r="J78" s="121" t="s">
        <v>160</v>
      </c>
      <c r="K78" s="121" t="s">
        <v>160</v>
      </c>
      <c r="L78" s="118">
        <v>1254</v>
      </c>
      <c r="M78" s="118">
        <v>504</v>
      </c>
      <c r="N78" s="118">
        <v>0</v>
      </c>
    </row>
    <row r="79" spans="2:14" x14ac:dyDescent="0.2">
      <c r="B79" s="126" t="s">
        <v>1210</v>
      </c>
      <c r="C79" s="120" t="s">
        <v>1282</v>
      </c>
      <c r="D79" s="120" t="s">
        <v>1282</v>
      </c>
      <c r="E79" s="120">
        <f>SUM(E72:E78)</f>
        <v>132085</v>
      </c>
      <c r="F79" s="120">
        <f>SUM(F72:F78)</f>
        <v>7254</v>
      </c>
      <c r="G79" s="120">
        <f>SUM(G72:G78)</f>
        <v>47119</v>
      </c>
      <c r="I79" s="126" t="str">
        <f>B79</f>
        <v>Em 30 de junho de 2023</v>
      </c>
      <c r="J79" s="120" t="s">
        <v>160</v>
      </c>
      <c r="K79" s="120" t="s">
        <v>160</v>
      </c>
      <c r="L79" s="120">
        <f>SUM(L72:L78)</f>
        <v>118887</v>
      </c>
      <c r="M79" s="120">
        <f>SUM(M72:M78)</f>
        <v>7234</v>
      </c>
      <c r="N79" s="120">
        <f>SUM(N72:N78)</f>
        <v>47119</v>
      </c>
    </row>
    <row r="80" spans="2:14" x14ac:dyDescent="0.2">
      <c r="B80" s="129" t="s">
        <v>16</v>
      </c>
      <c r="C80" s="121" t="s">
        <v>1282</v>
      </c>
      <c r="D80" s="121" t="s">
        <v>1282</v>
      </c>
      <c r="E80" s="118">
        <v>54076</v>
      </c>
      <c r="F80" s="118">
        <v>17670</v>
      </c>
      <c r="G80" s="118">
        <v>49258</v>
      </c>
      <c r="I80" s="129" t="str">
        <f>B80</f>
        <v>Empréstimos e financiamentos</v>
      </c>
      <c r="J80" s="121" t="s">
        <v>160</v>
      </c>
      <c r="K80" s="121" t="s">
        <v>160</v>
      </c>
      <c r="L80" s="118">
        <v>54076</v>
      </c>
      <c r="M80" s="118">
        <v>17670</v>
      </c>
      <c r="N80" s="118">
        <v>49258</v>
      </c>
    </row>
    <row r="81" spans="2:14" x14ac:dyDescent="0.2">
      <c r="B81" s="129" t="s">
        <v>23</v>
      </c>
      <c r="C81" s="121" t="s">
        <v>1282</v>
      </c>
      <c r="D81" s="121" t="s">
        <v>1282</v>
      </c>
      <c r="E81" s="118">
        <v>0</v>
      </c>
      <c r="F81" s="118">
        <v>0</v>
      </c>
      <c r="G81" s="118">
        <v>0</v>
      </c>
      <c r="I81" s="129" t="str">
        <f t="shared" ref="I81:I86" si="7">B81</f>
        <v>Debêntures</v>
      </c>
      <c r="J81" s="121" t="s">
        <v>160</v>
      </c>
      <c r="K81" s="121" t="s">
        <v>160</v>
      </c>
      <c r="L81" s="118">
        <v>0</v>
      </c>
      <c r="M81" s="118">
        <v>0</v>
      </c>
      <c r="N81" s="118">
        <v>0</v>
      </c>
    </row>
    <row r="82" spans="2:14" x14ac:dyDescent="0.2">
      <c r="B82" s="129" t="s">
        <v>164</v>
      </c>
      <c r="C82" s="121" t="s">
        <v>1282</v>
      </c>
      <c r="D82" s="121" t="s">
        <v>1282</v>
      </c>
      <c r="E82" s="118">
        <v>36895</v>
      </c>
      <c r="F82" s="118">
        <v>0</v>
      </c>
      <c r="G82" s="118">
        <v>0</v>
      </c>
      <c r="I82" s="129" t="str">
        <f t="shared" si="7"/>
        <v>Fornecedores e fretes a pagar</v>
      </c>
      <c r="J82" s="121" t="s">
        <v>160</v>
      </c>
      <c r="K82" s="121" t="s">
        <v>160</v>
      </c>
      <c r="L82" s="118">
        <v>0</v>
      </c>
      <c r="M82" s="118">
        <v>0</v>
      </c>
      <c r="N82" s="118">
        <v>0</v>
      </c>
    </row>
    <row r="83" spans="2:14" x14ac:dyDescent="0.2">
      <c r="B83" s="129" t="s">
        <v>24</v>
      </c>
      <c r="C83" s="121" t="s">
        <v>1282</v>
      </c>
      <c r="D83" s="121" t="s">
        <v>1282</v>
      </c>
      <c r="E83" s="118">
        <v>32255</v>
      </c>
      <c r="F83" s="118">
        <v>0</v>
      </c>
      <c r="G83" s="118">
        <v>0</v>
      </c>
      <c r="I83" s="129" t="str">
        <f t="shared" si="7"/>
        <v>Demais contas a pagar</v>
      </c>
      <c r="J83" s="121" t="s">
        <v>160</v>
      </c>
      <c r="K83" s="121" t="s">
        <v>160</v>
      </c>
      <c r="L83" s="118">
        <v>28843</v>
      </c>
      <c r="M83" s="118">
        <v>0</v>
      </c>
      <c r="N83" s="118">
        <v>0</v>
      </c>
    </row>
    <row r="84" spans="2:14" x14ac:dyDescent="0.2">
      <c r="B84" s="129" t="s">
        <v>792</v>
      </c>
      <c r="C84" s="121" t="s">
        <v>1282</v>
      </c>
      <c r="D84" s="121" t="s">
        <v>1282</v>
      </c>
      <c r="E84" s="118">
        <v>0</v>
      </c>
      <c r="F84" s="118">
        <v>0</v>
      </c>
      <c r="G84" s="118">
        <v>0</v>
      </c>
      <c r="I84" s="129" t="str">
        <f t="shared" si="7"/>
        <v>Instrumento financeiros derivativos</v>
      </c>
      <c r="J84" s="121" t="s">
        <v>160</v>
      </c>
      <c r="K84" s="121" t="s">
        <v>160</v>
      </c>
      <c r="L84" s="118">
        <v>21893</v>
      </c>
      <c r="M84" s="118">
        <v>0</v>
      </c>
      <c r="N84" s="118">
        <v>0</v>
      </c>
    </row>
    <row r="85" spans="2:14" x14ac:dyDescent="0.2">
      <c r="B85" s="129" t="s">
        <v>566</v>
      </c>
      <c r="C85" s="121" t="s">
        <v>1282</v>
      </c>
      <c r="D85" s="121" t="s">
        <v>1282</v>
      </c>
      <c r="E85" s="118">
        <v>0</v>
      </c>
      <c r="F85" s="118">
        <v>0</v>
      </c>
      <c r="G85" s="118">
        <v>0</v>
      </c>
      <c r="I85" s="129" t="str">
        <f t="shared" si="7"/>
        <v>Dividendos a pagar</v>
      </c>
      <c r="J85" s="121" t="s">
        <v>160</v>
      </c>
      <c r="K85" s="121" t="s">
        <v>160</v>
      </c>
      <c r="L85" s="118">
        <v>0</v>
      </c>
      <c r="M85" s="118">
        <v>0</v>
      </c>
      <c r="N85" s="118">
        <v>0</v>
      </c>
    </row>
    <row r="86" spans="2:14" x14ac:dyDescent="0.2">
      <c r="B86" s="129" t="s">
        <v>25</v>
      </c>
      <c r="C86" s="121" t="s">
        <v>1282</v>
      </c>
      <c r="D86" s="121" t="s">
        <v>1282</v>
      </c>
      <c r="E86" s="118">
        <v>749</v>
      </c>
      <c r="F86" s="118">
        <v>524</v>
      </c>
      <c r="G86" s="118">
        <v>0</v>
      </c>
      <c r="I86" s="129" t="str">
        <f t="shared" si="7"/>
        <v>Partes relacionadas</v>
      </c>
      <c r="J86" s="121" t="s">
        <v>160</v>
      </c>
      <c r="K86" s="121" t="s">
        <v>160</v>
      </c>
      <c r="L86" s="118">
        <v>1638</v>
      </c>
      <c r="M86" s="118">
        <v>504</v>
      </c>
      <c r="N86" s="118">
        <v>0</v>
      </c>
    </row>
    <row r="87" spans="2:14" x14ac:dyDescent="0.2">
      <c r="B87" s="126" t="s">
        <v>1183</v>
      </c>
      <c r="C87" s="120" t="s">
        <v>1282</v>
      </c>
      <c r="D87" s="120" t="s">
        <v>1282</v>
      </c>
      <c r="E87" s="120">
        <f>SUM(E80:E86)</f>
        <v>123975</v>
      </c>
      <c r="F87" s="120">
        <f>SUM(F80:F86)</f>
        <v>18194</v>
      </c>
      <c r="G87" s="120">
        <f>SUM(G80:G86)</f>
        <v>49258</v>
      </c>
      <c r="I87" s="126" t="str">
        <f>B87</f>
        <v>Em 31 de março de 2023</v>
      </c>
      <c r="J87" s="120" t="s">
        <v>160</v>
      </c>
      <c r="K87" s="120" t="s">
        <v>160</v>
      </c>
      <c r="L87" s="120">
        <f>SUM(L80:L86)</f>
        <v>106450</v>
      </c>
      <c r="M87" s="120">
        <f>SUM(M80:M86)</f>
        <v>18174</v>
      </c>
      <c r="N87" s="120">
        <f>SUM(N80:N86)</f>
        <v>49258</v>
      </c>
    </row>
    <row r="88" spans="2:14" x14ac:dyDescent="0.2">
      <c r="B88" s="129" t="s">
        <v>16</v>
      </c>
      <c r="C88" s="121" t="s">
        <v>1282</v>
      </c>
      <c r="D88" s="121" t="s">
        <v>1282</v>
      </c>
      <c r="E88" s="118">
        <v>69133</v>
      </c>
      <c r="F88" s="118">
        <v>15549</v>
      </c>
      <c r="G88" s="118">
        <v>30359</v>
      </c>
      <c r="I88" s="129" t="str">
        <f>B88</f>
        <v>Empréstimos e financiamentos</v>
      </c>
      <c r="J88" s="121" t="s">
        <v>160</v>
      </c>
      <c r="K88" s="121" t="s">
        <v>160</v>
      </c>
      <c r="L88" s="118">
        <v>69133</v>
      </c>
      <c r="M88" s="118">
        <v>15549</v>
      </c>
      <c r="N88" s="118">
        <v>30359</v>
      </c>
    </row>
    <row r="89" spans="2:14" x14ac:dyDescent="0.2">
      <c r="B89" s="129" t="s">
        <v>23</v>
      </c>
      <c r="C89" s="121" t="s">
        <v>1282</v>
      </c>
      <c r="D89" s="121" t="s">
        <v>1282</v>
      </c>
      <c r="E89" s="118">
        <v>0</v>
      </c>
      <c r="F89" s="118">
        <v>0</v>
      </c>
      <c r="G89" s="118">
        <v>0</v>
      </c>
      <c r="I89" s="129" t="str">
        <f t="shared" ref="I89:I94" si="8">B89</f>
        <v>Debêntures</v>
      </c>
      <c r="J89" s="121" t="s">
        <v>160</v>
      </c>
      <c r="K89" s="121" t="s">
        <v>160</v>
      </c>
      <c r="L89" s="118">
        <v>0</v>
      </c>
      <c r="M89" s="118">
        <v>0</v>
      </c>
      <c r="N89" s="118">
        <v>0</v>
      </c>
    </row>
    <row r="90" spans="2:14" x14ac:dyDescent="0.2">
      <c r="B90" s="129" t="s">
        <v>164</v>
      </c>
      <c r="C90" s="121" t="s">
        <v>1282</v>
      </c>
      <c r="D90" s="121" t="s">
        <v>1282</v>
      </c>
      <c r="E90" s="118">
        <v>49406</v>
      </c>
      <c r="F90" s="118">
        <v>0</v>
      </c>
      <c r="G90" s="118">
        <v>0</v>
      </c>
      <c r="I90" s="129" t="str">
        <f t="shared" si="8"/>
        <v>Fornecedores e fretes a pagar</v>
      </c>
      <c r="J90" s="121" t="s">
        <v>160</v>
      </c>
      <c r="K90" s="121" t="s">
        <v>160</v>
      </c>
      <c r="L90" s="118">
        <v>41128</v>
      </c>
      <c r="M90" s="118">
        <v>0</v>
      </c>
      <c r="N90" s="118">
        <v>0</v>
      </c>
    </row>
    <row r="91" spans="2:14" x14ac:dyDescent="0.2">
      <c r="B91" s="129" t="s">
        <v>24</v>
      </c>
      <c r="C91" s="121" t="s">
        <v>1282</v>
      </c>
      <c r="D91" s="121" t="s">
        <v>1282</v>
      </c>
      <c r="E91" s="118">
        <v>39126</v>
      </c>
      <c r="F91" s="118">
        <v>0</v>
      </c>
      <c r="G91" s="118">
        <v>0</v>
      </c>
      <c r="I91" s="129" t="str">
        <f t="shared" si="8"/>
        <v>Demais contas a pagar</v>
      </c>
      <c r="J91" s="121" t="s">
        <v>160</v>
      </c>
      <c r="K91" s="121" t="s">
        <v>160</v>
      </c>
      <c r="L91" s="118">
        <v>28310</v>
      </c>
      <c r="M91" s="118">
        <v>0</v>
      </c>
      <c r="N91" s="118">
        <v>0</v>
      </c>
    </row>
    <row r="92" spans="2:14" x14ac:dyDescent="0.2">
      <c r="B92" s="129" t="s">
        <v>792</v>
      </c>
      <c r="C92" s="121" t="s">
        <v>1282</v>
      </c>
      <c r="D92" s="121" t="s">
        <v>1282</v>
      </c>
      <c r="E92" s="118">
        <v>0</v>
      </c>
      <c r="F92" s="118">
        <v>0</v>
      </c>
      <c r="G92" s="118">
        <v>0</v>
      </c>
      <c r="I92" s="129" t="str">
        <f t="shared" si="8"/>
        <v>Instrumento financeiros derivativos</v>
      </c>
      <c r="J92" s="121" t="s">
        <v>160</v>
      </c>
      <c r="K92" s="121" t="s">
        <v>160</v>
      </c>
      <c r="L92" s="118">
        <v>0</v>
      </c>
      <c r="M92" s="118">
        <v>0</v>
      </c>
      <c r="N92" s="118">
        <v>0</v>
      </c>
    </row>
    <row r="93" spans="2:14" x14ac:dyDescent="0.2">
      <c r="B93" s="129" t="s">
        <v>566</v>
      </c>
      <c r="C93" s="121" t="s">
        <v>1282</v>
      </c>
      <c r="D93" s="121" t="s">
        <v>1282</v>
      </c>
      <c r="E93" s="118">
        <v>0</v>
      </c>
      <c r="F93" s="118">
        <v>0</v>
      </c>
      <c r="G93" s="118">
        <v>0</v>
      </c>
      <c r="I93" s="129" t="str">
        <f t="shared" si="8"/>
        <v>Dividendos a pagar</v>
      </c>
      <c r="J93" s="121" t="s">
        <v>160</v>
      </c>
      <c r="K93" s="121" t="s">
        <v>160</v>
      </c>
      <c r="L93" s="118">
        <v>0</v>
      </c>
      <c r="M93" s="118">
        <v>0</v>
      </c>
      <c r="N93" s="118">
        <v>0</v>
      </c>
    </row>
    <row r="94" spans="2:14" ht="12.75" customHeight="1" x14ac:dyDescent="0.2">
      <c r="B94" s="129" t="s">
        <v>25</v>
      </c>
      <c r="C94" s="121" t="s">
        <v>1282</v>
      </c>
      <c r="D94" s="121" t="s">
        <v>1282</v>
      </c>
      <c r="E94" s="118">
        <v>806</v>
      </c>
      <c r="F94" s="118">
        <v>524</v>
      </c>
      <c r="G94" s="118">
        <v>0</v>
      </c>
      <c r="I94" s="129" t="str">
        <f t="shared" si="8"/>
        <v>Partes relacionadas</v>
      </c>
      <c r="J94" s="121" t="s">
        <v>160</v>
      </c>
      <c r="K94" s="121" t="s">
        <v>160</v>
      </c>
      <c r="L94" s="118">
        <v>1546</v>
      </c>
      <c r="M94" s="118">
        <v>504</v>
      </c>
      <c r="N94" s="118">
        <v>0</v>
      </c>
    </row>
    <row r="95" spans="2:14" x14ac:dyDescent="0.2">
      <c r="B95" s="126" t="s">
        <v>1158</v>
      </c>
      <c r="C95" s="120" t="s">
        <v>1282</v>
      </c>
      <c r="D95" s="120" t="s">
        <v>1282</v>
      </c>
      <c r="E95" s="120">
        <f>SUM(E88:E94)</f>
        <v>158471</v>
      </c>
      <c r="F95" s="120">
        <f>SUM(F88:F94)</f>
        <v>16073</v>
      </c>
      <c r="G95" s="120">
        <f>SUM(G88:G94)</f>
        <v>30359</v>
      </c>
      <c r="I95" s="126" t="str">
        <f>B95</f>
        <v>Em 31 de dezembro de 2022</v>
      </c>
      <c r="J95" s="120" t="s">
        <v>160</v>
      </c>
      <c r="K95" s="120" t="s">
        <v>160</v>
      </c>
      <c r="L95" s="120">
        <f>SUM(L88:L94)</f>
        <v>140117</v>
      </c>
      <c r="M95" s="120">
        <f>SUM(M88:M94)</f>
        <v>16053</v>
      </c>
      <c r="N95" s="120">
        <f>SUM(N88:N94)</f>
        <v>30359</v>
      </c>
    </row>
    <row r="96" spans="2:14" x14ac:dyDescent="0.2">
      <c r="B96" s="129" t="s">
        <v>16</v>
      </c>
      <c r="C96" s="121" t="s">
        <v>1282</v>
      </c>
      <c r="D96" s="121" t="s">
        <v>1282</v>
      </c>
      <c r="E96" s="118">
        <v>64310</v>
      </c>
      <c r="F96" s="118">
        <v>10707</v>
      </c>
      <c r="G96" s="118">
        <v>0</v>
      </c>
      <c r="I96" s="129" t="str">
        <f>B96</f>
        <v>Empréstimos e financiamentos</v>
      </c>
      <c r="J96" s="121" t="s">
        <v>160</v>
      </c>
      <c r="K96" s="121" t="s">
        <v>160</v>
      </c>
      <c r="L96" s="118">
        <v>64310</v>
      </c>
      <c r="M96" s="118">
        <v>10707</v>
      </c>
      <c r="N96" s="118">
        <v>0</v>
      </c>
    </row>
    <row r="97" spans="2:14" x14ac:dyDescent="0.2">
      <c r="B97" s="129" t="s">
        <v>23</v>
      </c>
      <c r="C97" s="121" t="s">
        <v>1282</v>
      </c>
      <c r="D97" s="121" t="s">
        <v>1282</v>
      </c>
      <c r="E97" s="118">
        <v>0</v>
      </c>
      <c r="F97" s="118">
        <v>0</v>
      </c>
      <c r="G97" s="118">
        <v>0</v>
      </c>
      <c r="I97" s="129" t="str">
        <f t="shared" ref="I97:I102" si="9">B97</f>
        <v>Debêntures</v>
      </c>
      <c r="J97" s="121" t="s">
        <v>160</v>
      </c>
      <c r="K97" s="121" t="s">
        <v>160</v>
      </c>
      <c r="L97" s="118">
        <v>0</v>
      </c>
      <c r="M97" s="118">
        <v>0</v>
      </c>
      <c r="N97" s="118">
        <v>0</v>
      </c>
    </row>
    <row r="98" spans="2:14" x14ac:dyDescent="0.2">
      <c r="B98" s="129" t="s">
        <v>164</v>
      </c>
      <c r="C98" s="121" t="s">
        <v>1282</v>
      </c>
      <c r="D98" s="121" t="s">
        <v>1282</v>
      </c>
      <c r="E98" s="118">
        <v>30411</v>
      </c>
      <c r="F98" s="118">
        <v>0</v>
      </c>
      <c r="G98" s="118">
        <v>0</v>
      </c>
      <c r="I98" s="129" t="str">
        <f t="shared" si="9"/>
        <v>Fornecedores e fretes a pagar</v>
      </c>
      <c r="J98" s="121" t="s">
        <v>160</v>
      </c>
      <c r="K98" s="121" t="s">
        <v>160</v>
      </c>
      <c r="L98" s="118">
        <v>23083</v>
      </c>
      <c r="M98" s="118">
        <v>0</v>
      </c>
      <c r="N98" s="118">
        <v>0</v>
      </c>
    </row>
    <row r="99" spans="2:14" x14ac:dyDescent="0.2">
      <c r="B99" s="129" t="s">
        <v>24</v>
      </c>
      <c r="C99" s="121" t="s">
        <v>1282</v>
      </c>
      <c r="D99" s="121" t="s">
        <v>1282</v>
      </c>
      <c r="E99" s="118">
        <v>31363</v>
      </c>
      <c r="F99" s="118">
        <v>0</v>
      </c>
      <c r="G99" s="118">
        <v>0</v>
      </c>
      <c r="I99" s="129" t="str">
        <f t="shared" si="9"/>
        <v>Demais contas a pagar</v>
      </c>
      <c r="J99" s="121" t="s">
        <v>160</v>
      </c>
      <c r="K99" s="121" t="s">
        <v>160</v>
      </c>
      <c r="L99" s="118">
        <v>25659</v>
      </c>
      <c r="M99" s="118">
        <v>0</v>
      </c>
      <c r="N99" s="118">
        <v>0</v>
      </c>
    </row>
    <row r="100" spans="2:14" x14ac:dyDescent="0.2">
      <c r="B100" s="129" t="s">
        <v>792</v>
      </c>
      <c r="C100" s="121" t="s">
        <v>1282</v>
      </c>
      <c r="D100" s="121" t="s">
        <v>1282</v>
      </c>
      <c r="E100" s="118">
        <v>0</v>
      </c>
      <c r="F100" s="118">
        <v>0</v>
      </c>
      <c r="G100" s="118">
        <v>0</v>
      </c>
      <c r="I100" s="129" t="str">
        <f t="shared" si="9"/>
        <v>Instrumento financeiros derivativos</v>
      </c>
      <c r="J100" s="121" t="s">
        <v>160</v>
      </c>
      <c r="K100" s="121" t="s">
        <v>160</v>
      </c>
      <c r="L100" s="118">
        <v>0</v>
      </c>
      <c r="M100" s="118">
        <v>0</v>
      </c>
      <c r="N100" s="118">
        <v>0</v>
      </c>
    </row>
    <row r="101" spans="2:14" x14ac:dyDescent="0.2">
      <c r="B101" s="129" t="s">
        <v>566</v>
      </c>
      <c r="C101" s="121" t="s">
        <v>1282</v>
      </c>
      <c r="D101" s="121" t="s">
        <v>1282</v>
      </c>
      <c r="E101" s="118">
        <v>0</v>
      </c>
      <c r="F101" s="118">
        <v>0</v>
      </c>
      <c r="G101" s="118">
        <v>0</v>
      </c>
      <c r="I101" s="129" t="str">
        <f t="shared" si="9"/>
        <v>Dividendos a pagar</v>
      </c>
      <c r="J101" s="121" t="s">
        <v>160</v>
      </c>
      <c r="K101" s="121" t="s">
        <v>160</v>
      </c>
      <c r="L101" s="118">
        <v>0</v>
      </c>
      <c r="M101" s="118">
        <v>0</v>
      </c>
      <c r="N101" s="118">
        <v>0</v>
      </c>
    </row>
    <row r="102" spans="2:14" x14ac:dyDescent="0.2">
      <c r="B102" s="129" t="s">
        <v>25</v>
      </c>
      <c r="C102" s="121" t="s">
        <v>1282</v>
      </c>
      <c r="D102" s="121" t="s">
        <v>1282</v>
      </c>
      <c r="E102" s="118">
        <v>169</v>
      </c>
      <c r="F102" s="118">
        <v>524</v>
      </c>
      <c r="G102" s="118">
        <v>0</v>
      </c>
      <c r="I102" s="129" t="str">
        <f t="shared" si="9"/>
        <v>Partes relacionadas</v>
      </c>
      <c r="J102" s="121" t="s">
        <v>160</v>
      </c>
      <c r="K102" s="121" t="s">
        <v>160</v>
      </c>
      <c r="L102" s="118">
        <v>925</v>
      </c>
      <c r="M102" s="118">
        <v>504</v>
      </c>
      <c r="N102" s="118">
        <v>0</v>
      </c>
    </row>
    <row r="103" spans="2:14" x14ac:dyDescent="0.2">
      <c r="B103" s="126" t="s">
        <v>1151</v>
      </c>
      <c r="C103" s="120" t="s">
        <v>1282</v>
      </c>
      <c r="D103" s="120" t="s">
        <v>1282</v>
      </c>
      <c r="E103" s="120">
        <f>SUM(E96:E102)</f>
        <v>126253</v>
      </c>
      <c r="F103" s="120">
        <f>SUM(F96:F102)</f>
        <v>11231</v>
      </c>
      <c r="G103" s="120">
        <f>SUM(G96:G102)</f>
        <v>0</v>
      </c>
      <c r="I103" s="126" t="str">
        <f>B103</f>
        <v>Em 30 de setembro de 2022</v>
      </c>
      <c r="J103" s="120" t="s">
        <v>160</v>
      </c>
      <c r="K103" s="120" t="s">
        <v>160</v>
      </c>
      <c r="L103" s="120">
        <f>SUM(L96:L102)</f>
        <v>113977</v>
      </c>
      <c r="M103" s="120">
        <f>SUM(M96:M102)</f>
        <v>11211</v>
      </c>
      <c r="N103" s="120">
        <f>SUM(N96:N102)</f>
        <v>0</v>
      </c>
    </row>
    <row r="104" spans="2:14" x14ac:dyDescent="0.2">
      <c r="B104" s="129" t="s">
        <v>16</v>
      </c>
      <c r="C104" s="121" t="s">
        <v>1282</v>
      </c>
      <c r="D104" s="121" t="s">
        <v>1282</v>
      </c>
      <c r="E104" s="118">
        <v>19413</v>
      </c>
      <c r="F104" s="118">
        <v>59835</v>
      </c>
      <c r="G104" s="118">
        <v>0</v>
      </c>
      <c r="I104" s="129" t="str">
        <f>B104</f>
        <v>Empréstimos e financiamentos</v>
      </c>
      <c r="J104" s="121" t="s">
        <v>160</v>
      </c>
      <c r="K104" s="121" t="s">
        <v>160</v>
      </c>
      <c r="L104" s="118">
        <v>19413</v>
      </c>
      <c r="M104" s="118">
        <v>59835</v>
      </c>
      <c r="N104" s="118">
        <v>0</v>
      </c>
    </row>
    <row r="105" spans="2:14" x14ac:dyDescent="0.2">
      <c r="B105" s="129" t="s">
        <v>23</v>
      </c>
      <c r="C105" s="121" t="s">
        <v>1282</v>
      </c>
      <c r="D105" s="121" t="s">
        <v>1282</v>
      </c>
      <c r="E105" s="118">
        <v>0</v>
      </c>
      <c r="F105" s="118">
        <v>0</v>
      </c>
      <c r="G105" s="118">
        <v>0</v>
      </c>
      <c r="I105" s="129" t="str">
        <f t="shared" ref="I105:I110" si="10">B105</f>
        <v>Debêntures</v>
      </c>
      <c r="J105" s="121" t="s">
        <v>160</v>
      </c>
      <c r="K105" s="121" t="s">
        <v>160</v>
      </c>
      <c r="L105" s="118">
        <v>0</v>
      </c>
      <c r="M105" s="118">
        <v>0</v>
      </c>
      <c r="N105" s="118">
        <v>0</v>
      </c>
    </row>
    <row r="106" spans="2:14" x14ac:dyDescent="0.2">
      <c r="B106" s="129" t="s">
        <v>164</v>
      </c>
      <c r="C106" s="121" t="s">
        <v>1282</v>
      </c>
      <c r="D106" s="121" t="s">
        <v>1282</v>
      </c>
      <c r="E106" s="118">
        <v>34064</v>
      </c>
      <c r="F106" s="118">
        <v>0</v>
      </c>
      <c r="G106" s="118">
        <v>0</v>
      </c>
      <c r="I106" s="129" t="str">
        <f t="shared" si="10"/>
        <v>Fornecedores e fretes a pagar</v>
      </c>
      <c r="J106" s="121" t="s">
        <v>160</v>
      </c>
      <c r="K106" s="121" t="s">
        <v>160</v>
      </c>
      <c r="L106" s="118">
        <v>24428</v>
      </c>
      <c r="M106" s="118">
        <v>0</v>
      </c>
      <c r="N106" s="118">
        <v>0</v>
      </c>
    </row>
    <row r="107" spans="2:14" x14ac:dyDescent="0.2">
      <c r="B107" s="129" t="s">
        <v>24</v>
      </c>
      <c r="C107" s="121" t="s">
        <v>1282</v>
      </c>
      <c r="D107" s="121" t="s">
        <v>1282</v>
      </c>
      <c r="E107" s="118">
        <v>26414</v>
      </c>
      <c r="F107" s="118">
        <v>0</v>
      </c>
      <c r="G107" s="118">
        <v>0</v>
      </c>
      <c r="I107" s="129" t="str">
        <f t="shared" si="10"/>
        <v>Demais contas a pagar</v>
      </c>
      <c r="J107" s="121" t="s">
        <v>160</v>
      </c>
      <c r="K107" s="121" t="s">
        <v>160</v>
      </c>
      <c r="L107" s="118">
        <v>23802</v>
      </c>
      <c r="M107" s="118">
        <v>0</v>
      </c>
      <c r="N107" s="118">
        <v>0</v>
      </c>
    </row>
    <row r="108" spans="2:14" x14ac:dyDescent="0.2">
      <c r="B108" s="129" t="s">
        <v>792</v>
      </c>
      <c r="C108" s="121" t="s">
        <v>1282</v>
      </c>
      <c r="D108" s="121" t="s">
        <v>1282</v>
      </c>
      <c r="E108" s="118">
        <v>0</v>
      </c>
      <c r="F108" s="118">
        <v>0</v>
      </c>
      <c r="G108" s="118">
        <v>0</v>
      </c>
      <c r="I108" s="129" t="str">
        <f t="shared" si="10"/>
        <v>Instrumento financeiros derivativos</v>
      </c>
      <c r="J108" s="121" t="s">
        <v>160</v>
      </c>
      <c r="K108" s="121" t="s">
        <v>160</v>
      </c>
      <c r="L108" s="118">
        <v>0</v>
      </c>
      <c r="M108" s="118">
        <v>0</v>
      </c>
      <c r="N108" s="118">
        <v>0</v>
      </c>
    </row>
    <row r="109" spans="2:14" x14ac:dyDescent="0.2">
      <c r="B109" s="129" t="s">
        <v>566</v>
      </c>
      <c r="C109" s="121" t="s">
        <v>1282</v>
      </c>
      <c r="D109" s="121" t="s">
        <v>1282</v>
      </c>
      <c r="E109" s="118">
        <v>0</v>
      </c>
      <c r="F109" s="118">
        <v>0</v>
      </c>
      <c r="G109" s="118">
        <v>0</v>
      </c>
      <c r="I109" s="129" t="str">
        <f t="shared" si="10"/>
        <v>Dividendos a pagar</v>
      </c>
      <c r="J109" s="121" t="s">
        <v>160</v>
      </c>
      <c r="K109" s="121" t="s">
        <v>160</v>
      </c>
      <c r="L109" s="118">
        <v>0</v>
      </c>
      <c r="M109" s="118">
        <v>0</v>
      </c>
      <c r="N109" s="118">
        <v>0</v>
      </c>
    </row>
    <row r="110" spans="2:14" x14ac:dyDescent="0.2">
      <c r="B110" s="129" t="s">
        <v>25</v>
      </c>
      <c r="C110" s="121" t="s">
        <v>1282</v>
      </c>
      <c r="D110" s="121" t="s">
        <v>1282</v>
      </c>
      <c r="E110" s="118">
        <v>137</v>
      </c>
      <c r="F110" s="118">
        <v>524</v>
      </c>
      <c r="G110" s="118">
        <v>0</v>
      </c>
      <c r="I110" s="129" t="str">
        <f t="shared" si="10"/>
        <v>Partes relacionadas</v>
      </c>
      <c r="J110" s="121" t="s">
        <v>160</v>
      </c>
      <c r="K110" s="121" t="s">
        <v>160</v>
      </c>
      <c r="L110" s="118">
        <v>662</v>
      </c>
      <c r="M110" s="118">
        <v>504</v>
      </c>
      <c r="N110" s="118">
        <v>0</v>
      </c>
    </row>
    <row r="111" spans="2:14" x14ac:dyDescent="0.2">
      <c r="B111" s="126" t="s">
        <v>1135</v>
      </c>
      <c r="C111" s="120" t="s">
        <v>1282</v>
      </c>
      <c r="D111" s="120" t="s">
        <v>1282</v>
      </c>
      <c r="E111" s="120">
        <f>SUM(E104:E110)</f>
        <v>80028</v>
      </c>
      <c r="F111" s="120">
        <f>SUM(F104:F110)</f>
        <v>60359</v>
      </c>
      <c r="G111" s="120">
        <f>SUM(G104:G110)</f>
        <v>0</v>
      </c>
      <c r="I111" s="126" t="str">
        <f>B111</f>
        <v>Em 30 de junho de 2022</v>
      </c>
      <c r="J111" s="120" t="s">
        <v>160</v>
      </c>
      <c r="K111" s="120" t="s">
        <v>160</v>
      </c>
      <c r="L111" s="120">
        <f>SUM(L104:L110)</f>
        <v>68305</v>
      </c>
      <c r="M111" s="120">
        <f>SUM(M104:M110)</f>
        <v>60339</v>
      </c>
      <c r="N111" s="120">
        <f>SUM(N104:N110)</f>
        <v>0</v>
      </c>
    </row>
    <row r="112" spans="2:14" x14ac:dyDescent="0.2">
      <c r="B112" s="129" t="s">
        <v>16</v>
      </c>
      <c r="C112" s="121" t="s">
        <v>1282</v>
      </c>
      <c r="D112" s="121" t="s">
        <v>1282</v>
      </c>
      <c r="E112" s="118">
        <v>71924</v>
      </c>
      <c r="F112" s="118">
        <v>48740</v>
      </c>
      <c r="G112" s="118">
        <v>10614</v>
      </c>
      <c r="I112" s="129" t="str">
        <f>B112</f>
        <v>Empréstimos e financiamentos</v>
      </c>
      <c r="J112" s="121" t="s">
        <v>160</v>
      </c>
      <c r="K112" s="121" t="s">
        <v>160</v>
      </c>
      <c r="L112" s="118">
        <v>71924</v>
      </c>
      <c r="M112" s="118">
        <v>48740</v>
      </c>
      <c r="N112" s="118">
        <v>10614</v>
      </c>
    </row>
    <row r="113" spans="2:14" x14ac:dyDescent="0.2">
      <c r="B113" s="129" t="s">
        <v>23</v>
      </c>
      <c r="C113" s="121" t="s">
        <v>1282</v>
      </c>
      <c r="D113" s="121" t="s">
        <v>1282</v>
      </c>
      <c r="E113" s="118">
        <v>0</v>
      </c>
      <c r="F113" s="118">
        <v>0</v>
      </c>
      <c r="G113" s="118">
        <v>0</v>
      </c>
      <c r="I113" s="129" t="str">
        <f t="shared" ref="I113:I118" si="11">B113</f>
        <v>Debêntures</v>
      </c>
      <c r="J113" s="121" t="s">
        <v>160</v>
      </c>
      <c r="K113" s="121" t="s">
        <v>160</v>
      </c>
      <c r="L113" s="118">
        <v>0</v>
      </c>
      <c r="M113" s="118">
        <v>0</v>
      </c>
      <c r="N113" s="118">
        <v>0</v>
      </c>
    </row>
    <row r="114" spans="2:14" x14ac:dyDescent="0.2">
      <c r="B114" s="129" t="s">
        <v>164</v>
      </c>
      <c r="C114" s="121" t="s">
        <v>1282</v>
      </c>
      <c r="D114" s="121" t="s">
        <v>1282</v>
      </c>
      <c r="E114" s="118">
        <v>39307</v>
      </c>
      <c r="F114" s="118">
        <v>0</v>
      </c>
      <c r="G114" s="118">
        <v>0</v>
      </c>
      <c r="I114" s="129" t="str">
        <f t="shared" si="11"/>
        <v>Fornecedores e fretes a pagar</v>
      </c>
      <c r="J114" s="121" t="s">
        <v>160</v>
      </c>
      <c r="K114" s="121" t="s">
        <v>160</v>
      </c>
      <c r="L114" s="118">
        <v>30470</v>
      </c>
      <c r="M114" s="118">
        <v>0</v>
      </c>
      <c r="N114" s="118">
        <v>0</v>
      </c>
    </row>
    <row r="115" spans="2:14" x14ac:dyDescent="0.2">
      <c r="B115" s="129" t="s">
        <v>24</v>
      </c>
      <c r="C115" s="121" t="s">
        <v>1282</v>
      </c>
      <c r="D115" s="121" t="s">
        <v>1282</v>
      </c>
      <c r="E115" s="118">
        <v>23261</v>
      </c>
      <c r="F115" s="118">
        <v>0</v>
      </c>
      <c r="G115" s="118">
        <v>0</v>
      </c>
      <c r="I115" s="129" t="str">
        <f t="shared" si="11"/>
        <v>Demais contas a pagar</v>
      </c>
      <c r="J115" s="121" t="s">
        <v>160</v>
      </c>
      <c r="K115" s="121" t="s">
        <v>160</v>
      </c>
      <c r="L115" s="118">
        <v>20465</v>
      </c>
      <c r="M115" s="118">
        <v>0</v>
      </c>
      <c r="N115" s="118">
        <v>0</v>
      </c>
    </row>
    <row r="116" spans="2:14" x14ac:dyDescent="0.2">
      <c r="B116" s="129" t="s">
        <v>792</v>
      </c>
      <c r="C116" s="121" t="s">
        <v>1282</v>
      </c>
      <c r="D116" s="121" t="s">
        <v>1282</v>
      </c>
      <c r="E116" s="118">
        <v>0</v>
      </c>
      <c r="F116" s="118">
        <v>0</v>
      </c>
      <c r="G116" s="118">
        <v>0</v>
      </c>
      <c r="I116" s="129" t="str">
        <f t="shared" si="11"/>
        <v>Instrumento financeiros derivativos</v>
      </c>
      <c r="J116" s="121" t="s">
        <v>160</v>
      </c>
      <c r="K116" s="121" t="s">
        <v>160</v>
      </c>
      <c r="L116" s="118">
        <v>0</v>
      </c>
      <c r="M116" s="118">
        <v>0</v>
      </c>
      <c r="N116" s="118">
        <v>0</v>
      </c>
    </row>
    <row r="117" spans="2:14" x14ac:dyDescent="0.2">
      <c r="B117" s="129" t="s">
        <v>566</v>
      </c>
      <c r="C117" s="121" t="s">
        <v>1282</v>
      </c>
      <c r="D117" s="121" t="s">
        <v>1282</v>
      </c>
      <c r="E117" s="118">
        <v>0</v>
      </c>
      <c r="F117" s="118">
        <v>0</v>
      </c>
      <c r="G117" s="118">
        <v>0</v>
      </c>
      <c r="I117" s="129" t="str">
        <f t="shared" si="11"/>
        <v>Dividendos a pagar</v>
      </c>
      <c r="J117" s="121" t="s">
        <v>160</v>
      </c>
      <c r="K117" s="121" t="s">
        <v>160</v>
      </c>
      <c r="L117" s="118">
        <v>0</v>
      </c>
      <c r="M117" s="118">
        <v>0</v>
      </c>
      <c r="N117" s="118">
        <v>0</v>
      </c>
    </row>
    <row r="118" spans="2:14" x14ac:dyDescent="0.2">
      <c r="B118" s="129" t="s">
        <v>25</v>
      </c>
      <c r="C118" s="121" t="s">
        <v>1282</v>
      </c>
      <c r="D118" s="121" t="s">
        <v>1282</v>
      </c>
      <c r="E118" s="118">
        <v>69</v>
      </c>
      <c r="F118" s="118">
        <v>528</v>
      </c>
      <c r="G118" s="118">
        <v>0</v>
      </c>
      <c r="I118" s="129" t="str">
        <f t="shared" si="11"/>
        <v>Partes relacionadas</v>
      </c>
      <c r="J118" s="121" t="s">
        <v>160</v>
      </c>
      <c r="K118" s="121" t="s">
        <v>160</v>
      </c>
      <c r="L118" s="118">
        <v>636</v>
      </c>
      <c r="M118" s="118">
        <v>509</v>
      </c>
      <c r="N118" s="118">
        <v>0</v>
      </c>
    </row>
    <row r="119" spans="2:14" x14ac:dyDescent="0.2">
      <c r="B119" s="126" t="s">
        <v>1129</v>
      </c>
      <c r="C119" s="120" t="s">
        <v>1282</v>
      </c>
      <c r="D119" s="120" t="s">
        <v>1282</v>
      </c>
      <c r="E119" s="120">
        <f>SUM(E112:E118)</f>
        <v>134561</v>
      </c>
      <c r="F119" s="120">
        <f>SUM(F112:F118)</f>
        <v>49268</v>
      </c>
      <c r="G119" s="120">
        <f>SUM(G112:G118)</f>
        <v>10614</v>
      </c>
      <c r="I119" s="126" t="str">
        <f>B119</f>
        <v>Em 31 de março de 2022</v>
      </c>
      <c r="J119" s="120" t="s">
        <v>160</v>
      </c>
      <c r="K119" s="120" t="s">
        <v>160</v>
      </c>
      <c r="L119" s="120">
        <f>SUM(L112:L118)</f>
        <v>123495</v>
      </c>
      <c r="M119" s="120">
        <f>SUM(M112:M118)</f>
        <v>49249</v>
      </c>
      <c r="N119" s="120">
        <f>SUM(N112:N118)</f>
        <v>10614</v>
      </c>
    </row>
    <row r="120" spans="2:14" x14ac:dyDescent="0.2">
      <c r="B120" s="129" t="s">
        <v>16</v>
      </c>
      <c r="C120" s="121" t="s">
        <v>1282</v>
      </c>
      <c r="D120" s="121" t="s">
        <v>1282</v>
      </c>
      <c r="E120" s="118">
        <v>70190</v>
      </c>
      <c r="F120" s="118">
        <v>61774</v>
      </c>
      <c r="G120" s="118">
        <v>10498</v>
      </c>
      <c r="I120" s="129" t="str">
        <f>B120</f>
        <v>Empréstimos e financiamentos</v>
      </c>
      <c r="J120" s="121" t="s">
        <v>160</v>
      </c>
      <c r="K120" s="121" t="s">
        <v>160</v>
      </c>
      <c r="L120" s="118">
        <v>70190</v>
      </c>
      <c r="M120" s="118">
        <v>61774</v>
      </c>
      <c r="N120" s="118">
        <v>10498</v>
      </c>
    </row>
    <row r="121" spans="2:14" x14ac:dyDescent="0.2">
      <c r="B121" s="129" t="s">
        <v>23</v>
      </c>
      <c r="C121" s="121" t="s">
        <v>1282</v>
      </c>
      <c r="D121" s="121" t="s">
        <v>1282</v>
      </c>
      <c r="E121" s="118">
        <v>0</v>
      </c>
      <c r="F121" s="118">
        <v>0</v>
      </c>
      <c r="G121" s="118">
        <v>0</v>
      </c>
      <c r="I121" s="129" t="str">
        <f t="shared" ref="I121:I126" si="12">B121</f>
        <v>Debêntures</v>
      </c>
      <c r="J121" s="121" t="s">
        <v>160</v>
      </c>
      <c r="K121" s="121" t="s">
        <v>160</v>
      </c>
      <c r="L121" s="118">
        <v>0</v>
      </c>
      <c r="M121" s="118">
        <v>0</v>
      </c>
      <c r="N121" s="118">
        <v>0</v>
      </c>
    </row>
    <row r="122" spans="2:14" x14ac:dyDescent="0.2">
      <c r="B122" s="129" t="s">
        <v>164</v>
      </c>
      <c r="C122" s="121" t="s">
        <v>1282</v>
      </c>
      <c r="D122" s="121" t="s">
        <v>1282</v>
      </c>
      <c r="E122" s="118">
        <v>47838</v>
      </c>
      <c r="F122" s="118">
        <v>0</v>
      </c>
      <c r="G122" s="118">
        <v>0</v>
      </c>
      <c r="I122" s="129" t="str">
        <f t="shared" si="12"/>
        <v>Fornecedores e fretes a pagar</v>
      </c>
      <c r="J122" s="121" t="s">
        <v>160</v>
      </c>
      <c r="K122" s="121" t="s">
        <v>160</v>
      </c>
      <c r="L122" s="118">
        <v>39785</v>
      </c>
      <c r="M122" s="118">
        <v>0</v>
      </c>
      <c r="N122" s="118">
        <v>0</v>
      </c>
    </row>
    <row r="123" spans="2:14" x14ac:dyDescent="0.2">
      <c r="B123" s="129" t="s">
        <v>24</v>
      </c>
      <c r="C123" s="121" t="s">
        <v>1282</v>
      </c>
      <c r="D123" s="121" t="s">
        <v>1282</v>
      </c>
      <c r="E123" s="118">
        <v>27057</v>
      </c>
      <c r="F123" s="118">
        <v>0</v>
      </c>
      <c r="G123" s="118">
        <v>0</v>
      </c>
      <c r="I123" s="129" t="str">
        <f t="shared" si="12"/>
        <v>Demais contas a pagar</v>
      </c>
      <c r="J123" s="121" t="s">
        <v>160</v>
      </c>
      <c r="K123" s="121" t="s">
        <v>160</v>
      </c>
      <c r="L123" s="118">
        <v>23556</v>
      </c>
      <c r="M123" s="118">
        <v>0</v>
      </c>
      <c r="N123" s="118">
        <v>0</v>
      </c>
    </row>
    <row r="124" spans="2:14" x14ac:dyDescent="0.2">
      <c r="B124" s="129" t="s">
        <v>792</v>
      </c>
      <c r="C124" s="121" t="s">
        <v>1282</v>
      </c>
      <c r="D124" s="121" t="s">
        <v>1282</v>
      </c>
      <c r="E124" s="118">
        <v>0</v>
      </c>
      <c r="F124" s="118">
        <v>0</v>
      </c>
      <c r="G124" s="118">
        <v>0</v>
      </c>
      <c r="I124" s="129" t="str">
        <f t="shared" si="12"/>
        <v>Instrumento financeiros derivativos</v>
      </c>
      <c r="J124" s="121" t="s">
        <v>160</v>
      </c>
      <c r="K124" s="121" t="s">
        <v>160</v>
      </c>
      <c r="L124" s="118">
        <v>0</v>
      </c>
      <c r="M124" s="118">
        <v>0</v>
      </c>
      <c r="N124" s="118">
        <v>0</v>
      </c>
    </row>
    <row r="125" spans="2:14" x14ac:dyDescent="0.2">
      <c r="B125" s="129" t="s">
        <v>566</v>
      </c>
      <c r="C125" s="121" t="s">
        <v>1282</v>
      </c>
      <c r="D125" s="121" t="s">
        <v>1282</v>
      </c>
      <c r="E125" s="118">
        <v>0</v>
      </c>
      <c r="F125" s="118">
        <v>0</v>
      </c>
      <c r="G125" s="118">
        <v>0</v>
      </c>
      <c r="I125" s="129" t="str">
        <f t="shared" si="12"/>
        <v>Dividendos a pagar</v>
      </c>
      <c r="J125" s="121" t="s">
        <v>160</v>
      </c>
      <c r="K125" s="121" t="s">
        <v>160</v>
      </c>
      <c r="L125" s="118">
        <v>0</v>
      </c>
      <c r="M125" s="118">
        <v>0</v>
      </c>
      <c r="N125" s="118">
        <v>0</v>
      </c>
    </row>
    <row r="126" spans="2:14" x14ac:dyDescent="0.2">
      <c r="B126" s="129" t="s">
        <v>25</v>
      </c>
      <c r="C126" s="121" t="s">
        <v>1282</v>
      </c>
      <c r="D126" s="121" t="s">
        <v>1282</v>
      </c>
      <c r="E126" s="118">
        <v>141</v>
      </c>
      <c r="F126" s="118">
        <v>551</v>
      </c>
      <c r="G126" s="118">
        <v>0</v>
      </c>
      <c r="I126" s="129" t="str">
        <f t="shared" si="12"/>
        <v>Partes relacionadas</v>
      </c>
      <c r="J126" s="121" t="s">
        <v>160</v>
      </c>
      <c r="K126" s="121" t="s">
        <v>160</v>
      </c>
      <c r="L126" s="118">
        <v>412</v>
      </c>
      <c r="M126" s="118">
        <v>532</v>
      </c>
      <c r="N126" s="118">
        <v>0</v>
      </c>
    </row>
    <row r="127" spans="2:14" x14ac:dyDescent="0.2">
      <c r="B127" s="126" t="s">
        <v>1106</v>
      </c>
      <c r="C127" s="120" t="s">
        <v>1282</v>
      </c>
      <c r="D127" s="120" t="s">
        <v>1282</v>
      </c>
      <c r="E127" s="120">
        <f>SUM(E120:E126)</f>
        <v>145226</v>
      </c>
      <c r="F127" s="120">
        <f>SUM(F120:F126)</f>
        <v>62325</v>
      </c>
      <c r="G127" s="120">
        <f>SUM(G120:G126)</f>
        <v>10498</v>
      </c>
      <c r="I127" s="126" t="str">
        <f>B127</f>
        <v>Em 31 de dezembro de 2021</v>
      </c>
      <c r="J127" s="120" t="s">
        <v>160</v>
      </c>
      <c r="K127" s="120" t="s">
        <v>160</v>
      </c>
      <c r="L127" s="120">
        <f>SUM(L120:L126)</f>
        <v>133943</v>
      </c>
      <c r="M127" s="120">
        <f>SUM(M120:M126)</f>
        <v>62306</v>
      </c>
      <c r="N127" s="120">
        <f>SUM(N120:N126)</f>
        <v>10498</v>
      </c>
    </row>
    <row r="128" spans="2:14" x14ac:dyDescent="0.2">
      <c r="B128" s="129" t="s">
        <v>16</v>
      </c>
      <c r="C128" s="121" t="s">
        <v>1282</v>
      </c>
      <c r="D128" s="121" t="s">
        <v>1282</v>
      </c>
      <c r="E128" s="118">
        <v>70151</v>
      </c>
      <c r="F128" s="118">
        <v>55028</v>
      </c>
      <c r="G128" s="118">
        <v>15356</v>
      </c>
      <c r="I128" s="129" t="s">
        <v>16</v>
      </c>
      <c r="J128" s="121" t="s">
        <v>160</v>
      </c>
      <c r="K128" s="121" t="s">
        <v>160</v>
      </c>
      <c r="L128" s="118">
        <v>70151</v>
      </c>
      <c r="M128" s="118">
        <v>55028</v>
      </c>
      <c r="N128" s="118">
        <v>15356</v>
      </c>
    </row>
    <row r="129" spans="2:14" x14ac:dyDescent="0.2">
      <c r="B129" s="129" t="s">
        <v>23</v>
      </c>
      <c r="C129" s="121" t="s">
        <v>1282</v>
      </c>
      <c r="D129" s="121" t="s">
        <v>1282</v>
      </c>
      <c r="E129" s="118">
        <v>0</v>
      </c>
      <c r="F129" s="118">
        <v>0</v>
      </c>
      <c r="G129" s="118">
        <v>0</v>
      </c>
      <c r="I129" s="129" t="s">
        <v>23</v>
      </c>
      <c r="J129" s="121" t="s">
        <v>160</v>
      </c>
      <c r="K129" s="121" t="s">
        <v>160</v>
      </c>
      <c r="L129" s="118">
        <v>0</v>
      </c>
      <c r="M129" s="118">
        <v>0</v>
      </c>
      <c r="N129" s="118">
        <v>0</v>
      </c>
    </row>
    <row r="130" spans="2:14" x14ac:dyDescent="0.2">
      <c r="B130" s="129" t="s">
        <v>164</v>
      </c>
      <c r="C130" s="121" t="s">
        <v>1282</v>
      </c>
      <c r="D130" s="121" t="s">
        <v>1282</v>
      </c>
      <c r="E130" s="118">
        <v>37709</v>
      </c>
      <c r="F130" s="118">
        <v>0</v>
      </c>
      <c r="G130" s="118">
        <v>0</v>
      </c>
      <c r="I130" s="129" t="s">
        <v>164</v>
      </c>
      <c r="J130" s="121" t="s">
        <v>160</v>
      </c>
      <c r="K130" s="121" t="s">
        <v>160</v>
      </c>
      <c r="L130" s="118">
        <v>29852</v>
      </c>
      <c r="M130" s="118">
        <v>0</v>
      </c>
      <c r="N130" s="118">
        <v>0</v>
      </c>
    </row>
    <row r="131" spans="2:14" x14ac:dyDescent="0.2">
      <c r="B131" s="129" t="s">
        <v>24</v>
      </c>
      <c r="C131" s="121" t="s">
        <v>1282</v>
      </c>
      <c r="D131" s="121" t="s">
        <v>1282</v>
      </c>
      <c r="E131" s="118">
        <v>23986</v>
      </c>
      <c r="F131" s="118">
        <v>0</v>
      </c>
      <c r="G131" s="118">
        <v>0</v>
      </c>
      <c r="I131" s="129" t="s">
        <v>24</v>
      </c>
      <c r="J131" s="121" t="s">
        <v>160</v>
      </c>
      <c r="K131" s="121" t="s">
        <v>160</v>
      </c>
      <c r="L131" s="118">
        <v>19688</v>
      </c>
      <c r="M131" s="118">
        <v>0</v>
      </c>
      <c r="N131" s="118">
        <v>0</v>
      </c>
    </row>
    <row r="132" spans="2:14" x14ac:dyDescent="0.2">
      <c r="B132" s="129" t="s">
        <v>792</v>
      </c>
      <c r="C132" s="121" t="s">
        <v>1282</v>
      </c>
      <c r="D132" s="121" t="s">
        <v>1282</v>
      </c>
      <c r="E132" s="118">
        <v>0</v>
      </c>
      <c r="F132" s="118">
        <v>0</v>
      </c>
      <c r="G132" s="118">
        <v>0</v>
      </c>
      <c r="I132" s="129" t="s">
        <v>792</v>
      </c>
      <c r="J132" s="121" t="s">
        <v>160</v>
      </c>
      <c r="K132" s="121" t="s">
        <v>160</v>
      </c>
      <c r="L132" s="118">
        <v>0</v>
      </c>
      <c r="M132" s="118">
        <v>0</v>
      </c>
      <c r="N132" s="118">
        <v>0</v>
      </c>
    </row>
    <row r="133" spans="2:14" x14ac:dyDescent="0.2">
      <c r="B133" s="129" t="s">
        <v>566</v>
      </c>
      <c r="C133" s="121" t="s">
        <v>1282</v>
      </c>
      <c r="D133" s="121" t="s">
        <v>1282</v>
      </c>
      <c r="E133" s="118">
        <v>0</v>
      </c>
      <c r="F133" s="118">
        <v>0</v>
      </c>
      <c r="G133" s="118">
        <v>0</v>
      </c>
      <c r="I133" s="129" t="s">
        <v>566</v>
      </c>
      <c r="J133" s="121" t="s">
        <v>160</v>
      </c>
      <c r="K133" s="121" t="s">
        <v>160</v>
      </c>
      <c r="L133" s="118">
        <v>0</v>
      </c>
      <c r="M133" s="118">
        <v>0</v>
      </c>
      <c r="N133" s="118">
        <v>0</v>
      </c>
    </row>
    <row r="134" spans="2:14" x14ac:dyDescent="0.2">
      <c r="B134" s="129" t="s">
        <v>25</v>
      </c>
      <c r="C134" s="121" t="s">
        <v>1282</v>
      </c>
      <c r="D134" s="121" t="s">
        <v>1282</v>
      </c>
      <c r="E134" s="118">
        <v>421</v>
      </c>
      <c r="F134" s="118">
        <v>553</v>
      </c>
      <c r="G134" s="118">
        <v>0</v>
      </c>
      <c r="I134" s="129" t="s">
        <v>25</v>
      </c>
      <c r="J134" s="121" t="s">
        <v>160</v>
      </c>
      <c r="K134" s="121" t="s">
        <v>160</v>
      </c>
      <c r="L134" s="118">
        <v>605</v>
      </c>
      <c r="M134" s="118">
        <v>533</v>
      </c>
      <c r="N134" s="118">
        <v>0</v>
      </c>
    </row>
    <row r="135" spans="2:14" x14ac:dyDescent="0.2">
      <c r="B135" s="126" t="s">
        <v>1099</v>
      </c>
      <c r="C135" s="120" t="s">
        <v>1282</v>
      </c>
      <c r="D135" s="120" t="s">
        <v>1282</v>
      </c>
      <c r="E135" s="120">
        <f>SUM(E128:E134)</f>
        <v>132267</v>
      </c>
      <c r="F135" s="120">
        <f>SUM(F128:F134)</f>
        <v>55581</v>
      </c>
      <c r="G135" s="120">
        <f>SUM(G128:G134)</f>
        <v>15356</v>
      </c>
      <c r="I135" s="126" t="str">
        <f>B135</f>
        <v>Em 30 de setembro de 2021</v>
      </c>
      <c r="J135" s="120" t="s">
        <v>160</v>
      </c>
      <c r="K135" s="120" t="s">
        <v>160</v>
      </c>
      <c r="L135" s="120">
        <f>SUM(L128:L134)</f>
        <v>120296</v>
      </c>
      <c r="M135" s="120">
        <f>SUM(M128:M134)</f>
        <v>55561</v>
      </c>
      <c r="N135" s="120">
        <f>SUM(N128:N134)</f>
        <v>15356</v>
      </c>
    </row>
    <row r="136" spans="2:14" x14ac:dyDescent="0.2">
      <c r="B136" s="129" t="s">
        <v>16</v>
      </c>
      <c r="C136" s="121" t="s">
        <v>1282</v>
      </c>
      <c r="D136" s="121" t="s">
        <v>1282</v>
      </c>
      <c r="E136" s="118">
        <v>68193</v>
      </c>
      <c r="F136" s="118">
        <v>14130</v>
      </c>
      <c r="G136" s="118">
        <v>57035</v>
      </c>
      <c r="I136" s="129" t="s">
        <v>16</v>
      </c>
      <c r="J136" s="121" t="s">
        <v>160</v>
      </c>
      <c r="K136" s="121" t="s">
        <v>160</v>
      </c>
      <c r="L136" s="118">
        <v>68193</v>
      </c>
      <c r="M136" s="118">
        <v>14130</v>
      </c>
      <c r="N136" s="118">
        <v>57035</v>
      </c>
    </row>
    <row r="137" spans="2:14" x14ac:dyDescent="0.2">
      <c r="B137" s="129" t="s">
        <v>23</v>
      </c>
      <c r="C137" s="121" t="s">
        <v>1282</v>
      </c>
      <c r="D137" s="121" t="s">
        <v>1282</v>
      </c>
      <c r="E137" s="118">
        <v>25202</v>
      </c>
      <c r="F137" s="118">
        <v>0</v>
      </c>
      <c r="G137" s="118">
        <v>0</v>
      </c>
      <c r="I137" s="129" t="s">
        <v>23</v>
      </c>
      <c r="J137" s="121" t="s">
        <v>160</v>
      </c>
      <c r="K137" s="121" t="s">
        <v>160</v>
      </c>
      <c r="L137" s="118">
        <v>25202</v>
      </c>
      <c r="M137" s="118">
        <v>0</v>
      </c>
      <c r="N137" s="118">
        <v>0</v>
      </c>
    </row>
    <row r="138" spans="2:14" x14ac:dyDescent="0.2">
      <c r="B138" s="129" t="s">
        <v>164</v>
      </c>
      <c r="C138" s="121" t="s">
        <v>1282</v>
      </c>
      <c r="D138" s="121" t="s">
        <v>1282</v>
      </c>
      <c r="E138" s="118">
        <v>29673</v>
      </c>
      <c r="F138" s="118">
        <v>0</v>
      </c>
      <c r="G138" s="118">
        <v>0</v>
      </c>
      <c r="I138" s="129" t="s">
        <v>164</v>
      </c>
      <c r="J138" s="121" t="s">
        <v>160</v>
      </c>
      <c r="K138" s="121" t="s">
        <v>160</v>
      </c>
      <c r="L138" s="118">
        <v>23087</v>
      </c>
      <c r="M138" s="118">
        <v>0</v>
      </c>
      <c r="N138" s="118">
        <v>0</v>
      </c>
    </row>
    <row r="139" spans="2:14" x14ac:dyDescent="0.2">
      <c r="B139" s="129" t="s">
        <v>24</v>
      </c>
      <c r="C139" s="121" t="s">
        <v>1282</v>
      </c>
      <c r="D139" s="121" t="s">
        <v>1282</v>
      </c>
      <c r="E139" s="118">
        <v>26483</v>
      </c>
      <c r="F139" s="118">
        <v>0</v>
      </c>
      <c r="G139" s="118">
        <v>0</v>
      </c>
      <c r="I139" s="129" t="s">
        <v>24</v>
      </c>
      <c r="J139" s="121" t="s">
        <v>160</v>
      </c>
      <c r="K139" s="121" t="s">
        <v>160</v>
      </c>
      <c r="L139" s="118">
        <v>22422</v>
      </c>
      <c r="M139" s="118">
        <v>0</v>
      </c>
      <c r="N139" s="118">
        <v>0</v>
      </c>
    </row>
    <row r="140" spans="2:14" x14ac:dyDescent="0.2">
      <c r="B140" s="129" t="s">
        <v>792</v>
      </c>
      <c r="C140" s="121" t="s">
        <v>1282</v>
      </c>
      <c r="D140" s="121" t="s">
        <v>1282</v>
      </c>
      <c r="E140" s="118">
        <v>0</v>
      </c>
      <c r="F140" s="118">
        <v>0</v>
      </c>
      <c r="G140" s="118">
        <v>0</v>
      </c>
      <c r="I140" s="129" t="s">
        <v>792</v>
      </c>
      <c r="J140" s="121" t="s">
        <v>160</v>
      </c>
      <c r="K140" s="121" t="s">
        <v>160</v>
      </c>
      <c r="L140" s="118">
        <v>0</v>
      </c>
      <c r="M140" s="118">
        <v>0</v>
      </c>
      <c r="N140" s="118">
        <v>0</v>
      </c>
    </row>
    <row r="141" spans="2:14" x14ac:dyDescent="0.2">
      <c r="B141" s="129" t="s">
        <v>566</v>
      </c>
      <c r="C141" s="121" t="s">
        <v>1282</v>
      </c>
      <c r="D141" s="121" t="s">
        <v>1282</v>
      </c>
      <c r="E141" s="118">
        <v>0</v>
      </c>
      <c r="F141" s="118">
        <v>0</v>
      </c>
      <c r="G141" s="118">
        <v>0</v>
      </c>
      <c r="I141" s="129" t="s">
        <v>566</v>
      </c>
      <c r="J141" s="121" t="s">
        <v>160</v>
      </c>
      <c r="K141" s="121" t="s">
        <v>160</v>
      </c>
      <c r="L141" s="118">
        <v>0</v>
      </c>
      <c r="M141" s="118">
        <v>0</v>
      </c>
      <c r="N141" s="118">
        <v>0</v>
      </c>
    </row>
    <row r="142" spans="2:14" x14ac:dyDescent="0.2">
      <c r="B142" s="129" t="s">
        <v>25</v>
      </c>
      <c r="C142" s="121" t="s">
        <v>1282</v>
      </c>
      <c r="D142" s="121" t="s">
        <v>1282</v>
      </c>
      <c r="E142" s="118">
        <v>25</v>
      </c>
      <c r="F142" s="118">
        <v>553</v>
      </c>
      <c r="G142" s="118">
        <v>0</v>
      </c>
      <c r="I142" s="129" t="s">
        <v>25</v>
      </c>
      <c r="J142" s="121" t="s">
        <v>160</v>
      </c>
      <c r="K142" s="121" t="s">
        <v>160</v>
      </c>
      <c r="L142" s="118">
        <v>147</v>
      </c>
      <c r="M142" s="118">
        <v>533</v>
      </c>
      <c r="N142" s="118">
        <v>0</v>
      </c>
    </row>
    <row r="143" spans="2:14" x14ac:dyDescent="0.2">
      <c r="B143" s="126" t="s">
        <v>1072</v>
      </c>
      <c r="C143" s="120" t="s">
        <v>1282</v>
      </c>
      <c r="D143" s="120" t="s">
        <v>1282</v>
      </c>
      <c r="E143" s="120">
        <f>SUM(E136:E142)</f>
        <v>149576</v>
      </c>
      <c r="F143" s="120">
        <f>SUM(F136:F142)</f>
        <v>14683</v>
      </c>
      <c r="G143" s="120">
        <f>SUM(G136:G142)</f>
        <v>57035</v>
      </c>
      <c r="I143" s="126" t="str">
        <f>B143</f>
        <v>Em 30 de junho de 2021</v>
      </c>
      <c r="J143" s="120" t="s">
        <v>160</v>
      </c>
      <c r="K143" s="120" t="s">
        <v>160</v>
      </c>
      <c r="L143" s="120">
        <f>SUM(L136:L142)</f>
        <v>139051</v>
      </c>
      <c r="M143" s="120">
        <f>SUM(M136:M142)</f>
        <v>14663</v>
      </c>
      <c r="N143" s="120">
        <f>SUM(N136:N142)</f>
        <v>57035</v>
      </c>
    </row>
    <row r="144" spans="2:14" x14ac:dyDescent="0.2">
      <c r="B144" s="129" t="s">
        <v>16</v>
      </c>
      <c r="C144" s="121" t="s">
        <v>1282</v>
      </c>
      <c r="D144" s="121" t="s">
        <v>1282</v>
      </c>
      <c r="E144" s="118">
        <v>59039</v>
      </c>
      <c r="F144" s="118">
        <v>64778</v>
      </c>
      <c r="G144" s="118">
        <v>56558</v>
      </c>
      <c r="I144" s="129" t="str">
        <f>B144</f>
        <v>Empréstimos e financiamentos</v>
      </c>
      <c r="J144" s="121" t="s">
        <v>160</v>
      </c>
      <c r="K144" s="121" t="s">
        <v>160</v>
      </c>
      <c r="L144" s="118">
        <v>59039</v>
      </c>
      <c r="M144" s="118">
        <v>64778</v>
      </c>
      <c r="N144" s="118">
        <v>56558</v>
      </c>
    </row>
    <row r="145" spans="2:14" x14ac:dyDescent="0.2">
      <c r="B145" s="129" t="s">
        <v>23</v>
      </c>
      <c r="C145" s="121" t="s">
        <v>1282</v>
      </c>
      <c r="D145" s="121" t="s">
        <v>1282</v>
      </c>
      <c r="E145" s="118">
        <v>25676</v>
      </c>
      <c r="F145" s="118">
        <v>0</v>
      </c>
      <c r="G145" s="118">
        <v>0</v>
      </c>
      <c r="I145" s="129" t="str">
        <f t="shared" ref="I145:I150" si="13">B145</f>
        <v>Debêntures</v>
      </c>
      <c r="J145" s="121" t="s">
        <v>160</v>
      </c>
      <c r="K145" s="121" t="s">
        <v>160</v>
      </c>
      <c r="L145" s="118">
        <v>25676</v>
      </c>
      <c r="M145" s="118">
        <v>0</v>
      </c>
      <c r="N145" s="118">
        <v>0</v>
      </c>
    </row>
    <row r="146" spans="2:14" x14ac:dyDescent="0.2">
      <c r="B146" s="129" t="s">
        <v>164</v>
      </c>
      <c r="C146" s="121" t="s">
        <v>1282</v>
      </c>
      <c r="D146" s="121" t="s">
        <v>1282</v>
      </c>
      <c r="E146" s="118">
        <v>27426</v>
      </c>
      <c r="F146" s="118">
        <v>0</v>
      </c>
      <c r="G146" s="118">
        <v>0</v>
      </c>
      <c r="I146" s="129" t="str">
        <f t="shared" si="13"/>
        <v>Fornecedores e fretes a pagar</v>
      </c>
      <c r="J146" s="121" t="s">
        <v>160</v>
      </c>
      <c r="K146" s="121" t="s">
        <v>160</v>
      </c>
      <c r="L146" s="118">
        <v>22320</v>
      </c>
      <c r="M146" s="118">
        <v>0</v>
      </c>
      <c r="N146" s="118">
        <v>0</v>
      </c>
    </row>
    <row r="147" spans="2:14" x14ac:dyDescent="0.2">
      <c r="B147" s="129" t="s">
        <v>24</v>
      </c>
      <c r="C147" s="121" t="s">
        <v>1282</v>
      </c>
      <c r="D147" s="121" t="s">
        <v>1282</v>
      </c>
      <c r="E147" s="118">
        <v>25480</v>
      </c>
      <c r="F147" s="118">
        <v>0</v>
      </c>
      <c r="G147" s="118">
        <v>0</v>
      </c>
      <c r="I147" s="129" t="str">
        <f t="shared" si="13"/>
        <v>Demais contas a pagar</v>
      </c>
      <c r="J147" s="121" t="s">
        <v>160</v>
      </c>
      <c r="K147" s="121" t="s">
        <v>160</v>
      </c>
      <c r="L147" s="118">
        <v>21455</v>
      </c>
      <c r="M147" s="118">
        <v>0</v>
      </c>
      <c r="N147" s="118">
        <v>0</v>
      </c>
    </row>
    <row r="148" spans="2:14" x14ac:dyDescent="0.2">
      <c r="B148" s="129" t="s">
        <v>792</v>
      </c>
      <c r="C148" s="121" t="s">
        <v>1282</v>
      </c>
      <c r="D148" s="121" t="s">
        <v>1282</v>
      </c>
      <c r="E148" s="118">
        <v>0</v>
      </c>
      <c r="F148" s="118">
        <v>0</v>
      </c>
      <c r="G148" s="118">
        <v>0</v>
      </c>
      <c r="I148" s="129" t="str">
        <f t="shared" si="13"/>
        <v>Instrumento financeiros derivativos</v>
      </c>
      <c r="J148" s="121" t="s">
        <v>160</v>
      </c>
      <c r="K148" s="121" t="s">
        <v>160</v>
      </c>
      <c r="L148" s="118">
        <v>0</v>
      </c>
      <c r="M148" s="118">
        <v>0</v>
      </c>
      <c r="N148" s="118">
        <v>0</v>
      </c>
    </row>
    <row r="149" spans="2:14" x14ac:dyDescent="0.2">
      <c r="B149" s="129" t="s">
        <v>566</v>
      </c>
      <c r="C149" s="121" t="s">
        <v>1282</v>
      </c>
      <c r="D149" s="121" t="s">
        <v>1282</v>
      </c>
      <c r="E149" s="118">
        <v>0</v>
      </c>
      <c r="F149" s="118">
        <v>0</v>
      </c>
      <c r="G149" s="118">
        <v>0</v>
      </c>
      <c r="I149" s="129" t="str">
        <f t="shared" si="13"/>
        <v>Dividendos a pagar</v>
      </c>
      <c r="J149" s="121" t="s">
        <v>160</v>
      </c>
      <c r="K149" s="121" t="s">
        <v>160</v>
      </c>
      <c r="L149" s="118">
        <v>0</v>
      </c>
      <c r="M149" s="118">
        <v>0</v>
      </c>
      <c r="N149" s="118">
        <v>0</v>
      </c>
    </row>
    <row r="150" spans="2:14" x14ac:dyDescent="0.2">
      <c r="B150" s="129" t="s">
        <v>25</v>
      </c>
      <c r="C150" s="121" t="s">
        <v>1282</v>
      </c>
      <c r="D150" s="121" t="s">
        <v>1282</v>
      </c>
      <c r="E150" s="118">
        <v>54</v>
      </c>
      <c r="F150" s="118">
        <v>559</v>
      </c>
      <c r="G150" s="118">
        <v>0</v>
      </c>
      <c r="I150" s="129" t="str">
        <f t="shared" si="13"/>
        <v>Partes relacionadas</v>
      </c>
      <c r="J150" s="121" t="s">
        <v>160</v>
      </c>
      <c r="K150" s="121" t="s">
        <v>160</v>
      </c>
      <c r="L150" s="118">
        <v>217</v>
      </c>
      <c r="M150" s="118">
        <v>539</v>
      </c>
      <c r="N150" s="118">
        <v>0</v>
      </c>
    </row>
    <row r="151" spans="2:14" x14ac:dyDescent="0.2">
      <c r="B151" s="126" t="s">
        <v>1068</v>
      </c>
      <c r="C151" s="120" t="s">
        <v>1282</v>
      </c>
      <c r="D151" s="120" t="s">
        <v>1282</v>
      </c>
      <c r="E151" s="120">
        <f>SUM(E144:E150)</f>
        <v>137675</v>
      </c>
      <c r="F151" s="120">
        <f>SUM(F144:F150)</f>
        <v>65337</v>
      </c>
      <c r="G151" s="120">
        <f>SUM(G144:G150)</f>
        <v>56558</v>
      </c>
      <c r="I151" s="126" t="str">
        <f>B151</f>
        <v>Em 31 de março de 2021</v>
      </c>
      <c r="J151" s="120" t="s">
        <v>160</v>
      </c>
      <c r="K151" s="120" t="s">
        <v>160</v>
      </c>
      <c r="L151" s="120">
        <f>SUM(L144:L150)</f>
        <v>128707</v>
      </c>
      <c r="M151" s="120">
        <f>SUM(M144:M150)</f>
        <v>65317</v>
      </c>
      <c r="N151" s="120">
        <f>SUM(N144:N150)</f>
        <v>56558</v>
      </c>
    </row>
    <row r="152" spans="2:14" x14ac:dyDescent="0.2">
      <c r="B152" s="129" t="s">
        <v>16</v>
      </c>
      <c r="C152" s="121" t="s">
        <v>1282</v>
      </c>
      <c r="D152" s="121" t="s">
        <v>1282</v>
      </c>
      <c r="E152" s="118">
        <v>48366</v>
      </c>
      <c r="F152" s="118">
        <v>64262</v>
      </c>
      <c r="G152" s="118">
        <v>67663</v>
      </c>
      <c r="I152" s="129" t="str">
        <f>B152</f>
        <v>Empréstimos e financiamentos</v>
      </c>
      <c r="J152" s="121" t="s">
        <v>160</v>
      </c>
      <c r="K152" s="121" t="s">
        <v>160</v>
      </c>
      <c r="L152" s="118">
        <v>48366</v>
      </c>
      <c r="M152" s="118">
        <v>64262</v>
      </c>
      <c r="N152" s="118">
        <v>67663</v>
      </c>
    </row>
    <row r="153" spans="2:14" x14ac:dyDescent="0.2">
      <c r="B153" s="129" t="s">
        <v>23</v>
      </c>
      <c r="C153" s="121" t="s">
        <v>1282</v>
      </c>
      <c r="D153" s="121" t="s">
        <v>1282</v>
      </c>
      <c r="E153" s="118">
        <v>25608</v>
      </c>
      <c r="F153" s="118">
        <v>0</v>
      </c>
      <c r="G153" s="118">
        <v>0</v>
      </c>
      <c r="I153" s="129" t="str">
        <f t="shared" ref="I153:I158" si="14">B153</f>
        <v>Debêntures</v>
      </c>
      <c r="J153" s="121" t="s">
        <v>160</v>
      </c>
      <c r="K153" s="121" t="s">
        <v>160</v>
      </c>
      <c r="L153" s="118">
        <v>25608</v>
      </c>
      <c r="M153" s="118">
        <v>0</v>
      </c>
      <c r="N153" s="118">
        <v>0</v>
      </c>
    </row>
    <row r="154" spans="2:14" x14ac:dyDescent="0.2">
      <c r="B154" s="129" t="s">
        <v>164</v>
      </c>
      <c r="C154" s="121" t="s">
        <v>1282</v>
      </c>
      <c r="D154" s="121" t="s">
        <v>1282</v>
      </c>
      <c r="E154" s="118">
        <v>31268</v>
      </c>
      <c r="F154" s="118">
        <v>0</v>
      </c>
      <c r="G154" s="118">
        <v>0</v>
      </c>
      <c r="I154" s="129" t="str">
        <f t="shared" si="14"/>
        <v>Fornecedores e fretes a pagar</v>
      </c>
      <c r="J154" s="121" t="s">
        <v>160</v>
      </c>
      <c r="K154" s="121" t="s">
        <v>160</v>
      </c>
      <c r="L154" s="118">
        <v>26651</v>
      </c>
      <c r="M154" s="118">
        <v>0</v>
      </c>
      <c r="N154" s="118">
        <v>0</v>
      </c>
    </row>
    <row r="155" spans="2:14" x14ac:dyDescent="0.2">
      <c r="B155" s="129" t="s">
        <v>24</v>
      </c>
      <c r="C155" s="121" t="s">
        <v>1282</v>
      </c>
      <c r="D155" s="121" t="s">
        <v>1282</v>
      </c>
      <c r="E155" s="118">
        <v>30588</v>
      </c>
      <c r="F155" s="118">
        <v>0</v>
      </c>
      <c r="G155" s="118">
        <v>0</v>
      </c>
      <c r="I155" s="129" t="str">
        <f t="shared" si="14"/>
        <v>Demais contas a pagar</v>
      </c>
      <c r="J155" s="121" t="s">
        <v>160</v>
      </c>
      <c r="K155" s="121" t="s">
        <v>160</v>
      </c>
      <c r="L155" s="118">
        <v>24054</v>
      </c>
      <c r="M155" s="118">
        <v>0</v>
      </c>
      <c r="N155" s="118">
        <v>0</v>
      </c>
    </row>
    <row r="156" spans="2:14" x14ac:dyDescent="0.2">
      <c r="B156" s="129" t="s">
        <v>792</v>
      </c>
      <c r="C156" s="121" t="s">
        <v>1282</v>
      </c>
      <c r="D156" s="121" t="s">
        <v>1282</v>
      </c>
      <c r="E156" s="118">
        <v>0</v>
      </c>
      <c r="F156" s="118">
        <v>0</v>
      </c>
      <c r="G156" s="118">
        <v>0</v>
      </c>
      <c r="I156" s="129" t="str">
        <f t="shared" si="14"/>
        <v>Instrumento financeiros derivativos</v>
      </c>
      <c r="J156" s="121" t="s">
        <v>160</v>
      </c>
      <c r="K156" s="121" t="s">
        <v>160</v>
      </c>
      <c r="L156" s="118">
        <v>0</v>
      </c>
      <c r="M156" s="118">
        <v>0</v>
      </c>
      <c r="N156" s="118">
        <v>0</v>
      </c>
    </row>
    <row r="157" spans="2:14" x14ac:dyDescent="0.2">
      <c r="B157" s="129" t="s">
        <v>566</v>
      </c>
      <c r="C157" s="121" t="s">
        <v>1282</v>
      </c>
      <c r="D157" s="121" t="s">
        <v>1282</v>
      </c>
      <c r="E157" s="118">
        <v>0</v>
      </c>
      <c r="F157" s="118">
        <v>0</v>
      </c>
      <c r="G157" s="118">
        <v>0</v>
      </c>
      <c r="I157" s="129" t="str">
        <f t="shared" si="14"/>
        <v>Dividendos a pagar</v>
      </c>
      <c r="J157" s="121" t="s">
        <v>160</v>
      </c>
      <c r="K157" s="121" t="s">
        <v>160</v>
      </c>
      <c r="L157" s="118">
        <v>0</v>
      </c>
      <c r="M157" s="118">
        <v>0</v>
      </c>
      <c r="N157" s="118">
        <v>0</v>
      </c>
    </row>
    <row r="158" spans="2:14" x14ac:dyDescent="0.2">
      <c r="B158" s="129" t="s">
        <v>25</v>
      </c>
      <c r="C158" s="121" t="s">
        <v>1282</v>
      </c>
      <c r="D158" s="121" t="s">
        <v>1282</v>
      </c>
      <c r="E158" s="118">
        <v>73</v>
      </c>
      <c r="F158" s="118">
        <v>559</v>
      </c>
      <c r="G158" s="118">
        <v>0</v>
      </c>
      <c r="I158" s="129" t="str">
        <f t="shared" si="14"/>
        <v>Partes relacionadas</v>
      </c>
      <c r="J158" s="121" t="s">
        <v>160</v>
      </c>
      <c r="K158" s="121" t="s">
        <v>160</v>
      </c>
      <c r="L158" s="118">
        <v>150</v>
      </c>
      <c r="M158" s="118">
        <v>539</v>
      </c>
      <c r="N158" s="118">
        <v>0</v>
      </c>
    </row>
    <row r="159" spans="2:14" x14ac:dyDescent="0.2">
      <c r="B159" s="126" t="s">
        <v>1045</v>
      </c>
      <c r="C159" s="120" t="s">
        <v>1282</v>
      </c>
      <c r="D159" s="120" t="s">
        <v>1282</v>
      </c>
      <c r="E159" s="120">
        <f>SUM(E152:E158)</f>
        <v>135903</v>
      </c>
      <c r="F159" s="120">
        <f>SUM(F152:F158)</f>
        <v>64821</v>
      </c>
      <c r="G159" s="120">
        <f>SUM(G152:G158)</f>
        <v>67663</v>
      </c>
      <c r="I159" s="126" t="str">
        <f>B159</f>
        <v>Em 30 de dezembro de 2020</v>
      </c>
      <c r="J159" s="120" t="s">
        <v>160</v>
      </c>
      <c r="K159" s="120" t="s">
        <v>160</v>
      </c>
      <c r="L159" s="120">
        <f>SUM(L152:L158)</f>
        <v>124829</v>
      </c>
      <c r="M159" s="120">
        <f>SUM(M152:M158)</f>
        <v>64801</v>
      </c>
      <c r="N159" s="120">
        <f>SUM(N152:N158)</f>
        <v>67663</v>
      </c>
    </row>
    <row r="160" spans="2:14" x14ac:dyDescent="0.2">
      <c r="B160" s="129" t="s">
        <v>16</v>
      </c>
      <c r="C160" s="121" t="s">
        <v>1282</v>
      </c>
      <c r="D160" s="121" t="s">
        <v>1282</v>
      </c>
      <c r="E160" s="118">
        <v>48504</v>
      </c>
      <c r="F160" s="118">
        <v>65705</v>
      </c>
      <c r="G160" s="118">
        <v>67663</v>
      </c>
      <c r="I160" s="129" t="str">
        <f>B160</f>
        <v>Empréstimos e financiamentos</v>
      </c>
      <c r="J160" s="121" t="s">
        <v>160</v>
      </c>
      <c r="K160" s="121" t="s">
        <v>160</v>
      </c>
      <c r="L160" s="118">
        <v>48504</v>
      </c>
      <c r="M160" s="118">
        <v>65705</v>
      </c>
      <c r="N160" s="118">
        <v>67663</v>
      </c>
    </row>
    <row r="161" spans="2:14" x14ac:dyDescent="0.2">
      <c r="B161" s="129" t="s">
        <v>23</v>
      </c>
      <c r="C161" s="121" t="s">
        <v>1282</v>
      </c>
      <c r="D161" s="121" t="s">
        <v>1282</v>
      </c>
      <c r="E161" s="118">
        <v>25972</v>
      </c>
      <c r="F161" s="118">
        <v>0</v>
      </c>
      <c r="G161" s="118">
        <v>0</v>
      </c>
      <c r="I161" s="129" t="str">
        <f t="shared" ref="I161:I166" si="15">B161</f>
        <v>Debêntures</v>
      </c>
      <c r="J161" s="121" t="s">
        <v>160</v>
      </c>
      <c r="K161" s="121" t="s">
        <v>160</v>
      </c>
      <c r="L161" s="118">
        <v>25972</v>
      </c>
      <c r="M161" s="118">
        <v>0</v>
      </c>
      <c r="N161" s="118">
        <v>0</v>
      </c>
    </row>
    <row r="162" spans="2:14" x14ac:dyDescent="0.2">
      <c r="B162" s="129" t="s">
        <v>164</v>
      </c>
      <c r="C162" s="121" t="s">
        <v>1282</v>
      </c>
      <c r="D162" s="121" t="s">
        <v>1282</v>
      </c>
      <c r="E162" s="118">
        <v>28173</v>
      </c>
      <c r="F162" s="118">
        <v>0</v>
      </c>
      <c r="G162" s="118">
        <v>0</v>
      </c>
      <c r="I162" s="129" t="str">
        <f t="shared" si="15"/>
        <v>Fornecedores e fretes a pagar</v>
      </c>
      <c r="J162" s="121" t="s">
        <v>160</v>
      </c>
      <c r="K162" s="121" t="s">
        <v>160</v>
      </c>
      <c r="L162" s="118">
        <v>24061</v>
      </c>
      <c r="M162" s="118">
        <v>0</v>
      </c>
      <c r="N162" s="118">
        <v>0</v>
      </c>
    </row>
    <row r="163" spans="2:14" x14ac:dyDescent="0.2">
      <c r="B163" s="129" t="s">
        <v>24</v>
      </c>
      <c r="C163" s="121" t="s">
        <v>1282</v>
      </c>
      <c r="D163" s="121" t="s">
        <v>1282</v>
      </c>
      <c r="E163" s="118">
        <v>30252</v>
      </c>
      <c r="F163" s="118">
        <v>0</v>
      </c>
      <c r="G163" s="118">
        <v>0</v>
      </c>
      <c r="I163" s="129" t="str">
        <f t="shared" si="15"/>
        <v>Demais contas a pagar</v>
      </c>
      <c r="J163" s="121" t="s">
        <v>160</v>
      </c>
      <c r="K163" s="121" t="s">
        <v>160</v>
      </c>
      <c r="L163" s="118">
        <v>23922</v>
      </c>
      <c r="M163" s="118">
        <v>0</v>
      </c>
      <c r="N163" s="118">
        <v>0</v>
      </c>
    </row>
    <row r="164" spans="2:14" x14ac:dyDescent="0.2">
      <c r="B164" s="129" t="s">
        <v>792</v>
      </c>
      <c r="C164" s="121" t="s">
        <v>1282</v>
      </c>
      <c r="D164" s="121" t="s">
        <v>1282</v>
      </c>
      <c r="E164" s="118">
        <v>0</v>
      </c>
      <c r="F164" s="118">
        <v>0</v>
      </c>
      <c r="G164" s="118">
        <v>0</v>
      </c>
      <c r="I164" s="129" t="str">
        <f t="shared" si="15"/>
        <v>Instrumento financeiros derivativos</v>
      </c>
      <c r="J164" s="121" t="s">
        <v>160</v>
      </c>
      <c r="K164" s="121" t="s">
        <v>160</v>
      </c>
      <c r="L164" s="118">
        <v>0</v>
      </c>
      <c r="M164" s="118">
        <v>0</v>
      </c>
      <c r="N164" s="118">
        <v>0</v>
      </c>
    </row>
    <row r="165" spans="2:14" x14ac:dyDescent="0.2">
      <c r="B165" s="129" t="s">
        <v>566</v>
      </c>
      <c r="C165" s="121" t="s">
        <v>1282</v>
      </c>
      <c r="D165" s="121" t="s">
        <v>1282</v>
      </c>
      <c r="E165" s="118">
        <v>0</v>
      </c>
      <c r="F165" s="118">
        <v>0</v>
      </c>
      <c r="G165" s="118">
        <v>0</v>
      </c>
      <c r="I165" s="129" t="str">
        <f t="shared" si="15"/>
        <v>Dividendos a pagar</v>
      </c>
      <c r="J165" s="121" t="s">
        <v>160</v>
      </c>
      <c r="K165" s="121" t="s">
        <v>160</v>
      </c>
      <c r="L165" s="118">
        <v>0</v>
      </c>
      <c r="M165" s="118">
        <v>0</v>
      </c>
      <c r="N165" s="118">
        <v>0</v>
      </c>
    </row>
    <row r="166" spans="2:14" x14ac:dyDescent="0.2">
      <c r="B166" s="129" t="s">
        <v>25</v>
      </c>
      <c r="C166" s="121" t="s">
        <v>1282</v>
      </c>
      <c r="D166" s="121" t="s">
        <v>1282</v>
      </c>
      <c r="E166" s="118">
        <v>35</v>
      </c>
      <c r="F166" s="118">
        <v>592</v>
      </c>
      <c r="G166" s="118">
        <v>0</v>
      </c>
      <c r="I166" s="129" t="str">
        <f t="shared" si="15"/>
        <v>Partes relacionadas</v>
      </c>
      <c r="J166" s="121" t="s">
        <v>160</v>
      </c>
      <c r="K166" s="121" t="s">
        <v>160</v>
      </c>
      <c r="L166" s="118">
        <v>87</v>
      </c>
      <c r="M166" s="118">
        <v>573</v>
      </c>
      <c r="N166" s="118">
        <v>0</v>
      </c>
    </row>
    <row r="167" spans="2:14" x14ac:dyDescent="0.2">
      <c r="B167" s="126" t="s">
        <v>1020</v>
      </c>
      <c r="C167" s="120" t="s">
        <v>1282</v>
      </c>
      <c r="D167" s="120" t="s">
        <v>1282</v>
      </c>
      <c r="E167" s="120">
        <f>SUM(E160:E166)</f>
        <v>132936</v>
      </c>
      <c r="F167" s="120">
        <f>SUM(F160:F166)</f>
        <v>66297</v>
      </c>
      <c r="G167" s="120">
        <f>SUM(G160:G166)</f>
        <v>67663</v>
      </c>
      <c r="I167" s="126" t="str">
        <f>B167</f>
        <v>Em 30 de setembro de 2020</v>
      </c>
      <c r="J167" s="120" t="s">
        <v>160</v>
      </c>
      <c r="K167" s="120" t="s">
        <v>160</v>
      </c>
      <c r="L167" s="120">
        <f>SUM(L160:L166)</f>
        <v>122546</v>
      </c>
      <c r="M167" s="120">
        <f>SUM(M160:M166)</f>
        <v>66278</v>
      </c>
      <c r="N167" s="120">
        <f>SUM(N160:N166)</f>
        <v>67663</v>
      </c>
    </row>
    <row r="168" spans="2:14" x14ac:dyDescent="0.2">
      <c r="B168" s="129" t="s">
        <v>16</v>
      </c>
      <c r="C168" s="121" t="s">
        <v>1282</v>
      </c>
      <c r="D168" s="121" t="s">
        <v>1282</v>
      </c>
      <c r="E168" s="118">
        <v>121422</v>
      </c>
      <c r="F168" s="118">
        <v>63963</v>
      </c>
      <c r="G168" s="118">
        <v>20991</v>
      </c>
      <c r="I168" s="129" t="str">
        <f>B168</f>
        <v>Empréstimos e financiamentos</v>
      </c>
      <c r="J168" s="121" t="s">
        <v>160</v>
      </c>
      <c r="K168" s="121" t="s">
        <v>160</v>
      </c>
      <c r="L168" s="118">
        <v>121422</v>
      </c>
      <c r="M168" s="118">
        <v>63963</v>
      </c>
      <c r="N168" s="118">
        <v>20991</v>
      </c>
    </row>
    <row r="169" spans="2:14" x14ac:dyDescent="0.2">
      <c r="B169" s="129" t="s">
        <v>23</v>
      </c>
      <c r="C169" s="121" t="s">
        <v>1282</v>
      </c>
      <c r="D169" s="121" t="s">
        <v>1282</v>
      </c>
      <c r="E169" s="118">
        <v>27595</v>
      </c>
      <c r="F169" s="118">
        <v>25140</v>
      </c>
      <c r="G169" s="118">
        <v>0</v>
      </c>
      <c r="I169" s="129" t="str">
        <f t="shared" ref="I169:I175" si="16">B169</f>
        <v>Debêntures</v>
      </c>
      <c r="J169" s="121" t="s">
        <v>160</v>
      </c>
      <c r="K169" s="121" t="s">
        <v>160</v>
      </c>
      <c r="L169" s="118">
        <v>27595</v>
      </c>
      <c r="M169" s="118">
        <v>25140</v>
      </c>
      <c r="N169" s="118">
        <v>0</v>
      </c>
    </row>
    <row r="170" spans="2:14" x14ac:dyDescent="0.2">
      <c r="B170" s="129" t="s">
        <v>812</v>
      </c>
      <c r="C170" s="121" t="s">
        <v>1282</v>
      </c>
      <c r="D170" s="121" t="s">
        <v>1282</v>
      </c>
      <c r="E170" s="118">
        <v>0</v>
      </c>
      <c r="F170" s="118">
        <v>0</v>
      </c>
      <c r="G170" s="118">
        <v>0</v>
      </c>
      <c r="I170" s="129" t="str">
        <f t="shared" si="16"/>
        <v>Arrendamento mercantil</v>
      </c>
      <c r="J170" s="121" t="s">
        <v>160</v>
      </c>
      <c r="K170" s="121" t="s">
        <v>160</v>
      </c>
      <c r="L170" s="118">
        <v>0</v>
      </c>
      <c r="M170" s="118">
        <v>0</v>
      </c>
      <c r="N170" s="118">
        <v>0</v>
      </c>
    </row>
    <row r="171" spans="2:14" x14ac:dyDescent="0.2">
      <c r="B171" s="129" t="s">
        <v>164</v>
      </c>
      <c r="C171" s="121" t="s">
        <v>1282</v>
      </c>
      <c r="D171" s="121" t="s">
        <v>1282</v>
      </c>
      <c r="E171" s="118">
        <v>17169</v>
      </c>
      <c r="F171" s="118">
        <v>0</v>
      </c>
      <c r="G171" s="118">
        <v>0</v>
      </c>
      <c r="I171" s="129" t="str">
        <f t="shared" si="16"/>
        <v>Fornecedores e fretes a pagar</v>
      </c>
      <c r="J171" s="121" t="s">
        <v>160</v>
      </c>
      <c r="K171" s="121" t="s">
        <v>160</v>
      </c>
      <c r="L171" s="118">
        <v>13870</v>
      </c>
      <c r="M171" s="118">
        <v>0</v>
      </c>
      <c r="N171" s="118">
        <v>0</v>
      </c>
    </row>
    <row r="172" spans="2:14" x14ac:dyDescent="0.2">
      <c r="B172" s="129" t="s">
        <v>24</v>
      </c>
      <c r="C172" s="121" t="s">
        <v>1282</v>
      </c>
      <c r="D172" s="121" t="s">
        <v>1282</v>
      </c>
      <c r="E172" s="118">
        <v>29862</v>
      </c>
      <c r="F172" s="118">
        <v>0</v>
      </c>
      <c r="G172" s="118">
        <v>0</v>
      </c>
      <c r="I172" s="129" t="str">
        <f t="shared" si="16"/>
        <v>Demais contas a pagar</v>
      </c>
      <c r="J172" s="121" t="s">
        <v>160</v>
      </c>
      <c r="K172" s="121" t="s">
        <v>160</v>
      </c>
      <c r="L172" s="118">
        <v>24591</v>
      </c>
      <c r="M172" s="118">
        <v>0</v>
      </c>
      <c r="N172" s="118">
        <v>0</v>
      </c>
    </row>
    <row r="173" spans="2:14" x14ac:dyDescent="0.2">
      <c r="B173" s="129" t="s">
        <v>792</v>
      </c>
      <c r="C173" s="121" t="s">
        <v>1282</v>
      </c>
      <c r="D173" s="121" t="s">
        <v>1282</v>
      </c>
      <c r="E173" s="118">
        <v>-23871</v>
      </c>
      <c r="F173" s="118">
        <v>0</v>
      </c>
      <c r="G173" s="118">
        <v>0</v>
      </c>
      <c r="I173" s="129" t="str">
        <f t="shared" si="16"/>
        <v>Instrumento financeiros derivativos</v>
      </c>
      <c r="J173" s="121" t="s">
        <v>160</v>
      </c>
      <c r="K173" s="121" t="s">
        <v>160</v>
      </c>
      <c r="L173" s="118">
        <v>-23871</v>
      </c>
      <c r="M173" s="118">
        <v>0</v>
      </c>
      <c r="N173" s="118">
        <v>0</v>
      </c>
    </row>
    <row r="174" spans="2:14" x14ac:dyDescent="0.2">
      <c r="B174" s="129" t="s">
        <v>566</v>
      </c>
      <c r="C174" s="121" t="s">
        <v>1282</v>
      </c>
      <c r="D174" s="121" t="s">
        <v>1282</v>
      </c>
      <c r="E174" s="118">
        <v>0</v>
      </c>
      <c r="F174" s="118">
        <v>0</v>
      </c>
      <c r="G174" s="118">
        <v>0</v>
      </c>
      <c r="I174" s="129" t="str">
        <f t="shared" si="16"/>
        <v>Dividendos a pagar</v>
      </c>
      <c r="J174" s="121" t="s">
        <v>160</v>
      </c>
      <c r="K174" s="121" t="s">
        <v>160</v>
      </c>
      <c r="L174" s="118">
        <v>0</v>
      </c>
      <c r="M174" s="118">
        <v>0</v>
      </c>
      <c r="N174" s="118">
        <v>0</v>
      </c>
    </row>
    <row r="175" spans="2:14" x14ac:dyDescent="0.2">
      <c r="B175" s="129" t="s">
        <v>25</v>
      </c>
      <c r="C175" s="121" t="s">
        <v>1282</v>
      </c>
      <c r="D175" s="121" t="s">
        <v>1282</v>
      </c>
      <c r="E175" s="118">
        <v>37</v>
      </c>
      <c r="F175" s="118">
        <v>700</v>
      </c>
      <c r="G175" s="118">
        <v>0</v>
      </c>
      <c r="I175" s="129" t="str">
        <f t="shared" si="16"/>
        <v>Partes relacionadas</v>
      </c>
      <c r="J175" s="121" t="s">
        <v>160</v>
      </c>
      <c r="K175" s="121" t="s">
        <v>160</v>
      </c>
      <c r="L175" s="118">
        <v>44</v>
      </c>
      <c r="M175" s="118">
        <v>681</v>
      </c>
      <c r="N175" s="118">
        <v>0</v>
      </c>
    </row>
    <row r="176" spans="2:14" x14ac:dyDescent="0.2">
      <c r="B176" s="126" t="s">
        <v>949</v>
      </c>
      <c r="C176" s="120" t="s">
        <v>1282</v>
      </c>
      <c r="D176" s="120" t="s">
        <v>1282</v>
      </c>
      <c r="E176" s="120">
        <f>SUM(E168:E175)</f>
        <v>172214</v>
      </c>
      <c r="F176" s="120">
        <f>SUM(F168:F175)</f>
        <v>89803</v>
      </c>
      <c r="G176" s="120">
        <f>SUM(G168:G175)</f>
        <v>20991</v>
      </c>
      <c r="I176" s="126" t="str">
        <f>B176</f>
        <v>Em 30 de junho de 2020</v>
      </c>
      <c r="J176" s="120" t="s">
        <v>160</v>
      </c>
      <c r="K176" s="120" t="s">
        <v>160</v>
      </c>
      <c r="L176" s="120">
        <f>SUM(L168:L175)</f>
        <v>163651</v>
      </c>
      <c r="M176" s="120">
        <f>SUM(M168:M175)</f>
        <v>89784</v>
      </c>
      <c r="N176" s="120">
        <f>SUM(N168:N175)</f>
        <v>20991</v>
      </c>
    </row>
    <row r="177" spans="2:14" x14ac:dyDescent="0.2">
      <c r="B177" s="129" t="s">
        <v>16</v>
      </c>
      <c r="C177" s="121" t="s">
        <v>1282</v>
      </c>
      <c r="D177" s="121" t="s">
        <v>1282</v>
      </c>
      <c r="E177" s="118">
        <v>75513</v>
      </c>
      <c r="F177" s="118">
        <v>11437</v>
      </c>
      <c r="G177" s="118">
        <v>21436</v>
      </c>
      <c r="I177" s="129" t="str">
        <f>B177</f>
        <v>Empréstimos e financiamentos</v>
      </c>
      <c r="J177" s="121" t="s">
        <v>160</v>
      </c>
      <c r="K177" s="121" t="s">
        <v>160</v>
      </c>
      <c r="L177" s="118">
        <v>75513</v>
      </c>
      <c r="M177" s="118">
        <v>11437</v>
      </c>
      <c r="N177" s="118">
        <v>21436</v>
      </c>
    </row>
    <row r="178" spans="2:14" x14ac:dyDescent="0.2">
      <c r="B178" s="129" t="s">
        <v>23</v>
      </c>
      <c r="C178" s="121" t="s">
        <v>1282</v>
      </c>
      <c r="D178" s="121" t="s">
        <v>1282</v>
      </c>
      <c r="E178" s="118">
        <v>27364</v>
      </c>
      <c r="F178" s="118">
        <v>25876</v>
      </c>
      <c r="G178" s="118">
        <v>0</v>
      </c>
      <c r="I178" s="129" t="str">
        <f t="shared" ref="I178:I184" si="17">B178</f>
        <v>Debêntures</v>
      </c>
      <c r="J178" s="121" t="s">
        <v>160</v>
      </c>
      <c r="K178" s="121" t="s">
        <v>160</v>
      </c>
      <c r="L178" s="118">
        <v>27364</v>
      </c>
      <c r="M178" s="118">
        <v>25876</v>
      </c>
      <c r="N178" s="118">
        <v>0</v>
      </c>
    </row>
    <row r="179" spans="2:14" x14ac:dyDescent="0.2">
      <c r="B179" s="129" t="s">
        <v>812</v>
      </c>
      <c r="C179" s="121" t="s">
        <v>1282</v>
      </c>
      <c r="D179" s="121" t="s">
        <v>1282</v>
      </c>
      <c r="E179" s="118">
        <v>0</v>
      </c>
      <c r="F179" s="118">
        <v>0</v>
      </c>
      <c r="G179" s="118">
        <v>0</v>
      </c>
      <c r="I179" s="129" t="str">
        <f t="shared" si="17"/>
        <v>Arrendamento mercantil</v>
      </c>
      <c r="J179" s="121" t="s">
        <v>160</v>
      </c>
      <c r="K179" s="121" t="s">
        <v>160</v>
      </c>
      <c r="L179" s="118">
        <v>0</v>
      </c>
      <c r="M179" s="118">
        <v>0</v>
      </c>
      <c r="N179" s="118">
        <v>0</v>
      </c>
    </row>
    <row r="180" spans="2:14" x14ac:dyDescent="0.2">
      <c r="B180" s="129" t="s">
        <v>164</v>
      </c>
      <c r="C180" s="121" t="s">
        <v>1282</v>
      </c>
      <c r="D180" s="121" t="s">
        <v>1282</v>
      </c>
      <c r="E180" s="118">
        <v>21287</v>
      </c>
      <c r="F180" s="118">
        <v>0</v>
      </c>
      <c r="G180" s="118">
        <v>0</v>
      </c>
      <c r="I180" s="129" t="str">
        <f t="shared" si="17"/>
        <v>Fornecedores e fretes a pagar</v>
      </c>
      <c r="J180" s="121" t="s">
        <v>160</v>
      </c>
      <c r="K180" s="121" t="s">
        <v>160</v>
      </c>
      <c r="L180" s="118">
        <v>21287</v>
      </c>
      <c r="M180" s="118">
        <v>0</v>
      </c>
      <c r="N180" s="118">
        <v>0</v>
      </c>
    </row>
    <row r="181" spans="2:14" x14ac:dyDescent="0.2">
      <c r="B181" s="129" t="s">
        <v>24</v>
      </c>
      <c r="C181" s="121" t="s">
        <v>1282</v>
      </c>
      <c r="D181" s="121" t="s">
        <v>1282</v>
      </c>
      <c r="E181" s="118">
        <v>28825</v>
      </c>
      <c r="F181" s="118">
        <v>0</v>
      </c>
      <c r="G181" s="118">
        <v>0</v>
      </c>
      <c r="I181" s="129" t="str">
        <f t="shared" si="17"/>
        <v>Demais contas a pagar</v>
      </c>
      <c r="J181" s="121" t="s">
        <v>160</v>
      </c>
      <c r="K181" s="121" t="s">
        <v>160</v>
      </c>
      <c r="L181" s="118">
        <v>28825</v>
      </c>
      <c r="M181" s="118">
        <v>0</v>
      </c>
      <c r="N181" s="118">
        <v>0</v>
      </c>
    </row>
    <row r="182" spans="2:14" x14ac:dyDescent="0.2">
      <c r="B182" s="129" t="s">
        <v>792</v>
      </c>
      <c r="C182" s="121" t="s">
        <v>1282</v>
      </c>
      <c r="D182" s="121" t="s">
        <v>1282</v>
      </c>
      <c r="E182" s="118">
        <v>-20658</v>
      </c>
      <c r="F182" s="118">
        <v>0</v>
      </c>
      <c r="G182" s="118">
        <v>0</v>
      </c>
      <c r="I182" s="129" t="str">
        <f t="shared" si="17"/>
        <v>Instrumento financeiros derivativos</v>
      </c>
      <c r="J182" s="121" t="s">
        <v>160</v>
      </c>
      <c r="K182" s="121" t="s">
        <v>160</v>
      </c>
      <c r="L182" s="118">
        <v>-20658</v>
      </c>
      <c r="M182" s="118">
        <v>0</v>
      </c>
      <c r="N182" s="118">
        <v>0</v>
      </c>
    </row>
    <row r="183" spans="2:14" x14ac:dyDescent="0.2">
      <c r="B183" s="129" t="s">
        <v>566</v>
      </c>
      <c r="C183" s="121" t="s">
        <v>1282</v>
      </c>
      <c r="D183" s="121" t="s">
        <v>1282</v>
      </c>
      <c r="E183" s="118">
        <v>0</v>
      </c>
      <c r="F183" s="118">
        <v>0</v>
      </c>
      <c r="G183" s="118">
        <v>0</v>
      </c>
      <c r="I183" s="129" t="str">
        <f t="shared" si="17"/>
        <v>Dividendos a pagar</v>
      </c>
      <c r="J183" s="121" t="s">
        <v>160</v>
      </c>
      <c r="K183" s="121" t="s">
        <v>160</v>
      </c>
      <c r="L183" s="118">
        <v>0</v>
      </c>
      <c r="M183" s="118">
        <v>0</v>
      </c>
      <c r="N183" s="118">
        <v>0</v>
      </c>
    </row>
    <row r="184" spans="2:14" x14ac:dyDescent="0.2">
      <c r="B184" s="129" t="s">
        <v>25</v>
      </c>
      <c r="C184" s="121" t="s">
        <v>1282</v>
      </c>
      <c r="D184" s="121" t="s">
        <v>1282</v>
      </c>
      <c r="E184" s="118">
        <v>28</v>
      </c>
      <c r="F184" s="118">
        <v>663</v>
      </c>
      <c r="G184" s="118">
        <v>0</v>
      </c>
      <c r="I184" s="129" t="str">
        <f t="shared" si="17"/>
        <v>Partes relacionadas</v>
      </c>
      <c r="J184" s="121" t="s">
        <v>160</v>
      </c>
      <c r="K184" s="121" t="s">
        <v>160</v>
      </c>
      <c r="L184" s="118">
        <v>28</v>
      </c>
      <c r="M184" s="118">
        <v>663</v>
      </c>
      <c r="N184" s="118">
        <v>0</v>
      </c>
    </row>
    <row r="185" spans="2:14" x14ac:dyDescent="0.2">
      <c r="B185" s="126" t="s">
        <v>810</v>
      </c>
      <c r="C185" s="120" t="s">
        <v>1282</v>
      </c>
      <c r="D185" s="120" t="s">
        <v>1282</v>
      </c>
      <c r="E185" s="120">
        <f>SUM(E177:E184)</f>
        <v>132359</v>
      </c>
      <c r="F185" s="120">
        <f>SUM(F177:F184)</f>
        <v>37976</v>
      </c>
      <c r="G185" s="120">
        <f>SUM(G177:G184)</f>
        <v>21436</v>
      </c>
      <c r="I185" s="126" t="str">
        <f>B185</f>
        <v>Em 31 de março de 2019</v>
      </c>
      <c r="J185" s="120" t="s">
        <v>160</v>
      </c>
      <c r="K185" s="120" t="s">
        <v>160</v>
      </c>
      <c r="L185" s="120">
        <f>SUM(L177:L184)</f>
        <v>132359</v>
      </c>
      <c r="M185" s="120">
        <f>SUM(M177:M184)</f>
        <v>37976</v>
      </c>
      <c r="N185" s="120">
        <f>SUM(N177:N184)</f>
        <v>21436</v>
      </c>
    </row>
    <row r="186" spans="2:14" x14ac:dyDescent="0.2">
      <c r="B186" s="129" t="s">
        <v>16</v>
      </c>
      <c r="C186" s="121" t="s">
        <v>1282</v>
      </c>
      <c r="D186" s="121" t="s">
        <v>1282</v>
      </c>
      <c r="E186" s="118">
        <v>64886</v>
      </c>
      <c r="F186" s="118">
        <v>1654</v>
      </c>
      <c r="G186" s="118">
        <v>32474</v>
      </c>
      <c r="I186" s="129" t="str">
        <f>B186</f>
        <v>Empréstimos e financiamentos</v>
      </c>
      <c r="J186" s="121" t="s">
        <v>160</v>
      </c>
      <c r="K186" s="121" t="s">
        <v>160</v>
      </c>
      <c r="L186" s="118">
        <v>64886</v>
      </c>
      <c r="M186" s="118">
        <v>1654</v>
      </c>
      <c r="N186" s="118">
        <v>32474</v>
      </c>
    </row>
    <row r="187" spans="2:14" x14ac:dyDescent="0.2">
      <c r="B187" s="129" t="s">
        <v>23</v>
      </c>
      <c r="C187" s="121" t="s">
        <v>1282</v>
      </c>
      <c r="D187" s="121" t="s">
        <v>1282</v>
      </c>
      <c r="E187" s="118">
        <v>27583</v>
      </c>
      <c r="F187" s="118">
        <v>25991</v>
      </c>
      <c r="G187" s="118">
        <v>0</v>
      </c>
      <c r="I187" s="129" t="str">
        <f t="shared" ref="I187:I194" si="18">B187</f>
        <v>Debêntures</v>
      </c>
      <c r="J187" s="121" t="s">
        <v>160</v>
      </c>
      <c r="K187" s="121" t="s">
        <v>160</v>
      </c>
      <c r="L187" s="118">
        <v>27583</v>
      </c>
      <c r="M187" s="118">
        <v>25991</v>
      </c>
      <c r="N187" s="118">
        <v>0</v>
      </c>
    </row>
    <row r="188" spans="2:14" x14ac:dyDescent="0.2">
      <c r="B188" s="129" t="s">
        <v>812</v>
      </c>
      <c r="C188" s="121" t="s">
        <v>1282</v>
      </c>
      <c r="D188" s="121" t="s">
        <v>1282</v>
      </c>
      <c r="E188" s="118">
        <v>0</v>
      </c>
      <c r="F188" s="118">
        <v>0</v>
      </c>
      <c r="G188" s="118">
        <v>0</v>
      </c>
      <c r="I188" s="129" t="str">
        <f t="shared" si="18"/>
        <v>Arrendamento mercantil</v>
      </c>
      <c r="J188" s="121" t="s">
        <v>160</v>
      </c>
      <c r="K188" s="121" t="s">
        <v>160</v>
      </c>
      <c r="L188" s="118">
        <v>0</v>
      </c>
      <c r="M188" s="118">
        <v>0</v>
      </c>
      <c r="N188" s="118">
        <v>0</v>
      </c>
    </row>
    <row r="189" spans="2:14" x14ac:dyDescent="0.2">
      <c r="B189" s="129" t="s">
        <v>164</v>
      </c>
      <c r="C189" s="121" t="s">
        <v>1282</v>
      </c>
      <c r="D189" s="121" t="s">
        <v>1282</v>
      </c>
      <c r="E189" s="118">
        <v>36312</v>
      </c>
      <c r="F189" s="118">
        <v>0</v>
      </c>
      <c r="G189" s="118">
        <v>0</v>
      </c>
      <c r="I189" s="129" t="str">
        <f t="shared" si="18"/>
        <v>Fornecedores e fretes a pagar</v>
      </c>
      <c r="J189" s="121" t="s">
        <v>160</v>
      </c>
      <c r="K189" s="121" t="s">
        <v>160</v>
      </c>
      <c r="L189" s="118">
        <v>33452</v>
      </c>
      <c r="M189" s="118">
        <v>0</v>
      </c>
      <c r="N189" s="118">
        <v>0</v>
      </c>
    </row>
    <row r="190" spans="2:14" x14ac:dyDescent="0.2">
      <c r="B190" s="129" t="s">
        <v>24</v>
      </c>
      <c r="C190" s="121" t="s">
        <v>1282</v>
      </c>
      <c r="D190" s="121" t="s">
        <v>1282</v>
      </c>
      <c r="E190" s="118">
        <v>29637</v>
      </c>
      <c r="F190" s="118">
        <v>0</v>
      </c>
      <c r="G190" s="118">
        <v>0</v>
      </c>
      <c r="I190" s="129" t="str">
        <f t="shared" si="18"/>
        <v>Demais contas a pagar</v>
      </c>
      <c r="J190" s="121" t="s">
        <v>160</v>
      </c>
      <c r="K190" s="121" t="s">
        <v>160</v>
      </c>
      <c r="L190" s="118">
        <v>23585</v>
      </c>
      <c r="M190" s="118">
        <v>0</v>
      </c>
      <c r="N190" s="118">
        <v>0</v>
      </c>
    </row>
    <row r="191" spans="2:14" x14ac:dyDescent="0.2">
      <c r="B191" s="129" t="s">
        <v>792</v>
      </c>
      <c r="C191" s="121" t="s">
        <v>1282</v>
      </c>
      <c r="D191" s="121" t="s">
        <v>1282</v>
      </c>
      <c r="E191" s="118">
        <v>-3739</v>
      </c>
      <c r="F191" s="118">
        <v>0</v>
      </c>
      <c r="G191" s="118">
        <v>0</v>
      </c>
      <c r="I191" s="129" t="str">
        <f t="shared" si="18"/>
        <v>Instrumento financeiros derivativos</v>
      </c>
      <c r="J191" s="121" t="s">
        <v>160</v>
      </c>
      <c r="K191" s="121" t="s">
        <v>160</v>
      </c>
      <c r="L191" s="118">
        <v>-3739</v>
      </c>
      <c r="M191" s="118">
        <v>0</v>
      </c>
      <c r="N191" s="118">
        <v>0</v>
      </c>
    </row>
    <row r="192" spans="2:14" x14ac:dyDescent="0.2">
      <c r="B192" s="129" t="s">
        <v>566</v>
      </c>
      <c r="C192" s="121" t="s">
        <v>1282</v>
      </c>
      <c r="D192" s="121" t="s">
        <v>1282</v>
      </c>
      <c r="E192" s="118">
        <v>0</v>
      </c>
      <c r="F192" s="118">
        <v>0</v>
      </c>
      <c r="G192" s="118">
        <v>0</v>
      </c>
      <c r="I192" s="129" t="str">
        <f t="shared" si="18"/>
        <v>Dividendos a pagar</v>
      </c>
      <c r="J192" s="121" t="s">
        <v>160</v>
      </c>
      <c r="K192" s="121" t="s">
        <v>160</v>
      </c>
      <c r="L192" s="118">
        <v>0</v>
      </c>
      <c r="M192" s="118">
        <v>0</v>
      </c>
      <c r="N192" s="118">
        <v>0</v>
      </c>
    </row>
    <row r="193" spans="2:14" x14ac:dyDescent="0.2">
      <c r="B193" s="129" t="s">
        <v>25</v>
      </c>
      <c r="C193" s="121" t="s">
        <v>1282</v>
      </c>
      <c r="D193" s="121" t="s">
        <v>1282</v>
      </c>
      <c r="E193" s="118">
        <v>72</v>
      </c>
      <c r="F193" s="118">
        <v>542</v>
      </c>
      <c r="G193" s="118">
        <v>0</v>
      </c>
      <c r="I193" s="129" t="str">
        <f t="shared" si="18"/>
        <v>Partes relacionadas</v>
      </c>
      <c r="J193" s="121" t="s">
        <v>160</v>
      </c>
      <c r="K193" s="121" t="s">
        <v>160</v>
      </c>
      <c r="L193" s="118">
        <v>148</v>
      </c>
      <c r="M193" s="118">
        <v>542</v>
      </c>
      <c r="N193" s="118">
        <v>0</v>
      </c>
    </row>
    <row r="194" spans="2:14" x14ac:dyDescent="0.2">
      <c r="B194" s="126" t="s">
        <v>889</v>
      </c>
      <c r="C194" s="120" t="s">
        <v>1282</v>
      </c>
      <c r="D194" s="120" t="s">
        <v>1282</v>
      </c>
      <c r="E194" s="120">
        <f>SUM(E186:E193)</f>
        <v>154751</v>
      </c>
      <c r="F194" s="120">
        <f>SUM(F186:F193)</f>
        <v>28187</v>
      </c>
      <c r="G194" s="120">
        <f>SUM(G186:G193)</f>
        <v>32474</v>
      </c>
      <c r="I194" s="126" t="str">
        <f t="shared" si="18"/>
        <v>Em 30 de dezembro de 2019</v>
      </c>
      <c r="J194" s="120" t="s">
        <v>160</v>
      </c>
      <c r="K194" s="120" t="s">
        <v>160</v>
      </c>
      <c r="L194" s="120">
        <f>SUM(L186:L193)</f>
        <v>145915</v>
      </c>
      <c r="M194" s="120">
        <f>SUM(M186:M193)</f>
        <v>28187</v>
      </c>
      <c r="N194" s="120">
        <f>SUM(N186:N193)</f>
        <v>32474</v>
      </c>
    </row>
    <row r="195" spans="2:14" x14ac:dyDescent="0.2">
      <c r="B195" s="129" t="s">
        <v>16</v>
      </c>
      <c r="C195" s="121" t="s">
        <v>1282</v>
      </c>
      <c r="D195" s="121" t="s">
        <v>1282</v>
      </c>
      <c r="E195" s="118">
        <v>70504</v>
      </c>
      <c r="F195" s="118">
        <v>1947</v>
      </c>
      <c r="G195" s="118">
        <v>32913</v>
      </c>
      <c r="I195" s="129" t="str">
        <f>B195</f>
        <v>Empréstimos e financiamentos</v>
      </c>
      <c r="J195" s="121" t="s">
        <v>160</v>
      </c>
      <c r="K195" s="121" t="s">
        <v>160</v>
      </c>
      <c r="L195" s="118">
        <v>70504</v>
      </c>
      <c r="M195" s="118">
        <v>1947</v>
      </c>
      <c r="N195" s="118">
        <v>32913</v>
      </c>
    </row>
    <row r="196" spans="2:14" x14ac:dyDescent="0.2">
      <c r="B196" s="129" t="s">
        <v>23</v>
      </c>
      <c r="C196" s="121" t="s">
        <v>1282</v>
      </c>
      <c r="D196" s="121" t="s">
        <v>1282</v>
      </c>
      <c r="E196" s="118">
        <v>29267</v>
      </c>
      <c r="F196" s="118">
        <v>26827</v>
      </c>
      <c r="G196" s="118">
        <v>0</v>
      </c>
      <c r="I196" s="129" t="str">
        <f t="shared" ref="I196:I203" si="19">B196</f>
        <v>Debêntures</v>
      </c>
      <c r="J196" s="121" t="s">
        <v>160</v>
      </c>
      <c r="K196" s="121" t="s">
        <v>160</v>
      </c>
      <c r="L196" s="118">
        <v>29267</v>
      </c>
      <c r="M196" s="118">
        <v>26827</v>
      </c>
      <c r="N196" s="118">
        <v>0</v>
      </c>
    </row>
    <row r="197" spans="2:14" x14ac:dyDescent="0.2">
      <c r="B197" s="129" t="s">
        <v>812</v>
      </c>
      <c r="C197" s="121" t="s">
        <v>1282</v>
      </c>
      <c r="D197" s="121" t="s">
        <v>1282</v>
      </c>
      <c r="E197" s="118">
        <v>32360</v>
      </c>
      <c r="F197" s="118">
        <v>23588</v>
      </c>
      <c r="G197" s="118">
        <v>33921</v>
      </c>
      <c r="I197" s="129" t="str">
        <f t="shared" si="19"/>
        <v>Arrendamento mercantil</v>
      </c>
      <c r="J197" s="121" t="s">
        <v>160</v>
      </c>
      <c r="K197" s="121" t="s">
        <v>160</v>
      </c>
      <c r="L197" s="118">
        <v>20104</v>
      </c>
      <c r="M197" s="118">
        <v>16897</v>
      </c>
      <c r="N197" s="118">
        <v>35691</v>
      </c>
    </row>
    <row r="198" spans="2:14" x14ac:dyDescent="0.2">
      <c r="B198" s="129" t="s">
        <v>164</v>
      </c>
      <c r="C198" s="121" t="s">
        <v>1282</v>
      </c>
      <c r="D198" s="121" t="s">
        <v>1282</v>
      </c>
      <c r="E198" s="118">
        <v>30325</v>
      </c>
      <c r="F198" s="118">
        <v>0</v>
      </c>
      <c r="G198" s="118">
        <v>0</v>
      </c>
      <c r="I198" s="129" t="str">
        <f t="shared" si="19"/>
        <v>Fornecedores e fretes a pagar</v>
      </c>
      <c r="J198" s="121" t="s">
        <v>160</v>
      </c>
      <c r="K198" s="121" t="s">
        <v>160</v>
      </c>
      <c r="L198" s="118">
        <v>28023</v>
      </c>
      <c r="M198" s="118">
        <v>0</v>
      </c>
      <c r="N198" s="118">
        <v>0</v>
      </c>
    </row>
    <row r="199" spans="2:14" x14ac:dyDescent="0.2">
      <c r="B199" s="129" t="s">
        <v>24</v>
      </c>
      <c r="C199" s="121" t="s">
        <v>1282</v>
      </c>
      <c r="D199" s="121" t="s">
        <v>1282</v>
      </c>
      <c r="E199" s="118">
        <v>31858</v>
      </c>
      <c r="F199" s="118">
        <v>0</v>
      </c>
      <c r="G199" s="118">
        <v>0</v>
      </c>
      <c r="I199" s="129" t="str">
        <f t="shared" si="19"/>
        <v>Demais contas a pagar</v>
      </c>
      <c r="J199" s="121" t="s">
        <v>160</v>
      </c>
      <c r="K199" s="121" t="s">
        <v>160</v>
      </c>
      <c r="L199" s="118">
        <v>26897</v>
      </c>
      <c r="M199" s="118">
        <v>0</v>
      </c>
      <c r="N199" s="118">
        <v>0</v>
      </c>
    </row>
    <row r="200" spans="2:14" x14ac:dyDescent="0.2">
      <c r="B200" s="129" t="s">
        <v>792</v>
      </c>
      <c r="C200" s="121" t="s">
        <v>1282</v>
      </c>
      <c r="D200" s="121" t="s">
        <v>1282</v>
      </c>
      <c r="E200" s="118">
        <v>-5899</v>
      </c>
      <c r="F200" s="118">
        <v>0</v>
      </c>
      <c r="G200" s="118">
        <v>0</v>
      </c>
      <c r="I200" s="129" t="str">
        <f t="shared" si="19"/>
        <v>Instrumento financeiros derivativos</v>
      </c>
      <c r="J200" s="121" t="s">
        <v>160</v>
      </c>
      <c r="K200" s="121" t="s">
        <v>160</v>
      </c>
      <c r="L200" s="118">
        <v>-5899</v>
      </c>
      <c r="M200" s="118">
        <v>0</v>
      </c>
      <c r="N200" s="118">
        <v>0</v>
      </c>
    </row>
    <row r="201" spans="2:14" x14ac:dyDescent="0.2">
      <c r="B201" s="129" t="s">
        <v>566</v>
      </c>
      <c r="C201" s="121" t="s">
        <v>1282</v>
      </c>
      <c r="D201" s="121" t="s">
        <v>1282</v>
      </c>
      <c r="E201" s="118">
        <v>0</v>
      </c>
      <c r="F201" s="118">
        <v>0</v>
      </c>
      <c r="G201" s="118">
        <v>0</v>
      </c>
      <c r="I201" s="129" t="str">
        <f t="shared" si="19"/>
        <v>Dividendos a pagar</v>
      </c>
      <c r="J201" s="121" t="s">
        <v>160</v>
      </c>
      <c r="K201" s="121" t="s">
        <v>160</v>
      </c>
      <c r="L201" s="118">
        <v>0</v>
      </c>
      <c r="M201" s="118">
        <v>0</v>
      </c>
      <c r="N201" s="118">
        <v>0</v>
      </c>
    </row>
    <row r="202" spans="2:14" x14ac:dyDescent="0.2">
      <c r="B202" s="129" t="s">
        <v>25</v>
      </c>
      <c r="C202" s="121" t="s">
        <v>1282</v>
      </c>
      <c r="D202" s="121" t="s">
        <v>1282</v>
      </c>
      <c r="E202" s="118">
        <v>32</v>
      </c>
      <c r="F202" s="118">
        <v>2829</v>
      </c>
      <c r="G202" s="118">
        <v>0</v>
      </c>
      <c r="I202" s="129" t="str">
        <f t="shared" si="19"/>
        <v>Partes relacionadas</v>
      </c>
      <c r="J202" s="121" t="s">
        <v>160</v>
      </c>
      <c r="K202" s="121" t="s">
        <v>160</v>
      </c>
      <c r="L202" s="118">
        <v>185</v>
      </c>
      <c r="M202" s="118">
        <v>2829</v>
      </c>
      <c r="N202" s="118">
        <v>0</v>
      </c>
    </row>
    <row r="203" spans="2:14" x14ac:dyDescent="0.2">
      <c r="B203" s="126" t="s">
        <v>863</v>
      </c>
      <c r="C203" s="120" t="s">
        <v>1282</v>
      </c>
      <c r="D203" s="120" t="s">
        <v>1282</v>
      </c>
      <c r="E203" s="120">
        <v>188447</v>
      </c>
      <c r="F203" s="120">
        <v>55191</v>
      </c>
      <c r="G203" s="120">
        <v>66834</v>
      </c>
      <c r="I203" s="126" t="str">
        <f t="shared" si="19"/>
        <v>Em 30 de setembro de 2019</v>
      </c>
      <c r="J203" s="120" t="s">
        <v>160</v>
      </c>
      <c r="K203" s="120" t="s">
        <v>160</v>
      </c>
      <c r="L203" s="120">
        <v>169081</v>
      </c>
      <c r="M203" s="120">
        <v>48500</v>
      </c>
      <c r="N203" s="120">
        <v>68604</v>
      </c>
    </row>
    <row r="204" spans="2:14" x14ac:dyDescent="0.2">
      <c r="B204" s="129" t="s">
        <v>16</v>
      </c>
      <c r="C204" s="118" t="s">
        <v>1282</v>
      </c>
      <c r="D204" s="118" t="s">
        <v>1282</v>
      </c>
      <c r="E204" s="118">
        <v>12448</v>
      </c>
      <c r="F204" s="118">
        <v>55937</v>
      </c>
      <c r="G204" s="118">
        <v>34502</v>
      </c>
      <c r="I204" s="129" t="str">
        <f>B204</f>
        <v>Empréstimos e financiamentos</v>
      </c>
      <c r="J204" s="118"/>
      <c r="K204" s="118"/>
      <c r="L204" s="118">
        <v>12448</v>
      </c>
      <c r="M204" s="118">
        <v>55937</v>
      </c>
      <c r="N204" s="118">
        <v>34502</v>
      </c>
    </row>
    <row r="205" spans="2:14" x14ac:dyDescent="0.2">
      <c r="B205" s="129" t="s">
        <v>23</v>
      </c>
      <c r="C205" s="118" t="s">
        <v>1282</v>
      </c>
      <c r="D205" s="118" t="s">
        <v>1282</v>
      </c>
      <c r="E205" s="118">
        <v>2123</v>
      </c>
      <c r="F205" s="118">
        <v>29398</v>
      </c>
      <c r="G205" s="118">
        <v>25274</v>
      </c>
      <c r="I205" s="129" t="str">
        <f t="shared" ref="I205:I212" si="20">B205</f>
        <v>Debêntures</v>
      </c>
      <c r="J205" s="118"/>
      <c r="K205" s="118"/>
      <c r="L205" s="118">
        <v>2123</v>
      </c>
      <c r="M205" s="118">
        <v>29398</v>
      </c>
      <c r="N205" s="118">
        <v>25274</v>
      </c>
    </row>
    <row r="206" spans="2:14" x14ac:dyDescent="0.2">
      <c r="B206" s="129" t="s">
        <v>812</v>
      </c>
      <c r="C206" s="118" t="s">
        <v>1282</v>
      </c>
      <c r="D206" s="118" t="s">
        <v>1282</v>
      </c>
      <c r="E206" s="118">
        <v>33741</v>
      </c>
      <c r="F206" s="118">
        <v>26035</v>
      </c>
      <c r="G206" s="118">
        <v>38520</v>
      </c>
      <c r="I206" s="129" t="str">
        <f t="shared" si="20"/>
        <v>Arrendamento mercantil</v>
      </c>
      <c r="J206" s="118"/>
      <c r="K206" s="118"/>
      <c r="L206" s="118">
        <v>21988</v>
      </c>
      <c r="M206" s="118">
        <v>17327</v>
      </c>
      <c r="N206" s="118">
        <v>40172</v>
      </c>
    </row>
    <row r="207" spans="2:14" x14ac:dyDescent="0.2">
      <c r="B207" s="129" t="s">
        <v>164</v>
      </c>
      <c r="C207" s="118" t="s">
        <v>1282</v>
      </c>
      <c r="D207" s="118" t="s">
        <v>1282</v>
      </c>
      <c r="E207" s="118">
        <v>30700</v>
      </c>
      <c r="F207" s="118">
        <v>0</v>
      </c>
      <c r="G207" s="118">
        <v>0</v>
      </c>
      <c r="I207" s="129" t="str">
        <f t="shared" si="20"/>
        <v>Fornecedores e fretes a pagar</v>
      </c>
      <c r="J207" s="118"/>
      <c r="K207" s="118"/>
      <c r="L207" s="118">
        <v>27991</v>
      </c>
      <c r="M207" s="118">
        <v>0</v>
      </c>
      <c r="N207" s="118">
        <v>0</v>
      </c>
    </row>
    <row r="208" spans="2:14" x14ac:dyDescent="0.2">
      <c r="B208" s="129" t="s">
        <v>24</v>
      </c>
      <c r="C208" s="118" t="s">
        <v>1282</v>
      </c>
      <c r="D208" s="118" t="s">
        <v>1282</v>
      </c>
      <c r="E208" s="118">
        <v>25260</v>
      </c>
      <c r="F208" s="118">
        <v>0</v>
      </c>
      <c r="G208" s="118">
        <v>0</v>
      </c>
      <c r="I208" s="129" t="str">
        <f t="shared" si="20"/>
        <v>Demais contas a pagar</v>
      </c>
      <c r="J208" s="118"/>
      <c r="K208" s="118"/>
      <c r="L208" s="118">
        <v>20659</v>
      </c>
      <c r="M208" s="118">
        <v>0</v>
      </c>
      <c r="N208" s="118">
        <v>0</v>
      </c>
    </row>
    <row r="209" spans="2:14" x14ac:dyDescent="0.2">
      <c r="B209" s="129" t="s">
        <v>792</v>
      </c>
      <c r="C209" s="118" t="s">
        <v>1282</v>
      </c>
      <c r="D209" s="118" t="s">
        <v>1282</v>
      </c>
      <c r="E209" s="118">
        <v>0</v>
      </c>
      <c r="F209" s="118">
        <v>-1942</v>
      </c>
      <c r="G209" s="118">
        <v>0</v>
      </c>
      <c r="I209" s="129" t="str">
        <f t="shared" si="20"/>
        <v>Instrumento financeiros derivativos</v>
      </c>
      <c r="J209" s="118"/>
      <c r="K209" s="118"/>
      <c r="L209" s="118">
        <v>0</v>
      </c>
      <c r="M209" s="118">
        <v>-1942</v>
      </c>
      <c r="N209" s="118">
        <v>0</v>
      </c>
    </row>
    <row r="210" spans="2:14" x14ac:dyDescent="0.2">
      <c r="B210" s="129" t="s">
        <v>566</v>
      </c>
      <c r="C210" s="118" t="s">
        <v>1282</v>
      </c>
      <c r="D210" s="118" t="s">
        <v>1282</v>
      </c>
      <c r="E210" s="118">
        <v>0</v>
      </c>
      <c r="F210" s="118">
        <v>0</v>
      </c>
      <c r="G210" s="118">
        <v>0</v>
      </c>
      <c r="I210" s="129" t="str">
        <f t="shared" si="20"/>
        <v>Dividendos a pagar</v>
      </c>
      <c r="J210" s="118"/>
      <c r="K210" s="118"/>
      <c r="L210" s="118">
        <v>0</v>
      </c>
      <c r="M210" s="118">
        <v>0</v>
      </c>
      <c r="N210" s="118">
        <v>0</v>
      </c>
    </row>
    <row r="211" spans="2:14" x14ac:dyDescent="0.2">
      <c r="B211" s="129" t="s">
        <v>25</v>
      </c>
      <c r="C211" s="118" t="s">
        <v>1282</v>
      </c>
      <c r="D211" s="118" t="s">
        <v>1282</v>
      </c>
      <c r="E211" s="118">
        <v>1025</v>
      </c>
      <c r="F211" s="118">
        <v>2445</v>
      </c>
      <c r="G211" s="118">
        <v>0</v>
      </c>
      <c r="I211" s="129" t="str">
        <f t="shared" si="20"/>
        <v>Partes relacionadas</v>
      </c>
      <c r="J211" s="118"/>
      <c r="K211" s="118"/>
      <c r="L211" s="118">
        <v>1428</v>
      </c>
      <c r="M211" s="118">
        <v>2445</v>
      </c>
      <c r="N211" s="118">
        <v>0</v>
      </c>
    </row>
    <row r="212" spans="2:14" x14ac:dyDescent="0.2">
      <c r="B212" s="126" t="s">
        <v>849</v>
      </c>
      <c r="C212" s="207" t="s">
        <v>1282</v>
      </c>
      <c r="D212" s="207" t="s">
        <v>1282</v>
      </c>
      <c r="E212" s="120">
        <f>SUM(E204:E211)</f>
        <v>105297</v>
      </c>
      <c r="F212" s="120">
        <f>SUM(F204:F211)</f>
        <v>111873</v>
      </c>
      <c r="G212" s="120">
        <f>SUM(G204:G211)</f>
        <v>98296</v>
      </c>
      <c r="I212" s="126" t="str">
        <f t="shared" si="20"/>
        <v>Em 30 de junho de 2019</v>
      </c>
      <c r="J212" s="120"/>
      <c r="K212" s="120"/>
      <c r="L212" s="120">
        <f>SUM(L204:L211)</f>
        <v>86637</v>
      </c>
      <c r="M212" s="120">
        <f>SUM(M204:M211)</f>
        <v>103165</v>
      </c>
      <c r="N212" s="120">
        <f>SUM(N204:N211)</f>
        <v>99948</v>
      </c>
    </row>
    <row r="213" spans="2:14" x14ac:dyDescent="0.2">
      <c r="B213" s="129" t="s">
        <v>16</v>
      </c>
      <c r="C213" s="118" t="s">
        <v>1282</v>
      </c>
      <c r="D213" s="118" t="s">
        <v>1282</v>
      </c>
      <c r="E213" s="118">
        <v>13749</v>
      </c>
      <c r="F213" s="118">
        <v>60813</v>
      </c>
      <c r="G213" s="118">
        <v>34502.196987412302</v>
      </c>
      <c r="I213" s="129" t="str">
        <f>B213</f>
        <v>Empréstimos e financiamentos</v>
      </c>
      <c r="J213" s="118"/>
      <c r="K213" s="118"/>
      <c r="L213" s="118">
        <v>13749</v>
      </c>
      <c r="M213" s="118">
        <v>60813</v>
      </c>
      <c r="N213" s="118">
        <v>34502.196987412302</v>
      </c>
    </row>
    <row r="214" spans="2:14" x14ac:dyDescent="0.2">
      <c r="B214" s="129" t="s">
        <v>23</v>
      </c>
      <c r="C214" s="118" t="s">
        <v>1282</v>
      </c>
      <c r="D214" s="118" t="s">
        <v>1282</v>
      </c>
      <c r="E214" s="118">
        <v>4178</v>
      </c>
      <c r="F214" s="118">
        <v>28379</v>
      </c>
      <c r="G214" s="118">
        <v>26293</v>
      </c>
      <c r="I214" s="129" t="str">
        <f t="shared" ref="I214:I221" si="21">B214</f>
        <v>Debêntures</v>
      </c>
      <c r="J214" s="118"/>
      <c r="K214" s="118"/>
      <c r="L214" s="118">
        <v>4178</v>
      </c>
      <c r="M214" s="118">
        <v>28379</v>
      </c>
      <c r="N214" s="118">
        <v>26293</v>
      </c>
    </row>
    <row r="215" spans="2:14" x14ac:dyDescent="0.2">
      <c r="B215" s="129" t="s">
        <v>812</v>
      </c>
      <c r="C215" s="118" t="s">
        <v>1282</v>
      </c>
      <c r="D215" s="118" t="s">
        <v>1282</v>
      </c>
      <c r="E215" s="118">
        <v>31132.019873079851</v>
      </c>
      <c r="F215" s="118">
        <v>19861.033317466306</v>
      </c>
      <c r="G215" s="118">
        <v>28682.253733049885</v>
      </c>
      <c r="I215" s="129" t="str">
        <f t="shared" si="21"/>
        <v>Arrendamento mercantil</v>
      </c>
      <c r="J215" s="118"/>
      <c r="K215" s="118"/>
      <c r="L215" s="118">
        <v>17525.26439848372</v>
      </c>
      <c r="M215" s="118">
        <v>10941.18317264281</v>
      </c>
      <c r="N215" s="118">
        <v>28434.334334638861</v>
      </c>
    </row>
    <row r="216" spans="2:14" x14ac:dyDescent="0.2">
      <c r="B216" s="129" t="s">
        <v>164</v>
      </c>
      <c r="C216" s="118" t="s">
        <v>1282</v>
      </c>
      <c r="D216" s="118" t="s">
        <v>1282</v>
      </c>
      <c r="E216" s="118">
        <v>32147</v>
      </c>
      <c r="F216" s="118">
        <v>0</v>
      </c>
      <c r="G216" s="118">
        <v>0</v>
      </c>
      <c r="I216" s="129" t="str">
        <f t="shared" si="21"/>
        <v>Fornecedores e fretes a pagar</v>
      </c>
      <c r="J216" s="118"/>
      <c r="K216" s="118"/>
      <c r="L216" s="118">
        <v>29322</v>
      </c>
      <c r="M216" s="118">
        <v>0</v>
      </c>
      <c r="N216" s="118">
        <v>0</v>
      </c>
    </row>
    <row r="217" spans="2:14" x14ac:dyDescent="0.2">
      <c r="B217" s="129" t="s">
        <v>24</v>
      </c>
      <c r="C217" s="118" t="s">
        <v>1282</v>
      </c>
      <c r="D217" s="118" t="s">
        <v>1282</v>
      </c>
      <c r="E217" s="118">
        <v>22572</v>
      </c>
      <c r="F217" s="118">
        <v>0</v>
      </c>
      <c r="G217" s="118">
        <v>0</v>
      </c>
      <c r="I217" s="129" t="str">
        <f t="shared" si="21"/>
        <v>Demais contas a pagar</v>
      </c>
      <c r="J217" s="118"/>
      <c r="K217" s="118"/>
      <c r="L217" s="118">
        <v>17505</v>
      </c>
      <c r="M217" s="118">
        <v>0</v>
      </c>
      <c r="N217" s="118">
        <v>0</v>
      </c>
    </row>
    <row r="218" spans="2:14" x14ac:dyDescent="0.2">
      <c r="B218" s="129" t="s">
        <v>792</v>
      </c>
      <c r="C218" s="118" t="s">
        <v>1282</v>
      </c>
      <c r="D218" s="118" t="s">
        <v>1282</v>
      </c>
      <c r="E218" s="118">
        <v>0</v>
      </c>
      <c r="F218" s="118">
        <v>-2661</v>
      </c>
      <c r="G218" s="118">
        <v>0</v>
      </c>
      <c r="I218" s="129" t="str">
        <f t="shared" si="21"/>
        <v>Instrumento financeiros derivativos</v>
      </c>
      <c r="J218" s="118"/>
      <c r="K218" s="118"/>
      <c r="L218" s="118">
        <v>0</v>
      </c>
      <c r="M218" s="118">
        <v>-2661</v>
      </c>
      <c r="N218" s="118">
        <v>0</v>
      </c>
    </row>
    <row r="219" spans="2:14" x14ac:dyDescent="0.2">
      <c r="B219" s="129" t="s">
        <v>566</v>
      </c>
      <c r="C219" s="118" t="s">
        <v>1282</v>
      </c>
      <c r="D219" s="118" t="s">
        <v>1282</v>
      </c>
      <c r="E219" s="118">
        <v>0</v>
      </c>
      <c r="F219" s="118">
        <v>0</v>
      </c>
      <c r="G219" s="118">
        <v>0</v>
      </c>
      <c r="I219" s="129" t="str">
        <f t="shared" si="21"/>
        <v>Dividendos a pagar</v>
      </c>
      <c r="J219" s="118"/>
      <c r="K219" s="118"/>
      <c r="L219" s="118">
        <v>0</v>
      </c>
      <c r="M219" s="118">
        <v>0</v>
      </c>
      <c r="N219" s="118">
        <v>0</v>
      </c>
    </row>
    <row r="220" spans="2:14" x14ac:dyDescent="0.2">
      <c r="B220" s="129" t="s">
        <v>25</v>
      </c>
      <c r="C220" s="118" t="s">
        <v>1282</v>
      </c>
      <c r="D220" s="118" t="s">
        <v>1282</v>
      </c>
      <c r="E220" s="118">
        <v>98</v>
      </c>
      <c r="F220" s="118">
        <v>2087</v>
      </c>
      <c r="G220" s="118">
        <v>0</v>
      </c>
      <c r="I220" s="129" t="str">
        <f t="shared" si="21"/>
        <v>Partes relacionadas</v>
      </c>
      <c r="J220" s="118"/>
      <c r="K220" s="118"/>
      <c r="L220" s="118">
        <v>3606</v>
      </c>
      <c r="M220" s="118">
        <v>2086</v>
      </c>
      <c r="N220" s="118">
        <v>0</v>
      </c>
    </row>
    <row r="221" spans="2:14" x14ac:dyDescent="0.2">
      <c r="B221" s="126" t="s">
        <v>810</v>
      </c>
      <c r="C221" s="207" t="s">
        <v>1282</v>
      </c>
      <c r="D221" s="207" t="s">
        <v>1282</v>
      </c>
      <c r="E221" s="120">
        <f>SUM(E213:E220)</f>
        <v>103876.01987307984</v>
      </c>
      <c r="F221" s="120">
        <f>SUM(F213:F220)</f>
        <v>108479.03331746631</v>
      </c>
      <c r="G221" s="120">
        <f>SUM(G213:G220)</f>
        <v>89477.450720462191</v>
      </c>
      <c r="I221" s="126" t="str">
        <f t="shared" si="21"/>
        <v>Em 31 de março de 2019</v>
      </c>
      <c r="J221" s="120"/>
      <c r="K221" s="120"/>
      <c r="L221" s="120">
        <f>SUM(L213:L220)</f>
        <v>85885.26439848372</v>
      </c>
      <c r="M221" s="120">
        <f>SUM(M213:M220)</f>
        <v>99558.183172642806</v>
      </c>
      <c r="N221" s="120">
        <f>SUM(N213:N220)</f>
        <v>89229.53132205116</v>
      </c>
    </row>
    <row r="222" spans="2:14" x14ac:dyDescent="0.2">
      <c r="B222" s="129" t="s">
        <v>16</v>
      </c>
      <c r="C222" s="118" t="s">
        <v>1282</v>
      </c>
      <c r="D222" s="118" t="s">
        <v>1282</v>
      </c>
      <c r="E222" s="118">
        <v>7410</v>
      </c>
      <c r="F222" s="118">
        <v>61386</v>
      </c>
      <c r="G222" s="118">
        <v>0</v>
      </c>
      <c r="I222" s="129" t="str">
        <f>B222</f>
        <v>Empréstimos e financiamentos</v>
      </c>
      <c r="J222" s="118"/>
      <c r="K222" s="118"/>
      <c r="L222" s="118">
        <v>7410</v>
      </c>
      <c r="M222" s="118">
        <v>61386</v>
      </c>
      <c r="N222" s="118">
        <v>0</v>
      </c>
    </row>
    <row r="223" spans="2:14" x14ac:dyDescent="0.2">
      <c r="B223" s="129" t="s">
        <v>23</v>
      </c>
      <c r="C223" s="118" t="s">
        <v>1282</v>
      </c>
      <c r="D223" s="118" t="s">
        <v>1282</v>
      </c>
      <c r="E223" s="118">
        <v>52556</v>
      </c>
      <c r="F223" s="118">
        <v>28379</v>
      </c>
      <c r="G223" s="118">
        <v>26302</v>
      </c>
      <c r="I223" s="129" t="str">
        <f t="shared" ref="I223:I229" si="22">B223</f>
        <v>Debêntures</v>
      </c>
      <c r="J223" s="118"/>
      <c r="K223" s="118"/>
      <c r="L223" s="118">
        <v>52556</v>
      </c>
      <c r="M223" s="118">
        <v>28379</v>
      </c>
      <c r="N223" s="118">
        <v>26302</v>
      </c>
    </row>
    <row r="224" spans="2:14" x14ac:dyDescent="0.2">
      <c r="B224" s="129" t="s">
        <v>164</v>
      </c>
      <c r="C224" s="118" t="s">
        <v>1282</v>
      </c>
      <c r="D224" s="118" t="s">
        <v>1282</v>
      </c>
      <c r="E224" s="118">
        <v>36898</v>
      </c>
      <c r="F224" s="118">
        <v>0</v>
      </c>
      <c r="G224" s="118">
        <v>0</v>
      </c>
      <c r="I224" s="129" t="str">
        <f t="shared" si="22"/>
        <v>Fornecedores e fretes a pagar</v>
      </c>
      <c r="J224" s="118"/>
      <c r="K224" s="118"/>
      <c r="L224" s="118">
        <v>32774</v>
      </c>
      <c r="M224" s="118">
        <v>0</v>
      </c>
      <c r="N224" s="118">
        <v>0</v>
      </c>
    </row>
    <row r="225" spans="2:14" x14ac:dyDescent="0.2">
      <c r="B225" s="129" t="s">
        <v>24</v>
      </c>
      <c r="C225" s="118" t="s">
        <v>1282</v>
      </c>
      <c r="D225" s="118" t="s">
        <v>1282</v>
      </c>
      <c r="E225" s="118">
        <v>0</v>
      </c>
      <c r="F225" s="118">
        <v>0</v>
      </c>
      <c r="G225" s="118">
        <v>0</v>
      </c>
      <c r="I225" s="129" t="str">
        <f t="shared" si="22"/>
        <v>Demais contas a pagar</v>
      </c>
      <c r="J225" s="118"/>
      <c r="K225" s="118"/>
      <c r="L225" s="118">
        <v>37990</v>
      </c>
      <c r="M225" s="118">
        <v>0</v>
      </c>
      <c r="N225" s="118">
        <v>0</v>
      </c>
    </row>
    <row r="226" spans="2:14" x14ac:dyDescent="0.2">
      <c r="B226" s="129" t="s">
        <v>792</v>
      </c>
      <c r="C226" s="118" t="s">
        <v>1282</v>
      </c>
      <c r="D226" s="118" t="s">
        <v>1282</v>
      </c>
      <c r="E226" s="118">
        <v>0</v>
      </c>
      <c r="F226" s="118">
        <v>0</v>
      </c>
      <c r="G226" s="118">
        <v>0</v>
      </c>
      <c r="I226" s="129" t="str">
        <f t="shared" si="22"/>
        <v>Instrumento financeiros derivativos</v>
      </c>
      <c r="J226" s="118"/>
      <c r="K226" s="118"/>
      <c r="L226" s="118">
        <v>13833</v>
      </c>
      <c r="M226" s="118">
        <v>0</v>
      </c>
      <c r="N226" s="118">
        <v>0</v>
      </c>
    </row>
    <row r="227" spans="2:14" x14ac:dyDescent="0.2">
      <c r="B227" s="129" t="s">
        <v>566</v>
      </c>
      <c r="C227" s="118" t="s">
        <v>1282</v>
      </c>
      <c r="D227" s="118" t="s">
        <v>1282</v>
      </c>
      <c r="E227" s="118">
        <v>0</v>
      </c>
      <c r="F227" s="118">
        <v>0</v>
      </c>
      <c r="G227" s="118">
        <v>0</v>
      </c>
      <c r="I227" s="129" t="str">
        <f t="shared" si="22"/>
        <v>Dividendos a pagar</v>
      </c>
      <c r="J227" s="118"/>
      <c r="K227" s="118"/>
      <c r="L227" s="118">
        <v>0</v>
      </c>
      <c r="M227" s="118">
        <v>0</v>
      </c>
      <c r="N227" s="118">
        <v>0</v>
      </c>
    </row>
    <row r="228" spans="2:14" x14ac:dyDescent="0.2">
      <c r="B228" s="129" t="s">
        <v>25</v>
      </c>
      <c r="C228" s="118" t="s">
        <v>1282</v>
      </c>
      <c r="D228" s="118" t="s">
        <v>1282</v>
      </c>
      <c r="E228" s="118">
        <v>2311</v>
      </c>
      <c r="F228" s="118">
        <v>1958</v>
      </c>
      <c r="G228" s="118" t="s">
        <v>160</v>
      </c>
      <c r="I228" s="129" t="str">
        <f t="shared" si="22"/>
        <v>Partes relacionadas</v>
      </c>
      <c r="J228" s="118"/>
      <c r="K228" s="118"/>
      <c r="L228" s="118">
        <v>7869</v>
      </c>
      <c r="M228" s="118">
        <v>1958</v>
      </c>
      <c r="N228" s="118">
        <v>0</v>
      </c>
    </row>
    <row r="229" spans="2:14" x14ac:dyDescent="0.2">
      <c r="B229" s="126" t="s">
        <v>831</v>
      </c>
      <c r="C229" s="207" t="s">
        <v>1282</v>
      </c>
      <c r="D229" s="207" t="s">
        <v>1282</v>
      </c>
      <c r="E229" s="120">
        <f>SUM(E222:E228)</f>
        <v>99175</v>
      </c>
      <c r="F229" s="120">
        <f>SUM(F222:F228)</f>
        <v>91723</v>
      </c>
      <c r="G229" s="120">
        <f>SUM(G222:G228)</f>
        <v>26302</v>
      </c>
      <c r="I229" s="126" t="str">
        <f t="shared" si="22"/>
        <v>Em 31 de dezembro de 2018</v>
      </c>
      <c r="J229" s="120"/>
      <c r="K229" s="120"/>
      <c r="L229" s="120">
        <f>SUM(L222:L228)</f>
        <v>152432</v>
      </c>
      <c r="M229" s="120">
        <f>SUM(M222:M228)</f>
        <v>91723</v>
      </c>
      <c r="N229" s="120">
        <f>SUM(N222:N228)</f>
        <v>26302</v>
      </c>
    </row>
    <row r="230" spans="2:14" x14ac:dyDescent="0.2">
      <c r="B230" s="129" t="s">
        <v>16</v>
      </c>
      <c r="C230" s="118" t="s">
        <v>1282</v>
      </c>
      <c r="D230" s="118" t="s">
        <v>1282</v>
      </c>
      <c r="E230" s="118">
        <v>5702</v>
      </c>
      <c r="F230" s="118">
        <v>66820</v>
      </c>
      <c r="G230" s="118">
        <v>0</v>
      </c>
      <c r="I230" s="129" t="str">
        <f>B230</f>
        <v>Empréstimos e financiamentos</v>
      </c>
      <c r="J230" s="118"/>
      <c r="K230" s="118"/>
      <c r="L230" s="118">
        <v>5702</v>
      </c>
      <c r="M230" s="118">
        <v>66820</v>
      </c>
      <c r="N230" s="118">
        <v>0</v>
      </c>
    </row>
    <row r="231" spans="2:14" x14ac:dyDescent="0.2">
      <c r="B231" s="129" t="s">
        <v>23</v>
      </c>
      <c r="C231" s="118" t="s">
        <v>1282</v>
      </c>
      <c r="D231" s="118" t="s">
        <v>1282</v>
      </c>
      <c r="E231" s="118">
        <v>52533</v>
      </c>
      <c r="F231" s="118">
        <v>29721</v>
      </c>
      <c r="G231" s="118">
        <v>27074</v>
      </c>
      <c r="I231" s="129" t="str">
        <f t="shared" ref="I231:I236" si="23">B231</f>
        <v>Debêntures</v>
      </c>
      <c r="J231" s="118"/>
      <c r="K231" s="118"/>
      <c r="L231" s="118">
        <v>52533</v>
      </c>
      <c r="M231" s="118">
        <v>29721</v>
      </c>
      <c r="N231" s="118">
        <v>27074</v>
      </c>
    </row>
    <row r="232" spans="2:14" x14ac:dyDescent="0.2">
      <c r="B232" s="129" t="s">
        <v>164</v>
      </c>
      <c r="C232" s="118" t="s">
        <v>1282</v>
      </c>
      <c r="D232" s="118" t="s">
        <v>1282</v>
      </c>
      <c r="E232" s="118">
        <v>27786</v>
      </c>
      <c r="F232" s="118">
        <v>0</v>
      </c>
      <c r="G232" s="118">
        <v>0</v>
      </c>
      <c r="I232" s="129" t="str">
        <f t="shared" si="23"/>
        <v>Fornecedores e fretes a pagar</v>
      </c>
      <c r="J232" s="118"/>
      <c r="K232" s="118"/>
      <c r="L232" s="118">
        <v>25294</v>
      </c>
      <c r="M232" s="118">
        <v>0</v>
      </c>
      <c r="N232" s="118">
        <v>0</v>
      </c>
    </row>
    <row r="233" spans="2:14" x14ac:dyDescent="0.2">
      <c r="B233" s="129" t="s">
        <v>24</v>
      </c>
      <c r="C233" s="118" t="s">
        <v>1282</v>
      </c>
      <c r="D233" s="118" t="s">
        <v>1282</v>
      </c>
      <c r="E233" s="118">
        <v>26432</v>
      </c>
      <c r="F233" s="118">
        <v>0</v>
      </c>
      <c r="G233" s="118">
        <v>0</v>
      </c>
      <c r="I233" s="129" t="str">
        <f t="shared" si="23"/>
        <v>Demais contas a pagar</v>
      </c>
      <c r="J233" s="118"/>
      <c r="K233" s="118"/>
      <c r="L233" s="118">
        <v>18257</v>
      </c>
      <c r="M233" s="118">
        <v>0</v>
      </c>
      <c r="N233" s="118">
        <v>0</v>
      </c>
    </row>
    <row r="234" spans="2:14" x14ac:dyDescent="0.2">
      <c r="B234" s="129" t="s">
        <v>566</v>
      </c>
      <c r="C234" s="118" t="s">
        <v>1282</v>
      </c>
      <c r="D234" s="118" t="s">
        <v>1282</v>
      </c>
      <c r="E234" s="118">
        <v>0</v>
      </c>
      <c r="F234" s="118">
        <v>0</v>
      </c>
      <c r="G234" s="118">
        <v>0</v>
      </c>
      <c r="I234" s="129" t="str">
        <f t="shared" si="23"/>
        <v>Dividendos a pagar</v>
      </c>
      <c r="J234" s="118"/>
      <c r="K234" s="118"/>
      <c r="L234" s="118">
        <v>0</v>
      </c>
      <c r="M234" s="118">
        <v>0</v>
      </c>
      <c r="N234" s="118">
        <v>0</v>
      </c>
    </row>
    <row r="235" spans="2:14" x14ac:dyDescent="0.2">
      <c r="B235" s="129" t="s">
        <v>25</v>
      </c>
      <c r="C235" s="118" t="s">
        <v>1282</v>
      </c>
      <c r="D235" s="118" t="s">
        <v>1282</v>
      </c>
      <c r="E235" s="118">
        <v>1588</v>
      </c>
      <c r="F235" s="118">
        <v>1503</v>
      </c>
      <c r="G235" s="118" t="s">
        <v>160</v>
      </c>
      <c r="I235" s="129" t="str">
        <f t="shared" si="23"/>
        <v>Partes relacionadas</v>
      </c>
      <c r="J235" s="118"/>
      <c r="K235" s="118"/>
      <c r="L235" s="118">
        <v>7460</v>
      </c>
      <c r="M235" s="118">
        <v>1503</v>
      </c>
      <c r="N235" s="118">
        <v>0</v>
      </c>
    </row>
    <row r="236" spans="2:14" x14ac:dyDescent="0.2">
      <c r="B236" s="126" t="s">
        <v>772</v>
      </c>
      <c r="C236" s="207" t="s">
        <v>1282</v>
      </c>
      <c r="D236" s="207" t="s">
        <v>1282</v>
      </c>
      <c r="E236" s="120">
        <f>SUM(E230:E235)</f>
        <v>114041</v>
      </c>
      <c r="F236" s="120">
        <f>SUM(F230:F235)</f>
        <v>98044</v>
      </c>
      <c r="G236" s="120">
        <f>SUM(G230:G235)</f>
        <v>27074</v>
      </c>
      <c r="I236" s="126" t="str">
        <f t="shared" si="23"/>
        <v>Em 30 de setembro de 2018</v>
      </c>
      <c r="J236" s="120"/>
      <c r="K236" s="120"/>
      <c r="L236" s="120">
        <f>SUM(L230:L235)</f>
        <v>109246</v>
      </c>
      <c r="M236" s="120">
        <f>SUM(M230:M235)</f>
        <v>98044</v>
      </c>
      <c r="N236" s="120">
        <f>SUM(N230:N235)</f>
        <v>27074</v>
      </c>
    </row>
    <row r="237" spans="2:14" x14ac:dyDescent="0.2">
      <c r="B237" s="129" t="s">
        <v>16</v>
      </c>
      <c r="C237" s="118" t="s">
        <v>1282</v>
      </c>
      <c r="D237" s="118" t="s">
        <v>1282</v>
      </c>
      <c r="E237" s="118">
        <v>47473</v>
      </c>
      <c r="F237" s="118">
        <v>7114</v>
      </c>
      <c r="G237" s="118">
        <v>0</v>
      </c>
      <c r="I237" s="129" t="str">
        <f>B237</f>
        <v>Empréstimos e financiamentos</v>
      </c>
      <c r="J237" s="118"/>
      <c r="K237" s="118"/>
      <c r="L237" s="118">
        <v>47473</v>
      </c>
      <c r="M237" s="118">
        <v>7114</v>
      </c>
      <c r="N237" s="118">
        <v>0</v>
      </c>
    </row>
    <row r="238" spans="2:14" x14ac:dyDescent="0.2">
      <c r="B238" s="129" t="s">
        <v>23</v>
      </c>
      <c r="C238" s="118" t="s">
        <v>1282</v>
      </c>
      <c r="D238" s="118" t="s">
        <v>1282</v>
      </c>
      <c r="E238" s="118">
        <v>54245</v>
      </c>
      <c r="F238" s="118">
        <v>2120</v>
      </c>
      <c r="G238" s="118">
        <v>54675</v>
      </c>
      <c r="I238" s="129" t="str">
        <f t="shared" ref="I238:I243" si="24">B238</f>
        <v>Debêntures</v>
      </c>
      <c r="J238" s="118"/>
      <c r="K238" s="118"/>
      <c r="L238" s="118">
        <v>54245</v>
      </c>
      <c r="M238" s="118">
        <v>2120</v>
      </c>
      <c r="N238" s="118">
        <v>54675</v>
      </c>
    </row>
    <row r="239" spans="2:14" x14ac:dyDescent="0.2">
      <c r="B239" s="129" t="s">
        <v>164</v>
      </c>
      <c r="C239" s="118" t="s">
        <v>1282</v>
      </c>
      <c r="D239" s="118" t="s">
        <v>1282</v>
      </c>
      <c r="E239" s="118">
        <v>24553</v>
      </c>
      <c r="F239" s="118">
        <v>0</v>
      </c>
      <c r="G239" s="118">
        <v>0</v>
      </c>
      <c r="I239" s="129" t="str">
        <f t="shared" si="24"/>
        <v>Fornecedores e fretes a pagar</v>
      </c>
      <c r="J239" s="118"/>
      <c r="K239" s="118"/>
      <c r="L239" s="118">
        <v>22834</v>
      </c>
      <c r="M239" s="118">
        <v>0</v>
      </c>
      <c r="N239" s="118">
        <v>0</v>
      </c>
    </row>
    <row r="240" spans="2:14" x14ac:dyDescent="0.2">
      <c r="B240" s="129" t="s">
        <v>24</v>
      </c>
      <c r="C240" s="118" t="s">
        <v>1282</v>
      </c>
      <c r="D240" s="118" t="s">
        <v>1282</v>
      </c>
      <c r="E240" s="118">
        <v>22510</v>
      </c>
      <c r="F240" s="118">
        <v>0</v>
      </c>
      <c r="G240" s="118">
        <v>0</v>
      </c>
      <c r="I240" s="129" t="str">
        <f t="shared" si="24"/>
        <v>Demais contas a pagar</v>
      </c>
      <c r="J240" s="118"/>
      <c r="K240" s="118"/>
      <c r="L240" s="118">
        <v>16473</v>
      </c>
      <c r="M240" s="118">
        <v>0</v>
      </c>
      <c r="N240" s="118">
        <v>0</v>
      </c>
    </row>
    <row r="241" spans="2:14" x14ac:dyDescent="0.2">
      <c r="B241" s="129" t="s">
        <v>566</v>
      </c>
      <c r="C241" s="118" t="s">
        <v>1282</v>
      </c>
      <c r="D241" s="118" t="s">
        <v>1282</v>
      </c>
      <c r="E241" s="118">
        <v>0</v>
      </c>
      <c r="F241" s="118">
        <v>0</v>
      </c>
      <c r="G241" s="118">
        <v>0</v>
      </c>
      <c r="I241" s="129" t="str">
        <f t="shared" si="24"/>
        <v>Dividendos a pagar</v>
      </c>
      <c r="J241" s="118"/>
      <c r="K241" s="118"/>
      <c r="L241" s="118">
        <v>0</v>
      </c>
      <c r="M241" s="118">
        <v>0</v>
      </c>
      <c r="N241" s="118">
        <v>0</v>
      </c>
    </row>
    <row r="242" spans="2:14" x14ac:dyDescent="0.2">
      <c r="B242" s="129" t="s">
        <v>25</v>
      </c>
      <c r="C242" s="118" t="s">
        <v>1282</v>
      </c>
      <c r="D242" s="118" t="s">
        <v>1282</v>
      </c>
      <c r="E242" s="118">
        <v>784</v>
      </c>
      <c r="F242" s="118">
        <v>1042</v>
      </c>
      <c r="G242" s="118" t="s">
        <v>160</v>
      </c>
      <c r="I242" s="129" t="str">
        <f t="shared" si="24"/>
        <v>Partes relacionadas</v>
      </c>
      <c r="J242" s="118"/>
      <c r="K242" s="118"/>
      <c r="L242" s="118">
        <v>6457</v>
      </c>
      <c r="M242" s="118">
        <v>1042</v>
      </c>
      <c r="N242" s="118">
        <v>0</v>
      </c>
    </row>
    <row r="243" spans="2:14" x14ac:dyDescent="0.2">
      <c r="B243" s="126" t="s">
        <v>753</v>
      </c>
      <c r="C243" s="207" t="s">
        <v>1282</v>
      </c>
      <c r="D243" s="207" t="s">
        <v>1282</v>
      </c>
      <c r="E243" s="120">
        <f>SUM(E237:E242)</f>
        <v>149565</v>
      </c>
      <c r="F243" s="120">
        <f>SUM(F237:F242)</f>
        <v>10276</v>
      </c>
      <c r="G243" s="120">
        <f>SUM(G237:G242)</f>
        <v>54675</v>
      </c>
      <c r="I243" s="126" t="str">
        <f t="shared" si="24"/>
        <v>Em 30 de junho de 2018</v>
      </c>
      <c r="J243" s="120"/>
      <c r="K243" s="120"/>
      <c r="L243" s="120">
        <f>SUM(L237:L242)</f>
        <v>147482</v>
      </c>
      <c r="M243" s="120">
        <f>SUM(M237:M242)</f>
        <v>10276</v>
      </c>
      <c r="N243" s="120">
        <f>SUM(N237:N242)</f>
        <v>54675</v>
      </c>
    </row>
    <row r="244" spans="2:14" x14ac:dyDescent="0.2">
      <c r="B244" s="129" t="s">
        <v>16</v>
      </c>
      <c r="C244" s="118" t="s">
        <v>1282</v>
      </c>
      <c r="D244" s="118" t="s">
        <v>1282</v>
      </c>
      <c r="E244" s="118">
        <v>5434</v>
      </c>
      <c r="F244" s="118">
        <v>49462</v>
      </c>
      <c r="G244" s="118">
        <v>5807</v>
      </c>
      <c r="I244" s="129" t="str">
        <f>B244</f>
        <v>Empréstimos e financiamentos</v>
      </c>
      <c r="J244" s="118"/>
      <c r="K244" s="118"/>
      <c r="L244" s="118">
        <v>4152</v>
      </c>
      <c r="M244" s="118">
        <v>48228</v>
      </c>
      <c r="N244" s="118">
        <v>3478</v>
      </c>
    </row>
    <row r="245" spans="2:14" x14ac:dyDescent="0.2">
      <c r="B245" s="129" t="s">
        <v>23</v>
      </c>
      <c r="C245" s="118" t="s">
        <v>1282</v>
      </c>
      <c r="D245" s="118" t="s">
        <v>1282</v>
      </c>
      <c r="E245" s="118">
        <v>55291</v>
      </c>
      <c r="F245" s="118">
        <v>4173</v>
      </c>
      <c r="G245" s="118">
        <v>54675</v>
      </c>
      <c r="I245" s="129" t="str">
        <f t="shared" ref="I245:I250" si="25">B245</f>
        <v>Debêntures</v>
      </c>
      <c r="J245" s="118"/>
      <c r="K245" s="118"/>
      <c r="L245" s="118">
        <v>55291</v>
      </c>
      <c r="M245" s="118">
        <v>4173</v>
      </c>
      <c r="N245" s="118">
        <v>54675</v>
      </c>
    </row>
    <row r="246" spans="2:14" x14ac:dyDescent="0.2">
      <c r="B246" s="129" t="s">
        <v>164</v>
      </c>
      <c r="C246" s="118" t="s">
        <v>1282</v>
      </c>
      <c r="D246" s="118" t="s">
        <v>1282</v>
      </c>
      <c r="E246" s="118">
        <v>28016</v>
      </c>
      <c r="F246" s="118">
        <v>0</v>
      </c>
      <c r="G246" s="118">
        <v>0</v>
      </c>
      <c r="I246" s="129" t="str">
        <f t="shared" si="25"/>
        <v>Fornecedores e fretes a pagar</v>
      </c>
      <c r="J246" s="118"/>
      <c r="K246" s="118"/>
      <c r="L246" s="118">
        <v>25222</v>
      </c>
      <c r="M246" s="118">
        <v>0</v>
      </c>
      <c r="N246" s="118">
        <v>0</v>
      </c>
    </row>
    <row r="247" spans="2:14" x14ac:dyDescent="0.2">
      <c r="B247" s="129" t="s">
        <v>24</v>
      </c>
      <c r="C247" s="118" t="s">
        <v>1282</v>
      </c>
      <c r="D247" s="118" t="s">
        <v>1282</v>
      </c>
      <c r="E247" s="118">
        <v>22736</v>
      </c>
      <c r="F247" s="118">
        <v>0</v>
      </c>
      <c r="G247" s="118">
        <v>0</v>
      </c>
      <c r="I247" s="129" t="str">
        <f t="shared" si="25"/>
        <v>Demais contas a pagar</v>
      </c>
      <c r="J247" s="118"/>
      <c r="K247" s="118"/>
      <c r="L247" s="118">
        <v>18132</v>
      </c>
      <c r="M247" s="118">
        <v>0</v>
      </c>
      <c r="N247" s="118">
        <v>0</v>
      </c>
    </row>
    <row r="248" spans="2:14" x14ac:dyDescent="0.2">
      <c r="B248" s="129" t="s">
        <v>566</v>
      </c>
      <c r="C248" s="118" t="s">
        <v>1282</v>
      </c>
      <c r="D248" s="118" t="s">
        <v>1282</v>
      </c>
      <c r="E248" s="118">
        <v>3128</v>
      </c>
      <c r="F248" s="118">
        <v>0</v>
      </c>
      <c r="G248" s="118">
        <v>0</v>
      </c>
      <c r="I248" s="129" t="str">
        <f t="shared" si="25"/>
        <v>Dividendos a pagar</v>
      </c>
      <c r="J248" s="118"/>
      <c r="K248" s="118"/>
      <c r="L248" s="118">
        <v>3128</v>
      </c>
      <c r="M248" s="118">
        <v>0</v>
      </c>
      <c r="N248" s="118">
        <v>0</v>
      </c>
    </row>
    <row r="249" spans="2:14" x14ac:dyDescent="0.2">
      <c r="B249" s="129" t="s">
        <v>25</v>
      </c>
      <c r="C249" s="118" t="s">
        <v>1282</v>
      </c>
      <c r="D249" s="118" t="s">
        <v>1282</v>
      </c>
      <c r="E249" s="118">
        <v>812</v>
      </c>
      <c r="F249" s="118">
        <v>0</v>
      </c>
      <c r="G249" s="118">
        <v>0</v>
      </c>
      <c r="I249" s="129" t="str">
        <f t="shared" si="25"/>
        <v>Partes relacionadas</v>
      </c>
      <c r="J249" s="118"/>
      <c r="K249" s="118"/>
      <c r="L249" s="118">
        <v>7011</v>
      </c>
      <c r="M249" s="118">
        <v>0</v>
      </c>
      <c r="N249" s="118">
        <v>0</v>
      </c>
    </row>
    <row r="250" spans="2:14" x14ac:dyDescent="0.2">
      <c r="B250" s="126" t="s">
        <v>740</v>
      </c>
      <c r="C250" s="207" t="s">
        <v>1282</v>
      </c>
      <c r="D250" s="207" t="s">
        <v>1282</v>
      </c>
      <c r="E250" s="120">
        <f>SUM(E244:E249)</f>
        <v>115417</v>
      </c>
      <c r="F250" s="120">
        <f>SUM(F244:F249)</f>
        <v>53635</v>
      </c>
      <c r="G250" s="120">
        <f>SUM(G244:G249)</f>
        <v>60482</v>
      </c>
      <c r="I250" s="126" t="str">
        <f t="shared" si="25"/>
        <v>Em 30 de março de 2018</v>
      </c>
      <c r="J250" s="120"/>
      <c r="K250" s="120"/>
      <c r="L250" s="120">
        <f>SUM(L244:L249)</f>
        <v>112936</v>
      </c>
      <c r="M250" s="120">
        <f>SUM(M244:M249)</f>
        <v>52401</v>
      </c>
      <c r="N250" s="120">
        <f>SUM(N244:N249)</f>
        <v>58153</v>
      </c>
    </row>
    <row r="251" spans="2:14" x14ac:dyDescent="0.2">
      <c r="B251" s="129" t="s">
        <v>16</v>
      </c>
      <c r="C251" s="118" t="s">
        <v>1282</v>
      </c>
      <c r="D251" s="118" t="s">
        <v>1282</v>
      </c>
      <c r="E251" s="118">
        <v>5552</v>
      </c>
      <c r="F251" s="118">
        <v>50401</v>
      </c>
      <c r="G251" s="118">
        <v>6118</v>
      </c>
      <c r="I251" s="129" t="str">
        <f>B251</f>
        <v>Empréstimos e financiamentos</v>
      </c>
      <c r="J251" s="118"/>
      <c r="K251" s="118"/>
      <c r="L251" s="118">
        <v>4513</v>
      </c>
      <c r="M251" s="118">
        <v>49155</v>
      </c>
      <c r="N251" s="118">
        <v>3486</v>
      </c>
    </row>
    <row r="252" spans="2:14" x14ac:dyDescent="0.2">
      <c r="B252" s="129" t="s">
        <v>23</v>
      </c>
      <c r="C252" s="118" t="s">
        <v>1282</v>
      </c>
      <c r="D252" s="118" t="s">
        <v>1282</v>
      </c>
      <c r="E252" s="118">
        <v>78591</v>
      </c>
      <c r="F252" s="118">
        <v>52908</v>
      </c>
      <c r="G252" s="118">
        <v>54949</v>
      </c>
      <c r="I252" s="129" t="str">
        <f t="shared" ref="I252:I314" si="26">B252</f>
        <v>Debêntures</v>
      </c>
      <c r="J252" s="118"/>
      <c r="K252" s="118"/>
      <c r="L252" s="118">
        <v>78591</v>
      </c>
      <c r="M252" s="118">
        <v>52908</v>
      </c>
      <c r="N252" s="118">
        <v>54949</v>
      </c>
    </row>
    <row r="253" spans="2:14" x14ac:dyDescent="0.2">
      <c r="B253" s="129" t="s">
        <v>164</v>
      </c>
      <c r="C253" s="118" t="s">
        <v>1282</v>
      </c>
      <c r="D253" s="118" t="s">
        <v>1282</v>
      </c>
      <c r="E253" s="118">
        <v>32237</v>
      </c>
      <c r="F253" s="118">
        <v>0</v>
      </c>
      <c r="G253" s="118">
        <v>0</v>
      </c>
      <c r="I253" s="129" t="str">
        <f t="shared" si="26"/>
        <v>Fornecedores e fretes a pagar</v>
      </c>
      <c r="J253" s="118"/>
      <c r="K253" s="118"/>
      <c r="L253" s="118">
        <v>29406</v>
      </c>
      <c r="M253" s="118">
        <v>0</v>
      </c>
      <c r="N253" s="118">
        <v>0</v>
      </c>
    </row>
    <row r="254" spans="2:14" x14ac:dyDescent="0.2">
      <c r="B254" s="129" t="s">
        <v>24</v>
      </c>
      <c r="C254" s="118" t="s">
        <v>1282</v>
      </c>
      <c r="D254" s="118" t="s">
        <v>1282</v>
      </c>
      <c r="E254" s="118">
        <v>26067</v>
      </c>
      <c r="F254" s="118">
        <v>0</v>
      </c>
      <c r="G254" s="118">
        <v>0</v>
      </c>
      <c r="I254" s="129" t="str">
        <f t="shared" si="26"/>
        <v>Demais contas a pagar</v>
      </c>
      <c r="J254" s="118"/>
      <c r="K254" s="118"/>
      <c r="L254" s="118">
        <v>20320</v>
      </c>
      <c r="M254" s="118">
        <v>0</v>
      </c>
      <c r="N254" s="118">
        <v>0</v>
      </c>
    </row>
    <row r="255" spans="2:14" x14ac:dyDescent="0.2">
      <c r="B255" s="129" t="s">
        <v>566</v>
      </c>
      <c r="C255" s="118" t="s">
        <v>1282</v>
      </c>
      <c r="D255" s="118" t="s">
        <v>1282</v>
      </c>
      <c r="E255" s="118">
        <v>3128</v>
      </c>
      <c r="F255" s="118">
        <v>0</v>
      </c>
      <c r="G255" s="118">
        <v>0</v>
      </c>
      <c r="I255" s="129" t="str">
        <f t="shared" si="26"/>
        <v>Dividendos a pagar</v>
      </c>
      <c r="J255" s="118"/>
      <c r="K255" s="118"/>
      <c r="L255" s="118">
        <v>3128</v>
      </c>
      <c r="M255" s="118">
        <v>0</v>
      </c>
      <c r="N255" s="118">
        <v>0</v>
      </c>
    </row>
    <row r="256" spans="2:14" x14ac:dyDescent="0.2">
      <c r="B256" s="129" t="s">
        <v>25</v>
      </c>
      <c r="C256" s="118" t="s">
        <v>1282</v>
      </c>
      <c r="D256" s="118" t="s">
        <v>1282</v>
      </c>
      <c r="E256" s="118">
        <v>826</v>
      </c>
      <c r="F256" s="118">
        <v>0</v>
      </c>
      <c r="G256" s="118">
        <v>0</v>
      </c>
      <c r="I256" s="129" t="str">
        <f t="shared" si="26"/>
        <v>Partes relacionadas</v>
      </c>
      <c r="J256" s="118"/>
      <c r="K256" s="118"/>
      <c r="L256" s="118">
        <v>1297</v>
      </c>
      <c r="M256" s="118">
        <v>0</v>
      </c>
      <c r="N256" s="118">
        <v>0</v>
      </c>
    </row>
    <row r="257" spans="2:14" x14ac:dyDescent="0.2">
      <c r="B257" s="126" t="s">
        <v>677</v>
      </c>
      <c r="C257" s="207" t="s">
        <v>1282</v>
      </c>
      <c r="D257" s="207" t="s">
        <v>1282</v>
      </c>
      <c r="E257" s="120">
        <f>SUM(E251:E256)</f>
        <v>146401</v>
      </c>
      <c r="F257" s="120">
        <f>SUM(F251:F256)</f>
        <v>103309</v>
      </c>
      <c r="G257" s="120">
        <f>SUM(G251:G256)</f>
        <v>61067</v>
      </c>
      <c r="I257" s="126" t="str">
        <f t="shared" si="26"/>
        <v>Em 30 de dezembro de 2017</v>
      </c>
      <c r="J257" s="120"/>
      <c r="K257" s="120"/>
      <c r="L257" s="120">
        <f>SUM(L251:L256)</f>
        <v>137255</v>
      </c>
      <c r="M257" s="120">
        <f>SUM(M251:M256)</f>
        <v>102063</v>
      </c>
      <c r="N257" s="120">
        <f>SUM(N251:N256)</f>
        <v>58435</v>
      </c>
    </row>
    <row r="258" spans="2:14" x14ac:dyDescent="0.2">
      <c r="B258" s="129" t="s">
        <v>16</v>
      </c>
      <c r="C258" s="118" t="s">
        <v>1282</v>
      </c>
      <c r="D258" s="118" t="s">
        <v>1282</v>
      </c>
      <c r="E258" s="118">
        <v>5749.8968440162789</v>
      </c>
      <c r="F258" s="118">
        <v>48755.824826898111</v>
      </c>
      <c r="G258" s="118">
        <v>10039.639121399066</v>
      </c>
      <c r="I258" s="129" t="s">
        <v>16</v>
      </c>
      <c r="J258" s="118"/>
      <c r="K258" s="118"/>
      <c r="L258" s="118">
        <v>5058.1188241579403</v>
      </c>
      <c r="M258" s="118">
        <v>47495.633562386676</v>
      </c>
      <c r="N258" s="118">
        <v>6999.4209869006991</v>
      </c>
    </row>
    <row r="259" spans="2:14" x14ac:dyDescent="0.2">
      <c r="B259" s="129" t="s">
        <v>23</v>
      </c>
      <c r="C259" s="118" t="s">
        <v>1282</v>
      </c>
      <c r="D259" s="118" t="s">
        <v>1282</v>
      </c>
      <c r="E259" s="118">
        <v>77363.945685988001</v>
      </c>
      <c r="F259" s="118">
        <v>53758.682839744004</v>
      </c>
      <c r="G259" s="118">
        <v>58184.243896650005</v>
      </c>
      <c r="I259" s="129" t="s">
        <v>23</v>
      </c>
      <c r="J259" s="118"/>
      <c r="K259" s="118"/>
      <c r="L259" s="118">
        <v>77363.945685988001</v>
      </c>
      <c r="M259" s="118">
        <v>53758.682839744004</v>
      </c>
      <c r="N259" s="118">
        <v>0</v>
      </c>
    </row>
    <row r="260" spans="2:14" x14ac:dyDescent="0.2">
      <c r="B260" s="129" t="s">
        <v>164</v>
      </c>
      <c r="C260" s="118" t="s">
        <v>1282</v>
      </c>
      <c r="D260" s="118" t="s">
        <v>1282</v>
      </c>
      <c r="E260" s="118">
        <v>26706</v>
      </c>
      <c r="F260" s="118">
        <v>0</v>
      </c>
      <c r="G260" s="118">
        <v>0</v>
      </c>
      <c r="I260" s="129" t="s">
        <v>164</v>
      </c>
      <c r="J260" s="118"/>
      <c r="K260" s="118"/>
      <c r="L260" s="118">
        <v>24179</v>
      </c>
      <c r="M260" s="118">
        <v>0</v>
      </c>
      <c r="N260" s="118">
        <v>0</v>
      </c>
    </row>
    <row r="261" spans="2:14" x14ac:dyDescent="0.2">
      <c r="B261" s="129" t="s">
        <v>24</v>
      </c>
      <c r="C261" s="118" t="s">
        <v>1282</v>
      </c>
      <c r="D261" s="118" t="s">
        <v>1282</v>
      </c>
      <c r="E261" s="118">
        <v>20787</v>
      </c>
      <c r="F261" s="118">
        <v>0</v>
      </c>
      <c r="G261" s="118">
        <v>0</v>
      </c>
      <c r="I261" s="129" t="s">
        <v>24</v>
      </c>
      <c r="J261" s="118"/>
      <c r="K261" s="118"/>
      <c r="L261" s="118">
        <v>15389</v>
      </c>
      <c r="M261" s="118">
        <v>0</v>
      </c>
      <c r="N261" s="118">
        <v>0</v>
      </c>
    </row>
    <row r="262" spans="2:14" x14ac:dyDescent="0.2">
      <c r="B262" s="129" t="s">
        <v>573</v>
      </c>
      <c r="C262" s="118" t="s">
        <v>1282</v>
      </c>
      <c r="D262" s="118" t="s">
        <v>1282</v>
      </c>
      <c r="E262" s="118">
        <v>0</v>
      </c>
      <c r="F262" s="118">
        <v>0</v>
      </c>
      <c r="G262" s="118">
        <v>0</v>
      </c>
      <c r="I262" s="129" t="s">
        <v>573</v>
      </c>
      <c r="J262" s="118"/>
      <c r="K262" s="118"/>
      <c r="L262" s="118">
        <v>0</v>
      </c>
      <c r="M262" s="118">
        <v>0</v>
      </c>
      <c r="N262" s="118">
        <v>0</v>
      </c>
    </row>
    <row r="263" spans="2:14" x14ac:dyDescent="0.2">
      <c r="B263" s="129" t="s">
        <v>566</v>
      </c>
      <c r="C263" s="118" t="s">
        <v>1282</v>
      </c>
      <c r="D263" s="118" t="s">
        <v>1282</v>
      </c>
      <c r="E263" s="118">
        <v>0</v>
      </c>
      <c r="F263" s="118">
        <v>0</v>
      </c>
      <c r="G263" s="118">
        <v>0</v>
      </c>
      <c r="I263" s="129" t="s">
        <v>566</v>
      </c>
      <c r="J263" s="118"/>
      <c r="K263" s="118"/>
      <c r="L263" s="118">
        <v>0</v>
      </c>
      <c r="M263" s="118">
        <v>0</v>
      </c>
      <c r="N263" s="118">
        <v>0</v>
      </c>
    </row>
    <row r="264" spans="2:14" x14ac:dyDescent="0.2">
      <c r="B264" s="129" t="s">
        <v>25</v>
      </c>
      <c r="C264" s="118" t="s">
        <v>1282</v>
      </c>
      <c r="D264" s="118" t="s">
        <v>1282</v>
      </c>
      <c r="E264" s="118">
        <v>826</v>
      </c>
      <c r="F264" s="118">
        <v>0</v>
      </c>
      <c r="G264" s="118">
        <v>0</v>
      </c>
      <c r="I264" s="129" t="s">
        <v>25</v>
      </c>
      <c r="J264" s="118"/>
      <c r="K264" s="118"/>
      <c r="L264" s="118">
        <v>15068</v>
      </c>
      <c r="M264" s="118">
        <v>0</v>
      </c>
      <c r="N264" s="118">
        <v>0</v>
      </c>
    </row>
    <row r="265" spans="2:14" x14ac:dyDescent="0.2">
      <c r="B265" s="126" t="s">
        <v>598</v>
      </c>
      <c r="C265" s="207" t="s">
        <v>1282</v>
      </c>
      <c r="D265" s="207" t="s">
        <v>1282</v>
      </c>
      <c r="E265" s="120">
        <v>131432.84253000427</v>
      </c>
      <c r="F265" s="120">
        <v>102514.50766664211</v>
      </c>
      <c r="G265" s="120">
        <v>68223.883018049077</v>
      </c>
      <c r="I265" s="126" t="s">
        <v>598</v>
      </c>
      <c r="J265" s="120"/>
      <c r="K265" s="120"/>
      <c r="L265" s="120">
        <v>137058.06451014592</v>
      </c>
      <c r="M265" s="120">
        <v>101254.31640213067</v>
      </c>
      <c r="N265" s="120">
        <v>6999.4209869006991</v>
      </c>
    </row>
    <row r="266" spans="2:14" x14ac:dyDescent="0.2">
      <c r="B266" s="129" t="s">
        <v>16</v>
      </c>
      <c r="C266" s="118" t="s">
        <v>1282</v>
      </c>
      <c r="D266" s="118" t="s">
        <v>1282</v>
      </c>
      <c r="E266" s="118">
        <v>7175.2015286857295</v>
      </c>
      <c r="F266" s="118">
        <v>50616.114076211648</v>
      </c>
      <c r="G266" s="118">
        <v>10698.597012035214</v>
      </c>
      <c r="I266" s="129" t="str">
        <f t="shared" si="26"/>
        <v>Empréstimos e financiamentos</v>
      </c>
      <c r="J266" s="118"/>
      <c r="K266" s="118"/>
      <c r="L266" s="118">
        <v>6544.4125176342641</v>
      </c>
      <c r="M266" s="118">
        <v>49206</v>
      </c>
      <c r="N266" s="118">
        <v>7278.6670000000004</v>
      </c>
    </row>
    <row r="267" spans="2:14" x14ac:dyDescent="0.2">
      <c r="B267" s="129" t="s">
        <v>23</v>
      </c>
      <c r="C267" s="118" t="s">
        <v>1282</v>
      </c>
      <c r="D267" s="118" t="s">
        <v>1282</v>
      </c>
      <c r="E267" s="118">
        <v>137978.40153308402</v>
      </c>
      <c r="F267" s="118">
        <v>107107.025158274</v>
      </c>
      <c r="G267" s="118">
        <v>0</v>
      </c>
      <c r="I267" s="129" t="str">
        <f t="shared" si="26"/>
        <v>Debêntures</v>
      </c>
      <c r="J267" s="118"/>
      <c r="K267" s="118"/>
      <c r="L267" s="118">
        <v>137978.40153308402</v>
      </c>
      <c r="M267" s="118">
        <v>107107.025158274</v>
      </c>
      <c r="N267" s="118">
        <v>0</v>
      </c>
    </row>
    <row r="268" spans="2:14" x14ac:dyDescent="0.2">
      <c r="B268" s="129" t="s">
        <v>164</v>
      </c>
      <c r="C268" s="118" t="s">
        <v>1282</v>
      </c>
      <c r="D268" s="118" t="s">
        <v>1282</v>
      </c>
      <c r="E268" s="118">
        <v>23235</v>
      </c>
      <c r="F268" s="118">
        <v>0</v>
      </c>
      <c r="G268" s="118">
        <v>0</v>
      </c>
      <c r="I268" s="129" t="str">
        <f t="shared" si="26"/>
        <v>Fornecedores e fretes a pagar</v>
      </c>
      <c r="J268" s="118"/>
      <c r="K268" s="118"/>
      <c r="L268" s="118">
        <v>20278</v>
      </c>
      <c r="M268" s="118">
        <v>0</v>
      </c>
      <c r="N268" s="118">
        <v>0</v>
      </c>
    </row>
    <row r="269" spans="2:14" x14ac:dyDescent="0.2">
      <c r="B269" s="129" t="s">
        <v>24</v>
      </c>
      <c r="C269" s="118" t="s">
        <v>1282</v>
      </c>
      <c r="D269" s="118" t="s">
        <v>1282</v>
      </c>
      <c r="E269" s="118">
        <v>18806</v>
      </c>
      <c r="F269" s="118">
        <v>0</v>
      </c>
      <c r="G269" s="118">
        <v>0</v>
      </c>
      <c r="I269" s="129" t="str">
        <f t="shared" si="26"/>
        <v>Demais contas a pagar</v>
      </c>
      <c r="J269" s="118"/>
      <c r="K269" s="118"/>
      <c r="L269" s="118">
        <v>14136</v>
      </c>
      <c r="M269" s="118">
        <v>0</v>
      </c>
      <c r="N269" s="118">
        <v>0</v>
      </c>
    </row>
    <row r="270" spans="2:14" x14ac:dyDescent="0.2">
      <c r="B270" s="129" t="s">
        <v>573</v>
      </c>
      <c r="C270" s="118" t="s">
        <v>1282</v>
      </c>
      <c r="D270" s="118" t="s">
        <v>1282</v>
      </c>
      <c r="E270" s="118">
        <v>0</v>
      </c>
      <c r="F270" s="118">
        <v>0</v>
      </c>
      <c r="G270" s="118">
        <v>0</v>
      </c>
      <c r="I270" s="129" t="str">
        <f t="shared" si="26"/>
        <v>Contas a pagar - aquisição de controlada</v>
      </c>
      <c r="J270" s="118"/>
      <c r="K270" s="118"/>
      <c r="L270" s="118">
        <v>0</v>
      </c>
      <c r="M270" s="118">
        <v>0</v>
      </c>
      <c r="N270" s="118">
        <v>0</v>
      </c>
    </row>
    <row r="271" spans="2:14" x14ac:dyDescent="0.2">
      <c r="B271" s="129" t="s">
        <v>566</v>
      </c>
      <c r="C271" s="118" t="s">
        <v>1282</v>
      </c>
      <c r="D271" s="118" t="s">
        <v>1282</v>
      </c>
      <c r="E271" s="118">
        <v>0</v>
      </c>
      <c r="F271" s="118">
        <v>0</v>
      </c>
      <c r="G271" s="118">
        <v>0</v>
      </c>
      <c r="I271" s="129" t="str">
        <f t="shared" si="26"/>
        <v>Dividendos a pagar</v>
      </c>
      <c r="J271" s="118"/>
      <c r="K271" s="118"/>
      <c r="L271" s="118">
        <v>0</v>
      </c>
      <c r="M271" s="118">
        <v>0</v>
      </c>
      <c r="N271" s="118">
        <v>0</v>
      </c>
    </row>
    <row r="272" spans="2:14" x14ac:dyDescent="0.2">
      <c r="B272" s="129" t="s">
        <v>25</v>
      </c>
      <c r="C272" s="118" t="s">
        <v>1282</v>
      </c>
      <c r="D272" s="118" t="s">
        <v>1282</v>
      </c>
      <c r="E272" s="118">
        <v>882</v>
      </c>
      <c r="F272" s="118">
        <v>0</v>
      </c>
      <c r="G272" s="118">
        <v>0</v>
      </c>
      <c r="I272" s="129" t="str">
        <f t="shared" si="26"/>
        <v>Partes relacionadas</v>
      </c>
      <c r="J272" s="118"/>
      <c r="K272" s="118"/>
      <c r="L272" s="118">
        <v>17985</v>
      </c>
      <c r="M272" s="118">
        <v>0</v>
      </c>
      <c r="N272" s="118">
        <v>0</v>
      </c>
    </row>
    <row r="273" spans="2:14" x14ac:dyDescent="0.2">
      <c r="B273" s="126" t="s">
        <v>577</v>
      </c>
      <c r="C273" s="207" t="s">
        <v>1282</v>
      </c>
      <c r="D273" s="207" t="s">
        <v>1282</v>
      </c>
      <c r="E273" s="120">
        <f>SUM(E266:E272)</f>
        <v>188076.60306176974</v>
      </c>
      <c r="F273" s="120">
        <f>SUM(F266:F272)</f>
        <v>157723.13923448566</v>
      </c>
      <c r="G273" s="120">
        <f>SUM(G266:G272)</f>
        <v>10698.597012035214</v>
      </c>
      <c r="I273" s="126" t="str">
        <f t="shared" si="26"/>
        <v>Em 30 de junho de 2017</v>
      </c>
      <c r="J273" s="120"/>
      <c r="K273" s="120"/>
      <c r="L273" s="120">
        <f>SUM(L266:L272)</f>
        <v>196921.81405071827</v>
      </c>
      <c r="M273" s="120">
        <f>SUM(M266:M272)</f>
        <v>156313.02515827399</v>
      </c>
      <c r="N273" s="120">
        <f>SUM(N266:N272)</f>
        <v>7278.6670000000004</v>
      </c>
    </row>
    <row r="274" spans="2:14" x14ac:dyDescent="0.2">
      <c r="B274" s="129" t="s">
        <v>16</v>
      </c>
      <c r="C274" s="118" t="s">
        <v>1282</v>
      </c>
      <c r="D274" s="118" t="s">
        <v>1282</v>
      </c>
      <c r="E274" s="118">
        <v>1092</v>
      </c>
      <c r="F274" s="118">
        <v>476</v>
      </c>
      <c r="G274" s="118">
        <v>1213</v>
      </c>
      <c r="I274" s="129" t="str">
        <f t="shared" si="26"/>
        <v>Empréstimos e financiamentos</v>
      </c>
      <c r="J274" s="118"/>
      <c r="K274" s="118"/>
      <c r="L274" s="118">
        <v>931</v>
      </c>
      <c r="M274" s="118">
        <v>0</v>
      </c>
      <c r="N274" s="118">
        <v>0</v>
      </c>
    </row>
    <row r="275" spans="2:14" x14ac:dyDescent="0.2">
      <c r="B275" s="129" t="s">
        <v>23</v>
      </c>
      <c r="C275" s="118" t="s">
        <v>1282</v>
      </c>
      <c r="D275" s="118" t="s">
        <v>1282</v>
      </c>
      <c r="E275" s="118">
        <v>147149</v>
      </c>
      <c r="F275" s="118">
        <v>106770</v>
      </c>
      <c r="G275" s="118">
        <v>0</v>
      </c>
      <c r="I275" s="129" t="str">
        <f t="shared" si="26"/>
        <v>Debêntures</v>
      </c>
      <c r="J275" s="118"/>
      <c r="K275" s="118"/>
      <c r="L275" s="118">
        <v>147149</v>
      </c>
      <c r="M275" s="118">
        <v>106770</v>
      </c>
      <c r="N275" s="118">
        <v>0</v>
      </c>
    </row>
    <row r="276" spans="2:14" x14ac:dyDescent="0.2">
      <c r="B276" s="129" t="s">
        <v>164</v>
      </c>
      <c r="C276" s="118" t="s">
        <v>1282</v>
      </c>
      <c r="D276" s="118" t="s">
        <v>1282</v>
      </c>
      <c r="E276" s="118">
        <v>23189</v>
      </c>
      <c r="F276" s="118">
        <v>0</v>
      </c>
      <c r="G276" s="118">
        <v>0</v>
      </c>
      <c r="I276" s="129" t="str">
        <f t="shared" si="26"/>
        <v>Fornecedores e fretes a pagar</v>
      </c>
      <c r="J276" s="118"/>
      <c r="K276" s="118"/>
      <c r="L276" s="118">
        <v>19429</v>
      </c>
      <c r="M276" s="118">
        <v>0</v>
      </c>
      <c r="N276" s="118">
        <v>0</v>
      </c>
    </row>
    <row r="277" spans="2:14" x14ac:dyDescent="0.2">
      <c r="B277" s="129" t="s">
        <v>24</v>
      </c>
      <c r="C277" s="118" t="s">
        <v>1282</v>
      </c>
      <c r="D277" s="118" t="s">
        <v>1282</v>
      </c>
      <c r="E277" s="118">
        <v>19131</v>
      </c>
      <c r="F277" s="118">
        <v>0</v>
      </c>
      <c r="G277" s="118">
        <v>0</v>
      </c>
      <c r="I277" s="129" t="str">
        <f t="shared" si="26"/>
        <v>Demais contas a pagar</v>
      </c>
      <c r="J277" s="118"/>
      <c r="K277" s="118"/>
      <c r="L277" s="118">
        <v>13169</v>
      </c>
      <c r="M277" s="118">
        <v>0</v>
      </c>
      <c r="N277" s="118">
        <v>0</v>
      </c>
    </row>
    <row r="278" spans="2:14" x14ac:dyDescent="0.2">
      <c r="B278" s="129" t="s">
        <v>573</v>
      </c>
      <c r="C278" s="118" t="s">
        <v>1282</v>
      </c>
      <c r="D278" s="118" t="s">
        <v>1282</v>
      </c>
      <c r="E278" s="118">
        <v>0</v>
      </c>
      <c r="F278" s="118">
        <v>0</v>
      </c>
      <c r="G278" s="118">
        <v>0</v>
      </c>
      <c r="I278" s="129" t="str">
        <f t="shared" si="26"/>
        <v>Contas a pagar - aquisição de controlada</v>
      </c>
      <c r="J278" s="118"/>
      <c r="K278" s="118"/>
      <c r="L278" s="118">
        <v>0</v>
      </c>
      <c r="M278" s="118">
        <v>0</v>
      </c>
      <c r="N278" s="118">
        <v>0</v>
      </c>
    </row>
    <row r="279" spans="2:14" x14ac:dyDescent="0.2">
      <c r="B279" s="129" t="s">
        <v>566</v>
      </c>
      <c r="C279" s="118" t="s">
        <v>1282</v>
      </c>
      <c r="D279" s="118" t="s">
        <v>1282</v>
      </c>
      <c r="E279" s="118">
        <v>3284</v>
      </c>
      <c r="F279" s="118">
        <v>0</v>
      </c>
      <c r="G279" s="118">
        <v>0</v>
      </c>
      <c r="I279" s="129" t="str">
        <f t="shared" si="26"/>
        <v>Dividendos a pagar</v>
      </c>
      <c r="J279" s="118"/>
      <c r="K279" s="118"/>
      <c r="L279" s="118">
        <v>3284</v>
      </c>
      <c r="M279" s="118">
        <v>0</v>
      </c>
      <c r="N279" s="118">
        <v>0</v>
      </c>
    </row>
    <row r="280" spans="2:14" x14ac:dyDescent="0.2">
      <c r="B280" s="129" t="s">
        <v>25</v>
      </c>
      <c r="C280" s="118" t="s">
        <v>1282</v>
      </c>
      <c r="D280" s="118" t="s">
        <v>1282</v>
      </c>
      <c r="E280" s="118">
        <v>1158</v>
      </c>
      <c r="F280" s="118">
        <v>0</v>
      </c>
      <c r="G280" s="118">
        <v>0</v>
      </c>
      <c r="I280" s="129" t="str">
        <f t="shared" si="26"/>
        <v>Partes relacionadas</v>
      </c>
      <c r="J280" s="118"/>
      <c r="K280" s="118"/>
      <c r="L280" s="118">
        <v>18202</v>
      </c>
      <c r="M280" s="118">
        <v>0</v>
      </c>
      <c r="N280" s="118">
        <v>0</v>
      </c>
    </row>
    <row r="281" spans="2:14" x14ac:dyDescent="0.2">
      <c r="B281" s="126" t="s">
        <v>568</v>
      </c>
      <c r="C281" s="207" t="s">
        <v>1282</v>
      </c>
      <c r="D281" s="207" t="s">
        <v>1282</v>
      </c>
      <c r="E281" s="120">
        <f>SUM(E274:E280)</f>
        <v>195003</v>
      </c>
      <c r="F281" s="120">
        <f>SUM(F274:F280)</f>
        <v>107246</v>
      </c>
      <c r="G281" s="120">
        <f>SUM(G274:G280)</f>
        <v>1213</v>
      </c>
      <c r="I281" s="126" t="str">
        <f t="shared" si="26"/>
        <v>Em 31 de março de 2017</v>
      </c>
      <c r="J281" s="120"/>
      <c r="K281" s="120"/>
      <c r="L281" s="120">
        <f>SUM(L274:L280)</f>
        <v>202164</v>
      </c>
      <c r="M281" s="120">
        <f>SUM(M274:M280)</f>
        <v>106770</v>
      </c>
      <c r="N281" s="120">
        <f>SUM(N274:N280)</f>
        <v>0</v>
      </c>
    </row>
    <row r="282" spans="2:14" x14ac:dyDescent="0.2">
      <c r="B282" s="129" t="s">
        <v>16</v>
      </c>
      <c r="C282" s="118" t="s">
        <v>1282</v>
      </c>
      <c r="D282" s="118" t="s">
        <v>1282</v>
      </c>
      <c r="E282" s="118">
        <v>1048</v>
      </c>
      <c r="F282" s="118">
        <v>0</v>
      </c>
      <c r="G282" s="118">
        <v>134</v>
      </c>
      <c r="I282" s="129" t="str">
        <f t="shared" si="26"/>
        <v>Empréstimos e financiamentos</v>
      </c>
      <c r="J282" s="118"/>
      <c r="K282" s="118"/>
      <c r="L282" s="118">
        <v>1048</v>
      </c>
      <c r="M282" s="118">
        <v>0</v>
      </c>
      <c r="N282" s="118">
        <v>134</v>
      </c>
    </row>
    <row r="283" spans="2:14" x14ac:dyDescent="0.2">
      <c r="B283" s="129" t="s">
        <v>366</v>
      </c>
      <c r="C283" s="118" t="s">
        <v>1282</v>
      </c>
      <c r="D283" s="118" t="s">
        <v>1282</v>
      </c>
      <c r="E283" s="118">
        <v>127043</v>
      </c>
      <c r="F283" s="118">
        <v>0</v>
      </c>
      <c r="G283" s="118">
        <v>113342</v>
      </c>
      <c r="I283" s="129" t="str">
        <f t="shared" si="26"/>
        <v xml:space="preserve">Debêntures </v>
      </c>
      <c r="J283" s="118"/>
      <c r="K283" s="118"/>
      <c r="L283" s="118">
        <v>127043</v>
      </c>
      <c r="M283" s="118">
        <v>0</v>
      </c>
      <c r="N283" s="118">
        <v>113342</v>
      </c>
    </row>
    <row r="284" spans="2:14" x14ac:dyDescent="0.2">
      <c r="B284" s="129" t="s">
        <v>164</v>
      </c>
      <c r="C284" s="118" t="s">
        <v>1282</v>
      </c>
      <c r="D284" s="118" t="s">
        <v>1282</v>
      </c>
      <c r="E284" s="118">
        <v>43164</v>
      </c>
      <c r="F284" s="118">
        <v>0</v>
      </c>
      <c r="G284" s="118">
        <v>0</v>
      </c>
      <c r="I284" s="129" t="str">
        <f t="shared" si="26"/>
        <v>Fornecedores e fretes a pagar</v>
      </c>
      <c r="J284" s="118"/>
      <c r="K284" s="118"/>
      <c r="L284" s="118">
        <v>37990</v>
      </c>
      <c r="M284" s="118">
        <v>0</v>
      </c>
      <c r="N284" s="118">
        <v>0</v>
      </c>
    </row>
    <row r="285" spans="2:14" x14ac:dyDescent="0.2">
      <c r="B285" s="129" t="s">
        <v>24</v>
      </c>
      <c r="C285" s="118" t="s">
        <v>1282</v>
      </c>
      <c r="D285" s="118" t="s">
        <v>1282</v>
      </c>
      <c r="E285" s="118">
        <v>18011</v>
      </c>
      <c r="F285" s="118">
        <v>0</v>
      </c>
      <c r="G285" s="118">
        <v>0</v>
      </c>
      <c r="I285" s="129" t="str">
        <f t="shared" si="26"/>
        <v>Demais contas a pagar</v>
      </c>
      <c r="J285" s="118"/>
      <c r="K285" s="118"/>
      <c r="L285" s="118">
        <v>13833</v>
      </c>
      <c r="M285" s="118">
        <v>0</v>
      </c>
      <c r="N285" s="118">
        <v>0</v>
      </c>
    </row>
    <row r="286" spans="2:14" x14ac:dyDescent="0.2">
      <c r="B286" s="129" t="s">
        <v>377</v>
      </c>
      <c r="C286" s="118" t="s">
        <v>1282</v>
      </c>
      <c r="D286" s="118" t="s">
        <v>1282</v>
      </c>
      <c r="E286" s="118">
        <v>12541</v>
      </c>
      <c r="F286" s="118">
        <v>0</v>
      </c>
      <c r="G286" s="118">
        <v>0</v>
      </c>
      <c r="I286" s="129" t="str">
        <f t="shared" si="26"/>
        <v xml:space="preserve">Contas a pagar - aquisição de controlada </v>
      </c>
      <c r="J286" s="118"/>
      <c r="K286" s="118"/>
      <c r="L286" s="118">
        <v>0</v>
      </c>
      <c r="M286" s="118">
        <v>0</v>
      </c>
      <c r="N286" s="118">
        <v>0</v>
      </c>
    </row>
    <row r="287" spans="2:14" x14ac:dyDescent="0.2">
      <c r="B287" s="126" t="s">
        <v>554</v>
      </c>
      <c r="C287" s="207" t="s">
        <v>1282</v>
      </c>
      <c r="D287" s="207" t="s">
        <v>1282</v>
      </c>
      <c r="E287" s="120">
        <f>SUM(E282:E286)</f>
        <v>201807</v>
      </c>
      <c r="F287" s="120">
        <f>SUM(F282:F286)</f>
        <v>0</v>
      </c>
      <c r="G287" s="120">
        <f>SUM(G282:G286)</f>
        <v>113476</v>
      </c>
      <c r="I287" s="126" t="str">
        <f t="shared" si="26"/>
        <v>Em 31 de dezembro de 2016</v>
      </c>
      <c r="J287" s="120"/>
      <c r="K287" s="120"/>
      <c r="L287" s="120">
        <f>SUM(L282:L286)</f>
        <v>179914</v>
      </c>
      <c r="M287" s="120">
        <f>SUM(M282:M286)</f>
        <v>0</v>
      </c>
      <c r="N287" s="120">
        <f>SUM(N282:N286)</f>
        <v>113476</v>
      </c>
    </row>
    <row r="288" spans="2:14" x14ac:dyDescent="0.2">
      <c r="B288" s="129" t="s">
        <v>16</v>
      </c>
      <c r="C288" s="118" t="s">
        <v>1282</v>
      </c>
      <c r="D288" s="118" t="s">
        <v>1282</v>
      </c>
      <c r="E288" s="118">
        <v>1049</v>
      </c>
      <c r="F288" s="118">
        <v>396</v>
      </c>
      <c r="G288" s="118">
        <v>0</v>
      </c>
      <c r="I288" s="129" t="str">
        <f t="shared" si="26"/>
        <v>Empréstimos e financiamentos</v>
      </c>
      <c r="J288" s="118"/>
      <c r="K288" s="118"/>
      <c r="L288" s="118">
        <v>1049</v>
      </c>
      <c r="M288" s="118">
        <v>396</v>
      </c>
      <c r="N288" s="118">
        <v>0</v>
      </c>
    </row>
    <row r="289" spans="2:14" x14ac:dyDescent="0.2">
      <c r="B289" s="129" t="s">
        <v>366</v>
      </c>
      <c r="C289" s="118" t="s">
        <v>1282</v>
      </c>
      <c r="D289" s="118" t="s">
        <v>1282</v>
      </c>
      <c r="E289" s="118">
        <v>126941</v>
      </c>
      <c r="F289" s="118">
        <v>116661</v>
      </c>
      <c r="G289" s="118">
        <v>96686</v>
      </c>
      <c r="I289" s="129" t="str">
        <f t="shared" si="26"/>
        <v xml:space="preserve">Debêntures </v>
      </c>
      <c r="J289" s="118"/>
      <c r="K289" s="118"/>
      <c r="L289" s="118">
        <v>126941</v>
      </c>
      <c r="M289" s="118">
        <v>116661</v>
      </c>
      <c r="N289" s="118">
        <v>96686</v>
      </c>
    </row>
    <row r="290" spans="2:14" x14ac:dyDescent="0.2">
      <c r="B290" s="129" t="s">
        <v>164</v>
      </c>
      <c r="C290" s="118" t="s">
        <v>1282</v>
      </c>
      <c r="D290" s="118" t="s">
        <v>1282</v>
      </c>
      <c r="E290" s="118">
        <v>32399</v>
      </c>
      <c r="F290" s="118">
        <v>0</v>
      </c>
      <c r="G290" s="118">
        <v>0</v>
      </c>
      <c r="I290" s="129" t="str">
        <f t="shared" si="26"/>
        <v>Fornecedores e fretes a pagar</v>
      </c>
      <c r="J290" s="118"/>
      <c r="K290" s="118"/>
      <c r="L290" s="118">
        <v>28948</v>
      </c>
      <c r="M290" s="118">
        <v>0</v>
      </c>
      <c r="N290" s="118">
        <v>0</v>
      </c>
    </row>
    <row r="291" spans="2:14" x14ac:dyDescent="0.2">
      <c r="B291" s="129" t="s">
        <v>24</v>
      </c>
      <c r="C291" s="118" t="s">
        <v>1282</v>
      </c>
      <c r="D291" s="118" t="s">
        <v>1282</v>
      </c>
      <c r="E291" s="118">
        <v>22518</v>
      </c>
      <c r="F291" s="118">
        <v>0</v>
      </c>
      <c r="G291" s="118">
        <v>0</v>
      </c>
      <c r="I291" s="129" t="str">
        <f t="shared" si="26"/>
        <v>Demais contas a pagar</v>
      </c>
      <c r="J291" s="118"/>
      <c r="K291" s="118"/>
      <c r="L291" s="118">
        <v>11479</v>
      </c>
      <c r="M291" s="118">
        <v>0</v>
      </c>
      <c r="N291" s="118">
        <v>0</v>
      </c>
    </row>
    <row r="292" spans="2:14" x14ac:dyDescent="0.2">
      <c r="B292" s="129" t="s">
        <v>377</v>
      </c>
      <c r="C292" s="118" t="s">
        <v>1282</v>
      </c>
      <c r="D292" s="118" t="s">
        <v>1282</v>
      </c>
      <c r="E292" s="118">
        <v>12157</v>
      </c>
      <c r="F292" s="118">
        <v>0</v>
      </c>
      <c r="G292" s="118">
        <v>0</v>
      </c>
      <c r="I292" s="129" t="str">
        <f t="shared" si="26"/>
        <v xml:space="preserve">Contas a pagar - aquisição de controlada </v>
      </c>
      <c r="J292" s="118"/>
      <c r="K292" s="118"/>
      <c r="L292" s="118"/>
      <c r="M292" s="118">
        <v>0</v>
      </c>
      <c r="N292" s="118">
        <v>0</v>
      </c>
    </row>
    <row r="293" spans="2:14" x14ac:dyDescent="0.2">
      <c r="B293" s="126" t="s">
        <v>518</v>
      </c>
      <c r="C293" s="207" t="s">
        <v>1282</v>
      </c>
      <c r="D293" s="207" t="s">
        <v>1282</v>
      </c>
      <c r="E293" s="120">
        <f>SUM(E288:E292)</f>
        <v>195064</v>
      </c>
      <c r="F293" s="120">
        <f>SUM(F288:F292)</f>
        <v>117057</v>
      </c>
      <c r="G293" s="120">
        <f>SUM(G288:G292)</f>
        <v>96686</v>
      </c>
      <c r="I293" s="126" t="str">
        <f t="shared" si="26"/>
        <v>Em 30 de setembro de 2016</v>
      </c>
      <c r="J293" s="120"/>
      <c r="K293" s="120"/>
      <c r="L293" s="120">
        <f>SUM(L288:L292)</f>
        <v>168417</v>
      </c>
      <c r="M293" s="120">
        <f>SUM(M288:M291)</f>
        <v>117057</v>
      </c>
      <c r="N293" s="120">
        <f>SUM(N288:N291)</f>
        <v>96686</v>
      </c>
    </row>
    <row r="294" spans="2:14" x14ac:dyDescent="0.2">
      <c r="B294" s="129" t="s">
        <v>16</v>
      </c>
      <c r="C294" s="118" t="s">
        <v>1282</v>
      </c>
      <c r="D294" s="118" t="s">
        <v>1282</v>
      </c>
      <c r="E294" s="118">
        <v>1087</v>
      </c>
      <c r="F294" s="118">
        <v>657</v>
      </c>
      <c r="G294" s="118">
        <v>0</v>
      </c>
      <c r="I294" s="129" t="str">
        <f t="shared" si="26"/>
        <v>Empréstimos e financiamentos</v>
      </c>
      <c r="J294" s="118"/>
      <c r="K294" s="118"/>
      <c r="L294" s="335">
        <v>1087</v>
      </c>
      <c r="M294" s="335">
        <v>657</v>
      </c>
      <c r="N294" s="335">
        <v>0</v>
      </c>
    </row>
    <row r="295" spans="2:14" x14ac:dyDescent="0.2">
      <c r="B295" s="129" t="s">
        <v>366</v>
      </c>
      <c r="C295" s="118" t="s">
        <v>1282</v>
      </c>
      <c r="D295" s="118" t="s">
        <v>1282</v>
      </c>
      <c r="E295" s="118">
        <v>127502</v>
      </c>
      <c r="F295" s="118">
        <v>116661</v>
      </c>
      <c r="G295" s="118">
        <v>96686</v>
      </c>
      <c r="I295" s="129" t="str">
        <f t="shared" si="26"/>
        <v xml:space="preserve">Debêntures </v>
      </c>
      <c r="J295" s="118"/>
      <c r="K295" s="118"/>
      <c r="L295" s="335">
        <v>127502</v>
      </c>
      <c r="M295" s="335">
        <v>116661</v>
      </c>
      <c r="N295" s="335">
        <v>96686</v>
      </c>
    </row>
    <row r="296" spans="2:14" x14ac:dyDescent="0.2">
      <c r="B296" s="129" t="s">
        <v>164</v>
      </c>
      <c r="C296" s="118" t="s">
        <v>1282</v>
      </c>
      <c r="D296" s="118" t="s">
        <v>1282</v>
      </c>
      <c r="E296" s="118">
        <v>30891</v>
      </c>
      <c r="F296" s="118">
        <v>0</v>
      </c>
      <c r="G296" s="118">
        <v>0</v>
      </c>
      <c r="I296" s="129" t="str">
        <f t="shared" si="26"/>
        <v>Fornecedores e fretes a pagar</v>
      </c>
      <c r="J296" s="118"/>
      <c r="K296" s="118"/>
      <c r="L296" s="335">
        <v>27377</v>
      </c>
      <c r="M296" s="335">
        <v>0</v>
      </c>
      <c r="N296" s="335">
        <v>0</v>
      </c>
    </row>
    <row r="297" spans="2:14" x14ac:dyDescent="0.2">
      <c r="B297" s="129" t="s">
        <v>24</v>
      </c>
      <c r="C297" s="118" t="s">
        <v>1282</v>
      </c>
      <c r="D297" s="118" t="s">
        <v>1282</v>
      </c>
      <c r="E297" s="118">
        <v>24228</v>
      </c>
      <c r="F297" s="118">
        <v>0</v>
      </c>
      <c r="G297" s="118">
        <v>0</v>
      </c>
      <c r="I297" s="129" t="str">
        <f t="shared" si="26"/>
        <v>Demais contas a pagar</v>
      </c>
      <c r="J297" s="118"/>
      <c r="K297" s="118"/>
      <c r="L297" s="335">
        <v>11215</v>
      </c>
      <c r="M297" s="335">
        <v>0</v>
      </c>
      <c r="N297" s="335">
        <v>0</v>
      </c>
    </row>
    <row r="298" spans="2:14" x14ac:dyDescent="0.2">
      <c r="B298" s="129" t="s">
        <v>377</v>
      </c>
      <c r="C298" s="118" t="s">
        <v>1282</v>
      </c>
      <c r="D298" s="118" t="s">
        <v>1282</v>
      </c>
      <c r="E298" s="118">
        <v>11749</v>
      </c>
      <c r="F298" s="118">
        <v>0</v>
      </c>
      <c r="G298" s="118">
        <v>0</v>
      </c>
      <c r="I298" s="129" t="str">
        <f t="shared" si="26"/>
        <v xml:space="preserve">Contas a pagar - aquisição de controlada </v>
      </c>
      <c r="J298" s="118"/>
      <c r="K298" s="118"/>
      <c r="L298" s="335"/>
      <c r="M298" s="335">
        <v>0</v>
      </c>
      <c r="N298" s="335">
        <v>0</v>
      </c>
    </row>
    <row r="299" spans="2:14" x14ac:dyDescent="0.2">
      <c r="B299" s="126" t="s">
        <v>502</v>
      </c>
      <c r="C299" s="207" t="s">
        <v>1282</v>
      </c>
      <c r="D299" s="207" t="s">
        <v>1282</v>
      </c>
      <c r="E299" s="120">
        <f>SUM(E294:E298)</f>
        <v>195457</v>
      </c>
      <c r="F299" s="120">
        <f>SUM(F294:F298)</f>
        <v>117318</v>
      </c>
      <c r="G299" s="120">
        <f>SUM(G294:G298)</f>
        <v>96686</v>
      </c>
      <c r="I299" s="126" t="str">
        <f t="shared" si="26"/>
        <v>Em 30 de junho de 2016</v>
      </c>
      <c r="J299" s="120"/>
      <c r="K299" s="120"/>
      <c r="L299" s="120">
        <f>SUM(L294:L298)</f>
        <v>167181</v>
      </c>
      <c r="M299" s="120">
        <f>SUM(M294:M298)</f>
        <v>117318</v>
      </c>
      <c r="N299" s="120">
        <f>SUM(N294:N298)</f>
        <v>96686</v>
      </c>
    </row>
    <row r="300" spans="2:14" x14ac:dyDescent="0.2">
      <c r="B300" s="129" t="s">
        <v>16</v>
      </c>
      <c r="C300" s="118" t="s">
        <v>1282</v>
      </c>
      <c r="D300" s="118" t="s">
        <v>1282</v>
      </c>
      <c r="E300" s="118">
        <v>1132</v>
      </c>
      <c r="F300" s="118">
        <v>919</v>
      </c>
      <c r="G300" s="118">
        <v>0</v>
      </c>
      <c r="I300" s="129" t="str">
        <f t="shared" si="26"/>
        <v>Empréstimos e financiamentos</v>
      </c>
      <c r="J300" s="118"/>
      <c r="K300" s="118"/>
      <c r="L300" s="118">
        <v>1132</v>
      </c>
      <c r="M300" s="118">
        <v>919</v>
      </c>
      <c r="N300" s="118">
        <v>0</v>
      </c>
    </row>
    <row r="301" spans="2:14" x14ac:dyDescent="0.2">
      <c r="B301" s="129" t="s">
        <v>366</v>
      </c>
      <c r="C301" s="118" t="s">
        <v>1282</v>
      </c>
      <c r="D301" s="118" t="s">
        <v>1282</v>
      </c>
      <c r="E301" s="118">
        <v>126467</v>
      </c>
      <c r="F301" s="118">
        <v>116661</v>
      </c>
      <c r="G301" s="118">
        <v>96686</v>
      </c>
      <c r="I301" s="129" t="str">
        <f t="shared" si="26"/>
        <v xml:space="preserve">Debêntures </v>
      </c>
      <c r="J301" s="118"/>
      <c r="K301" s="118"/>
      <c r="L301" s="118">
        <v>126467</v>
      </c>
      <c r="M301" s="118">
        <v>116661</v>
      </c>
      <c r="N301" s="118">
        <v>96686</v>
      </c>
    </row>
    <row r="302" spans="2:14" x14ac:dyDescent="0.2">
      <c r="B302" s="129" t="s">
        <v>164</v>
      </c>
      <c r="C302" s="118" t="s">
        <v>1282</v>
      </c>
      <c r="D302" s="118" t="s">
        <v>1282</v>
      </c>
      <c r="E302" s="118">
        <v>33904</v>
      </c>
      <c r="F302" s="118">
        <v>0</v>
      </c>
      <c r="G302" s="118">
        <v>0</v>
      </c>
      <c r="I302" s="129" t="str">
        <f t="shared" si="26"/>
        <v>Fornecedores e fretes a pagar</v>
      </c>
      <c r="J302" s="118"/>
      <c r="K302" s="118"/>
      <c r="L302" s="118">
        <v>29390</v>
      </c>
      <c r="M302" s="118">
        <v>0</v>
      </c>
      <c r="N302" s="118">
        <v>0</v>
      </c>
    </row>
    <row r="303" spans="2:14" x14ac:dyDescent="0.2">
      <c r="B303" s="129" t="s">
        <v>24</v>
      </c>
      <c r="C303" s="118" t="s">
        <v>1282</v>
      </c>
      <c r="D303" s="118" t="s">
        <v>1282</v>
      </c>
      <c r="E303" s="118">
        <v>31994</v>
      </c>
      <c r="F303" s="118">
        <v>0</v>
      </c>
      <c r="G303" s="118">
        <v>0</v>
      </c>
      <c r="I303" s="129" t="str">
        <f t="shared" si="26"/>
        <v>Demais contas a pagar</v>
      </c>
      <c r="J303" s="118"/>
      <c r="K303" s="118"/>
      <c r="L303" s="118">
        <v>10766</v>
      </c>
      <c r="M303" s="118">
        <v>0</v>
      </c>
      <c r="N303" s="118">
        <v>0</v>
      </c>
    </row>
    <row r="304" spans="2:14" x14ac:dyDescent="0.2">
      <c r="B304" s="129" t="s">
        <v>377</v>
      </c>
      <c r="C304" s="118" t="s">
        <v>1282</v>
      </c>
      <c r="D304" s="118" t="s">
        <v>1282</v>
      </c>
      <c r="E304" s="118">
        <v>11366</v>
      </c>
      <c r="F304" s="118">
        <v>0</v>
      </c>
      <c r="G304" s="118">
        <v>0</v>
      </c>
      <c r="I304" s="129" t="str">
        <f t="shared" si="26"/>
        <v xml:space="preserve">Contas a pagar - aquisição de controlada </v>
      </c>
      <c r="J304" s="118"/>
      <c r="K304" s="118"/>
      <c r="L304" s="118">
        <v>0</v>
      </c>
      <c r="M304" s="118">
        <v>0</v>
      </c>
      <c r="N304" s="118">
        <v>0</v>
      </c>
    </row>
    <row r="305" spans="2:14" x14ac:dyDescent="0.2">
      <c r="B305" s="129" t="s">
        <v>165</v>
      </c>
      <c r="C305" s="118" t="s">
        <v>1282</v>
      </c>
      <c r="D305" s="118" t="s">
        <v>1282</v>
      </c>
      <c r="E305" s="118">
        <v>0</v>
      </c>
      <c r="F305" s="118">
        <v>0</v>
      </c>
      <c r="G305" s="118">
        <v>0</v>
      </c>
      <c r="I305" s="129" t="str">
        <f t="shared" si="26"/>
        <v>Seguros e aluguéis a pagar</v>
      </c>
      <c r="J305" s="118"/>
      <c r="K305" s="118"/>
      <c r="L305" s="118">
        <v>0</v>
      </c>
      <c r="M305" s="118">
        <v>0</v>
      </c>
      <c r="N305" s="118">
        <v>0</v>
      </c>
    </row>
    <row r="306" spans="2:14" x14ac:dyDescent="0.2">
      <c r="B306" s="126" t="s">
        <v>475</v>
      </c>
      <c r="C306" s="207" t="s">
        <v>1282</v>
      </c>
      <c r="D306" s="207" t="s">
        <v>1282</v>
      </c>
      <c r="E306" s="120">
        <f>SUM(E300:E305)</f>
        <v>204863</v>
      </c>
      <c r="F306" s="120">
        <f>SUM(F300:F305)</f>
        <v>117580</v>
      </c>
      <c r="G306" s="120">
        <f>SUM(G300:G305)</f>
        <v>96686</v>
      </c>
      <c r="I306" s="126" t="str">
        <f t="shared" si="26"/>
        <v>Em 31 de março de 2016</v>
      </c>
      <c r="J306" s="120"/>
      <c r="K306" s="120"/>
      <c r="L306" s="120">
        <f>SUM(L300:L305)</f>
        <v>167755</v>
      </c>
      <c r="M306" s="120">
        <f>SUM(M300:M305)</f>
        <v>117580</v>
      </c>
      <c r="N306" s="120">
        <f>SUM(N300:N305)</f>
        <v>96686</v>
      </c>
    </row>
    <row r="307" spans="2:14" x14ac:dyDescent="0.2">
      <c r="B307" s="129" t="s">
        <v>16</v>
      </c>
      <c r="C307" s="118" t="s">
        <v>1282</v>
      </c>
      <c r="D307" s="118" t="s">
        <v>1282</v>
      </c>
      <c r="E307" s="118">
        <v>1295</v>
      </c>
      <c r="F307" s="118">
        <v>1047</v>
      </c>
      <c r="G307" s="118">
        <v>134</v>
      </c>
      <c r="I307" s="129" t="str">
        <f t="shared" si="26"/>
        <v>Empréstimos e financiamentos</v>
      </c>
      <c r="J307" s="118"/>
      <c r="K307" s="118"/>
      <c r="L307" s="118">
        <v>1295</v>
      </c>
      <c r="M307" s="118">
        <v>1047</v>
      </c>
      <c r="N307" s="118">
        <v>134</v>
      </c>
    </row>
    <row r="308" spans="2:14" x14ac:dyDescent="0.2">
      <c r="B308" s="129" t="s">
        <v>366</v>
      </c>
      <c r="C308" s="118" t="s">
        <v>1282</v>
      </c>
      <c r="D308" s="118" t="s">
        <v>1282</v>
      </c>
      <c r="E308" s="118">
        <v>81814</v>
      </c>
      <c r="F308" s="118">
        <v>116655</v>
      </c>
      <c r="G308" s="118">
        <v>163352</v>
      </c>
      <c r="I308" s="129" t="str">
        <f t="shared" si="26"/>
        <v xml:space="preserve">Debêntures </v>
      </c>
      <c r="J308" s="118"/>
      <c r="K308" s="118"/>
      <c r="L308" s="118">
        <v>81814</v>
      </c>
      <c r="M308" s="118">
        <v>116655</v>
      </c>
      <c r="N308" s="118">
        <v>163352</v>
      </c>
    </row>
    <row r="309" spans="2:14" x14ac:dyDescent="0.2">
      <c r="B309" s="129" t="s">
        <v>164</v>
      </c>
      <c r="C309" s="118" t="s">
        <v>1282</v>
      </c>
      <c r="D309" s="118" t="s">
        <v>1282</v>
      </c>
      <c r="E309" s="118">
        <v>45404</v>
      </c>
      <c r="F309" s="118">
        <v>0</v>
      </c>
      <c r="G309" s="118">
        <v>0</v>
      </c>
      <c r="I309" s="129" t="str">
        <f t="shared" si="26"/>
        <v>Fornecedores e fretes a pagar</v>
      </c>
      <c r="J309" s="118"/>
      <c r="K309" s="118"/>
      <c r="L309" s="118">
        <v>39617</v>
      </c>
      <c r="M309" s="118">
        <v>0</v>
      </c>
      <c r="N309" s="118">
        <v>0</v>
      </c>
    </row>
    <row r="310" spans="2:14" x14ac:dyDescent="0.2">
      <c r="B310" s="129" t="s">
        <v>24</v>
      </c>
      <c r="C310" s="118" t="s">
        <v>1282</v>
      </c>
      <c r="D310" s="118" t="s">
        <v>1282</v>
      </c>
      <c r="E310" s="118">
        <v>30643</v>
      </c>
      <c r="F310" s="118">
        <v>0</v>
      </c>
      <c r="G310" s="118">
        <v>0</v>
      </c>
      <c r="I310" s="129" t="str">
        <f t="shared" si="26"/>
        <v>Demais contas a pagar</v>
      </c>
      <c r="J310" s="118"/>
      <c r="K310" s="118"/>
      <c r="L310" s="118">
        <v>12692</v>
      </c>
      <c r="M310" s="118">
        <v>0</v>
      </c>
      <c r="N310" s="118">
        <v>0</v>
      </c>
    </row>
    <row r="311" spans="2:14" x14ac:dyDescent="0.2">
      <c r="B311" s="129" t="s">
        <v>377</v>
      </c>
      <c r="C311" s="118" t="s">
        <v>1282</v>
      </c>
      <c r="D311" s="118" t="s">
        <v>1282</v>
      </c>
      <c r="E311" s="118">
        <v>0</v>
      </c>
      <c r="F311" s="118">
        <v>11008</v>
      </c>
      <c r="G311" s="118">
        <v>0</v>
      </c>
      <c r="I311" s="129" t="str">
        <f t="shared" si="26"/>
        <v xml:space="preserve">Contas a pagar - aquisição de controlada </v>
      </c>
      <c r="J311" s="118"/>
      <c r="K311" s="118"/>
      <c r="L311" s="118">
        <v>0</v>
      </c>
      <c r="M311" s="118">
        <v>0</v>
      </c>
      <c r="N311" s="118">
        <v>0</v>
      </c>
    </row>
    <row r="312" spans="2:14" x14ac:dyDescent="0.2">
      <c r="B312" s="129" t="s">
        <v>165</v>
      </c>
      <c r="C312" s="118" t="s">
        <v>1282</v>
      </c>
      <c r="D312" s="118" t="s">
        <v>1282</v>
      </c>
      <c r="E312" s="118">
        <v>0</v>
      </c>
      <c r="F312" s="118">
        <v>0</v>
      </c>
      <c r="G312" s="118">
        <v>0</v>
      </c>
      <c r="I312" s="129" t="str">
        <f t="shared" si="26"/>
        <v>Seguros e aluguéis a pagar</v>
      </c>
      <c r="J312" s="118"/>
      <c r="K312" s="118"/>
      <c r="L312" s="118">
        <v>0</v>
      </c>
      <c r="M312" s="118">
        <v>0</v>
      </c>
      <c r="N312" s="118">
        <v>0</v>
      </c>
    </row>
    <row r="313" spans="2:14" x14ac:dyDescent="0.2">
      <c r="B313" s="126" t="s">
        <v>413</v>
      </c>
      <c r="C313" s="207" t="s">
        <v>1282</v>
      </c>
      <c r="D313" s="207" t="s">
        <v>1282</v>
      </c>
      <c r="E313" s="120">
        <f>SUM(E307:E312)</f>
        <v>159156</v>
      </c>
      <c r="F313" s="120">
        <f>SUM(F307:F312)</f>
        <v>128710</v>
      </c>
      <c r="G313" s="120">
        <f>SUM(G307:G312)</f>
        <v>163486</v>
      </c>
      <c r="I313" s="126" t="str">
        <f t="shared" si="26"/>
        <v>Em 31 de dezembro de 2015</v>
      </c>
      <c r="J313" s="120"/>
      <c r="K313" s="120"/>
      <c r="L313" s="120">
        <f>SUM(L307:L312)</f>
        <v>135418</v>
      </c>
      <c r="M313" s="120">
        <f>SUM(M307:M312)</f>
        <v>117702</v>
      </c>
      <c r="N313" s="120">
        <f>SUM(N307:N312)</f>
        <v>163486</v>
      </c>
    </row>
    <row r="314" spans="2:14" x14ac:dyDescent="0.2">
      <c r="B314" s="129" t="s">
        <v>16</v>
      </c>
      <c r="C314" s="118" t="s">
        <v>1282</v>
      </c>
      <c r="D314" s="118" t="s">
        <v>1282</v>
      </c>
      <c r="E314" s="118">
        <v>1694</v>
      </c>
      <c r="F314" s="118">
        <v>1126</v>
      </c>
      <c r="G314" s="118">
        <v>396</v>
      </c>
      <c r="I314" s="129" t="str">
        <f t="shared" si="26"/>
        <v>Empréstimos e financiamentos</v>
      </c>
      <c r="J314" s="118"/>
      <c r="K314" s="118"/>
      <c r="L314" s="118">
        <v>1295</v>
      </c>
      <c r="M314" s="118">
        <v>1047</v>
      </c>
      <c r="N314" s="118">
        <v>134</v>
      </c>
    </row>
    <row r="315" spans="2:14" x14ac:dyDescent="0.2">
      <c r="B315" s="129" t="s">
        <v>366</v>
      </c>
      <c r="C315" s="118" t="s">
        <v>1282</v>
      </c>
      <c r="D315" s="118" t="s">
        <v>1282</v>
      </c>
      <c r="E315" s="118">
        <v>30338</v>
      </c>
      <c r="F315" s="118">
        <v>116655</v>
      </c>
      <c r="G315" s="118">
        <v>213347</v>
      </c>
      <c r="I315" s="129" t="str">
        <f t="shared" ref="I315:I371" si="27">B315</f>
        <v xml:space="preserve">Debêntures </v>
      </c>
      <c r="J315" s="118"/>
      <c r="K315" s="118"/>
      <c r="L315" s="118">
        <v>81814</v>
      </c>
      <c r="M315" s="118">
        <v>116655</v>
      </c>
      <c r="N315" s="118">
        <v>163352</v>
      </c>
    </row>
    <row r="316" spans="2:14" x14ac:dyDescent="0.2">
      <c r="B316" s="129" t="s">
        <v>164</v>
      </c>
      <c r="C316" s="118" t="s">
        <v>1282</v>
      </c>
      <c r="D316" s="118" t="s">
        <v>1282</v>
      </c>
      <c r="E316" s="118">
        <v>39489</v>
      </c>
      <c r="F316" s="118">
        <v>0</v>
      </c>
      <c r="G316" s="118">
        <v>0</v>
      </c>
      <c r="I316" s="129" t="str">
        <f t="shared" si="27"/>
        <v>Fornecedores e fretes a pagar</v>
      </c>
      <c r="J316" s="118"/>
      <c r="K316" s="118"/>
      <c r="L316" s="118">
        <v>39617</v>
      </c>
      <c r="M316" s="118">
        <v>0</v>
      </c>
      <c r="N316" s="118">
        <v>0</v>
      </c>
    </row>
    <row r="317" spans="2:14" x14ac:dyDescent="0.2">
      <c r="B317" s="129" t="s">
        <v>24</v>
      </c>
      <c r="C317" s="118" t="s">
        <v>1282</v>
      </c>
      <c r="D317" s="118" t="s">
        <v>1282</v>
      </c>
      <c r="E317" s="118">
        <v>18667</v>
      </c>
      <c r="F317" s="118">
        <v>0</v>
      </c>
      <c r="G317" s="118">
        <v>0</v>
      </c>
      <c r="I317" s="129" t="str">
        <f t="shared" si="27"/>
        <v>Demais contas a pagar</v>
      </c>
      <c r="J317" s="118"/>
      <c r="K317" s="118"/>
      <c r="L317" s="118">
        <v>12692</v>
      </c>
      <c r="M317" s="118">
        <v>0</v>
      </c>
      <c r="N317" s="118">
        <v>0</v>
      </c>
    </row>
    <row r="318" spans="2:14" x14ac:dyDescent="0.2">
      <c r="B318" s="129" t="s">
        <v>377</v>
      </c>
      <c r="C318" s="118" t="s">
        <v>1282</v>
      </c>
      <c r="D318" s="118" t="s">
        <v>1282</v>
      </c>
      <c r="E318" s="118">
        <v>0</v>
      </c>
      <c r="F318" s="118">
        <v>10650</v>
      </c>
      <c r="G318" s="118">
        <v>0</v>
      </c>
      <c r="I318" s="129" t="str">
        <f t="shared" si="27"/>
        <v xml:space="preserve">Contas a pagar - aquisição de controlada </v>
      </c>
      <c r="J318" s="118"/>
      <c r="K318" s="118"/>
      <c r="L318" s="118">
        <v>0</v>
      </c>
      <c r="M318" s="118" t="s">
        <v>160</v>
      </c>
      <c r="N318" s="118">
        <v>0</v>
      </c>
    </row>
    <row r="319" spans="2:14" x14ac:dyDescent="0.2">
      <c r="B319" s="129" t="s">
        <v>165</v>
      </c>
      <c r="C319" s="118" t="s">
        <v>1282</v>
      </c>
      <c r="D319" s="118" t="s">
        <v>1282</v>
      </c>
      <c r="E319" s="118">
        <v>2167</v>
      </c>
      <c r="F319" s="118">
        <v>0</v>
      </c>
      <c r="G319" s="118">
        <v>0</v>
      </c>
      <c r="I319" s="129" t="str">
        <f t="shared" si="27"/>
        <v>Seguros e aluguéis a pagar</v>
      </c>
      <c r="J319" s="118"/>
      <c r="K319" s="118"/>
      <c r="L319" s="118">
        <v>0</v>
      </c>
      <c r="M319" s="118">
        <v>0</v>
      </c>
      <c r="N319" s="118">
        <v>0</v>
      </c>
    </row>
    <row r="320" spans="2:14" x14ac:dyDescent="0.2">
      <c r="B320" s="126" t="s">
        <v>376</v>
      </c>
      <c r="C320" s="207" t="s">
        <v>1282</v>
      </c>
      <c r="D320" s="207" t="s">
        <v>1282</v>
      </c>
      <c r="E320" s="120">
        <f>SUM(E314:E319)</f>
        <v>92355</v>
      </c>
      <c r="F320" s="120">
        <f>SUM(F314:F319)</f>
        <v>128431</v>
      </c>
      <c r="G320" s="120">
        <f>SUM(G314:G319)</f>
        <v>213743</v>
      </c>
      <c r="I320" s="126" t="str">
        <f t="shared" si="27"/>
        <v>Em 30 de setembro de 2015</v>
      </c>
      <c r="J320" s="120"/>
      <c r="K320" s="120"/>
      <c r="L320" s="120">
        <f>SUM(L314:L319)</f>
        <v>135418</v>
      </c>
      <c r="M320" s="120">
        <f>SUM(M314:M319)</f>
        <v>117702</v>
      </c>
      <c r="N320" s="120">
        <f>SUM(N314:N319)</f>
        <v>163486</v>
      </c>
    </row>
    <row r="321" spans="2:14" x14ac:dyDescent="0.2">
      <c r="B321" s="129" t="s">
        <v>365</v>
      </c>
      <c r="C321" s="118" t="s">
        <v>1282</v>
      </c>
      <c r="D321" s="118" t="s">
        <v>1282</v>
      </c>
      <c r="E321" s="118">
        <v>1949</v>
      </c>
      <c r="F321" s="118">
        <v>1119</v>
      </c>
      <c r="G321" s="118">
        <v>919</v>
      </c>
      <c r="I321" s="129" t="str">
        <f t="shared" si="27"/>
        <v xml:space="preserve">Empréstimos e financiamentos </v>
      </c>
      <c r="J321" s="118"/>
      <c r="K321" s="118"/>
      <c r="L321" s="118">
        <v>1949</v>
      </c>
      <c r="M321" s="118">
        <v>1119</v>
      </c>
      <c r="N321" s="118">
        <v>919</v>
      </c>
    </row>
    <row r="322" spans="2:14" x14ac:dyDescent="0.2">
      <c r="B322" s="129" t="s">
        <v>366</v>
      </c>
      <c r="C322" s="118" t="s">
        <v>1282</v>
      </c>
      <c r="D322" s="118" t="s">
        <v>1282</v>
      </c>
      <c r="E322" s="118">
        <v>30485</v>
      </c>
      <c r="F322" s="118">
        <v>116655</v>
      </c>
      <c r="G322" s="118">
        <v>213347</v>
      </c>
      <c r="I322" s="129" t="str">
        <f t="shared" si="27"/>
        <v xml:space="preserve">Debêntures </v>
      </c>
      <c r="J322" s="118"/>
      <c r="K322" s="118"/>
      <c r="L322" s="118">
        <v>30485</v>
      </c>
      <c r="M322" s="118">
        <v>116655</v>
      </c>
      <c r="N322" s="118">
        <v>213347</v>
      </c>
    </row>
    <row r="323" spans="2:14" x14ac:dyDescent="0.2">
      <c r="B323" s="129" t="s">
        <v>164</v>
      </c>
      <c r="C323" s="118" t="s">
        <v>1282</v>
      </c>
      <c r="D323" s="118" t="s">
        <v>1282</v>
      </c>
      <c r="E323" s="118">
        <v>39196</v>
      </c>
      <c r="F323" s="118">
        <v>0</v>
      </c>
      <c r="G323" s="118">
        <v>0</v>
      </c>
      <c r="I323" s="129" t="str">
        <f t="shared" si="27"/>
        <v>Fornecedores e fretes a pagar</v>
      </c>
      <c r="J323" s="118"/>
      <c r="K323" s="118"/>
      <c r="L323" s="118">
        <v>33210</v>
      </c>
      <c r="M323" s="118">
        <v>0</v>
      </c>
      <c r="N323" s="118">
        <v>0</v>
      </c>
    </row>
    <row r="324" spans="2:14" x14ac:dyDescent="0.2">
      <c r="B324" s="129" t="s">
        <v>367</v>
      </c>
      <c r="C324" s="118" t="s">
        <v>1282</v>
      </c>
      <c r="D324" s="118" t="s">
        <v>1282</v>
      </c>
      <c r="E324" s="118">
        <v>25575</v>
      </c>
      <c r="F324" s="118">
        <v>0</v>
      </c>
      <c r="G324" s="118">
        <v>0</v>
      </c>
      <c r="I324" s="129" t="str">
        <f t="shared" si="27"/>
        <v xml:space="preserve">Demais contas a pagar </v>
      </c>
      <c r="J324" s="118"/>
      <c r="K324" s="118"/>
      <c r="L324" s="118">
        <v>8525</v>
      </c>
      <c r="M324" s="118">
        <v>0</v>
      </c>
      <c r="N324" s="118">
        <v>0</v>
      </c>
    </row>
    <row r="325" spans="2:14" x14ac:dyDescent="0.2">
      <c r="B325" s="129" t="s">
        <v>369</v>
      </c>
      <c r="C325" s="118" t="s">
        <v>1282</v>
      </c>
      <c r="D325" s="118" t="s">
        <v>1282</v>
      </c>
      <c r="E325" s="118">
        <v>0</v>
      </c>
      <c r="F325" s="118">
        <v>10283</v>
      </c>
      <c r="G325" s="118">
        <v>0</v>
      </c>
      <c r="I325" s="129" t="str">
        <f t="shared" si="27"/>
        <v xml:space="preserve">Contas a pagar - preço variável </v>
      </c>
      <c r="J325" s="118"/>
      <c r="K325" s="118"/>
      <c r="L325" s="118">
        <v>0</v>
      </c>
      <c r="M325" s="118">
        <v>0</v>
      </c>
      <c r="N325" s="118">
        <v>0</v>
      </c>
    </row>
    <row r="326" spans="2:14" x14ac:dyDescent="0.2">
      <c r="B326" s="129" t="s">
        <v>165</v>
      </c>
      <c r="C326" s="118" t="s">
        <v>1282</v>
      </c>
      <c r="D326" s="118" t="s">
        <v>1282</v>
      </c>
      <c r="E326" s="118">
        <v>3474</v>
      </c>
      <c r="F326" s="118">
        <v>0</v>
      </c>
      <c r="G326" s="118">
        <v>0</v>
      </c>
      <c r="I326" s="129" t="str">
        <f t="shared" si="27"/>
        <v>Seguros e aluguéis a pagar</v>
      </c>
      <c r="J326" s="118"/>
      <c r="K326" s="118"/>
      <c r="L326" s="118">
        <v>3349</v>
      </c>
      <c r="M326" s="118">
        <v>0</v>
      </c>
      <c r="N326" s="118">
        <v>0</v>
      </c>
    </row>
    <row r="327" spans="2:14" x14ac:dyDescent="0.2">
      <c r="B327" s="126" t="s">
        <v>163</v>
      </c>
      <c r="C327" s="207" t="s">
        <v>1282</v>
      </c>
      <c r="D327" s="207" t="s">
        <v>1282</v>
      </c>
      <c r="E327" s="120">
        <f>SUM(E321:E326)</f>
        <v>100679</v>
      </c>
      <c r="F327" s="120">
        <f>SUM(F321:F326)</f>
        <v>128057</v>
      </c>
      <c r="G327" s="120">
        <f>SUM(G321:G326)</f>
        <v>214266</v>
      </c>
      <c r="I327" s="126" t="str">
        <f t="shared" si="27"/>
        <v>Em 30 de junho de 2015</v>
      </c>
      <c r="J327" s="120"/>
      <c r="K327" s="120"/>
      <c r="L327" s="120">
        <f>SUM(L321:L326)</f>
        <v>77518</v>
      </c>
      <c r="M327" s="120">
        <f>SUM(M321:M326)</f>
        <v>117774</v>
      </c>
      <c r="N327" s="120">
        <f>SUM(N321:N326)</f>
        <v>214266</v>
      </c>
    </row>
    <row r="328" spans="2:14" x14ac:dyDescent="0.2">
      <c r="B328" s="129" t="s">
        <v>365</v>
      </c>
      <c r="C328" s="118" t="s">
        <v>1282</v>
      </c>
      <c r="D328" s="118" t="s">
        <v>1282</v>
      </c>
      <c r="E328" s="118">
        <v>100937</v>
      </c>
      <c r="F328" s="118">
        <v>78902</v>
      </c>
      <c r="G328" s="118">
        <v>925</v>
      </c>
      <c r="I328" s="129" t="str">
        <f t="shared" si="27"/>
        <v xml:space="preserve">Empréstimos e financiamentos </v>
      </c>
      <c r="J328" s="118"/>
      <c r="K328" s="118"/>
      <c r="L328" s="118">
        <v>100937</v>
      </c>
      <c r="M328" s="118">
        <v>78902</v>
      </c>
      <c r="N328" s="118">
        <v>925</v>
      </c>
    </row>
    <row r="329" spans="2:14" x14ac:dyDescent="0.2">
      <c r="B329" s="129" t="s">
        <v>366</v>
      </c>
      <c r="C329" s="118" t="s">
        <v>1282</v>
      </c>
      <c r="D329" s="118" t="s">
        <v>1282</v>
      </c>
      <c r="E329" s="118">
        <v>28643</v>
      </c>
      <c r="F329" s="118">
        <v>116655</v>
      </c>
      <c r="G329" s="118">
        <v>213347</v>
      </c>
      <c r="I329" s="129" t="str">
        <f t="shared" si="27"/>
        <v xml:space="preserve">Debêntures </v>
      </c>
      <c r="J329" s="118"/>
      <c r="K329" s="118"/>
      <c r="L329" s="118">
        <v>28643</v>
      </c>
      <c r="M329" s="118">
        <v>116655</v>
      </c>
      <c r="N329" s="118">
        <v>213347</v>
      </c>
    </row>
    <row r="330" spans="2:14" x14ac:dyDescent="0.2">
      <c r="B330" s="129" t="s">
        <v>164</v>
      </c>
      <c r="C330" s="118" t="s">
        <v>1282</v>
      </c>
      <c r="D330" s="118" t="s">
        <v>1282</v>
      </c>
      <c r="E330" s="118">
        <v>48471</v>
      </c>
      <c r="F330" s="118">
        <v>0</v>
      </c>
      <c r="G330" s="118">
        <v>0</v>
      </c>
      <c r="I330" s="129" t="str">
        <f t="shared" si="27"/>
        <v>Fornecedores e fretes a pagar</v>
      </c>
      <c r="J330" s="118"/>
      <c r="K330" s="118"/>
      <c r="L330" s="118">
        <v>42184</v>
      </c>
      <c r="M330" s="118">
        <v>0</v>
      </c>
      <c r="N330" s="118">
        <v>0</v>
      </c>
    </row>
    <row r="331" spans="2:14" x14ac:dyDescent="0.2">
      <c r="B331" s="129" t="s">
        <v>367</v>
      </c>
      <c r="C331" s="118" t="s">
        <v>1282</v>
      </c>
      <c r="D331" s="118" t="s">
        <v>1282</v>
      </c>
      <c r="E331" s="118">
        <v>22014</v>
      </c>
      <c r="F331" s="118">
        <v>0</v>
      </c>
      <c r="G331" s="118">
        <v>0</v>
      </c>
      <c r="I331" s="129" t="str">
        <f t="shared" si="27"/>
        <v xml:space="preserve">Demais contas a pagar </v>
      </c>
      <c r="J331" s="118"/>
      <c r="K331" s="118"/>
      <c r="L331" s="118">
        <v>15086</v>
      </c>
      <c r="M331" s="118">
        <v>0</v>
      </c>
      <c r="N331" s="118">
        <v>0</v>
      </c>
    </row>
    <row r="332" spans="2:14" x14ac:dyDescent="0.2">
      <c r="B332" s="129" t="s">
        <v>370</v>
      </c>
      <c r="C332" s="118" t="s">
        <v>1282</v>
      </c>
      <c r="D332" s="118" t="s">
        <v>1282</v>
      </c>
      <c r="E332" s="118">
        <v>0</v>
      </c>
      <c r="F332" s="118">
        <v>9981</v>
      </c>
      <c r="G332" s="118">
        <v>0</v>
      </c>
      <c r="I332" s="129" t="str">
        <f t="shared" si="27"/>
        <v xml:space="preserve">Contas a pagar - Preço variável </v>
      </c>
      <c r="J332" s="118"/>
      <c r="K332" s="118"/>
      <c r="L332" s="118">
        <v>0</v>
      </c>
      <c r="M332" s="118">
        <v>0</v>
      </c>
      <c r="N332" s="118">
        <v>0</v>
      </c>
    </row>
    <row r="333" spans="2:14" x14ac:dyDescent="0.2">
      <c r="B333" s="129" t="s">
        <v>165</v>
      </c>
      <c r="C333" s="118" t="s">
        <v>1282</v>
      </c>
      <c r="D333" s="118" t="s">
        <v>1282</v>
      </c>
      <c r="E333" s="118">
        <v>3753</v>
      </c>
      <c r="F333" s="118">
        <v>0</v>
      </c>
      <c r="G333" s="118">
        <v>0</v>
      </c>
      <c r="I333" s="129" t="str">
        <f t="shared" si="27"/>
        <v>Seguros e aluguéis a pagar</v>
      </c>
      <c r="J333" s="118"/>
      <c r="K333" s="118"/>
      <c r="L333" s="118">
        <v>4181</v>
      </c>
      <c r="M333" s="118">
        <v>0</v>
      </c>
      <c r="N333" s="118">
        <v>0</v>
      </c>
    </row>
    <row r="334" spans="2:14" x14ac:dyDescent="0.2">
      <c r="B334" s="126" t="s">
        <v>166</v>
      </c>
      <c r="C334" s="207" t="s">
        <v>1282</v>
      </c>
      <c r="D334" s="207" t="s">
        <v>1282</v>
      </c>
      <c r="E334" s="120">
        <f>SUM(E328:E333)</f>
        <v>203818</v>
      </c>
      <c r="F334" s="120">
        <f>SUM(F328:F333)</f>
        <v>205538</v>
      </c>
      <c r="G334" s="120">
        <f>SUM(G328:G333)</f>
        <v>214272</v>
      </c>
      <c r="I334" s="126" t="str">
        <f t="shared" si="27"/>
        <v>Em 31 de março de 2015</v>
      </c>
      <c r="J334" s="120"/>
      <c r="K334" s="120"/>
      <c r="L334" s="120">
        <f>SUM(L328:L333)</f>
        <v>191031</v>
      </c>
      <c r="M334" s="120">
        <f>SUM(M328:M333)</f>
        <v>195557</v>
      </c>
      <c r="N334" s="120">
        <f>SUM(N328:N333)</f>
        <v>214272</v>
      </c>
    </row>
    <row r="335" spans="2:14" x14ac:dyDescent="0.2">
      <c r="B335" s="129" t="s">
        <v>365</v>
      </c>
      <c r="C335" s="118" t="s">
        <v>1282</v>
      </c>
      <c r="D335" s="118" t="s">
        <v>1282</v>
      </c>
      <c r="E335" s="118">
        <v>25980</v>
      </c>
      <c r="F335" s="118">
        <v>122336</v>
      </c>
      <c r="G335" s="118">
        <v>1241</v>
      </c>
      <c r="I335" s="129" t="str">
        <f t="shared" si="27"/>
        <v xml:space="preserve">Empréstimos e financiamentos </v>
      </c>
      <c r="J335" s="118"/>
      <c r="K335" s="118"/>
      <c r="L335" s="118">
        <v>25980</v>
      </c>
      <c r="M335" s="118">
        <v>122336</v>
      </c>
      <c r="N335" s="118">
        <v>1241</v>
      </c>
    </row>
    <row r="336" spans="2:14" x14ac:dyDescent="0.2">
      <c r="B336" s="129" t="s">
        <v>366</v>
      </c>
      <c r="C336" s="118" t="s">
        <v>1282</v>
      </c>
      <c r="D336" s="118" t="s">
        <v>1282</v>
      </c>
      <c r="E336" s="118">
        <v>9798</v>
      </c>
      <c r="F336" s="118">
        <v>116667</v>
      </c>
      <c r="G336" s="118">
        <v>233333</v>
      </c>
      <c r="I336" s="129" t="str">
        <f t="shared" si="27"/>
        <v xml:space="preserve">Debêntures </v>
      </c>
      <c r="J336" s="118"/>
      <c r="K336" s="118"/>
      <c r="L336" s="118">
        <v>9798</v>
      </c>
      <c r="M336" s="118">
        <v>116667</v>
      </c>
      <c r="N336" s="118">
        <v>233333</v>
      </c>
    </row>
    <row r="337" spans="2:14" x14ac:dyDescent="0.2">
      <c r="B337" s="129" t="s">
        <v>164</v>
      </c>
      <c r="C337" s="118" t="s">
        <v>1282</v>
      </c>
      <c r="D337" s="118" t="s">
        <v>1282</v>
      </c>
      <c r="E337" s="118">
        <v>51894</v>
      </c>
      <c r="F337" s="118">
        <v>0</v>
      </c>
      <c r="G337" s="118">
        <v>0</v>
      </c>
      <c r="I337" s="129" t="str">
        <f t="shared" si="27"/>
        <v>Fornecedores e fretes a pagar</v>
      </c>
      <c r="J337" s="118"/>
      <c r="K337" s="118"/>
      <c r="L337" s="118">
        <v>47545</v>
      </c>
      <c r="M337" s="118">
        <v>0</v>
      </c>
      <c r="N337" s="118">
        <v>0</v>
      </c>
    </row>
    <row r="338" spans="2:14" x14ac:dyDescent="0.2">
      <c r="B338" s="129" t="s">
        <v>367</v>
      </c>
      <c r="C338" s="118" t="s">
        <v>1282</v>
      </c>
      <c r="D338" s="118" t="s">
        <v>1282</v>
      </c>
      <c r="E338" s="118">
        <v>31656</v>
      </c>
      <c r="F338" s="118">
        <v>0</v>
      </c>
      <c r="G338" s="118">
        <v>0</v>
      </c>
      <c r="I338" s="129" t="str">
        <f t="shared" si="27"/>
        <v xml:space="preserve">Demais contas a pagar </v>
      </c>
      <c r="J338" s="118"/>
      <c r="K338" s="118"/>
      <c r="L338" s="118">
        <v>25167</v>
      </c>
      <c r="M338" s="118">
        <v>0</v>
      </c>
      <c r="N338" s="118">
        <v>0</v>
      </c>
    </row>
    <row r="339" spans="2:14" x14ac:dyDescent="0.2">
      <c r="B339" s="129" t="s">
        <v>370</v>
      </c>
      <c r="C339" s="118" t="s">
        <v>1282</v>
      </c>
      <c r="D339" s="118" t="s">
        <v>1282</v>
      </c>
      <c r="E339" s="118">
        <v>0</v>
      </c>
      <c r="F339" s="118">
        <v>9709</v>
      </c>
      <c r="G339" s="118">
        <v>0</v>
      </c>
      <c r="I339" s="129" t="str">
        <f t="shared" si="27"/>
        <v xml:space="preserve">Contas a pagar - Preço variável </v>
      </c>
      <c r="J339" s="118"/>
      <c r="K339" s="118"/>
      <c r="L339" s="118">
        <v>0</v>
      </c>
      <c r="M339" s="118">
        <v>0</v>
      </c>
      <c r="N339" s="118">
        <v>0</v>
      </c>
    </row>
    <row r="340" spans="2:14" x14ac:dyDescent="0.2">
      <c r="B340" s="129" t="s">
        <v>165</v>
      </c>
      <c r="C340" s="118" t="s">
        <v>1282</v>
      </c>
      <c r="D340" s="118" t="s">
        <v>1282</v>
      </c>
      <c r="E340" s="118">
        <v>4673</v>
      </c>
      <c r="F340" s="118">
        <v>0</v>
      </c>
      <c r="G340" s="118">
        <v>0</v>
      </c>
      <c r="I340" s="129" t="str">
        <f t="shared" si="27"/>
        <v>Seguros e aluguéis a pagar</v>
      </c>
      <c r="J340" s="118"/>
      <c r="K340" s="118"/>
      <c r="L340" s="118">
        <v>4576</v>
      </c>
      <c r="M340" s="118">
        <v>0</v>
      </c>
      <c r="N340" s="118">
        <v>0</v>
      </c>
    </row>
    <row r="341" spans="2:14" x14ac:dyDescent="0.2">
      <c r="B341" s="126" t="s">
        <v>167</v>
      </c>
      <c r="C341" s="207" t="s">
        <v>1282</v>
      </c>
      <c r="D341" s="207" t="s">
        <v>1282</v>
      </c>
      <c r="E341" s="120">
        <f>SUM(E335:E340)</f>
        <v>124001</v>
      </c>
      <c r="F341" s="120">
        <f>SUM(F335:F340)</f>
        <v>248712</v>
      </c>
      <c r="G341" s="120">
        <f>SUM(G335:G340)</f>
        <v>234574</v>
      </c>
      <c r="I341" s="126" t="str">
        <f t="shared" si="27"/>
        <v>Em 31 de dezembro de 2014</v>
      </c>
      <c r="J341" s="120"/>
      <c r="K341" s="120"/>
      <c r="L341" s="120">
        <f>SUM(L335:L340)</f>
        <v>113066</v>
      </c>
      <c r="M341" s="120">
        <f>SUM(M335:M340)</f>
        <v>239003</v>
      </c>
      <c r="N341" s="120">
        <f>SUM(N335:N340)</f>
        <v>234574</v>
      </c>
    </row>
    <row r="342" spans="2:14" x14ac:dyDescent="0.2">
      <c r="B342" s="129" t="s">
        <v>365</v>
      </c>
      <c r="C342" s="118" t="s">
        <v>1282</v>
      </c>
      <c r="D342" s="118" t="s">
        <v>1282</v>
      </c>
      <c r="E342" s="118">
        <v>24323</v>
      </c>
      <c r="F342" s="118">
        <v>114332</v>
      </c>
      <c r="G342" s="118">
        <v>437</v>
      </c>
      <c r="I342" s="129" t="str">
        <f t="shared" si="27"/>
        <v xml:space="preserve">Empréstimos e financiamentos </v>
      </c>
      <c r="J342" s="118"/>
      <c r="K342" s="118"/>
      <c r="L342" s="118">
        <v>24323</v>
      </c>
      <c r="M342" s="118">
        <v>114332</v>
      </c>
      <c r="N342" s="118">
        <v>437</v>
      </c>
    </row>
    <row r="343" spans="2:14" x14ac:dyDescent="0.2">
      <c r="B343" s="129" t="s">
        <v>366</v>
      </c>
      <c r="C343" s="118" t="s">
        <v>1282</v>
      </c>
      <c r="D343" s="118" t="s">
        <v>1282</v>
      </c>
      <c r="E343" s="118">
        <v>8318</v>
      </c>
      <c r="F343" s="118">
        <v>57370</v>
      </c>
      <c r="G343" s="118">
        <v>292630</v>
      </c>
      <c r="I343" s="129" t="str">
        <f t="shared" si="27"/>
        <v xml:space="preserve">Debêntures </v>
      </c>
      <c r="J343" s="118"/>
      <c r="K343" s="118"/>
      <c r="L343" s="118">
        <v>8318</v>
      </c>
      <c r="M343" s="118">
        <v>57370</v>
      </c>
      <c r="N343" s="118">
        <v>292630</v>
      </c>
    </row>
    <row r="344" spans="2:14" x14ac:dyDescent="0.2">
      <c r="B344" s="129" t="s">
        <v>164</v>
      </c>
      <c r="C344" s="118" t="s">
        <v>1282</v>
      </c>
      <c r="D344" s="118" t="s">
        <v>1282</v>
      </c>
      <c r="E344" s="118">
        <v>53006</v>
      </c>
      <c r="F344" s="118">
        <v>0</v>
      </c>
      <c r="G344" s="118">
        <v>0</v>
      </c>
      <c r="I344" s="129" t="str">
        <f t="shared" si="27"/>
        <v>Fornecedores e fretes a pagar</v>
      </c>
      <c r="J344" s="118"/>
      <c r="K344" s="118"/>
      <c r="L344" s="118">
        <v>48126</v>
      </c>
      <c r="M344" s="118">
        <v>0</v>
      </c>
      <c r="N344" s="118">
        <v>0</v>
      </c>
    </row>
    <row r="345" spans="2:14" x14ac:dyDescent="0.2">
      <c r="B345" s="129" t="s">
        <v>367</v>
      </c>
      <c r="C345" s="118" t="s">
        <v>1282</v>
      </c>
      <c r="D345" s="118" t="s">
        <v>1282</v>
      </c>
      <c r="E345" s="118">
        <v>20672</v>
      </c>
      <c r="F345" s="118">
        <v>0</v>
      </c>
      <c r="G345" s="118">
        <v>0</v>
      </c>
      <c r="I345" s="129" t="str">
        <f t="shared" si="27"/>
        <v xml:space="preserve">Demais contas a pagar </v>
      </c>
      <c r="J345" s="118"/>
      <c r="K345" s="118"/>
      <c r="L345" s="118">
        <v>9344</v>
      </c>
      <c r="M345" s="118">
        <v>0</v>
      </c>
      <c r="N345" s="118">
        <v>0</v>
      </c>
    </row>
    <row r="346" spans="2:14" x14ac:dyDescent="0.2">
      <c r="B346" s="129" t="s">
        <v>370</v>
      </c>
      <c r="C346" s="118" t="s">
        <v>1282</v>
      </c>
      <c r="D346" s="118" t="s">
        <v>1282</v>
      </c>
      <c r="E346" s="118">
        <v>0</v>
      </c>
      <c r="F346" s="118">
        <v>9448</v>
      </c>
      <c r="G346" s="118">
        <v>0</v>
      </c>
      <c r="I346" s="129" t="str">
        <f t="shared" si="27"/>
        <v xml:space="preserve">Contas a pagar - Preço variável </v>
      </c>
      <c r="J346" s="118"/>
      <c r="K346" s="118"/>
      <c r="L346" s="118">
        <v>0</v>
      </c>
      <c r="M346" s="118">
        <v>0</v>
      </c>
      <c r="N346" s="118">
        <v>0</v>
      </c>
    </row>
    <row r="347" spans="2:14" x14ac:dyDescent="0.2">
      <c r="B347" s="129" t="s">
        <v>165</v>
      </c>
      <c r="C347" s="118" t="s">
        <v>1282</v>
      </c>
      <c r="D347" s="118" t="s">
        <v>1282</v>
      </c>
      <c r="E347" s="118">
        <v>5992</v>
      </c>
      <c r="F347" s="118">
        <v>0</v>
      </c>
      <c r="G347" s="118">
        <v>0</v>
      </c>
      <c r="I347" s="129" t="str">
        <f t="shared" si="27"/>
        <v>Seguros e aluguéis a pagar</v>
      </c>
      <c r="J347" s="118"/>
      <c r="K347" s="118"/>
      <c r="L347" s="118">
        <v>4947</v>
      </c>
      <c r="M347" s="118">
        <v>0</v>
      </c>
      <c r="N347" s="118">
        <v>0</v>
      </c>
    </row>
    <row r="348" spans="2:14" x14ac:dyDescent="0.2">
      <c r="B348" s="126" t="s">
        <v>168</v>
      </c>
      <c r="C348" s="207" t="s">
        <v>1282</v>
      </c>
      <c r="D348" s="207" t="s">
        <v>1282</v>
      </c>
      <c r="E348" s="120">
        <f>SUM(E342:E347)</f>
        <v>112311</v>
      </c>
      <c r="F348" s="120">
        <f>SUM(F342:F347)</f>
        <v>181150</v>
      </c>
      <c r="G348" s="120">
        <f>SUM(G342:G347)</f>
        <v>293067</v>
      </c>
      <c r="I348" s="126" t="str">
        <f t="shared" si="27"/>
        <v>Em 30 de setembro de 2014</v>
      </c>
      <c r="J348" s="120"/>
      <c r="K348" s="120"/>
      <c r="L348" s="120">
        <f>SUM(L342:L347)</f>
        <v>95058</v>
      </c>
      <c r="M348" s="120">
        <f>SUM(M342:M347)</f>
        <v>171702</v>
      </c>
      <c r="N348" s="120">
        <f>SUM(N342:N347)</f>
        <v>293067</v>
      </c>
    </row>
    <row r="349" spans="2:14" x14ac:dyDescent="0.2">
      <c r="B349" s="129" t="s">
        <v>365</v>
      </c>
      <c r="C349" s="118" t="s">
        <v>1282</v>
      </c>
      <c r="D349" s="118" t="s">
        <v>1282</v>
      </c>
      <c r="E349" s="118">
        <v>3909</v>
      </c>
      <c r="F349" s="118">
        <v>51250</v>
      </c>
      <c r="G349" s="118">
        <v>657</v>
      </c>
      <c r="I349" s="129" t="str">
        <f t="shared" si="27"/>
        <v xml:space="preserve">Empréstimos e financiamentos </v>
      </c>
      <c r="J349" s="118"/>
      <c r="K349" s="118"/>
      <c r="L349" s="118">
        <v>3909</v>
      </c>
      <c r="M349" s="118">
        <v>51250</v>
      </c>
      <c r="N349" s="118">
        <v>657</v>
      </c>
    </row>
    <row r="350" spans="2:14" x14ac:dyDescent="0.2">
      <c r="B350" s="129" t="s">
        <v>366</v>
      </c>
      <c r="C350" s="118" t="s">
        <v>1282</v>
      </c>
      <c r="D350" s="118" t="s">
        <v>1282</v>
      </c>
      <c r="E350" s="118">
        <v>8630</v>
      </c>
      <c r="F350" s="118">
        <v>57370</v>
      </c>
      <c r="G350" s="118">
        <v>292630</v>
      </c>
      <c r="I350" s="129" t="str">
        <f t="shared" si="27"/>
        <v xml:space="preserve">Debêntures </v>
      </c>
      <c r="J350" s="118"/>
      <c r="K350" s="118"/>
      <c r="L350" s="118">
        <v>8630</v>
      </c>
      <c r="M350" s="118">
        <v>57370</v>
      </c>
      <c r="N350" s="118">
        <v>292630</v>
      </c>
    </row>
    <row r="351" spans="2:14" x14ac:dyDescent="0.2">
      <c r="B351" s="129" t="s">
        <v>164</v>
      </c>
      <c r="C351" s="118" t="s">
        <v>1282</v>
      </c>
      <c r="D351" s="118" t="s">
        <v>1282</v>
      </c>
      <c r="E351" s="118">
        <v>46278</v>
      </c>
      <c r="F351" s="118">
        <v>0</v>
      </c>
      <c r="G351" s="118">
        <v>0</v>
      </c>
      <c r="I351" s="129" t="str">
        <f t="shared" si="27"/>
        <v>Fornecedores e fretes a pagar</v>
      </c>
      <c r="J351" s="118"/>
      <c r="K351" s="118"/>
      <c r="L351" s="118">
        <v>40697</v>
      </c>
      <c r="M351" s="118">
        <v>0</v>
      </c>
      <c r="N351" s="118">
        <v>0</v>
      </c>
    </row>
    <row r="352" spans="2:14" x14ac:dyDescent="0.2">
      <c r="B352" s="129" t="s">
        <v>367</v>
      </c>
      <c r="C352" s="118" t="s">
        <v>1282</v>
      </c>
      <c r="D352" s="118" t="s">
        <v>1282</v>
      </c>
      <c r="E352" s="118">
        <v>21772</v>
      </c>
      <c r="F352" s="118">
        <v>0</v>
      </c>
      <c r="G352" s="118">
        <v>0</v>
      </c>
      <c r="I352" s="129" t="str">
        <f t="shared" si="27"/>
        <v xml:space="preserve">Demais contas a pagar </v>
      </c>
      <c r="J352" s="118"/>
      <c r="K352" s="118"/>
      <c r="L352" s="118">
        <v>11235</v>
      </c>
      <c r="M352" s="118">
        <v>0</v>
      </c>
      <c r="N352" s="118">
        <v>0</v>
      </c>
    </row>
    <row r="353" spans="2:14" x14ac:dyDescent="0.2">
      <c r="B353" s="129" t="s">
        <v>172</v>
      </c>
      <c r="C353" s="118" t="s">
        <v>1282</v>
      </c>
      <c r="D353" s="118" t="s">
        <v>1282</v>
      </c>
      <c r="E353" s="118">
        <v>0</v>
      </c>
      <c r="F353" s="118">
        <v>9197</v>
      </c>
      <c r="G353" s="118">
        <v>0</v>
      </c>
      <c r="I353" s="129" t="str">
        <f t="shared" si="27"/>
        <v>Contas a pagar - Preço variável</v>
      </c>
      <c r="J353" s="118"/>
      <c r="K353" s="118"/>
      <c r="L353" s="118">
        <v>0</v>
      </c>
      <c r="M353" s="118">
        <v>0</v>
      </c>
      <c r="N353" s="118">
        <v>0</v>
      </c>
    </row>
    <row r="354" spans="2:14" x14ac:dyDescent="0.2">
      <c r="B354" s="129" t="s">
        <v>165</v>
      </c>
      <c r="C354" s="118" t="s">
        <v>1282</v>
      </c>
      <c r="D354" s="118" t="s">
        <v>1282</v>
      </c>
      <c r="E354" s="118">
        <v>6459</v>
      </c>
      <c r="F354" s="118">
        <v>0</v>
      </c>
      <c r="G354" s="118">
        <v>0</v>
      </c>
      <c r="I354" s="129" t="str">
        <f t="shared" si="27"/>
        <v>Seguros e aluguéis a pagar</v>
      </c>
      <c r="J354" s="118"/>
      <c r="K354" s="118"/>
      <c r="L354" s="118">
        <v>6182</v>
      </c>
      <c r="M354" s="118">
        <v>0</v>
      </c>
      <c r="N354" s="118">
        <v>0</v>
      </c>
    </row>
    <row r="355" spans="2:14" x14ac:dyDescent="0.2">
      <c r="B355" s="129" t="s">
        <v>368</v>
      </c>
      <c r="C355" s="118" t="s">
        <v>1282</v>
      </c>
      <c r="D355" s="118" t="s">
        <v>1282</v>
      </c>
      <c r="E355" s="118">
        <v>1420</v>
      </c>
      <c r="F355" s="118">
        <v>0</v>
      </c>
      <c r="G355" s="118">
        <v>0</v>
      </c>
      <c r="I355" s="129" t="str">
        <f t="shared" si="27"/>
        <v xml:space="preserve">Partes relacionadas </v>
      </c>
      <c r="J355" s="118"/>
      <c r="K355" s="118"/>
      <c r="L355" s="118">
        <v>35</v>
      </c>
      <c r="M355" s="118">
        <v>0</v>
      </c>
      <c r="N355" s="118">
        <v>0</v>
      </c>
    </row>
    <row r="356" spans="2:14" x14ac:dyDescent="0.2">
      <c r="B356" s="126" t="s">
        <v>169</v>
      </c>
      <c r="C356" s="207" t="s">
        <v>1282</v>
      </c>
      <c r="D356" s="207" t="s">
        <v>1282</v>
      </c>
      <c r="E356" s="120">
        <f>SUM(E349:E355)</f>
        <v>88468</v>
      </c>
      <c r="F356" s="120">
        <f>SUM(F349:F355)</f>
        <v>117817</v>
      </c>
      <c r="G356" s="120">
        <f>SUM(G349:G355)</f>
        <v>293287</v>
      </c>
      <c r="I356" s="126" t="str">
        <f t="shared" si="27"/>
        <v>Em 30 de junho de 2014</v>
      </c>
      <c r="J356" s="120"/>
      <c r="K356" s="120"/>
      <c r="L356" s="120">
        <f>SUM(L349:L355)</f>
        <v>70688</v>
      </c>
      <c r="M356" s="120">
        <f>SUM(M349:M355)</f>
        <v>108620</v>
      </c>
      <c r="N356" s="120">
        <f>SUM(N349:N355)</f>
        <v>293287</v>
      </c>
    </row>
    <row r="357" spans="2:14" x14ac:dyDescent="0.2">
      <c r="B357" s="129" t="s">
        <v>365</v>
      </c>
      <c r="C357" s="118" t="s">
        <v>1282</v>
      </c>
      <c r="D357" s="118" t="s">
        <v>1282</v>
      </c>
      <c r="E357" s="118">
        <v>80949</v>
      </c>
      <c r="F357" s="118">
        <v>39811</v>
      </c>
      <c r="G357" s="118">
        <v>110154</v>
      </c>
      <c r="I357" s="129" t="str">
        <f t="shared" si="27"/>
        <v xml:space="preserve">Empréstimos e financiamentos </v>
      </c>
      <c r="J357" s="118"/>
      <c r="K357" s="118"/>
      <c r="L357" s="118">
        <v>3851</v>
      </c>
      <c r="M357" s="118">
        <v>52121</v>
      </c>
      <c r="N357" s="118">
        <v>2138</v>
      </c>
    </row>
    <row r="358" spans="2:14" x14ac:dyDescent="0.2">
      <c r="B358" s="129" t="s">
        <v>366</v>
      </c>
      <c r="C358" s="118" t="s">
        <v>1282</v>
      </c>
      <c r="D358" s="118" t="s">
        <v>1282</v>
      </c>
      <c r="E358" s="118">
        <v>0</v>
      </c>
      <c r="F358" s="118">
        <v>95021</v>
      </c>
      <c r="G358" s="118">
        <v>190042</v>
      </c>
      <c r="I358" s="129" t="str">
        <f t="shared" si="27"/>
        <v xml:space="preserve">Debêntures </v>
      </c>
      <c r="J358" s="118"/>
      <c r="K358" s="118"/>
      <c r="L358" s="118">
        <v>0</v>
      </c>
      <c r="M358" s="118">
        <v>95021</v>
      </c>
      <c r="N358" s="118">
        <v>190042</v>
      </c>
    </row>
    <row r="359" spans="2:14" x14ac:dyDescent="0.2">
      <c r="B359" s="129" t="s">
        <v>164</v>
      </c>
      <c r="C359" s="118" t="s">
        <v>1282</v>
      </c>
      <c r="D359" s="118" t="s">
        <v>1282</v>
      </c>
      <c r="E359" s="118">
        <v>53213</v>
      </c>
      <c r="F359" s="118">
        <v>0</v>
      </c>
      <c r="G359" s="118">
        <v>0</v>
      </c>
      <c r="I359" s="129" t="str">
        <f t="shared" si="27"/>
        <v>Fornecedores e fretes a pagar</v>
      </c>
      <c r="J359" s="118"/>
      <c r="K359" s="118"/>
      <c r="L359" s="118">
        <v>39443</v>
      </c>
      <c r="M359" s="118">
        <v>0</v>
      </c>
      <c r="N359" s="118">
        <v>0</v>
      </c>
    </row>
    <row r="360" spans="2:14" x14ac:dyDescent="0.2">
      <c r="B360" s="129" t="s">
        <v>367</v>
      </c>
      <c r="C360" s="118" t="s">
        <v>1282</v>
      </c>
      <c r="D360" s="118" t="s">
        <v>1282</v>
      </c>
      <c r="E360" s="118">
        <v>45861</v>
      </c>
      <c r="F360" s="118">
        <v>0</v>
      </c>
      <c r="G360" s="118">
        <v>0</v>
      </c>
      <c r="I360" s="129" t="str">
        <f t="shared" si="27"/>
        <v xml:space="preserve">Demais contas a pagar </v>
      </c>
      <c r="J360" s="118"/>
      <c r="K360" s="118"/>
      <c r="L360" s="118">
        <v>12028</v>
      </c>
      <c r="M360" s="118">
        <v>0</v>
      </c>
      <c r="N360" s="118">
        <v>0</v>
      </c>
    </row>
    <row r="361" spans="2:14" x14ac:dyDescent="0.2">
      <c r="B361" s="129" t="s">
        <v>172</v>
      </c>
      <c r="C361" s="118" t="s">
        <v>1282</v>
      </c>
      <c r="D361" s="118" t="s">
        <v>1282</v>
      </c>
      <c r="E361" s="118">
        <v>0</v>
      </c>
      <c r="F361" s="118">
        <v>8972</v>
      </c>
      <c r="G361" s="118">
        <v>0</v>
      </c>
      <c r="I361" s="129" t="str">
        <f t="shared" si="27"/>
        <v>Contas a pagar - Preço variável</v>
      </c>
      <c r="J361" s="118"/>
      <c r="K361" s="118"/>
      <c r="L361" s="118">
        <v>0</v>
      </c>
      <c r="M361" s="118">
        <v>0</v>
      </c>
      <c r="N361" s="118">
        <v>0</v>
      </c>
    </row>
    <row r="362" spans="2:14" x14ac:dyDescent="0.2">
      <c r="B362" s="129" t="s">
        <v>165</v>
      </c>
      <c r="C362" s="118" t="s">
        <v>1282</v>
      </c>
      <c r="D362" s="118" t="s">
        <v>1282</v>
      </c>
      <c r="E362" s="118">
        <v>4106</v>
      </c>
      <c r="F362" s="118">
        <v>0</v>
      </c>
      <c r="G362" s="118">
        <v>0</v>
      </c>
      <c r="I362" s="129" t="str">
        <f t="shared" si="27"/>
        <v>Seguros e aluguéis a pagar</v>
      </c>
      <c r="J362" s="118"/>
      <c r="K362" s="118"/>
      <c r="L362" s="118">
        <v>3269</v>
      </c>
      <c r="M362" s="118">
        <v>0</v>
      </c>
      <c r="N362" s="118">
        <v>0</v>
      </c>
    </row>
    <row r="363" spans="2:14" x14ac:dyDescent="0.2">
      <c r="B363" s="129" t="s">
        <v>368</v>
      </c>
      <c r="C363" s="118" t="s">
        <v>1282</v>
      </c>
      <c r="D363" s="118" t="s">
        <v>1282</v>
      </c>
      <c r="E363" s="118">
        <v>756</v>
      </c>
      <c r="F363" s="118">
        <v>0</v>
      </c>
      <c r="G363" s="118">
        <v>0</v>
      </c>
      <c r="I363" s="129" t="str">
        <f t="shared" si="27"/>
        <v xml:space="preserve">Partes relacionadas </v>
      </c>
      <c r="J363" s="118"/>
      <c r="K363" s="118"/>
      <c r="L363" s="118">
        <v>14075</v>
      </c>
      <c r="M363" s="118">
        <v>0</v>
      </c>
      <c r="N363" s="118">
        <v>0</v>
      </c>
    </row>
    <row r="364" spans="2:14" x14ac:dyDescent="0.2">
      <c r="B364" s="126" t="s">
        <v>170</v>
      </c>
      <c r="C364" s="207" t="s">
        <v>1282</v>
      </c>
      <c r="D364" s="207" t="s">
        <v>1282</v>
      </c>
      <c r="E364" s="120">
        <f>SUM(E357:E363)</f>
        <v>184885</v>
      </c>
      <c r="F364" s="120">
        <f>SUM(F357:F363)</f>
        <v>143804</v>
      </c>
      <c r="G364" s="120">
        <f>SUM(G357:G363)</f>
        <v>300196</v>
      </c>
      <c r="I364" s="126" t="str">
        <f t="shared" si="27"/>
        <v>Em 31 de março de 2014</v>
      </c>
      <c r="J364" s="120"/>
      <c r="K364" s="120"/>
      <c r="L364" s="120">
        <f>SUM(L357:L363)</f>
        <v>72666</v>
      </c>
      <c r="M364" s="120">
        <f>SUM(M357:M363)</f>
        <v>147142</v>
      </c>
      <c r="N364" s="120">
        <f>SUM(N357:N363)</f>
        <v>192180</v>
      </c>
    </row>
    <row r="365" spans="2:14" x14ac:dyDescent="0.2">
      <c r="B365" s="129" t="s">
        <v>365</v>
      </c>
      <c r="C365" s="118" t="s">
        <v>1282</v>
      </c>
      <c r="D365" s="118" t="s">
        <v>1282</v>
      </c>
      <c r="E365" s="118">
        <v>83235</v>
      </c>
      <c r="F365" s="118">
        <v>151621</v>
      </c>
      <c r="G365" s="118">
        <v>5339</v>
      </c>
      <c r="I365" s="129" t="str">
        <f t="shared" si="27"/>
        <v xml:space="preserve">Empréstimos e financiamentos </v>
      </c>
      <c r="J365" s="118"/>
      <c r="K365" s="118"/>
      <c r="L365" s="118">
        <v>3914</v>
      </c>
      <c r="M365" s="118">
        <v>55822</v>
      </c>
      <c r="N365" s="118">
        <v>1239</v>
      </c>
    </row>
    <row r="366" spans="2:14" x14ac:dyDescent="0.2">
      <c r="B366" s="129" t="s">
        <v>366</v>
      </c>
      <c r="C366" s="118" t="s">
        <v>1282</v>
      </c>
      <c r="D366" s="118" t="s">
        <v>1282</v>
      </c>
      <c r="E366" s="118">
        <v>0</v>
      </c>
      <c r="F366" s="118">
        <v>93333</v>
      </c>
      <c r="G366" s="118">
        <v>194512</v>
      </c>
      <c r="I366" s="129" t="str">
        <f t="shared" si="27"/>
        <v xml:space="preserve">Debêntures </v>
      </c>
      <c r="J366" s="118"/>
      <c r="K366" s="118"/>
      <c r="L366" s="118">
        <v>0</v>
      </c>
      <c r="M366" s="118">
        <v>93333</v>
      </c>
      <c r="N366" s="118">
        <v>194512</v>
      </c>
    </row>
    <row r="367" spans="2:14" x14ac:dyDescent="0.2">
      <c r="B367" s="129" t="s">
        <v>164</v>
      </c>
      <c r="C367" s="118" t="s">
        <v>1282</v>
      </c>
      <c r="D367" s="118" t="s">
        <v>1282</v>
      </c>
      <c r="E367" s="118">
        <v>64297</v>
      </c>
      <c r="F367" s="118">
        <v>0</v>
      </c>
      <c r="G367" s="118">
        <v>0</v>
      </c>
      <c r="I367" s="129" t="str">
        <f t="shared" si="27"/>
        <v>Fornecedores e fretes a pagar</v>
      </c>
      <c r="J367" s="118"/>
      <c r="K367" s="118"/>
      <c r="L367" s="118">
        <v>45129</v>
      </c>
      <c r="M367" s="118">
        <v>0</v>
      </c>
      <c r="N367" s="118">
        <v>0</v>
      </c>
    </row>
    <row r="368" spans="2:14" x14ac:dyDescent="0.2">
      <c r="B368" s="129" t="s">
        <v>367</v>
      </c>
      <c r="C368" s="118" t="s">
        <v>1282</v>
      </c>
      <c r="D368" s="118" t="s">
        <v>1282</v>
      </c>
      <c r="E368" s="118">
        <v>47352</v>
      </c>
      <c r="F368" s="118">
        <v>0</v>
      </c>
      <c r="G368" s="118">
        <v>0</v>
      </c>
      <c r="I368" s="129" t="str">
        <f t="shared" si="27"/>
        <v xml:space="preserve">Demais contas a pagar </v>
      </c>
      <c r="J368" s="118"/>
      <c r="K368" s="118"/>
      <c r="L368" s="118">
        <v>15219</v>
      </c>
      <c r="M368" s="118">
        <v>0</v>
      </c>
      <c r="N368" s="118">
        <v>0</v>
      </c>
    </row>
    <row r="369" spans="2:14" x14ac:dyDescent="0.2">
      <c r="B369" s="129" t="s">
        <v>172</v>
      </c>
      <c r="C369" s="118" t="s">
        <v>1282</v>
      </c>
      <c r="D369" s="118" t="s">
        <v>1282</v>
      </c>
      <c r="E369" s="118">
        <v>0</v>
      </c>
      <c r="F369" s="118">
        <v>8762</v>
      </c>
      <c r="G369" s="118">
        <v>0</v>
      </c>
      <c r="I369" s="129" t="str">
        <f t="shared" si="27"/>
        <v>Contas a pagar - Preço variável</v>
      </c>
      <c r="J369" s="118"/>
      <c r="K369" s="118"/>
      <c r="L369" s="118">
        <v>3681</v>
      </c>
      <c r="M369" s="118">
        <v>0</v>
      </c>
      <c r="N369" s="118">
        <v>0</v>
      </c>
    </row>
    <row r="370" spans="2:14" x14ac:dyDescent="0.2">
      <c r="B370" s="129" t="s">
        <v>165</v>
      </c>
      <c r="C370" s="118" t="s">
        <v>1282</v>
      </c>
      <c r="D370" s="118" t="s">
        <v>1282</v>
      </c>
      <c r="E370" s="118">
        <v>4279</v>
      </c>
      <c r="F370" s="118">
        <v>0</v>
      </c>
      <c r="G370" s="118">
        <v>0</v>
      </c>
      <c r="I370" s="129" t="str">
        <f t="shared" si="27"/>
        <v>Seguros e aluguéis a pagar</v>
      </c>
      <c r="J370" s="118"/>
      <c r="K370" s="118"/>
      <c r="L370" s="118">
        <v>14278</v>
      </c>
      <c r="M370" s="118">
        <v>0</v>
      </c>
      <c r="N370" s="118">
        <v>0</v>
      </c>
    </row>
    <row r="371" spans="2:14" x14ac:dyDescent="0.2">
      <c r="B371" s="126" t="s">
        <v>171</v>
      </c>
      <c r="C371" s="207" t="s">
        <v>1282</v>
      </c>
      <c r="D371" s="207" t="s">
        <v>1282</v>
      </c>
      <c r="E371" s="120">
        <f>SUM(E365:E370)</f>
        <v>199163</v>
      </c>
      <c r="F371" s="120">
        <f>SUM(F365:F370)</f>
        <v>253716</v>
      </c>
      <c r="G371" s="120">
        <f>SUM(G365:G370)</f>
        <v>199851</v>
      </c>
      <c r="I371" s="126" t="str">
        <f t="shared" si="27"/>
        <v>Em 31 de dezembro de 2013</v>
      </c>
      <c r="J371" s="120"/>
      <c r="K371" s="120"/>
      <c r="L371" s="120">
        <f>SUM(L365:L370)</f>
        <v>82221</v>
      </c>
      <c r="M371" s="120">
        <f>SUM(M365:M370)</f>
        <v>149155</v>
      </c>
      <c r="N371" s="120">
        <f>SUM(N365:N370)</f>
        <v>195751</v>
      </c>
    </row>
    <row r="372" spans="2:14" x14ac:dyDescent="0.2">
      <c r="B372" t="s">
        <v>1283</v>
      </c>
    </row>
  </sheetData>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21">
    <pageSetUpPr autoPageBreaks="0"/>
  </sheetPr>
  <dimension ref="B1:AZ33"/>
  <sheetViews>
    <sheetView showGridLines="0" zoomScaleNormal="10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2.75" x14ac:dyDescent="0.2"/>
  <cols>
    <col min="1" max="1" width="1.42578125" customWidth="1"/>
    <col min="2" max="2" width="33.42578125" bestFit="1" customWidth="1"/>
    <col min="3" max="52" width="10.85546875" customWidth="1"/>
  </cols>
  <sheetData>
    <row r="1" spans="2:52" s="550" customFormat="1" ht="7.5" customHeight="1" x14ac:dyDescent="0.2"/>
    <row r="2" spans="2:52" s="550" customFormat="1" ht="12.75" customHeight="1" x14ac:dyDescent="0.2"/>
    <row r="3" spans="2:52" ht="12.75" customHeight="1" x14ac:dyDescent="0.2">
      <c r="W3" s="328"/>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c r="AV3" s="328"/>
      <c r="AW3" s="328"/>
      <c r="AX3" s="328"/>
      <c r="AY3" s="328"/>
      <c r="AZ3" s="328"/>
    </row>
    <row r="4" spans="2:52" ht="12.75" customHeight="1" x14ac:dyDescent="0.2">
      <c r="Q4" s="730"/>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row>
    <row r="5" spans="2:52" x14ac:dyDescent="0.2">
      <c r="B5" s="140" t="s">
        <v>96</v>
      </c>
      <c r="C5" s="246" t="s">
        <v>0</v>
      </c>
      <c r="D5" s="246" t="s">
        <v>45</v>
      </c>
      <c r="E5" s="246" t="s">
        <v>55</v>
      </c>
      <c r="F5" s="246" t="s">
        <v>71</v>
      </c>
      <c r="G5" s="246" t="s">
        <v>77</v>
      </c>
      <c r="H5" s="246" t="s">
        <v>87</v>
      </c>
      <c r="I5" s="246" t="s">
        <v>88</v>
      </c>
      <c r="J5" s="246" t="s">
        <v>378</v>
      </c>
      <c r="K5" s="246" t="s">
        <v>406</v>
      </c>
      <c r="L5" s="246" t="s">
        <v>467</v>
      </c>
      <c r="M5" s="246" t="s">
        <v>501</v>
      </c>
      <c r="N5" s="246" t="s">
        <v>511</v>
      </c>
      <c r="O5" s="246" t="s">
        <v>538</v>
      </c>
      <c r="P5" s="246" t="s">
        <v>567</v>
      </c>
      <c r="Q5" s="246" t="s">
        <v>575</v>
      </c>
      <c r="R5" s="246" t="s">
        <v>595</v>
      </c>
      <c r="S5" s="246" t="s">
        <v>596</v>
      </c>
      <c r="T5" s="246" t="s">
        <v>623</v>
      </c>
      <c r="U5" s="246" t="s">
        <v>624</v>
      </c>
      <c r="V5" s="246" t="s">
        <v>625</v>
      </c>
      <c r="W5" s="246" t="s">
        <v>626</v>
      </c>
      <c r="X5" s="246" t="s">
        <v>798</v>
      </c>
      <c r="Y5" s="246" t="s">
        <v>799</v>
      </c>
      <c r="Z5" s="246" t="s">
        <v>800</v>
      </c>
      <c r="AA5" s="246" t="s">
        <v>801</v>
      </c>
      <c r="AB5" s="246" t="s">
        <v>913</v>
      </c>
      <c r="AC5" s="246" t="s">
        <v>914</v>
      </c>
      <c r="AD5" s="246" t="s">
        <v>923</v>
      </c>
      <c r="AE5" s="246" t="s">
        <v>924</v>
      </c>
      <c r="AF5" s="246" t="s">
        <v>1049</v>
      </c>
      <c r="AG5" s="246" t="s">
        <v>1023</v>
      </c>
      <c r="AH5" s="246" t="s">
        <v>1024</v>
      </c>
      <c r="AI5" s="246" t="s">
        <v>1050</v>
      </c>
      <c r="AJ5" s="246" t="s">
        <v>1114</v>
      </c>
      <c r="AK5" s="246" t="s">
        <v>1119</v>
      </c>
      <c r="AL5" s="246" t="s">
        <v>1121</v>
      </c>
      <c r="AM5" s="246" t="s">
        <v>1123</v>
      </c>
      <c r="AN5" s="246" t="s">
        <v>1176</v>
      </c>
      <c r="AO5" s="246" t="s">
        <v>1177</v>
      </c>
      <c r="AP5" s="246" t="s">
        <v>1179</v>
      </c>
      <c r="AQ5" s="246" t="s">
        <v>1181</v>
      </c>
      <c r="AR5" s="246" t="s">
        <v>1243</v>
      </c>
      <c r="AS5" s="246" t="s">
        <v>1250</v>
      </c>
      <c r="AT5" s="246" t="s">
        <v>1251</v>
      </c>
      <c r="AU5" s="246" t="s">
        <v>1252</v>
      </c>
      <c r="AV5" s="246" t="s">
        <v>1311</v>
      </c>
      <c r="AW5" s="246" t="s">
        <v>1313</v>
      </c>
      <c r="AX5" s="246" t="s">
        <v>1315</v>
      </c>
      <c r="AY5" s="246" t="s">
        <v>1317</v>
      </c>
      <c r="AZ5" s="246" t="s">
        <v>1344</v>
      </c>
    </row>
    <row r="6" spans="2:52" x14ac:dyDescent="0.2">
      <c r="B6" s="129" t="s">
        <v>380</v>
      </c>
      <c r="C6" s="118">
        <v>240195</v>
      </c>
      <c r="D6" s="118">
        <v>230914</v>
      </c>
      <c r="E6" s="118">
        <v>55816</v>
      </c>
      <c r="F6" s="118">
        <v>139092</v>
      </c>
      <c r="G6" s="118">
        <v>149557</v>
      </c>
      <c r="H6" s="118">
        <v>180764</v>
      </c>
      <c r="I6" s="118">
        <v>3987</v>
      </c>
      <c r="J6" s="118">
        <v>3216</v>
      </c>
      <c r="K6" s="118">
        <v>2476</v>
      </c>
      <c r="L6" s="118">
        <v>2051</v>
      </c>
      <c r="M6" s="118">
        <v>1744</v>
      </c>
      <c r="N6" s="118">
        <v>1445</v>
      </c>
      <c r="O6" s="118">
        <v>1182</v>
      </c>
      <c r="P6" s="118">
        <v>2263</v>
      </c>
      <c r="Q6" s="261">
        <v>55148</v>
      </c>
      <c r="R6" s="118">
        <v>55263</v>
      </c>
      <c r="S6" s="118">
        <v>54747</v>
      </c>
      <c r="T6" s="118">
        <v>54863</v>
      </c>
      <c r="U6" s="118">
        <v>50020</v>
      </c>
      <c r="V6" s="118">
        <v>64544</v>
      </c>
      <c r="W6" s="118">
        <v>62117</v>
      </c>
      <c r="X6" s="118">
        <v>94227</v>
      </c>
      <c r="Y6" s="118">
        <v>90449</v>
      </c>
      <c r="Z6" s="118">
        <v>94820</v>
      </c>
      <c r="AA6" s="118">
        <v>91022</v>
      </c>
      <c r="AB6" s="118">
        <v>103286</v>
      </c>
      <c r="AC6" s="118">
        <v>196354</v>
      </c>
      <c r="AD6" s="118">
        <v>168276</v>
      </c>
      <c r="AE6" s="118">
        <v>168764</v>
      </c>
      <c r="AF6" s="118">
        <v>169300</v>
      </c>
      <c r="AG6" s="118">
        <v>127243</v>
      </c>
      <c r="AH6" s="118">
        <v>127676</v>
      </c>
      <c r="AI6" s="118">
        <v>128886</v>
      </c>
      <c r="AJ6" s="118">
        <v>119250</v>
      </c>
      <c r="AK6" s="118">
        <v>68411</v>
      </c>
      <c r="AL6" s="118">
        <v>66432</v>
      </c>
      <c r="AM6" s="118">
        <v>101740</v>
      </c>
      <c r="AN6" s="118">
        <v>90366</v>
      </c>
      <c r="AO6" s="118">
        <v>91267</v>
      </c>
      <c r="AP6" s="118">
        <v>95806</v>
      </c>
      <c r="AQ6" s="118">
        <v>101599</v>
      </c>
      <c r="AR6" s="118">
        <v>107217</v>
      </c>
      <c r="AS6" s="118">
        <v>105966</v>
      </c>
      <c r="AT6" s="118">
        <v>105679</v>
      </c>
      <c r="AU6" s="118">
        <v>105996</v>
      </c>
      <c r="AV6" s="118">
        <v>110285</v>
      </c>
      <c r="AW6" s="118">
        <v>111205</v>
      </c>
      <c r="AX6" s="118">
        <v>85819</v>
      </c>
      <c r="AY6" s="118">
        <v>125950</v>
      </c>
      <c r="AZ6" s="118">
        <v>125204</v>
      </c>
    </row>
    <row r="7" spans="2:52" x14ac:dyDescent="0.2">
      <c r="B7" s="129" t="s">
        <v>23</v>
      </c>
      <c r="C7" s="118">
        <v>287845</v>
      </c>
      <c r="D7" s="118">
        <v>285063</v>
      </c>
      <c r="E7" s="118">
        <v>358630</v>
      </c>
      <c r="F7" s="118">
        <v>358318</v>
      </c>
      <c r="G7" s="118">
        <v>359798</v>
      </c>
      <c r="H7" s="118">
        <v>358645</v>
      </c>
      <c r="I7" s="118">
        <v>360487</v>
      </c>
      <c r="J7" s="118">
        <v>360340</v>
      </c>
      <c r="K7" s="118">
        <v>361821</v>
      </c>
      <c r="L7" s="118">
        <v>339814</v>
      </c>
      <c r="M7" s="118">
        <v>340849</v>
      </c>
      <c r="N7" s="118">
        <v>340288</v>
      </c>
      <c r="O7" s="118">
        <v>290395</v>
      </c>
      <c r="P7" s="118">
        <v>219189</v>
      </c>
      <c r="Q7" s="118">
        <v>218703</v>
      </c>
      <c r="R7" s="118">
        <v>164712</v>
      </c>
      <c r="S7" s="118">
        <v>168127</v>
      </c>
      <c r="T7" s="118">
        <v>99306</v>
      </c>
      <c r="U7" s="118">
        <v>98093</v>
      </c>
      <c r="V7" s="118">
        <v>98314</v>
      </c>
      <c r="W7" s="118">
        <v>98083</v>
      </c>
      <c r="X7" s="118">
        <v>51160</v>
      </c>
      <c r="Y7" s="118">
        <v>50140</v>
      </c>
      <c r="Z7" s="118">
        <v>51179</v>
      </c>
      <c r="AA7" s="118">
        <v>50135</v>
      </c>
      <c r="AB7" s="118">
        <v>50891</v>
      </c>
      <c r="AC7" s="118">
        <v>51514</v>
      </c>
      <c r="AD7" s="118">
        <v>25167</v>
      </c>
      <c r="AE7" s="118">
        <v>25047</v>
      </c>
      <c r="AF7" s="118">
        <v>25289</v>
      </c>
      <c r="AG7" s="118">
        <v>25070</v>
      </c>
      <c r="AH7" s="118">
        <v>0</v>
      </c>
      <c r="AI7" s="118">
        <v>0</v>
      </c>
      <c r="AJ7" s="118">
        <v>0</v>
      </c>
      <c r="AK7" s="118">
        <v>0</v>
      </c>
      <c r="AL7" s="118">
        <v>0</v>
      </c>
      <c r="AM7" s="118">
        <v>0</v>
      </c>
      <c r="AN7" s="118">
        <v>0</v>
      </c>
      <c r="AO7" s="118">
        <v>0</v>
      </c>
      <c r="AP7" s="118">
        <v>0</v>
      </c>
      <c r="AQ7" s="118">
        <v>0</v>
      </c>
      <c r="AR7" s="118">
        <v>0</v>
      </c>
      <c r="AS7" s="118">
        <v>0</v>
      </c>
      <c r="AT7" s="118">
        <v>0</v>
      </c>
      <c r="AU7" s="118">
        <v>0</v>
      </c>
      <c r="AV7" s="118">
        <v>0</v>
      </c>
      <c r="AW7" s="118">
        <v>0</v>
      </c>
      <c r="AX7" s="118">
        <v>0</v>
      </c>
      <c r="AY7" s="118">
        <v>0</v>
      </c>
      <c r="AZ7" s="118">
        <v>0</v>
      </c>
    </row>
    <row r="8" spans="2:52" x14ac:dyDescent="0.2">
      <c r="B8" s="129" t="s">
        <v>381</v>
      </c>
      <c r="C8" s="118">
        <v>-43393</v>
      </c>
      <c r="D8" s="118">
        <v>-20576</v>
      </c>
      <c r="E8" s="118">
        <v>1995</v>
      </c>
      <c r="F8" s="118">
        <v>-8359</v>
      </c>
      <c r="G8" s="118">
        <v>-16023</v>
      </c>
      <c r="H8" s="118">
        <v>-48760</v>
      </c>
      <c r="I8" s="118">
        <v>0</v>
      </c>
      <c r="J8" s="118">
        <v>0</v>
      </c>
      <c r="K8" s="118">
        <v>0</v>
      </c>
      <c r="L8" s="118">
        <v>0</v>
      </c>
      <c r="M8" s="118">
        <v>0</v>
      </c>
      <c r="N8" s="118">
        <v>0</v>
      </c>
      <c r="O8" s="118">
        <v>0</v>
      </c>
      <c r="P8" s="118">
        <v>0</v>
      </c>
      <c r="Q8" s="118">
        <v>0</v>
      </c>
      <c r="R8" s="118">
        <v>0</v>
      </c>
      <c r="S8" s="118">
        <v>0</v>
      </c>
      <c r="T8" s="118">
        <v>0</v>
      </c>
      <c r="U8" s="118">
        <v>0</v>
      </c>
      <c r="V8" s="118">
        <v>-3945</v>
      </c>
      <c r="W8" s="118">
        <v>-1614</v>
      </c>
      <c r="X8" s="118">
        <v>-2661</v>
      </c>
      <c r="Y8" s="118">
        <v>-1942</v>
      </c>
      <c r="Z8" s="118">
        <v>-5899</v>
      </c>
      <c r="AA8" s="118">
        <v>-3739</v>
      </c>
      <c r="AB8" s="118">
        <v>-20658</v>
      </c>
      <c r="AC8" s="118">
        <v>-23871</v>
      </c>
      <c r="AD8" s="118">
        <v>0</v>
      </c>
      <c r="AE8" s="118">
        <v>0</v>
      </c>
      <c r="AF8" s="118">
        <v>0</v>
      </c>
      <c r="AG8" s="118">
        <v>0</v>
      </c>
      <c r="AH8" s="118">
        <v>0</v>
      </c>
      <c r="AI8" s="118">
        <v>0</v>
      </c>
      <c r="AJ8" s="118">
        <v>0</v>
      </c>
      <c r="AK8" s="118">
        <v>0</v>
      </c>
      <c r="AL8" s="118">
        <v>0</v>
      </c>
      <c r="AM8" s="118">
        <v>0</v>
      </c>
      <c r="AN8" s="118">
        <v>0</v>
      </c>
      <c r="AO8" s="118">
        <v>0</v>
      </c>
      <c r="AP8" s="118">
        <v>0</v>
      </c>
      <c r="AQ8" s="118">
        <v>0</v>
      </c>
      <c r="AR8" s="118">
        <v>0</v>
      </c>
      <c r="AS8" s="118">
        <v>0</v>
      </c>
      <c r="AT8" s="118">
        <v>0</v>
      </c>
      <c r="AU8" s="118">
        <v>0</v>
      </c>
      <c r="AV8" s="118">
        <v>0</v>
      </c>
      <c r="AW8" s="118">
        <v>0</v>
      </c>
      <c r="AX8" s="118">
        <v>0</v>
      </c>
      <c r="AY8" s="118">
        <v>0</v>
      </c>
      <c r="AZ8" s="118">
        <v>0</v>
      </c>
    </row>
    <row r="9" spans="2:52" x14ac:dyDescent="0.2">
      <c r="B9" s="129" t="s">
        <v>382</v>
      </c>
      <c r="C9" s="118">
        <v>-204448</v>
      </c>
      <c r="D9" s="118">
        <v>-221474</v>
      </c>
      <c r="E9" s="118">
        <v>-179882</v>
      </c>
      <c r="F9" s="118">
        <v>-186093</v>
      </c>
      <c r="G9" s="118">
        <v>-227857</v>
      </c>
      <c r="H9" s="118">
        <v>-306960</v>
      </c>
      <c r="I9" s="118">
        <v>-131505</v>
      </c>
      <c r="J9" s="118">
        <v>-206751</v>
      </c>
      <c r="K9" s="118">
        <v>-214259</v>
      </c>
      <c r="L9" s="118">
        <v>-232693</v>
      </c>
      <c r="M9" s="118">
        <v>-219216</v>
      </c>
      <c r="N9" s="118">
        <v>-241918</v>
      </c>
      <c r="O9" s="118">
        <v>-192858</v>
      </c>
      <c r="P9" s="118">
        <v>-126013</v>
      </c>
      <c r="Q9" s="118">
        <v>-183030</v>
      </c>
      <c r="R9" s="118">
        <v>-145307</v>
      </c>
      <c r="S9" s="118">
        <v>-148732</v>
      </c>
      <c r="T9" s="118">
        <v>-125466</v>
      </c>
      <c r="U9" s="118">
        <v>-90689</v>
      </c>
      <c r="V9" s="118">
        <v>-97964</v>
      </c>
      <c r="W9" s="118">
        <v>-83542</v>
      </c>
      <c r="X9" s="118">
        <v>-107994</v>
      </c>
      <c r="Y9" s="118">
        <v>-106775</v>
      </c>
      <c r="Z9" s="118">
        <v>-112108</v>
      </c>
      <c r="AA9" s="118">
        <v>-67332</v>
      </c>
      <c r="AB9" s="118">
        <v>-125940</v>
      </c>
      <c r="AC9" s="118">
        <v>-286503</v>
      </c>
      <c r="AD9" s="118">
        <v>-247793</v>
      </c>
      <c r="AE9" s="118">
        <v>-260387</v>
      </c>
      <c r="AF9" s="118">
        <v>-304909</v>
      </c>
      <c r="AG9" s="118">
        <v>-244529</v>
      </c>
      <c r="AH9" s="118">
        <v>-221421</v>
      </c>
      <c r="AI9" s="118">
        <v>-147128</v>
      </c>
      <c r="AJ9" s="118">
        <v>-210504</v>
      </c>
      <c r="AK9" s="118">
        <v>-119723</v>
      </c>
      <c r="AL9" s="118">
        <v>-137242</v>
      </c>
      <c r="AM9" s="118">
        <v>-190299</v>
      </c>
      <c r="AN9" s="118">
        <v>-242048</v>
      </c>
      <c r="AO9" s="118">
        <v>-237038</v>
      </c>
      <c r="AP9" s="118">
        <v>-258630</v>
      </c>
      <c r="AQ9" s="118">
        <v>-232539</v>
      </c>
      <c r="AR9" s="118">
        <v>-299796</v>
      </c>
      <c r="AS9" s="118">
        <v>-282802</v>
      </c>
      <c r="AT9" s="118">
        <v>-264126</v>
      </c>
      <c r="AU9" s="118">
        <v>-241335</v>
      </c>
      <c r="AV9" s="118">
        <v>-339197</v>
      </c>
      <c r="AW9" s="118">
        <v>-347151</v>
      </c>
      <c r="AX9" s="118">
        <v>-245664</v>
      </c>
      <c r="AY9" s="118">
        <v>-113860</v>
      </c>
      <c r="AZ9" s="118">
        <v>-184189</v>
      </c>
    </row>
    <row r="10" spans="2:52" x14ac:dyDescent="0.2">
      <c r="B10" s="126" t="s">
        <v>76</v>
      </c>
      <c r="C10" s="120">
        <f>SUM(C6:C9)</f>
        <v>280199</v>
      </c>
      <c r="D10" s="120">
        <f t="shared" ref="D10:I10" si="0">SUM(D6:D9)</f>
        <v>273927</v>
      </c>
      <c r="E10" s="120">
        <f t="shared" si="0"/>
        <v>236559</v>
      </c>
      <c r="F10" s="120">
        <f t="shared" si="0"/>
        <v>302958</v>
      </c>
      <c r="G10" s="120">
        <f t="shared" si="0"/>
        <v>265475</v>
      </c>
      <c r="H10" s="120">
        <f t="shared" si="0"/>
        <v>183689</v>
      </c>
      <c r="I10" s="120">
        <f t="shared" si="0"/>
        <v>232969</v>
      </c>
      <c r="J10" s="120">
        <f t="shared" ref="J10:Q10" si="1">SUM(J6:J9)</f>
        <v>156805</v>
      </c>
      <c r="K10" s="120">
        <f t="shared" si="1"/>
        <v>150038</v>
      </c>
      <c r="L10" s="120">
        <f t="shared" si="1"/>
        <v>109172</v>
      </c>
      <c r="M10" s="120">
        <f t="shared" si="1"/>
        <v>123377</v>
      </c>
      <c r="N10" s="120">
        <f t="shared" si="1"/>
        <v>99815</v>
      </c>
      <c r="O10" s="120">
        <f t="shared" si="1"/>
        <v>98719</v>
      </c>
      <c r="P10" s="120">
        <f t="shared" si="1"/>
        <v>95439</v>
      </c>
      <c r="Q10" s="120">
        <f t="shared" si="1"/>
        <v>90821</v>
      </c>
      <c r="R10" s="120">
        <f t="shared" ref="R10:X10" si="2">SUM(R6:R9)</f>
        <v>74668</v>
      </c>
      <c r="S10" s="120">
        <f t="shared" si="2"/>
        <v>74142</v>
      </c>
      <c r="T10" s="120">
        <f t="shared" si="2"/>
        <v>28703</v>
      </c>
      <c r="U10" s="120">
        <f t="shared" si="2"/>
        <v>57424</v>
      </c>
      <c r="V10" s="120">
        <f t="shared" si="2"/>
        <v>60949</v>
      </c>
      <c r="W10" s="120">
        <f t="shared" si="2"/>
        <v>75044</v>
      </c>
      <c r="X10" s="120">
        <f t="shared" si="2"/>
        <v>34732</v>
      </c>
      <c r="Y10" s="120">
        <f t="shared" ref="Y10:AD10" si="3">SUM(Y6:Y9)</f>
        <v>31872</v>
      </c>
      <c r="Z10" s="120">
        <f t="shared" si="3"/>
        <v>27992</v>
      </c>
      <c r="AA10" s="120">
        <f t="shared" si="3"/>
        <v>70086</v>
      </c>
      <c r="AB10" s="120">
        <f t="shared" si="3"/>
        <v>7579</v>
      </c>
      <c r="AC10" s="120">
        <f t="shared" si="3"/>
        <v>-62506</v>
      </c>
      <c r="AD10" s="120">
        <f t="shared" si="3"/>
        <v>-54350</v>
      </c>
      <c r="AE10" s="120">
        <f t="shared" ref="AE10:AK10" si="4">SUM(AE6:AE9)</f>
        <v>-66576</v>
      </c>
      <c r="AF10" s="120">
        <f t="shared" si="4"/>
        <v>-110320</v>
      </c>
      <c r="AG10" s="120">
        <f t="shared" si="4"/>
        <v>-92216</v>
      </c>
      <c r="AH10" s="120">
        <f t="shared" si="4"/>
        <v>-93745</v>
      </c>
      <c r="AI10" s="120">
        <f t="shared" si="4"/>
        <v>-18242</v>
      </c>
      <c r="AJ10" s="120">
        <f t="shared" si="4"/>
        <v>-91254</v>
      </c>
      <c r="AK10" s="120">
        <f t="shared" si="4"/>
        <v>-51312</v>
      </c>
      <c r="AL10" s="120">
        <f t="shared" ref="AL10:AV10" si="5">SUM(AL6:AL9)</f>
        <v>-70810</v>
      </c>
      <c r="AM10" s="120">
        <f t="shared" si="5"/>
        <v>-88559</v>
      </c>
      <c r="AN10" s="120">
        <f t="shared" si="5"/>
        <v>-151682</v>
      </c>
      <c r="AO10" s="120">
        <f t="shared" si="5"/>
        <v>-145771</v>
      </c>
      <c r="AP10" s="120">
        <f t="shared" si="5"/>
        <v>-162824</v>
      </c>
      <c r="AQ10" s="120">
        <f t="shared" si="5"/>
        <v>-130940</v>
      </c>
      <c r="AR10" s="120">
        <f t="shared" si="5"/>
        <v>-192579</v>
      </c>
      <c r="AS10" s="120">
        <f t="shared" si="5"/>
        <v>-176836</v>
      </c>
      <c r="AT10" s="120">
        <f t="shared" si="5"/>
        <v>-158447</v>
      </c>
      <c r="AU10" s="120">
        <f t="shared" si="5"/>
        <v>-135339</v>
      </c>
      <c r="AV10" s="120">
        <f t="shared" si="5"/>
        <v>-228912</v>
      </c>
      <c r="AW10" s="120">
        <f>SUM(AW6:AW9)</f>
        <v>-235946</v>
      </c>
      <c r="AX10" s="120">
        <f>SUM(AX6:AX9)</f>
        <v>-159845</v>
      </c>
      <c r="AY10" s="120">
        <f>SUM(AY6:AY9)</f>
        <v>12090</v>
      </c>
      <c r="AZ10" s="120">
        <f>SUM(AZ6:AZ9)</f>
        <v>-58985</v>
      </c>
    </row>
    <row r="11" spans="2:52" x14ac:dyDescent="0.2">
      <c r="B11" s="129" t="s">
        <v>181</v>
      </c>
      <c r="C11" s="118">
        <v>401598</v>
      </c>
      <c r="D11" s="118">
        <v>403040</v>
      </c>
      <c r="E11" s="118">
        <v>376446</v>
      </c>
      <c r="F11" s="118">
        <v>348621</v>
      </c>
      <c r="G11" s="118">
        <v>362172</v>
      </c>
      <c r="H11" s="118">
        <v>369830</v>
      </c>
      <c r="I11" s="118">
        <v>371095</v>
      </c>
      <c r="J11" s="118">
        <v>370984</v>
      </c>
      <c r="K11" s="118">
        <v>363359</v>
      </c>
      <c r="L11" s="118">
        <v>362782</v>
      </c>
      <c r="M11" s="118">
        <v>362054</v>
      </c>
      <c r="N11" s="118">
        <v>365895</v>
      </c>
      <c r="O11" s="118">
        <v>378999</v>
      </c>
      <c r="P11" s="118">
        <v>380528</v>
      </c>
      <c r="Q11" s="118">
        <v>400073</v>
      </c>
      <c r="R11" s="118">
        <v>400609</v>
      </c>
      <c r="S11" s="118">
        <v>448806</v>
      </c>
      <c r="T11" s="118">
        <v>462802</v>
      </c>
      <c r="U11" s="118">
        <v>455259</v>
      </c>
      <c r="V11" s="118">
        <v>465415</v>
      </c>
      <c r="W11" s="118">
        <v>484372</v>
      </c>
      <c r="X11" s="118">
        <v>511005</v>
      </c>
      <c r="Y11" s="118">
        <v>515840</v>
      </c>
      <c r="Z11" s="118">
        <v>577735</v>
      </c>
      <c r="AA11" s="118">
        <v>575079</v>
      </c>
      <c r="AB11" s="118">
        <v>595131</v>
      </c>
      <c r="AC11" s="118">
        <v>590088</v>
      </c>
      <c r="AD11" s="118">
        <v>619947</v>
      </c>
      <c r="AE11" s="118">
        <v>625639</v>
      </c>
      <c r="AF11" s="118">
        <v>645797</v>
      </c>
      <c r="AG11" s="118">
        <v>657412</v>
      </c>
      <c r="AH11" s="118">
        <v>669448</v>
      </c>
      <c r="AI11" s="118">
        <v>681301</v>
      </c>
      <c r="AJ11" s="118">
        <v>700082</v>
      </c>
      <c r="AK11" s="118">
        <v>708327</v>
      </c>
      <c r="AL11" s="118">
        <v>737207</v>
      </c>
      <c r="AM11" s="118">
        <v>767127</v>
      </c>
      <c r="AN11" s="118">
        <v>802006</v>
      </c>
      <c r="AO11" s="118">
        <v>802300</v>
      </c>
      <c r="AP11" s="118">
        <v>820964</v>
      </c>
      <c r="AQ11" s="118">
        <v>836545</v>
      </c>
      <c r="AR11" s="118">
        <v>874060</v>
      </c>
      <c r="AS11" s="118">
        <v>889862</v>
      </c>
      <c r="AT11" s="118">
        <v>893863</v>
      </c>
      <c r="AU11" s="118">
        <v>921409</v>
      </c>
      <c r="AV11" s="118">
        <v>965143</v>
      </c>
      <c r="AW11" s="118">
        <v>993359</v>
      </c>
      <c r="AX11" s="118">
        <v>984234</v>
      </c>
      <c r="AY11" s="118">
        <v>872233</v>
      </c>
      <c r="AZ11" s="118">
        <v>911018</v>
      </c>
    </row>
    <row r="12" spans="2:52" x14ac:dyDescent="0.2">
      <c r="B12" s="126" t="s">
        <v>1228</v>
      </c>
      <c r="C12" s="120">
        <f>SUM(C10:C11)</f>
        <v>681797</v>
      </c>
      <c r="D12" s="120">
        <f t="shared" ref="D12:I12" si="6">SUM(D10:D11)</f>
        <v>676967</v>
      </c>
      <c r="E12" s="120">
        <f t="shared" si="6"/>
        <v>613005</v>
      </c>
      <c r="F12" s="120">
        <f t="shared" si="6"/>
        <v>651579</v>
      </c>
      <c r="G12" s="120">
        <f t="shared" si="6"/>
        <v>627647</v>
      </c>
      <c r="H12" s="120">
        <f t="shared" si="6"/>
        <v>553519</v>
      </c>
      <c r="I12" s="120">
        <f t="shared" si="6"/>
        <v>604064</v>
      </c>
      <c r="J12" s="120">
        <f t="shared" ref="J12:X12" si="7">SUM(J10:J11)</f>
        <v>527789</v>
      </c>
      <c r="K12" s="120">
        <f t="shared" si="7"/>
        <v>513397</v>
      </c>
      <c r="L12" s="120">
        <f t="shared" si="7"/>
        <v>471954</v>
      </c>
      <c r="M12" s="120">
        <f t="shared" si="7"/>
        <v>485431</v>
      </c>
      <c r="N12" s="120">
        <f t="shared" si="7"/>
        <v>465710</v>
      </c>
      <c r="O12" s="120">
        <f t="shared" si="7"/>
        <v>477718</v>
      </c>
      <c r="P12" s="120">
        <f t="shared" si="7"/>
        <v>475967</v>
      </c>
      <c r="Q12" s="120">
        <f t="shared" si="7"/>
        <v>490894</v>
      </c>
      <c r="R12" s="120">
        <f t="shared" si="7"/>
        <v>475277</v>
      </c>
      <c r="S12" s="120">
        <f t="shared" si="7"/>
        <v>522948</v>
      </c>
      <c r="T12" s="120">
        <f t="shared" si="7"/>
        <v>491505</v>
      </c>
      <c r="U12" s="120">
        <f t="shared" si="7"/>
        <v>512683</v>
      </c>
      <c r="V12" s="120">
        <f t="shared" si="7"/>
        <v>526364</v>
      </c>
      <c r="W12" s="120">
        <f t="shared" si="7"/>
        <v>559416</v>
      </c>
      <c r="X12" s="120">
        <f t="shared" si="7"/>
        <v>545737</v>
      </c>
      <c r="Y12" s="120">
        <f t="shared" ref="Y12:AD12" si="8">SUM(Y10:Y11)</f>
        <v>547712</v>
      </c>
      <c r="Z12" s="120">
        <f t="shared" si="8"/>
        <v>605727</v>
      </c>
      <c r="AA12" s="120">
        <f t="shared" si="8"/>
        <v>645165</v>
      </c>
      <c r="AB12" s="120">
        <f t="shared" si="8"/>
        <v>602710</v>
      </c>
      <c r="AC12" s="120">
        <f t="shared" si="8"/>
        <v>527582</v>
      </c>
      <c r="AD12" s="120">
        <f t="shared" si="8"/>
        <v>565597</v>
      </c>
      <c r="AE12" s="120">
        <f t="shared" ref="AE12:AK12" si="9">SUM(AE10:AE11)</f>
        <v>559063</v>
      </c>
      <c r="AF12" s="120">
        <f t="shared" si="9"/>
        <v>535477</v>
      </c>
      <c r="AG12" s="120">
        <f t="shared" si="9"/>
        <v>565196</v>
      </c>
      <c r="AH12" s="120">
        <f t="shared" si="9"/>
        <v>575703</v>
      </c>
      <c r="AI12" s="120">
        <f t="shared" si="9"/>
        <v>663059</v>
      </c>
      <c r="AJ12" s="120">
        <f>SUM(AJ10:AJ11)</f>
        <v>608828</v>
      </c>
      <c r="AK12" s="120">
        <f t="shared" si="9"/>
        <v>657015</v>
      </c>
      <c r="AL12" s="120">
        <f t="shared" ref="AL12:AR12" si="10">SUM(AL10:AL11)</f>
        <v>666397</v>
      </c>
      <c r="AM12" s="120">
        <f t="shared" si="10"/>
        <v>678568</v>
      </c>
      <c r="AN12" s="120">
        <f t="shared" si="10"/>
        <v>650324</v>
      </c>
      <c r="AO12" s="120">
        <f t="shared" si="10"/>
        <v>656529</v>
      </c>
      <c r="AP12" s="120">
        <f t="shared" si="10"/>
        <v>658140</v>
      </c>
      <c r="AQ12" s="120">
        <f t="shared" si="10"/>
        <v>705605</v>
      </c>
      <c r="AR12" s="120">
        <f t="shared" si="10"/>
        <v>681481</v>
      </c>
      <c r="AS12" s="120">
        <f t="shared" ref="AS12:AZ12" si="11">SUM(AS10:AS11)</f>
        <v>713026</v>
      </c>
      <c r="AT12" s="120">
        <f t="shared" si="11"/>
        <v>735416</v>
      </c>
      <c r="AU12" s="120">
        <f t="shared" si="11"/>
        <v>786070</v>
      </c>
      <c r="AV12" s="120">
        <f t="shared" si="11"/>
        <v>736231</v>
      </c>
      <c r="AW12" s="120">
        <f t="shared" si="11"/>
        <v>757413</v>
      </c>
      <c r="AX12" s="120">
        <f t="shared" si="11"/>
        <v>824389</v>
      </c>
      <c r="AY12" s="120">
        <f t="shared" si="11"/>
        <v>884323</v>
      </c>
      <c r="AZ12" s="120">
        <f t="shared" si="11"/>
        <v>852033</v>
      </c>
    </row>
    <row r="13" spans="2:52" x14ac:dyDescent="0.2">
      <c r="B13" s="126" t="s">
        <v>182</v>
      </c>
      <c r="C13" s="144">
        <f>+C10/C12</f>
        <v>0.41097130084174616</v>
      </c>
      <c r="D13" s="144">
        <f t="shared" ref="D13:I13" si="12">+D10/D12</f>
        <v>0.40463863083429474</v>
      </c>
      <c r="E13" s="144">
        <f t="shared" si="12"/>
        <v>0.38590060439963786</v>
      </c>
      <c r="F13" s="144">
        <f t="shared" si="12"/>
        <v>0.46495973627142678</v>
      </c>
      <c r="G13" s="144">
        <f t="shared" si="12"/>
        <v>0.42296864320230959</v>
      </c>
      <c r="H13" s="144">
        <f t="shared" si="12"/>
        <v>0.33185672036551589</v>
      </c>
      <c r="I13" s="144">
        <f t="shared" si="12"/>
        <v>0.38566939926895161</v>
      </c>
      <c r="J13" s="144">
        <f t="shared" ref="J13:X13" si="13">+J10/J12</f>
        <v>0.29709789328690062</v>
      </c>
      <c r="K13" s="144">
        <f t="shared" si="13"/>
        <v>0.29224557214007874</v>
      </c>
      <c r="L13" s="144">
        <f t="shared" si="13"/>
        <v>0.23131915398534603</v>
      </c>
      <c r="M13" s="144">
        <f t="shared" si="13"/>
        <v>0.25415970549882477</v>
      </c>
      <c r="N13" s="144">
        <f t="shared" si="13"/>
        <v>0.2143286594661914</v>
      </c>
      <c r="O13" s="144">
        <f t="shared" si="13"/>
        <v>0.20664701769663274</v>
      </c>
      <c r="P13" s="144">
        <f t="shared" si="13"/>
        <v>0.20051600215981361</v>
      </c>
      <c r="Q13" s="144">
        <f t="shared" si="13"/>
        <v>0.18501142812908694</v>
      </c>
      <c r="R13" s="144">
        <f t="shared" si="13"/>
        <v>0.15710417293494111</v>
      </c>
      <c r="S13" s="144">
        <f t="shared" si="13"/>
        <v>0.14177700268477936</v>
      </c>
      <c r="T13" s="144">
        <f t="shared" si="13"/>
        <v>5.8398185165969826E-2</v>
      </c>
      <c r="U13" s="144">
        <f t="shared" si="13"/>
        <v>0.11200683463270676</v>
      </c>
      <c r="V13" s="144">
        <f t="shared" si="13"/>
        <v>0.11579249340760386</v>
      </c>
      <c r="W13" s="144">
        <f t="shared" si="13"/>
        <v>0.13414703905501452</v>
      </c>
      <c r="X13" s="144">
        <f t="shared" si="13"/>
        <v>6.3642377189012292E-2</v>
      </c>
      <c r="Y13" s="144">
        <f t="shared" ref="Y13:AD13" si="14">+Y10/Y12</f>
        <v>5.8191166160317831E-2</v>
      </c>
      <c r="Z13" s="144">
        <f t="shared" si="14"/>
        <v>4.6212237526146269E-2</v>
      </c>
      <c r="AA13" s="144">
        <f t="shared" si="14"/>
        <v>0.10863267536211667</v>
      </c>
      <c r="AB13" s="144">
        <f t="shared" si="14"/>
        <v>1.2574870169733372E-2</v>
      </c>
      <c r="AC13" s="144">
        <f t="shared" si="14"/>
        <v>-0.11847636955013628</v>
      </c>
      <c r="AD13" s="144">
        <f t="shared" si="14"/>
        <v>-9.6093154666661948E-2</v>
      </c>
      <c r="AE13" s="144">
        <f t="shared" ref="AE13:AK13" si="15">+AE10/AE12</f>
        <v>-0.11908496895698696</v>
      </c>
      <c r="AF13" s="144">
        <f t="shared" si="15"/>
        <v>-0.20602192064271668</v>
      </c>
      <c r="AG13" s="144">
        <f t="shared" si="15"/>
        <v>-0.16315755950148267</v>
      </c>
      <c r="AH13" s="144">
        <f t="shared" si="15"/>
        <v>-0.16283569826803057</v>
      </c>
      <c r="AI13" s="144">
        <f t="shared" si="15"/>
        <v>-2.7511880541550602E-2</v>
      </c>
      <c r="AJ13" s="144">
        <f>+AJ10/AJ12</f>
        <v>-0.14988469649884698</v>
      </c>
      <c r="AK13" s="144">
        <f t="shared" si="15"/>
        <v>-7.8098673546266068E-2</v>
      </c>
      <c r="AL13" s="144">
        <f t="shared" ref="AL13:AR13" si="16">+AL10/AL12</f>
        <v>-0.10625798135345747</v>
      </c>
      <c r="AM13" s="144">
        <f t="shared" si="16"/>
        <v>-0.13050865941217388</v>
      </c>
      <c r="AN13" s="144">
        <f t="shared" si="16"/>
        <v>-0.23324066157792117</v>
      </c>
      <c r="AO13" s="144">
        <f t="shared" si="16"/>
        <v>-0.22203284241823285</v>
      </c>
      <c r="AP13" s="144">
        <f t="shared" si="16"/>
        <v>-0.24740024918710304</v>
      </c>
      <c r="AQ13" s="144">
        <f t="shared" si="16"/>
        <v>-0.18557124736927885</v>
      </c>
      <c r="AR13" s="144">
        <f t="shared" si="16"/>
        <v>-0.28258894965523618</v>
      </c>
      <c r="AS13" s="144">
        <f t="shared" ref="AS13:AZ13" si="17">+AS10/AS12</f>
        <v>-0.24800778653232841</v>
      </c>
      <c r="AT13" s="144">
        <f t="shared" si="17"/>
        <v>-0.21545220664222697</v>
      </c>
      <c r="AU13" s="144">
        <f t="shared" si="17"/>
        <v>-0.17217168954418818</v>
      </c>
      <c r="AV13" s="144">
        <f t="shared" si="17"/>
        <v>-0.31092415288136466</v>
      </c>
      <c r="AW13" s="144">
        <f t="shared" si="17"/>
        <v>-0.31151564602139126</v>
      </c>
      <c r="AX13" s="144">
        <f t="shared" si="17"/>
        <v>-0.19389511504884224</v>
      </c>
      <c r="AY13" s="144">
        <f t="shared" si="17"/>
        <v>1.3671475241512434E-2</v>
      </c>
      <c r="AZ13" s="144">
        <f t="shared" si="17"/>
        <v>-6.9228539270192582E-2</v>
      </c>
    </row>
    <row r="14" spans="2:52" x14ac:dyDescent="0.2">
      <c r="B14" s="40"/>
    </row>
    <row r="15" spans="2:52" x14ac:dyDescent="0.2">
      <c r="B15" s="143" t="s">
        <v>97</v>
      </c>
      <c r="C15" s="246" t="str">
        <f>C5</f>
        <v>4T13</v>
      </c>
      <c r="D15" s="246" t="str">
        <f t="shared" ref="D15:R15" si="18">D5</f>
        <v>1T14</v>
      </c>
      <c r="E15" s="246" t="str">
        <f t="shared" si="18"/>
        <v>2T14</v>
      </c>
      <c r="F15" s="246" t="str">
        <f t="shared" si="18"/>
        <v>3T14</v>
      </c>
      <c r="G15" s="246" t="str">
        <f t="shared" si="18"/>
        <v>4T14</v>
      </c>
      <c r="H15" s="246" t="str">
        <f t="shared" si="18"/>
        <v>1T15</v>
      </c>
      <c r="I15" s="246" t="str">
        <f t="shared" si="18"/>
        <v>2T15</v>
      </c>
      <c r="J15" s="246" t="str">
        <f t="shared" si="18"/>
        <v>3T15</v>
      </c>
      <c r="K15" s="246" t="str">
        <f t="shared" si="18"/>
        <v>4T15</v>
      </c>
      <c r="L15" s="246" t="str">
        <f t="shared" si="18"/>
        <v>1T16</v>
      </c>
      <c r="M15" s="246" t="str">
        <f t="shared" si="18"/>
        <v>2T16</v>
      </c>
      <c r="N15" s="246" t="str">
        <f t="shared" si="18"/>
        <v>3T16</v>
      </c>
      <c r="O15" s="246" t="str">
        <f t="shared" si="18"/>
        <v>4T16</v>
      </c>
      <c r="P15" s="246" t="str">
        <f t="shared" si="18"/>
        <v>1T17</v>
      </c>
      <c r="Q15" s="246" t="str">
        <f t="shared" si="18"/>
        <v>2T17</v>
      </c>
      <c r="R15" s="246" t="str">
        <f t="shared" si="18"/>
        <v>3T17</v>
      </c>
      <c r="S15" s="246" t="str">
        <f t="shared" ref="S15:AC15" si="19">S5</f>
        <v>4T17</v>
      </c>
      <c r="T15" s="246" t="str">
        <f t="shared" si="19"/>
        <v>1T18</v>
      </c>
      <c r="U15" s="246" t="str">
        <f t="shared" si="19"/>
        <v>2T18</v>
      </c>
      <c r="V15" s="246" t="str">
        <f t="shared" si="19"/>
        <v>3T18</v>
      </c>
      <c r="W15" s="246" t="str">
        <f t="shared" si="19"/>
        <v>4T18</v>
      </c>
      <c r="X15" s="246" t="str">
        <f t="shared" si="19"/>
        <v>1T19</v>
      </c>
      <c r="Y15" s="246" t="str">
        <f t="shared" si="19"/>
        <v>2T19</v>
      </c>
      <c r="Z15" s="246" t="str">
        <f t="shared" si="19"/>
        <v>3T19</v>
      </c>
      <c r="AA15" s="246" t="str">
        <f t="shared" si="19"/>
        <v>4T19</v>
      </c>
      <c r="AB15" s="246" t="str">
        <f t="shared" si="19"/>
        <v>1T20</v>
      </c>
      <c r="AC15" s="246" t="str">
        <f t="shared" si="19"/>
        <v>2T20</v>
      </c>
      <c r="AD15" s="246" t="str">
        <f>AD5</f>
        <v>3T20</v>
      </c>
      <c r="AE15" s="246" t="str">
        <f t="shared" ref="AE15:AK15" si="20">AE5</f>
        <v>4T20</v>
      </c>
      <c r="AF15" s="246" t="str">
        <f t="shared" si="20"/>
        <v>1T21</v>
      </c>
      <c r="AG15" s="246" t="str">
        <f t="shared" si="20"/>
        <v>2T21</v>
      </c>
      <c r="AH15" s="246" t="str">
        <f t="shared" si="20"/>
        <v>3T21</v>
      </c>
      <c r="AI15" s="246" t="str">
        <f t="shared" si="20"/>
        <v>4T21</v>
      </c>
      <c r="AJ15" s="246" t="str">
        <f t="shared" si="20"/>
        <v>1T22</v>
      </c>
      <c r="AK15" s="246" t="str">
        <f t="shared" si="20"/>
        <v>2T22</v>
      </c>
      <c r="AL15" s="246" t="str">
        <f t="shared" ref="AL15:AS15" si="21">AL5</f>
        <v>3T22</v>
      </c>
      <c r="AM15" s="246" t="str">
        <f t="shared" si="21"/>
        <v>4T22</v>
      </c>
      <c r="AN15" s="246" t="str">
        <f t="shared" si="21"/>
        <v>1T23</v>
      </c>
      <c r="AO15" s="246" t="str">
        <f t="shared" si="21"/>
        <v>2T23</v>
      </c>
      <c r="AP15" s="246" t="str">
        <f t="shared" si="21"/>
        <v>3T23</v>
      </c>
      <c r="AQ15" s="246" t="str">
        <f t="shared" si="21"/>
        <v>4T23</v>
      </c>
      <c r="AR15" s="246" t="str">
        <f t="shared" si="21"/>
        <v>1T24</v>
      </c>
      <c r="AS15" s="246" t="str">
        <f t="shared" si="21"/>
        <v>2T24</v>
      </c>
      <c r="AT15" s="246" t="str">
        <f t="shared" ref="AT15:AZ15" si="22">AT5</f>
        <v>3T24</v>
      </c>
      <c r="AU15" s="246" t="str">
        <f t="shared" si="22"/>
        <v>4T24</v>
      </c>
      <c r="AV15" s="246" t="str">
        <f t="shared" si="22"/>
        <v>1T25</v>
      </c>
      <c r="AW15" s="246" t="str">
        <f t="shared" si="22"/>
        <v>2T25</v>
      </c>
      <c r="AX15" s="246" t="str">
        <f t="shared" si="22"/>
        <v>3T25</v>
      </c>
      <c r="AY15" s="246" t="str">
        <f t="shared" si="22"/>
        <v>4T25</v>
      </c>
      <c r="AZ15" s="246" t="str">
        <f t="shared" si="22"/>
        <v>1T26</v>
      </c>
    </row>
    <row r="16" spans="2:52" x14ac:dyDescent="0.2">
      <c r="B16" s="129" t="s">
        <v>380</v>
      </c>
      <c r="C16" s="118">
        <v>60975</v>
      </c>
      <c r="D16" s="118">
        <v>58110</v>
      </c>
      <c r="E16" s="118">
        <v>55816</v>
      </c>
      <c r="F16" s="118">
        <v>139092</v>
      </c>
      <c r="G16" s="118">
        <v>149557</v>
      </c>
      <c r="H16" s="118">
        <v>180764</v>
      </c>
      <c r="I16" s="118">
        <v>3987</v>
      </c>
      <c r="J16" s="118">
        <v>3216</v>
      </c>
      <c r="K16" s="118">
        <v>2476</v>
      </c>
      <c r="L16" s="118">
        <v>2051</v>
      </c>
      <c r="M16" s="118">
        <v>1744</v>
      </c>
      <c r="N16" s="118">
        <v>1445</v>
      </c>
      <c r="O16" s="118">
        <v>1182</v>
      </c>
      <c r="P16" s="118">
        <v>920</v>
      </c>
      <c r="Q16" s="261">
        <v>50658</v>
      </c>
      <c r="R16" s="118">
        <v>50706</v>
      </c>
      <c r="S16" s="118">
        <v>50151</v>
      </c>
      <c r="T16" s="118">
        <v>50242</v>
      </c>
      <c r="U16" s="118">
        <v>50020</v>
      </c>
      <c r="V16" s="118">
        <v>64544</v>
      </c>
      <c r="W16" s="118">
        <v>62117</v>
      </c>
      <c r="X16" s="118">
        <v>94227</v>
      </c>
      <c r="Y16" s="118">
        <v>90449</v>
      </c>
      <c r="Z16" s="118">
        <v>94820</v>
      </c>
      <c r="AA16" s="118">
        <v>91022</v>
      </c>
      <c r="AB16" s="118">
        <v>103286</v>
      </c>
      <c r="AC16" s="118">
        <v>196354</v>
      </c>
      <c r="AD16" s="118">
        <v>168276</v>
      </c>
      <c r="AE16" s="118">
        <v>168764</v>
      </c>
      <c r="AF16" s="118">
        <v>169300</v>
      </c>
      <c r="AG16" s="118">
        <v>127243</v>
      </c>
      <c r="AH16" s="118">
        <v>127676</v>
      </c>
      <c r="AI16" s="118">
        <v>128886</v>
      </c>
      <c r="AJ16" s="118">
        <v>119250</v>
      </c>
      <c r="AK16" s="118">
        <v>68411</v>
      </c>
      <c r="AL16" s="118">
        <v>66432</v>
      </c>
      <c r="AM16" s="118">
        <v>101740</v>
      </c>
      <c r="AN16" s="118">
        <v>90366</v>
      </c>
      <c r="AO16" s="118">
        <v>91267</v>
      </c>
      <c r="AP16" s="118">
        <v>89505</v>
      </c>
      <c r="AQ16" s="118">
        <v>90045</v>
      </c>
      <c r="AR16" s="118">
        <v>95722</v>
      </c>
      <c r="AS16" s="118">
        <v>85634</v>
      </c>
      <c r="AT16" s="118">
        <v>85107</v>
      </c>
      <c r="AU16" s="118">
        <v>85708</v>
      </c>
      <c r="AV16" s="118">
        <v>89721</v>
      </c>
      <c r="AW16" s="118">
        <v>90861</v>
      </c>
      <c r="AX16" s="118">
        <v>65050</v>
      </c>
      <c r="AY16" s="118">
        <v>105560</v>
      </c>
      <c r="AZ16" s="118">
        <v>104537</v>
      </c>
    </row>
    <row r="17" spans="2:52" x14ac:dyDescent="0.2">
      <c r="B17" s="129" t="s">
        <v>366</v>
      </c>
      <c r="C17" s="118">
        <v>287845</v>
      </c>
      <c r="D17" s="118">
        <v>285063</v>
      </c>
      <c r="E17" s="118">
        <v>358630</v>
      </c>
      <c r="F17" s="118">
        <v>358318</v>
      </c>
      <c r="G17" s="118">
        <v>359798</v>
      </c>
      <c r="H17" s="118">
        <v>358645</v>
      </c>
      <c r="I17" s="118">
        <v>360487</v>
      </c>
      <c r="J17" s="118">
        <v>360340</v>
      </c>
      <c r="K17" s="118">
        <v>361821</v>
      </c>
      <c r="L17" s="118">
        <v>339814</v>
      </c>
      <c r="M17" s="118">
        <v>340849</v>
      </c>
      <c r="N17" s="118">
        <v>340288</v>
      </c>
      <c r="O17" s="118">
        <v>290395</v>
      </c>
      <c r="P17" s="118">
        <v>219189</v>
      </c>
      <c r="Q17" s="118">
        <v>218703</v>
      </c>
      <c r="R17" s="118">
        <v>164712</v>
      </c>
      <c r="S17" s="118">
        <v>168127</v>
      </c>
      <c r="T17" s="118">
        <v>99306</v>
      </c>
      <c r="U17" s="118">
        <v>98093</v>
      </c>
      <c r="V17" s="118">
        <v>98314</v>
      </c>
      <c r="W17" s="118">
        <v>98083</v>
      </c>
      <c r="X17" s="118">
        <v>51160</v>
      </c>
      <c r="Y17" s="118">
        <v>50140</v>
      </c>
      <c r="Z17" s="118">
        <v>51179</v>
      </c>
      <c r="AA17" s="118">
        <v>50135</v>
      </c>
      <c r="AB17" s="118">
        <v>50891</v>
      </c>
      <c r="AC17" s="118">
        <v>51514</v>
      </c>
      <c r="AD17" s="118">
        <v>25167</v>
      </c>
      <c r="AE17" s="118">
        <v>25047</v>
      </c>
      <c r="AF17" s="118">
        <v>25289</v>
      </c>
      <c r="AG17" s="118">
        <v>25070</v>
      </c>
      <c r="AH17" s="118">
        <v>0</v>
      </c>
      <c r="AI17" s="118">
        <v>0</v>
      </c>
      <c r="AJ17" s="118">
        <v>0</v>
      </c>
      <c r="AK17" s="118">
        <v>0</v>
      </c>
      <c r="AL17" s="118">
        <v>0</v>
      </c>
      <c r="AM17" s="118">
        <v>0</v>
      </c>
      <c r="AN17" s="118">
        <v>0</v>
      </c>
      <c r="AO17" s="118">
        <v>0</v>
      </c>
      <c r="AP17" s="118">
        <v>0</v>
      </c>
      <c r="AQ17" s="118">
        <v>0</v>
      </c>
      <c r="AR17" s="118">
        <v>0</v>
      </c>
      <c r="AS17" s="118">
        <v>0</v>
      </c>
      <c r="AT17" s="118">
        <v>0</v>
      </c>
      <c r="AU17" s="118">
        <v>0</v>
      </c>
      <c r="AV17" s="118">
        <v>0</v>
      </c>
      <c r="AW17" s="118">
        <v>0</v>
      </c>
      <c r="AX17" s="118">
        <v>0</v>
      </c>
      <c r="AY17" s="118">
        <v>0</v>
      </c>
      <c r="AZ17" s="118">
        <v>0</v>
      </c>
    </row>
    <row r="18" spans="2:52" x14ac:dyDescent="0.2">
      <c r="B18" s="129" t="s">
        <v>381</v>
      </c>
      <c r="C18" s="118">
        <v>-16379</v>
      </c>
      <c r="D18" s="118">
        <v>318</v>
      </c>
      <c r="E18" s="118">
        <v>1995</v>
      </c>
      <c r="F18" s="118">
        <v>-8359</v>
      </c>
      <c r="G18" s="118">
        <v>-16023</v>
      </c>
      <c r="H18" s="118">
        <v>-48760</v>
      </c>
      <c r="I18" s="118">
        <v>0</v>
      </c>
      <c r="J18" s="118">
        <v>0</v>
      </c>
      <c r="K18" s="118">
        <v>0</v>
      </c>
      <c r="L18" s="118">
        <v>0</v>
      </c>
      <c r="M18" s="118">
        <v>0</v>
      </c>
      <c r="N18" s="118">
        <v>0</v>
      </c>
      <c r="O18" s="118">
        <v>0</v>
      </c>
      <c r="P18" s="118">
        <v>0</v>
      </c>
      <c r="Q18" s="118">
        <v>0</v>
      </c>
      <c r="R18" s="118">
        <v>0</v>
      </c>
      <c r="S18" s="118">
        <v>0</v>
      </c>
      <c r="T18" s="118">
        <v>0</v>
      </c>
      <c r="U18" s="118">
        <v>0</v>
      </c>
      <c r="V18" s="118">
        <v>-3945</v>
      </c>
      <c r="W18" s="118">
        <v>-1614</v>
      </c>
      <c r="X18" s="118">
        <v>-2661</v>
      </c>
      <c r="Y18" s="118">
        <v>-1942</v>
      </c>
      <c r="Z18" s="118">
        <v>-5899</v>
      </c>
      <c r="AA18" s="118">
        <v>-3739</v>
      </c>
      <c r="AB18" s="118">
        <v>-20658</v>
      </c>
      <c r="AC18" s="118">
        <v>-23871</v>
      </c>
      <c r="AD18" s="118">
        <v>0</v>
      </c>
      <c r="AE18" s="118">
        <v>0</v>
      </c>
      <c r="AF18" s="118">
        <v>0</v>
      </c>
      <c r="AG18" s="118">
        <v>0</v>
      </c>
      <c r="AH18" s="118">
        <v>0</v>
      </c>
      <c r="AI18" s="118">
        <v>0</v>
      </c>
      <c r="AJ18" s="118">
        <v>0</v>
      </c>
      <c r="AK18" s="118">
        <v>0</v>
      </c>
      <c r="AL18" s="118">
        <v>0</v>
      </c>
      <c r="AM18" s="118">
        <v>0</v>
      </c>
      <c r="AN18" s="118">
        <v>0</v>
      </c>
      <c r="AO18" s="118">
        <v>0</v>
      </c>
      <c r="AP18" s="118">
        <v>0</v>
      </c>
      <c r="AQ18" s="118">
        <v>0</v>
      </c>
      <c r="AR18" s="118">
        <v>0</v>
      </c>
      <c r="AS18" s="118">
        <v>0</v>
      </c>
      <c r="AT18" s="118">
        <v>0</v>
      </c>
      <c r="AU18" s="118">
        <v>0</v>
      </c>
      <c r="AV18" s="118">
        <v>0</v>
      </c>
      <c r="AW18" s="118">
        <v>0</v>
      </c>
      <c r="AX18" s="118">
        <v>0</v>
      </c>
      <c r="AY18" s="118">
        <v>0</v>
      </c>
      <c r="AZ18" s="118">
        <v>0</v>
      </c>
    </row>
    <row r="19" spans="2:52" x14ac:dyDescent="0.2">
      <c r="B19" s="129" t="s">
        <v>382</v>
      </c>
      <c r="C19" s="118">
        <v>-161132</v>
      </c>
      <c r="D19" s="118">
        <v>-200090</v>
      </c>
      <c r="E19" s="118">
        <v>-163798</v>
      </c>
      <c r="F19" s="118">
        <v>-163219</v>
      </c>
      <c r="G19" s="118">
        <v>-134926</v>
      </c>
      <c r="H19" s="118">
        <v>-211638</v>
      </c>
      <c r="I19" s="118">
        <v>-46116</v>
      </c>
      <c r="J19" s="118">
        <v>-126576</v>
      </c>
      <c r="K19" s="118">
        <v>-128579</v>
      </c>
      <c r="L19" s="118">
        <v>-127008</v>
      </c>
      <c r="M19" s="118">
        <v>-121845</v>
      </c>
      <c r="N19" s="118">
        <v>-140246</v>
      </c>
      <c r="O19" s="118">
        <v>-93402</v>
      </c>
      <c r="P19" s="118">
        <v>-33388</v>
      </c>
      <c r="Q19" s="118">
        <v>-91363</v>
      </c>
      <c r="R19" s="118">
        <v>-46963</v>
      </c>
      <c r="S19" s="118">
        <v>-46534</v>
      </c>
      <c r="T19" s="118">
        <v>-24814</v>
      </c>
      <c r="U19" s="118">
        <v>-55649</v>
      </c>
      <c r="V19" s="118">
        <v>-86324</v>
      </c>
      <c r="W19" s="118">
        <v>-75713</v>
      </c>
      <c r="X19" s="118">
        <v>-98399</v>
      </c>
      <c r="Y19" s="118">
        <v>-92534</v>
      </c>
      <c r="Z19" s="118">
        <v>-93877</v>
      </c>
      <c r="AA19" s="118">
        <v>-36764</v>
      </c>
      <c r="AB19" s="118">
        <v>-85266</v>
      </c>
      <c r="AC19" s="118">
        <v>-243342</v>
      </c>
      <c r="AD19" s="118">
        <v>-184785</v>
      </c>
      <c r="AE19" s="118">
        <v>-211363</v>
      </c>
      <c r="AF19" s="118">
        <v>-245436</v>
      </c>
      <c r="AG19" s="118">
        <v>-199049</v>
      </c>
      <c r="AH19" s="118">
        <v>-169591</v>
      </c>
      <c r="AI19" s="118">
        <v>-99935</v>
      </c>
      <c r="AJ19" s="118">
        <v>-129520</v>
      </c>
      <c r="AK19" s="118">
        <v>-62132</v>
      </c>
      <c r="AL19" s="118">
        <v>-84903</v>
      </c>
      <c r="AM19" s="118">
        <v>-131031</v>
      </c>
      <c r="AN19" s="118">
        <v>-178506</v>
      </c>
      <c r="AO19" s="118">
        <v>-161094</v>
      </c>
      <c r="AP19" s="118">
        <v>-182083</v>
      </c>
      <c r="AQ19" s="118">
        <v>-141442</v>
      </c>
      <c r="AR19" s="118">
        <v>-204034</v>
      </c>
      <c r="AS19" s="118">
        <v>-215126</v>
      </c>
      <c r="AT19" s="118">
        <v>-190071</v>
      </c>
      <c r="AU19" s="118">
        <v>-158813</v>
      </c>
      <c r="AV19" s="118">
        <v>-257724</v>
      </c>
      <c r="AW19" s="118">
        <v>-276095</v>
      </c>
      <c r="AX19" s="118">
        <v>-184151</v>
      </c>
      <c r="AY19" s="118">
        <v>-69629</v>
      </c>
      <c r="AZ19" s="118">
        <v>-110252</v>
      </c>
    </row>
    <row r="20" spans="2:52" x14ac:dyDescent="0.2">
      <c r="B20" s="126" t="s">
        <v>76</v>
      </c>
      <c r="C20" s="120">
        <f>SUM(C16:C19)</f>
        <v>171309</v>
      </c>
      <c r="D20" s="120">
        <f t="shared" ref="D20:I20" si="23">SUM(D16:D19)</f>
        <v>143401</v>
      </c>
      <c r="E20" s="120">
        <f t="shared" si="23"/>
        <v>252643</v>
      </c>
      <c r="F20" s="120">
        <f t="shared" si="23"/>
        <v>325832</v>
      </c>
      <c r="G20" s="120">
        <f t="shared" si="23"/>
        <v>358406</v>
      </c>
      <c r="H20" s="120">
        <f t="shared" si="23"/>
        <v>279011</v>
      </c>
      <c r="I20" s="120">
        <f t="shared" si="23"/>
        <v>318358</v>
      </c>
      <c r="J20" s="120">
        <f t="shared" ref="J20:Q20" si="24">SUM(J16:J19)</f>
        <v>236980</v>
      </c>
      <c r="K20" s="120">
        <f t="shared" si="24"/>
        <v>235718</v>
      </c>
      <c r="L20" s="120">
        <f t="shared" si="24"/>
        <v>214857</v>
      </c>
      <c r="M20" s="120">
        <f t="shared" si="24"/>
        <v>220748</v>
      </c>
      <c r="N20" s="120">
        <f t="shared" si="24"/>
        <v>201487</v>
      </c>
      <c r="O20" s="120">
        <f t="shared" si="24"/>
        <v>198175</v>
      </c>
      <c r="P20" s="120">
        <f t="shared" si="24"/>
        <v>186721</v>
      </c>
      <c r="Q20" s="120">
        <f t="shared" si="24"/>
        <v>177998</v>
      </c>
      <c r="R20" s="120">
        <f t="shared" ref="R20:X20" si="25">SUM(R16:R19)</f>
        <v>168455</v>
      </c>
      <c r="S20" s="120">
        <f t="shared" si="25"/>
        <v>171744</v>
      </c>
      <c r="T20" s="120">
        <f t="shared" si="25"/>
        <v>124734</v>
      </c>
      <c r="U20" s="120">
        <f t="shared" si="25"/>
        <v>92464</v>
      </c>
      <c r="V20" s="120">
        <f t="shared" si="25"/>
        <v>72589</v>
      </c>
      <c r="W20" s="120">
        <f t="shared" si="25"/>
        <v>82873</v>
      </c>
      <c r="X20" s="120">
        <f t="shared" si="25"/>
        <v>44327</v>
      </c>
      <c r="Y20" s="120">
        <f t="shared" ref="Y20:AD20" si="26">SUM(Y16:Y19)</f>
        <v>46113</v>
      </c>
      <c r="Z20" s="120">
        <f t="shared" si="26"/>
        <v>46223</v>
      </c>
      <c r="AA20" s="120">
        <f t="shared" si="26"/>
        <v>100654</v>
      </c>
      <c r="AB20" s="120">
        <f t="shared" si="26"/>
        <v>48253</v>
      </c>
      <c r="AC20" s="120">
        <f t="shared" si="26"/>
        <v>-19345</v>
      </c>
      <c r="AD20" s="120">
        <f t="shared" si="26"/>
        <v>8658</v>
      </c>
      <c r="AE20" s="120">
        <f t="shared" ref="AE20:AK20" si="27">SUM(AE16:AE19)</f>
        <v>-17552</v>
      </c>
      <c r="AF20" s="120">
        <f t="shared" si="27"/>
        <v>-50847</v>
      </c>
      <c r="AG20" s="120">
        <f t="shared" si="27"/>
        <v>-46736</v>
      </c>
      <c r="AH20" s="120">
        <f t="shared" si="27"/>
        <v>-41915</v>
      </c>
      <c r="AI20" s="120">
        <f t="shared" si="27"/>
        <v>28951</v>
      </c>
      <c r="AJ20" s="120">
        <f t="shared" si="27"/>
        <v>-10270</v>
      </c>
      <c r="AK20" s="120">
        <f t="shared" si="27"/>
        <v>6279</v>
      </c>
      <c r="AL20" s="120">
        <f t="shared" ref="AL20:AS20" si="28">SUM(AL16:AL19)</f>
        <v>-18471</v>
      </c>
      <c r="AM20" s="120">
        <f t="shared" si="28"/>
        <v>-29291</v>
      </c>
      <c r="AN20" s="120">
        <f t="shared" si="28"/>
        <v>-88140</v>
      </c>
      <c r="AO20" s="120">
        <f t="shared" si="28"/>
        <v>-69827</v>
      </c>
      <c r="AP20" s="120">
        <f t="shared" si="28"/>
        <v>-92578</v>
      </c>
      <c r="AQ20" s="120">
        <f t="shared" si="28"/>
        <v>-51397</v>
      </c>
      <c r="AR20" s="120">
        <f t="shared" si="28"/>
        <v>-108312</v>
      </c>
      <c r="AS20" s="120">
        <f t="shared" si="28"/>
        <v>-129492</v>
      </c>
      <c r="AT20" s="120">
        <f t="shared" ref="AT20:AY20" si="29">SUM(AT16:AT19)</f>
        <v>-104964</v>
      </c>
      <c r="AU20" s="120">
        <f t="shared" si="29"/>
        <v>-73105</v>
      </c>
      <c r="AV20" s="120">
        <f t="shared" si="29"/>
        <v>-168003</v>
      </c>
      <c r="AW20" s="120">
        <f t="shared" si="29"/>
        <v>-185234</v>
      </c>
      <c r="AX20" s="120">
        <f t="shared" si="29"/>
        <v>-119101</v>
      </c>
      <c r="AY20" s="120">
        <f t="shared" si="29"/>
        <v>35931</v>
      </c>
      <c r="AZ20" s="120">
        <f>SUM(AZ16:AZ19)</f>
        <v>-5715</v>
      </c>
    </row>
    <row r="21" spans="2:52" x14ac:dyDescent="0.2">
      <c r="B21" s="129" t="s">
        <v>181</v>
      </c>
      <c r="C21" s="118">
        <v>401540</v>
      </c>
      <c r="D21" s="118">
        <v>402978</v>
      </c>
      <c r="E21" s="118">
        <v>376377</v>
      </c>
      <c r="F21" s="118">
        <v>348548</v>
      </c>
      <c r="G21" s="118">
        <v>362097</v>
      </c>
      <c r="H21" s="118">
        <v>369830</v>
      </c>
      <c r="I21" s="118">
        <v>371095</v>
      </c>
      <c r="J21" s="118">
        <v>370984</v>
      </c>
      <c r="K21" s="118">
        <v>363359</v>
      </c>
      <c r="L21" s="118">
        <v>362782</v>
      </c>
      <c r="M21" s="118">
        <v>362054</v>
      </c>
      <c r="N21" s="118">
        <v>365895</v>
      </c>
      <c r="O21" s="118">
        <v>378999</v>
      </c>
      <c r="P21" s="118">
        <v>380528</v>
      </c>
      <c r="Q21" s="118">
        <v>400073</v>
      </c>
      <c r="R21" s="118">
        <v>400609</v>
      </c>
      <c r="S21" s="118">
        <v>448806</v>
      </c>
      <c r="T21" s="118">
        <v>462802</v>
      </c>
      <c r="U21" s="118">
        <v>455259</v>
      </c>
      <c r="V21" s="118">
        <v>465415</v>
      </c>
      <c r="W21" s="118">
        <v>484372</v>
      </c>
      <c r="X21" s="118">
        <v>511005</v>
      </c>
      <c r="Y21" s="118">
        <v>515840</v>
      </c>
      <c r="Z21" s="118">
        <v>577735</v>
      </c>
      <c r="AA21" s="118">
        <v>575079</v>
      </c>
      <c r="AB21" s="118">
        <v>595131</v>
      </c>
      <c r="AC21" s="118">
        <v>590088</v>
      </c>
      <c r="AD21" s="118">
        <v>619947</v>
      </c>
      <c r="AE21" s="118">
        <v>624663</v>
      </c>
      <c r="AF21" s="118">
        <v>644911</v>
      </c>
      <c r="AG21" s="118">
        <v>656554</v>
      </c>
      <c r="AH21" s="118">
        <v>668634</v>
      </c>
      <c r="AI21" s="118">
        <v>680734</v>
      </c>
      <c r="AJ21" s="118">
        <v>699442</v>
      </c>
      <c r="AK21" s="118">
        <v>707573</v>
      </c>
      <c r="AL21" s="118">
        <v>736379</v>
      </c>
      <c r="AM21" s="118">
        <v>766189</v>
      </c>
      <c r="AN21" s="118">
        <v>800844</v>
      </c>
      <c r="AO21" s="118">
        <v>800942</v>
      </c>
      <c r="AP21" s="118">
        <v>819533</v>
      </c>
      <c r="AQ21" s="118">
        <v>835170</v>
      </c>
      <c r="AR21" s="118">
        <v>872453</v>
      </c>
      <c r="AS21" s="118">
        <v>888230</v>
      </c>
      <c r="AT21" s="118">
        <v>892007</v>
      </c>
      <c r="AU21" s="118">
        <v>921409</v>
      </c>
      <c r="AV21" s="118">
        <v>965143</v>
      </c>
      <c r="AW21" s="118">
        <v>993359</v>
      </c>
      <c r="AX21" s="118">
        <v>984234</v>
      </c>
      <c r="AY21" s="118">
        <v>872233</v>
      </c>
      <c r="AZ21" s="118">
        <v>911018</v>
      </c>
    </row>
    <row r="22" spans="2:52" x14ac:dyDescent="0.2">
      <c r="B22" s="126" t="s">
        <v>1228</v>
      </c>
      <c r="C22" s="120">
        <f>SUM(C20:C21)</f>
        <v>572849</v>
      </c>
      <c r="D22" s="120">
        <f t="shared" ref="D22:I22" si="30">SUM(D20:D21)</f>
        <v>546379</v>
      </c>
      <c r="E22" s="120">
        <f t="shared" si="30"/>
        <v>629020</v>
      </c>
      <c r="F22" s="120">
        <f t="shared" si="30"/>
        <v>674380</v>
      </c>
      <c r="G22" s="120">
        <f t="shared" si="30"/>
        <v>720503</v>
      </c>
      <c r="H22" s="120">
        <f t="shared" si="30"/>
        <v>648841</v>
      </c>
      <c r="I22" s="120">
        <f t="shared" si="30"/>
        <v>689453</v>
      </c>
      <c r="J22" s="120">
        <f t="shared" ref="J22:X22" si="31">SUM(J20:J21)</f>
        <v>607964</v>
      </c>
      <c r="K22" s="120">
        <f t="shared" si="31"/>
        <v>599077</v>
      </c>
      <c r="L22" s="120">
        <f t="shared" si="31"/>
        <v>577639</v>
      </c>
      <c r="M22" s="120">
        <f t="shared" si="31"/>
        <v>582802</v>
      </c>
      <c r="N22" s="120">
        <f t="shared" si="31"/>
        <v>567382</v>
      </c>
      <c r="O22" s="120">
        <f t="shared" si="31"/>
        <v>577174</v>
      </c>
      <c r="P22" s="120">
        <f t="shared" si="31"/>
        <v>567249</v>
      </c>
      <c r="Q22" s="120">
        <f t="shared" si="31"/>
        <v>578071</v>
      </c>
      <c r="R22" s="120">
        <f t="shared" si="31"/>
        <v>569064</v>
      </c>
      <c r="S22" s="120">
        <f t="shared" si="31"/>
        <v>620550</v>
      </c>
      <c r="T22" s="120">
        <f t="shared" si="31"/>
        <v>587536</v>
      </c>
      <c r="U22" s="120">
        <f t="shared" si="31"/>
        <v>547723</v>
      </c>
      <c r="V22" s="120">
        <f t="shared" si="31"/>
        <v>538004</v>
      </c>
      <c r="W22" s="120">
        <f t="shared" si="31"/>
        <v>567245</v>
      </c>
      <c r="X22" s="120">
        <f t="shared" si="31"/>
        <v>555332</v>
      </c>
      <c r="Y22" s="120">
        <f t="shared" ref="Y22:AD22" si="32">SUM(Y20:Y21)</f>
        <v>561953</v>
      </c>
      <c r="Z22" s="120">
        <f t="shared" si="32"/>
        <v>623958</v>
      </c>
      <c r="AA22" s="120">
        <f t="shared" si="32"/>
        <v>675733</v>
      </c>
      <c r="AB22" s="120">
        <f t="shared" si="32"/>
        <v>643384</v>
      </c>
      <c r="AC22" s="120">
        <f t="shared" si="32"/>
        <v>570743</v>
      </c>
      <c r="AD22" s="120">
        <f t="shared" si="32"/>
        <v>628605</v>
      </c>
      <c r="AE22" s="120">
        <f t="shared" ref="AE22:AK22" si="33">SUM(AE20:AE21)</f>
        <v>607111</v>
      </c>
      <c r="AF22" s="120">
        <f t="shared" si="33"/>
        <v>594064</v>
      </c>
      <c r="AG22" s="120">
        <f t="shared" si="33"/>
        <v>609818</v>
      </c>
      <c r="AH22" s="120">
        <f t="shared" si="33"/>
        <v>626719</v>
      </c>
      <c r="AI22" s="120">
        <f t="shared" si="33"/>
        <v>709685</v>
      </c>
      <c r="AJ22" s="120">
        <f>SUM(AJ20:AJ21)</f>
        <v>689172</v>
      </c>
      <c r="AK22" s="120">
        <f t="shared" si="33"/>
        <v>713852</v>
      </c>
      <c r="AL22" s="120">
        <f t="shared" ref="AL22:AR22" si="34">SUM(AL20:AL21)</f>
        <v>717908</v>
      </c>
      <c r="AM22" s="120">
        <f t="shared" si="34"/>
        <v>736898</v>
      </c>
      <c r="AN22" s="120">
        <f t="shared" si="34"/>
        <v>712704</v>
      </c>
      <c r="AO22" s="120">
        <f t="shared" si="34"/>
        <v>731115</v>
      </c>
      <c r="AP22" s="120">
        <f t="shared" si="34"/>
        <v>726955</v>
      </c>
      <c r="AQ22" s="120">
        <f t="shared" si="34"/>
        <v>783773</v>
      </c>
      <c r="AR22" s="120">
        <f t="shared" si="34"/>
        <v>764141</v>
      </c>
      <c r="AS22" s="120">
        <f>SUM(AS20:AS21)</f>
        <v>758738</v>
      </c>
      <c r="AT22" s="120">
        <f t="shared" ref="AT22:AY22" si="35">SUM(AT20:AT21)</f>
        <v>787043</v>
      </c>
      <c r="AU22" s="120">
        <f t="shared" si="35"/>
        <v>848304</v>
      </c>
      <c r="AV22" s="120">
        <f t="shared" si="35"/>
        <v>797140</v>
      </c>
      <c r="AW22" s="120">
        <f t="shared" si="35"/>
        <v>808125</v>
      </c>
      <c r="AX22" s="120">
        <f t="shared" si="35"/>
        <v>865133</v>
      </c>
      <c r="AY22" s="120">
        <f t="shared" si="35"/>
        <v>908164</v>
      </c>
      <c r="AZ22" s="120">
        <f>SUM(AZ20:AZ21)</f>
        <v>905303</v>
      </c>
    </row>
    <row r="23" spans="2:52" x14ac:dyDescent="0.2">
      <c r="B23" s="126" t="s">
        <v>182</v>
      </c>
      <c r="C23" s="144">
        <f>+C20/C22</f>
        <v>0.29904739294299199</v>
      </c>
      <c r="D23" s="144">
        <f t="shared" ref="D23:I23" si="36">+D20/D22</f>
        <v>0.26245701244008279</v>
      </c>
      <c r="E23" s="144">
        <f t="shared" si="36"/>
        <v>0.40164541667991477</v>
      </c>
      <c r="F23" s="144">
        <f t="shared" si="36"/>
        <v>0.48315786351908419</v>
      </c>
      <c r="G23" s="144">
        <f t="shared" si="36"/>
        <v>0.49743859498156151</v>
      </c>
      <c r="H23" s="144">
        <f t="shared" si="36"/>
        <v>0.43001444113426862</v>
      </c>
      <c r="I23" s="144">
        <f t="shared" si="36"/>
        <v>0.46175446332092251</v>
      </c>
      <c r="J23" s="144">
        <f t="shared" ref="J23:X23" si="37">+J20/J22</f>
        <v>0.38979281667993498</v>
      </c>
      <c r="K23" s="144">
        <f t="shared" si="37"/>
        <v>0.3934686192259092</v>
      </c>
      <c r="L23" s="144">
        <f t="shared" si="37"/>
        <v>0.37195722587983154</v>
      </c>
      <c r="M23" s="144">
        <f t="shared" si="37"/>
        <v>0.37877014835227057</v>
      </c>
      <c r="N23" s="144">
        <f t="shared" si="37"/>
        <v>0.35511701111420524</v>
      </c>
      <c r="O23" s="144">
        <f t="shared" si="37"/>
        <v>0.3433539972348027</v>
      </c>
      <c r="P23" s="144">
        <f t="shared" si="37"/>
        <v>0.3291693771165749</v>
      </c>
      <c r="Q23" s="144">
        <f t="shared" si="37"/>
        <v>0.30791719356272845</v>
      </c>
      <c r="R23" s="144">
        <f t="shared" si="37"/>
        <v>0.2960211856662871</v>
      </c>
      <c r="S23" s="144">
        <f t="shared" si="37"/>
        <v>0.27676093787768913</v>
      </c>
      <c r="T23" s="144">
        <f t="shared" si="37"/>
        <v>0.21230018245690477</v>
      </c>
      <c r="U23" s="144">
        <f t="shared" si="37"/>
        <v>0.16881525880782805</v>
      </c>
      <c r="V23" s="144">
        <f t="shared" si="37"/>
        <v>0.13492278867815108</v>
      </c>
      <c r="W23" s="144">
        <f t="shared" si="37"/>
        <v>0.14609736533596593</v>
      </c>
      <c r="X23" s="144">
        <f t="shared" si="37"/>
        <v>7.9820719857670724E-2</v>
      </c>
      <c r="Y23" s="144">
        <f t="shared" ref="Y23:AD23" si="38">+Y20/Y22</f>
        <v>8.2058463964068171E-2</v>
      </c>
      <c r="Z23" s="144">
        <f t="shared" si="38"/>
        <v>7.4080306687309083E-2</v>
      </c>
      <c r="AA23" s="144">
        <f t="shared" si="38"/>
        <v>0.14895528263382135</v>
      </c>
      <c r="AB23" s="144">
        <f t="shared" si="38"/>
        <v>7.4998756574611747E-2</v>
      </c>
      <c r="AC23" s="144">
        <f t="shared" si="38"/>
        <v>-3.3894414824185315E-2</v>
      </c>
      <c r="AD23" s="144">
        <f t="shared" si="38"/>
        <v>1.3773355286706278E-2</v>
      </c>
      <c r="AE23" s="144">
        <f t="shared" ref="AE23:AK23" si="39">+AE20/AE22</f>
        <v>-2.8910693431678885E-2</v>
      </c>
      <c r="AF23" s="144">
        <f t="shared" si="39"/>
        <v>-8.5591788090172108E-2</v>
      </c>
      <c r="AG23" s="144">
        <f t="shared" si="39"/>
        <v>-7.6639259582367197E-2</v>
      </c>
      <c r="AH23" s="144">
        <f t="shared" si="39"/>
        <v>-6.6880053101948403E-2</v>
      </c>
      <c r="AI23" s="144">
        <f t="shared" si="39"/>
        <v>4.0794155153342677E-2</v>
      </c>
      <c r="AJ23" s="144">
        <f>+AJ20/AJ22</f>
        <v>-1.4901940299373742E-2</v>
      </c>
      <c r="AK23" s="144">
        <f t="shared" si="39"/>
        <v>8.7959408953116325E-3</v>
      </c>
      <c r="AL23" s="144">
        <f t="shared" ref="AL23:AR23" si="40">+AL20/AL22</f>
        <v>-2.5728923483231834E-2</v>
      </c>
      <c r="AM23" s="144">
        <f t="shared" si="40"/>
        <v>-3.9749056178738439E-2</v>
      </c>
      <c r="AN23" s="144">
        <f t="shared" si="40"/>
        <v>-0.12366985452586207</v>
      </c>
      <c r="AO23" s="144">
        <f t="shared" si="40"/>
        <v>-9.5507546692380818E-2</v>
      </c>
      <c r="AP23" s="144">
        <f t="shared" si="40"/>
        <v>-0.12735038619997111</v>
      </c>
      <c r="AQ23" s="144">
        <f t="shared" si="40"/>
        <v>-6.5576384999228091E-2</v>
      </c>
      <c r="AR23" s="144">
        <f t="shared" si="40"/>
        <v>-0.14174347404471163</v>
      </c>
      <c r="AS23" s="144">
        <f>+AS20/AS22</f>
        <v>-0.17066760858161842</v>
      </c>
      <c r="AT23" s="144">
        <f t="shared" ref="AT23:AY23" si="41">+AT20/AT22</f>
        <v>-0.13336501309331256</v>
      </c>
      <c r="AU23" s="144">
        <f t="shared" si="41"/>
        <v>-8.6177832475150415E-2</v>
      </c>
      <c r="AV23" s="144">
        <f t="shared" si="41"/>
        <v>-0.21075720701507891</v>
      </c>
      <c r="AW23" s="144">
        <f t="shared" si="41"/>
        <v>-0.22921453982985304</v>
      </c>
      <c r="AX23" s="144">
        <f t="shared" si="41"/>
        <v>-0.13766784991440623</v>
      </c>
      <c r="AY23" s="144">
        <f t="shared" si="41"/>
        <v>3.9564439902925019E-2</v>
      </c>
      <c r="AZ23" s="144">
        <f>+AZ20/AZ22</f>
        <v>-6.3128035585875665E-3</v>
      </c>
    </row>
    <row r="24" spans="2:52" x14ac:dyDescent="0.2">
      <c r="B24" s="40"/>
      <c r="D24" s="142"/>
      <c r="E24" s="142"/>
      <c r="F24" s="142"/>
      <c r="G24" s="142"/>
      <c r="H24" s="142"/>
    </row>
    <row r="27" spans="2:52" x14ac:dyDescent="0.2">
      <c r="K27" s="184"/>
    </row>
    <row r="29" spans="2:52" x14ac:dyDescent="0.2">
      <c r="C29" s="184">
        <f>+C6-BP!R43-BP!R62</f>
        <v>0</v>
      </c>
      <c r="D29" s="184">
        <f>+D6-BP!S43-BP!S62</f>
        <v>0</v>
      </c>
      <c r="E29" s="184">
        <f>+E6-BP!T43-BP!T62</f>
        <v>0</v>
      </c>
      <c r="F29" s="184">
        <f>+F6-BP!U43-BP!U62</f>
        <v>0</v>
      </c>
      <c r="G29" s="184">
        <f>+G6-BP!V43-BP!V62</f>
        <v>0</v>
      </c>
      <c r="H29" s="184">
        <f>+H6-BP!W43-BP!W62</f>
        <v>0</v>
      </c>
      <c r="I29" s="184">
        <f>+I6-BP!X43-BP!X62</f>
        <v>0</v>
      </c>
      <c r="J29" s="184">
        <f>+J6-BP!Y43-BP!Y62</f>
        <v>0</v>
      </c>
      <c r="K29" s="184"/>
      <c r="L29" s="184"/>
      <c r="M29" s="184"/>
      <c r="N29" s="184"/>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row>
    <row r="30" spans="2:52" x14ac:dyDescent="0.2">
      <c r="C30" s="184">
        <f>+C7-BP!R44-BP!R64</f>
        <v>0</v>
      </c>
      <c r="D30" s="184">
        <f>+D7-BP!S44-BP!S64</f>
        <v>0</v>
      </c>
      <c r="E30" s="184">
        <f>+E7-BP!T44-BP!T64</f>
        <v>0</v>
      </c>
      <c r="F30" s="184">
        <f>+F7-BP!U44-BP!U64</f>
        <v>0</v>
      </c>
      <c r="G30" s="184">
        <f>+G7-BP!V44-BP!V64</f>
        <v>0</v>
      </c>
      <c r="H30" s="184">
        <f>+H7-BP!W44-BP!W64</f>
        <v>0</v>
      </c>
      <c r="I30" s="184">
        <f>+I7-BP!X44-BP!X64</f>
        <v>0</v>
      </c>
      <c r="J30" s="184">
        <f>+J7-BP!Y44-BP!Y64</f>
        <v>0</v>
      </c>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row>
    <row r="31" spans="2:52" x14ac:dyDescent="0.2">
      <c r="C31" s="184">
        <f>+C8+BP!R16+BP!R30-BP!R57-BP!R75</f>
        <v>0</v>
      </c>
      <c r="D31" s="184">
        <f>+D8+BP!S16+BP!S30-BP!S57-BP!S75</f>
        <v>0</v>
      </c>
      <c r="E31" s="184">
        <f>+E8+BP!T16+BP!T30-BP!T57-BP!T75</f>
        <v>0</v>
      </c>
      <c r="F31" s="184">
        <f>+F8+BP!U16+BP!U30-BP!U57-BP!U75</f>
        <v>0</v>
      </c>
      <c r="G31" s="184">
        <f>+G8+BP!V16+BP!V30-BP!V57-BP!V75</f>
        <v>0</v>
      </c>
      <c r="H31" s="184">
        <f>+H8+BP!W16+BP!W30-BP!W57-BP!W75</f>
        <v>0</v>
      </c>
      <c r="I31" s="184">
        <f>+I8+BP!X16+BP!X30-BP!X57-BP!X75</f>
        <v>0</v>
      </c>
      <c r="J31" s="184">
        <f>+J8+BP!Y16+BP!Y30-BP!Y57-BP!Y75</f>
        <v>0</v>
      </c>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row>
    <row r="32" spans="2:52" x14ac:dyDescent="0.2">
      <c r="C32" s="184">
        <f>+C9+BP!R7+BP!R19</f>
        <v>0</v>
      </c>
      <c r="D32" s="184">
        <f>+D9+BP!S7+BP!S19</f>
        <v>0</v>
      </c>
      <c r="E32" s="184">
        <f>+E9+BP!T7+BP!T19</f>
        <v>0</v>
      </c>
      <c r="F32" s="184">
        <f>+F9+BP!U7+BP!U19</f>
        <v>0</v>
      </c>
      <c r="G32" s="184">
        <f>+G9+BP!V7+BP!V19</f>
        <v>0</v>
      </c>
      <c r="H32" s="184">
        <f>+H9+BP!W7+BP!W19</f>
        <v>0</v>
      </c>
      <c r="I32" s="184">
        <f>+I9+BP!X7+BP!X19</f>
        <v>0</v>
      </c>
      <c r="J32" s="184">
        <f>+J9+BP!Y7+BP!Y19</f>
        <v>0</v>
      </c>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row>
    <row r="33" spans="3:52" x14ac:dyDescent="0.2">
      <c r="C33" s="184">
        <f>+C11-BP!R78-BP!R88</f>
        <v>0</v>
      </c>
      <c r="D33" s="184">
        <f>+D11-BP!S78-BP!S88</f>
        <v>0</v>
      </c>
      <c r="E33" s="184">
        <f>+E11-BP!T78-BP!T88</f>
        <v>0</v>
      </c>
      <c r="F33" s="184">
        <f>+F11-BP!U78-BP!U88</f>
        <v>0</v>
      </c>
      <c r="G33" s="184">
        <f>+G11-BP!V78-BP!V88</f>
        <v>0</v>
      </c>
      <c r="H33" s="184">
        <f>+H11-BP!W78-BP!W88</f>
        <v>0</v>
      </c>
      <c r="I33" s="184">
        <f>+I11-BP!X78-BP!X88</f>
        <v>0</v>
      </c>
      <c r="J33" s="184">
        <f>+J11-BP!Y78-BP!Y88</f>
        <v>0</v>
      </c>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9">
    <tabColor theme="4"/>
    <pageSetUpPr autoPageBreaks="0"/>
  </sheetPr>
  <dimension ref="A1:CG195"/>
  <sheetViews>
    <sheetView showGridLines="0" zoomScaleNormal="100" workbookViewId="0">
      <pane xSplit="2" ySplit="5" topLeftCell="C139" activePane="bottomRight" state="frozen"/>
      <selection activeCell="C1" sqref="C1"/>
      <selection pane="topRight" activeCell="E1" sqref="E1"/>
      <selection pane="bottomLeft" activeCell="C6" sqref="C6"/>
      <selection pane="bottomRight" activeCell="E2" sqref="E2"/>
    </sheetView>
  </sheetViews>
  <sheetFormatPr defaultColWidth="9.140625" defaultRowHeight="14.25" customHeight="1" outlineLevelCol="1" x14ac:dyDescent="0.2"/>
  <cols>
    <col min="1" max="1" width="1.42578125" style="2" customWidth="1"/>
    <col min="2" max="2" width="50.42578125" style="2" customWidth="1"/>
    <col min="3" max="3" width="7.85546875" style="2" customWidth="1" outlineLevel="1"/>
    <col min="4" max="4" width="8.85546875" style="2" customWidth="1" outlineLevel="1"/>
    <col min="5" max="5" width="8.5703125" style="2" customWidth="1" outlineLevel="1"/>
    <col min="6" max="6" width="10.140625" style="2" customWidth="1" outlineLevel="1"/>
    <col min="7" max="7" width="10.140625" style="2" customWidth="1"/>
    <col min="8" max="11" width="10.140625" style="2" customWidth="1" outlineLevel="1"/>
    <col min="12" max="12" width="10.140625" style="2" customWidth="1"/>
    <col min="13" max="16" width="10.140625" style="2" customWidth="1" outlineLevel="1"/>
    <col min="17" max="17" width="10.140625" style="2" customWidth="1"/>
    <col min="18" max="20" width="10.140625" style="2" customWidth="1" outlineLevel="1"/>
    <col min="21" max="21" width="7.85546875" style="2" customWidth="1" outlineLevel="1"/>
    <col min="22" max="22" width="10.140625" style="2" customWidth="1"/>
    <col min="23" max="26" width="10.140625" style="2" customWidth="1" outlineLevel="1"/>
    <col min="27" max="27" width="10.140625" style="2" customWidth="1"/>
    <col min="28" max="31" width="10.140625" style="2" customWidth="1" outlineLevel="1"/>
    <col min="32" max="32" width="10.140625" style="2" customWidth="1"/>
    <col min="33" max="36" width="10.140625" style="2" customWidth="1" outlineLevel="1"/>
    <col min="37" max="37" width="10.140625" style="2" customWidth="1"/>
    <col min="38" max="41" width="10.140625" style="2" customWidth="1" outlineLevel="1"/>
    <col min="42" max="42" width="10.140625" style="2" customWidth="1"/>
    <col min="43" max="48" width="10.140625" style="2" customWidth="1" outlineLevel="1"/>
    <col min="49" max="49" width="17.85546875" style="267" customWidth="1"/>
    <col min="50" max="50" width="9.85546875" style="267" customWidth="1"/>
    <col min="51" max="52" width="9.140625" style="267"/>
    <col min="53" max="54" width="15.42578125" style="267" bestFit="1" customWidth="1"/>
    <col min="55" max="57" width="9.140625" style="267"/>
    <col min="58" max="59" width="9.140625" style="2"/>
    <col min="60" max="62" width="9.140625" style="267"/>
    <col min="63" max="16384" width="9.140625" style="2"/>
  </cols>
  <sheetData>
    <row r="1" spans="1:85" s="267" customFormat="1" ht="12" customHeight="1" x14ac:dyDescent="0.2">
      <c r="C1" s="704"/>
      <c r="D1" s="704"/>
      <c r="E1" s="704"/>
      <c r="F1" s="704"/>
      <c r="H1" s="704"/>
      <c r="I1" s="704"/>
      <c r="J1" s="704"/>
      <c r="K1" s="704"/>
      <c r="M1" s="704"/>
      <c r="N1" s="704"/>
      <c r="O1" s="704"/>
      <c r="P1" s="704"/>
      <c r="Q1" s="704"/>
      <c r="R1" s="704"/>
      <c r="S1" s="704"/>
      <c r="T1" s="704"/>
      <c r="U1" s="704"/>
      <c r="V1" s="965"/>
      <c r="W1" s="704"/>
      <c r="X1" s="704"/>
      <c r="Y1" s="704"/>
      <c r="Z1" s="704"/>
      <c r="AA1" s="704"/>
      <c r="AB1" s="704"/>
      <c r="AC1" s="704"/>
      <c r="AD1" s="704"/>
      <c r="AE1" s="704"/>
      <c r="AF1" s="704"/>
      <c r="AG1" s="704"/>
      <c r="AH1" s="704"/>
      <c r="AI1" s="704"/>
      <c r="AJ1" s="704"/>
      <c r="AK1" s="704"/>
      <c r="AL1" s="704"/>
      <c r="AM1" s="704"/>
      <c r="AN1" s="704"/>
      <c r="AO1" s="704"/>
      <c r="AQ1" s="704"/>
      <c r="AR1" s="704"/>
      <c r="AS1" s="704"/>
      <c r="AT1" s="704"/>
      <c r="AU1" s="704"/>
      <c r="AV1" s="704"/>
      <c r="BF1" s="2"/>
      <c r="BG1" s="2"/>
    </row>
    <row r="2" spans="1:85" s="267" customFormat="1" ht="10.5" customHeight="1" x14ac:dyDescent="0.2">
      <c r="A2" s="623"/>
      <c r="C2" s="705"/>
      <c r="D2" s="705"/>
      <c r="E2" s="705"/>
      <c r="F2" s="705"/>
      <c r="H2" s="705"/>
      <c r="I2" s="790"/>
      <c r="J2" s="790"/>
      <c r="K2" s="790"/>
      <c r="M2" s="790"/>
      <c r="N2" s="790"/>
      <c r="O2" s="790"/>
      <c r="P2" s="790"/>
      <c r="Q2" s="790"/>
      <c r="R2" s="790"/>
      <c r="S2" s="790"/>
      <c r="T2" s="790"/>
      <c r="U2" s="790"/>
      <c r="V2" s="966"/>
      <c r="W2" s="790"/>
      <c r="X2" s="790"/>
      <c r="Y2" s="790"/>
      <c r="Z2" s="790"/>
      <c r="AA2" s="790"/>
      <c r="AB2" s="790"/>
      <c r="AC2" s="790"/>
      <c r="AD2" s="790"/>
      <c r="AE2" s="790"/>
      <c r="AF2" s="790"/>
      <c r="AG2" s="790"/>
      <c r="AH2" s="790"/>
      <c r="AI2" s="790"/>
      <c r="AJ2" s="790"/>
      <c r="AK2" s="790"/>
      <c r="AL2" s="790"/>
      <c r="AM2" s="790"/>
      <c r="AN2" s="790"/>
      <c r="AO2" s="790"/>
      <c r="AQ2" s="790"/>
      <c r="AR2" s="790"/>
      <c r="AS2" s="790"/>
      <c r="AT2" s="790"/>
      <c r="AU2" s="790"/>
      <c r="AV2" s="790"/>
      <c r="BF2" s="2"/>
      <c r="BG2" s="2"/>
    </row>
    <row r="3" spans="1:85" ht="11.25" customHeight="1" x14ac:dyDescent="0.2">
      <c r="A3" s="16"/>
      <c r="B3" s="904"/>
      <c r="C3" s="902"/>
      <c r="D3" s="902"/>
      <c r="E3" s="902"/>
      <c r="F3" s="902"/>
      <c r="G3" s="903"/>
      <c r="H3" s="902"/>
      <c r="I3" s="902"/>
      <c r="J3" s="902"/>
      <c r="K3" s="902"/>
      <c r="L3" s="903"/>
      <c r="M3" s="902"/>
      <c r="N3" s="902"/>
      <c r="O3" s="902"/>
      <c r="P3" s="902"/>
      <c r="R3" s="902"/>
      <c r="S3" s="902"/>
      <c r="T3" s="902"/>
      <c r="U3" s="902"/>
      <c r="V3" s="907"/>
      <c r="W3" s="967"/>
      <c r="X3" s="967"/>
      <c r="Y3" s="967"/>
      <c r="Z3" s="967"/>
      <c r="AA3" s="907"/>
      <c r="AB3" s="967"/>
      <c r="AC3" s="967"/>
      <c r="AD3" s="967"/>
      <c r="AE3" s="967"/>
      <c r="AF3" s="907"/>
      <c r="AG3" s="967"/>
      <c r="AH3" s="967"/>
      <c r="AI3" s="967"/>
      <c r="AJ3" s="967"/>
      <c r="AK3" s="907"/>
      <c r="AL3" s="1196"/>
      <c r="AM3" s="1196"/>
      <c r="AN3" s="1196"/>
      <c r="AO3" s="1196"/>
      <c r="AP3" s="267"/>
      <c r="AQ3" s="1196"/>
      <c r="AR3" s="1196"/>
      <c r="AS3" s="1196"/>
      <c r="AT3" s="1196"/>
      <c r="AU3" s="1196"/>
      <c r="AV3" s="1196"/>
    </row>
    <row r="4" spans="1:85" ht="14.25" customHeight="1" x14ac:dyDescent="0.2">
      <c r="AL4" s="267"/>
      <c r="AM4" s="267"/>
      <c r="AN4" s="267"/>
      <c r="AO4" s="267"/>
      <c r="AP4" s="267"/>
      <c r="AQ4" s="267"/>
      <c r="AR4" s="267"/>
      <c r="AS4" s="267"/>
      <c r="AT4" s="267"/>
      <c r="AU4" s="267"/>
      <c r="AV4" s="267"/>
    </row>
    <row r="5" spans="1:85" ht="13.5" customHeight="1" x14ac:dyDescent="0.2">
      <c r="A5" s="16"/>
      <c r="B5" s="901" t="s">
        <v>1010</v>
      </c>
      <c r="C5" s="851" t="s">
        <v>567</v>
      </c>
      <c r="D5" s="851" t="s">
        <v>575</v>
      </c>
      <c r="E5" s="851" t="s">
        <v>595</v>
      </c>
      <c r="F5" s="851" t="s">
        <v>596</v>
      </c>
      <c r="G5" s="851" t="s">
        <v>745</v>
      </c>
      <c r="H5" s="851" t="s">
        <v>623</v>
      </c>
      <c r="I5" s="851" t="s">
        <v>624</v>
      </c>
      <c r="J5" s="851" t="s">
        <v>625</v>
      </c>
      <c r="K5" s="851" t="s">
        <v>626</v>
      </c>
      <c r="L5" s="851" t="s">
        <v>1009</v>
      </c>
      <c r="M5" s="851" t="s">
        <v>798</v>
      </c>
      <c r="N5" s="851" t="s">
        <v>799</v>
      </c>
      <c r="O5" s="851" t="s">
        <v>800</v>
      </c>
      <c r="P5" s="851" t="s">
        <v>801</v>
      </c>
      <c r="Q5" s="851" t="s">
        <v>1008</v>
      </c>
      <c r="R5" s="851" t="s">
        <v>913</v>
      </c>
      <c r="S5" s="851" t="s">
        <v>914</v>
      </c>
      <c r="T5" s="851" t="s">
        <v>923</v>
      </c>
      <c r="U5" s="851" t="s">
        <v>924</v>
      </c>
      <c r="V5" s="851" t="s">
        <v>1057</v>
      </c>
      <c r="W5" s="851" t="s">
        <v>1049</v>
      </c>
      <c r="X5" s="851" t="s">
        <v>1023</v>
      </c>
      <c r="Y5" s="851" t="s">
        <v>1024</v>
      </c>
      <c r="Z5" s="851" t="s">
        <v>1050</v>
      </c>
      <c r="AA5" s="851" t="s">
        <v>1111</v>
      </c>
      <c r="AB5" s="851" t="s">
        <v>1114</v>
      </c>
      <c r="AC5" s="851" t="s">
        <v>1119</v>
      </c>
      <c r="AD5" s="851" t="s">
        <v>1121</v>
      </c>
      <c r="AE5" s="851" t="s">
        <v>1123</v>
      </c>
      <c r="AF5" s="851" t="s">
        <v>1157</v>
      </c>
      <c r="AG5" s="851" t="s">
        <v>1176</v>
      </c>
      <c r="AH5" s="851" t="s">
        <v>1177</v>
      </c>
      <c r="AI5" s="851" t="s">
        <v>1179</v>
      </c>
      <c r="AJ5" s="851" t="s">
        <v>1181</v>
      </c>
      <c r="AK5" s="851" t="s">
        <v>1248</v>
      </c>
      <c r="AL5" s="851" t="s">
        <v>1243</v>
      </c>
      <c r="AM5" s="851" t="s">
        <v>1250</v>
      </c>
      <c r="AN5" s="851" t="s">
        <v>1251</v>
      </c>
      <c r="AO5" s="851" t="s">
        <v>1252</v>
      </c>
      <c r="AP5" s="851" t="s">
        <v>1310</v>
      </c>
      <c r="AQ5" s="851" t="s">
        <v>1311</v>
      </c>
      <c r="AR5" s="851" t="s">
        <v>1313</v>
      </c>
      <c r="AS5" s="851" t="s">
        <v>1315</v>
      </c>
      <c r="AT5" s="851" t="s">
        <v>1317</v>
      </c>
      <c r="AU5" s="851" t="s">
        <v>1359</v>
      </c>
      <c r="AV5" s="851" t="s">
        <v>1344</v>
      </c>
    </row>
    <row r="6" spans="1:85" ht="13.5" customHeight="1" x14ac:dyDescent="0.2">
      <c r="B6" s="842" t="s">
        <v>33</v>
      </c>
      <c r="C6" s="841">
        <f ca="1">+C67</f>
        <v>214422.15101999999</v>
      </c>
      <c r="D6" s="841">
        <f ca="1">+D67</f>
        <v>268717.10787999997</v>
      </c>
      <c r="E6" s="841">
        <f ca="1">+E67</f>
        <v>305185.31597000005</v>
      </c>
      <c r="F6" s="841">
        <f ca="1">+F67</f>
        <v>340565.25495999999</v>
      </c>
      <c r="G6" s="637">
        <f ca="1">+SUM(C6:F6)</f>
        <v>1128889.8298299999</v>
      </c>
      <c r="H6" s="841">
        <f ca="1">+H67</f>
        <v>275057.54545999999</v>
      </c>
      <c r="I6" s="841">
        <f ca="1">+I67</f>
        <v>315279.75394999998</v>
      </c>
      <c r="J6" s="841">
        <f ca="1">+J67</f>
        <v>365789.47778999998</v>
      </c>
      <c r="K6" s="841">
        <f ca="1">+K67</f>
        <v>391684.40824000002</v>
      </c>
      <c r="L6" s="637">
        <f ca="1">+SUM(H6:K6)</f>
        <v>1347811.1854399999</v>
      </c>
      <c r="M6" s="841">
        <f ca="1">+M67</f>
        <v>321706.25628999999</v>
      </c>
      <c r="N6" s="841">
        <f ca="1">+N67</f>
        <v>360853.55104000005</v>
      </c>
      <c r="O6" s="841">
        <f ca="1">+O67</f>
        <v>366405.11531000002</v>
      </c>
      <c r="P6" s="841">
        <f ca="1">+P67</f>
        <v>414841.17645000003</v>
      </c>
      <c r="Q6" s="637">
        <f ca="1">+SUM(M6:P6)</f>
        <v>1463806.0990900001</v>
      </c>
      <c r="R6" s="841">
        <f ca="1">+R67</f>
        <v>298654.90463999996</v>
      </c>
      <c r="S6" s="841">
        <f ca="1">+S67</f>
        <v>108624.88222</v>
      </c>
      <c r="T6" s="841">
        <f ca="1">+T67</f>
        <v>305501.52506000001</v>
      </c>
      <c r="U6" s="841">
        <f ca="1">+U67</f>
        <v>337571.33675999998</v>
      </c>
      <c r="V6" s="637">
        <f ca="1">+SUM(R6:U6)</f>
        <v>1050352.6486800001</v>
      </c>
      <c r="W6" s="841">
        <f ca="1">+W67</f>
        <v>250078.92903</v>
      </c>
      <c r="X6" s="841">
        <f ca="1">+X67</f>
        <v>249944.68143999999</v>
      </c>
      <c r="Y6" s="841">
        <f ca="1">+Y67</f>
        <v>243798.95912000004</v>
      </c>
      <c r="Z6" s="841">
        <f ca="1">+Z67</f>
        <v>339046.03587999992</v>
      </c>
      <c r="AA6" s="637">
        <f ca="1">+SUM(W6:Z6)</f>
        <v>1082868.6054699998</v>
      </c>
      <c r="AB6" s="841">
        <f ca="1">+AB67</f>
        <v>249984.01542999997</v>
      </c>
      <c r="AC6" s="841">
        <f ca="1">+AC67</f>
        <v>329187.05628000002</v>
      </c>
      <c r="AD6" s="841">
        <f ca="1">+AD67</f>
        <v>460036.70981000003</v>
      </c>
      <c r="AE6" s="841">
        <f ca="1">+AE67</f>
        <v>461462.62537999998</v>
      </c>
      <c r="AF6" s="637">
        <f ca="1">+SUM(AB6:AE6)</f>
        <v>1500670.4069000001</v>
      </c>
      <c r="AG6" s="841">
        <f ca="1">+AG67</f>
        <v>369902.34818999982</v>
      </c>
      <c r="AH6" s="841">
        <f ca="1">+AH67</f>
        <v>413999.29704000009</v>
      </c>
      <c r="AI6" s="841">
        <f ca="1">+AI67</f>
        <v>481071.89130000008</v>
      </c>
      <c r="AJ6" s="841">
        <f ca="1">+AJ67</f>
        <v>516751.48728000012</v>
      </c>
      <c r="AK6" s="637">
        <f ca="1">+SUM(AG6:AJ6)</f>
        <v>1781725.0238100002</v>
      </c>
      <c r="AL6" s="841">
        <f ca="1">+AL67</f>
        <v>432552.07787999994</v>
      </c>
      <c r="AM6" s="841">
        <f ca="1">+AM67</f>
        <v>529168.94435000001</v>
      </c>
      <c r="AN6" s="841">
        <f ca="1">+AN67</f>
        <v>695890.14059000008</v>
      </c>
      <c r="AO6" s="841">
        <f ca="1">+AO67</f>
        <v>720353.22578999994</v>
      </c>
      <c r="AP6" s="637">
        <f ca="1">+SUM(AL6:AO6)</f>
        <v>2377964.3886100003</v>
      </c>
      <c r="AQ6" s="841">
        <f ca="1">+AQ67</f>
        <v>489547.18824999995</v>
      </c>
      <c r="AR6" s="841">
        <f ca="1">+AR67</f>
        <v>621439.08457999991</v>
      </c>
      <c r="AS6" s="841">
        <f ca="1">+AS67</f>
        <v>744446</v>
      </c>
      <c r="AT6" s="841">
        <f ca="1">+AT67</f>
        <v>717391.32421999995</v>
      </c>
      <c r="AU6" s="637">
        <f ca="1">+SUM(AQ6:AT6)</f>
        <v>2572823.59705</v>
      </c>
      <c r="AV6" s="841">
        <f ca="1">+AV67</f>
        <v>599235.4249000001</v>
      </c>
      <c r="AW6" s="1145"/>
      <c r="BK6" s="267"/>
      <c r="BL6" s="267"/>
      <c r="BM6" s="267"/>
      <c r="BN6" s="267"/>
      <c r="BO6" s="267"/>
      <c r="BP6" s="267"/>
      <c r="BQ6" s="267"/>
      <c r="BR6" s="267"/>
      <c r="BS6" s="267"/>
      <c r="BT6" s="267"/>
      <c r="BU6" s="267"/>
      <c r="BV6" s="267"/>
      <c r="BW6" s="267"/>
      <c r="BX6" s="267"/>
      <c r="BY6" s="267"/>
      <c r="BZ6" s="267"/>
      <c r="CA6" s="267"/>
      <c r="CB6" s="267"/>
      <c r="CC6" s="267"/>
      <c r="CD6" s="267"/>
      <c r="CE6" s="267"/>
      <c r="CF6" s="267"/>
      <c r="CG6" s="267"/>
    </row>
    <row r="7" spans="1:85" ht="13.5" customHeight="1" x14ac:dyDescent="0.2">
      <c r="B7" s="842" t="s">
        <v>34</v>
      </c>
      <c r="C7" s="841">
        <f ca="1">+C97</f>
        <v>48717.342169999996</v>
      </c>
      <c r="D7" s="841">
        <f ca="1">+D97</f>
        <v>48049.863870000001</v>
      </c>
      <c r="E7" s="841">
        <f ca="1">+E97</f>
        <v>50445.274439999994</v>
      </c>
      <c r="F7" s="841">
        <f ca="1">+F97</f>
        <v>54087.619529999996</v>
      </c>
      <c r="G7" s="637">
        <f ca="1">+SUM(C7:F7)</f>
        <v>201300.10000999997</v>
      </c>
      <c r="H7" s="841">
        <f ca="1">+H97</f>
        <v>47791.897820000006</v>
      </c>
      <c r="I7" s="841">
        <f ca="1">+I97</f>
        <v>45118.782989999992</v>
      </c>
      <c r="J7" s="841">
        <f ca="1">+J97</f>
        <v>50056.113029999993</v>
      </c>
      <c r="K7" s="841">
        <f ca="1">+K97</f>
        <v>47941.790019999993</v>
      </c>
      <c r="L7" s="637">
        <f ca="1">+SUM(H7:K7)</f>
        <v>190908.58385999998</v>
      </c>
      <c r="M7" s="841">
        <f ca="1">+M97</f>
        <v>45576.200000000004</v>
      </c>
      <c r="N7" s="841">
        <f ca="1">+N97</f>
        <v>45477.30472</v>
      </c>
      <c r="O7" s="841">
        <f ca="1">+O97</f>
        <v>49444.072350000002</v>
      </c>
      <c r="P7" s="841">
        <f ca="1">+P97</f>
        <v>49006.12429</v>
      </c>
      <c r="Q7" s="637">
        <f ca="1">+SUM(M7:P7)</f>
        <v>189503.70136000001</v>
      </c>
      <c r="R7" s="841">
        <f ca="1">+R97</f>
        <v>46798.437100000003</v>
      </c>
      <c r="S7" s="841">
        <f ca="1">+S97</f>
        <v>51640.242859999998</v>
      </c>
      <c r="T7" s="841">
        <f ca="1">+T97</f>
        <v>52814.545720000002</v>
      </c>
      <c r="U7" s="841">
        <f ca="1">+U97</f>
        <v>49157.816579999999</v>
      </c>
      <c r="V7" s="637">
        <f ca="1">+SUM(R7:U7)</f>
        <v>200411.04226000002</v>
      </c>
      <c r="W7" s="841">
        <f ca="1">+W97</f>
        <v>40685.805</v>
      </c>
      <c r="X7" s="841">
        <f ca="1">+X97</f>
        <v>44766.588499999998</v>
      </c>
      <c r="Y7" s="841">
        <f ca="1">+Y97</f>
        <v>45483.075720000001</v>
      </c>
      <c r="Z7" s="841">
        <f ca="1">+Z97</f>
        <v>40436.241730000009</v>
      </c>
      <c r="AA7" s="637">
        <f ca="1">+SUM(W7:Z7)</f>
        <v>171371.71095000001</v>
      </c>
      <c r="AB7" s="841">
        <f ca="1">+AB97</f>
        <v>48354.774229999995</v>
      </c>
      <c r="AC7" s="841">
        <f ca="1">+AC97</f>
        <v>46644.168120000002</v>
      </c>
      <c r="AD7" s="841">
        <f ca="1">+AD97</f>
        <v>51373.626230000002</v>
      </c>
      <c r="AE7" s="841">
        <f ca="1">+AE97</f>
        <v>44837.835890000002</v>
      </c>
      <c r="AF7" s="637">
        <f ca="1">+SUM(AB7:AE7)</f>
        <v>191210.40447000001</v>
      </c>
      <c r="AG7" s="841">
        <f ca="1">+AG97</f>
        <v>47323.97638</v>
      </c>
      <c r="AH7" s="841">
        <f ca="1">+AH97</f>
        <v>43144.14963</v>
      </c>
      <c r="AI7" s="841">
        <f ca="1">+AI97</f>
        <v>50027.470160000004</v>
      </c>
      <c r="AJ7" s="841">
        <f ca="1">+AJ97</f>
        <v>49218.7</v>
      </c>
      <c r="AK7" s="637">
        <f ca="1">+SUM(AG7:AJ7)</f>
        <v>189714.29616999999</v>
      </c>
      <c r="AL7" s="841">
        <f ca="1">+AL97</f>
        <v>50683.687290000002</v>
      </c>
      <c r="AM7" s="841">
        <f ca="1">+AM97</f>
        <v>55719.131580000001</v>
      </c>
      <c r="AN7" s="841">
        <f ca="1">+AN97</f>
        <v>50868.375529999998</v>
      </c>
      <c r="AO7" s="841">
        <f ca="1">+AO97</f>
        <v>49988.152990000002</v>
      </c>
      <c r="AP7" s="637">
        <f ca="1">+SUM(AL7:AO7)</f>
        <v>207259.34739000001</v>
      </c>
      <c r="AQ7" s="841">
        <f ca="1">+AQ97</f>
        <v>55602.698880000004</v>
      </c>
      <c r="AR7" s="841">
        <f ca="1">+AR97</f>
        <v>54247.260320000001</v>
      </c>
      <c r="AS7" s="841">
        <f ca="1">+AS97</f>
        <v>41985.478689999996</v>
      </c>
      <c r="AT7" s="841">
        <f ca="1">+AT97</f>
        <v>47361.427729999996</v>
      </c>
      <c r="AU7" s="637">
        <f ca="1">+SUM(AQ7:AT7)</f>
        <v>199196.86562</v>
      </c>
      <c r="AV7" s="841">
        <f ca="1">+AV97</f>
        <v>50799.559019999993</v>
      </c>
      <c r="AW7" s="1145"/>
      <c r="BK7" s="267"/>
      <c r="BL7" s="267"/>
      <c r="BM7" s="267"/>
      <c r="BN7" s="267"/>
      <c r="BO7" s="267"/>
      <c r="BP7" s="267"/>
      <c r="BQ7" s="267"/>
      <c r="BR7" s="267"/>
      <c r="BS7" s="267"/>
      <c r="BT7" s="267"/>
      <c r="BU7" s="267"/>
      <c r="BV7" s="267"/>
      <c r="BW7" s="267"/>
      <c r="BX7" s="267"/>
      <c r="BY7" s="267"/>
      <c r="BZ7" s="267"/>
      <c r="CA7" s="267"/>
      <c r="CB7" s="267"/>
      <c r="CC7" s="267"/>
      <c r="CD7" s="267"/>
      <c r="CE7" s="267"/>
      <c r="CF7" s="267"/>
      <c r="CG7" s="267"/>
    </row>
    <row r="8" spans="1:85" ht="13.5" customHeight="1" x14ac:dyDescent="0.2">
      <c r="B8" s="850" t="s">
        <v>66</v>
      </c>
      <c r="C8" s="849">
        <f ca="1">+SUM(C6:C7)</f>
        <v>263139.49319000001</v>
      </c>
      <c r="D8" s="849">
        <f ca="1">+SUM(D6:D7)</f>
        <v>316766.97174999997</v>
      </c>
      <c r="E8" s="849">
        <f ca="1">+SUM(E6:E7)</f>
        <v>355630.59041000006</v>
      </c>
      <c r="F8" s="849">
        <f ca="1">+SUM(F6:F7)</f>
        <v>394652.87448999996</v>
      </c>
      <c r="G8" s="848">
        <f ca="1">+SUM(C8:F8)</f>
        <v>1330189.9298399999</v>
      </c>
      <c r="H8" s="849">
        <f ca="1">+SUM(H6:H7)</f>
        <v>322849.44328000001</v>
      </c>
      <c r="I8" s="849">
        <f ca="1">+SUM(I6:I7)</f>
        <v>360398.53693999996</v>
      </c>
      <c r="J8" s="849">
        <f ca="1">+SUM(J6:J7)</f>
        <v>415845.59081999998</v>
      </c>
      <c r="K8" s="849">
        <f ca="1">+SUM(K6:K7)</f>
        <v>439626.19826000003</v>
      </c>
      <c r="L8" s="848">
        <f ca="1">+SUM(H8:K8)</f>
        <v>1538719.7693</v>
      </c>
      <c r="M8" s="849">
        <f ca="1">+SUM(M6:M7)</f>
        <v>367282.45629</v>
      </c>
      <c r="N8" s="849">
        <f ca="1">+SUM(N6:N7)</f>
        <v>406330.85576000006</v>
      </c>
      <c r="O8" s="849">
        <f ca="1">+SUM(O6:O7)</f>
        <v>415849.18766000005</v>
      </c>
      <c r="P8" s="849">
        <f ca="1">+SUM(P6:P7)</f>
        <v>463847.30074000004</v>
      </c>
      <c r="Q8" s="848">
        <f ca="1">+SUM(M8:P8)</f>
        <v>1653309.8004500002</v>
      </c>
      <c r="R8" s="849">
        <f ca="1">+SUM(R6:R7)</f>
        <v>345453.34173999995</v>
      </c>
      <c r="S8" s="849">
        <f ca="1">+SUM(S6:S7)</f>
        <v>160265.12508</v>
      </c>
      <c r="T8" s="849">
        <f ca="1">+SUM(T6:T7)</f>
        <v>358316.07078000001</v>
      </c>
      <c r="U8" s="849">
        <f ca="1">+SUM(U6:U7)</f>
        <v>386729.15333999996</v>
      </c>
      <c r="V8" s="848">
        <f ca="1">+SUM(R8:U8)</f>
        <v>1250763.6909399999</v>
      </c>
      <c r="W8" s="849">
        <f ca="1">+SUM(W6:W7)</f>
        <v>290764.73402999999</v>
      </c>
      <c r="X8" s="849">
        <f ca="1">+SUM(X6:X7)</f>
        <v>294711.26993999997</v>
      </c>
      <c r="Y8" s="849">
        <f ca="1">+SUM(Y6:Y7)</f>
        <v>289282.03484000004</v>
      </c>
      <c r="Z8" s="849">
        <f ca="1">+SUM(Z6:Z7)</f>
        <v>379482.27760999993</v>
      </c>
      <c r="AA8" s="848">
        <f ca="1">+SUM(W8:Z8)</f>
        <v>1254240.31642</v>
      </c>
      <c r="AB8" s="849">
        <f ca="1">+SUM(AB6:AB7)</f>
        <v>298338.78965999995</v>
      </c>
      <c r="AC8" s="849">
        <f ca="1">+SUM(AC6:AC7)</f>
        <v>375831.22440000001</v>
      </c>
      <c r="AD8" s="849">
        <f ca="1">+SUM(AD6:AD7)</f>
        <v>511410.33604000002</v>
      </c>
      <c r="AE8" s="849">
        <f ca="1">+SUM(AE6:AE7)</f>
        <v>506300.46126999997</v>
      </c>
      <c r="AF8" s="848">
        <f ca="1">+SUM(AB8:AE8)</f>
        <v>1691880.8113699998</v>
      </c>
      <c r="AG8" s="849">
        <f ca="1">+SUM(AG6:AG7)</f>
        <v>417226.32456999982</v>
      </c>
      <c r="AH8" s="849">
        <f ca="1">+SUM(AH6:AH7)</f>
        <v>457143.44667000009</v>
      </c>
      <c r="AI8" s="849">
        <f ca="1">+SUM(AI6:AI7)</f>
        <v>531099.36146000004</v>
      </c>
      <c r="AJ8" s="849">
        <f ca="1">+SUM(AJ6:AJ7)</f>
        <v>565970.18728000007</v>
      </c>
      <c r="AK8" s="848">
        <f ca="1">+SUM(AG8:AJ8)</f>
        <v>1971439.3199800001</v>
      </c>
      <c r="AL8" s="849">
        <f ca="1">+SUM(AL6:AL7)</f>
        <v>483235.76516999991</v>
      </c>
      <c r="AM8" s="849">
        <f ca="1">+SUM(AM6:AM7)</f>
        <v>584888.07593000005</v>
      </c>
      <c r="AN8" s="849">
        <f ca="1">+SUM(AN6:AN7)</f>
        <v>746758.51612000004</v>
      </c>
      <c r="AO8" s="849">
        <f ca="1">+SUM(AO6:AO7)</f>
        <v>770341.37877999991</v>
      </c>
      <c r="AP8" s="848">
        <f ca="1">+SUM(AL8:AO8)</f>
        <v>2585223.7359999996</v>
      </c>
      <c r="AQ8" s="849">
        <f ca="1">+SUM(AQ6:AQ7)</f>
        <v>545149.88712999993</v>
      </c>
      <c r="AR8" s="849">
        <f ca="1">+SUM(AR6:AR7)</f>
        <v>675686.34489999991</v>
      </c>
      <c r="AS8" s="849">
        <f ca="1">+SUM(AS6:AS7)</f>
        <v>786431.47869000002</v>
      </c>
      <c r="AT8" s="849">
        <f ca="1">+SUM(AT6:AT7)</f>
        <v>764752.75194999995</v>
      </c>
      <c r="AU8" s="848">
        <f ca="1">+SUM(AQ8:AT8)</f>
        <v>2772020.4626699998</v>
      </c>
      <c r="AV8" s="849">
        <f ca="1">+SUM(AV6:AV7)</f>
        <v>650034.98392000014</v>
      </c>
      <c r="BK8" s="267"/>
      <c r="BL8" s="267"/>
      <c r="BM8" s="267"/>
      <c r="BN8" s="267"/>
      <c r="BO8" s="267"/>
      <c r="BP8" s="267"/>
      <c r="BQ8" s="267"/>
      <c r="BR8" s="267"/>
      <c r="BS8" s="267"/>
      <c r="BT8" s="267"/>
      <c r="BU8" s="267"/>
      <c r="BV8" s="267"/>
      <c r="BW8" s="267"/>
      <c r="BX8" s="267"/>
      <c r="BY8" s="267"/>
      <c r="BZ8" s="267"/>
      <c r="CA8" s="267"/>
      <c r="CB8" s="267"/>
      <c r="CC8" s="267"/>
      <c r="CD8" s="267"/>
      <c r="CE8" s="267"/>
      <c r="CF8" s="267"/>
      <c r="CG8" s="267"/>
    </row>
    <row r="9" spans="1:85" ht="13.5" customHeight="1" x14ac:dyDescent="0.2">
      <c r="B9" s="842" t="s">
        <v>1422</v>
      </c>
      <c r="C9" s="841">
        <f ca="1">+C68+C98</f>
        <v>-49624.916319999989</v>
      </c>
      <c r="D9" s="884">
        <f ca="1">+D68+D98</f>
        <v>-51660.569389999968</v>
      </c>
      <c r="E9" s="841">
        <f ca="1">+E68+E98</f>
        <v>-69751.736580000055</v>
      </c>
      <c r="F9" s="841">
        <f ca="1">+F68+F98</f>
        <v>-75177.268309999956</v>
      </c>
      <c r="G9" s="898">
        <f ca="1">+SUM(C9:F9)</f>
        <v>-246214.49059999996</v>
      </c>
      <c r="H9" s="841">
        <f ca="1">+H68+H98</f>
        <v>-60777.078839999995</v>
      </c>
      <c r="I9" s="841">
        <f ca="1">+I68+I98</f>
        <v>-67123.213439999963</v>
      </c>
      <c r="J9" s="884">
        <f ca="1">+J68+J98</f>
        <v>-79388.163690000001</v>
      </c>
      <c r="K9" s="884">
        <f ca="1">+K68+K98</f>
        <v>-76878.744012542491</v>
      </c>
      <c r="L9" s="898">
        <f ca="1">+SUM(H9:K9)</f>
        <v>-284167.19998254243</v>
      </c>
      <c r="M9" s="841">
        <f ca="1">+M68+M98</f>
        <v>-70601.690199999983</v>
      </c>
      <c r="N9" s="841">
        <f ca="1">+N68+N98</f>
        <v>-74742.844070000036</v>
      </c>
      <c r="O9" s="841">
        <f ca="1">+O68+O98</f>
        <v>-75126.040760000004</v>
      </c>
      <c r="P9" s="841">
        <f ca="1">+P68+P98</f>
        <v>-85518.78118000002</v>
      </c>
      <c r="Q9" s="637">
        <f ca="1">+SUM(M9:P9)</f>
        <v>-305989.35621</v>
      </c>
      <c r="R9" s="841">
        <f ca="1">+R68+R98</f>
        <v>-65706.918319999953</v>
      </c>
      <c r="S9" s="841">
        <f ca="1">+S68+S98</f>
        <v>-30124.582640000001</v>
      </c>
      <c r="T9" s="841">
        <f ca="1">+T68+T98</f>
        <v>-69134.587800000008</v>
      </c>
      <c r="U9" s="841">
        <f ca="1">+U68+U98</f>
        <v>-73762.623569999952</v>
      </c>
      <c r="V9" s="637">
        <f ca="1">+SUM(R9:U9)</f>
        <v>-238728.71232999989</v>
      </c>
      <c r="W9" s="841">
        <f ca="1">+W68+W98</f>
        <v>-56852.589729999978</v>
      </c>
      <c r="X9" s="841">
        <f ca="1">+X68+X98</f>
        <v>-57645.011709999999</v>
      </c>
      <c r="Y9" s="841">
        <f ca="1">+Y68+Y98</f>
        <v>-57843.520080000009</v>
      </c>
      <c r="Z9" s="841">
        <f ca="1">+Z68+Z98</f>
        <v>-74556.185990000013</v>
      </c>
      <c r="AA9" s="637">
        <f ca="1">+SUM(W9:Z9)</f>
        <v>-246897.30751000001</v>
      </c>
      <c r="AB9" s="841">
        <f ca="1">+AB68+AB98</f>
        <v>-57272.680549999983</v>
      </c>
      <c r="AC9" s="841">
        <f ca="1">+AC68+AC98</f>
        <v>-71296.049840000051</v>
      </c>
      <c r="AD9" s="841">
        <f ca="1">+AD68+AD98</f>
        <v>-95901.64496000002</v>
      </c>
      <c r="AE9" s="841">
        <f ca="1">+AE68+AE98</f>
        <v>-96900.989790000051</v>
      </c>
      <c r="AF9" s="637">
        <f ca="1">+SUM(AB9:AE9)</f>
        <v>-321371.36514000013</v>
      </c>
      <c r="AG9" s="841">
        <f ca="1">+AG68+AG98</f>
        <v>-81188.375400000019</v>
      </c>
      <c r="AH9" s="884">
        <f ca="1">+AH68+AH98</f>
        <v>-90492.71663000001</v>
      </c>
      <c r="AI9" s="841">
        <f ca="1">+AI68+AI98</f>
        <v>-104121.76996999999</v>
      </c>
      <c r="AJ9" s="884">
        <f ca="1">+AJ68+AJ98</f>
        <v>-112168.91354999997</v>
      </c>
      <c r="AK9" s="898">
        <f ca="1">+SUM(AG9:AJ9)</f>
        <v>-387971.77555000002</v>
      </c>
      <c r="AL9" s="841">
        <f ca="1">+AL68+AL98</f>
        <v>-94064.972370000003</v>
      </c>
      <c r="AM9" s="841">
        <f ca="1">+AM68+AM98</f>
        <v>-112045.88618999999</v>
      </c>
      <c r="AN9" s="841">
        <f ca="1">+AN68+AN98</f>
        <v>-143004.25521</v>
      </c>
      <c r="AO9" s="841">
        <f ca="1">+AO68+AO98</f>
        <v>-145981.2050999999</v>
      </c>
      <c r="AP9" s="637">
        <f ca="1">+SUM(AL9:AO9)</f>
        <v>-495096.3188699999</v>
      </c>
      <c r="AQ9" s="841">
        <f ca="1">+AQ68+AQ98</f>
        <v>-104792.60045000003</v>
      </c>
      <c r="AR9" s="841">
        <f ca="1">+AR68+AR98</f>
        <v>-135146.78451999999</v>
      </c>
      <c r="AS9" s="841">
        <f ca="1">+AS68+AS98</f>
        <v>-152208.72914000001</v>
      </c>
      <c r="AT9" s="841">
        <f ca="1">+AT68+AT98</f>
        <v>-154444.44124999997</v>
      </c>
      <c r="AU9" s="637">
        <f ca="1">+SUM(AQ9:AT9)</f>
        <v>-546592.55536</v>
      </c>
      <c r="AV9" s="841">
        <f ca="1">+AV68+AV98</f>
        <v>-128756.31158999994</v>
      </c>
      <c r="BK9" s="267"/>
      <c r="BL9" s="267"/>
      <c r="BM9" s="267"/>
      <c r="BN9" s="267"/>
      <c r="BO9" s="267"/>
      <c r="BP9" s="267"/>
      <c r="BQ9" s="267"/>
      <c r="BR9" s="267"/>
      <c r="BS9" s="267"/>
      <c r="BT9" s="267"/>
      <c r="BU9" s="267"/>
      <c r="BV9" s="267"/>
      <c r="BW9" s="267"/>
      <c r="BX9" s="267"/>
      <c r="BY9" s="267"/>
      <c r="BZ9" s="267"/>
      <c r="CA9" s="267"/>
      <c r="CB9" s="267"/>
      <c r="CC9" s="267"/>
      <c r="CD9" s="267"/>
      <c r="CE9" s="267"/>
      <c r="CF9" s="267"/>
      <c r="CG9" s="267"/>
    </row>
    <row r="10" spans="1:85" s="835" customFormat="1" ht="13.5" customHeight="1" x14ac:dyDescent="0.2">
      <c r="A10" s="840"/>
      <c r="B10" s="845" t="s">
        <v>1088</v>
      </c>
      <c r="C10" s="844">
        <f ca="1">+C9/C8</f>
        <v>-0.18858786918833309</v>
      </c>
      <c r="D10" s="844">
        <f ca="1">+D9/D8</f>
        <v>-0.16308698190533488</v>
      </c>
      <c r="E10" s="844">
        <f ca="1">+E9/E8</f>
        <v>-0.1961353676003646</v>
      </c>
      <c r="F10" s="844">
        <f ca="1">+F9/F8</f>
        <v>-0.19048960027758485</v>
      </c>
      <c r="G10" s="843">
        <f ca="1">+G11/G8-1</f>
        <v>-0.18509724444359255</v>
      </c>
      <c r="H10" s="844">
        <f ca="1">+H9/H8</f>
        <v>-0.18825207880965558</v>
      </c>
      <c r="I10" s="844">
        <f ca="1">+I9/I8</f>
        <v>-0.18624718626750364</v>
      </c>
      <c r="J10" s="844">
        <f ca="1">+J9/J8</f>
        <v>-0.19090779232131719</v>
      </c>
      <c r="K10" s="844">
        <f ca="1">+K9/K8</f>
        <v>-0.17487298144837926</v>
      </c>
      <c r="L10" s="843">
        <f ca="1">+L11/L8-1</f>
        <v>-0.18467768183144673</v>
      </c>
      <c r="M10" s="844">
        <f ca="1">+M9/M8</f>
        <v>-0.19222723272209355</v>
      </c>
      <c r="N10" s="844">
        <f ca="1">+N9/N8</f>
        <v>-0.18394577475589746</v>
      </c>
      <c r="O10" s="844">
        <f ca="1">+O9/O8</f>
        <v>-0.18065693763341761</v>
      </c>
      <c r="P10" s="844">
        <f ca="1">+P9/P8</f>
        <v>-0.18436839245063494</v>
      </c>
      <c r="Q10" s="843">
        <f ca="1">+Q11/Q8-1</f>
        <v>-0.18507684169459071</v>
      </c>
      <c r="R10" s="844">
        <f ca="1">+R9/R8</f>
        <v>-0.19020489999906626</v>
      </c>
      <c r="S10" s="844">
        <f ca="1">+S9/S8</f>
        <v>-0.18796717392484877</v>
      </c>
      <c r="T10" s="844">
        <f ca="1">+T9/T8</f>
        <v>-0.19294302834228017</v>
      </c>
      <c r="U10" s="844">
        <f ca="1">+U9/U8</f>
        <v>-0.1907345824149704</v>
      </c>
      <c r="V10" s="843">
        <f ca="1">+V11/V8-1</f>
        <v>-0.19086635953637698</v>
      </c>
      <c r="W10" s="844">
        <f ca="1">+W9/W8</f>
        <v>-0.19552780332753197</v>
      </c>
      <c r="X10" s="844">
        <f ca="1">+X9/X8</f>
        <v>-0.19559826036424022</v>
      </c>
      <c r="Y10" s="844">
        <f ca="1">+Y9/Y8</f>
        <v>-0.19995545216623242</v>
      </c>
      <c r="Z10" s="844">
        <f ca="1">+Z9/Z8</f>
        <v>-0.19646816304455358</v>
      </c>
      <c r="AA10" s="843">
        <f ca="1">+AA11/AA8-1</f>
        <v>-0.19685008070440879</v>
      </c>
      <c r="AB10" s="844">
        <f ca="1">+AB9/AB8</f>
        <v>-0.19197195448594015</v>
      </c>
      <c r="AC10" s="844">
        <f ca="1">+AC9/AC8</f>
        <v>-0.18970230574594071</v>
      </c>
      <c r="AD10" s="844">
        <f ca="1">+AD9/AD8</f>
        <v>-0.18752386919395203</v>
      </c>
      <c r="AE10" s="844">
        <f ca="1">+AE9/AE8</f>
        <v>-0.1913902854185327</v>
      </c>
      <c r="AF10" s="843">
        <f ca="1">+AF11/AF8-1</f>
        <v>-0.18994917548581303</v>
      </c>
      <c r="AG10" s="844">
        <f ca="1">+AG9/AG8</f>
        <v>-0.19459073078304459</v>
      </c>
      <c r="AH10" s="844">
        <f ca="1">+AH9/AH8</f>
        <v>-0.19795256235035638</v>
      </c>
      <c r="AI10" s="844">
        <f ca="1">+AI9/AI8</f>
        <v>-0.19604951074271243</v>
      </c>
      <c r="AJ10" s="844">
        <f ca="1">+AJ9/AJ8</f>
        <v>-0.1981887316168954</v>
      </c>
      <c r="AK10" s="843">
        <f ca="1">+AK11/AK8-1</f>
        <v>-0.19679620448776292</v>
      </c>
      <c r="AL10" s="844">
        <f ca="1">+AL9/AL8</f>
        <v>-0.19465647857605992</v>
      </c>
      <c r="AM10" s="844">
        <f ca="1">+AM9/AM8</f>
        <v>-0.19156808080219737</v>
      </c>
      <c r="AN10" s="844">
        <f ca="1">+AN9/AN8</f>
        <v>-0.19149999916039792</v>
      </c>
      <c r="AO10" s="844">
        <f ca="1">+AO9/AO8</f>
        <v>-0.18950196513030668</v>
      </c>
      <c r="AP10" s="843">
        <f ca="1">+AP11/AP8-1</f>
        <v>-0.19151004687742801</v>
      </c>
      <c r="AQ10" s="844">
        <f ca="1">+AQ9/AQ8</f>
        <v>-0.19222713408543826</v>
      </c>
      <c r="AR10" s="844">
        <f ca="1">+AR9/AR8</f>
        <v>-0.20001408277682658</v>
      </c>
      <c r="AS10" s="844">
        <f ca="1">+AS9/AS8</f>
        <v>-0.19354353591433299</v>
      </c>
      <c r="AT10" s="844">
        <f ca="1">+AT9/AT8</f>
        <v>-0.20195342985846182</v>
      </c>
      <c r="AU10" s="843">
        <f ca="1">+AU11/AU8-1</f>
        <v>-0.19718200594865887</v>
      </c>
      <c r="AV10" s="844">
        <f ca="1">+AV9/AV8</f>
        <v>-0.19807597248619158</v>
      </c>
      <c r="AW10" s="836"/>
      <c r="AX10" s="836"/>
      <c r="AY10" s="836"/>
      <c r="AZ10" s="836"/>
      <c r="BA10" s="836"/>
      <c r="BB10" s="836"/>
      <c r="BC10" s="836"/>
      <c r="BD10" s="836"/>
      <c r="BE10" s="836"/>
      <c r="BH10" s="836"/>
      <c r="BI10" s="836"/>
      <c r="BJ10" s="836"/>
      <c r="BK10" s="836"/>
      <c r="BL10" s="836"/>
      <c r="BM10" s="836"/>
      <c r="BN10" s="836"/>
      <c r="BO10" s="836"/>
      <c r="BP10" s="836"/>
      <c r="BQ10" s="836"/>
      <c r="BR10" s="836"/>
      <c r="BS10" s="836"/>
      <c r="BT10" s="836"/>
      <c r="BU10" s="836"/>
      <c r="BV10" s="836"/>
      <c r="BW10" s="836"/>
      <c r="BX10" s="836"/>
      <c r="BY10" s="836"/>
      <c r="BZ10" s="836"/>
      <c r="CA10" s="836"/>
      <c r="CB10" s="836"/>
      <c r="CC10" s="836"/>
      <c r="CD10" s="836"/>
      <c r="CE10" s="836"/>
      <c r="CF10" s="836"/>
      <c r="CG10" s="836"/>
    </row>
    <row r="11" spans="1:85" ht="13.5" customHeight="1" x14ac:dyDescent="0.2">
      <c r="B11" s="850" t="s">
        <v>1087</v>
      </c>
      <c r="C11" s="849">
        <f ca="1">+C8+C9</f>
        <v>213514.57687000002</v>
      </c>
      <c r="D11" s="984">
        <f ca="1">+D8+D9</f>
        <v>265106.40236000001</v>
      </c>
      <c r="E11" s="849">
        <f ca="1">+E8+E9</f>
        <v>285878.85383000004</v>
      </c>
      <c r="F11" s="849">
        <f ca="1">+F8+F9</f>
        <v>319475.60618</v>
      </c>
      <c r="G11" s="985">
        <f ca="1">+SUM(C11:F11)</f>
        <v>1083975.4392400002</v>
      </c>
      <c r="H11" s="849">
        <f ca="1">+H8+H9</f>
        <v>262072.36444</v>
      </c>
      <c r="I11" s="849">
        <f ca="1">+I8+I9</f>
        <v>293275.3235</v>
      </c>
      <c r="J11" s="984">
        <f ca="1">+J8+J9</f>
        <v>336457.42712999997</v>
      </c>
      <c r="K11" s="984">
        <f ca="1">+K8+K9</f>
        <v>362747.45424745756</v>
      </c>
      <c r="L11" s="985">
        <f ca="1">+SUM(H11:K11)</f>
        <v>1254552.5693174575</v>
      </c>
      <c r="M11" s="849">
        <f ca="1">+M8+M9</f>
        <v>296680.76609000005</v>
      </c>
      <c r="N11" s="849">
        <f ca="1">+N8+N9</f>
        <v>331588.01169000001</v>
      </c>
      <c r="O11" s="849">
        <f ca="1">+O8+O9</f>
        <v>340723.14690000005</v>
      </c>
      <c r="P11" s="849">
        <f ca="1">+P8+P9</f>
        <v>378328.51956000004</v>
      </c>
      <c r="Q11" s="848">
        <f ca="1">+SUM(M11:P11)</f>
        <v>1347320.4442400001</v>
      </c>
      <c r="R11" s="849">
        <f ca="1">+R8+R9</f>
        <v>279746.42342000001</v>
      </c>
      <c r="S11" s="849">
        <f ca="1">+S8+S9</f>
        <v>130140.54243999999</v>
      </c>
      <c r="T11" s="849">
        <f ca="1">+T8+T9</f>
        <v>289181.48297999997</v>
      </c>
      <c r="U11" s="849">
        <f ca="1">+U8+U9</f>
        <v>312966.52977000002</v>
      </c>
      <c r="V11" s="848">
        <f ca="1">+SUM(R11:U11)</f>
        <v>1012034.97861</v>
      </c>
      <c r="W11" s="849">
        <f ca="1">+W8+W9</f>
        <v>233912.14430000001</v>
      </c>
      <c r="X11" s="849">
        <f ca="1">+X8+X9</f>
        <v>237066.25822999998</v>
      </c>
      <c r="Y11" s="849">
        <f ca="1">+Y8+Y9</f>
        <v>231438.51476000002</v>
      </c>
      <c r="Z11" s="849">
        <f ca="1">+Z8+Z9</f>
        <v>304926.0916199999</v>
      </c>
      <c r="AA11" s="848">
        <f ca="1">+SUM(W11:Z11)</f>
        <v>1007343.0089099999</v>
      </c>
      <c r="AB11" s="849">
        <f ca="1">+AB8+AB9</f>
        <v>241066.10910999996</v>
      </c>
      <c r="AC11" s="849">
        <f ca="1">+AC8+AC9</f>
        <v>304535.17455999996</v>
      </c>
      <c r="AD11" s="849">
        <f ca="1">+AD8+AD9</f>
        <v>415508.69108000002</v>
      </c>
      <c r="AE11" s="849">
        <f ca="1">+AE8+AE9</f>
        <v>409399.47147999995</v>
      </c>
      <c r="AF11" s="848">
        <f ca="1">+SUM(AB11:AE11)</f>
        <v>1370509.4462299999</v>
      </c>
      <c r="AG11" s="849">
        <f ca="1">+AG8+AG9</f>
        <v>336037.9491699998</v>
      </c>
      <c r="AH11" s="849">
        <f ca="1">+AH8+AH9</f>
        <v>366650.73004000005</v>
      </c>
      <c r="AI11" s="849">
        <f ca="1">+AI8+AI9</f>
        <v>426977.59149000002</v>
      </c>
      <c r="AJ11" s="849">
        <f ca="1">+AJ8+AJ9</f>
        <v>453801.27373000013</v>
      </c>
      <c r="AK11" s="848">
        <f ca="1">+SUM(AG11:AJ11)</f>
        <v>1583467.5444299998</v>
      </c>
      <c r="AL11" s="849">
        <f ca="1">+AL8+AL9</f>
        <v>389170.79279999994</v>
      </c>
      <c r="AM11" s="849">
        <f ca="1">+AM8+AM9</f>
        <v>472842.18974000006</v>
      </c>
      <c r="AN11" s="849">
        <f ca="1">+AN8+AN9</f>
        <v>603754.26091000007</v>
      </c>
      <c r="AO11" s="849">
        <f ca="1">+AO8+AO9</f>
        <v>624360.17368000001</v>
      </c>
      <c r="AP11" s="848">
        <f ca="1">+SUM(AL11:AO11)</f>
        <v>2090127.41713</v>
      </c>
      <c r="AQ11" s="849">
        <f ca="1">+AQ8+AQ9</f>
        <v>440357.2866799999</v>
      </c>
      <c r="AR11" s="849">
        <f ca="1">+AR8+AR9</f>
        <v>540539.56037999992</v>
      </c>
      <c r="AS11" s="849">
        <f ca="1">+AS8+AS9</f>
        <v>634222.74955000007</v>
      </c>
      <c r="AT11" s="849">
        <f ca="1">+AT8+AT9</f>
        <v>610308.31070000003</v>
      </c>
      <c r="AU11" s="848">
        <f ca="1">+SUM(AQ11:AT11)</f>
        <v>2225427.9073099997</v>
      </c>
      <c r="AV11" s="849">
        <f ca="1">+AV8+AV9</f>
        <v>521278.6723300002</v>
      </c>
      <c r="BK11" s="267"/>
      <c r="BL11" s="267"/>
      <c r="BM11" s="267"/>
      <c r="BN11" s="267"/>
      <c r="BO11" s="267"/>
      <c r="BP11" s="267"/>
      <c r="BQ11" s="267"/>
      <c r="BR11" s="267"/>
      <c r="BS11" s="267"/>
      <c r="BT11" s="267"/>
      <c r="BU11" s="267"/>
      <c r="BV11" s="267"/>
      <c r="BW11" s="267"/>
      <c r="BX11" s="267"/>
      <c r="BY11" s="267"/>
      <c r="BZ11" s="267"/>
      <c r="CA11" s="267"/>
      <c r="CB11" s="267"/>
      <c r="CC11" s="267"/>
      <c r="CD11" s="267"/>
      <c r="CE11" s="267"/>
      <c r="CF11" s="267"/>
      <c r="CG11" s="267"/>
    </row>
    <row r="12" spans="1:85" ht="13.5" customHeight="1" x14ac:dyDescent="0.2">
      <c r="B12" s="842" t="s">
        <v>1089</v>
      </c>
      <c r="C12" s="841">
        <f ca="1">+C101+C71</f>
        <v>-174885.20908999996</v>
      </c>
      <c r="D12" s="841">
        <f ca="1">+D101+D71</f>
        <v>-205921.02704999998</v>
      </c>
      <c r="E12" s="841">
        <f ca="1">+E101+E71</f>
        <v>-226186.00294999999</v>
      </c>
      <c r="F12" s="884">
        <f ca="1">+F101+F71</f>
        <v>-247342.45374</v>
      </c>
      <c r="G12" s="898">
        <f ca="1">+SUM(C12:F12)</f>
        <v>-854334.69282999996</v>
      </c>
      <c r="H12" s="841">
        <f ca="1">+H101+H71</f>
        <v>-207146.03266</v>
      </c>
      <c r="I12" s="841">
        <f ca="1">+I101+I71</f>
        <v>-229983.15228000004</v>
      </c>
      <c r="J12" s="841">
        <f ca="1">+J101+J71</f>
        <v>-258371.40411000003</v>
      </c>
      <c r="K12" s="841">
        <f ca="1">+K101+K71</f>
        <v>-274428.48563000001</v>
      </c>
      <c r="L12" s="637">
        <f ca="1">+SUM(H12:K12)</f>
        <v>-969929.07468000008</v>
      </c>
      <c r="M12" s="841">
        <f ca="1">+M101+M71</f>
        <v>-219858.89009999999</v>
      </c>
      <c r="N12" s="841">
        <f ca="1">+N101+N71</f>
        <v>-249765.45636999997</v>
      </c>
      <c r="O12" s="884">
        <f ca="1">+O101+O71</f>
        <v>-251705.60509</v>
      </c>
      <c r="P12" s="841">
        <f ca="1">+P101+P71</f>
        <v>-279067.12414000003</v>
      </c>
      <c r="Q12" s="898">
        <f ca="1">+SUM(M12:P12)</f>
        <v>-1000397.0756999999</v>
      </c>
      <c r="R12" s="841">
        <f ca="1">+R101+R71</f>
        <v>-207887.47123</v>
      </c>
      <c r="S12" s="841">
        <f ca="1">+S101+S71</f>
        <v>-105924.01414000001</v>
      </c>
      <c r="T12" s="841">
        <f ca="1">+T101+T71</f>
        <v>-212365.89350000001</v>
      </c>
      <c r="U12" s="884">
        <f ca="1">+U101+U71</f>
        <v>-233198.58012999999</v>
      </c>
      <c r="V12" s="898">
        <f ca="1">+SUM(R12:U12)</f>
        <v>-759375.95900000003</v>
      </c>
      <c r="W12" s="841">
        <f ca="1">+W101+W71</f>
        <v>-179455.29472000001</v>
      </c>
      <c r="X12" s="841">
        <f ca="1">+X101+X71</f>
        <v>-180934.97625000001</v>
      </c>
      <c r="Y12" s="841">
        <f ca="1">+Y101+Y71</f>
        <v>-178037.60190000004</v>
      </c>
      <c r="Z12" s="841">
        <f ca="1">+Z101+Z71</f>
        <v>-234425.64186999999</v>
      </c>
      <c r="AA12" s="637">
        <f ca="1">+SUM(W12:Z12)</f>
        <v>-772853.51474000001</v>
      </c>
      <c r="AB12" s="841">
        <f ca="1">+AB101+AB71</f>
        <v>-189639.96300000002</v>
      </c>
      <c r="AC12" s="841">
        <f ca="1">+AC101+AC71</f>
        <v>-234569.45392</v>
      </c>
      <c r="AD12" s="841">
        <f ca="1">+AD101+AD71</f>
        <v>-308460.46995000006</v>
      </c>
      <c r="AE12" s="841">
        <f ca="1">+AE101+AE71</f>
        <v>-314562.2389</v>
      </c>
      <c r="AF12" s="637">
        <f ca="1">+SUM(AB12:AE12)</f>
        <v>-1047232.12577</v>
      </c>
      <c r="AG12" s="841">
        <f ca="1">+AG101+AG71</f>
        <v>-263831.30074999994</v>
      </c>
      <c r="AH12" s="841">
        <f ca="1">+AH101+AH71</f>
        <v>-285486.00792</v>
      </c>
      <c r="AI12" s="841">
        <f ca="1">+AI101+AI71</f>
        <v>-323024.90090000001</v>
      </c>
      <c r="AJ12" s="841">
        <f ca="1">+AJ101+AJ71</f>
        <v>-349351.46576999989</v>
      </c>
      <c r="AK12" s="637">
        <f ca="1">+SUM(AG12:AJ12)</f>
        <v>-1221693.6753399998</v>
      </c>
      <c r="AL12" s="841">
        <f ca="1">+AL101+AL71</f>
        <v>-302974.08583000011</v>
      </c>
      <c r="AM12" s="841">
        <f ca="1">+AM101+AM71</f>
        <v>-364045.45872</v>
      </c>
      <c r="AN12" s="841">
        <f ca="1">+AN101+AN71</f>
        <v>-451605.84516999999</v>
      </c>
      <c r="AO12" s="841">
        <f ca="1">+AO101+AO71</f>
        <v>-469944.28493000008</v>
      </c>
      <c r="AP12" s="637">
        <f ca="1">+SUM(AL12:AO12)</f>
        <v>-1588569.6746500002</v>
      </c>
      <c r="AQ12" s="841">
        <f ca="1">+AQ101+AQ71</f>
        <v>-343085.97573999997</v>
      </c>
      <c r="AR12" s="841">
        <f ca="1">+AR101+AR71</f>
        <v>-416201.83328000014</v>
      </c>
      <c r="AS12" s="841">
        <f ca="1">+AS101+AS71</f>
        <v>-489089.24266999989</v>
      </c>
      <c r="AT12" s="841">
        <f ca="1">+AT101+AT71</f>
        <v>-494983.74732000002</v>
      </c>
      <c r="AU12" s="637">
        <f ca="1">+SUM(AQ12:AT12)</f>
        <v>-1743360.79901</v>
      </c>
      <c r="AV12" s="841">
        <f ca="1">+AV101+AV71</f>
        <v>-423037.62693000003</v>
      </c>
      <c r="BK12" s="267"/>
      <c r="BL12" s="267"/>
      <c r="BM12" s="267"/>
      <c r="BN12" s="267"/>
      <c r="BO12" s="267"/>
      <c r="BP12" s="267"/>
      <c r="BQ12" s="267"/>
      <c r="BR12" s="267"/>
      <c r="BS12" s="267"/>
      <c r="BT12" s="267"/>
      <c r="BU12" s="267"/>
      <c r="BV12" s="267"/>
      <c r="BW12" s="267"/>
      <c r="BX12" s="267"/>
      <c r="BY12" s="267"/>
      <c r="BZ12" s="267"/>
      <c r="CA12" s="267"/>
      <c r="CB12" s="267"/>
      <c r="CC12" s="267"/>
      <c r="CD12" s="267"/>
      <c r="CE12" s="267"/>
      <c r="CF12" s="267"/>
      <c r="CG12" s="267"/>
    </row>
    <row r="13" spans="1:85" s="835" customFormat="1" ht="13.5" customHeight="1" x14ac:dyDescent="0.2">
      <c r="A13" s="840"/>
      <c r="B13" s="845" t="s">
        <v>1090</v>
      </c>
      <c r="C13" s="844">
        <f t="shared" ref="C13:S13" ca="1" si="0">+C12/C11</f>
        <v>-0.81907854561368032</v>
      </c>
      <c r="D13" s="844">
        <f t="shared" ca="1" si="0"/>
        <v>-0.77674860062553475</v>
      </c>
      <c r="E13" s="844">
        <f t="shared" ca="1" si="0"/>
        <v>-0.79119529101128683</v>
      </c>
      <c r="F13" s="844">
        <f t="shared" ca="1" si="0"/>
        <v>-0.77421389600757651</v>
      </c>
      <c r="G13" s="843">
        <f t="shared" ca="1" si="0"/>
        <v>-0.78814949297097858</v>
      </c>
      <c r="H13" s="844">
        <f t="shared" ca="1" si="0"/>
        <v>-0.79041539958870755</v>
      </c>
      <c r="I13" s="844">
        <f t="shared" ca="1" si="0"/>
        <v>-0.78418855543432731</v>
      </c>
      <c r="J13" s="844">
        <f t="shared" ca="1" si="0"/>
        <v>-0.76791707739645421</v>
      </c>
      <c r="K13" s="844">
        <f t="shared" ca="1" si="0"/>
        <v>-0.75652766798686211</v>
      </c>
      <c r="L13" s="843">
        <f t="shared" ca="1" si="0"/>
        <v>-0.77312748656494523</v>
      </c>
      <c r="M13" s="844">
        <f t="shared" ca="1" si="0"/>
        <v>-0.7410621625309689</v>
      </c>
      <c r="N13" s="844">
        <f t="shared" ca="1" si="0"/>
        <v>-0.75324030895153249</v>
      </c>
      <c r="O13" s="844">
        <f t="shared" ca="1" si="0"/>
        <v>-0.73873937647058041</v>
      </c>
      <c r="P13" s="844">
        <f t="shared" ca="1" si="0"/>
        <v>-0.73763173990836839</v>
      </c>
      <c r="Q13" s="843">
        <f t="shared" ca="1" si="0"/>
        <v>-0.74250864371341629</v>
      </c>
      <c r="R13" s="844">
        <f t="shared" ca="1" si="0"/>
        <v>-0.7431282541113533</v>
      </c>
      <c r="S13" s="844">
        <f t="shared" ca="1" si="0"/>
        <v>-0.81392018316532866</v>
      </c>
      <c r="T13" s="844">
        <f t="shared" ref="T13:Y13" ca="1" si="1">+T12/T11</f>
        <v>-0.73436892055321334</v>
      </c>
      <c r="U13" s="844">
        <f t="shared" ca="1" si="1"/>
        <v>-0.74512306572008924</v>
      </c>
      <c r="V13" s="843">
        <f t="shared" ca="1" si="1"/>
        <v>-0.75034556616114234</v>
      </c>
      <c r="W13" s="844">
        <f t="shared" ca="1" si="1"/>
        <v>-0.76719101206580664</v>
      </c>
      <c r="X13" s="844">
        <f t="shared" ca="1" si="1"/>
        <v>-0.76322534299443912</v>
      </c>
      <c r="Y13" s="844">
        <f t="shared" ca="1" si="1"/>
        <v>-0.76926522832478283</v>
      </c>
      <c r="Z13" s="844">
        <f t="shared" ref="Z13:AF13" ca="1" si="2">+Z12/Z11</f>
        <v>-0.76879495822922939</v>
      </c>
      <c r="AA13" s="843">
        <f t="shared" ca="1" si="2"/>
        <v>-0.76721981281854501</v>
      </c>
      <c r="AB13" s="844">
        <f t="shared" ca="1" si="2"/>
        <v>-0.78667201997053071</v>
      </c>
      <c r="AC13" s="844">
        <f t="shared" ca="1" si="2"/>
        <v>-0.77025405770913591</v>
      </c>
      <c r="AD13" s="844">
        <f t="shared" ca="1" si="2"/>
        <v>-0.74236827429106789</v>
      </c>
      <c r="AE13" s="844">
        <f t="shared" ca="1" si="2"/>
        <v>-0.76835037857484645</v>
      </c>
      <c r="AF13" s="843">
        <f t="shared" ca="1" si="2"/>
        <v>-0.76411886736769907</v>
      </c>
      <c r="AG13" s="844">
        <f t="shared" ref="AG13:AM13" ca="1" si="3">+AG12/AG11</f>
        <v>-0.78512352965387577</v>
      </c>
      <c r="AH13" s="844">
        <f t="shared" ca="1" si="3"/>
        <v>-0.77863204551332732</v>
      </c>
      <c r="AI13" s="844">
        <f t="shared" ca="1" si="3"/>
        <v>-0.75653829928816152</v>
      </c>
      <c r="AJ13" s="844">
        <f t="shared" ca="1" si="3"/>
        <v>-0.76983359455675493</v>
      </c>
      <c r="AK13" s="843">
        <f t="shared" ca="1" si="3"/>
        <v>-0.77153060676072938</v>
      </c>
      <c r="AL13" s="844">
        <f t="shared" ca="1" si="3"/>
        <v>-0.7785118807353627</v>
      </c>
      <c r="AM13" s="844">
        <f t="shared" ca="1" si="3"/>
        <v>-0.76990900266360807</v>
      </c>
      <c r="AN13" s="844">
        <f t="shared" ref="AN13:AV13" ca="1" si="4">+AN12/AN11</f>
        <v>-0.74799612095378587</v>
      </c>
      <c r="AO13" s="844">
        <f t="shared" ca="1" si="4"/>
        <v>-0.75268139247276544</v>
      </c>
      <c r="AP13" s="843">
        <f t="shared" ca="1" si="4"/>
        <v>-0.76003484841670577</v>
      </c>
      <c r="AQ13" s="844">
        <f t="shared" ca="1" si="4"/>
        <v>-0.77910820626278099</v>
      </c>
      <c r="AR13" s="844">
        <f t="shared" ca="1" si="4"/>
        <v>-0.76997478776097306</v>
      </c>
      <c r="AS13" s="844">
        <f t="shared" ca="1" si="4"/>
        <v>-0.7711631962382669</v>
      </c>
      <c r="AT13" s="844">
        <f t="shared" ca="1" si="4"/>
        <v>-0.81103884486231692</v>
      </c>
      <c r="AU13" s="843">
        <f t="shared" ca="1" si="4"/>
        <v>-0.78338228494550455</v>
      </c>
      <c r="AV13" s="844">
        <f t="shared" ca="1" si="4"/>
        <v>-0.81153833714146706</v>
      </c>
      <c r="AW13" s="836"/>
      <c r="AX13" s="836"/>
      <c r="AY13" s="836"/>
      <c r="AZ13" s="836"/>
      <c r="BA13" s="836"/>
      <c r="BB13" s="836"/>
      <c r="BC13" s="836"/>
      <c r="BD13" s="836"/>
      <c r="BE13" s="836"/>
      <c r="BH13" s="836"/>
      <c r="BI13" s="836"/>
      <c r="BJ13" s="836"/>
      <c r="BK13" s="836"/>
      <c r="BL13" s="836"/>
      <c r="BM13" s="836"/>
      <c r="BN13" s="836"/>
      <c r="BO13" s="836"/>
      <c r="BP13" s="836"/>
      <c r="BQ13" s="836"/>
      <c r="BR13" s="836"/>
      <c r="BS13" s="836"/>
      <c r="BT13" s="836"/>
      <c r="BU13" s="836"/>
      <c r="BV13" s="836"/>
      <c r="BW13" s="836"/>
      <c r="BX13" s="836"/>
      <c r="BY13" s="836"/>
      <c r="BZ13" s="836"/>
      <c r="CA13" s="836"/>
      <c r="CB13" s="836"/>
      <c r="CC13" s="836"/>
      <c r="CD13" s="836"/>
      <c r="CE13" s="836"/>
      <c r="CF13" s="836"/>
      <c r="CG13" s="836"/>
    </row>
    <row r="14" spans="1:85" ht="13.5" customHeight="1" x14ac:dyDescent="0.2">
      <c r="A14" s="24"/>
      <c r="B14" s="850" t="s">
        <v>1091</v>
      </c>
      <c r="C14" s="849">
        <f t="shared" ref="C14:S14" ca="1" si="5">+C11+C12</f>
        <v>38629.367780000059</v>
      </c>
      <c r="D14" s="849">
        <f t="shared" ca="1" si="5"/>
        <v>59185.375310000032</v>
      </c>
      <c r="E14" s="849">
        <f t="shared" ca="1" si="5"/>
        <v>59692.850880000042</v>
      </c>
      <c r="F14" s="984">
        <f t="shared" ca="1" si="5"/>
        <v>72133.152440000005</v>
      </c>
      <c r="G14" s="985">
        <f t="shared" ca="1" si="5"/>
        <v>229640.74641000025</v>
      </c>
      <c r="H14" s="849">
        <f t="shared" ca="1" si="5"/>
        <v>54926.331780000008</v>
      </c>
      <c r="I14" s="849">
        <f t="shared" ca="1" si="5"/>
        <v>63292.17121999996</v>
      </c>
      <c r="J14" s="984">
        <f t="shared" ca="1" si="5"/>
        <v>78086.023019999935</v>
      </c>
      <c r="K14" s="984">
        <f t="shared" ca="1" si="5"/>
        <v>88318.968617457547</v>
      </c>
      <c r="L14" s="985">
        <f t="shared" ca="1" si="5"/>
        <v>284623.49463745742</v>
      </c>
      <c r="M14" s="849">
        <f t="shared" ca="1" si="5"/>
        <v>76821.875990000059</v>
      </c>
      <c r="N14" s="849">
        <f t="shared" ca="1" si="5"/>
        <v>81822.555320000043</v>
      </c>
      <c r="O14" s="984">
        <f t="shared" ca="1" si="5"/>
        <v>89017.541810000053</v>
      </c>
      <c r="P14" s="849">
        <f t="shared" ca="1" si="5"/>
        <v>99261.395420000015</v>
      </c>
      <c r="Q14" s="985">
        <f t="shared" ca="1" si="5"/>
        <v>346923.36854000017</v>
      </c>
      <c r="R14" s="849">
        <f t="shared" ca="1" si="5"/>
        <v>71858.952190000011</v>
      </c>
      <c r="S14" s="849">
        <f t="shared" ca="1" si="5"/>
        <v>24216.528299999976</v>
      </c>
      <c r="T14" s="849">
        <f t="shared" ref="T14:Y14" ca="1" si="6">+T11+T12</f>
        <v>76815.589479999966</v>
      </c>
      <c r="U14" s="984">
        <f t="shared" ca="1" si="6"/>
        <v>79767.949640000035</v>
      </c>
      <c r="V14" s="985">
        <f t="shared" ca="1" si="6"/>
        <v>252659.01960999996</v>
      </c>
      <c r="W14" s="849">
        <f t="shared" ca="1" si="6"/>
        <v>54456.849580000009</v>
      </c>
      <c r="X14" s="849">
        <f t="shared" ca="1" si="6"/>
        <v>56131.281979999971</v>
      </c>
      <c r="Y14" s="849">
        <f t="shared" ca="1" si="6"/>
        <v>53400.912859999982</v>
      </c>
      <c r="Z14" s="849">
        <f t="shared" ref="Z14:AF14" ca="1" si="7">+Z11+Z12</f>
        <v>70500.449749999912</v>
      </c>
      <c r="AA14" s="848">
        <f t="shared" ca="1" si="7"/>
        <v>234489.49416999985</v>
      </c>
      <c r="AB14" s="849">
        <f t="shared" ca="1" si="7"/>
        <v>51426.146109999943</v>
      </c>
      <c r="AC14" s="849">
        <f t="shared" ca="1" si="7"/>
        <v>69965.720639999956</v>
      </c>
      <c r="AD14" s="849">
        <f t="shared" ca="1" si="7"/>
        <v>107048.22112999996</v>
      </c>
      <c r="AE14" s="849">
        <f t="shared" ca="1" si="7"/>
        <v>94837.232579999953</v>
      </c>
      <c r="AF14" s="848">
        <f t="shared" ca="1" si="7"/>
        <v>323277.32045999984</v>
      </c>
      <c r="AG14" s="849">
        <f t="shared" ref="AG14:AM14" ca="1" si="8">+AG11+AG12</f>
        <v>72206.648419999867</v>
      </c>
      <c r="AH14" s="849">
        <f t="shared" ca="1" si="8"/>
        <v>81164.722120000049</v>
      </c>
      <c r="AI14" s="849">
        <f t="shared" ca="1" si="8"/>
        <v>103952.69059000001</v>
      </c>
      <c r="AJ14" s="849">
        <f t="shared" ca="1" si="8"/>
        <v>104449.80796000024</v>
      </c>
      <c r="AK14" s="848">
        <f t="shared" ca="1" si="8"/>
        <v>361773.86908999993</v>
      </c>
      <c r="AL14" s="849">
        <f t="shared" ca="1" si="8"/>
        <v>86196.706969999825</v>
      </c>
      <c r="AM14" s="849">
        <f t="shared" ca="1" si="8"/>
        <v>108796.73102000006</v>
      </c>
      <c r="AN14" s="849">
        <f t="shared" ref="AN14:AV14" ca="1" si="9">+AN11+AN12</f>
        <v>152148.41574000008</v>
      </c>
      <c r="AO14" s="849">
        <f t="shared" ca="1" si="9"/>
        <v>154415.88874999993</v>
      </c>
      <c r="AP14" s="848">
        <f t="shared" ca="1" si="9"/>
        <v>501557.74247999978</v>
      </c>
      <c r="AQ14" s="849">
        <f t="shared" ca="1" si="9"/>
        <v>97271.310939999938</v>
      </c>
      <c r="AR14" s="849">
        <f t="shared" ca="1" si="9"/>
        <v>124337.72709999979</v>
      </c>
      <c r="AS14" s="849">
        <f t="shared" ca="1" si="9"/>
        <v>145133.50688000018</v>
      </c>
      <c r="AT14" s="849">
        <f t="shared" ca="1" si="9"/>
        <v>115324.56338000001</v>
      </c>
      <c r="AU14" s="848">
        <f t="shared" ca="1" si="9"/>
        <v>482067.10829999973</v>
      </c>
      <c r="AV14" s="849">
        <f t="shared" ca="1" si="9"/>
        <v>98241.045400000177</v>
      </c>
      <c r="AW14" s="907"/>
      <c r="BK14" s="267"/>
      <c r="BL14" s="267"/>
      <c r="BM14" s="267"/>
      <c r="BN14" s="267"/>
      <c r="BO14" s="267"/>
      <c r="BP14" s="267"/>
      <c r="BQ14" s="267"/>
      <c r="BR14" s="267"/>
      <c r="BS14" s="267"/>
      <c r="BT14" s="267"/>
      <c r="BU14" s="267"/>
      <c r="BV14" s="267"/>
      <c r="BW14" s="267"/>
      <c r="BX14" s="267"/>
      <c r="BY14" s="267"/>
      <c r="BZ14" s="267"/>
      <c r="CA14" s="267"/>
      <c r="CB14" s="267"/>
      <c r="CC14" s="267"/>
      <c r="CD14" s="267"/>
      <c r="CE14" s="267"/>
      <c r="CF14" s="267"/>
      <c r="CG14" s="267"/>
    </row>
    <row r="15" spans="1:85" s="835" customFormat="1" ht="13.5" customHeight="1" x14ac:dyDescent="0.2">
      <c r="A15" s="840"/>
      <c r="B15" s="845" t="s">
        <v>1092</v>
      </c>
      <c r="C15" s="844">
        <f t="shared" ref="C15:S15" ca="1" si="10">+C14/C11</f>
        <v>0.18092145438631971</v>
      </c>
      <c r="D15" s="844">
        <f t="shared" ca="1" si="10"/>
        <v>0.22325139937446523</v>
      </c>
      <c r="E15" s="844">
        <f t="shared" ca="1" si="10"/>
        <v>0.20880470898871323</v>
      </c>
      <c r="F15" s="844">
        <f t="shared" ca="1" si="10"/>
        <v>0.22578610399242346</v>
      </c>
      <c r="G15" s="843">
        <f t="shared" ca="1" si="10"/>
        <v>0.21185050702902142</v>
      </c>
      <c r="H15" s="844">
        <f t="shared" ca="1" si="10"/>
        <v>0.20958460041129245</v>
      </c>
      <c r="I15" s="844">
        <f t="shared" ca="1" si="10"/>
        <v>0.21581144456567264</v>
      </c>
      <c r="J15" s="844">
        <f t="shared" ca="1" si="10"/>
        <v>0.23208292260354579</v>
      </c>
      <c r="K15" s="844">
        <f t="shared" ca="1" si="10"/>
        <v>0.24347233201313792</v>
      </c>
      <c r="L15" s="843">
        <f t="shared" ca="1" si="10"/>
        <v>0.22687251343505482</v>
      </c>
      <c r="M15" s="844">
        <f t="shared" ca="1" si="10"/>
        <v>0.2589378374690311</v>
      </c>
      <c r="N15" s="844">
        <f t="shared" ca="1" si="10"/>
        <v>0.24675969104846754</v>
      </c>
      <c r="O15" s="844">
        <f t="shared" ca="1" si="10"/>
        <v>0.26126062352941964</v>
      </c>
      <c r="P15" s="844">
        <f t="shared" ca="1" si="10"/>
        <v>0.26236826009163156</v>
      </c>
      <c r="Q15" s="843">
        <f t="shared" ca="1" si="10"/>
        <v>0.25749135628658376</v>
      </c>
      <c r="R15" s="844">
        <f t="shared" ca="1" si="10"/>
        <v>0.2568717458886467</v>
      </c>
      <c r="S15" s="844">
        <f t="shared" ca="1" si="10"/>
        <v>0.1860798168346714</v>
      </c>
      <c r="T15" s="844">
        <f t="shared" ref="T15:Y15" ca="1" si="11">+T14/T11</f>
        <v>0.26563107944678671</v>
      </c>
      <c r="U15" s="844">
        <f t="shared" ca="1" si="11"/>
        <v>0.25487693427991076</v>
      </c>
      <c r="V15" s="843">
        <f t="shared" ca="1" si="11"/>
        <v>0.24965443383885766</v>
      </c>
      <c r="W15" s="844">
        <f t="shared" ca="1" si="11"/>
        <v>0.23280898793419341</v>
      </c>
      <c r="X15" s="844">
        <f t="shared" ca="1" si="11"/>
        <v>0.23677465700556088</v>
      </c>
      <c r="Y15" s="844">
        <f t="shared" ca="1" si="11"/>
        <v>0.23073477167521717</v>
      </c>
      <c r="Z15" s="844">
        <f t="shared" ref="Z15:AF15" ca="1" si="12">+Z14/Z11</f>
        <v>0.23120504177077064</v>
      </c>
      <c r="AA15" s="843">
        <f t="shared" ca="1" si="12"/>
        <v>0.23278018718145499</v>
      </c>
      <c r="AB15" s="844">
        <f t="shared" ca="1" si="12"/>
        <v>0.21332798002946932</v>
      </c>
      <c r="AC15" s="844">
        <f t="shared" ca="1" si="12"/>
        <v>0.22974594229086404</v>
      </c>
      <c r="AD15" s="844">
        <f t="shared" ca="1" si="12"/>
        <v>0.25763172570893211</v>
      </c>
      <c r="AE15" s="844">
        <f t="shared" ca="1" si="12"/>
        <v>0.23164962142515358</v>
      </c>
      <c r="AF15" s="843">
        <f t="shared" ca="1" si="12"/>
        <v>0.2358811326323009</v>
      </c>
      <c r="AG15" s="844">
        <f t="shared" ref="AG15:AM15" ca="1" si="13">+AG14/AG11</f>
        <v>0.21487647034612423</v>
      </c>
      <c r="AH15" s="844">
        <f t="shared" ca="1" si="13"/>
        <v>0.22136795448667271</v>
      </c>
      <c r="AI15" s="844">
        <f t="shared" ca="1" si="13"/>
        <v>0.24346170071183848</v>
      </c>
      <c r="AJ15" s="844">
        <f t="shared" ca="1" si="13"/>
        <v>0.23016640544324504</v>
      </c>
      <c r="AK15" s="843">
        <f t="shared" ca="1" si="13"/>
        <v>0.22846939323927068</v>
      </c>
      <c r="AL15" s="844">
        <f t="shared" ca="1" si="13"/>
        <v>0.22148811926463727</v>
      </c>
      <c r="AM15" s="844">
        <f t="shared" ca="1" si="13"/>
        <v>0.23009099733639191</v>
      </c>
      <c r="AN15" s="844">
        <f t="shared" ref="AN15:AV15" ca="1" si="14">+AN14/AN11</f>
        <v>0.25200387904621419</v>
      </c>
      <c r="AO15" s="844">
        <f t="shared" ca="1" si="14"/>
        <v>0.24731860752723456</v>
      </c>
      <c r="AP15" s="843">
        <f t="shared" ca="1" si="14"/>
        <v>0.23996515158329426</v>
      </c>
      <c r="AQ15" s="844">
        <f t="shared" ca="1" si="14"/>
        <v>0.22089179373721896</v>
      </c>
      <c r="AR15" s="844">
        <f t="shared" ca="1" si="14"/>
        <v>0.23002521223902692</v>
      </c>
      <c r="AS15" s="844">
        <f t="shared" ca="1" si="14"/>
        <v>0.22883680376173313</v>
      </c>
      <c r="AT15" s="844">
        <f t="shared" ca="1" si="14"/>
        <v>0.18896115513768311</v>
      </c>
      <c r="AU15" s="843">
        <f t="shared" ca="1" si="14"/>
        <v>0.21661771505449551</v>
      </c>
      <c r="AV15" s="844">
        <f t="shared" ca="1" si="14"/>
        <v>0.18846166285853297</v>
      </c>
      <c r="AW15" s="836"/>
      <c r="AX15" s="836"/>
      <c r="AY15" s="836"/>
      <c r="AZ15" s="836"/>
      <c r="BA15" s="836"/>
      <c r="BB15" s="836"/>
      <c r="BC15" s="836"/>
      <c r="BD15" s="836"/>
      <c r="BE15" s="836"/>
      <c r="BH15" s="836"/>
      <c r="BI15" s="836"/>
      <c r="BJ15" s="836"/>
      <c r="BK15" s="836"/>
      <c r="BL15" s="836"/>
      <c r="BM15" s="836"/>
      <c r="BN15" s="836"/>
      <c r="BO15" s="836"/>
      <c r="BP15" s="836"/>
      <c r="BQ15" s="836"/>
      <c r="BR15" s="836"/>
      <c r="BS15" s="836"/>
      <c r="BT15" s="836"/>
      <c r="BU15" s="836"/>
      <c r="BV15" s="836"/>
      <c r="BW15" s="836"/>
      <c r="BX15" s="836"/>
      <c r="BY15" s="836"/>
      <c r="BZ15" s="836"/>
      <c r="CA15" s="836"/>
      <c r="CB15" s="836"/>
      <c r="CC15" s="836"/>
      <c r="CD15" s="836"/>
      <c r="CE15" s="836"/>
      <c r="CF15" s="836"/>
      <c r="CG15" s="836"/>
    </row>
    <row r="16" spans="1:85" ht="13.5" customHeight="1" x14ac:dyDescent="0.2">
      <c r="B16" s="842" t="s">
        <v>1162</v>
      </c>
      <c r="C16" s="841">
        <f ca="1">+C78+C103</f>
        <v>-17695.995060000001</v>
      </c>
      <c r="D16" s="884">
        <f ca="1">+D78+D103</f>
        <v>-24252.330109999999</v>
      </c>
      <c r="E16" s="884">
        <f ca="1">+E78+E103</f>
        <v>-18719.20796</v>
      </c>
      <c r="F16" s="884">
        <f ca="1">+F78+F103</f>
        <v>-34123.040829999998</v>
      </c>
      <c r="G16" s="898">
        <f ca="1">+SUM(C16:F16)</f>
        <v>-94790.573959999994</v>
      </c>
      <c r="H16" s="841">
        <f ca="1">+H78+H103</f>
        <v>-25473.017780000002</v>
      </c>
      <c r="I16" s="841">
        <f ca="1">+I78+I103</f>
        <v>-18143.764510000001</v>
      </c>
      <c r="J16" s="841">
        <f ca="1">+J78+J103</f>
        <v>-20294.234779999999</v>
      </c>
      <c r="K16" s="884">
        <f ca="1">+K78+K103</f>
        <v>-20244.595869999997</v>
      </c>
      <c r="L16" s="898">
        <f ca="1">+SUM(H16:K16)</f>
        <v>-84155.612939999992</v>
      </c>
      <c r="M16" s="841">
        <f ca="1">+M78+M103</f>
        <v>-20796.36764</v>
      </c>
      <c r="N16" s="841">
        <f ca="1">+N78+N103</f>
        <v>-22379.204980000002</v>
      </c>
      <c r="O16" s="884">
        <f ca="1">+O78+O103</f>
        <v>-24499.702029999997</v>
      </c>
      <c r="P16" s="884">
        <f ca="1">+P78+P103</f>
        <v>-29164.964039999995</v>
      </c>
      <c r="Q16" s="898">
        <f ca="1">+SUM(M16:P16)</f>
        <v>-96840.238689999998</v>
      </c>
      <c r="R16" s="884">
        <f ca="1">+R78+R103</f>
        <v>-27638.607609999999</v>
      </c>
      <c r="S16" s="841">
        <f ca="1">+S78+S103</f>
        <v>-19563.079310000001</v>
      </c>
      <c r="T16" s="841">
        <f ca="1">+T78+T103</f>
        <v>-21506.14314</v>
      </c>
      <c r="U16" s="884">
        <f ca="1">+U78+U103</f>
        <v>-21432.583190000001</v>
      </c>
      <c r="V16" s="898">
        <f ca="1">+SUM(R16:U16)</f>
        <v>-90140.413250000012</v>
      </c>
      <c r="W16" s="884">
        <f ca="1">+W78+W103</f>
        <v>-11265.121420000003</v>
      </c>
      <c r="X16" s="884">
        <f ca="1">+X78+X103</f>
        <v>-20808.684389999999</v>
      </c>
      <c r="Y16" s="884">
        <f ca="1">+Y78+Y103</f>
        <v>-15920.432490000005</v>
      </c>
      <c r="Z16" s="884">
        <f ca="1">+Z78+Z103</f>
        <v>-24627.792750000004</v>
      </c>
      <c r="AA16" s="898">
        <f ca="1">+SUM(W16:Z16)</f>
        <v>-72622.031050000005</v>
      </c>
      <c r="AB16" s="841">
        <f ca="1">+AB78+AB103</f>
        <v>-16337.01467</v>
      </c>
      <c r="AC16" s="841">
        <f ca="1">+AC78+AC103</f>
        <v>-20816.767250000004</v>
      </c>
      <c r="AD16" s="884">
        <f ca="1">+AD78+AD103</f>
        <v>-19123.052080000005</v>
      </c>
      <c r="AE16" s="884">
        <f ca="1">+AE78+AE103</f>
        <v>-22108.771789999999</v>
      </c>
      <c r="AF16" s="898">
        <f ca="1">+SUM(AB16:AE16)</f>
        <v>-78385.605790000016</v>
      </c>
      <c r="AG16" s="841">
        <f ca="1">+AG78+AG103</f>
        <v>-18553.174040000002</v>
      </c>
      <c r="AH16" s="841">
        <f ca="1">+AH78+AH103</f>
        <v>-23152.087519999994</v>
      </c>
      <c r="AI16" s="841">
        <f ca="1">+AI78+AI103</f>
        <v>-24698.852590000006</v>
      </c>
      <c r="AJ16" s="841">
        <f ca="1">+AJ78+AJ103</f>
        <v>-30322.880150000001</v>
      </c>
      <c r="AK16" s="637">
        <f ca="1">+SUM(AG16:AJ16)</f>
        <v>-96726.994300000006</v>
      </c>
      <c r="AL16" s="841">
        <f ca="1">+AL78+AL103</f>
        <v>-27878.327630000007</v>
      </c>
      <c r="AM16" s="841">
        <f ca="1">+AM78+AM103</f>
        <v>-23627.80445</v>
      </c>
      <c r="AN16" s="841">
        <f ca="1">+AN78+AN103</f>
        <v>-26576.082479999997</v>
      </c>
      <c r="AO16" s="841">
        <f ca="1">+AO78+AO103</f>
        <v>-28410.735970000009</v>
      </c>
      <c r="AP16" s="637">
        <f ca="1">+SUM(AL16:AO16)</f>
        <v>-106492.95053000002</v>
      </c>
      <c r="AQ16" s="841">
        <f ca="1">+AQ78+AQ103</f>
        <v>-28369.065570000006</v>
      </c>
      <c r="AR16" s="841">
        <f ca="1">+AR78+AR103</f>
        <v>-29629.767380000008</v>
      </c>
      <c r="AS16" s="841">
        <f ca="1">+AS78+AS103</f>
        <v>-28304.894340000003</v>
      </c>
      <c r="AT16" s="841">
        <f ca="1">+AT78+AT103</f>
        <v>-33970.064079999996</v>
      </c>
      <c r="AU16" s="637">
        <f ca="1">+SUM(AQ16:AT16)</f>
        <v>-120273.79137000001</v>
      </c>
      <c r="AV16" s="841">
        <f ca="1">+AV78+AV103</f>
        <v>-24015.683100000002</v>
      </c>
      <c r="BK16" s="267"/>
      <c r="BL16" s="267"/>
      <c r="BM16" s="267"/>
      <c r="BN16" s="267"/>
      <c r="BO16" s="267"/>
      <c r="BP16" s="267"/>
      <c r="BQ16" s="267"/>
      <c r="BR16" s="267"/>
      <c r="BS16" s="267"/>
      <c r="BT16" s="267"/>
      <c r="BU16" s="267"/>
      <c r="BV16" s="267"/>
      <c r="BW16" s="267"/>
      <c r="BX16" s="267"/>
      <c r="BY16" s="267"/>
      <c r="BZ16" s="267"/>
      <c r="CA16" s="267"/>
      <c r="CB16" s="267"/>
      <c r="CC16" s="267"/>
      <c r="CD16" s="267"/>
      <c r="CE16" s="267"/>
      <c r="CF16" s="267"/>
      <c r="CG16" s="267"/>
    </row>
    <row r="17" spans="1:85" s="835" customFormat="1" ht="13.5" customHeight="1" x14ac:dyDescent="0.2">
      <c r="A17" s="840"/>
      <c r="B17" s="845" t="s">
        <v>1090</v>
      </c>
      <c r="C17" s="844">
        <f t="shared" ref="C17:S17" ca="1" si="15">+C16/C11</f>
        <v>-8.2879564100086442E-2</v>
      </c>
      <c r="D17" s="844">
        <f t="shared" ca="1" si="15"/>
        <v>-9.1481495332076737E-2</v>
      </c>
      <c r="E17" s="844">
        <f t="shared" ca="1" si="15"/>
        <v>-6.5479512420080974E-2</v>
      </c>
      <c r="F17" s="844">
        <f t="shared" ca="1" si="15"/>
        <v>-0.10680953465590823</v>
      </c>
      <c r="G17" s="843">
        <f t="shared" ca="1" si="15"/>
        <v>-8.7447160266343138E-2</v>
      </c>
      <c r="H17" s="844">
        <f t="shared" ca="1" si="15"/>
        <v>-9.7198412485922023E-2</v>
      </c>
      <c r="I17" s="844">
        <f t="shared" ca="1" si="15"/>
        <v>-6.1865977312612189E-2</v>
      </c>
      <c r="J17" s="844">
        <f t="shared" ca="1" si="15"/>
        <v>-6.0317392762320385E-2</v>
      </c>
      <c r="K17" s="844">
        <f t="shared" ca="1" si="15"/>
        <v>-5.5809063945048733E-2</v>
      </c>
      <c r="L17" s="843">
        <f t="shared" ca="1" si="15"/>
        <v>-6.7080180614340512E-2</v>
      </c>
      <c r="M17" s="844">
        <f t="shared" ca="1" si="15"/>
        <v>-7.0096784210444185E-2</v>
      </c>
      <c r="N17" s="844">
        <f t="shared" ca="1" si="15"/>
        <v>-6.7490995425136813E-2</v>
      </c>
      <c r="O17" s="844">
        <f t="shared" ca="1" si="15"/>
        <v>-7.1905012186302963E-2</v>
      </c>
      <c r="P17" s="844">
        <f t="shared" ca="1" si="15"/>
        <v>-7.7088991530215978E-2</v>
      </c>
      <c r="Q17" s="843">
        <f t="shared" ca="1" si="15"/>
        <v>-7.1876174004489243E-2</v>
      </c>
      <c r="R17" s="844">
        <f t="shared" ca="1" si="15"/>
        <v>-9.8798788102840221E-2</v>
      </c>
      <c r="S17" s="844">
        <f t="shared" ca="1" si="15"/>
        <v>-0.15032271222489613</v>
      </c>
      <c r="T17" s="844">
        <f t="shared" ref="T17:Y17" ca="1" si="16">+T16/T11</f>
        <v>-7.4369018784952362E-2</v>
      </c>
      <c r="U17" s="844">
        <f t="shared" ca="1" si="16"/>
        <v>-6.848202971017657E-2</v>
      </c>
      <c r="V17" s="843">
        <f t="shared" ca="1" si="16"/>
        <v>-8.9068476045961562E-2</v>
      </c>
      <c r="W17" s="844">
        <f t="shared" ca="1" si="16"/>
        <v>-4.8159626143874402E-2</v>
      </c>
      <c r="X17" s="844">
        <f t="shared" ca="1" si="16"/>
        <v>-8.7775816539068852E-2</v>
      </c>
      <c r="Y17" s="844">
        <f t="shared" ca="1" si="16"/>
        <v>-6.8789036718928873E-2</v>
      </c>
      <c r="Z17" s="844">
        <f t="shared" ref="Z17:AF17" ca="1" si="17">+Z16/Z11</f>
        <v>-8.0766433004005628E-2</v>
      </c>
      <c r="AA17" s="843">
        <f t="shared" ca="1" si="17"/>
        <v>-7.209265404897286E-2</v>
      </c>
      <c r="AB17" s="844">
        <f t="shared" ca="1" si="17"/>
        <v>-6.7769852553372895E-2</v>
      </c>
      <c r="AC17" s="844">
        <f t="shared" ca="1" si="17"/>
        <v>-6.8355871468957871E-2</v>
      </c>
      <c r="AD17" s="844">
        <f t="shared" ca="1" si="17"/>
        <v>-4.6023230056379608E-2</v>
      </c>
      <c r="AE17" s="844">
        <f t="shared" ca="1" si="17"/>
        <v>-5.4002931928748374E-2</v>
      </c>
      <c r="AF17" s="843">
        <f t="shared" ca="1" si="17"/>
        <v>-5.7194502384221649E-2</v>
      </c>
      <c r="AG17" s="844">
        <f t="shared" ref="AG17:AM17" ca="1" si="18">+AG16/AG11</f>
        <v>-5.5211544070619387E-2</v>
      </c>
      <c r="AH17" s="844">
        <f t="shared" ca="1" si="18"/>
        <v>-6.3144801368523656E-2</v>
      </c>
      <c r="AI17" s="844">
        <f t="shared" ca="1" si="18"/>
        <v>-5.7845781798079358E-2</v>
      </c>
      <c r="AJ17" s="844">
        <f t="shared" ca="1" si="18"/>
        <v>-6.6819733450200314E-2</v>
      </c>
      <c r="AK17" s="843">
        <f t="shared" ca="1" si="18"/>
        <v>-6.1085555330923302E-2</v>
      </c>
      <c r="AL17" s="844">
        <f t="shared" ca="1" si="18"/>
        <v>-7.1635200137763297E-2</v>
      </c>
      <c r="AM17" s="844">
        <f t="shared" ca="1" si="18"/>
        <v>-4.9969746699193934E-2</v>
      </c>
      <c r="AN17" s="844">
        <f t="shared" ref="AN17:AV17" ca="1" si="19">+AN16/AN11</f>
        <v>-4.4018045421234081E-2</v>
      </c>
      <c r="AO17" s="844">
        <f t="shared" ca="1" si="19"/>
        <v>-4.5503760758067203E-2</v>
      </c>
      <c r="AP17" s="843">
        <f t="shared" ca="1" si="19"/>
        <v>-5.0950458645352747E-2</v>
      </c>
      <c r="AQ17" s="844">
        <f t="shared" ca="1" si="19"/>
        <v>-6.4422836701270081E-2</v>
      </c>
      <c r="AR17" s="844">
        <f t="shared" ca="1" si="19"/>
        <v>-5.4815169049181614E-2</v>
      </c>
      <c r="AS17" s="844">
        <f t="shared" ca="1" si="19"/>
        <v>-4.4629263709135579E-2</v>
      </c>
      <c r="AT17" s="844">
        <f t="shared" ca="1" si="19"/>
        <v>-5.5660497300188565E-2</v>
      </c>
      <c r="AU17" s="843">
        <f t="shared" ca="1" si="19"/>
        <v>-5.4045242703629849E-2</v>
      </c>
      <c r="AV17" s="844">
        <f t="shared" ca="1" si="19"/>
        <v>-4.6070718743690814E-2</v>
      </c>
      <c r="AW17" s="836"/>
      <c r="AX17" s="836"/>
      <c r="AY17" s="836"/>
      <c r="AZ17" s="836"/>
      <c r="BA17" s="836"/>
      <c r="BB17" s="836"/>
      <c r="BC17" s="836"/>
      <c r="BD17" s="836"/>
      <c r="BE17" s="836"/>
      <c r="BH17" s="836"/>
      <c r="BI17" s="836"/>
      <c r="BJ17" s="836"/>
      <c r="BK17" s="836"/>
      <c r="BL17" s="836"/>
      <c r="BM17" s="836"/>
      <c r="BN17" s="836"/>
      <c r="BO17" s="836"/>
      <c r="BP17" s="836"/>
      <c r="BQ17" s="836"/>
      <c r="BR17" s="836"/>
      <c r="BS17" s="836"/>
      <c r="BT17" s="836"/>
      <c r="BU17" s="836"/>
      <c r="BV17" s="836"/>
      <c r="BW17" s="836"/>
      <c r="BX17" s="836"/>
      <c r="BY17" s="836"/>
      <c r="BZ17" s="836"/>
      <c r="CA17" s="836"/>
      <c r="CB17" s="836"/>
      <c r="CC17" s="836"/>
      <c r="CD17" s="836"/>
      <c r="CE17" s="836"/>
      <c r="CF17" s="836"/>
      <c r="CG17" s="836"/>
    </row>
    <row r="18" spans="1:85" ht="13.5" customHeight="1" x14ac:dyDescent="0.2">
      <c r="A18" s="24"/>
      <c r="B18" s="905" t="s">
        <v>988</v>
      </c>
      <c r="C18" s="906">
        <f ca="1">C14+C16</f>
        <v>20933.372720000058</v>
      </c>
      <c r="D18" s="987">
        <f ca="1">D14+D16</f>
        <v>34933.045200000037</v>
      </c>
      <c r="E18" s="987">
        <f ca="1">E14+E16</f>
        <v>40973.642920000042</v>
      </c>
      <c r="F18" s="987">
        <f ca="1">F14+F16</f>
        <v>38010.111610000007</v>
      </c>
      <c r="G18" s="988">
        <f ca="1">+SUM(C18:F18)</f>
        <v>134850.17245000013</v>
      </c>
      <c r="H18" s="906">
        <f ca="1">H14+H16</f>
        <v>29453.314000000006</v>
      </c>
      <c r="I18" s="906">
        <f ca="1">I14+I16</f>
        <v>45148.406709999959</v>
      </c>
      <c r="J18" s="987">
        <f ca="1">J14+J16</f>
        <v>57791.788239999936</v>
      </c>
      <c r="K18" s="987">
        <f ca="1">K14+K16</f>
        <v>68074.372747457557</v>
      </c>
      <c r="L18" s="988">
        <f ca="1">+SUM(H18:K18)</f>
        <v>200467.88169745746</v>
      </c>
      <c r="M18" s="906">
        <f ca="1">M14+M16</f>
        <v>56025.508350000062</v>
      </c>
      <c r="N18" s="906">
        <f ca="1">N14+N16</f>
        <v>59443.350340000041</v>
      </c>
      <c r="O18" s="987">
        <f ca="1">O14+O16</f>
        <v>64517.839780000053</v>
      </c>
      <c r="P18" s="987">
        <f ca="1">P14+P16</f>
        <v>70096.431380000024</v>
      </c>
      <c r="Q18" s="988">
        <f ca="1">+SUM(M18:P18)</f>
        <v>250083.1298500002</v>
      </c>
      <c r="R18" s="987">
        <f ca="1">R14+R16</f>
        <v>44220.344580000012</v>
      </c>
      <c r="S18" s="906">
        <f ca="1">S14+S16</f>
        <v>4653.4489899999753</v>
      </c>
      <c r="T18" s="906">
        <f ca="1">T14+T16</f>
        <v>55309.446339999966</v>
      </c>
      <c r="U18" s="987">
        <f ca="1">U14+U16</f>
        <v>58335.36645000003</v>
      </c>
      <c r="V18" s="988">
        <f ca="1">+SUM(R18:U18)</f>
        <v>162518.60635999998</v>
      </c>
      <c r="W18" s="906">
        <f ca="1">W14+W16</f>
        <v>43191.728160000006</v>
      </c>
      <c r="X18" s="987">
        <f ca="1">X14+X16</f>
        <v>35322.597589999976</v>
      </c>
      <c r="Y18" s="987">
        <f ca="1">Y14+Y16</f>
        <v>37480.480369999976</v>
      </c>
      <c r="Z18" s="987">
        <f ca="1">Z14+Z16</f>
        <v>45872.656999999905</v>
      </c>
      <c r="AA18" s="988">
        <f ca="1">+SUM(W18:Z18)</f>
        <v>161867.46311999985</v>
      </c>
      <c r="AB18" s="906">
        <f ca="1">AB14+AB16</f>
        <v>35089.131439999939</v>
      </c>
      <c r="AC18" s="906">
        <f ca="1">AC14+AC16</f>
        <v>49148.953389999951</v>
      </c>
      <c r="AD18" s="987">
        <f ca="1">AD14+AD16</f>
        <v>87925.169049999953</v>
      </c>
      <c r="AE18" s="987">
        <f ca="1">AE14+AE16</f>
        <v>72728.460789999954</v>
      </c>
      <c r="AF18" s="988">
        <f ca="1">+SUM(AB18:AE18)</f>
        <v>244891.71466999981</v>
      </c>
      <c r="AG18" s="906">
        <f ca="1">AG14+AG16</f>
        <v>53653.474379999869</v>
      </c>
      <c r="AH18" s="906">
        <f ca="1">AH14+AH16</f>
        <v>58012.634600000056</v>
      </c>
      <c r="AI18" s="906">
        <f ca="1">AI14+AI16</f>
        <v>79253.838000000003</v>
      </c>
      <c r="AJ18" s="906">
        <f ca="1">AJ14+AJ16</f>
        <v>74126.927810000241</v>
      </c>
      <c r="AK18" s="1089">
        <f ca="1">+SUM(AG18:AJ18)</f>
        <v>265046.87479000021</v>
      </c>
      <c r="AL18" s="906">
        <f ca="1">AL14+AL16</f>
        <v>58318.379339999818</v>
      </c>
      <c r="AM18" s="906">
        <f ca="1">AM14+AM16</f>
        <v>85168.926570000069</v>
      </c>
      <c r="AN18" s="906">
        <f ca="1">AN14+AN16</f>
        <v>125572.33326000009</v>
      </c>
      <c r="AO18" s="906">
        <f ca="1">AO14+AO16</f>
        <v>126005.15277999992</v>
      </c>
      <c r="AP18" s="1089">
        <f ca="1">+SUM(AL18:AO18)</f>
        <v>395064.79194999987</v>
      </c>
      <c r="AQ18" s="906">
        <f ca="1">AQ14+AQ16</f>
        <v>68902.245369999931</v>
      </c>
      <c r="AR18" s="906">
        <f ca="1">AR14+AR16</f>
        <v>94707.959719999781</v>
      </c>
      <c r="AS18" s="906">
        <f ca="1">AS14+AS16</f>
        <v>116828.61254000018</v>
      </c>
      <c r="AT18" s="906">
        <f ca="1">AT14+AT16</f>
        <v>81354.49930000001</v>
      </c>
      <c r="AU18" s="1089">
        <f ca="1">+SUM(AQ18:AT18)</f>
        <v>361793.31692999991</v>
      </c>
      <c r="AV18" s="906">
        <f ca="1">AV14+AV16</f>
        <v>74225.362300000183</v>
      </c>
      <c r="AW18" s="1197"/>
      <c r="BK18" s="267"/>
      <c r="BL18" s="267"/>
      <c r="BM18" s="267"/>
      <c r="BN18" s="267"/>
      <c r="BO18" s="267"/>
      <c r="BP18" s="267"/>
      <c r="BQ18" s="267"/>
      <c r="BR18" s="267"/>
      <c r="BS18" s="267"/>
      <c r="BT18" s="267"/>
      <c r="BU18" s="267"/>
      <c r="BV18" s="267"/>
      <c r="BW18" s="267"/>
      <c r="BX18" s="267"/>
      <c r="BY18" s="267"/>
      <c r="BZ18" s="267"/>
      <c r="CA18" s="267"/>
      <c r="CB18" s="267"/>
      <c r="CC18" s="267"/>
      <c r="CD18" s="267"/>
      <c r="CE18" s="267"/>
      <c r="CF18" s="267"/>
      <c r="CG18" s="267"/>
    </row>
    <row r="19" spans="1:85" s="835" customFormat="1" ht="13.5" customHeight="1" x14ac:dyDescent="0.2">
      <c r="A19" s="840"/>
      <c r="B19" s="845" t="s">
        <v>994</v>
      </c>
      <c r="C19" s="844">
        <f t="shared" ref="C19:X19" ca="1" si="20">+C18/C11</f>
        <v>9.8041890286233252E-2</v>
      </c>
      <c r="D19" s="844">
        <f t="shared" ca="1" si="20"/>
        <v>0.1317699040423885</v>
      </c>
      <c r="E19" s="844">
        <f t="shared" ca="1" si="20"/>
        <v>0.14332519656863224</v>
      </c>
      <c r="F19" s="844">
        <f t="shared" ca="1" si="20"/>
        <v>0.11897656933651524</v>
      </c>
      <c r="G19" s="843">
        <f t="shared" ca="1" si="20"/>
        <v>0.12440334676267817</v>
      </c>
      <c r="H19" s="844">
        <f t="shared" ca="1" si="20"/>
        <v>0.11238618792537042</v>
      </c>
      <c r="I19" s="844">
        <f t="shared" ca="1" si="20"/>
        <v>0.15394546725306044</v>
      </c>
      <c r="J19" s="844">
        <f t="shared" ca="1" si="20"/>
        <v>0.17176552984122542</v>
      </c>
      <c r="K19" s="844">
        <f t="shared" ca="1" si="20"/>
        <v>0.18766326806808922</v>
      </c>
      <c r="L19" s="843">
        <f t="shared" ca="1" si="20"/>
        <v>0.15979233282071434</v>
      </c>
      <c r="M19" s="844">
        <f t="shared" ca="1" si="20"/>
        <v>0.18884105325858691</v>
      </c>
      <c r="N19" s="844">
        <f t="shared" ca="1" si="20"/>
        <v>0.17926869562333073</v>
      </c>
      <c r="O19" s="844">
        <f t="shared" ca="1" si="20"/>
        <v>0.18935561134311665</v>
      </c>
      <c r="P19" s="844">
        <f t="shared" ca="1" si="20"/>
        <v>0.18527926856141561</v>
      </c>
      <c r="Q19" s="843">
        <f t="shared" ca="1" si="20"/>
        <v>0.18561518228209453</v>
      </c>
      <c r="R19" s="844">
        <f t="shared" ca="1" si="20"/>
        <v>0.15807295778580649</v>
      </c>
      <c r="S19" s="844">
        <f t="shared" ca="1" si="20"/>
        <v>3.5757104609775249E-2</v>
      </c>
      <c r="T19" s="844">
        <f t="shared" ca="1" si="20"/>
        <v>0.19126206066183432</v>
      </c>
      <c r="U19" s="844">
        <f t="shared" ca="1" si="20"/>
        <v>0.1863949045697342</v>
      </c>
      <c r="V19" s="843">
        <f t="shared" ca="1" si="20"/>
        <v>0.16058595779289611</v>
      </c>
      <c r="W19" s="844">
        <f t="shared" ca="1" si="20"/>
        <v>0.18464936179031899</v>
      </c>
      <c r="X19" s="844">
        <f t="shared" ca="1" si="20"/>
        <v>0.14899884046649206</v>
      </c>
      <c r="Y19" s="844">
        <f t="shared" ref="Y19:AD19" ca="1" si="21">+Y18/Y11</f>
        <v>0.16194573495628828</v>
      </c>
      <c r="Z19" s="844">
        <f t="shared" ca="1" si="21"/>
        <v>0.15043860876676499</v>
      </c>
      <c r="AA19" s="843">
        <f t="shared" ca="1" si="21"/>
        <v>0.16068753313248213</v>
      </c>
      <c r="AB19" s="844">
        <f t="shared" ca="1" si="21"/>
        <v>0.14555812747609639</v>
      </c>
      <c r="AC19" s="844">
        <f t="shared" ca="1" si="21"/>
        <v>0.16139007082190618</v>
      </c>
      <c r="AD19" s="844">
        <f t="shared" ca="1" si="21"/>
        <v>0.21160849565255246</v>
      </c>
      <c r="AE19" s="844">
        <f t="shared" ref="AE19:AM19" ca="1" si="22">+AE18/AE11</f>
        <v>0.17764668949640522</v>
      </c>
      <c r="AF19" s="843">
        <f t="shared" ca="1" si="22"/>
        <v>0.17868663024807924</v>
      </c>
      <c r="AG19" s="844">
        <f t="shared" ca="1" si="22"/>
        <v>0.15966492627550485</v>
      </c>
      <c r="AH19" s="844">
        <f t="shared" ca="1" si="22"/>
        <v>0.15822315311814905</v>
      </c>
      <c r="AI19" s="844">
        <f t="shared" ca="1" si="22"/>
        <v>0.18561591891375911</v>
      </c>
      <c r="AJ19" s="844">
        <f t="shared" ca="1" si="22"/>
        <v>0.16334667199304473</v>
      </c>
      <c r="AK19" s="843">
        <f t="shared" ca="1" si="22"/>
        <v>0.16738383790834754</v>
      </c>
      <c r="AL19" s="844">
        <f t="shared" ca="1" si="22"/>
        <v>0.14985291912687396</v>
      </c>
      <c r="AM19" s="844">
        <f t="shared" ca="1" si="22"/>
        <v>0.18012125063719797</v>
      </c>
      <c r="AN19" s="844">
        <f t="shared" ref="AN19:AV19" ca="1" si="23">+AN18/AN11</f>
        <v>0.20798583362498008</v>
      </c>
      <c r="AO19" s="844">
        <f t="shared" ca="1" si="23"/>
        <v>0.20181484676916736</v>
      </c>
      <c r="AP19" s="843">
        <f t="shared" ca="1" si="23"/>
        <v>0.18901469293794157</v>
      </c>
      <c r="AQ19" s="844">
        <f t="shared" ca="1" si="23"/>
        <v>0.15646895703594887</v>
      </c>
      <c r="AR19" s="844">
        <f t="shared" ca="1" si="23"/>
        <v>0.17521004318984532</v>
      </c>
      <c r="AS19" s="844">
        <f t="shared" ca="1" si="23"/>
        <v>0.18420754005259754</v>
      </c>
      <c r="AT19" s="844">
        <f t="shared" ca="1" si="23"/>
        <v>0.13330065783749454</v>
      </c>
      <c r="AU19" s="843">
        <f t="shared" ca="1" si="23"/>
        <v>0.16257247235086572</v>
      </c>
      <c r="AV19" s="844">
        <f t="shared" ca="1" si="23"/>
        <v>0.14239094411484218</v>
      </c>
      <c r="AW19" s="1198"/>
      <c r="AX19" s="836"/>
      <c r="AY19" s="836"/>
      <c r="AZ19" s="836"/>
      <c r="BA19" s="836"/>
      <c r="BB19" s="836"/>
      <c r="BC19" s="836"/>
      <c r="BD19" s="836"/>
      <c r="BE19" s="836"/>
      <c r="BH19" s="836"/>
      <c r="BI19" s="836"/>
      <c r="BJ19" s="836"/>
      <c r="BK19" s="836"/>
      <c r="BL19" s="836"/>
      <c r="BM19" s="836"/>
      <c r="BN19" s="836"/>
      <c r="BO19" s="836"/>
      <c r="BP19" s="836"/>
      <c r="BQ19" s="836"/>
      <c r="BR19" s="836"/>
      <c r="BS19" s="836"/>
      <c r="BT19" s="836"/>
      <c r="BU19" s="836"/>
      <c r="BV19" s="836"/>
      <c r="BW19" s="836"/>
      <c r="BX19" s="836"/>
      <c r="BY19" s="836"/>
      <c r="BZ19" s="836"/>
      <c r="CA19" s="836"/>
      <c r="CB19" s="836"/>
      <c r="CC19" s="836"/>
      <c r="CD19" s="836"/>
      <c r="CE19" s="836"/>
      <c r="CF19" s="836"/>
      <c r="CG19" s="836"/>
    </row>
    <row r="20" spans="1:85" ht="13.5" customHeight="1" x14ac:dyDescent="0.2">
      <c r="A20" s="882"/>
      <c r="B20" s="842" t="s">
        <v>1093</v>
      </c>
      <c r="C20" s="841">
        <v>0</v>
      </c>
      <c r="D20" s="841">
        <v>0</v>
      </c>
      <c r="E20" s="841">
        <v>0</v>
      </c>
      <c r="F20" s="841">
        <v>0</v>
      </c>
      <c r="G20" s="637">
        <f>+SUM(C20:F20)</f>
        <v>0</v>
      </c>
      <c r="H20" s="841">
        <v>0</v>
      </c>
      <c r="I20" s="841">
        <v>0</v>
      </c>
      <c r="J20" s="841">
        <v>0</v>
      </c>
      <c r="K20" s="841">
        <v>0</v>
      </c>
      <c r="L20" s="637">
        <f>+SUM(H20:K20)</f>
        <v>0</v>
      </c>
      <c r="M20" s="841">
        <f ca="1">+M82+M107</f>
        <v>-9700</v>
      </c>
      <c r="N20" s="841">
        <f ca="1">+N82+N107</f>
        <v>-8272</v>
      </c>
      <c r="O20" s="841">
        <f ca="1">+O82+O107</f>
        <v>-9104</v>
      </c>
      <c r="P20" s="841">
        <f ca="1">+P82+P107</f>
        <v>-9178.3760882777096</v>
      </c>
      <c r="Q20" s="637">
        <f ca="1">+SUM(M20:P20)</f>
        <v>-36254.376088277713</v>
      </c>
      <c r="R20" s="841">
        <f ca="1">+R82+R107</f>
        <v>-9870.7775300000103</v>
      </c>
      <c r="S20" s="841">
        <f ca="1">+S82+S107</f>
        <v>-9393.0758200000091</v>
      </c>
      <c r="T20" s="841">
        <f ca="1">+T82+T107</f>
        <v>-9424.3638099999898</v>
      </c>
      <c r="U20" s="841">
        <f ca="1">+U82+U107</f>
        <v>-9287.1177700000098</v>
      </c>
      <c r="V20" s="637">
        <f ca="1">+SUM(R20:U20)</f>
        <v>-37975.334930000019</v>
      </c>
      <c r="W20" s="841">
        <f ca="1">+W82+W107</f>
        <v>-9506.5724299999893</v>
      </c>
      <c r="X20" s="841">
        <f ca="1">+X82+X107</f>
        <v>-8813.05339000001</v>
      </c>
      <c r="Y20" s="841">
        <f ca="1">+Y82+Y107</f>
        <v>-8585.7737499999876</v>
      </c>
      <c r="Z20" s="841">
        <f ca="1">+Z82+Z107</f>
        <v>-8542.1462700000102</v>
      </c>
      <c r="AA20" s="637">
        <f ca="1">+SUM(W20:Z20)</f>
        <v>-35447.545839999999</v>
      </c>
      <c r="AB20" s="841">
        <f ca="1">+AB82+AB107</f>
        <v>-9308.0165199999992</v>
      </c>
      <c r="AC20" s="841">
        <f ca="1">+AC82+AC107</f>
        <v>-9945.594209999992</v>
      </c>
      <c r="AD20" s="841">
        <f ca="1">+AD82+AD107</f>
        <v>-9605.9916999999696</v>
      </c>
      <c r="AE20" s="841">
        <f ca="1">+AE82+AE107</f>
        <v>-10106.83367999998</v>
      </c>
      <c r="AF20" s="637">
        <f ca="1">+SUM(AB20:AE20)</f>
        <v>-38966.436109999944</v>
      </c>
      <c r="AG20" s="841">
        <f ca="1">+AG82+AG107</f>
        <v>-10281.89281999999</v>
      </c>
      <c r="AH20" s="841">
        <f ca="1">+AH82+AH107</f>
        <v>-9992.2645499999999</v>
      </c>
      <c r="AI20" s="841">
        <f ca="1">+AI82+AI107</f>
        <v>-10868.70604000001</v>
      </c>
      <c r="AJ20" s="841">
        <f ca="1">+AJ82+AJ107</f>
        <v>-11430.879650000019</v>
      </c>
      <c r="AK20" s="637">
        <f ca="1">+SUM(AG20:AJ20)</f>
        <v>-42573.743060000015</v>
      </c>
      <c r="AL20" s="841">
        <f ca="1">+AL82+AL107</f>
        <v>-9731.0750000000098</v>
      </c>
      <c r="AM20" s="841">
        <f ca="1">+AM82+AM107</f>
        <v>-9901.2457500000091</v>
      </c>
      <c r="AN20" s="841">
        <f ca="1">+AN82+AN107</f>
        <v>-9881.1891500000002</v>
      </c>
      <c r="AO20" s="841">
        <f ca="1">+AO82+AO107</f>
        <v>-9138.7788299999993</v>
      </c>
      <c r="AP20" s="637">
        <f ca="1">+SUM(AL20:AO20)</f>
        <v>-38652.288730000015</v>
      </c>
      <c r="AQ20" s="841">
        <f ca="1">+AQ82+AQ107</f>
        <v>-10704.269389999999</v>
      </c>
      <c r="AR20" s="841">
        <f ca="1">+AR82+AR107</f>
        <v>-10871.701270000001</v>
      </c>
      <c r="AS20" s="841">
        <f ca="1">+AS82+AS107</f>
        <v>-11090.64738</v>
      </c>
      <c r="AT20" s="841">
        <f ca="1">+AT82+AT107</f>
        <v>-11488.42786</v>
      </c>
      <c r="AU20" s="637">
        <f ca="1">+SUM(AQ20:AT20)</f>
        <v>-44155.045899999997</v>
      </c>
      <c r="AV20" s="841">
        <f ca="1">+AV82+AV107</f>
        <v>-11175.252860000001</v>
      </c>
      <c r="BK20" s="267"/>
      <c r="BL20" s="267"/>
      <c r="BM20" s="267"/>
      <c r="BN20" s="267"/>
      <c r="BO20" s="267"/>
      <c r="BP20" s="267"/>
      <c r="BQ20" s="267"/>
      <c r="BR20" s="267"/>
      <c r="BS20" s="267"/>
      <c r="BT20" s="267"/>
      <c r="BU20" s="267"/>
      <c r="BV20" s="267"/>
      <c r="BW20" s="267"/>
      <c r="BX20" s="267"/>
      <c r="BY20" s="267"/>
      <c r="BZ20" s="267"/>
      <c r="CA20" s="267"/>
      <c r="CB20" s="267"/>
      <c r="CC20" s="267"/>
      <c r="CD20" s="267"/>
      <c r="CE20" s="267"/>
      <c r="CF20" s="267"/>
      <c r="CG20" s="267"/>
    </row>
    <row r="21" spans="1:85" ht="13.5" customHeight="1" x14ac:dyDescent="0.2">
      <c r="A21" s="24"/>
      <c r="B21" s="850" t="s">
        <v>983</v>
      </c>
      <c r="C21" s="849">
        <f ca="1">C14+C16+C20</f>
        <v>20933.372720000058</v>
      </c>
      <c r="D21" s="984">
        <f ca="1">D14+D16+D20</f>
        <v>34933.045200000037</v>
      </c>
      <c r="E21" s="984">
        <f ca="1">E14+E16+E20</f>
        <v>40973.642920000042</v>
      </c>
      <c r="F21" s="984">
        <f ca="1">F14+F16+F20</f>
        <v>38010.111610000007</v>
      </c>
      <c r="G21" s="985">
        <f ca="1">+SUM(C21:F21)</f>
        <v>134850.17245000013</v>
      </c>
      <c r="H21" s="849">
        <f ca="1">H14+H16+H20</f>
        <v>29453.314000000006</v>
      </c>
      <c r="I21" s="849">
        <f ca="1">I14+I16+I20</f>
        <v>45148.406709999959</v>
      </c>
      <c r="J21" s="984">
        <f ca="1">J14+J16+J20</f>
        <v>57791.788239999936</v>
      </c>
      <c r="K21" s="984">
        <f ca="1">K14+K16+K20</f>
        <v>68074.372747457557</v>
      </c>
      <c r="L21" s="985">
        <f ca="1">+SUM(H21:K21)</f>
        <v>200467.88169745746</v>
      </c>
      <c r="M21" s="849">
        <f ca="1">M14+M16+M20</f>
        <v>46325.508350000062</v>
      </c>
      <c r="N21" s="849">
        <f ca="1">N14+N16+N20</f>
        <v>51171.350340000041</v>
      </c>
      <c r="O21" s="984">
        <f ca="1">O14+O16+O20</f>
        <v>55413.839780000053</v>
      </c>
      <c r="P21" s="984">
        <f ca="1">P14+P16+P20</f>
        <v>60918.05529172231</v>
      </c>
      <c r="Q21" s="985">
        <f ca="1">+SUM(M21:P21)</f>
        <v>213828.75376172247</v>
      </c>
      <c r="R21" s="984">
        <f ca="1">R14+R16+R20</f>
        <v>34349.567049999998</v>
      </c>
      <c r="S21" s="849">
        <f ca="1">S14+S16+S20</f>
        <v>-4739.6268300000338</v>
      </c>
      <c r="T21" s="849">
        <f ca="1">T14+T16+T20</f>
        <v>45885.082529999978</v>
      </c>
      <c r="U21" s="984">
        <f ca="1">U14+U16+U20</f>
        <v>49048.248680000019</v>
      </c>
      <c r="V21" s="985">
        <f ca="1">+SUM(R21:U21)</f>
        <v>124543.27142999996</v>
      </c>
      <c r="W21" s="849">
        <f ca="1">W14+W16+W20</f>
        <v>33685.155730000013</v>
      </c>
      <c r="X21" s="984">
        <f ca="1">X14+X16+X20</f>
        <v>26509.544199999968</v>
      </c>
      <c r="Y21" s="984">
        <f ca="1">Y14+Y16+Y20</f>
        <v>28894.70661999999</v>
      </c>
      <c r="Z21" s="984">
        <f ca="1">Z14+Z16+Z20</f>
        <v>37330.510729999893</v>
      </c>
      <c r="AA21" s="985">
        <f ca="1">+SUM(W21:Z21)</f>
        <v>126419.91727999986</v>
      </c>
      <c r="AB21" s="849">
        <f ca="1">AB14+AB16+AB20</f>
        <v>25781.114919999942</v>
      </c>
      <c r="AC21" s="849">
        <f ca="1">AC14+AC16+AC20</f>
        <v>39203.359179999956</v>
      </c>
      <c r="AD21" s="984">
        <f ca="1">AD14+AD16+AD20</f>
        <v>78319.177349999984</v>
      </c>
      <c r="AE21" s="984">
        <f ca="1">AE14+AE16+AE20</f>
        <v>62621.627109999972</v>
      </c>
      <c r="AF21" s="985">
        <f ca="1">+SUM(AB21:AE21)</f>
        <v>205925.27855999986</v>
      </c>
      <c r="AG21" s="849">
        <f ca="1">AG14+AG16+AG20</f>
        <v>43371.581559999875</v>
      </c>
      <c r="AH21" s="849">
        <f ca="1">AH14+AH16+AH20</f>
        <v>48020.370050000056</v>
      </c>
      <c r="AI21" s="849">
        <f ca="1">AI14+AI16+AI20</f>
        <v>68385.131959999999</v>
      </c>
      <c r="AJ21" s="849">
        <f ca="1">AJ14+AJ16+AJ20</f>
        <v>62696.048160000224</v>
      </c>
      <c r="AK21" s="848">
        <f ca="1">+SUM(AG21:AJ21)</f>
        <v>222473.13173000014</v>
      </c>
      <c r="AL21" s="849">
        <f ca="1">AL14+AL16+AL20</f>
        <v>48587.304339999806</v>
      </c>
      <c r="AM21" s="849">
        <f ca="1">AM14+AM16+AM20</f>
        <v>75267.680820000067</v>
      </c>
      <c r="AN21" s="849">
        <f ca="1">AN14+AN16+AN20</f>
        <v>115691.14411000008</v>
      </c>
      <c r="AO21" s="849">
        <f ca="1">AO14+AO16+AO20</f>
        <v>116866.37394999992</v>
      </c>
      <c r="AP21" s="848">
        <f ca="1">+SUM(AL21:AO21)</f>
        <v>356412.50321999984</v>
      </c>
      <c r="AQ21" s="849">
        <f ca="1">AQ14+AQ16+AQ20</f>
        <v>58197.97597999993</v>
      </c>
      <c r="AR21" s="849">
        <f ca="1">AR14+AR16+AR20</f>
        <v>83836.258449999776</v>
      </c>
      <c r="AS21" s="849">
        <f ca="1">AS14+AS16+AS20</f>
        <v>105737.96516000018</v>
      </c>
      <c r="AT21" s="849">
        <f ca="1">AT14+AT16+AT20</f>
        <v>69866.071440000014</v>
      </c>
      <c r="AU21" s="848">
        <f ca="1">+SUM(AQ21:AT21)</f>
        <v>317638.27102999995</v>
      </c>
      <c r="AV21" s="849">
        <f ca="1">AV14+AV16+AV20</f>
        <v>63050.109440000182</v>
      </c>
      <c r="AW21" s="1197"/>
      <c r="BK21" s="267"/>
      <c r="BL21" s="267"/>
      <c r="BM21" s="267"/>
      <c r="BN21" s="267"/>
      <c r="BO21" s="267"/>
      <c r="BP21" s="267"/>
      <c r="BQ21" s="267"/>
      <c r="BR21" s="267"/>
      <c r="BS21" s="267"/>
      <c r="BT21" s="267"/>
      <c r="BU21" s="267"/>
      <c r="BV21" s="267"/>
      <c r="BW21" s="267"/>
      <c r="BX21" s="267"/>
      <c r="BY21" s="267"/>
      <c r="BZ21" s="267"/>
      <c r="CA21" s="267"/>
      <c r="CB21" s="267"/>
      <c r="CC21" s="267"/>
      <c r="CD21" s="267"/>
      <c r="CE21" s="267"/>
      <c r="CF21" s="267"/>
      <c r="CG21" s="267"/>
    </row>
    <row r="22" spans="1:85" s="835" customFormat="1" ht="13.5" customHeight="1" x14ac:dyDescent="0.2">
      <c r="A22" s="840"/>
      <c r="B22" s="839" t="s">
        <v>982</v>
      </c>
      <c r="C22" s="838">
        <f t="shared" ref="C22:X22" ca="1" si="24">+C21/C11</f>
        <v>9.8041890286233252E-2</v>
      </c>
      <c r="D22" s="838">
        <f t="shared" ca="1" si="24"/>
        <v>0.1317699040423885</v>
      </c>
      <c r="E22" s="838">
        <f t="shared" ca="1" si="24"/>
        <v>0.14332519656863224</v>
      </c>
      <c r="F22" s="838">
        <f t="shared" ca="1" si="24"/>
        <v>0.11897656933651524</v>
      </c>
      <c r="G22" s="837">
        <f t="shared" ca="1" si="24"/>
        <v>0.12440334676267817</v>
      </c>
      <c r="H22" s="838">
        <f t="shared" ca="1" si="24"/>
        <v>0.11238618792537042</v>
      </c>
      <c r="I22" s="838">
        <f t="shared" ca="1" si="24"/>
        <v>0.15394546725306044</v>
      </c>
      <c r="J22" s="838">
        <f t="shared" ca="1" si="24"/>
        <v>0.17176552984122542</v>
      </c>
      <c r="K22" s="838">
        <f t="shared" ca="1" si="24"/>
        <v>0.18766326806808922</v>
      </c>
      <c r="L22" s="837">
        <f t="shared" ca="1" si="24"/>
        <v>0.15979233282071434</v>
      </c>
      <c r="M22" s="838">
        <f t="shared" ca="1" si="24"/>
        <v>0.15614597791603019</v>
      </c>
      <c r="N22" s="838">
        <f t="shared" ca="1" si="24"/>
        <v>0.15432207599784964</v>
      </c>
      <c r="O22" s="838">
        <f t="shared" ca="1" si="24"/>
        <v>0.16263597082901926</v>
      </c>
      <c r="P22" s="838">
        <f t="shared" ca="1" si="24"/>
        <v>0.16101893497897179</v>
      </c>
      <c r="Q22" s="837">
        <f t="shared" ca="1" si="24"/>
        <v>0.15870667937673844</v>
      </c>
      <c r="R22" s="838">
        <f t="shared" ca="1" si="24"/>
        <v>0.12278822595858158</v>
      </c>
      <c r="S22" s="838">
        <f t="shared" ca="1" si="24"/>
        <v>-3.6419295179941268E-2</v>
      </c>
      <c r="T22" s="838">
        <f t="shared" ca="1" si="24"/>
        <v>0.15867227063488512</v>
      </c>
      <c r="U22" s="838">
        <f t="shared" ca="1" si="24"/>
        <v>0.1567204285903854</v>
      </c>
      <c r="V22" s="837">
        <f t="shared" ca="1" si="24"/>
        <v>0.1230622202416921</v>
      </c>
      <c r="W22" s="838">
        <f t="shared" ca="1" si="24"/>
        <v>0.14400772491229738</v>
      </c>
      <c r="X22" s="838">
        <f t="shared" ca="1" si="24"/>
        <v>0.1118233543564036</v>
      </c>
      <c r="Y22" s="838">
        <f t="shared" ref="Y22:AD22" ca="1" si="25">+Y21/Y11</f>
        <v>0.12484830647121799</v>
      </c>
      <c r="Z22" s="838">
        <f t="shared" ca="1" si="25"/>
        <v>0.12242478343414877</v>
      </c>
      <c r="AA22" s="837">
        <f t="shared" ca="1" si="25"/>
        <v>0.12549838154611617</v>
      </c>
      <c r="AB22" s="838">
        <f t="shared" ca="1" si="25"/>
        <v>0.10694624397922256</v>
      </c>
      <c r="AC22" s="838">
        <f t="shared" ca="1" si="25"/>
        <v>0.12873179341809021</v>
      </c>
      <c r="AD22" s="838">
        <f t="shared" ca="1" si="25"/>
        <v>0.18848986563056219</v>
      </c>
      <c r="AE22" s="838">
        <f t="shared" ref="AE22:AM22" ca="1" si="26">+AE21/AE11</f>
        <v>0.15295971654193788</v>
      </c>
      <c r="AF22" s="837">
        <f t="shared" ca="1" si="26"/>
        <v>0.15025454886608738</v>
      </c>
      <c r="AG22" s="838">
        <f t="shared" ca="1" si="26"/>
        <v>0.12906751058065297</v>
      </c>
      <c r="AH22" s="838">
        <f t="shared" ca="1" si="26"/>
        <v>0.13097033802376784</v>
      </c>
      <c r="AI22" s="838">
        <f t="shared" ca="1" si="26"/>
        <v>0.16016093894145639</v>
      </c>
      <c r="AJ22" s="838">
        <f t="shared" ca="1" si="26"/>
        <v>0.13815749710147956</v>
      </c>
      <c r="AK22" s="837">
        <f t="shared" ca="1" si="26"/>
        <v>0.14049743710413951</v>
      </c>
      <c r="AL22" s="838">
        <f t="shared" ca="1" si="26"/>
        <v>0.12484828059789541</v>
      </c>
      <c r="AM22" s="838">
        <f t="shared" ca="1" si="26"/>
        <v>0.15918139805034576</v>
      </c>
      <c r="AN22" s="838">
        <f t="shared" ref="AN22:AV22" ca="1" si="27">+AN21/AN11</f>
        <v>0.19161959028765485</v>
      </c>
      <c r="AO22" s="838">
        <f t="shared" ca="1" si="27"/>
        <v>0.1871778163895137</v>
      </c>
      <c r="AP22" s="837">
        <f t="shared" ca="1" si="27"/>
        <v>0.17052190230076869</v>
      </c>
      <c r="AQ22" s="838">
        <f t="shared" ca="1" si="27"/>
        <v>0.13216081064258942</v>
      </c>
      <c r="AR22" s="838">
        <f t="shared" ca="1" si="27"/>
        <v>0.15509735937007607</v>
      </c>
      <c r="AS22" s="838">
        <f t="shared" ca="1" si="27"/>
        <v>0.16672054926289606</v>
      </c>
      <c r="AT22" s="838">
        <f t="shared" ca="1" si="27"/>
        <v>0.11447668369428941</v>
      </c>
      <c r="AU22" s="837">
        <f t="shared" ca="1" si="27"/>
        <v>0.14273132370931182</v>
      </c>
      <c r="AV22" s="838">
        <f t="shared" ca="1" si="27"/>
        <v>0.12095278933661367</v>
      </c>
      <c r="AW22" s="1198"/>
      <c r="AX22" s="267" t="str">
        <f>"$"&amp;ROW(DRE!$B$5)</f>
        <v>$5</v>
      </c>
      <c r="AY22" s="267" t="str">
        <f>"$"&amp;ROW(DRE!$B$5)</f>
        <v>$5</v>
      </c>
      <c r="AZ22" s="836"/>
      <c r="BA22" s="836"/>
      <c r="BB22" s="836"/>
      <c r="BC22" s="836"/>
      <c r="BD22" s="836"/>
      <c r="BE22" s="836"/>
      <c r="BH22" s="836"/>
      <c r="BI22" s="836"/>
      <c r="BJ22" s="836"/>
      <c r="BK22" s="836"/>
      <c r="BL22" s="836"/>
      <c r="BM22" s="836"/>
      <c r="BN22" s="836"/>
      <c r="BO22" s="836"/>
      <c r="BP22" s="836"/>
      <c r="BQ22" s="836"/>
      <c r="BR22" s="836"/>
      <c r="BS22" s="836"/>
      <c r="BT22" s="836"/>
      <c r="BU22" s="836"/>
      <c r="BV22" s="836"/>
      <c r="BW22" s="836"/>
      <c r="BX22" s="836"/>
      <c r="BY22" s="836"/>
      <c r="BZ22" s="836"/>
      <c r="CA22" s="836"/>
      <c r="CB22" s="836"/>
      <c r="CC22" s="836"/>
      <c r="CD22" s="836"/>
      <c r="CE22" s="836"/>
      <c r="CF22" s="836"/>
      <c r="CG22" s="836"/>
    </row>
    <row r="23" spans="1:85" s="283" customFormat="1" ht="13.5" customHeight="1" x14ac:dyDescent="0.2">
      <c r="A23" s="900"/>
      <c r="B23" s="899" t="s">
        <v>1007</v>
      </c>
      <c r="C23" s="981">
        <f>-SUM(Consolidado!W15:W23)</f>
        <v>0</v>
      </c>
      <c r="D23" s="981">
        <f>-SUM(Consolidado!X15:X23)</f>
        <v>-15000</v>
      </c>
      <c r="E23" s="981">
        <f>-SUM(Consolidado!Y15:Y23)</f>
        <v>-5733</v>
      </c>
      <c r="F23" s="981">
        <f>-SUM(Consolidado!Z15:Z23)</f>
        <v>23499.404609999947</v>
      </c>
      <c r="G23" s="982">
        <f>+SUM(C23:F23)</f>
        <v>2766.4046099999468</v>
      </c>
      <c r="H23" s="981">
        <v>0</v>
      </c>
      <c r="I23" s="981">
        <v>0</v>
      </c>
      <c r="J23" s="981">
        <v>-5251.7599300000002</v>
      </c>
      <c r="K23" s="981">
        <v>-12881.039347457499</v>
      </c>
      <c r="L23" s="982">
        <f>+SUM(H23:K23)</f>
        <v>-18132.7992774575</v>
      </c>
      <c r="M23" s="981">
        <v>0</v>
      </c>
      <c r="N23" s="981">
        <v>0</v>
      </c>
      <c r="O23" s="981">
        <v>50391.444189999995</v>
      </c>
      <c r="P23" s="981">
        <v>-2254</v>
      </c>
      <c r="Q23" s="982">
        <f>+SUM(M23:P23)</f>
        <v>48137.444189999995</v>
      </c>
      <c r="R23" s="981">
        <v>-3317</v>
      </c>
      <c r="S23" s="981">
        <v>0</v>
      </c>
      <c r="T23" s="981">
        <v>0</v>
      </c>
      <c r="U23" s="981">
        <f>-2875-2345</f>
        <v>-5220</v>
      </c>
      <c r="V23" s="982">
        <f>+SUM(R23:U23)</f>
        <v>-8537</v>
      </c>
      <c r="W23" s="983">
        <v>0</v>
      </c>
      <c r="X23" s="981">
        <v>5732.7137899999998</v>
      </c>
      <c r="Y23" s="981">
        <v>-1159</v>
      </c>
      <c r="Z23" s="981">
        <v>2591</v>
      </c>
      <c r="AA23" s="982">
        <f>+SUM(W23:Z23)</f>
        <v>7164.7137899999998</v>
      </c>
      <c r="AB23" s="983">
        <v>0</v>
      </c>
      <c r="AC23" s="983">
        <v>0</v>
      </c>
      <c r="AD23" s="981">
        <v>-6645</v>
      </c>
      <c r="AE23" s="981">
        <v>5459</v>
      </c>
      <c r="AF23" s="982">
        <f>+SUM(AB23:AE23)</f>
        <v>-1186</v>
      </c>
      <c r="AG23" s="981">
        <v>0</v>
      </c>
      <c r="AH23" s="981">
        <v>0</v>
      </c>
      <c r="AI23" s="981">
        <v>0</v>
      </c>
      <c r="AJ23" s="981">
        <v>0</v>
      </c>
      <c r="AK23" s="982">
        <f>+SUM(AG23:AJ23)</f>
        <v>0</v>
      </c>
      <c r="AL23" s="981">
        <v>0</v>
      </c>
      <c r="AM23" s="981">
        <v>0</v>
      </c>
      <c r="AN23" s="981">
        <v>0</v>
      </c>
      <c r="AO23" s="981">
        <v>0</v>
      </c>
      <c r="AP23" s="982">
        <f>+SUM(AL23:AO23)</f>
        <v>0</v>
      </c>
      <c r="AQ23" s="981">
        <v>0</v>
      </c>
      <c r="AR23" s="981">
        <v>0</v>
      </c>
      <c r="AS23" s="981">
        <v>0</v>
      </c>
      <c r="AT23" s="981">
        <v>0</v>
      </c>
      <c r="AU23" s="982">
        <f>+SUM(AQ23:AT23)</f>
        <v>0</v>
      </c>
      <c r="AV23" s="981">
        <v>0</v>
      </c>
      <c r="AW23" s="873"/>
      <c r="AX23" s="873"/>
      <c r="AY23" s="873"/>
      <c r="AZ23" s="873"/>
      <c r="BA23" s="873"/>
      <c r="BB23" s="873"/>
      <c r="BC23" s="873"/>
      <c r="BD23" s="873"/>
      <c r="BE23" s="873"/>
      <c r="BH23" s="873"/>
      <c r="BI23" s="873"/>
      <c r="BJ23" s="873"/>
      <c r="BK23" s="873"/>
      <c r="BL23" s="873"/>
      <c r="BM23" s="873"/>
      <c r="BN23" s="873"/>
      <c r="BO23" s="873"/>
      <c r="BP23" s="873"/>
      <c r="BQ23" s="873"/>
      <c r="BR23" s="873"/>
      <c r="BS23" s="873"/>
      <c r="BT23" s="873"/>
      <c r="BU23" s="873"/>
      <c r="BV23" s="873"/>
      <c r="BW23" s="873"/>
      <c r="BX23" s="873"/>
      <c r="BY23" s="873"/>
      <c r="BZ23" s="873"/>
      <c r="CA23" s="873"/>
      <c r="CB23" s="873"/>
      <c r="CC23" s="873"/>
      <c r="CD23" s="873"/>
      <c r="CE23" s="873"/>
      <c r="CF23" s="873"/>
      <c r="CG23" s="873"/>
    </row>
    <row r="24" spans="1:85" ht="13.5" customHeight="1" x14ac:dyDescent="0.2">
      <c r="B24" s="842" t="s">
        <v>999</v>
      </c>
      <c r="C24" s="841">
        <f ca="1">+C86+C111</f>
        <v>-6572.8270099999991</v>
      </c>
      <c r="D24" s="841">
        <f ca="1">+D86+D111</f>
        <v>-6829.9387999999999</v>
      </c>
      <c r="E24" s="841">
        <f ca="1">+E86+E111</f>
        <v>-7304.7968499999997</v>
      </c>
      <c r="F24" s="841">
        <f ca="1">+F86+F111</f>
        <v>-7437.1136699999997</v>
      </c>
      <c r="G24" s="637">
        <f ca="1">+SUM(C24:F24)</f>
        <v>-28144.676329999998</v>
      </c>
      <c r="H24" s="841">
        <f ca="1">+H86+H111</f>
        <v>-6909.8206200000004</v>
      </c>
      <c r="I24" s="841">
        <f ca="1">+I86+I111</f>
        <v>-8910.3279299999995</v>
      </c>
      <c r="J24" s="841">
        <f ca="1">+J86+J111</f>
        <v>-6853.8500800000002</v>
      </c>
      <c r="K24" s="841">
        <f ca="1">+K86+K111</f>
        <v>-6616.8089600000003</v>
      </c>
      <c r="L24" s="637">
        <f ca="1">+SUM(H24:K24)</f>
        <v>-29290.807590000004</v>
      </c>
      <c r="M24" s="841">
        <f t="shared" ref="M24:P25" ca="1" si="28">+M86+M111</f>
        <v>-6470.4337500000011</v>
      </c>
      <c r="N24" s="841">
        <f t="shared" ca="1" si="28"/>
        <v>-6497.1605399999999</v>
      </c>
      <c r="O24" s="841">
        <f t="shared" ca="1" si="28"/>
        <v>-6557.1626199999992</v>
      </c>
      <c r="P24" s="841">
        <f t="shared" ca="1" si="28"/>
        <v>-6287.6961199999623</v>
      </c>
      <c r="Q24" s="637">
        <f ca="1">+SUM(M24:P24)</f>
        <v>-25812.453029999961</v>
      </c>
      <c r="R24" s="841">
        <f t="shared" ref="R24:U25" ca="1" si="29">+R86+R111</f>
        <v>-6271.5990399999955</v>
      </c>
      <c r="S24" s="841">
        <f t="shared" ca="1" si="29"/>
        <v>-5954.5594999999958</v>
      </c>
      <c r="T24" s="841">
        <f t="shared" ca="1" si="29"/>
        <v>-5670.903650000002</v>
      </c>
      <c r="U24" s="841">
        <f t="shared" ca="1" si="29"/>
        <v>-5528.0551799999994</v>
      </c>
      <c r="V24" s="637">
        <f ca="1">+SUM(R24:U24)</f>
        <v>-23425.117369999993</v>
      </c>
      <c r="W24" s="841">
        <f t="shared" ref="W24:Z25" ca="1" si="30">+W86+W111</f>
        <v>-5446.8750299999938</v>
      </c>
      <c r="X24" s="841">
        <f t="shared" ca="1" si="30"/>
        <v>-5539.0725499999953</v>
      </c>
      <c r="Y24" s="841">
        <f t="shared" ca="1" si="30"/>
        <v>-5486.5851399999947</v>
      </c>
      <c r="Z24" s="841">
        <f t="shared" ca="1" si="30"/>
        <v>-5543.7589000000007</v>
      </c>
      <c r="AA24" s="637">
        <f ca="1">+SUM(W24:Z24)</f>
        <v>-22016.291619999985</v>
      </c>
      <c r="AB24" s="841">
        <f t="shared" ref="AB24:AD25" ca="1" si="31">+AB86+AB111</f>
        <v>-5687.2723600000081</v>
      </c>
      <c r="AC24" s="841">
        <f t="shared" ca="1" si="31"/>
        <v>-5488.8768400000108</v>
      </c>
      <c r="AD24" s="841">
        <f t="shared" ca="1" si="31"/>
        <v>-5513.0401600000014</v>
      </c>
      <c r="AE24" s="841">
        <f ca="1">+AE86+AE111</f>
        <v>-5644.8604499999938</v>
      </c>
      <c r="AF24" s="637">
        <f ca="1">+SUM(AB24:AE24)</f>
        <v>-22334.049810000011</v>
      </c>
      <c r="AG24" s="841">
        <f t="shared" ref="AG24:AJ25" ca="1" si="32">+AG86+AG111</f>
        <v>-6004.488519999999</v>
      </c>
      <c r="AH24" s="841">
        <f t="shared" ca="1" si="32"/>
        <v>-6047.8056299999971</v>
      </c>
      <c r="AI24" s="841">
        <f t="shared" ca="1" si="32"/>
        <v>-5292.2757200000015</v>
      </c>
      <c r="AJ24" s="841">
        <f t="shared" ca="1" si="32"/>
        <v>-5246.8640199999954</v>
      </c>
      <c r="AK24" s="637">
        <f ca="1">+SUM(AG24:AJ24)</f>
        <v>-22591.433889999993</v>
      </c>
      <c r="AL24" s="841">
        <f t="shared" ref="AL24:AN25" ca="1" si="33">+AL86+AL111</f>
        <v>-6323.4949099999976</v>
      </c>
      <c r="AM24" s="841">
        <f t="shared" ca="1" si="33"/>
        <v>-6356.5628400000005</v>
      </c>
      <c r="AN24" s="841">
        <f t="shared" ca="1" si="33"/>
        <v>-6564.9639100000004</v>
      </c>
      <c r="AO24" s="841">
        <f ca="1">+AO86+AO111</f>
        <v>-6905.3735500000003</v>
      </c>
      <c r="AP24" s="637">
        <f ca="1">+SUM(AL24:AO24)</f>
        <v>-26150.395209999999</v>
      </c>
      <c r="AQ24" s="841">
        <f t="shared" ref="AQ24:AT25" ca="1" si="34">+AQ86+AQ111</f>
        <v>-7603.9781900000016</v>
      </c>
      <c r="AR24" s="841">
        <f t="shared" ca="1" si="34"/>
        <v>-7601.3765200000025</v>
      </c>
      <c r="AS24" s="841">
        <f t="shared" ca="1" si="34"/>
        <v>-7840.8174299999982</v>
      </c>
      <c r="AT24" s="841">
        <f t="shared" ca="1" si="34"/>
        <v>-8225.1487400000005</v>
      </c>
      <c r="AU24" s="637">
        <f ca="1">+SUM(AQ24:AT24)</f>
        <v>-31271.320880000003</v>
      </c>
      <c r="AV24" s="841">
        <f ca="1">+AV86+AV111</f>
        <v>-8869.9946899999977</v>
      </c>
      <c r="BK24" s="267"/>
      <c r="BL24" s="267"/>
      <c r="BM24" s="267"/>
      <c r="BN24" s="267"/>
      <c r="BO24" s="267"/>
      <c r="BP24" s="267"/>
      <c r="BQ24" s="267"/>
      <c r="BR24" s="267"/>
      <c r="BS24" s="267"/>
      <c r="BT24" s="267"/>
      <c r="BU24" s="267"/>
      <c r="BV24" s="267"/>
      <c r="BW24" s="267"/>
      <c r="BX24" s="267"/>
      <c r="BY24" s="267"/>
      <c r="BZ24" s="267"/>
      <c r="CA24" s="267"/>
      <c r="CB24" s="267"/>
      <c r="CC24" s="267"/>
      <c r="CD24" s="267"/>
      <c r="CE24" s="267"/>
      <c r="CF24" s="267"/>
      <c r="CG24" s="267"/>
    </row>
    <row r="25" spans="1:85" ht="13.5" customHeight="1" x14ac:dyDescent="0.2">
      <c r="B25" s="842" t="s">
        <v>996</v>
      </c>
      <c r="C25" s="841">
        <v>0</v>
      </c>
      <c r="D25" s="841">
        <v>0</v>
      </c>
      <c r="E25" s="841">
        <v>0</v>
      </c>
      <c r="F25" s="841">
        <v>0</v>
      </c>
      <c r="G25" s="637" t="s">
        <v>160</v>
      </c>
      <c r="H25" s="841">
        <v>0</v>
      </c>
      <c r="I25" s="841">
        <v>0</v>
      </c>
      <c r="J25" s="841">
        <v>0</v>
      </c>
      <c r="K25" s="841">
        <v>0</v>
      </c>
      <c r="L25" s="637" t="s">
        <v>160</v>
      </c>
      <c r="M25" s="841">
        <f t="shared" ca="1" si="28"/>
        <v>-8930</v>
      </c>
      <c r="N25" s="841">
        <f t="shared" ca="1" si="28"/>
        <v>-7143</v>
      </c>
      <c r="O25" s="841">
        <f t="shared" ca="1" si="28"/>
        <v>-8275.7541600000004</v>
      </c>
      <c r="P25" s="841">
        <f t="shared" ca="1" si="28"/>
        <v>-8444.8339100000376</v>
      </c>
      <c r="Q25" s="637">
        <f ca="1">+SUM(M25:P25)</f>
        <v>-32793.588070000042</v>
      </c>
      <c r="R25" s="841">
        <f t="shared" ca="1" si="29"/>
        <v>-7881.3899400000037</v>
      </c>
      <c r="S25" s="841">
        <f t="shared" ca="1" si="29"/>
        <v>-7885.243290000004</v>
      </c>
      <c r="T25" s="841">
        <f t="shared" ca="1" si="29"/>
        <v>-7525.3708799999986</v>
      </c>
      <c r="U25" s="841">
        <f t="shared" ca="1" si="29"/>
        <v>-7332.2620200000001</v>
      </c>
      <c r="V25" s="637">
        <f ca="1">+SUM(R25:U25)</f>
        <v>-30624.266130000004</v>
      </c>
      <c r="W25" s="841">
        <f t="shared" ca="1" si="30"/>
        <v>-7512.631170000006</v>
      </c>
      <c r="X25" s="841">
        <f t="shared" ca="1" si="30"/>
        <v>-7300.5245600000053</v>
      </c>
      <c r="Y25" s="841">
        <f t="shared" ca="1" si="30"/>
        <v>-7107.1752300000062</v>
      </c>
      <c r="Z25" s="841">
        <f t="shared" ca="1" si="30"/>
        <v>-6929.5155099999993</v>
      </c>
      <c r="AA25" s="637">
        <f ca="1">+SUM(W25:Z25)</f>
        <v>-28849.846470000019</v>
      </c>
      <c r="AB25" s="841">
        <f t="shared" ca="1" si="31"/>
        <v>-7800.149969999994</v>
      </c>
      <c r="AC25" s="841">
        <f t="shared" ca="1" si="31"/>
        <v>-8201.5867099999923</v>
      </c>
      <c r="AD25" s="841">
        <f t="shared" ca="1" si="31"/>
        <v>-7032.9541999999992</v>
      </c>
      <c r="AE25" s="841">
        <f ca="1">+AE87+AE112</f>
        <v>-7727.4498900000062</v>
      </c>
      <c r="AF25" s="637">
        <f ca="1">+SUM(AB25:AE25)</f>
        <v>-30762.140769999995</v>
      </c>
      <c r="AG25" s="841">
        <f t="shared" ca="1" si="32"/>
        <v>-7409.6727800000008</v>
      </c>
      <c r="AH25" s="841">
        <f t="shared" ca="1" si="32"/>
        <v>-7342.8118700000014</v>
      </c>
      <c r="AI25" s="841">
        <f t="shared" ca="1" si="32"/>
        <v>-8492.4977499999986</v>
      </c>
      <c r="AJ25" s="841">
        <f t="shared" ca="1" si="32"/>
        <v>-8927.2419300000056</v>
      </c>
      <c r="AK25" s="637">
        <f ca="1">+SUM(AG25:AJ25)</f>
        <v>-32172.224330000005</v>
      </c>
      <c r="AL25" s="841">
        <f t="shared" ca="1" si="33"/>
        <v>-7514.1432400000012</v>
      </c>
      <c r="AM25" s="841">
        <f t="shared" ca="1" si="33"/>
        <v>-7572.3660000000018</v>
      </c>
      <c r="AN25" s="841">
        <f t="shared" ca="1" si="33"/>
        <v>-7278.9458400000003</v>
      </c>
      <c r="AO25" s="841">
        <f ca="1">+AO87+AO112</f>
        <v>-7119.6390900000006</v>
      </c>
      <c r="AP25" s="637">
        <f ca="1">+SUM(AL25:AO25)</f>
        <v>-29485.094170000004</v>
      </c>
      <c r="AQ25" s="841">
        <f t="shared" ca="1" si="34"/>
        <v>-7444.0698699999984</v>
      </c>
      <c r="AR25" s="841">
        <f t="shared" ca="1" si="34"/>
        <v>-7462.6784600000001</v>
      </c>
      <c r="AS25" s="841">
        <f t="shared" ca="1" si="34"/>
        <v>-7746.9842200000012</v>
      </c>
      <c r="AT25" s="841">
        <f t="shared" ca="1" si="34"/>
        <v>-7795.4597300000005</v>
      </c>
      <c r="AU25" s="637">
        <f ca="1">+SUM(AQ25:AT25)</f>
        <v>-30449.192280000003</v>
      </c>
      <c r="AV25" s="841">
        <f ca="1">+AV87+AV112</f>
        <v>-7842.8669000000027</v>
      </c>
      <c r="BK25" s="267"/>
      <c r="BL25" s="267"/>
      <c r="BM25" s="267"/>
      <c r="BN25" s="267"/>
      <c r="BO25" s="267"/>
      <c r="BP25" s="267"/>
      <c r="BQ25" s="267"/>
      <c r="BR25" s="267"/>
      <c r="BS25" s="267"/>
      <c r="BT25" s="267"/>
      <c r="BU25" s="267"/>
      <c r="BV25" s="267"/>
      <c r="BW25" s="267"/>
      <c r="BX25" s="267"/>
      <c r="BY25" s="267"/>
      <c r="BZ25" s="267"/>
      <c r="CA25" s="267"/>
      <c r="CB25" s="267"/>
      <c r="CC25" s="267"/>
      <c r="CD25" s="267"/>
      <c r="CE25" s="267"/>
      <c r="CF25" s="267"/>
      <c r="CG25" s="267"/>
    </row>
    <row r="26" spans="1:85" ht="13.5" customHeight="1" x14ac:dyDescent="0.2">
      <c r="B26" s="850" t="s">
        <v>1084</v>
      </c>
      <c r="C26" s="849">
        <f ca="1">+C14+C16+C24+C25+C23</f>
        <v>14360.545710000059</v>
      </c>
      <c r="D26" s="849">
        <f ca="1">+D14+D16+D24+D25+D23</f>
        <v>13103.106400000037</v>
      </c>
      <c r="E26" s="849">
        <f ca="1">+E14+E16+E24+E25+E23</f>
        <v>27935.846070000043</v>
      </c>
      <c r="F26" s="849">
        <f ca="1">+F14+F16+F24+F25+F23</f>
        <v>54072.402549999955</v>
      </c>
      <c r="G26" s="848">
        <f ca="1">SUM(C26:F26)</f>
        <v>109471.9007300001</v>
      </c>
      <c r="H26" s="849">
        <f ca="1">+H14+H16+H24+H25+H23</f>
        <v>22543.493380000007</v>
      </c>
      <c r="I26" s="849">
        <f ca="1">+I14+I16+I24+I25+I23</f>
        <v>36238.07877999996</v>
      </c>
      <c r="J26" s="849">
        <f ca="1">+J14+J16+J24+J25+J23</f>
        <v>45686.178229999932</v>
      </c>
      <c r="K26" s="849">
        <f ca="1">+K14+K16+K24+K25+K23</f>
        <v>48576.524440000052</v>
      </c>
      <c r="L26" s="848">
        <f ca="1">SUM(H26:K26)</f>
        <v>153044.27482999995</v>
      </c>
      <c r="M26" s="849">
        <f ca="1">+M14+M16+M24+M25+M23</f>
        <v>40625.074600000058</v>
      </c>
      <c r="N26" s="849">
        <f ca="1">+N14+N16+N24+N25+N23</f>
        <v>45803.189800000044</v>
      </c>
      <c r="O26" s="849">
        <f ca="1">+O14+O16+O24+O25+O23</f>
        <v>100076.36719000005</v>
      </c>
      <c r="P26" s="849">
        <f ca="1">+P14+P16+P24+P25+P23</f>
        <v>53109.901350000022</v>
      </c>
      <c r="Q26" s="848">
        <f ca="1">SUM(M26:P26)</f>
        <v>239614.53294000018</v>
      </c>
      <c r="R26" s="849">
        <f ca="1">+R14+R16+R24+R25+R23</f>
        <v>26750.355600000014</v>
      </c>
      <c r="S26" s="849">
        <f ca="1">+S14+S16+S24+S25+S23</f>
        <v>-9186.3538000000244</v>
      </c>
      <c r="T26" s="849">
        <f ca="1">+T14+T16+T24+T25+T23</f>
        <v>42113.171809999971</v>
      </c>
      <c r="U26" s="849">
        <f ca="1">+U14+U16+U24+U25+U23</f>
        <v>40255.049250000033</v>
      </c>
      <c r="V26" s="848">
        <f ca="1">SUM(R26:U26)</f>
        <v>99932.222859999994</v>
      </c>
      <c r="W26" s="849">
        <f ca="1">+W14+W16+W24+W25+W23</f>
        <v>30232.221960000003</v>
      </c>
      <c r="X26" s="849">
        <f ca="1">+X14+X16+X24+X25+X23</f>
        <v>28215.714269999975</v>
      </c>
      <c r="Y26" s="849">
        <f ca="1">+Y14+Y16+Y24+Y25+Y23</f>
        <v>23727.719999999972</v>
      </c>
      <c r="Z26" s="849">
        <f ca="1">+Z14+Z16+Z24+Z25+Z23</f>
        <v>35990.382589999906</v>
      </c>
      <c r="AA26" s="848">
        <f ca="1">SUM(W26:Z26)</f>
        <v>118166.03881999986</v>
      </c>
      <c r="AB26" s="849">
        <f ca="1">+AB14+AB16+AB24+AB25+AB23</f>
        <v>21601.709109999934</v>
      </c>
      <c r="AC26" s="849">
        <f ca="1">+AC14+AC16+AC24+AC25+AC23</f>
        <v>35458.489839999951</v>
      </c>
      <c r="AD26" s="849">
        <f ca="1">+AD14+AD16+AD24+AD25+AD23</f>
        <v>68734.174689999956</v>
      </c>
      <c r="AE26" s="849">
        <f ca="1">+AE14+AE16+AE24+AE25+AE23</f>
        <v>64815.150449999957</v>
      </c>
      <c r="AF26" s="848">
        <f ca="1">SUM(AB26:AE26)</f>
        <v>190609.52408999979</v>
      </c>
      <c r="AG26" s="849">
        <f ca="1">+AG14+AG16+AG24+AG25+AG23</f>
        <v>40239.313079999869</v>
      </c>
      <c r="AH26" s="849">
        <f ca="1">+AH14+AH16+AH24+AH25+AH23</f>
        <v>44622.017100000056</v>
      </c>
      <c r="AI26" s="849">
        <f ca="1">+AI14+AI16+AI24+AI25+AI23</f>
        <v>65469.064530000003</v>
      </c>
      <c r="AJ26" s="849">
        <f ca="1">+AJ14+AJ16+AJ24+AJ25+AJ23</f>
        <v>59952.821860000244</v>
      </c>
      <c r="AK26" s="848">
        <f ca="1">SUM(AG26:AJ26)</f>
        <v>210283.21657000016</v>
      </c>
      <c r="AL26" s="849">
        <f ca="1">+AL14+AL16+AL24+AL25+AL23</f>
        <v>44480.741189999811</v>
      </c>
      <c r="AM26" s="849">
        <f ca="1">+AM14+AM16+AM24+AM25+AM23</f>
        <v>71239.997730000061</v>
      </c>
      <c r="AN26" s="849">
        <f ca="1">+AN14+AN16+AN24+AN25+AN23</f>
        <v>111728.42351000008</v>
      </c>
      <c r="AO26" s="849">
        <f ca="1">+AO14+AO16+AO24+AO25+AO23</f>
        <v>111980.14013999992</v>
      </c>
      <c r="AP26" s="848">
        <f ca="1">SUM(AL26:AO26)</f>
        <v>339429.30256999988</v>
      </c>
      <c r="AQ26" s="849">
        <f ca="1">+AQ14+AQ16+AQ24+AQ25+AQ23</f>
        <v>53854.19730999993</v>
      </c>
      <c r="AR26" s="849">
        <f ca="1">+AR14+AR16+AR24+AR25+AR23</f>
        <v>79643.90473999978</v>
      </c>
      <c r="AS26" s="849">
        <f ca="1">+AS14+AS16+AS24+AS25+AS23</f>
        <v>101240.81089000018</v>
      </c>
      <c r="AT26" s="849">
        <f ca="1">+AT14+AT16+AT24+AT25+AT23</f>
        <v>65333.890830000004</v>
      </c>
      <c r="AU26" s="848">
        <f ca="1">SUM(AQ26:AT26)</f>
        <v>300072.80376999988</v>
      </c>
      <c r="AV26" s="849">
        <f ca="1">+AV14+AV16+AV24+AV25+AV23</f>
        <v>57512.500710000182</v>
      </c>
      <c r="BK26" s="267"/>
      <c r="BL26" s="267"/>
      <c r="BM26" s="267"/>
      <c r="BN26" s="267"/>
      <c r="BO26" s="267"/>
      <c r="BP26" s="267"/>
      <c r="BQ26" s="267"/>
      <c r="BR26" s="267"/>
      <c r="BS26" s="267"/>
      <c r="BT26" s="267"/>
      <c r="BU26" s="267"/>
      <c r="BV26" s="267"/>
      <c r="BW26" s="267"/>
      <c r="BX26" s="267"/>
      <c r="BY26" s="267"/>
      <c r="BZ26" s="267"/>
      <c r="CA26" s="267"/>
      <c r="CB26" s="267"/>
      <c r="CC26" s="267"/>
      <c r="CD26" s="267"/>
      <c r="CE26" s="267"/>
      <c r="CF26" s="267"/>
      <c r="CG26" s="267"/>
    </row>
    <row r="27" spans="1:85" s="835" customFormat="1" ht="13.5" customHeight="1" x14ac:dyDescent="0.2">
      <c r="A27" s="840"/>
      <c r="B27" s="839" t="s">
        <v>989</v>
      </c>
      <c r="C27" s="838">
        <f t="shared" ref="C27:X27" ca="1" si="35">+C26/C11</f>
        <v>6.7257917096421885E-2</v>
      </c>
      <c r="D27" s="838">
        <f t="shared" ca="1" si="35"/>
        <v>4.9425839147433093E-2</v>
      </c>
      <c r="E27" s="838">
        <f t="shared" ca="1" si="35"/>
        <v>9.7719176132601601E-2</v>
      </c>
      <c r="F27" s="838">
        <f t="shared" ca="1" si="35"/>
        <v>0.16925361906828751</v>
      </c>
      <c r="G27" s="837">
        <f t="shared" ca="1" si="35"/>
        <v>0.1009911265210523</v>
      </c>
      <c r="H27" s="838">
        <f t="shared" ca="1" si="35"/>
        <v>8.6020109095330477E-2</v>
      </c>
      <c r="I27" s="838">
        <f t="shared" ca="1" si="35"/>
        <v>0.12356334091640669</v>
      </c>
      <c r="J27" s="838">
        <f t="shared" ca="1" si="35"/>
        <v>0.1357859109240224</v>
      </c>
      <c r="K27" s="838">
        <f t="shared" ca="1" si="35"/>
        <v>0.13391279214012711</v>
      </c>
      <c r="L27" s="837">
        <f t="shared" ca="1" si="35"/>
        <v>0.12199112143484277</v>
      </c>
      <c r="M27" s="838">
        <f t="shared" ca="1" si="35"/>
        <v>0.1369319458602051</v>
      </c>
      <c r="N27" s="838">
        <f t="shared" ca="1" si="35"/>
        <v>0.13813282804331664</v>
      </c>
      <c r="O27" s="838">
        <f t="shared" ca="1" si="35"/>
        <v>0.2937175478112492</v>
      </c>
      <c r="P27" s="838">
        <f t="shared" ca="1" si="35"/>
        <v>0.14038038002466052</v>
      </c>
      <c r="Q27" s="837">
        <f t="shared" ca="1" si="35"/>
        <v>0.17784524384261277</v>
      </c>
      <c r="R27" s="838">
        <f t="shared" ca="1" si="35"/>
        <v>9.5623583933504341E-2</v>
      </c>
      <c r="S27" s="838">
        <f t="shared" ca="1" si="35"/>
        <v>-7.0587947673841162E-2</v>
      </c>
      <c r="T27" s="838">
        <f t="shared" ca="1" si="35"/>
        <v>0.14562886729823069</v>
      </c>
      <c r="U27" s="838">
        <f t="shared" ca="1" si="35"/>
        <v>0.12862413523766769</v>
      </c>
      <c r="V27" s="837">
        <f t="shared" ca="1" si="35"/>
        <v>9.8743842823747E-2</v>
      </c>
      <c r="W27" s="838">
        <f t="shared" ca="1" si="35"/>
        <v>0.1292460553960216</v>
      </c>
      <c r="X27" s="838">
        <f t="shared" ca="1" si="35"/>
        <v>0.11902037211312161</v>
      </c>
      <c r="Y27" s="838">
        <f t="shared" ref="Y27:AD27" ca="1" si="36">+Y26/Y11</f>
        <v>0.10252278029266407</v>
      </c>
      <c r="Z27" s="838">
        <f t="shared" ca="1" si="36"/>
        <v>0.11802985568991999</v>
      </c>
      <c r="AA27" s="837">
        <f t="shared" ca="1" si="36"/>
        <v>0.11730466958604494</v>
      </c>
      <c r="AB27" s="838">
        <f t="shared" ca="1" si="36"/>
        <v>8.9609066947452742E-2</v>
      </c>
      <c r="AC27" s="838">
        <f t="shared" ca="1" si="36"/>
        <v>0.11643479243811906</v>
      </c>
      <c r="AD27" s="838">
        <f t="shared" ca="1" si="36"/>
        <v>0.16542174969034815</v>
      </c>
      <c r="AE27" s="838">
        <f t="shared" ref="AE27:AM27" ca="1" si="37">+AE26/AE11</f>
        <v>0.15831762121160023</v>
      </c>
      <c r="AF27" s="837">
        <f t="shared" ca="1" si="37"/>
        <v>0.13907932164519468</v>
      </c>
      <c r="AG27" s="838">
        <f t="shared" ca="1" si="37"/>
        <v>0.11974633573198905</v>
      </c>
      <c r="AH27" s="838">
        <f t="shared" ca="1" si="37"/>
        <v>0.12170169985787832</v>
      </c>
      <c r="AI27" s="838">
        <f t="shared" ca="1" si="37"/>
        <v>0.15333138280521055</v>
      </c>
      <c r="AJ27" s="838">
        <f t="shared" ca="1" si="37"/>
        <v>0.13211250238947236</v>
      </c>
      <c r="AK27" s="837">
        <f t="shared" ca="1" si="37"/>
        <v>0.13279919585954997</v>
      </c>
      <c r="AL27" s="838">
        <f t="shared" ca="1" si="37"/>
        <v>0.11429619594515424</v>
      </c>
      <c r="AM27" s="838">
        <f t="shared" ca="1" si="37"/>
        <v>0.15066336988493462</v>
      </c>
      <c r="AN27" s="838">
        <f t="shared" ref="AN27:AV27" ca="1" si="38">+AN26/AN11</f>
        <v>0.18505612422775947</v>
      </c>
      <c r="AO27" s="838">
        <f t="shared" ca="1" si="38"/>
        <v>0.17935183065887303</v>
      </c>
      <c r="AP27" s="837">
        <f t="shared" ca="1" si="38"/>
        <v>0.16239646434382346</v>
      </c>
      <c r="AQ27" s="838">
        <f t="shared" ca="1" si="38"/>
        <v>0.12229659628440497</v>
      </c>
      <c r="AR27" s="838">
        <f t="shared" ca="1" si="38"/>
        <v>0.14734149094288312</v>
      </c>
      <c r="AS27" s="838">
        <f t="shared" ca="1" si="38"/>
        <v>0.15962973728368077</v>
      </c>
      <c r="AT27" s="838">
        <f t="shared" ca="1" si="38"/>
        <v>0.10705063274505398</v>
      </c>
      <c r="AU27" s="837">
        <f t="shared" ca="1" si="38"/>
        <v>0.13483824966170879</v>
      </c>
      <c r="AV27" s="838">
        <f t="shared" ca="1" si="38"/>
        <v>0.11032966388770912</v>
      </c>
      <c r="AW27" s="836"/>
      <c r="AX27" s="836"/>
      <c r="AY27" s="836"/>
      <c r="AZ27" s="836"/>
      <c r="BA27" s="836"/>
      <c r="BB27" s="836"/>
      <c r="BC27" s="836"/>
      <c r="BD27" s="836"/>
      <c r="BE27" s="836"/>
      <c r="BH27" s="836"/>
      <c r="BI27" s="836"/>
      <c r="BJ27" s="836"/>
      <c r="BK27" s="836"/>
      <c r="BL27" s="836"/>
      <c r="BM27" s="836"/>
      <c r="BN27" s="836"/>
      <c r="BO27" s="836"/>
      <c r="BP27" s="836"/>
      <c r="BQ27" s="836"/>
      <c r="BR27" s="836"/>
      <c r="BS27" s="836"/>
      <c r="BT27" s="836"/>
      <c r="BU27" s="836"/>
      <c r="BV27" s="836"/>
      <c r="BW27" s="836"/>
      <c r="BX27" s="836"/>
      <c r="BY27" s="836"/>
      <c r="BZ27" s="836"/>
      <c r="CA27" s="836"/>
      <c r="CB27" s="836"/>
      <c r="CC27" s="836"/>
      <c r="CD27" s="836"/>
      <c r="CE27" s="836"/>
      <c r="CF27" s="836"/>
      <c r="CG27" s="836"/>
    </row>
    <row r="28" spans="1:85" ht="13.5" customHeight="1" x14ac:dyDescent="0.2">
      <c r="B28" s="842" t="s">
        <v>46</v>
      </c>
      <c r="C28" s="841">
        <f t="shared" ref="C28:F29" ca="1" si="39">+SUMIFS(INDIRECT(CONCATENATE("'",$AW28,$AX28,":",$AY28)),INDIRECT(CONCATENATE("'",$AW28,$AX$22,":",$AY$22)),C$35)</f>
        <v>-4287.1967700000005</v>
      </c>
      <c r="D28" s="841">
        <f t="shared" ca="1" si="39"/>
        <v>3566.6795899999997</v>
      </c>
      <c r="E28" s="841">
        <f t="shared" ca="1" si="39"/>
        <v>-3113.1098000000002</v>
      </c>
      <c r="F28" s="841">
        <f t="shared" ca="1" si="39"/>
        <v>12617.618369999998</v>
      </c>
      <c r="G28" s="637">
        <f ca="1">+SUM(C28:F28)</f>
        <v>8783.9913899999974</v>
      </c>
      <c r="H28" s="841">
        <f t="shared" ref="H28:K29" ca="1" si="40">+SUMIFS(INDIRECT(CONCATENATE("'",$AW28,$AX28,":",$AY28)),INDIRECT(CONCATENATE("'",$AW28,$AX$22,":",$AY$22)),H$35)</f>
        <v>-1889.4519500000006</v>
      </c>
      <c r="I28" s="841">
        <f t="shared" ca="1" si="40"/>
        <v>-825.25070000000005</v>
      </c>
      <c r="J28" s="841">
        <f t="shared" ca="1" si="40"/>
        <v>-4991.2516099999993</v>
      </c>
      <c r="K28" s="841">
        <f t="shared" ca="1" si="40"/>
        <v>-1413.8592499999995</v>
      </c>
      <c r="L28" s="637">
        <f ca="1">+SUM(H28:K28)</f>
        <v>-9119.81351</v>
      </c>
      <c r="M28" s="841">
        <f t="shared" ref="M28:P29" ca="1" si="41">+SUMIFS(INDIRECT(CONCATENATE("'",$AW28,$AX28,":",$AY28)),INDIRECT(CONCATENATE("'",$AW28,$AX$22,":",$AY$22)),M$35)</f>
        <v>-1898</v>
      </c>
      <c r="N28" s="841">
        <f t="shared" ca="1" si="41"/>
        <v>-2688</v>
      </c>
      <c r="O28" s="884">
        <f t="shared" ca="1" si="41"/>
        <v>30529</v>
      </c>
      <c r="P28" s="841">
        <f t="shared" ca="1" si="41"/>
        <v>-3245.5405300000002</v>
      </c>
      <c r="Q28" s="898">
        <f ca="1">+SUM(M28:P28)</f>
        <v>22697.459470000002</v>
      </c>
      <c r="R28" s="841">
        <f t="shared" ref="R28:U29" ca="1" si="42">+SUMIFS(INDIRECT(CONCATENATE("'",$AW28,$AX28,":",$AY28)),INDIRECT(CONCATENATE("'",$AW28,$AX$22,":",$AY$22)),R$35)</f>
        <v>-2007.30314</v>
      </c>
      <c r="S28" s="841">
        <f t="shared" ca="1" si="42"/>
        <v>-2212.7467099999976</v>
      </c>
      <c r="T28" s="841">
        <f t="shared" ca="1" si="42"/>
        <v>-2784.8866099999996</v>
      </c>
      <c r="U28" s="841">
        <f t="shared" ca="1" si="42"/>
        <v>-2152.0314800000006</v>
      </c>
      <c r="V28" s="637">
        <f ca="1">+SUM(R28:U28)</f>
        <v>-9156.9679399999986</v>
      </c>
      <c r="W28" s="841">
        <f t="shared" ref="W28:Z29" ca="1" si="43">+SUMIFS(INDIRECT(CONCATENATE("'",$AW28,$AX28,":",$AY28)),INDIRECT(CONCATENATE("'",$AW28,$AX$22,":",$AY$22)),W$35)</f>
        <v>-2893.5208399999997</v>
      </c>
      <c r="X28" s="884">
        <f t="shared" ca="1" si="43"/>
        <v>1719.5772200000001</v>
      </c>
      <c r="Y28" s="841">
        <f t="shared" ca="1" si="43"/>
        <v>-896.09401000000025</v>
      </c>
      <c r="Z28" s="841">
        <f t="shared" ca="1" si="43"/>
        <v>-952.37159000000065</v>
      </c>
      <c r="AA28" s="898">
        <f ca="1">+SUM(W28:Z28)</f>
        <v>-3022.4092200000005</v>
      </c>
      <c r="AB28" s="841">
        <f t="shared" ref="AB28:AE29" ca="1" si="44">+SUMIFS(INDIRECT(CONCATENATE("'",$AW28,$AX28,":",$AY28)),INDIRECT(CONCATENATE("'",$AW28,$AX$22,":",$AY$22)),AB$35)</f>
        <v>-540.99999999999909</v>
      </c>
      <c r="AC28" s="841">
        <f t="shared" ca="1" si="44"/>
        <v>164.84838000000036</v>
      </c>
      <c r="AD28" s="841">
        <f t="shared" ca="1" si="44"/>
        <v>-52.790259999998852</v>
      </c>
      <c r="AE28" s="884">
        <f t="shared" ca="1" si="44"/>
        <v>7143.2795999999998</v>
      </c>
      <c r="AF28" s="898">
        <f ca="1">+SUM(AB28:AE28)</f>
        <v>6714.3377200000023</v>
      </c>
      <c r="AG28" s="841">
        <f t="shared" ref="AG28:AJ29" ca="1" si="45">+SUMIFS(INDIRECT(CONCATENATE("'",$AW28,$AX28,":",$AY28)),INDIRECT(CONCATENATE("'",$AW28,$AX$22,":",$AY$22)),AG$35)</f>
        <v>1279.2891100000006</v>
      </c>
      <c r="AH28" s="884">
        <f t="shared" ca="1" si="45"/>
        <v>2933.0279499999979</v>
      </c>
      <c r="AI28" s="841">
        <f t="shared" ca="1" si="45"/>
        <v>2517.9430699999984</v>
      </c>
      <c r="AJ28" s="841">
        <f t="shared" ca="1" si="45"/>
        <v>2208.5117899999996</v>
      </c>
      <c r="AK28" s="898">
        <f ca="1">+SUM(AG28:AJ28)</f>
        <v>8938.7719199999956</v>
      </c>
      <c r="AL28" s="841">
        <f t="shared" ref="AL28:AO29" ca="1" si="46">+SUMIFS(INDIRECT(CONCATENATE("'",$AW28,$AX28,":",$AY28)),INDIRECT(CONCATENATE("'",$AW28,$AX$22,":",$AY$22)),AL$35)</f>
        <v>2039.7343800000008</v>
      </c>
      <c r="AM28" s="884">
        <f t="shared" ca="1" si="46"/>
        <v>4056.5603300000002</v>
      </c>
      <c r="AN28" s="841">
        <f t="shared" ca="1" si="46"/>
        <v>1218.2220500000021</v>
      </c>
      <c r="AO28" s="841">
        <f t="shared" ca="1" si="46"/>
        <v>1460.4212000000007</v>
      </c>
      <c r="AP28" s="898">
        <f ca="1">+SUM(AL28:AO28)</f>
        <v>8774.9379600000029</v>
      </c>
      <c r="AQ28" s="841">
        <f t="shared" ref="AQ28:AT29" ca="1" si="47">+SUMIFS(INDIRECT(CONCATENATE("'",$AW28,$AX28,":",$AY28)),INDIRECT(CONCATENATE("'",$AW28,$AX$22,":",$AY$22)),AQ$35)</f>
        <v>2351.3270400000001</v>
      </c>
      <c r="AR28" s="841">
        <f t="shared" ca="1" si="47"/>
        <v>3260.8603000000021</v>
      </c>
      <c r="AS28" s="841">
        <f t="shared" ca="1" si="47"/>
        <v>3306.933340000005</v>
      </c>
      <c r="AT28" s="841">
        <f t="shared" ca="1" si="47"/>
        <v>2568.8136299999987</v>
      </c>
      <c r="AU28" s="897">
        <f ca="1">+SUM(AQ28:AT28)</f>
        <v>11487.934310000006</v>
      </c>
      <c r="AV28" s="841">
        <f ca="1">+SUMIFS(INDIRECT(CONCATENATE("'",$AW28,$AX28,":",$AY28)),INDIRECT(CONCATENATE("'",$AW28,$AX$22,":",$AY$22)),AV$35)</f>
        <v>-1121.6847399999997</v>
      </c>
      <c r="AW28" s="267" t="s">
        <v>1005</v>
      </c>
      <c r="AX28" s="267" t="str">
        <f>"$"&amp;ROW(DRE!$B$21)</f>
        <v>$21</v>
      </c>
      <c r="AY28" s="267" t="str">
        <f>"$"&amp;ROW(DRE!$B$21)</f>
        <v>$21</v>
      </c>
      <c r="AZ28" s="267" t="s">
        <v>1006</v>
      </c>
      <c r="BA28" s="267" t="s">
        <v>1005</v>
      </c>
      <c r="BK28" s="267"/>
      <c r="BL28" s="267"/>
      <c r="BM28" s="267"/>
      <c r="BN28" s="267"/>
      <c r="BO28" s="267"/>
      <c r="BP28" s="267"/>
      <c r="BQ28" s="267"/>
      <c r="BR28" s="267"/>
      <c r="BS28" s="267"/>
      <c r="BT28" s="267"/>
      <c r="BU28" s="267"/>
      <c r="BV28" s="267"/>
      <c r="BW28" s="267"/>
      <c r="BX28" s="267"/>
      <c r="BY28" s="267"/>
      <c r="BZ28" s="267"/>
      <c r="CA28" s="267"/>
      <c r="CB28" s="267"/>
      <c r="CC28" s="267"/>
      <c r="CD28" s="267"/>
      <c r="CE28" s="267"/>
      <c r="CF28" s="267"/>
      <c r="CG28" s="267"/>
    </row>
    <row r="29" spans="1:85" ht="13.5" customHeight="1" x14ac:dyDescent="0.2">
      <c r="B29" s="842" t="s">
        <v>47</v>
      </c>
      <c r="C29" s="841">
        <f t="shared" ca="1" si="39"/>
        <v>-322.19973999999996</v>
      </c>
      <c r="D29" s="841">
        <f t="shared" ca="1" si="39"/>
        <v>-379.92368999999991</v>
      </c>
      <c r="E29" s="841">
        <f t="shared" ca="1" si="39"/>
        <v>-656.57451999999967</v>
      </c>
      <c r="F29" s="841">
        <f t="shared" ca="1" si="39"/>
        <v>595.71961999999996</v>
      </c>
      <c r="G29" s="897">
        <f ca="1">+SUM(C29:F29)</f>
        <v>-762.97832999999957</v>
      </c>
      <c r="H29" s="841">
        <f t="shared" ca="1" si="40"/>
        <v>-425</v>
      </c>
      <c r="I29" s="841">
        <f t="shared" ca="1" si="40"/>
        <v>-226.81720999999999</v>
      </c>
      <c r="J29" s="841">
        <f t="shared" ca="1" si="40"/>
        <v>341.39789999999994</v>
      </c>
      <c r="K29" s="841">
        <f t="shared" ca="1" si="40"/>
        <v>681.55288999999982</v>
      </c>
      <c r="L29" s="897">
        <f ca="1">+SUM(H29:K29)</f>
        <v>371.13357999999982</v>
      </c>
      <c r="M29" s="841">
        <f t="shared" ca="1" si="41"/>
        <v>-528.95529999999997</v>
      </c>
      <c r="N29" s="841">
        <f t="shared" ca="1" si="41"/>
        <v>322.18200999999976</v>
      </c>
      <c r="O29" s="841">
        <f t="shared" ca="1" si="41"/>
        <v>843.61563999999998</v>
      </c>
      <c r="P29" s="841">
        <f t="shared" ca="1" si="41"/>
        <v>2349.8983000000007</v>
      </c>
      <c r="Q29" s="897">
        <f ca="1">+SUM(M29:P29)</f>
        <v>2986.7406500000006</v>
      </c>
      <c r="R29" s="841">
        <f t="shared" ca="1" si="42"/>
        <v>1394.2409299999999</v>
      </c>
      <c r="S29" s="841">
        <f t="shared" ca="1" si="42"/>
        <v>2411.7455300000011</v>
      </c>
      <c r="T29" s="841">
        <f t="shared" ca="1" si="42"/>
        <v>2631.5309200000002</v>
      </c>
      <c r="U29" s="841">
        <f t="shared" ca="1" si="42"/>
        <v>-161.1788199999996</v>
      </c>
      <c r="V29" s="897">
        <f ca="1">+SUM(R29:U29)</f>
        <v>6276.338560000002</v>
      </c>
      <c r="W29" s="841">
        <f t="shared" ca="1" si="43"/>
        <v>810.82394999999951</v>
      </c>
      <c r="X29" s="841">
        <f t="shared" ca="1" si="43"/>
        <v>2401.2292212000002</v>
      </c>
      <c r="Y29" s="841">
        <f t="shared" ca="1" si="43"/>
        <v>1798.9342100000003</v>
      </c>
      <c r="Z29" s="841">
        <f t="shared" ca="1" si="43"/>
        <v>4231.8650900000002</v>
      </c>
      <c r="AA29" s="897">
        <f ca="1">+SUM(W29:Z29)</f>
        <v>9242.8524711999999</v>
      </c>
      <c r="AB29" s="841">
        <f t="shared" ca="1" si="44"/>
        <v>3013</v>
      </c>
      <c r="AC29" s="841">
        <f t="shared" ca="1" si="44"/>
        <v>3005.671455575</v>
      </c>
      <c r="AD29" s="841">
        <f t="shared" ca="1" si="44"/>
        <v>2435.9022784000003</v>
      </c>
      <c r="AE29" s="841">
        <f t="shared" ca="1" si="44"/>
        <v>2116.9677172000002</v>
      </c>
      <c r="AF29" s="897">
        <f ca="1">+SUM(AB29:AE29)</f>
        <v>10571.541451175002</v>
      </c>
      <c r="AG29" s="841">
        <f t="shared" ca="1" si="45"/>
        <v>3837.9019078000001</v>
      </c>
      <c r="AH29" s="841">
        <f t="shared" ca="1" si="45"/>
        <v>2883.4226600000002</v>
      </c>
      <c r="AI29" s="841">
        <f t="shared" ca="1" si="45"/>
        <v>5093.8337000000001</v>
      </c>
      <c r="AJ29" s="841">
        <f t="shared" ca="1" si="45"/>
        <v>4439.7830400000003</v>
      </c>
      <c r="AK29" s="897">
        <f ca="1">+SUM(AG29:AJ29)</f>
        <v>16254.941307800002</v>
      </c>
      <c r="AL29" s="841">
        <f t="shared" ca="1" si="46"/>
        <v>6603.9437900000003</v>
      </c>
      <c r="AM29" s="841">
        <f t="shared" ca="1" si="46"/>
        <v>9362.2939999999999</v>
      </c>
      <c r="AN29" s="841">
        <f t="shared" ca="1" si="46"/>
        <v>7432.3453100000006</v>
      </c>
      <c r="AO29" s="841">
        <f t="shared" ca="1" si="46"/>
        <v>5865.9073797000001</v>
      </c>
      <c r="AP29" s="897">
        <f ca="1">+SUM(AL29:AO29)</f>
        <v>29264.490479699998</v>
      </c>
      <c r="AQ29" s="841">
        <f t="shared" ca="1" si="47"/>
        <v>6307.3868199999988</v>
      </c>
      <c r="AR29" s="841">
        <f t="shared" ca="1" si="47"/>
        <v>8941.1631000000052</v>
      </c>
      <c r="AS29" s="841">
        <f t="shared" ca="1" si="47"/>
        <v>7375.3358299999982</v>
      </c>
      <c r="AT29" s="841">
        <f t="shared" ca="1" si="47"/>
        <v>4187.0581799999964</v>
      </c>
      <c r="AU29" s="897">
        <f ca="1">+SUM(AQ29:AT29)</f>
        <v>26810.943929999998</v>
      </c>
      <c r="AV29" s="841">
        <f ca="1">+SUMIFS(INDIRECT(CONCATENATE("'",$AW29,$AX29,":",$AY29)),INDIRECT(CONCATENATE("'",$AW29,$AX$22,":",$AY$22)),AV$35)</f>
        <v>1431.1688000000004</v>
      </c>
      <c r="AW29" s="267" t="s">
        <v>1005</v>
      </c>
      <c r="AX29" s="267" t="str">
        <f>"$"&amp;ROW(DRE!$B$20)</f>
        <v>$20</v>
      </c>
      <c r="AY29" s="267" t="str">
        <f>"$"&amp;ROW(DRE!$B$20)</f>
        <v>$20</v>
      </c>
      <c r="AZ29" s="267" t="s">
        <v>1006</v>
      </c>
      <c r="BA29" s="267" t="s">
        <v>1005</v>
      </c>
      <c r="BK29" s="267"/>
      <c r="BL29" s="267"/>
      <c r="BM29" s="267"/>
      <c r="BN29" s="267"/>
      <c r="BO29" s="267"/>
      <c r="BP29" s="267"/>
      <c r="BQ29" s="267"/>
      <c r="BR29" s="267"/>
      <c r="BS29" s="267"/>
      <c r="BT29" s="267"/>
      <c r="BU29" s="267"/>
      <c r="BV29" s="267"/>
      <c r="BW29" s="267"/>
      <c r="BX29" s="267"/>
      <c r="BY29" s="267"/>
      <c r="BZ29" s="267"/>
      <c r="CA29" s="267"/>
      <c r="CB29" s="267"/>
      <c r="CC29" s="267"/>
      <c r="CD29" s="267"/>
      <c r="CE29" s="267"/>
      <c r="CF29" s="267"/>
      <c r="CG29" s="267"/>
    </row>
    <row r="30" spans="1:85" ht="13.5" customHeight="1" x14ac:dyDescent="0.2">
      <c r="B30" s="850" t="s">
        <v>14</v>
      </c>
      <c r="C30" s="849">
        <f ca="1">+C26+C28+C29</f>
        <v>9751.149200000058</v>
      </c>
      <c r="D30" s="849">
        <f ca="1">+D26+D28+D29</f>
        <v>16289.862300000037</v>
      </c>
      <c r="E30" s="849">
        <f ca="1">+E26+E28+E29</f>
        <v>24166.161750000047</v>
      </c>
      <c r="F30" s="849">
        <f ca="1">+F26+F28+F29</f>
        <v>67285.740539999955</v>
      </c>
      <c r="G30" s="848">
        <f ca="1">+SUM(C30:F30)</f>
        <v>117492.91379000009</v>
      </c>
      <c r="H30" s="849">
        <f ca="1">+H26+H28+H29</f>
        <v>20229.041430000005</v>
      </c>
      <c r="I30" s="849">
        <f ca="1">+I26+I28+I29</f>
        <v>35186.010869999962</v>
      </c>
      <c r="J30" s="849">
        <f ca="1">+J26+J28+J29</f>
        <v>41036.324519999936</v>
      </c>
      <c r="K30" s="849">
        <f ca="1">+K26+K28+K29</f>
        <v>47844.21808000005</v>
      </c>
      <c r="L30" s="848">
        <f ca="1">+SUM(H30:K30)</f>
        <v>144295.59489999997</v>
      </c>
      <c r="M30" s="849">
        <f ca="1">+M26+M28+M29</f>
        <v>38198.119300000057</v>
      </c>
      <c r="N30" s="849">
        <f ca="1">+N26+N28+N29</f>
        <v>43437.371810000041</v>
      </c>
      <c r="O30" s="849">
        <f ca="1">+O26+O28+O29</f>
        <v>131448.98283000005</v>
      </c>
      <c r="P30" s="849">
        <f ca="1">+P26+P28+P29</f>
        <v>52214.259120000024</v>
      </c>
      <c r="Q30" s="848">
        <f ca="1">+SUM(M30:P30)</f>
        <v>265298.73306000017</v>
      </c>
      <c r="R30" s="849">
        <f ca="1">+R26+R28+R29</f>
        <v>26137.293390000013</v>
      </c>
      <c r="S30" s="849">
        <f ca="1">+S26+S28+S29</f>
        <v>-8987.3549800000219</v>
      </c>
      <c r="T30" s="849">
        <f ca="1">+T26+T28+T29</f>
        <v>41959.816119999967</v>
      </c>
      <c r="U30" s="849">
        <f ca="1">+U26+U28+U29</f>
        <v>37941.838950000034</v>
      </c>
      <c r="V30" s="848">
        <f ca="1">+SUM(R30:U30)</f>
        <v>97051.593479999996</v>
      </c>
      <c r="W30" s="849">
        <f ca="1">+W26+W28+W29</f>
        <v>28149.52507</v>
      </c>
      <c r="X30" s="849">
        <f ca="1">+X26+X28+X29</f>
        <v>32336.520711199973</v>
      </c>
      <c r="Y30" s="849">
        <f ca="1">+Y26+Y28+Y29</f>
        <v>24630.560199999971</v>
      </c>
      <c r="Z30" s="849">
        <f ca="1">+Z26+Z28+Z29</f>
        <v>39269.876089999903</v>
      </c>
      <c r="AA30" s="848">
        <f ca="1">+SUM(W30:Z30)</f>
        <v>124386.48207119985</v>
      </c>
      <c r="AB30" s="849">
        <f ca="1">+AB26+AB28+AB29</f>
        <v>24073.709109999934</v>
      </c>
      <c r="AC30" s="849">
        <f ca="1">+AC26+AC28+AC29</f>
        <v>38629.009675574955</v>
      </c>
      <c r="AD30" s="849">
        <f ca="1">+AD26+AD28+AD29</f>
        <v>71117.286708399959</v>
      </c>
      <c r="AE30" s="849">
        <f ca="1">+AE26+AE28+AE29</f>
        <v>74075.397767199946</v>
      </c>
      <c r="AF30" s="848">
        <f ca="1">+SUM(AB30:AE30)</f>
        <v>207895.4032611748</v>
      </c>
      <c r="AG30" s="849">
        <f ca="1">+AG26+AG28+AG29</f>
        <v>45356.504097799865</v>
      </c>
      <c r="AH30" s="849">
        <f ca="1">+AH26+AH28+AH29</f>
        <v>50438.467710000055</v>
      </c>
      <c r="AI30" s="849">
        <f ca="1">+AI26+AI28+AI29</f>
        <v>73080.8413</v>
      </c>
      <c r="AJ30" s="849">
        <f ca="1">+AJ26+AJ28+AJ29</f>
        <v>66601.116690000243</v>
      </c>
      <c r="AK30" s="848">
        <f ca="1">+SUM(AG30:AJ30)</f>
        <v>235476.92979780014</v>
      </c>
      <c r="AL30" s="849">
        <f ca="1">+AL26+AL28+AL29</f>
        <v>53124.419359999811</v>
      </c>
      <c r="AM30" s="849">
        <f ca="1">+AM26+AM28+AM29</f>
        <v>84658.852060000063</v>
      </c>
      <c r="AN30" s="849">
        <f ca="1">+AN26+AN28+AN29</f>
        <v>120378.99087000008</v>
      </c>
      <c r="AO30" s="849">
        <f ca="1">+AO26+AO28+AO29</f>
        <v>119306.46871969991</v>
      </c>
      <c r="AP30" s="848">
        <f ca="1">+SUM(AL30:AO30)</f>
        <v>377468.73100969987</v>
      </c>
      <c r="AQ30" s="849">
        <f ca="1">+AQ26+AQ28+AQ29</f>
        <v>62512.911169999934</v>
      </c>
      <c r="AR30" s="849">
        <f ca="1">+AR26+AR28+AR29</f>
        <v>91845.928139999785</v>
      </c>
      <c r="AS30" s="849">
        <f ca="1">+AS26+AS28+AS29</f>
        <v>111923.08006000018</v>
      </c>
      <c r="AT30" s="849">
        <f ca="1">+AT26+AT28+AT29</f>
        <v>72089.762640000001</v>
      </c>
      <c r="AU30" s="848">
        <f ca="1">+SUM(AQ30:AT30)</f>
        <v>338371.68200999987</v>
      </c>
      <c r="AV30" s="849">
        <f ca="1">+AV26+AV28+AV29</f>
        <v>57821.984770000185</v>
      </c>
      <c r="AW30" s="267">
        <f>37*1</f>
        <v>37</v>
      </c>
      <c r="BK30" s="267"/>
      <c r="BL30" s="267"/>
      <c r="BM30" s="267"/>
      <c r="BN30" s="267"/>
      <c r="BO30" s="267"/>
      <c r="BP30" s="267"/>
      <c r="BQ30" s="267"/>
      <c r="BR30" s="267"/>
      <c r="BS30" s="267"/>
      <c r="BT30" s="267"/>
      <c r="BU30" s="267"/>
      <c r="BV30" s="267"/>
      <c r="BW30" s="267"/>
      <c r="BX30" s="267"/>
      <c r="BY30" s="267"/>
      <c r="BZ30" s="267"/>
      <c r="CA30" s="267"/>
      <c r="CB30" s="267"/>
      <c r="CC30" s="267"/>
      <c r="CD30" s="267"/>
      <c r="CE30" s="267"/>
      <c r="CF30" s="267"/>
      <c r="CG30" s="267"/>
    </row>
    <row r="31" spans="1:85" ht="13.5" customHeight="1" x14ac:dyDescent="0.2">
      <c r="B31" s="842" t="s">
        <v>10</v>
      </c>
      <c r="C31" s="841">
        <f ca="1">+SUMIFS(INDIRECT(CONCATENATE("'",$AW31,$AX31,":",$AY31)),INDIRECT(CONCATENATE("'",$AW31,$AX$22,":",$AY$22)),C$35)</f>
        <v>-4298.9160000000002</v>
      </c>
      <c r="D31" s="884">
        <f ca="1">+SUMIFS(INDIRECT(CONCATENATE("'",$AW31,$AX31,":",$AY31)),INDIRECT(CONCATENATE("'",$AW31,$AX$22,":",$AY$22)),D$35)</f>
        <v>7766.8676799999994</v>
      </c>
      <c r="E31" s="841">
        <f ca="1">+SUMIFS(INDIRECT(CONCATENATE("'",$AW31,$AX31,":",$AY31)),INDIRECT(CONCATENATE("'",$AW31,$AX$22,":",$AY$22)),E$35)</f>
        <v>-8879.3011299999998</v>
      </c>
      <c r="F31" s="884">
        <f ca="1">+SUMIFS(INDIRECT(CONCATENATE("'",$AW31,$AX31,":",$AY31)),INDIRECT(CONCATENATE("'",$AW31,$AX$22,":",$AY$22)),F$35)</f>
        <v>-8319.4488999999994</v>
      </c>
      <c r="G31" s="898">
        <f ca="1">+SUM(C31:F31)</f>
        <v>-13730.798350000001</v>
      </c>
      <c r="H31" s="841">
        <f ca="1">+SUMIFS(INDIRECT(CONCATENATE("'",$AW31,$AX31,":",$AY31)),INDIRECT(CONCATENATE("'",$AW31,$AX$22,":",$AY$22)),H$35)</f>
        <v>-6233</v>
      </c>
      <c r="I31" s="841">
        <f ca="1">+SUMIFS(INDIRECT(CONCATENATE("'",$AW31,$AX31,":",$AY31)),INDIRECT(CONCATENATE("'",$AW31,$AX$22,":",$AY$22)),I$35)</f>
        <v>-7000.1369300000006</v>
      </c>
      <c r="J31" s="841">
        <f ca="1">+SUMIFS(INDIRECT(CONCATENATE("'",$AW31,$AX31,":",$AY31)),INDIRECT(CONCATENATE("'",$AW31,$AX$22,":",$AY$22)),J$35)</f>
        <v>-9929.7333699999999</v>
      </c>
      <c r="K31" s="884">
        <f ca="1">+SUMIFS(INDIRECT(CONCATENATE("'",$AW31,$AX31,":",$AY31)),INDIRECT(CONCATENATE("'",$AW31,$AX$22,":",$AY$22)),K$35)</f>
        <v>-12883.216170000002</v>
      </c>
      <c r="L31" s="898">
        <f ca="1">+SUM(H31:K31)</f>
        <v>-36046.086470000002</v>
      </c>
      <c r="M31" s="841">
        <f ca="1">+SUMIFS(INDIRECT(CONCATENATE("'",$AW31,$AX31,":",$AY31)),INDIRECT(CONCATENATE("'",$AW31,$AX$22,":",$AY$22)),M$35)</f>
        <v>-11575.73976</v>
      </c>
      <c r="N31" s="841">
        <f ca="1">+SUMIFS(INDIRECT(CONCATENATE("'",$AW31,$AX31,":",$AY31)),INDIRECT(CONCATENATE("'",$AW31,$AX$22,":",$AY$22)),N$35)</f>
        <v>-10923.94203</v>
      </c>
      <c r="O31" s="884">
        <f ca="1">+SUMIFS(INDIRECT(CONCATENATE("'",$AW31,$AX31,":",$AY31)),INDIRECT(CONCATENATE("'",$AW31,$AX$22,":",$AY$22)),O$35)</f>
        <v>-40057.514449999995</v>
      </c>
      <c r="P31" s="841">
        <f ca="1">+SUMIFS(INDIRECT(CONCATENATE("'",$AW31,$AX31,":",$AY31)),INDIRECT(CONCATENATE("'",$AW31,$AX$22,":",$AY$22)),P$35)</f>
        <v>-8769.3005799999992</v>
      </c>
      <c r="Q31" s="898">
        <f ca="1">+SUM(M31:P31)</f>
        <v>-71326.49682</v>
      </c>
      <c r="R31" s="841">
        <f ca="1">+SUMIFS(INDIRECT(CONCATENATE("'",$AW31,$AX31,":",$AY31)),INDIRECT(CONCATENATE("'",$AW31,$AX$22,":",$AY$22)),R$35)</f>
        <v>-6850.96893</v>
      </c>
      <c r="S31" s="841">
        <f ca="1">+SUMIFS(INDIRECT(CONCATENATE("'",$AW31,$AX31,":",$AY31)),INDIRECT(CONCATENATE("'",$AW31,$AX$22,":",$AY$22)),S$35)</f>
        <v>4624.6438899999994</v>
      </c>
      <c r="T31" s="841">
        <f ca="1">+SUMIFS(INDIRECT(CONCATENATE("'",$AW31,$AX31,":",$AY31)),INDIRECT(CONCATENATE("'",$AW31,$AX$22,":",$AY$22)),T$35)</f>
        <v>-12021.130280000001</v>
      </c>
      <c r="U31" s="841">
        <f ca="1">+SUMIFS(INDIRECT(CONCATENATE("'",$AW31,$AX31,":",$AY31)),INDIRECT(CONCATENATE("'",$AW31,$AX$22,":",$AY$22)),U$35)</f>
        <v>-9295.3423600000006</v>
      </c>
      <c r="V31" s="637">
        <f ca="1">+SUM(R31:U31)</f>
        <v>-23542.797680000003</v>
      </c>
      <c r="W31" s="841">
        <f ca="1">+SUMIFS(INDIRECT(CONCATENATE("'",$AW31,$AX31,":",$AY31)),INDIRECT(CONCATENATE("'",$AW31,$AX$22,":",$AY$22)),W$35)</f>
        <v>-7991.2797200000005</v>
      </c>
      <c r="X31" s="841">
        <f ca="1">+SUMIFS(INDIRECT(CONCATENATE("'",$AW31,$AX31,":",$AY31)),INDIRECT(CONCATENATE("'",$AW31,$AX$22,":",$AY$22)),X$35)</f>
        <v>-8180.5598599999994</v>
      </c>
      <c r="Y31" s="884">
        <f ca="1">+SUMIFS(INDIRECT(CONCATENATE("'",$AW31,$AX31,":",$AY31)),INDIRECT(CONCATENATE("'",$AW31,$AX$22,":",$AY$22)),Y$35)</f>
        <v>9562.4</v>
      </c>
      <c r="Z31" s="841">
        <f ca="1">+SUMIFS(INDIRECT(CONCATENATE("'",$AW31,$AX31,":",$AY31)),INDIRECT(CONCATENATE("'",$AW31,$AX$22,":",$AY$22)),Z$35)</f>
        <v>-9991.3930700000001</v>
      </c>
      <c r="AA31" s="898">
        <f ca="1">+SUM(W31:Z31)</f>
        <v>-16600.83265</v>
      </c>
      <c r="AB31" s="841">
        <f ca="1">+SUMIFS(INDIRECT(CONCATENATE("'",$AW31,$AX31,":",$AY31)),INDIRECT(CONCATENATE("'",$AW31,$AX$22,":",$AY$22)),AB$35)</f>
        <v>-5291</v>
      </c>
      <c r="AC31" s="841">
        <f ca="1">+SUMIFS(INDIRECT(CONCATENATE("'",$AW31,$AX31,":",$AY31)),INDIRECT(CONCATENATE("'",$AW31,$AX$22,":",$AY$22)),AC$35)</f>
        <v>-8048.3106200000002</v>
      </c>
      <c r="AD31" s="841">
        <f ca="1">+SUMIFS(INDIRECT(CONCATENATE("'",$AW31,$AX31,":",$AY31)),INDIRECT(CONCATENATE("'",$AW31,$AX$22,":",$AY$22)),AD$35)</f>
        <v>-17648.283640000001</v>
      </c>
      <c r="AE31" s="841">
        <f ca="1">+SUMIFS(INDIRECT(CONCATENATE("'",$AW31,$AX31,":",$AY31)),INDIRECT(CONCATENATE("'",$AW31,$AX$22,":",$AY$22)),AE$35)</f>
        <v>-17243.035919999998</v>
      </c>
      <c r="AF31" s="637">
        <f ca="1">+SUM(AB31:AE31)</f>
        <v>-48230.63018</v>
      </c>
      <c r="AG31" s="841">
        <f ca="1">+SUMIFS(INDIRECT(CONCATENATE("'",$AW31,$AX31,":",$AY31)),INDIRECT(CONCATENATE("'",$AW31,$AX$22,":",$AY$22)),AG$35)</f>
        <v>-10633.6551</v>
      </c>
      <c r="AH31" s="841">
        <f ca="1">+SUMIFS(INDIRECT(CONCATENATE("'",$AW31,$AX31,":",$AY31)),INDIRECT(CONCATENATE("'",$AW31,$AX$22,":",$AY$22)),AH$35)</f>
        <v>-10582.149069999999</v>
      </c>
      <c r="AI31" s="841">
        <f ca="1">+SUMIFS(INDIRECT(CONCATENATE("'",$AW31,$AX31,":",$AY31)),INDIRECT(CONCATENATE("'",$AW31,$AX$22,":",$AY$22)),AI$35)</f>
        <v>-16768.140070000001</v>
      </c>
      <c r="AJ31" s="841">
        <f ca="1">+SUMIFS(INDIRECT(CONCATENATE("'",$AW31,$AX31,":",$AY31)),INDIRECT(CONCATENATE("'",$AW31,$AX$22,":",$AY$22)),AJ$35)</f>
        <v>-15580.425179999998</v>
      </c>
      <c r="AK31" s="637">
        <f ca="1">+SUM(AG31:AJ31)</f>
        <v>-53564.369419999995</v>
      </c>
      <c r="AL31" s="841">
        <f ca="1">+SUMIFS(INDIRECT(CONCATENATE("'",$AW31,$AX31,":",$AY31)),INDIRECT(CONCATENATE("'",$AW31,$AX$22,":",$AY$22)),AL$35)</f>
        <v>-15609.352519999997</v>
      </c>
      <c r="AM31" s="841">
        <f ca="1">+SUMIFS(INDIRECT(CONCATENATE("'",$AW31,$AX31,":",$AY31)),INDIRECT(CONCATENATE("'",$AW31,$AX$22,":",$AY$22)),AM$35)</f>
        <v>-21144.194380000001</v>
      </c>
      <c r="AN31" s="841">
        <f ca="1">+SUMIFS(INDIRECT(CONCATENATE("'",$AW31,$AX31,":",$AY31)),INDIRECT(CONCATENATE("'",$AW31,$AX$22,":",$AY$22)),AN$35)</f>
        <v>-35933.303370000001</v>
      </c>
      <c r="AO31" s="841">
        <f ca="1">+SUMIFS(INDIRECT(CONCATENATE("'",$AW31,$AX31,":",$AY31)),INDIRECT(CONCATENATE("'",$AW31,$AX$22,":",$AY$22)),AO$35)</f>
        <v>-34169.50647</v>
      </c>
      <c r="AP31" s="637">
        <f ca="1">+SUM(AL31:AO31)</f>
        <v>-106856.35673999999</v>
      </c>
      <c r="AQ31" s="841">
        <f ca="1">+SUMIFS(INDIRECT(CONCATENATE("'",$AW31,$AX31,":",$AY31)),INDIRECT(CONCATENATE("'",$AW31,$AX$22,":",$AY$22)),AQ$35)</f>
        <v>-18778.226869999999</v>
      </c>
      <c r="AR31" s="841">
        <f ca="1">+SUMIFS(INDIRECT(CONCATENATE("'",$AW31,$AX31,":",$AY31)),INDIRECT(CONCATENATE("'",$AW31,$AX$22,":",$AY$22)),AR$35)</f>
        <v>-24727.419260000002</v>
      </c>
      <c r="AS31" s="841">
        <f ca="1">+SUMIFS(INDIRECT(CONCATENATE("'",$AW31,$AX31,":",$AY31)),INDIRECT(CONCATENATE("'",$AW31,$AX$22,":",$AY$22)),AS$35)</f>
        <v>-32032.358809999994</v>
      </c>
      <c r="AT31" s="841">
        <f ca="1">+SUMIFS(INDIRECT(CONCATENATE("'",$AW31,$AX31,":",$AY31)),INDIRECT(CONCATENATE("'",$AW31,$AX$22,":",$AY$22)),AT$35)</f>
        <v>-19871.384720000002</v>
      </c>
      <c r="AU31" s="637">
        <f ca="1">+SUM(AQ31:AT31)</f>
        <v>-95409.389660000001</v>
      </c>
      <c r="AV31" s="841">
        <f ca="1">+SUMIFS(INDIRECT(CONCATENATE("'",$AW31,$AX31,":",$AY31)),INDIRECT(CONCATENATE("'",$AW31,$AX$22,":",$AY$22)),AV$35)</f>
        <v>-19037.088649999998</v>
      </c>
      <c r="AW31" s="267" t="s">
        <v>1005</v>
      </c>
      <c r="AX31" s="267" t="str">
        <f>"$"&amp;ROW(DRE!$B$25)</f>
        <v>$25</v>
      </c>
      <c r="AY31" s="267" t="str">
        <f>"$"&amp;ROW(DRE!$B$25)</f>
        <v>$25</v>
      </c>
      <c r="AZ31" s="267" t="s">
        <v>1006</v>
      </c>
      <c r="BA31" s="267" t="s">
        <v>1005</v>
      </c>
      <c r="BK31" s="267"/>
      <c r="BL31" s="267"/>
      <c r="BM31" s="267"/>
      <c r="BN31" s="267"/>
      <c r="BO31" s="267"/>
      <c r="BP31" s="267"/>
      <c r="BQ31" s="267"/>
      <c r="BR31" s="267"/>
      <c r="BS31" s="267"/>
      <c r="BT31" s="267"/>
      <c r="BU31" s="267"/>
      <c r="BV31" s="267"/>
      <c r="BW31" s="267"/>
      <c r="BX31" s="267"/>
      <c r="BY31" s="267"/>
      <c r="BZ31" s="267"/>
      <c r="CA31" s="267"/>
      <c r="CB31" s="267"/>
      <c r="CC31" s="267"/>
      <c r="CD31" s="267"/>
      <c r="CE31" s="267"/>
      <c r="CF31" s="267"/>
      <c r="CG31" s="267"/>
    </row>
    <row r="32" spans="1:85" s="835" customFormat="1" ht="13.5" customHeight="1" x14ac:dyDescent="0.2">
      <c r="A32" s="840"/>
      <c r="B32" s="845" t="s">
        <v>963</v>
      </c>
      <c r="C32" s="859">
        <f t="shared" ref="C32:S32" ca="1" si="48">+C31/C30</f>
        <v>-0.44086249854529708</v>
      </c>
      <c r="D32" s="859">
        <f t="shared" ca="1" si="48"/>
        <v>0.47679148767267243</v>
      </c>
      <c r="E32" s="859">
        <f t="shared" ca="1" si="48"/>
        <v>-0.36742703379447433</v>
      </c>
      <c r="F32" s="859">
        <f t="shared" ca="1" si="48"/>
        <v>-0.12364356598043626</v>
      </c>
      <c r="G32" s="883">
        <f t="shared" ca="1" si="48"/>
        <v>-0.11686490620652766</v>
      </c>
      <c r="H32" s="859">
        <f t="shared" ca="1" si="48"/>
        <v>-0.30812137201698331</v>
      </c>
      <c r="I32" s="859">
        <f t="shared" ca="1" si="48"/>
        <v>-0.19894659146963448</v>
      </c>
      <c r="J32" s="859">
        <f t="shared" ca="1" si="48"/>
        <v>-0.24197423833999876</v>
      </c>
      <c r="K32" s="859">
        <f t="shared" ca="1" si="48"/>
        <v>-0.2692742548004034</v>
      </c>
      <c r="L32" s="846">
        <f t="shared" ca="1" si="48"/>
        <v>-0.24980725499611223</v>
      </c>
      <c r="M32" s="859">
        <f t="shared" ca="1" si="48"/>
        <v>-0.3030447564469485</v>
      </c>
      <c r="N32" s="859">
        <f t="shared" ca="1" si="48"/>
        <v>-0.2514871773960578</v>
      </c>
      <c r="O32" s="859">
        <f t="shared" ca="1" si="48"/>
        <v>-0.30473810894227654</v>
      </c>
      <c r="P32" s="859">
        <f t="shared" ca="1" si="48"/>
        <v>-0.16794838666284986</v>
      </c>
      <c r="Q32" s="846">
        <f t="shared" ca="1" si="48"/>
        <v>-0.26885351466743995</v>
      </c>
      <c r="R32" s="859">
        <f t="shared" ca="1" si="48"/>
        <v>-0.26211470437184375</v>
      </c>
      <c r="S32" s="859">
        <f t="shared" ca="1" si="48"/>
        <v>-0.51457229633094881</v>
      </c>
      <c r="T32" s="859">
        <f t="shared" ref="T32:Y32" ca="1" si="49">+T31/T30</f>
        <v>-0.28649149094507542</v>
      </c>
      <c r="U32" s="859">
        <f t="shared" ca="1" si="49"/>
        <v>-0.24498924188280527</v>
      </c>
      <c r="V32" s="846">
        <f t="shared" ca="1" si="49"/>
        <v>-0.24258022806036264</v>
      </c>
      <c r="W32" s="859">
        <f t="shared" ca="1" si="49"/>
        <v>-0.28388684001338998</v>
      </c>
      <c r="X32" s="859">
        <f t="shared" ca="1" si="49"/>
        <v>-0.2529820673368427</v>
      </c>
      <c r="Y32" s="859">
        <f t="shared" ca="1" si="49"/>
        <v>0.38823315110794804</v>
      </c>
      <c r="Z32" s="859">
        <f t="shared" ref="Z32:AF32" ca="1" si="50">+Z31/Z30</f>
        <v>-0.25442894311918429</v>
      </c>
      <c r="AA32" s="846">
        <f t="shared" ca="1" si="50"/>
        <v>-0.13346171041719426</v>
      </c>
      <c r="AB32" s="859">
        <f t="shared" ca="1" si="50"/>
        <v>-0.21978333192545643</v>
      </c>
      <c r="AC32" s="859">
        <f t="shared" ca="1" si="50"/>
        <v>-0.20834887271492572</v>
      </c>
      <c r="AD32" s="859">
        <f t="shared" ca="1" si="50"/>
        <v>-0.24815743761938952</v>
      </c>
      <c r="AE32" s="859">
        <f t="shared" ca="1" si="50"/>
        <v>-0.2327768252313738</v>
      </c>
      <c r="AF32" s="846">
        <f t="shared" ca="1" si="50"/>
        <v>-0.23199469263593497</v>
      </c>
      <c r="AG32" s="859">
        <f t="shared" ref="AG32:AM32" ca="1" si="51">+AG31/AG30</f>
        <v>-0.23444609128320834</v>
      </c>
      <c r="AH32" s="859">
        <f t="shared" ca="1" si="51"/>
        <v>-0.20980314332391894</v>
      </c>
      <c r="AI32" s="859">
        <f t="shared" ca="1" si="51"/>
        <v>-0.22944645644083467</v>
      </c>
      <c r="AJ32" s="859">
        <f t="shared" ca="1" si="51"/>
        <v>-0.2339363955790745</v>
      </c>
      <c r="AK32" s="846">
        <f t="shared" ca="1" si="51"/>
        <v>-0.22747183541926919</v>
      </c>
      <c r="AL32" s="859">
        <f t="shared" ca="1" si="51"/>
        <v>-0.29382631769060058</v>
      </c>
      <c r="AM32" s="859">
        <f t="shared" ca="1" si="51"/>
        <v>-0.24975763154707706</v>
      </c>
      <c r="AN32" s="859">
        <f t="shared" ref="AN32:AV32" ca="1" si="52">+AN31/AN30</f>
        <v>-0.29850145038020104</v>
      </c>
      <c r="AO32" s="859">
        <f t="shared" ca="1" si="52"/>
        <v>-0.28640112172189303</v>
      </c>
      <c r="AP32" s="846">
        <f t="shared" ca="1" si="52"/>
        <v>-0.28308664522798338</v>
      </c>
      <c r="AQ32" s="859">
        <f t="shared" ca="1" si="52"/>
        <v>-0.30038957582592485</v>
      </c>
      <c r="AR32" s="859">
        <f t="shared" ca="1" si="52"/>
        <v>-0.26922716946480474</v>
      </c>
      <c r="AS32" s="859">
        <f t="shared" ca="1" si="52"/>
        <v>-0.28619976141496423</v>
      </c>
      <c r="AT32" s="859">
        <f t="shared" ca="1" si="52"/>
        <v>-0.27564780340910833</v>
      </c>
      <c r="AU32" s="846">
        <f t="shared" ca="1" si="52"/>
        <v>-0.28196623633883278</v>
      </c>
      <c r="AV32" s="859">
        <f t="shared" ca="1" si="52"/>
        <v>-0.32923616727658617</v>
      </c>
      <c r="AW32" s="836"/>
      <c r="AX32" s="836"/>
      <c r="AY32" s="836"/>
      <c r="AZ32" s="836"/>
      <c r="BA32" s="836"/>
      <c r="BB32" s="836"/>
      <c r="BC32" s="836"/>
      <c r="BD32" s="836"/>
      <c r="BE32" s="836"/>
      <c r="BH32" s="836"/>
      <c r="BI32" s="836"/>
      <c r="BJ32" s="836"/>
      <c r="BK32" s="836"/>
      <c r="BL32" s="836"/>
      <c r="BM32" s="836"/>
      <c r="BN32" s="836"/>
      <c r="BO32" s="836"/>
      <c r="BP32" s="836"/>
      <c r="BQ32" s="836"/>
      <c r="BR32" s="836"/>
      <c r="BS32" s="836"/>
      <c r="BT32" s="836"/>
      <c r="BU32" s="836"/>
      <c r="BV32" s="836"/>
      <c r="BW32" s="836"/>
      <c r="BX32" s="836"/>
      <c r="BY32" s="836"/>
      <c r="BZ32" s="836"/>
      <c r="CA32" s="836"/>
      <c r="CB32" s="836"/>
      <c r="CC32" s="836"/>
      <c r="CD32" s="836"/>
      <c r="CE32" s="836"/>
      <c r="CF32" s="836"/>
      <c r="CG32" s="836"/>
    </row>
    <row r="33" spans="1:85" ht="13.5" customHeight="1" x14ac:dyDescent="0.2">
      <c r="B33" s="857" t="s">
        <v>72</v>
      </c>
      <c r="C33" s="896">
        <f ca="1">+C30+C31</f>
        <v>5452.2332000000579</v>
      </c>
      <c r="D33" s="896">
        <f ca="1">+D30+D31</f>
        <v>24056.729980000036</v>
      </c>
      <c r="E33" s="896">
        <f ca="1">+E30+E31</f>
        <v>15286.860620000047</v>
      </c>
      <c r="F33" s="896">
        <f ca="1">+F30+F31</f>
        <v>58966.291639999952</v>
      </c>
      <c r="G33" s="895">
        <f ca="1">+SUM(C33:F33)</f>
        <v>103762.1154400001</v>
      </c>
      <c r="H33" s="896">
        <f ca="1">+H30+H31</f>
        <v>13996.041430000005</v>
      </c>
      <c r="I33" s="896">
        <f ca="1">+I30+I31</f>
        <v>28185.873939999961</v>
      </c>
      <c r="J33" s="896">
        <f ca="1">+J30+J31</f>
        <v>31106.591149999935</v>
      </c>
      <c r="K33" s="896">
        <f ca="1">+K30+K31</f>
        <v>34961.00191000005</v>
      </c>
      <c r="L33" s="895">
        <f ca="1">+SUM(H33:K33)</f>
        <v>108249.50842999996</v>
      </c>
      <c r="M33" s="896">
        <f ca="1">+M30+M31</f>
        <v>26622.379540000056</v>
      </c>
      <c r="N33" s="896">
        <f ca="1">+N30+N31</f>
        <v>32513.429780000042</v>
      </c>
      <c r="O33" s="896">
        <f ca="1">+O30+O31</f>
        <v>91391.468380000064</v>
      </c>
      <c r="P33" s="896">
        <f ca="1">+P30+P31</f>
        <v>43444.958540000021</v>
      </c>
      <c r="Q33" s="895">
        <f ca="1">+SUM(M33:P33)</f>
        <v>193972.23624000017</v>
      </c>
      <c r="R33" s="896">
        <f ca="1">+R30+R31</f>
        <v>19286.324460000014</v>
      </c>
      <c r="S33" s="896">
        <f ca="1">+S30+S31</f>
        <v>-4362.7110900000225</v>
      </c>
      <c r="T33" s="896">
        <f ca="1">+T30+T31</f>
        <v>29938.685839999966</v>
      </c>
      <c r="U33" s="896">
        <f ca="1">+U30+U31</f>
        <v>28646.496590000032</v>
      </c>
      <c r="V33" s="895">
        <f ca="1">+SUM(R33:U33)</f>
        <v>73508.795799999993</v>
      </c>
      <c r="W33" s="896">
        <f ca="1">+W30+W31</f>
        <v>20158.245349999997</v>
      </c>
      <c r="X33" s="896">
        <f ca="1">+X30+X31</f>
        <v>24155.960851199976</v>
      </c>
      <c r="Y33" s="896">
        <f ca="1">+Y30+Y31</f>
        <v>34192.960199999972</v>
      </c>
      <c r="Z33" s="896">
        <f ca="1">+Z30+Z31</f>
        <v>29278.483019999905</v>
      </c>
      <c r="AA33" s="895">
        <f ca="1">+SUM(W33:Z33)</f>
        <v>107785.64942119984</v>
      </c>
      <c r="AB33" s="896">
        <f ca="1">+AB30+AB31</f>
        <v>18782.709109999934</v>
      </c>
      <c r="AC33" s="896">
        <f ca="1">+AC30+AC31</f>
        <v>30580.699055574954</v>
      </c>
      <c r="AD33" s="896">
        <f ca="1">+AD30+AD31</f>
        <v>53469.003068399958</v>
      </c>
      <c r="AE33" s="896">
        <f ca="1">+AE30+AE31</f>
        <v>56832.361847199951</v>
      </c>
      <c r="AF33" s="895">
        <f ca="1">+SUM(AB33:AE33)</f>
        <v>159664.77308117482</v>
      </c>
      <c r="AG33" s="896">
        <f ca="1">+AG30+AG31</f>
        <v>34722.848997799869</v>
      </c>
      <c r="AH33" s="896">
        <f ca="1">+AH30+AH31</f>
        <v>39856.318640000056</v>
      </c>
      <c r="AI33" s="896">
        <f ca="1">+AI30+AI31</f>
        <v>56312.701229999999</v>
      </c>
      <c r="AJ33" s="896">
        <f ca="1">+AJ30+AJ31</f>
        <v>51020.691510000244</v>
      </c>
      <c r="AK33" s="895">
        <f ca="1">+SUM(AG33:AJ33)</f>
        <v>181912.56037780017</v>
      </c>
      <c r="AL33" s="896">
        <f ca="1">+AL30+AL31</f>
        <v>37515.06683999981</v>
      </c>
      <c r="AM33" s="896">
        <f ca="1">+AM30+AM31</f>
        <v>63514.657680000062</v>
      </c>
      <c r="AN33" s="896">
        <f ca="1">+AN30+AN31</f>
        <v>84445.687500000087</v>
      </c>
      <c r="AO33" s="896">
        <f ca="1">+AO30+AO31</f>
        <v>85136.962249699922</v>
      </c>
      <c r="AP33" s="895">
        <f ca="1">+SUM(AL33:AO33)</f>
        <v>270612.37426969991</v>
      </c>
      <c r="AQ33" s="896">
        <f ca="1">+AQ30+AQ31</f>
        <v>43734.684299999935</v>
      </c>
      <c r="AR33" s="896">
        <f ca="1">+AR30+AR31</f>
        <v>67118.508879999776</v>
      </c>
      <c r="AS33" s="896">
        <f ca="1">+AS30+AS31</f>
        <v>79890.721250000192</v>
      </c>
      <c r="AT33" s="896">
        <f ca="1">+AT30+AT31</f>
        <v>52218.377919999999</v>
      </c>
      <c r="AU33" s="895">
        <f ca="1">+SUM(AQ33:AT33)</f>
        <v>242962.29234999989</v>
      </c>
      <c r="AV33" s="896">
        <f ca="1">+AV30+AV31</f>
        <v>38784.896120000187</v>
      </c>
      <c r="BK33" s="267"/>
      <c r="BL33" s="267"/>
      <c r="BM33" s="267"/>
      <c r="BN33" s="267"/>
      <c r="BO33" s="267"/>
      <c r="BP33" s="267"/>
      <c r="BQ33" s="267"/>
      <c r="BR33" s="267"/>
      <c r="BS33" s="267"/>
      <c r="BT33" s="267"/>
      <c r="BU33" s="267"/>
      <c r="BV33" s="267"/>
      <c r="BW33" s="267"/>
      <c r="BX33" s="267"/>
      <c r="BY33" s="267"/>
      <c r="BZ33" s="267"/>
      <c r="CA33" s="267"/>
      <c r="CB33" s="267"/>
      <c r="CC33" s="267"/>
      <c r="CD33" s="267"/>
      <c r="CE33" s="267"/>
      <c r="CF33" s="267"/>
      <c r="CG33" s="267"/>
    </row>
    <row r="34" spans="1:85" ht="13.5" customHeight="1" x14ac:dyDescent="0.2">
      <c r="A34" s="626"/>
      <c r="B34" s="926"/>
      <c r="C34" s="841"/>
      <c r="D34" s="841"/>
      <c r="E34" s="841"/>
      <c r="F34" s="841"/>
      <c r="G34" s="275"/>
      <c r="H34" s="841"/>
      <c r="I34" s="841"/>
      <c r="J34" s="841"/>
      <c r="K34" s="841"/>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BK34" s="267"/>
      <c r="BL34" s="267"/>
      <c r="BM34" s="267"/>
      <c r="BN34" s="267"/>
      <c r="BO34" s="267"/>
      <c r="BP34" s="267"/>
      <c r="BQ34" s="267"/>
      <c r="BR34" s="267"/>
      <c r="BS34" s="267"/>
      <c r="BT34" s="267"/>
      <c r="BU34" s="267"/>
      <c r="BV34" s="267"/>
      <c r="BW34" s="267"/>
      <c r="BX34" s="267"/>
      <c r="BY34" s="267"/>
      <c r="BZ34" s="267"/>
      <c r="CA34" s="267"/>
      <c r="CB34" s="267"/>
      <c r="CC34" s="267"/>
      <c r="CD34" s="267"/>
      <c r="CE34" s="267"/>
      <c r="CF34" s="267"/>
      <c r="CG34" s="267"/>
    </row>
    <row r="35" spans="1:85" ht="13.5" customHeight="1" thickBot="1" x14ac:dyDescent="0.25">
      <c r="A35" s="23"/>
      <c r="B35" s="852" t="s">
        <v>1004</v>
      </c>
      <c r="C35" s="851" t="str">
        <f t="shared" ref="C35:X35" si="53">C5</f>
        <v>1T17</v>
      </c>
      <c r="D35" s="851" t="str">
        <f t="shared" si="53"/>
        <v>2T17</v>
      </c>
      <c r="E35" s="851" t="str">
        <f t="shared" si="53"/>
        <v>3T17</v>
      </c>
      <c r="F35" s="851" t="str">
        <f t="shared" si="53"/>
        <v>4T17</v>
      </c>
      <c r="G35" s="851" t="str">
        <f t="shared" si="53"/>
        <v>2017</v>
      </c>
      <c r="H35" s="851" t="str">
        <f t="shared" si="53"/>
        <v>1T18</v>
      </c>
      <c r="I35" s="851" t="str">
        <f t="shared" si="53"/>
        <v>2T18</v>
      </c>
      <c r="J35" s="851" t="str">
        <f t="shared" si="53"/>
        <v>3T18</v>
      </c>
      <c r="K35" s="851" t="str">
        <f t="shared" si="53"/>
        <v>4T18</v>
      </c>
      <c r="L35" s="851" t="str">
        <f t="shared" si="53"/>
        <v>2018</v>
      </c>
      <c r="M35" s="851" t="str">
        <f t="shared" si="53"/>
        <v>1T19</v>
      </c>
      <c r="N35" s="851" t="str">
        <f t="shared" si="53"/>
        <v>2T19</v>
      </c>
      <c r="O35" s="851" t="str">
        <f t="shared" si="53"/>
        <v>3T19</v>
      </c>
      <c r="P35" s="851" t="str">
        <f t="shared" si="53"/>
        <v>4T19</v>
      </c>
      <c r="Q35" s="851" t="str">
        <f t="shared" si="53"/>
        <v>2019</v>
      </c>
      <c r="R35" s="851" t="str">
        <f t="shared" si="53"/>
        <v>1T20</v>
      </c>
      <c r="S35" s="851" t="str">
        <f t="shared" si="53"/>
        <v>2T20</v>
      </c>
      <c r="T35" s="851" t="str">
        <f t="shared" si="53"/>
        <v>3T20</v>
      </c>
      <c r="U35" s="851" t="str">
        <f t="shared" si="53"/>
        <v>4T20</v>
      </c>
      <c r="V35" s="851" t="str">
        <f t="shared" si="53"/>
        <v>2020</v>
      </c>
      <c r="W35" s="851" t="str">
        <f t="shared" si="53"/>
        <v>1T21</v>
      </c>
      <c r="X35" s="851" t="str">
        <f t="shared" si="53"/>
        <v>2T21</v>
      </c>
      <c r="Y35" s="851" t="str">
        <f t="shared" ref="Y35:AD35" si="54">Y5</f>
        <v>3T21</v>
      </c>
      <c r="Z35" s="851" t="str">
        <f t="shared" si="54"/>
        <v>4T21</v>
      </c>
      <c r="AA35" s="851" t="str">
        <f t="shared" si="54"/>
        <v>2021</v>
      </c>
      <c r="AB35" s="851" t="str">
        <f t="shared" si="54"/>
        <v>1T22</v>
      </c>
      <c r="AC35" s="851" t="str">
        <f t="shared" si="54"/>
        <v>2T22</v>
      </c>
      <c r="AD35" s="851" t="str">
        <f t="shared" si="54"/>
        <v>3T22</v>
      </c>
      <c r="AE35" s="851" t="str">
        <f t="shared" ref="AE35:AM35" si="55">AE5</f>
        <v>4T22</v>
      </c>
      <c r="AF35" s="851" t="str">
        <f t="shared" si="55"/>
        <v>2022</v>
      </c>
      <c r="AG35" s="851" t="str">
        <f t="shared" si="55"/>
        <v>1T23</v>
      </c>
      <c r="AH35" s="851" t="str">
        <f t="shared" si="55"/>
        <v>2T23</v>
      </c>
      <c r="AI35" s="851" t="str">
        <f t="shared" si="55"/>
        <v>3T23</v>
      </c>
      <c r="AJ35" s="851" t="str">
        <f t="shared" si="55"/>
        <v>4T23</v>
      </c>
      <c r="AK35" s="851" t="str">
        <f t="shared" si="55"/>
        <v>2023</v>
      </c>
      <c r="AL35" s="851" t="str">
        <f t="shared" si="55"/>
        <v>1T24</v>
      </c>
      <c r="AM35" s="851" t="str">
        <f t="shared" si="55"/>
        <v>2T24</v>
      </c>
      <c r="AN35" s="851" t="str">
        <f t="shared" ref="AN35:AV35" si="56">AN5</f>
        <v>3T24</v>
      </c>
      <c r="AO35" s="851" t="str">
        <f t="shared" si="56"/>
        <v>4T24</v>
      </c>
      <c r="AP35" s="851" t="str">
        <f t="shared" si="56"/>
        <v>2024</v>
      </c>
      <c r="AQ35" s="851" t="str">
        <f t="shared" si="56"/>
        <v>1T25</v>
      </c>
      <c r="AR35" s="851" t="str">
        <f t="shared" si="56"/>
        <v>2T25</v>
      </c>
      <c r="AS35" s="851" t="str">
        <f t="shared" si="56"/>
        <v>3T25</v>
      </c>
      <c r="AT35" s="851" t="str">
        <f t="shared" si="56"/>
        <v>4T25</v>
      </c>
      <c r="AU35" s="851" t="str">
        <f t="shared" si="56"/>
        <v>2025</v>
      </c>
      <c r="AV35" s="851" t="str">
        <f t="shared" si="56"/>
        <v>1T26</v>
      </c>
      <c r="AX35" s="267" t="str">
        <f>"$"&amp;ROW(DRE!$B$5)</f>
        <v>$5</v>
      </c>
      <c r="AY35" s="267" t="str">
        <f>"$"&amp;ROW(DRE!$B$5)</f>
        <v>$5</v>
      </c>
      <c r="BK35" s="267"/>
      <c r="BL35" s="267"/>
      <c r="BM35" s="267"/>
      <c r="BN35" s="267"/>
      <c r="BO35" s="267"/>
      <c r="BP35" s="267"/>
      <c r="BQ35" s="267"/>
      <c r="BR35" s="267"/>
      <c r="BS35" s="267"/>
      <c r="BT35" s="267"/>
      <c r="BU35" s="267"/>
      <c r="BV35" s="267"/>
      <c r="BW35" s="267"/>
      <c r="BX35" s="267"/>
      <c r="BY35" s="267"/>
      <c r="BZ35" s="267"/>
      <c r="CA35" s="267"/>
      <c r="CB35" s="267"/>
      <c r="CC35" s="267"/>
      <c r="CD35" s="267"/>
      <c r="CE35" s="267"/>
      <c r="CF35" s="267"/>
      <c r="CG35" s="267"/>
    </row>
    <row r="36" spans="1:85" ht="13.5" customHeight="1" x14ac:dyDescent="0.2">
      <c r="A36" s="16"/>
      <c r="B36" s="1109" t="s">
        <v>1214</v>
      </c>
      <c r="C36" s="1110" t="s">
        <v>1215</v>
      </c>
      <c r="D36" s="1110" t="s">
        <v>1215</v>
      </c>
      <c r="E36" s="1110" t="s">
        <v>1215</v>
      </c>
      <c r="F36" s="1110" t="s">
        <v>1215</v>
      </c>
      <c r="G36" s="1110" t="s">
        <v>1215</v>
      </c>
      <c r="H36" s="1110" t="s">
        <v>1215</v>
      </c>
      <c r="I36" s="1110" t="s">
        <v>1215</v>
      </c>
      <c r="J36" s="1110" t="s">
        <v>1215</v>
      </c>
      <c r="K36" s="1110" t="s">
        <v>1215</v>
      </c>
      <c r="L36" s="1110" t="s">
        <v>1215</v>
      </c>
      <c r="M36" s="1110" t="s">
        <v>1215</v>
      </c>
      <c r="N36" s="1110" t="s">
        <v>1215</v>
      </c>
      <c r="O36" s="1110" t="s">
        <v>1215</v>
      </c>
      <c r="P36" s="1110" t="s">
        <v>1215</v>
      </c>
      <c r="Q36" s="1110" t="s">
        <v>1215</v>
      </c>
      <c r="R36" s="1110" t="s">
        <v>1215</v>
      </c>
      <c r="S36" s="1110" t="s">
        <v>1215</v>
      </c>
      <c r="T36" s="1110" t="s">
        <v>1215</v>
      </c>
      <c r="U36" s="1110" t="s">
        <v>1215</v>
      </c>
      <c r="V36" s="1110" t="s">
        <v>1215</v>
      </c>
      <c r="W36" s="1110" t="s">
        <v>1215</v>
      </c>
      <c r="X36" s="1110" t="s">
        <v>1215</v>
      </c>
      <c r="Y36" s="1110" t="s">
        <v>1215</v>
      </c>
      <c r="Z36" s="1110" t="s">
        <v>1215</v>
      </c>
      <c r="AA36" s="1110" t="s">
        <v>1215</v>
      </c>
      <c r="AB36" s="1110" t="s">
        <v>1215</v>
      </c>
      <c r="AC36" s="1110" t="s">
        <v>1215</v>
      </c>
      <c r="AD36" s="1110" t="s">
        <v>1215</v>
      </c>
      <c r="AE36" s="1110" t="s">
        <v>1215</v>
      </c>
      <c r="AF36" s="1110" t="s">
        <v>1215</v>
      </c>
      <c r="AG36" s="1110" t="s">
        <v>1215</v>
      </c>
      <c r="AH36" s="1110" t="s">
        <v>1218</v>
      </c>
      <c r="AI36" s="1110" t="s">
        <v>1218</v>
      </c>
      <c r="AJ36" s="1110" t="s">
        <v>1218</v>
      </c>
      <c r="AK36" s="1110" t="s">
        <v>1215</v>
      </c>
      <c r="AL36" s="1110" t="s">
        <v>1215</v>
      </c>
      <c r="AM36" s="1110" t="s">
        <v>1278</v>
      </c>
      <c r="AN36" s="1110" t="s">
        <v>1278</v>
      </c>
      <c r="AO36" s="1110" t="s">
        <v>1278</v>
      </c>
      <c r="AP36" s="1110" t="s">
        <v>1215</v>
      </c>
      <c r="AQ36" s="1110" t="s">
        <v>1278</v>
      </c>
      <c r="AR36" s="1110" t="s">
        <v>1278</v>
      </c>
      <c r="AS36" s="1110" t="s">
        <v>1278</v>
      </c>
      <c r="AT36" s="1110" t="s">
        <v>1278</v>
      </c>
      <c r="AU36" s="1110" t="s">
        <v>1278</v>
      </c>
      <c r="AV36" s="1167" t="s">
        <v>1278</v>
      </c>
      <c r="AW36" s="964"/>
      <c r="BK36" s="267"/>
      <c r="BL36" s="267"/>
      <c r="BM36" s="267"/>
      <c r="BN36" s="267"/>
      <c r="BO36" s="267"/>
      <c r="BP36" s="267"/>
      <c r="BQ36" s="267"/>
      <c r="BR36" s="267"/>
      <c r="BS36" s="267"/>
      <c r="BT36" s="267"/>
      <c r="BU36" s="267"/>
      <c r="BV36" s="267"/>
      <c r="BW36" s="267"/>
      <c r="BX36" s="267"/>
      <c r="BY36" s="267"/>
      <c r="BZ36" s="267"/>
      <c r="CA36" s="267"/>
      <c r="CB36" s="267"/>
      <c r="CC36" s="267"/>
      <c r="CD36" s="267"/>
      <c r="CE36" s="267"/>
      <c r="CF36" s="267"/>
      <c r="CG36" s="267"/>
    </row>
    <row r="37" spans="1:85" ht="13.5" customHeight="1" x14ac:dyDescent="0.2">
      <c r="B37" s="1111" t="s">
        <v>1216</v>
      </c>
      <c r="C37" s="841">
        <f>+VLOOKUP(C$35,'Dados Mercado'!$B:$E,3,0)</f>
        <v>460582</v>
      </c>
      <c r="D37" s="841">
        <f>+VLOOKUP(D$35,'Dados Mercado'!$B:$E,3,0)</f>
        <v>532511</v>
      </c>
      <c r="E37" s="841">
        <f>+VLOOKUP(E$35,'Dados Mercado'!$B:$E,3,0)</f>
        <v>582986</v>
      </c>
      <c r="F37" s="841">
        <f>+VLOOKUP(F$35,'Dados Mercado'!$B:$E,3,0)</f>
        <v>599907</v>
      </c>
      <c r="G37" s="637">
        <f>+SUM(C37:F37)</f>
        <v>2175986</v>
      </c>
      <c r="H37" s="841">
        <f>+VLOOKUP(H$35,'Dados Mercado'!$B:$E,3,0)</f>
        <v>528244</v>
      </c>
      <c r="I37" s="841">
        <f>+VLOOKUP(I$35,'Dados Mercado'!$B:$E,3,0)</f>
        <v>600898</v>
      </c>
      <c r="J37" s="841">
        <f>+VLOOKUP(J$35,'Dados Mercado'!$B:$E,3,0)</f>
        <v>653805</v>
      </c>
      <c r="K37" s="841">
        <f>+VLOOKUP(K$35,'Dados Mercado'!$B:$E,3,0)</f>
        <v>692391</v>
      </c>
      <c r="L37" s="637">
        <f>+SUM(H37:K37)</f>
        <v>2475338</v>
      </c>
      <c r="M37" s="841">
        <f>+VLOOKUP(M$35,'Dados Mercado'!$B:$E,3,0)</f>
        <v>581456</v>
      </c>
      <c r="N37" s="841">
        <f>+VLOOKUP(N$35,'Dados Mercado'!$B:$E,3,0)</f>
        <v>670317</v>
      </c>
      <c r="O37" s="841">
        <f>+VLOOKUP(O$35,'Dados Mercado'!$B:$E,3,0)</f>
        <v>688397</v>
      </c>
      <c r="P37" s="841">
        <f>+VLOOKUP(P$35,'Dados Mercado'!$B:$E,3,0)</f>
        <v>725413</v>
      </c>
      <c r="Q37" s="637">
        <f>+SUM(M37:P37)</f>
        <v>2665583</v>
      </c>
      <c r="R37" s="841">
        <f>+VLOOKUP(R$35,'Dados Mercado'!$B:$E,3,0)</f>
        <v>534285</v>
      </c>
      <c r="S37" s="841">
        <f>+VLOOKUP(S$35,'Dados Mercado'!$B:$E,3,0)</f>
        <v>230963</v>
      </c>
      <c r="T37" s="841">
        <f>+VLOOKUP(T$35,'Dados Mercado'!$B:$E,3,0)</f>
        <v>536411</v>
      </c>
      <c r="U37" s="841">
        <f>+VLOOKUP(U$35,'Dados Mercado'!$B:$E,3,0)</f>
        <v>653169</v>
      </c>
      <c r="V37" s="637">
        <f>+SUM(R37:U37)</f>
        <v>1954828</v>
      </c>
      <c r="W37" s="841">
        <f>+VLOOKUP(W$35,'Dados Mercado'!$B:$E,3,0)</f>
        <v>498518</v>
      </c>
      <c r="X37" s="841">
        <f>+VLOOKUP(X$35,'Dados Mercado'!$B:$E,3,0)</f>
        <v>509382</v>
      </c>
      <c r="Y37" s="841">
        <f>+VLOOKUP(Y$35,'Dados Mercado'!$B:$E,3,0)</f>
        <v>463358</v>
      </c>
      <c r="Z37" s="841">
        <f>+VLOOKUP(Z$35,'Dados Mercado'!$B:$E,3,0)</f>
        <v>505836</v>
      </c>
      <c r="AA37" s="637">
        <f>+SUM(W37:Z37)</f>
        <v>1977094</v>
      </c>
      <c r="AB37" s="841">
        <f>+VLOOKUP(AB$35,'Dados Mercado'!$B:$E,3,0)</f>
        <v>375494</v>
      </c>
      <c r="AC37" s="841">
        <f>+VLOOKUP(AC$35,'Dados Mercado'!$B:$E,3,0)</f>
        <v>477633</v>
      </c>
      <c r="AD37" s="841">
        <f>+VLOOKUP(AD$35,'Dados Mercado'!$B:$E,3,0)</f>
        <v>544427</v>
      </c>
      <c r="AE37" s="841">
        <f>+VLOOKUP(AE$35,'Dados Mercado'!$B:$E,3,0)</f>
        <v>562908</v>
      </c>
      <c r="AF37" s="637">
        <f>+SUM(AB37:AE37)</f>
        <v>1960462</v>
      </c>
      <c r="AG37" s="841">
        <f>+VLOOKUP(AG$35,'Dados Mercado'!$B:$E,3,0)</f>
        <v>436940</v>
      </c>
      <c r="AH37" s="841">
        <f>+VLOOKUP(AH$35,'Dados Mercado'!$B:$E,3,0)</f>
        <v>497748</v>
      </c>
      <c r="AI37" s="841">
        <f>+VLOOKUP(AI$35,'Dados Mercado'!$B:$E,3,0)</f>
        <v>600154</v>
      </c>
      <c r="AJ37" s="841">
        <f>+VLOOKUP(AJ$35,'Dados Mercado'!$B:$E,3,0)</f>
        <v>645388</v>
      </c>
      <c r="AK37" s="637">
        <f>+SUM(AG37:AJ37)</f>
        <v>2180230</v>
      </c>
      <c r="AL37" s="841">
        <f>+VLOOKUP(AL$35,'Dados Mercado'!$B:$E,3,0)</f>
        <v>483988</v>
      </c>
      <c r="AM37" s="841">
        <f>+VLOOKUP(AM$35,'Dados Mercado'!$B:$E,3,0)</f>
        <v>594358</v>
      </c>
      <c r="AN37" s="841">
        <f>+VLOOKUP(AN$35,'Dados Mercado'!$B:$E,3,0)</f>
        <v>673821</v>
      </c>
      <c r="AO37" s="841">
        <f>+VLOOKUP(AO$35,'Dados Mercado'!$B:$E,3,0)</f>
        <v>735369</v>
      </c>
      <c r="AP37" s="637">
        <f>+SUM(AL37:AO37)</f>
        <v>2487536</v>
      </c>
      <c r="AQ37" s="841">
        <f>+VLOOKUP(AQ$35,'Dados Mercado'!$B:$E,3,0)</f>
        <v>518467</v>
      </c>
      <c r="AR37" s="841">
        <f>+VLOOKUP(AR$35,'Dados Mercado'!$B:$E,3,0)</f>
        <v>613932</v>
      </c>
      <c r="AS37" s="841">
        <f>+VLOOKUP(AS$35,'Dados Mercado'!$B:$E,3,0)</f>
        <v>676481</v>
      </c>
      <c r="AT37" s="841">
        <f>+VLOOKUP(AT$35,'Dados Mercado'!$B:$E,3,0)</f>
        <v>742999</v>
      </c>
      <c r="AU37" s="637">
        <f>+SUM(AQ37:AT37)</f>
        <v>2551879</v>
      </c>
      <c r="AV37" s="1221">
        <f>+VLOOKUP(AV$35,'Dados Mercado'!$B:$E,3,0)</f>
        <v>598839</v>
      </c>
      <c r="AW37" s="964">
        <v>20</v>
      </c>
      <c r="AX37" s="964">
        <v>13</v>
      </c>
      <c r="BK37" s="267"/>
      <c r="BL37" s="267"/>
      <c r="BM37" s="267"/>
      <c r="BN37" s="267"/>
      <c r="BO37" s="267"/>
      <c r="BP37" s="267"/>
      <c r="BQ37" s="267"/>
      <c r="BR37" s="267"/>
      <c r="BS37" s="267"/>
      <c r="BT37" s="267"/>
      <c r="BU37" s="267"/>
      <c r="BV37" s="267"/>
      <c r="BW37" s="267"/>
      <c r="BX37" s="267"/>
      <c r="BY37" s="267"/>
      <c r="BZ37" s="267"/>
      <c r="CA37" s="267"/>
      <c r="CB37" s="267"/>
      <c r="CC37" s="267"/>
      <c r="CD37" s="267"/>
      <c r="CE37" s="267"/>
      <c r="CF37" s="267"/>
      <c r="CG37" s="267"/>
    </row>
    <row r="38" spans="1:85" s="835" customFormat="1" ht="13.5" customHeight="1" x14ac:dyDescent="0.2">
      <c r="A38" s="840"/>
      <c r="B38" s="1112" t="s">
        <v>954</v>
      </c>
      <c r="C38" s="844" t="s">
        <v>160</v>
      </c>
      <c r="D38" s="844" t="s">
        <v>160</v>
      </c>
      <c r="E38" s="844" t="s">
        <v>160</v>
      </c>
      <c r="F38" s="844" t="s">
        <v>160</v>
      </c>
      <c r="G38" s="843" t="s">
        <v>160</v>
      </c>
      <c r="H38" s="844">
        <f>H37/C37-1</f>
        <v>0.14690543703401349</v>
      </c>
      <c r="I38" s="844">
        <f>I37/D37-1</f>
        <v>0.12842363819714531</v>
      </c>
      <c r="J38" s="844">
        <f>J37/E37-1</f>
        <v>0.12147633047791895</v>
      </c>
      <c r="K38" s="844">
        <f>K37/F37-1</f>
        <v>0.15416389540378761</v>
      </c>
      <c r="L38" s="843">
        <f>+L37/G37-1</f>
        <v>0.13757073804702791</v>
      </c>
      <c r="M38" s="844">
        <f>M37/H37-1</f>
        <v>0.10073375182680722</v>
      </c>
      <c r="N38" s="844">
        <f>N37/I37-1</f>
        <v>0.1155254302726918</v>
      </c>
      <c r="O38" s="844">
        <f>O37/J37-1</f>
        <v>5.2908741903166856E-2</v>
      </c>
      <c r="P38" s="844">
        <f>P37/K37-1</f>
        <v>4.7692705422225368E-2</v>
      </c>
      <c r="Q38" s="843">
        <f>+Q37/L37-1</f>
        <v>7.6856170753246689E-2</v>
      </c>
      <c r="R38" s="844">
        <f>R37/M37-1</f>
        <v>-8.1125656971464788E-2</v>
      </c>
      <c r="S38" s="844">
        <f>S37/N37-1</f>
        <v>-0.65544212663560675</v>
      </c>
      <c r="T38" s="844">
        <f>T37/O37-1</f>
        <v>-0.22078248452564431</v>
      </c>
      <c r="U38" s="844">
        <f>U37/P37-1</f>
        <v>-9.9590164499395506E-2</v>
      </c>
      <c r="V38" s="843">
        <f>+V37/Q37-1</f>
        <v>-0.26664148143201694</v>
      </c>
      <c r="W38" s="844">
        <f>W37/R37-1</f>
        <v>-6.6943672384588759E-2</v>
      </c>
      <c r="X38" s="844">
        <f>X37/S37-1</f>
        <v>1.2054701402389125</v>
      </c>
      <c r="Y38" s="844">
        <f>Y37/T37-1</f>
        <v>-0.13618848233910197</v>
      </c>
      <c r="Z38" s="844">
        <f>Z37/U37-1</f>
        <v>-0.22556643073997695</v>
      </c>
      <c r="AA38" s="843">
        <f>+AA37/V37-1</f>
        <v>1.1390260421888732E-2</v>
      </c>
      <c r="AB38" s="844">
        <f>AB37/W37-1</f>
        <v>-0.24677945430255277</v>
      </c>
      <c r="AC38" s="844">
        <f>AC37/X37-1</f>
        <v>-6.2328468614909815E-2</v>
      </c>
      <c r="AD38" s="844">
        <f>AD37/Y37-1</f>
        <v>0.17495975034422617</v>
      </c>
      <c r="AE38" s="844">
        <f>AE37/Z37-1</f>
        <v>0.11282708229544758</v>
      </c>
      <c r="AF38" s="843">
        <f>+AF37/AA37-1</f>
        <v>-8.4123466056748031E-3</v>
      </c>
      <c r="AG38" s="844">
        <f>AG37/AB37-1</f>
        <v>0.16364043100555525</v>
      </c>
      <c r="AH38" s="844">
        <f>AH37/AC37-1</f>
        <v>4.2113924289150839E-2</v>
      </c>
      <c r="AI38" s="844">
        <f>AI37/AD37-1</f>
        <v>0.10235899395143888</v>
      </c>
      <c r="AJ38" s="844">
        <f>AJ37/AE37-1</f>
        <v>0.1465248317664698</v>
      </c>
      <c r="AK38" s="843">
        <f>+AK37/AF37-1</f>
        <v>0.11210010701559114</v>
      </c>
      <c r="AL38" s="844">
        <f>AL37/AG37-1</f>
        <v>0.10767611113654052</v>
      </c>
      <c r="AM38" s="844">
        <f>AM37/AH37-1</f>
        <v>0.19409420027805235</v>
      </c>
      <c r="AN38" s="844">
        <f>AN37/AI37-1</f>
        <v>0.12274682831406603</v>
      </c>
      <c r="AO38" s="844">
        <f>AO37/AJ37-1</f>
        <v>0.13942155726477723</v>
      </c>
      <c r="AP38" s="843">
        <f>+AP37/AK37-1</f>
        <v>0.14095118404938933</v>
      </c>
      <c r="AQ38" s="844">
        <f>AQ37/AL37-1</f>
        <v>7.1239369571146405E-2</v>
      </c>
      <c r="AR38" s="844">
        <f>AR37/AM37-1</f>
        <v>3.2933013436346359E-2</v>
      </c>
      <c r="AS38" s="844">
        <f>AS37/AN37-1</f>
        <v>3.947635944857808E-3</v>
      </c>
      <c r="AT38" s="844">
        <f>AT37/AO37-1</f>
        <v>1.0375743334298804E-2</v>
      </c>
      <c r="AU38" s="843">
        <f>+AU37/AP37-1</f>
        <v>2.5866158318914811E-2</v>
      </c>
      <c r="AV38" s="1222">
        <f>AV37/AQ37-1</f>
        <v>0.15501854505686952</v>
      </c>
      <c r="AW38" s="1146"/>
      <c r="AX38" s="1146"/>
      <c r="AY38" s="836"/>
      <c r="AZ38" s="836"/>
      <c r="BA38" s="836"/>
      <c r="BB38" s="836"/>
      <c r="BC38" s="836"/>
      <c r="BD38" s="836"/>
      <c r="BE38" s="836"/>
      <c r="BH38" s="836"/>
      <c r="BI38" s="836"/>
      <c r="BJ38" s="836"/>
      <c r="BK38" s="836"/>
      <c r="BL38" s="836"/>
      <c r="BM38" s="836"/>
      <c r="BN38" s="836"/>
      <c r="BO38" s="836"/>
      <c r="BP38" s="836"/>
      <c r="BQ38" s="836"/>
      <c r="BR38" s="836"/>
      <c r="BS38" s="836"/>
      <c r="BT38" s="836"/>
      <c r="BU38" s="836"/>
      <c r="BV38" s="836"/>
      <c r="BW38" s="836"/>
      <c r="BX38" s="836"/>
      <c r="BY38" s="836"/>
      <c r="BZ38" s="836"/>
      <c r="CA38" s="836"/>
      <c r="CB38" s="836"/>
      <c r="CC38" s="836"/>
      <c r="CD38" s="836"/>
      <c r="CE38" s="836"/>
      <c r="CF38" s="836"/>
      <c r="CG38" s="836"/>
    </row>
    <row r="39" spans="1:85" ht="13.5" customHeight="1" x14ac:dyDescent="0.2">
      <c r="B39" s="1111" t="s">
        <v>1217</v>
      </c>
      <c r="C39" s="841">
        <f>+VLOOKUP(C$35,'Dados Mercado'!$B:$E,4,0)</f>
        <v>165503</v>
      </c>
      <c r="D39" s="841">
        <f>+VLOOKUP(D$35,'Dados Mercado'!$B:$E,4,0)</f>
        <v>190626</v>
      </c>
      <c r="E39" s="841">
        <f>+VLOOKUP(E$35,'Dados Mercado'!$B:$E,4,0)</f>
        <v>181907</v>
      </c>
      <c r="F39" s="841">
        <f>+VLOOKUP(F$35,'Dados Mercado'!$B:$E,4,0)</f>
        <v>186572</v>
      </c>
      <c r="G39" s="637">
        <f>+SUM(C39:F39)</f>
        <v>724608</v>
      </c>
      <c r="H39" s="841">
        <f>+VLOOKUP(H$35,'Dados Mercado'!$B:$E,4,0)</f>
        <v>170403</v>
      </c>
      <c r="I39" s="841">
        <f>+VLOOKUP(I$35,'Dados Mercado'!$B:$E,4,0)</f>
        <v>189533</v>
      </c>
      <c r="J39" s="841">
        <f>+VLOOKUP(J$35,'Dados Mercado'!$B:$E,4,0)</f>
        <v>137425</v>
      </c>
      <c r="K39" s="841">
        <f>+VLOOKUP(K$35,'Dados Mercado'!$B:$E,4,0)</f>
        <v>98071</v>
      </c>
      <c r="L39" s="637">
        <f>+SUM(H39:K39)</f>
        <v>595432</v>
      </c>
      <c r="M39" s="841">
        <f>+VLOOKUP(M$35,'Dados Mercado'!$B:$E,4,0)</f>
        <v>99963</v>
      </c>
      <c r="N39" s="841">
        <f>+VLOOKUP(N$35,'Dados Mercado'!$B:$E,4,0)</f>
        <v>112276</v>
      </c>
      <c r="O39" s="841">
        <f>+VLOOKUP(O$35,'Dados Mercado'!$B:$E,4,0)</f>
        <v>110203</v>
      </c>
      <c r="P39" s="841">
        <f>+VLOOKUP(P$35,'Dados Mercado'!$B:$E,4,0)</f>
        <v>85068</v>
      </c>
      <c r="Q39" s="637">
        <f>+SUM(M39:P39)</f>
        <v>407510</v>
      </c>
      <c r="R39" s="841">
        <f>+VLOOKUP(R$35,'Dados Mercado'!$B:$E,4,0)</f>
        <v>85230</v>
      </c>
      <c r="S39" s="841">
        <f>+VLOOKUP(S$35,'Dados Mercado'!$B:$E,4,0)</f>
        <v>27739</v>
      </c>
      <c r="T39" s="841">
        <f>+VLOOKUP(T$35,'Dados Mercado'!$B:$E,4,0)</f>
        <v>82550</v>
      </c>
      <c r="U39" s="841">
        <f>+VLOOKUP(U$35,'Dados Mercado'!$B:$E,4,0)</f>
        <v>111449</v>
      </c>
      <c r="V39" s="637">
        <f>+SUM(R39:U39)</f>
        <v>306968</v>
      </c>
      <c r="W39" s="841">
        <f>+VLOOKUP(W$35,'Dados Mercado'!$B:$E,4,0)</f>
        <v>89635</v>
      </c>
      <c r="X39" s="841">
        <f>+VLOOKUP(X$35,'Dados Mercado'!$B:$E,4,0)</f>
        <v>97877</v>
      </c>
      <c r="Y39" s="841">
        <f>+VLOOKUP(Y$35,'Dados Mercado'!$B:$E,4,0)</f>
        <v>69959</v>
      </c>
      <c r="Z39" s="841">
        <f>+VLOOKUP(Z$35,'Dados Mercado'!$B:$E,4,0)</f>
        <v>91978</v>
      </c>
      <c r="AA39" s="637">
        <f>+SUM(W39:Z39)</f>
        <v>349449</v>
      </c>
      <c r="AB39" s="841">
        <f>+VLOOKUP(AB$35,'Dados Mercado'!$B:$E,4,0)</f>
        <v>102400</v>
      </c>
      <c r="AC39" s="841">
        <f>+VLOOKUP(AC$35,'Dados Mercado'!$B:$E,4,0)</f>
        <v>130576</v>
      </c>
      <c r="AD39" s="841">
        <f>+VLOOKUP(AD$35,'Dados Mercado'!$B:$E,4,0)</f>
        <v>108589</v>
      </c>
      <c r="AE39" s="841">
        <f>+VLOOKUP(AE$35,'Dados Mercado'!$B:$E,4,0)</f>
        <v>108714</v>
      </c>
      <c r="AF39" s="637">
        <f>+SUM(AB39:AE39)</f>
        <v>450279</v>
      </c>
      <c r="AG39" s="841">
        <f>+VLOOKUP(AG$35,'Dados Mercado'!$B:$E,4,0)</f>
        <v>108887</v>
      </c>
      <c r="AH39" s="841">
        <f>+VLOOKUP(AH$35,'Dados Mercado'!$B:$E,4,0)</f>
        <v>111154</v>
      </c>
      <c r="AI39" s="841">
        <f>+VLOOKUP(AI$35,'Dados Mercado'!$B:$E,4,0)</f>
        <v>86653</v>
      </c>
      <c r="AJ39" s="841">
        <f>+VLOOKUP(AJ$35,'Dados Mercado'!$B:$E,4,0)</f>
        <v>75542</v>
      </c>
      <c r="AK39" s="637">
        <f>+SUM(AG39:AJ39)</f>
        <v>382236</v>
      </c>
      <c r="AL39" s="841">
        <f>+VLOOKUP(AL$35,'Dados Mercado'!$B:$E,4,0)</f>
        <v>78052</v>
      </c>
      <c r="AM39" s="841">
        <f>+VLOOKUP(AM$35,'Dados Mercado'!$B:$E,4,0)</f>
        <v>78065</v>
      </c>
      <c r="AN39" s="841">
        <f>+VLOOKUP(AN$35,'Dados Mercado'!$B:$E,4,0)</f>
        <v>113151</v>
      </c>
      <c r="AO39" s="841">
        <f>+VLOOKUP(AO$35,'Dados Mercado'!$B:$E,4,0)</f>
        <v>106504</v>
      </c>
      <c r="AP39" s="637">
        <f>+SUM(AL39:AO39)</f>
        <v>375772</v>
      </c>
      <c r="AQ39" s="841">
        <f>+VLOOKUP(AQ$35,'Dados Mercado'!$B:$E,4,0)</f>
        <v>115029</v>
      </c>
      <c r="AR39" s="841">
        <f>+VLOOKUP(AR$35,'Dados Mercado'!$B:$E,4,0)</f>
        <v>143199</v>
      </c>
      <c r="AS39" s="841">
        <f>+VLOOKUP(AS$35,'Dados Mercado'!$B:$E,4,0)</f>
        <v>148701</v>
      </c>
      <c r="AT39" s="841">
        <f>+VLOOKUP(AT$35,'Dados Mercado'!$B:$E,4,0)</f>
        <v>88462</v>
      </c>
      <c r="AU39" s="637">
        <f>+SUM(AQ39:AT39)</f>
        <v>495391</v>
      </c>
      <c r="AV39" s="1221">
        <f>+VLOOKUP(AV$35,'Dados Mercado'!$B:$E,4,0)</f>
        <v>94034</v>
      </c>
      <c r="AW39" s="964">
        <v>21</v>
      </c>
      <c r="AX39" s="964">
        <v>14</v>
      </c>
      <c r="BK39" s="267"/>
      <c r="BL39" s="267"/>
      <c r="BM39" s="267"/>
      <c r="BN39" s="267"/>
      <c r="BO39" s="267"/>
      <c r="BP39" s="267"/>
      <c r="BQ39" s="267"/>
      <c r="BR39" s="267"/>
      <c r="BS39" s="267"/>
      <c r="BT39" s="267"/>
      <c r="BU39" s="267"/>
      <c r="BV39" s="267"/>
      <c r="BW39" s="267"/>
      <c r="BX39" s="267"/>
      <c r="BY39" s="267"/>
      <c r="BZ39" s="267"/>
      <c r="CA39" s="267"/>
      <c r="CB39" s="267"/>
      <c r="CC39" s="267"/>
      <c r="CD39" s="267"/>
      <c r="CE39" s="267"/>
      <c r="CF39" s="267"/>
      <c r="CG39" s="267"/>
    </row>
    <row r="40" spans="1:85" s="835" customFormat="1" ht="13.5" customHeight="1" x14ac:dyDescent="0.2">
      <c r="A40" s="840"/>
      <c r="B40" s="1112" t="s">
        <v>954</v>
      </c>
      <c r="C40" s="844" t="s">
        <v>160</v>
      </c>
      <c r="D40" s="844" t="s">
        <v>160</v>
      </c>
      <c r="E40" s="844" t="s">
        <v>160</v>
      </c>
      <c r="F40" s="844" t="s">
        <v>160</v>
      </c>
      <c r="G40" s="843" t="s">
        <v>160</v>
      </c>
      <c r="H40" s="844">
        <f>H39/C39-1</f>
        <v>2.9606714077690333E-2</v>
      </c>
      <c r="I40" s="844">
        <f>I39/D39-1</f>
        <v>-5.7337404131651004E-3</v>
      </c>
      <c r="J40" s="844">
        <f>J39/E39-1</f>
        <v>-0.24453154633961305</v>
      </c>
      <c r="K40" s="844">
        <f>K39/F39-1</f>
        <v>-0.47435306476856121</v>
      </c>
      <c r="L40" s="843">
        <f>+L39/G39-1</f>
        <v>-0.17827018194665256</v>
      </c>
      <c r="M40" s="844">
        <f>M39/H39-1</f>
        <v>-0.41337300399640853</v>
      </c>
      <c r="N40" s="844">
        <f>N39/I39-1</f>
        <v>-0.40761767080139077</v>
      </c>
      <c r="O40" s="844">
        <f>O39/J39-1</f>
        <v>-0.19808622885210114</v>
      </c>
      <c r="P40" s="844">
        <f>P39/K39-1</f>
        <v>-0.13258761509518613</v>
      </c>
      <c r="Q40" s="843">
        <f>+Q39/L39-1</f>
        <v>-0.31560614814118149</v>
      </c>
      <c r="R40" s="844">
        <f>R39/M39-1</f>
        <v>-0.14738453227694248</v>
      </c>
      <c r="S40" s="844">
        <f>S39/N39-1</f>
        <v>-0.75293918557839612</v>
      </c>
      <c r="T40" s="844">
        <f>T39/O39-1</f>
        <v>-0.25092783318058487</v>
      </c>
      <c r="U40" s="844">
        <f>U39/P39-1</f>
        <v>0.31011661259227918</v>
      </c>
      <c r="V40" s="843">
        <f>+V39/Q39-1</f>
        <v>-0.24672277980908441</v>
      </c>
      <c r="W40" s="844">
        <f>W39/R39-1</f>
        <v>5.1683679455590825E-2</v>
      </c>
      <c r="X40" s="844">
        <f>X39/S39-1</f>
        <v>2.5284977829049353</v>
      </c>
      <c r="Y40" s="844">
        <f>Y39/T39-1</f>
        <v>-0.15252574197456092</v>
      </c>
      <c r="Z40" s="844">
        <f>Z39/U39-1</f>
        <v>-0.17470771384220585</v>
      </c>
      <c r="AA40" s="843">
        <f>+AA39/V39-1</f>
        <v>0.13838901774777823</v>
      </c>
      <c r="AB40" s="844">
        <f>AB39/W39-1</f>
        <v>0.14241088860378204</v>
      </c>
      <c r="AC40" s="844">
        <f>AC39/X39-1</f>
        <v>0.33408257302532762</v>
      </c>
      <c r="AD40" s="844">
        <f>AD39/Y39-1</f>
        <v>0.55218056290112782</v>
      </c>
      <c r="AE40" s="844">
        <f>AE39/Z39-1</f>
        <v>0.18195655482832862</v>
      </c>
      <c r="AF40" s="843">
        <f>+AF39/AA39-1</f>
        <v>0.28853995862057125</v>
      </c>
      <c r="AG40" s="844">
        <f>AG39/AB39-1</f>
        <v>6.3349609374999893E-2</v>
      </c>
      <c r="AH40" s="844">
        <f>AH39/AC39-1</f>
        <v>-0.14874096311726503</v>
      </c>
      <c r="AI40" s="844">
        <f>AI39/AD39-1</f>
        <v>-0.20200941163469599</v>
      </c>
      <c r="AJ40" s="844">
        <f>AJ39/AE39-1</f>
        <v>-0.30513089390510884</v>
      </c>
      <c r="AK40" s="843">
        <f>+AK39/AF39-1</f>
        <v>-0.15111297662116152</v>
      </c>
      <c r="AL40" s="844">
        <f>AL39/AG39-1</f>
        <v>-0.28318348379512703</v>
      </c>
      <c r="AM40" s="844">
        <f>AM39/AH39-1</f>
        <v>-0.29768609316803718</v>
      </c>
      <c r="AN40" s="844">
        <f>AN39/AI39-1</f>
        <v>0.30579437526686903</v>
      </c>
      <c r="AO40" s="844">
        <f>AO39/AJ39-1</f>
        <v>0.40986471102168331</v>
      </c>
      <c r="AP40" s="843">
        <f>+AP39/AK39-1</f>
        <v>-1.6911018323758076E-2</v>
      </c>
      <c r="AQ40" s="844">
        <f>AQ39/AL39-1</f>
        <v>0.4737482703838467</v>
      </c>
      <c r="AR40" s="844">
        <f>AR39/AM39-1</f>
        <v>0.83435598539678479</v>
      </c>
      <c r="AS40" s="844">
        <f>AS39/AN39-1</f>
        <v>0.31418193387597104</v>
      </c>
      <c r="AT40" s="844">
        <f>AT39/AO39-1</f>
        <v>-0.16940208818448133</v>
      </c>
      <c r="AU40" s="843">
        <f>+AU39/AP39-1</f>
        <v>0.31832866738341337</v>
      </c>
      <c r="AV40" s="1222">
        <f>AV39/AQ39-1</f>
        <v>-0.18251919081275159</v>
      </c>
      <c r="AW40" s="1146"/>
      <c r="AX40" s="1146"/>
      <c r="AY40" s="836"/>
      <c r="AZ40" s="836"/>
      <c r="BA40" s="836"/>
      <c r="BB40" s="836"/>
      <c r="BC40" s="836"/>
      <c r="BD40" s="836"/>
      <c r="BE40" s="836"/>
      <c r="BH40" s="836"/>
      <c r="BI40" s="836"/>
      <c r="BJ40" s="836"/>
      <c r="BK40" s="836"/>
      <c r="BL40" s="836"/>
      <c r="BM40" s="836"/>
      <c r="BN40" s="836"/>
      <c r="BO40" s="836"/>
      <c r="BP40" s="836"/>
      <c r="BQ40" s="836"/>
      <c r="BR40" s="836"/>
      <c r="BS40" s="836"/>
      <c r="BT40" s="836"/>
      <c r="BU40" s="836"/>
      <c r="BV40" s="836"/>
      <c r="BW40" s="836"/>
      <c r="BX40" s="836"/>
      <c r="BY40" s="836"/>
      <c r="BZ40" s="836"/>
      <c r="CA40" s="836"/>
      <c r="CB40" s="836"/>
      <c r="CC40" s="836"/>
      <c r="CD40" s="836"/>
      <c r="CE40" s="836"/>
      <c r="CF40" s="836"/>
      <c r="CG40" s="836"/>
    </row>
    <row r="41" spans="1:85" ht="13.5" customHeight="1" thickBot="1" x14ac:dyDescent="0.25">
      <c r="A41" s="24"/>
      <c r="B41" s="1113" t="s">
        <v>1013</v>
      </c>
      <c r="C41" s="1114">
        <f>+C39+C37</f>
        <v>626085</v>
      </c>
      <c r="D41" s="1114">
        <f>+D39+D37</f>
        <v>723137</v>
      </c>
      <c r="E41" s="1114">
        <f>+E39+E37</f>
        <v>764893</v>
      </c>
      <c r="F41" s="1114">
        <f>+F39+F37</f>
        <v>786479</v>
      </c>
      <c r="G41" s="1115">
        <f>+SUM(C41:F41)</f>
        <v>2900594</v>
      </c>
      <c r="H41" s="1114">
        <f>+H39+H37</f>
        <v>698647</v>
      </c>
      <c r="I41" s="1114">
        <f>+I39+I37</f>
        <v>790431</v>
      </c>
      <c r="J41" s="1114">
        <f>+J39+J37</f>
        <v>791230</v>
      </c>
      <c r="K41" s="1114">
        <f>+K39+K37</f>
        <v>790462</v>
      </c>
      <c r="L41" s="1115">
        <f>+SUM(H41:K41)</f>
        <v>3070770</v>
      </c>
      <c r="M41" s="1114">
        <f>+M39+M37</f>
        <v>681419</v>
      </c>
      <c r="N41" s="1114">
        <f>+N39+N37</f>
        <v>782593</v>
      </c>
      <c r="O41" s="1114">
        <f>+O39+O37</f>
        <v>798600</v>
      </c>
      <c r="P41" s="1114">
        <f>+P39+P37</f>
        <v>810481</v>
      </c>
      <c r="Q41" s="1115">
        <f>+SUM(M41:P41)</f>
        <v>3073093</v>
      </c>
      <c r="R41" s="1114">
        <f>+R39+R37</f>
        <v>619515</v>
      </c>
      <c r="S41" s="1114">
        <f>+S39+S37</f>
        <v>258702</v>
      </c>
      <c r="T41" s="1114">
        <f>+T39+T37</f>
        <v>618961</v>
      </c>
      <c r="U41" s="1114">
        <f>+U39+U37</f>
        <v>764618</v>
      </c>
      <c r="V41" s="1115">
        <f>+SUM(R41:U41)</f>
        <v>2261796</v>
      </c>
      <c r="W41" s="1114">
        <f>+W39+W37</f>
        <v>588153</v>
      </c>
      <c r="X41" s="1114">
        <f>+X39+X37</f>
        <v>607259</v>
      </c>
      <c r="Y41" s="1114">
        <f>+Y39+Y37</f>
        <v>533317</v>
      </c>
      <c r="Z41" s="1114">
        <f>+Z39+Z37</f>
        <v>597814</v>
      </c>
      <c r="AA41" s="1115">
        <f>+SUM(W41:Z41)</f>
        <v>2326543</v>
      </c>
      <c r="AB41" s="1114">
        <f>+AB39+AB37</f>
        <v>477894</v>
      </c>
      <c r="AC41" s="1114">
        <f>+AC39+AC37</f>
        <v>608209</v>
      </c>
      <c r="AD41" s="1114">
        <f>+AD39+AD37</f>
        <v>653016</v>
      </c>
      <c r="AE41" s="1114">
        <f>+AE39+AE37</f>
        <v>671622</v>
      </c>
      <c r="AF41" s="1115">
        <f>+SUM(AB41:AE41)</f>
        <v>2410741</v>
      </c>
      <c r="AG41" s="1114">
        <f>+AG39+AG37</f>
        <v>545827</v>
      </c>
      <c r="AH41" s="1114">
        <f>+AH39+AH37</f>
        <v>608902</v>
      </c>
      <c r="AI41" s="1114">
        <f>+AI39+AI37</f>
        <v>686807</v>
      </c>
      <c r="AJ41" s="1114">
        <f>+AJ39+AJ37</f>
        <v>720930</v>
      </c>
      <c r="AK41" s="1115">
        <f>+SUM(AG41:AJ41)</f>
        <v>2562466</v>
      </c>
      <c r="AL41" s="1114">
        <f>+AL39+AL37</f>
        <v>562040</v>
      </c>
      <c r="AM41" s="1114">
        <f>+AM39+AM37</f>
        <v>672423</v>
      </c>
      <c r="AN41" s="1114">
        <f>+AN39+AN37</f>
        <v>786972</v>
      </c>
      <c r="AO41" s="1114">
        <f>+AO39+AO37</f>
        <v>841873</v>
      </c>
      <c r="AP41" s="1115">
        <f>+SUM(AL41:AO41)</f>
        <v>2863308</v>
      </c>
      <c r="AQ41" s="1114">
        <f>+AQ39+AQ37</f>
        <v>633496</v>
      </c>
      <c r="AR41" s="1114">
        <f>+AR39+AR37</f>
        <v>757131</v>
      </c>
      <c r="AS41" s="1114">
        <f>+AS39+AS37</f>
        <v>825182</v>
      </c>
      <c r="AT41" s="1114">
        <f>+AT39+AT37</f>
        <v>831461</v>
      </c>
      <c r="AU41" s="1115">
        <f>+SUM(AQ41:AT41)</f>
        <v>3047270</v>
      </c>
      <c r="AV41" s="1223">
        <f>+AV39+AV37</f>
        <v>692873</v>
      </c>
      <c r="AW41" s="1186"/>
      <c r="AX41" s="964">
        <v>22</v>
      </c>
      <c r="BK41" s="267"/>
      <c r="BL41" s="267"/>
      <c r="BM41" s="267"/>
      <c r="BN41" s="267"/>
      <c r="BO41" s="267"/>
      <c r="BP41" s="267"/>
      <c r="BQ41" s="267"/>
      <c r="BR41" s="267"/>
      <c r="BS41" s="267"/>
      <c r="BT41" s="267"/>
      <c r="BU41" s="267"/>
      <c r="BV41" s="267"/>
      <c r="BW41" s="267"/>
      <c r="BX41" s="267"/>
      <c r="BY41" s="267"/>
      <c r="BZ41" s="267"/>
      <c r="CA41" s="267"/>
      <c r="CB41" s="267"/>
      <c r="CC41" s="267"/>
      <c r="CD41" s="267"/>
      <c r="CE41" s="267"/>
      <c r="CF41" s="267"/>
      <c r="CG41" s="267"/>
    </row>
    <row r="42" spans="1:85" s="869" customFormat="1" ht="13.5" customHeight="1" x14ac:dyDescent="0.2">
      <c r="A42" s="24"/>
      <c r="B42" s="894" t="s">
        <v>1003</v>
      </c>
      <c r="C42" s="849">
        <f>SUM(C45,C48)</f>
        <v>164393</v>
      </c>
      <c r="D42" s="849">
        <f>SUM(D45,D48)</f>
        <v>183183</v>
      </c>
      <c r="E42" s="849">
        <f>SUM(E45,E48)</f>
        <v>195353</v>
      </c>
      <c r="F42" s="849">
        <f>SUM(F45,F48)</f>
        <v>211414</v>
      </c>
      <c r="G42" s="638">
        <f>+SUM(C42:F42)</f>
        <v>754343</v>
      </c>
      <c r="H42" s="849">
        <f>+H45+H48</f>
        <v>177211</v>
      </c>
      <c r="I42" s="849">
        <f>+I45+I48</f>
        <v>193885</v>
      </c>
      <c r="J42" s="849">
        <f>+J45+J48</f>
        <v>206690</v>
      </c>
      <c r="K42" s="849">
        <f>+K45+K48</f>
        <v>203627</v>
      </c>
      <c r="L42" s="638">
        <f>+SUM(H42:K42)</f>
        <v>781413</v>
      </c>
      <c r="M42" s="849">
        <f>+M45+M48</f>
        <v>179325</v>
      </c>
      <c r="N42" s="849">
        <f>+N45+N48</f>
        <v>208179</v>
      </c>
      <c r="O42" s="849">
        <f>+O45+O48</f>
        <v>204497</v>
      </c>
      <c r="P42" s="849">
        <f>+P45+P48</f>
        <v>229266</v>
      </c>
      <c r="Q42" s="638">
        <f>+SUM(M42:P42)</f>
        <v>821267</v>
      </c>
      <c r="R42" s="849">
        <f>+R45+R48</f>
        <v>156694</v>
      </c>
      <c r="S42" s="849">
        <f>+S45+S48</f>
        <v>56642</v>
      </c>
      <c r="T42" s="849">
        <f>+T45+T48</f>
        <v>161762</v>
      </c>
      <c r="U42" s="849">
        <f>+U45+U48</f>
        <v>185760</v>
      </c>
      <c r="V42" s="638">
        <f>+SUM(R42:U42)</f>
        <v>560858</v>
      </c>
      <c r="W42" s="849">
        <f>+W45+W48</f>
        <v>137310</v>
      </c>
      <c r="X42" s="849">
        <f>+X45+X48</f>
        <v>127793</v>
      </c>
      <c r="Y42" s="849">
        <f>+Y45+Y48</f>
        <v>113879</v>
      </c>
      <c r="Z42" s="849">
        <f>+Z45+Z48</f>
        <v>148403</v>
      </c>
      <c r="AA42" s="638">
        <f>+SUM(W42:Z42)</f>
        <v>527385</v>
      </c>
      <c r="AB42" s="849">
        <f>+AB45+AB48</f>
        <v>116692</v>
      </c>
      <c r="AC42" s="849">
        <f>+AC45+AC48</f>
        <v>137691</v>
      </c>
      <c r="AD42" s="849">
        <f>+AD45+AD48</f>
        <v>166066</v>
      </c>
      <c r="AE42" s="849">
        <f>+AE45+AE48</f>
        <v>164900</v>
      </c>
      <c r="AF42" s="638">
        <f>+SUM(AB42:AE42)</f>
        <v>585349</v>
      </c>
      <c r="AG42" s="849">
        <f>+AG45+AG48</f>
        <v>137811</v>
      </c>
      <c r="AH42" s="849">
        <f>+AH45+AH48</f>
        <v>157020</v>
      </c>
      <c r="AI42" s="849">
        <f>+AI45+AI48</f>
        <v>169720</v>
      </c>
      <c r="AJ42" s="849">
        <f>+AJ45+AJ48</f>
        <v>175304</v>
      </c>
      <c r="AK42" s="638">
        <f>+SUM(AG42:AJ42)</f>
        <v>639855</v>
      </c>
      <c r="AL42" s="849">
        <f>+AL45+AL48</f>
        <v>140292</v>
      </c>
      <c r="AM42" s="849">
        <f>+AM45+AM48</f>
        <v>167078</v>
      </c>
      <c r="AN42" s="849">
        <f>+AN45+AN48</f>
        <v>202844</v>
      </c>
      <c r="AO42" s="849">
        <f>+AO45+AO48</f>
        <v>202207</v>
      </c>
      <c r="AP42" s="638">
        <f>+SUM(AL42:AO42)</f>
        <v>712421</v>
      </c>
      <c r="AQ42" s="849">
        <f>+AQ45+AQ48</f>
        <v>144750</v>
      </c>
      <c r="AR42" s="849">
        <f>+AR45+AR48</f>
        <v>170543</v>
      </c>
      <c r="AS42" s="849">
        <f>+AS45+AS48</f>
        <v>197518</v>
      </c>
      <c r="AT42" s="849">
        <f>+AT45+AT48</f>
        <v>188962</v>
      </c>
      <c r="AU42" s="638">
        <f>+SUM(AQ42:AT42)</f>
        <v>701773</v>
      </c>
      <c r="AV42" s="849">
        <f>+AV45+AV48</f>
        <v>154716</v>
      </c>
      <c r="AW42" s="870"/>
      <c r="AX42" s="870"/>
      <c r="AY42" s="870"/>
      <c r="AZ42" s="870"/>
      <c r="BA42" s="870"/>
      <c r="BB42" s="870"/>
      <c r="BC42" s="870"/>
      <c r="BD42" s="870"/>
      <c r="BE42" s="870"/>
      <c r="BH42" s="870"/>
      <c r="BI42" s="870"/>
      <c r="BJ42" s="870"/>
      <c r="BK42" s="870"/>
      <c r="BL42" s="870"/>
      <c r="BM42" s="870"/>
      <c r="BN42" s="870"/>
      <c r="BO42" s="870"/>
      <c r="BP42" s="870"/>
      <c r="BQ42" s="870"/>
      <c r="BR42" s="870"/>
      <c r="BS42" s="870"/>
      <c r="BT42" s="870"/>
      <c r="BU42" s="870"/>
      <c r="BV42" s="870"/>
      <c r="BW42" s="870"/>
      <c r="BX42" s="870"/>
      <c r="BY42" s="870"/>
      <c r="BZ42" s="870"/>
      <c r="CA42" s="870"/>
      <c r="CB42" s="870"/>
      <c r="CC42" s="870"/>
      <c r="CD42" s="870"/>
      <c r="CE42" s="870"/>
      <c r="CF42" s="870"/>
      <c r="CG42" s="870"/>
    </row>
    <row r="43" spans="1:85" s="835" customFormat="1" ht="13.5" customHeight="1" x14ac:dyDescent="0.2">
      <c r="A43" s="840"/>
      <c r="B43" s="845" t="s">
        <v>954</v>
      </c>
      <c r="C43" s="844" t="s">
        <v>160</v>
      </c>
      <c r="D43" s="844" t="s">
        <v>160</v>
      </c>
      <c r="E43" s="844" t="s">
        <v>160</v>
      </c>
      <c r="F43" s="844" t="s">
        <v>160</v>
      </c>
      <c r="G43" s="843" t="s">
        <v>160</v>
      </c>
      <c r="H43" s="844">
        <f>H42/C42-1</f>
        <v>7.7971689792144527E-2</v>
      </c>
      <c r="I43" s="844">
        <f>I42/D42-1</f>
        <v>5.8422451865074887E-2</v>
      </c>
      <c r="J43" s="844">
        <f>J42/E42-1</f>
        <v>5.8033406192891768E-2</v>
      </c>
      <c r="K43" s="844">
        <f>K42/F42-1</f>
        <v>-3.6832943892079029E-2</v>
      </c>
      <c r="L43" s="843">
        <f>+L42/G42-1</f>
        <v>3.588553217833268E-2</v>
      </c>
      <c r="M43" s="844">
        <f>M42/H42-1</f>
        <v>1.192928204231114E-2</v>
      </c>
      <c r="N43" s="844">
        <f>N42/I42-1</f>
        <v>7.3724114810325814E-2</v>
      </c>
      <c r="O43" s="844">
        <f>O42/J42-1</f>
        <v>-1.0610092408921523E-2</v>
      </c>
      <c r="P43" s="844">
        <f>P42/K42-1</f>
        <v>0.12591159325629708</v>
      </c>
      <c r="Q43" s="843">
        <f>+Q42/L42-1</f>
        <v>5.1002478842814281E-2</v>
      </c>
      <c r="R43" s="844">
        <f>R42/M42-1</f>
        <v>-0.12620103164645202</v>
      </c>
      <c r="S43" s="844">
        <f>S42/N42-1</f>
        <v>-0.72791684079566144</v>
      </c>
      <c r="T43" s="844">
        <f>T42/O42-1</f>
        <v>-0.20897617079957165</v>
      </c>
      <c r="U43" s="844">
        <f>U42/P42-1</f>
        <v>-0.18976211038706137</v>
      </c>
      <c r="V43" s="843">
        <f>+V42/Q42-1</f>
        <v>-0.31708202082879255</v>
      </c>
      <c r="W43" s="844">
        <f>W42/R42-1</f>
        <v>-0.12370607681213064</v>
      </c>
      <c r="X43" s="844">
        <f>X42/S42-1</f>
        <v>1.2561526782246388</v>
      </c>
      <c r="Y43" s="844">
        <f>Y42/T42-1</f>
        <v>-0.2960089514224602</v>
      </c>
      <c r="Z43" s="844">
        <f>Z42/U42-1</f>
        <v>-0.20110357450473726</v>
      </c>
      <c r="AA43" s="843">
        <f>+AA42/V42-1</f>
        <v>-5.9681773283077E-2</v>
      </c>
      <c r="AB43" s="844">
        <f>AB42/W42-1</f>
        <v>-0.1501565800014566</v>
      </c>
      <c r="AC43" s="844">
        <f>AC42/X42-1</f>
        <v>7.7453381640621988E-2</v>
      </c>
      <c r="AD43" s="844">
        <f>AD42/Y42-1</f>
        <v>0.45826710807084714</v>
      </c>
      <c r="AE43" s="844">
        <f>AE42/Z42-1</f>
        <v>0.11116352095308035</v>
      </c>
      <c r="AF43" s="843">
        <f>+AF42/AA42-1</f>
        <v>0.10990832124538996</v>
      </c>
      <c r="AG43" s="844">
        <f>AG42/AB42-1</f>
        <v>0.18098070133342481</v>
      </c>
      <c r="AH43" s="844">
        <f>AH42/AC42-1</f>
        <v>0.14037954550406351</v>
      </c>
      <c r="AI43" s="844">
        <f>AI42/AD42-1</f>
        <v>2.2003299892813688E-2</v>
      </c>
      <c r="AJ43" s="844">
        <f>AJ42/AE42-1</f>
        <v>6.3092783505154681E-2</v>
      </c>
      <c r="AK43" s="843">
        <f>+AK42/AF42-1</f>
        <v>9.3117097663103499E-2</v>
      </c>
      <c r="AL43" s="844">
        <f>AL42/AG42-1</f>
        <v>1.8002917038552724E-2</v>
      </c>
      <c r="AM43" s="844">
        <f>AM42/AH42-1</f>
        <v>6.4055534326837416E-2</v>
      </c>
      <c r="AN43" s="844">
        <f>AN42/AI42-1</f>
        <v>0.19516851284468539</v>
      </c>
      <c r="AO43" s="844">
        <f>AO42/AJ42-1</f>
        <v>0.15346483822388546</v>
      </c>
      <c r="AP43" s="843">
        <f>+AP42/AK42-1</f>
        <v>0.11341006946886401</v>
      </c>
      <c r="AQ43" s="844">
        <f>AQ42/AL42-1</f>
        <v>3.1776580275425514E-2</v>
      </c>
      <c r="AR43" s="844">
        <f>AR42/AM42-1</f>
        <v>2.0738816600629706E-2</v>
      </c>
      <c r="AS43" s="844">
        <f>AS42/AN42-1</f>
        <v>-2.6256630711285478E-2</v>
      </c>
      <c r="AT43" s="844">
        <f>AT42/AO42-1</f>
        <v>-6.5502183406113579E-2</v>
      </c>
      <c r="AU43" s="843">
        <f>+AU42/AP42-1</f>
        <v>-1.4946218598272609E-2</v>
      </c>
      <c r="AV43" s="844">
        <f>AV42/AQ42-1</f>
        <v>6.8849740932642511E-2</v>
      </c>
      <c r="AW43" s="836"/>
      <c r="AX43" s="836"/>
      <c r="AY43" s="836"/>
      <c r="AZ43" s="836"/>
      <c r="BA43" s="836"/>
      <c r="BB43" s="836"/>
      <c r="BC43" s="836"/>
      <c r="BD43" s="836"/>
      <c r="BE43" s="836"/>
      <c r="BH43" s="836"/>
      <c r="BI43" s="836"/>
      <c r="BJ43" s="836"/>
      <c r="BK43" s="836"/>
      <c r="BL43" s="836"/>
      <c r="BM43" s="836"/>
      <c r="BN43" s="836"/>
      <c r="BO43" s="836"/>
      <c r="BP43" s="836"/>
      <c r="BQ43" s="836"/>
      <c r="BR43" s="836"/>
      <c r="BS43" s="836"/>
      <c r="BT43" s="836"/>
      <c r="BU43" s="836"/>
      <c r="BV43" s="836"/>
      <c r="BW43" s="836"/>
      <c r="BX43" s="836"/>
      <c r="BY43" s="836"/>
      <c r="BZ43" s="836"/>
      <c r="CA43" s="836"/>
      <c r="CB43" s="836"/>
      <c r="CC43" s="836"/>
      <c r="CD43" s="836"/>
      <c r="CE43" s="836"/>
      <c r="CF43" s="836"/>
      <c r="CG43" s="836"/>
    </row>
    <row r="44" spans="1:85" s="835" customFormat="1" ht="13.5" customHeight="1" x14ac:dyDescent="0.2">
      <c r="A44" s="840"/>
      <c r="B44" s="845" t="s">
        <v>956</v>
      </c>
      <c r="C44" s="847">
        <f t="shared" ref="C44:AI44" si="57">+C42/C41</f>
        <v>0.26257297331831941</v>
      </c>
      <c r="D44" s="847">
        <f t="shared" si="57"/>
        <v>0.25331714460745336</v>
      </c>
      <c r="E44" s="847">
        <f t="shared" si="57"/>
        <v>0.25539912118427022</v>
      </c>
      <c r="F44" s="847">
        <f t="shared" si="57"/>
        <v>0.26881073747677942</v>
      </c>
      <c r="G44" s="846">
        <f t="shared" si="57"/>
        <v>0.26006500737435162</v>
      </c>
      <c r="H44" s="847">
        <f t="shared" si="57"/>
        <v>0.25364883839764574</v>
      </c>
      <c r="I44" s="847">
        <f t="shared" si="57"/>
        <v>0.24529022773651338</v>
      </c>
      <c r="J44" s="847">
        <f t="shared" si="57"/>
        <v>0.26122619213123871</v>
      </c>
      <c r="K44" s="847">
        <f t="shared" si="57"/>
        <v>0.25760504616287688</v>
      </c>
      <c r="L44" s="846">
        <f t="shared" si="57"/>
        <v>0.25446809757813188</v>
      </c>
      <c r="M44" s="847">
        <f t="shared" si="57"/>
        <v>0.26316407379307005</v>
      </c>
      <c r="N44" s="847">
        <f t="shared" si="57"/>
        <v>0.26601183501513559</v>
      </c>
      <c r="O44" s="847">
        <f t="shared" si="57"/>
        <v>0.2560693713999499</v>
      </c>
      <c r="P44" s="847">
        <f t="shared" si="57"/>
        <v>0.28287646471663125</v>
      </c>
      <c r="Q44" s="846">
        <f t="shared" si="57"/>
        <v>0.26724443419056959</v>
      </c>
      <c r="R44" s="847">
        <f t="shared" si="57"/>
        <v>0.25293011468648863</v>
      </c>
      <c r="S44" s="847">
        <f t="shared" si="57"/>
        <v>0.21894689642909604</v>
      </c>
      <c r="T44" s="847">
        <f t="shared" si="57"/>
        <v>0.26134441426842725</v>
      </c>
      <c r="U44" s="847">
        <f t="shared" si="57"/>
        <v>0.24294484304580849</v>
      </c>
      <c r="V44" s="846">
        <f t="shared" si="57"/>
        <v>0.24797019713537383</v>
      </c>
      <c r="W44" s="847">
        <f t="shared" si="57"/>
        <v>0.23345966100657481</v>
      </c>
      <c r="X44" s="847">
        <f t="shared" si="57"/>
        <v>0.2104423318551063</v>
      </c>
      <c r="Y44" s="847">
        <f t="shared" si="57"/>
        <v>0.21352966434597059</v>
      </c>
      <c r="Z44" s="847">
        <f t="shared" si="57"/>
        <v>0.24824276447189259</v>
      </c>
      <c r="AA44" s="846">
        <f t="shared" si="57"/>
        <v>0.22668181933452336</v>
      </c>
      <c r="AB44" s="847">
        <f t="shared" si="57"/>
        <v>0.24417967164266552</v>
      </c>
      <c r="AC44" s="847">
        <f t="shared" si="57"/>
        <v>0.22638763977514309</v>
      </c>
      <c r="AD44" s="847">
        <f t="shared" si="57"/>
        <v>0.25430617320249427</v>
      </c>
      <c r="AE44" s="847">
        <f t="shared" si="57"/>
        <v>0.24552501258148185</v>
      </c>
      <c r="AF44" s="846">
        <f t="shared" si="57"/>
        <v>0.24280874635641075</v>
      </c>
      <c r="AG44" s="847">
        <f t="shared" si="57"/>
        <v>0.25248109749059683</v>
      </c>
      <c r="AH44" s="847">
        <f t="shared" si="57"/>
        <v>0.25787400928228188</v>
      </c>
      <c r="AI44" s="847">
        <f t="shared" si="57"/>
        <v>0.24711454600783045</v>
      </c>
      <c r="AJ44" s="847">
        <f t="shared" ref="AJ44:AP44" si="58">+AJ42/AJ41</f>
        <v>0.24316369134312624</v>
      </c>
      <c r="AK44" s="846">
        <f t="shared" si="58"/>
        <v>0.24970282532529212</v>
      </c>
      <c r="AL44" s="847">
        <f t="shared" si="58"/>
        <v>0.24961212725072948</v>
      </c>
      <c r="AM44" s="847">
        <f t="shared" si="58"/>
        <v>0.24847157220975488</v>
      </c>
      <c r="AN44" s="847">
        <f t="shared" si="58"/>
        <v>0.2577524994536019</v>
      </c>
      <c r="AO44" s="847">
        <f t="shared" si="58"/>
        <v>0.24018705909323615</v>
      </c>
      <c r="AP44" s="846">
        <f t="shared" si="58"/>
        <v>0.24881046677479335</v>
      </c>
      <c r="AQ44" s="847">
        <f t="shared" ref="AQ44:AV44" si="59">+AQ42/AQ41</f>
        <v>0.22849394471314735</v>
      </c>
      <c r="AR44" s="847">
        <f t="shared" si="59"/>
        <v>0.22524899918244004</v>
      </c>
      <c r="AS44" s="847">
        <f t="shared" si="59"/>
        <v>0.23936295265771673</v>
      </c>
      <c r="AT44" s="847">
        <f t="shared" si="59"/>
        <v>0.22726501904478982</v>
      </c>
      <c r="AU44" s="846">
        <f t="shared" si="59"/>
        <v>0.23029564167271033</v>
      </c>
      <c r="AV44" s="847">
        <f t="shared" si="59"/>
        <v>0.22329633280557909</v>
      </c>
      <c r="AW44" s="964"/>
      <c r="AX44" s="964"/>
      <c r="AY44" s="836"/>
      <c r="AZ44" s="836"/>
      <c r="BA44" s="836"/>
      <c r="BB44" s="836"/>
      <c r="BC44" s="836"/>
      <c r="BD44" s="836"/>
      <c r="BE44" s="836"/>
      <c r="BH44" s="836"/>
      <c r="BI44" s="836"/>
      <c r="BJ44" s="836"/>
      <c r="BK44" s="836"/>
      <c r="BL44" s="836"/>
      <c r="BM44" s="836"/>
      <c r="BN44" s="836"/>
      <c r="BO44" s="836"/>
      <c r="BP44" s="836"/>
      <c r="BQ44" s="836"/>
      <c r="BR44" s="836"/>
      <c r="BS44" s="836"/>
      <c r="BT44" s="836"/>
      <c r="BU44" s="836"/>
      <c r="BV44" s="836"/>
      <c r="BW44" s="836"/>
      <c r="BX44" s="836"/>
      <c r="BY44" s="836"/>
      <c r="BZ44" s="836"/>
      <c r="CA44" s="836"/>
      <c r="CB44" s="836"/>
      <c r="CC44" s="836"/>
      <c r="CD44" s="836"/>
      <c r="CE44" s="836"/>
      <c r="CF44" s="836"/>
      <c r="CG44" s="836"/>
    </row>
    <row r="45" spans="1:85" ht="13.5" customHeight="1" x14ac:dyDescent="0.2">
      <c r="A45" s="24"/>
      <c r="B45" s="842" t="s">
        <v>1000</v>
      </c>
      <c r="C45" s="841">
        <f>HLOOKUP(C35,'Dados Operacionais Auto'!$B$5:$BG$15,3,0)</f>
        <v>124821</v>
      </c>
      <c r="D45" s="841">
        <f>HLOOKUP(D35,'Dados Operacionais Auto'!$B$5:$BG$15,3,0)</f>
        <v>139792</v>
      </c>
      <c r="E45" s="841">
        <f>HLOOKUP(E35,'Dados Operacionais Auto'!$B$5:$BG$15,3,0)</f>
        <v>160254</v>
      </c>
      <c r="F45" s="841">
        <f>HLOOKUP(F35,'Dados Operacionais Auto'!$B$5:$BG$15,3,0)</f>
        <v>168868</v>
      </c>
      <c r="G45" s="637">
        <f>+SUM(C45:F45)</f>
        <v>593735</v>
      </c>
      <c r="H45" s="841">
        <f>HLOOKUP(H35,'Dados Operacionais Auto'!$B$5:$BG$15,3,0)</f>
        <v>135287</v>
      </c>
      <c r="I45" s="841">
        <f>HLOOKUP(I35,'Dados Operacionais Auto'!$B$5:$BG$15,3,0)</f>
        <v>155381</v>
      </c>
      <c r="J45" s="841">
        <f>HLOOKUP(J35,'Dados Operacionais Auto'!$B$5:$BG$15,3,0)</f>
        <v>177801</v>
      </c>
      <c r="K45" s="841">
        <f>HLOOKUP(K35,'Dados Operacionais Auto'!$B$5:$BG$15,3,0)</f>
        <v>185303</v>
      </c>
      <c r="L45" s="637">
        <f>+SUM(H45:K45)</f>
        <v>653772</v>
      </c>
      <c r="M45" s="841">
        <f>HLOOKUP(M35,'Dados Operacionais Auto'!$B$5:$BG$15,3,0)</f>
        <v>155292</v>
      </c>
      <c r="N45" s="841">
        <f>HLOOKUP(N35,'Dados Operacionais Auto'!$B$5:$BG$15,3,0)</f>
        <v>181552</v>
      </c>
      <c r="O45" s="841">
        <f>HLOOKUP(O35,'Dados Operacionais Auto'!$B$5:$BG$15,3,0)</f>
        <v>179754</v>
      </c>
      <c r="P45" s="841">
        <f>HLOOKUP(P35,'Dados Operacionais Auto'!$B$5:$BG$15,3,0)</f>
        <v>208381</v>
      </c>
      <c r="Q45" s="637">
        <f>+SUM(M45:P45)</f>
        <v>724979</v>
      </c>
      <c r="R45" s="841">
        <f>HLOOKUP(R35,'Dados Operacionais Auto'!$B$5:$BG$15,3,0)</f>
        <v>135460</v>
      </c>
      <c r="S45" s="841">
        <f>HLOOKUP(S35,'Dados Operacionais Auto'!$B$5:$BG$15,3,0)</f>
        <v>51802</v>
      </c>
      <c r="T45" s="841">
        <f>HLOOKUP(T35,'Dados Operacionais Auto'!$B$5:$BG$15,3,0)</f>
        <v>140610</v>
      </c>
      <c r="U45" s="841">
        <f>HLOOKUP(U35,'Dados Operacionais Auto'!$B$5:$BG$15,3,0)</f>
        <v>155815</v>
      </c>
      <c r="V45" s="637">
        <f>+SUM(R45:U45)</f>
        <v>483687</v>
      </c>
      <c r="W45" s="841">
        <f>HLOOKUP(W35,'Dados Operacionais Auto'!$B$5:$BG$15,3,0)</f>
        <v>114662</v>
      </c>
      <c r="X45" s="841">
        <f>HLOOKUP(X35,'Dados Operacionais Auto'!$B$5:$BG$15,3,0)</f>
        <v>104646</v>
      </c>
      <c r="Y45" s="841">
        <f>HLOOKUP(Y35,'Dados Operacionais Auto'!$B$5:$BG$15,3,0)</f>
        <v>96425</v>
      </c>
      <c r="Z45" s="841">
        <f>HLOOKUP(Z35,'Dados Operacionais Auto'!$B$5:$BG$15,3,0)</f>
        <v>126503</v>
      </c>
      <c r="AA45" s="637">
        <f>+SUM(W45:Z45)</f>
        <v>442236</v>
      </c>
      <c r="AB45" s="841">
        <f>HLOOKUP(AB35,'Dados Operacionais Auto'!$B$5:$BG$15,3,0)</f>
        <v>91310</v>
      </c>
      <c r="AC45" s="841">
        <f>HLOOKUP(AC35,'Dados Operacionais Auto'!$B$5:$BG$15,3,0)</f>
        <v>107786</v>
      </c>
      <c r="AD45" s="841">
        <f>HLOOKUP(AD35,'Dados Operacionais Auto'!$B$5:$BG$15,3,0)</f>
        <v>135887</v>
      </c>
      <c r="AE45" s="841">
        <f>HLOOKUP(AE35,'Dados Operacionais Auto'!$B$5:$BG$15,3,0)</f>
        <v>139730</v>
      </c>
      <c r="AF45" s="637">
        <f>+SUM(AB45:AE45)</f>
        <v>474713</v>
      </c>
      <c r="AG45" s="841">
        <f>HLOOKUP(AG35,'Dados Operacionais Auto'!$B$5:$BG$15,3,0)</f>
        <v>114282</v>
      </c>
      <c r="AH45" s="841">
        <f>HLOOKUP(AH35,'Dados Operacionais Auto'!$B$5:$BH$15,3,0)</f>
        <v>130493</v>
      </c>
      <c r="AI45" s="841">
        <f>HLOOKUP(AI35,'Dados Operacionais Auto'!$B$5:$BM$15,3,0)</f>
        <v>151401</v>
      </c>
      <c r="AJ45" s="841">
        <f>HLOOKUP(AJ35,'Dados Operacionais Auto'!$B$5:$BM$15,3,0)</f>
        <v>158461</v>
      </c>
      <c r="AK45" s="637">
        <f>+SUM(AG45:AJ45)</f>
        <v>554637</v>
      </c>
      <c r="AL45" s="841">
        <f>HLOOKUP(AL35,'Dados Operacionais Auto'!$B$5:$BM$15,3,0)</f>
        <v>123998</v>
      </c>
      <c r="AM45" s="841">
        <f>HLOOKUP(AM35,'Dados Operacionais Auto'!$B$5:$BM$15,3,0)</f>
        <v>146715</v>
      </c>
      <c r="AN45" s="841">
        <f>HLOOKUP(AN35,'Dados Operacionais Auto'!$B$5:$BM$15,3,0)</f>
        <v>178415</v>
      </c>
      <c r="AO45" s="841">
        <f>HLOOKUP(AO35,'Dados Operacionais Auto'!$B$5:$CA$15,3,0)</f>
        <v>179387</v>
      </c>
      <c r="AP45" s="637">
        <f>+SUM(AL45:AO45)</f>
        <v>628515</v>
      </c>
      <c r="AQ45" s="841">
        <f>HLOOKUP(AQ35,'Dados Operacionais Auto'!$B$5:$CA$15,3,0)</f>
        <v>119957</v>
      </c>
      <c r="AR45" s="841">
        <f>HLOOKUP(AR35,'Dados Operacionais Auto'!$B$5:$CA$15,3,0)</f>
        <v>141192</v>
      </c>
      <c r="AS45" s="841">
        <f>HLOOKUP(AS35,'Dados Operacionais Auto'!$B$5:$CA$15,3,0)</f>
        <v>164705</v>
      </c>
      <c r="AT45" s="841">
        <f>HLOOKUP(AT35,'Dados Operacionais Auto'!$B$5:$CA$15,3,0)</f>
        <v>166516</v>
      </c>
      <c r="AU45" s="637">
        <f>+SUM(AQ45:AT45)</f>
        <v>592370</v>
      </c>
      <c r="AV45" s="841">
        <f>HLOOKUP(AV35,'Dados Operacionais Auto'!$B$5:$CA$15,3,0)</f>
        <v>137099</v>
      </c>
      <c r="BK45" s="267"/>
      <c r="BL45" s="267"/>
      <c r="BM45" s="267"/>
      <c r="BN45" s="267"/>
      <c r="BO45" s="267"/>
      <c r="BP45" s="267"/>
      <c r="BQ45" s="267"/>
      <c r="BR45" s="267"/>
      <c r="BS45" s="267"/>
      <c r="BT45" s="267"/>
      <c r="BU45" s="267"/>
      <c r="BV45" s="267"/>
      <c r="BW45" s="267"/>
      <c r="BX45" s="267"/>
      <c r="BY45" s="267"/>
      <c r="BZ45" s="267"/>
      <c r="CA45" s="267"/>
      <c r="CB45" s="267"/>
      <c r="CC45" s="267"/>
      <c r="CD45" s="267"/>
      <c r="CE45" s="267"/>
      <c r="CF45" s="267"/>
      <c r="CG45" s="267"/>
    </row>
    <row r="46" spans="1:85" s="835" customFormat="1" ht="13.5" customHeight="1" x14ac:dyDescent="0.2">
      <c r="A46" s="840"/>
      <c r="B46" s="845" t="s">
        <v>954</v>
      </c>
      <c r="C46" s="859" t="s">
        <v>160</v>
      </c>
      <c r="D46" s="859" t="s">
        <v>160</v>
      </c>
      <c r="E46" s="859" t="s">
        <v>160</v>
      </c>
      <c r="F46" s="859" t="s">
        <v>160</v>
      </c>
      <c r="G46" s="883" t="s">
        <v>160</v>
      </c>
      <c r="H46" s="859">
        <f>+H45/C45-1</f>
        <v>8.3848070436865596E-2</v>
      </c>
      <c r="I46" s="859">
        <f>+I45/D45-1</f>
        <v>0.1115156804395101</v>
      </c>
      <c r="J46" s="859">
        <f>+J45/E45-1</f>
        <v>0.1094949268036991</v>
      </c>
      <c r="K46" s="859">
        <f>+K45/F45-1</f>
        <v>9.7324537508586495E-2</v>
      </c>
      <c r="L46" s="846">
        <f t="shared" ref="L46:AQ46" si="60">+L45/G45-1</f>
        <v>0.1011175019158379</v>
      </c>
      <c r="M46" s="859">
        <f t="shared" si="60"/>
        <v>0.14787082276937169</v>
      </c>
      <c r="N46" s="859">
        <f t="shared" si="60"/>
        <v>0.16843114666529369</v>
      </c>
      <c r="O46" s="859">
        <f t="shared" si="60"/>
        <v>1.0984190190156395E-2</v>
      </c>
      <c r="P46" s="859">
        <f t="shared" si="60"/>
        <v>0.1245419664009757</v>
      </c>
      <c r="Q46" s="846">
        <f t="shared" si="60"/>
        <v>0.10891717601855078</v>
      </c>
      <c r="R46" s="859">
        <f t="shared" si="60"/>
        <v>-0.12770780207608889</v>
      </c>
      <c r="S46" s="859">
        <f t="shared" si="60"/>
        <v>-0.71467127875209302</v>
      </c>
      <c r="T46" s="859">
        <f t="shared" si="60"/>
        <v>-0.21776427784639008</v>
      </c>
      <c r="U46" s="859">
        <f t="shared" si="60"/>
        <v>-0.25225908312178169</v>
      </c>
      <c r="V46" s="846">
        <f t="shared" si="60"/>
        <v>-0.33282619220694665</v>
      </c>
      <c r="W46" s="859">
        <f t="shared" si="60"/>
        <v>-0.15353609921748113</v>
      </c>
      <c r="X46" s="859">
        <f t="shared" si="60"/>
        <v>1.0201150534728387</v>
      </c>
      <c r="Y46" s="859">
        <f t="shared" si="60"/>
        <v>-0.31423796316051489</v>
      </c>
      <c r="Z46" s="859">
        <f t="shared" si="60"/>
        <v>-0.18812052754869557</v>
      </c>
      <c r="AA46" s="846">
        <f t="shared" si="60"/>
        <v>-8.5697982372898163E-2</v>
      </c>
      <c r="AB46" s="859">
        <f t="shared" si="60"/>
        <v>-0.20365945125673723</v>
      </c>
      <c r="AC46" s="859">
        <f t="shared" si="60"/>
        <v>3.0005924736731471E-2</v>
      </c>
      <c r="AD46" s="859">
        <f t="shared" si="60"/>
        <v>0.40925071298936988</v>
      </c>
      <c r="AE46" s="859">
        <f t="shared" si="60"/>
        <v>0.10455878516715011</v>
      </c>
      <c r="AF46" s="846">
        <f t="shared" si="60"/>
        <v>7.3438164238099013E-2</v>
      </c>
      <c r="AG46" s="859">
        <f t="shared" si="60"/>
        <v>0.25158252108202817</v>
      </c>
      <c r="AH46" s="859">
        <f t="shared" si="60"/>
        <v>0.21066743361846618</v>
      </c>
      <c r="AI46" s="859">
        <f t="shared" si="60"/>
        <v>0.11416838991220657</v>
      </c>
      <c r="AJ46" s="859">
        <f t="shared" si="60"/>
        <v>0.13405138481356893</v>
      </c>
      <c r="AK46" s="846">
        <f t="shared" si="60"/>
        <v>0.16836277919500842</v>
      </c>
      <c r="AL46" s="859">
        <f t="shared" si="60"/>
        <v>8.5017763077299913E-2</v>
      </c>
      <c r="AM46" s="859">
        <f t="shared" si="60"/>
        <v>0.12431318154996829</v>
      </c>
      <c r="AN46" s="859">
        <f t="shared" si="60"/>
        <v>0.1784268267712894</v>
      </c>
      <c r="AO46" s="859">
        <f t="shared" si="60"/>
        <v>0.13205773029325818</v>
      </c>
      <c r="AP46" s="846">
        <f t="shared" si="60"/>
        <v>0.13320063392813686</v>
      </c>
      <c r="AQ46" s="859">
        <f t="shared" si="60"/>
        <v>-3.2589235310246933E-2</v>
      </c>
      <c r="AR46" s="859">
        <f>+AR45/AM45-1</f>
        <v>-3.7644412636744673E-2</v>
      </c>
      <c r="AS46" s="859">
        <f>+AS45/AN45-1</f>
        <v>-7.684331474371553E-2</v>
      </c>
      <c r="AT46" s="859">
        <f>+AT45/AO45-1</f>
        <v>-7.1749903839185669E-2</v>
      </c>
      <c r="AU46" s="846">
        <f>+AU45/AP45-1</f>
        <v>-5.7508571792240448E-2</v>
      </c>
      <c r="AV46" s="859">
        <f>+AV45/AQ45-1</f>
        <v>0.14290120626557856</v>
      </c>
      <c r="AW46" s="836"/>
      <c r="AX46" s="836"/>
      <c r="AY46" s="836"/>
      <c r="AZ46" s="836"/>
      <c r="BA46" s="836"/>
      <c r="BB46" s="836"/>
      <c r="BC46" s="836"/>
      <c r="BD46" s="836"/>
      <c r="BE46" s="836"/>
      <c r="BH46" s="836"/>
      <c r="BI46" s="836"/>
      <c r="BJ46" s="836"/>
      <c r="BK46" s="836"/>
      <c r="BL46" s="836"/>
      <c r="BM46" s="836"/>
      <c r="BN46" s="836"/>
      <c r="BO46" s="836"/>
      <c r="BP46" s="836"/>
      <c r="BQ46" s="836"/>
      <c r="BR46" s="836"/>
      <c r="BS46" s="836"/>
      <c r="BT46" s="836"/>
      <c r="BU46" s="836"/>
      <c r="BV46" s="836"/>
      <c r="BW46" s="836"/>
      <c r="BX46" s="836"/>
      <c r="BY46" s="836"/>
      <c r="BZ46" s="836"/>
      <c r="CA46" s="836"/>
      <c r="CB46" s="836"/>
      <c r="CC46" s="836"/>
      <c r="CD46" s="836"/>
      <c r="CE46" s="836"/>
      <c r="CF46" s="836"/>
      <c r="CG46" s="836"/>
    </row>
    <row r="47" spans="1:85" s="835" customFormat="1" ht="13.5" customHeight="1" x14ac:dyDescent="0.2">
      <c r="A47" s="840"/>
      <c r="B47" s="845" t="s">
        <v>1220</v>
      </c>
      <c r="C47" s="847">
        <f t="shared" ref="C47:AG47" si="61">+C45/C37</f>
        <v>0.27100711708230024</v>
      </c>
      <c r="D47" s="847">
        <f t="shared" si="61"/>
        <v>0.26251476495321224</v>
      </c>
      <c r="E47" s="847">
        <f t="shared" si="61"/>
        <v>0.27488481713111462</v>
      </c>
      <c r="F47" s="847">
        <f t="shared" si="61"/>
        <v>0.28149029766280442</v>
      </c>
      <c r="G47" s="846">
        <f t="shared" si="61"/>
        <v>0.27285791360790007</v>
      </c>
      <c r="H47" s="847">
        <f t="shared" si="61"/>
        <v>0.256107026298453</v>
      </c>
      <c r="I47" s="847">
        <f t="shared" si="61"/>
        <v>0.25858132328614841</v>
      </c>
      <c r="J47" s="847">
        <f t="shared" si="61"/>
        <v>0.27194805790717413</v>
      </c>
      <c r="K47" s="847">
        <f t="shared" si="61"/>
        <v>0.26762768435753787</v>
      </c>
      <c r="L47" s="846">
        <f t="shared" si="61"/>
        <v>0.2641142340965153</v>
      </c>
      <c r="M47" s="847">
        <f t="shared" si="61"/>
        <v>0.26707437880080348</v>
      </c>
      <c r="N47" s="847">
        <f t="shared" si="61"/>
        <v>0.27084498826674541</v>
      </c>
      <c r="O47" s="847">
        <f t="shared" si="61"/>
        <v>0.26111967367667205</v>
      </c>
      <c r="P47" s="847">
        <f t="shared" si="61"/>
        <v>0.28725843071464119</v>
      </c>
      <c r="Q47" s="846">
        <f t="shared" si="61"/>
        <v>0.27197764991748524</v>
      </c>
      <c r="R47" s="847">
        <f t="shared" si="61"/>
        <v>0.25353509830895493</v>
      </c>
      <c r="S47" s="847">
        <f t="shared" si="61"/>
        <v>0.2242870070097808</v>
      </c>
      <c r="T47" s="847">
        <f t="shared" si="61"/>
        <v>0.26213108978003807</v>
      </c>
      <c r="U47" s="847">
        <f t="shared" si="61"/>
        <v>0.23855235015746307</v>
      </c>
      <c r="V47" s="846">
        <f t="shared" si="61"/>
        <v>0.24743199913240449</v>
      </c>
      <c r="W47" s="847">
        <f t="shared" si="61"/>
        <v>0.23000573700448129</v>
      </c>
      <c r="X47" s="847">
        <f t="shared" si="61"/>
        <v>0.20543717681425727</v>
      </c>
      <c r="Y47" s="847">
        <f t="shared" si="61"/>
        <v>0.20810043206332901</v>
      </c>
      <c r="Z47" s="847">
        <f t="shared" si="61"/>
        <v>0.25008698471441337</v>
      </c>
      <c r="AA47" s="846">
        <f t="shared" si="61"/>
        <v>0.22367980480442509</v>
      </c>
      <c r="AB47" s="847">
        <f t="shared" si="61"/>
        <v>0.24317299344330401</v>
      </c>
      <c r="AC47" s="847">
        <f t="shared" si="61"/>
        <v>0.22566698699629215</v>
      </c>
      <c r="AD47" s="847">
        <f t="shared" si="61"/>
        <v>0.24959636461821327</v>
      </c>
      <c r="AE47" s="847">
        <f t="shared" si="61"/>
        <v>0.2482288402367705</v>
      </c>
      <c r="AF47" s="846">
        <f t="shared" si="61"/>
        <v>0.24214343353760492</v>
      </c>
      <c r="AG47" s="847">
        <f t="shared" si="61"/>
        <v>0.26155078500480616</v>
      </c>
      <c r="AH47" s="847">
        <f t="shared" ref="AH47:AM47" si="62">+AH45/AH37</f>
        <v>0.26216679926388453</v>
      </c>
      <c r="AI47" s="847">
        <f t="shared" si="62"/>
        <v>0.25227025063567016</v>
      </c>
      <c r="AJ47" s="847">
        <f t="shared" si="62"/>
        <v>0.2455282713654422</v>
      </c>
      <c r="AK47" s="846">
        <f t="shared" si="62"/>
        <v>0.25439380248872823</v>
      </c>
      <c r="AL47" s="847">
        <f t="shared" si="62"/>
        <v>0.25620056695620552</v>
      </c>
      <c r="AM47" s="847">
        <f t="shared" si="62"/>
        <v>0.24684617688329255</v>
      </c>
      <c r="AN47" s="847">
        <f t="shared" ref="AN47:AV47" si="63">+AN45/AN37</f>
        <v>0.2647810026698485</v>
      </c>
      <c r="AO47" s="847">
        <f t="shared" si="63"/>
        <v>0.24394147699998231</v>
      </c>
      <c r="AP47" s="846">
        <f t="shared" si="63"/>
        <v>0.252665690064385</v>
      </c>
      <c r="AQ47" s="847">
        <f t="shared" si="63"/>
        <v>0.23136863098326413</v>
      </c>
      <c r="AR47" s="847">
        <f t="shared" si="63"/>
        <v>0.22997986747717988</v>
      </c>
      <c r="AS47" s="847">
        <f t="shared" si="63"/>
        <v>0.24347320915147655</v>
      </c>
      <c r="AT47" s="847">
        <f t="shared" si="63"/>
        <v>0.22411335681474673</v>
      </c>
      <c r="AU47" s="846">
        <f t="shared" si="63"/>
        <v>0.23213091216315507</v>
      </c>
      <c r="AV47" s="847">
        <f t="shared" si="63"/>
        <v>0.22894133481620269</v>
      </c>
      <c r="AW47" s="964"/>
      <c r="AX47" s="964"/>
      <c r="AY47" s="836"/>
      <c r="AZ47" s="836"/>
      <c r="BA47" s="836"/>
      <c r="BB47" s="836"/>
      <c r="BC47" s="836"/>
      <c r="BD47" s="836"/>
      <c r="BE47" s="836"/>
      <c r="BH47" s="836"/>
      <c r="BI47" s="836"/>
      <c r="BJ47" s="836"/>
      <c r="BK47" s="836"/>
      <c r="BL47" s="836"/>
      <c r="BM47" s="836"/>
      <c r="BN47" s="836"/>
      <c r="BO47" s="836"/>
      <c r="BP47" s="836"/>
      <c r="BQ47" s="836"/>
      <c r="BR47" s="836"/>
      <c r="BS47" s="836"/>
      <c r="BT47" s="836"/>
      <c r="BU47" s="836"/>
      <c r="BV47" s="836"/>
      <c r="BW47" s="836"/>
      <c r="BX47" s="836"/>
      <c r="BY47" s="836"/>
      <c r="BZ47" s="836"/>
      <c r="CA47" s="836"/>
      <c r="CB47" s="836"/>
      <c r="CC47" s="836"/>
      <c r="CD47" s="836"/>
      <c r="CE47" s="836"/>
      <c r="CF47" s="836"/>
      <c r="CG47" s="836"/>
    </row>
    <row r="48" spans="1:85" ht="13.5" customHeight="1" x14ac:dyDescent="0.2">
      <c r="A48" s="24"/>
      <c r="B48" s="842" t="s">
        <v>955</v>
      </c>
      <c r="C48" s="841">
        <f>HLOOKUP(C35,'Dados Operacionais Auto'!$B$5:$BG$15,4,0)</f>
        <v>39572</v>
      </c>
      <c r="D48" s="841">
        <f>HLOOKUP(D35,'Dados Operacionais Auto'!$B$5:$BG$15,4,0)</f>
        <v>43391</v>
      </c>
      <c r="E48" s="841">
        <f>HLOOKUP(E35,'Dados Operacionais Auto'!$B$5:$BG$15,4,0)</f>
        <v>35099</v>
      </c>
      <c r="F48" s="841">
        <f>HLOOKUP(F35,'Dados Operacionais Auto'!$B$5:$BG$15,4,0)</f>
        <v>42546</v>
      </c>
      <c r="G48" s="637">
        <f>+SUM(C48:F48)</f>
        <v>160608</v>
      </c>
      <c r="H48" s="841">
        <f>HLOOKUP(H35,'Dados Operacionais Auto'!$B$5:$BG$15,4,0)</f>
        <v>41924</v>
      </c>
      <c r="I48" s="841">
        <f>HLOOKUP(I35,'Dados Operacionais Auto'!$B$5:$BG$15,4,0)</f>
        <v>38504</v>
      </c>
      <c r="J48" s="841">
        <f>HLOOKUP(J35,'Dados Operacionais Auto'!$B$5:$BG$15,4,0)</f>
        <v>28889</v>
      </c>
      <c r="K48" s="841">
        <f>HLOOKUP(K35,'Dados Operacionais Auto'!$B$5:$BG$15,4,0)</f>
        <v>18324</v>
      </c>
      <c r="L48" s="637">
        <f>+SUM(H48:K48)</f>
        <v>127641</v>
      </c>
      <c r="M48" s="841">
        <f>HLOOKUP(M35,'Dados Operacionais Auto'!$B$5:$BG$15,4,0)</f>
        <v>24033</v>
      </c>
      <c r="N48" s="841">
        <f>HLOOKUP(N35,'Dados Operacionais Auto'!$B$5:$BG$15,4,0)</f>
        <v>26627</v>
      </c>
      <c r="O48" s="841">
        <f>HLOOKUP(O35,'Dados Operacionais Auto'!$B$5:$BG$15,4,0)</f>
        <v>24743</v>
      </c>
      <c r="P48" s="841">
        <f>HLOOKUP(P35,'Dados Operacionais Auto'!$B$5:$BG$15,4,0)</f>
        <v>20885</v>
      </c>
      <c r="Q48" s="637">
        <f>+SUM(M48:P48)</f>
        <v>96288</v>
      </c>
      <c r="R48" s="841">
        <f>HLOOKUP(R35,'Dados Operacionais Auto'!$B$5:$BG$15,4,0)</f>
        <v>21234</v>
      </c>
      <c r="S48" s="841">
        <f>HLOOKUP(S35,'Dados Operacionais Auto'!$B$5:$BG$15,4,0)</f>
        <v>4840</v>
      </c>
      <c r="T48" s="841">
        <f>HLOOKUP(T35,'Dados Operacionais Auto'!$B$5:$BG$15,4,0)</f>
        <v>21152</v>
      </c>
      <c r="U48" s="841">
        <f>HLOOKUP(U35,'Dados Operacionais Auto'!$B$5:$BG$15,4,0)</f>
        <v>29945</v>
      </c>
      <c r="V48" s="637">
        <f>+SUM(R48:U48)</f>
        <v>77171</v>
      </c>
      <c r="W48" s="841">
        <f>HLOOKUP(W35,'Dados Operacionais Auto'!$B$5:$BG$15,4,0)</f>
        <v>22648</v>
      </c>
      <c r="X48" s="841">
        <f>HLOOKUP(X35,'Dados Operacionais Auto'!$B$5:$BG$15,4,0)</f>
        <v>23147</v>
      </c>
      <c r="Y48" s="841">
        <f>HLOOKUP(Y35,'Dados Operacionais Auto'!$B$5:$BG$15,4,0)</f>
        <v>17454</v>
      </c>
      <c r="Z48" s="841">
        <f>HLOOKUP(Z35,'Dados Operacionais Auto'!$B$5:$BG$15,4,0)</f>
        <v>21900</v>
      </c>
      <c r="AA48" s="637">
        <f>+SUM(W48:Z48)</f>
        <v>85149</v>
      </c>
      <c r="AB48" s="841">
        <f>HLOOKUP(AB35,'Dados Operacionais Auto'!$B$5:$BG$15,4,0)</f>
        <v>25382</v>
      </c>
      <c r="AC48" s="841">
        <f>HLOOKUP(AC35,'Dados Operacionais Auto'!$B$5:$BG$15,4,0)</f>
        <v>29905</v>
      </c>
      <c r="AD48" s="841">
        <f>HLOOKUP(AD35,'Dados Operacionais Auto'!$B$5:$BG$15,4,0)</f>
        <v>30179</v>
      </c>
      <c r="AE48" s="841">
        <f>HLOOKUP(AE35,'Dados Operacionais Auto'!$B$5:$BG$15,4,0)</f>
        <v>25170</v>
      </c>
      <c r="AF48" s="637">
        <f>+SUM(AB48:AE48)</f>
        <v>110636</v>
      </c>
      <c r="AG48" s="841">
        <f>HLOOKUP(AG35,'Dados Operacionais Auto'!$B$5:$BG$15,4,0)</f>
        <v>23529</v>
      </c>
      <c r="AH48" s="841">
        <f>HLOOKUP(AH35,'Dados Operacionais Auto'!$B$5:$BH$15,4,0)</f>
        <v>26527</v>
      </c>
      <c r="AI48" s="841">
        <f>HLOOKUP(AI35,'Dados Operacionais Auto'!$B$5:$BM$15,4,0)</f>
        <v>18319</v>
      </c>
      <c r="AJ48" s="841">
        <f>HLOOKUP(AJ35,'Dados Operacionais Auto'!$B$5:$BM$15,4,0)</f>
        <v>16843</v>
      </c>
      <c r="AK48" s="637">
        <f>+SUM(AG48:AJ48)</f>
        <v>85218</v>
      </c>
      <c r="AL48" s="841">
        <f>HLOOKUP(AL35,'Dados Operacionais Auto'!$B$5:$BM$15,4,0)</f>
        <v>16294</v>
      </c>
      <c r="AM48" s="841">
        <f>HLOOKUP(AM35,'Dados Operacionais Auto'!$B$5:$BM$15,4,0)</f>
        <v>20363</v>
      </c>
      <c r="AN48" s="841">
        <f>HLOOKUP(AN35,'Dados Operacionais Auto'!$B$5:$BM$15,4,0)</f>
        <v>24429</v>
      </c>
      <c r="AO48" s="841">
        <f>HLOOKUP(AO35,'Dados Operacionais Auto'!$B$5:$CA$15,4,0)</f>
        <v>22820</v>
      </c>
      <c r="AP48" s="637">
        <f>+SUM(AL48:AO48)</f>
        <v>83906</v>
      </c>
      <c r="AQ48" s="841">
        <f>HLOOKUP(AQ35,'Dados Operacionais Auto'!$B$5:$CA$15,4,0)</f>
        <v>24793</v>
      </c>
      <c r="AR48" s="841">
        <f>HLOOKUP(AR35,'Dados Operacionais Auto'!$B$5:$CA$15,4,0)</f>
        <v>29351</v>
      </c>
      <c r="AS48" s="841">
        <f>HLOOKUP(AS35,'Dados Operacionais Auto'!$B$5:$CA$15,4,0)</f>
        <v>32813</v>
      </c>
      <c r="AT48" s="841">
        <f>HLOOKUP(AT35,'Dados Operacionais Auto'!$B$5:$CA$15,4,0)</f>
        <v>22446</v>
      </c>
      <c r="AU48" s="637">
        <f>+SUM(AQ48:AT48)</f>
        <v>109403</v>
      </c>
      <c r="AV48" s="841">
        <f>HLOOKUP(AV35,'Dados Operacionais Auto'!$B$5:$CA$15,4,0)</f>
        <v>17617</v>
      </c>
      <c r="BK48" s="267"/>
      <c r="BL48" s="267"/>
      <c r="BM48" s="267"/>
      <c r="BN48" s="267"/>
      <c r="BO48" s="267"/>
      <c r="BP48" s="267"/>
      <c r="BQ48" s="267"/>
      <c r="BR48" s="267"/>
      <c r="BS48" s="267"/>
      <c r="BT48" s="267"/>
      <c r="BU48" s="267"/>
      <c r="BV48" s="267"/>
      <c r="BW48" s="267"/>
      <c r="BX48" s="267"/>
      <c r="BY48" s="267"/>
      <c r="BZ48" s="267"/>
      <c r="CA48" s="267"/>
      <c r="CB48" s="267"/>
      <c r="CC48" s="267"/>
      <c r="CD48" s="267"/>
      <c r="CE48" s="267"/>
      <c r="CF48" s="267"/>
      <c r="CG48" s="267"/>
    </row>
    <row r="49" spans="1:85" s="835" customFormat="1" ht="13.5" customHeight="1" x14ac:dyDescent="0.2">
      <c r="A49" s="840"/>
      <c r="B49" s="845" t="s">
        <v>954</v>
      </c>
      <c r="C49" s="859" t="s">
        <v>160</v>
      </c>
      <c r="D49" s="859" t="s">
        <v>160</v>
      </c>
      <c r="E49" s="859" t="s">
        <v>160</v>
      </c>
      <c r="F49" s="859" t="s">
        <v>160</v>
      </c>
      <c r="G49" s="883" t="s">
        <v>160</v>
      </c>
      <c r="H49" s="859">
        <f>+H48/C48-1</f>
        <v>5.9435964823612686E-2</v>
      </c>
      <c r="I49" s="859">
        <f>+I48/D48-1</f>
        <v>-0.11262704247424582</v>
      </c>
      <c r="J49" s="859">
        <f>+J48/E48-1</f>
        <v>-0.17692811761018834</v>
      </c>
      <c r="K49" s="859">
        <f>+K48/F48-1</f>
        <v>-0.5693132139331547</v>
      </c>
      <c r="L49" s="846">
        <f t="shared" ref="L49:AQ49" si="64">+L48/G48-1</f>
        <v>-0.20526374775851763</v>
      </c>
      <c r="M49" s="859">
        <f t="shared" si="64"/>
        <v>-0.42674840187005059</v>
      </c>
      <c r="N49" s="859">
        <f t="shared" si="64"/>
        <v>-0.30846145854976104</v>
      </c>
      <c r="O49" s="859">
        <f t="shared" si="64"/>
        <v>-0.1435148326352591</v>
      </c>
      <c r="P49" s="859">
        <f t="shared" si="64"/>
        <v>0.13976206068543995</v>
      </c>
      <c r="Q49" s="846">
        <f t="shared" si="64"/>
        <v>-0.24563423978188825</v>
      </c>
      <c r="R49" s="859">
        <f t="shared" si="64"/>
        <v>-0.11646486081637752</v>
      </c>
      <c r="S49" s="859">
        <f t="shared" si="64"/>
        <v>-0.81822961655462501</v>
      </c>
      <c r="T49" s="859">
        <f t="shared" si="64"/>
        <v>-0.14513195651295319</v>
      </c>
      <c r="U49" s="859">
        <f t="shared" si="64"/>
        <v>0.43380416566914048</v>
      </c>
      <c r="V49" s="846">
        <f t="shared" si="64"/>
        <v>-0.19853979727484217</v>
      </c>
      <c r="W49" s="859">
        <f t="shared" si="64"/>
        <v>6.6591315814260144E-2</v>
      </c>
      <c r="X49" s="859">
        <f t="shared" si="64"/>
        <v>3.7824380165289258</v>
      </c>
      <c r="Y49" s="859">
        <f t="shared" si="64"/>
        <v>-0.17482980332829046</v>
      </c>
      <c r="Z49" s="859">
        <f t="shared" si="64"/>
        <v>-0.26865920854900649</v>
      </c>
      <c r="AA49" s="846">
        <f t="shared" si="64"/>
        <v>0.10338080366977231</v>
      </c>
      <c r="AB49" s="859">
        <f t="shared" si="64"/>
        <v>0.12071706110914882</v>
      </c>
      <c r="AC49" s="859">
        <f t="shared" si="64"/>
        <v>0.29196008122002848</v>
      </c>
      <c r="AD49" s="859">
        <f t="shared" si="64"/>
        <v>0.72905924143462819</v>
      </c>
      <c r="AE49" s="859">
        <f t="shared" si="64"/>
        <v>0.14931506849315079</v>
      </c>
      <c r="AF49" s="846">
        <f t="shared" si="64"/>
        <v>0.29932236432606363</v>
      </c>
      <c r="AG49" s="859">
        <f t="shared" si="64"/>
        <v>-7.3004491371838287E-2</v>
      </c>
      <c r="AH49" s="859">
        <f t="shared" si="64"/>
        <v>-0.11295769938137434</v>
      </c>
      <c r="AI49" s="859">
        <f t="shared" si="64"/>
        <v>-0.39298850193843404</v>
      </c>
      <c r="AJ49" s="859">
        <f t="shared" si="64"/>
        <v>-0.33083035359555024</v>
      </c>
      <c r="AK49" s="846">
        <f t="shared" si="64"/>
        <v>-0.22974438699880695</v>
      </c>
      <c r="AL49" s="859">
        <f t="shared" si="64"/>
        <v>-0.30749288112541973</v>
      </c>
      <c r="AM49" s="859">
        <f t="shared" si="64"/>
        <v>-0.23236702227918726</v>
      </c>
      <c r="AN49" s="859">
        <f t="shared" si="64"/>
        <v>0.33353348981931319</v>
      </c>
      <c r="AO49" s="859">
        <f t="shared" si="64"/>
        <v>0.35486552276910288</v>
      </c>
      <c r="AP49" s="846">
        <f t="shared" si="64"/>
        <v>-1.5395808397286936E-2</v>
      </c>
      <c r="AQ49" s="859">
        <f t="shared" si="64"/>
        <v>0.52160304406530011</v>
      </c>
      <c r="AR49" s="859">
        <f>+AR48/AM48-1</f>
        <v>0.44138879339979376</v>
      </c>
      <c r="AS49" s="859">
        <f>+AS48/AN48-1</f>
        <v>0.34319865733349708</v>
      </c>
      <c r="AT49" s="859">
        <f>+AT48/AO48-1</f>
        <v>-1.638913234005257E-2</v>
      </c>
      <c r="AU49" s="846">
        <f>+AU48/AP48-1</f>
        <v>0.30387576573784947</v>
      </c>
      <c r="AV49" s="859">
        <f>+AV48/AQ48-1</f>
        <v>-0.28943653450570728</v>
      </c>
      <c r="AW49" s="836"/>
      <c r="AX49" s="836"/>
      <c r="AY49" s="836"/>
      <c r="AZ49" s="836"/>
      <c r="BA49" s="836"/>
      <c r="BB49" s="836"/>
      <c r="BC49" s="836"/>
      <c r="BD49" s="836"/>
      <c r="BE49" s="836"/>
      <c r="BH49" s="836"/>
      <c r="BI49" s="836"/>
      <c r="BJ49" s="836"/>
      <c r="BK49" s="836"/>
      <c r="BL49" s="836"/>
      <c r="BM49" s="836"/>
      <c r="BN49" s="836"/>
      <c r="BO49" s="836"/>
      <c r="BP49" s="836"/>
      <c r="BQ49" s="836"/>
      <c r="BR49" s="836"/>
      <c r="BS49" s="836"/>
      <c r="BT49" s="836"/>
      <c r="BU49" s="836"/>
      <c r="BV49" s="836"/>
      <c r="BW49" s="836"/>
      <c r="BX49" s="836"/>
      <c r="BY49" s="836"/>
      <c r="BZ49" s="836"/>
      <c r="CA49" s="836"/>
      <c r="CB49" s="836"/>
      <c r="CC49" s="836"/>
      <c r="CD49" s="836"/>
      <c r="CE49" s="836"/>
      <c r="CF49" s="836"/>
      <c r="CG49" s="836"/>
    </row>
    <row r="50" spans="1:85" s="835" customFormat="1" ht="13.5" customHeight="1" x14ac:dyDescent="0.2">
      <c r="A50" s="840"/>
      <c r="B50" s="845" t="s">
        <v>1219</v>
      </c>
      <c r="C50" s="847">
        <f t="shared" ref="C50:AG50" si="65">+C48/C39</f>
        <v>0.23910140601680938</v>
      </c>
      <c r="D50" s="847">
        <f t="shared" si="65"/>
        <v>0.22762372394112032</v>
      </c>
      <c r="E50" s="847">
        <f t="shared" si="65"/>
        <v>0.19295024380590081</v>
      </c>
      <c r="F50" s="847">
        <f t="shared" si="65"/>
        <v>0.2280406491863731</v>
      </c>
      <c r="G50" s="846">
        <f t="shared" si="65"/>
        <v>0.22164811870694223</v>
      </c>
      <c r="H50" s="847">
        <f t="shared" si="65"/>
        <v>0.24602853236151945</v>
      </c>
      <c r="I50" s="847">
        <f t="shared" si="65"/>
        <v>0.20315195770657352</v>
      </c>
      <c r="J50" s="847">
        <f t="shared" si="65"/>
        <v>0.21021648171730034</v>
      </c>
      <c r="K50" s="847">
        <f t="shared" si="65"/>
        <v>0.18684422510222187</v>
      </c>
      <c r="L50" s="846">
        <f t="shared" si="65"/>
        <v>0.21436704779051177</v>
      </c>
      <c r="M50" s="847">
        <f t="shared" si="65"/>
        <v>0.24041895501335495</v>
      </c>
      <c r="N50" s="847">
        <f t="shared" si="65"/>
        <v>0.23715664968470554</v>
      </c>
      <c r="O50" s="847">
        <f t="shared" si="65"/>
        <v>0.22452201845684783</v>
      </c>
      <c r="P50" s="847">
        <f t="shared" si="65"/>
        <v>0.24550947477312268</v>
      </c>
      <c r="Q50" s="846">
        <f t="shared" si="65"/>
        <v>0.23628377217736987</v>
      </c>
      <c r="R50" s="847">
        <f t="shared" si="65"/>
        <v>0.24913762759591693</v>
      </c>
      <c r="S50" s="847">
        <f t="shared" si="65"/>
        <v>0.17448357907639064</v>
      </c>
      <c r="T50" s="847">
        <f t="shared" si="65"/>
        <v>0.25623258631132645</v>
      </c>
      <c r="U50" s="847">
        <f t="shared" si="65"/>
        <v>0.26868792003517306</v>
      </c>
      <c r="V50" s="846">
        <f t="shared" si="65"/>
        <v>0.25139753980870971</v>
      </c>
      <c r="W50" s="847">
        <f t="shared" si="65"/>
        <v>0.25266915825291458</v>
      </c>
      <c r="X50" s="847">
        <f t="shared" si="65"/>
        <v>0.2364906975080969</v>
      </c>
      <c r="Y50" s="847">
        <f t="shared" si="65"/>
        <v>0.24948898640632369</v>
      </c>
      <c r="Z50" s="847">
        <f t="shared" si="65"/>
        <v>0.23810041531670617</v>
      </c>
      <c r="AA50" s="846">
        <f t="shared" si="65"/>
        <v>0.24366645776636933</v>
      </c>
      <c r="AB50" s="847">
        <f t="shared" si="65"/>
        <v>0.24787109374999999</v>
      </c>
      <c r="AC50" s="847">
        <f t="shared" si="65"/>
        <v>0.22902371032961646</v>
      </c>
      <c r="AD50" s="847">
        <f t="shared" si="65"/>
        <v>0.2779194946081095</v>
      </c>
      <c r="AE50" s="847">
        <f t="shared" si="65"/>
        <v>0.23152491859374139</v>
      </c>
      <c r="AF50" s="846">
        <f t="shared" si="65"/>
        <v>0.24570544040472686</v>
      </c>
      <c r="AG50" s="847">
        <f t="shared" si="65"/>
        <v>0.21608640149880151</v>
      </c>
      <c r="AH50" s="847">
        <f t="shared" ref="AH50:AM50" si="66">+AH48/AH39</f>
        <v>0.23865088076002663</v>
      </c>
      <c r="AI50" s="847">
        <f t="shared" si="66"/>
        <v>0.21140641408837549</v>
      </c>
      <c r="AJ50" s="847">
        <f t="shared" si="66"/>
        <v>0.22296206084032724</v>
      </c>
      <c r="AK50" s="846">
        <f t="shared" si="66"/>
        <v>0.22294603334065866</v>
      </c>
      <c r="AL50" s="847">
        <f t="shared" si="66"/>
        <v>0.20875826372162148</v>
      </c>
      <c r="AM50" s="847">
        <f t="shared" si="66"/>
        <v>0.26084673028886185</v>
      </c>
      <c r="AN50" s="847">
        <f t="shared" ref="AN50:AV50" si="67">+AN48/AN39</f>
        <v>0.21589734072169048</v>
      </c>
      <c r="AO50" s="847">
        <f t="shared" si="67"/>
        <v>0.21426425298580334</v>
      </c>
      <c r="AP50" s="846">
        <f t="shared" si="67"/>
        <v>0.22328965436488082</v>
      </c>
      <c r="AQ50" s="847">
        <f t="shared" si="67"/>
        <v>0.21553695155134792</v>
      </c>
      <c r="AR50" s="847">
        <f t="shared" si="67"/>
        <v>0.20496651512929559</v>
      </c>
      <c r="AS50" s="847">
        <f t="shared" si="67"/>
        <v>0.22066428605053093</v>
      </c>
      <c r="AT50" s="847">
        <f t="shared" si="67"/>
        <v>0.25373606746399585</v>
      </c>
      <c r="AU50" s="846">
        <f t="shared" si="67"/>
        <v>0.22084171896542326</v>
      </c>
      <c r="AV50" s="847">
        <f t="shared" si="67"/>
        <v>0.18734712976157561</v>
      </c>
      <c r="AW50" s="964"/>
      <c r="AX50" s="964"/>
      <c r="AY50" s="836"/>
      <c r="AZ50" s="836"/>
      <c r="BA50" s="836"/>
      <c r="BB50" s="836"/>
      <c r="BC50" s="836"/>
      <c r="BD50" s="836"/>
      <c r="BE50" s="836"/>
      <c r="BH50" s="836"/>
      <c r="BI50" s="836"/>
      <c r="BJ50" s="836"/>
      <c r="BK50" s="836"/>
      <c r="BL50" s="836"/>
      <c r="BM50" s="836"/>
      <c r="BN50" s="836"/>
      <c r="BO50" s="836"/>
      <c r="BP50" s="836"/>
      <c r="BQ50" s="836"/>
      <c r="BR50" s="836"/>
      <c r="BS50" s="836"/>
      <c r="BT50" s="836"/>
      <c r="BU50" s="836"/>
      <c r="BV50" s="836"/>
      <c r="BW50" s="836"/>
      <c r="BX50" s="836"/>
      <c r="BY50" s="836"/>
      <c r="BZ50" s="836"/>
      <c r="CA50" s="836"/>
      <c r="CB50" s="836"/>
      <c r="CC50" s="836"/>
      <c r="CD50" s="836"/>
      <c r="CE50" s="836"/>
      <c r="CF50" s="836"/>
      <c r="CG50" s="836"/>
    </row>
    <row r="51" spans="1:85" s="283" customFormat="1" ht="13.5" customHeight="1" x14ac:dyDescent="0.2">
      <c r="A51" s="877"/>
      <c r="B51" s="891" t="s">
        <v>1002</v>
      </c>
      <c r="C51" s="893">
        <f>+C53+C55</f>
        <v>146476</v>
      </c>
      <c r="D51" s="893">
        <f>+D53+D55</f>
        <v>172147.37303599072</v>
      </c>
      <c r="E51" s="893">
        <f>+E53+E55</f>
        <v>191069.34900000002</v>
      </c>
      <c r="F51" s="893">
        <f>+F53+F55</f>
        <v>204238.15900000001</v>
      </c>
      <c r="G51" s="892">
        <f>+SUM(C51:F51)</f>
        <v>713930.88103599078</v>
      </c>
      <c r="H51" s="893">
        <f>+H53+H55</f>
        <v>171756.394</v>
      </c>
      <c r="I51" s="893">
        <f>+I53+I55</f>
        <v>190005.42499999999</v>
      </c>
      <c r="J51" s="893">
        <f>+J53+J55</f>
        <v>214950.23199999999</v>
      </c>
      <c r="K51" s="893">
        <f>+K53+K55</f>
        <v>214723.65</v>
      </c>
      <c r="L51" s="892">
        <f>+SUM(H51:K51)</f>
        <v>791435.701</v>
      </c>
      <c r="M51" s="893">
        <f>+M53+M55</f>
        <v>188746.21</v>
      </c>
      <c r="N51" s="893">
        <f>+N53+N55</f>
        <v>220205.95</v>
      </c>
      <c r="O51" s="893">
        <f>+O53+O55</f>
        <v>226176.014</v>
      </c>
      <c r="P51" s="893">
        <f>+P53+P55</f>
        <v>245769.12599999996</v>
      </c>
      <c r="Q51" s="892">
        <f>+SUM(M51:P51)</f>
        <v>880897.29999999993</v>
      </c>
      <c r="R51" s="893">
        <f>+R53+R55</f>
        <v>175905.11800000002</v>
      </c>
      <c r="S51" s="893">
        <f>+S53+S55</f>
        <v>61170.718000000001</v>
      </c>
      <c r="T51" s="893">
        <f>+T53+T55</f>
        <v>189941.20500000002</v>
      </c>
      <c r="U51" s="893">
        <f>+U53+U55</f>
        <v>208718.51</v>
      </c>
      <c r="V51" s="892">
        <f>+SUM(R51:U51)</f>
        <v>635735.55099999998</v>
      </c>
      <c r="W51" s="893">
        <f>+W53+W55</f>
        <v>143978.22500000001</v>
      </c>
      <c r="X51" s="893">
        <f>+X53+X55</f>
        <v>126444.726</v>
      </c>
      <c r="Y51" s="893">
        <f>+Y53+Y55</f>
        <v>118061.787</v>
      </c>
      <c r="Z51" s="893">
        <f>+Z53+Z55</f>
        <v>164257.378</v>
      </c>
      <c r="AA51" s="892">
        <f>+SUM(W51:Z51)</f>
        <v>552742.11600000004</v>
      </c>
      <c r="AB51" s="893">
        <f>+AB53+AB55</f>
        <v>114198.70800000001</v>
      </c>
      <c r="AC51" s="893">
        <f>+AC53+AC55</f>
        <v>132858.51699999999</v>
      </c>
      <c r="AD51" s="893">
        <f>+AD53+AD55</f>
        <v>171164.14800000002</v>
      </c>
      <c r="AE51" s="893">
        <f>+AE53+AE55</f>
        <v>169468.625</v>
      </c>
      <c r="AF51" s="892">
        <f>+SUM(AB51:AE51)</f>
        <v>587689.99800000002</v>
      </c>
      <c r="AG51" s="893">
        <f>+AG53+AG55</f>
        <v>136753.524</v>
      </c>
      <c r="AH51" s="893">
        <f>+AH53+AH55</f>
        <v>150424.709</v>
      </c>
      <c r="AI51" s="893">
        <f>+AI53+AI55</f>
        <v>177419.495</v>
      </c>
      <c r="AJ51" s="893">
        <f>+AJ53+AJ55</f>
        <v>188849.85100000002</v>
      </c>
      <c r="AK51" s="892">
        <f>+SUM(AG51:AJ51)</f>
        <v>653447.57900000003</v>
      </c>
      <c r="AL51" s="893">
        <f>+AL53+AL55</f>
        <v>148802.24500000002</v>
      </c>
      <c r="AM51" s="893">
        <f>+AM53+AM55</f>
        <v>181918.48200000002</v>
      </c>
      <c r="AN51" s="893">
        <f>+AN53+AN55</f>
        <v>216435.628</v>
      </c>
      <c r="AO51" s="893">
        <f>+AO53+AO55</f>
        <v>220136.647</v>
      </c>
      <c r="AP51" s="892">
        <f>+SUM(AL51:AO51)</f>
        <v>767293.00200000009</v>
      </c>
      <c r="AQ51" s="893">
        <f>+AQ53+AQ55</f>
        <v>148441.32200000001</v>
      </c>
      <c r="AR51" s="893">
        <f>+AR53+AR55</f>
        <v>184598.698</v>
      </c>
      <c r="AS51" s="893">
        <f>+AS53+AS55</f>
        <v>220453.951</v>
      </c>
      <c r="AT51" s="893">
        <f>+AT53+AT55</f>
        <v>218079.30499999999</v>
      </c>
      <c r="AU51" s="892">
        <f>+SUM(AQ51:AT51)</f>
        <v>771573.27600000007</v>
      </c>
      <c r="AV51" s="893">
        <f>+AV53+AV55</f>
        <v>176140.91100000002</v>
      </c>
      <c r="AW51" s="873"/>
      <c r="AX51" s="873"/>
      <c r="AY51" s="873"/>
      <c r="AZ51" s="873"/>
      <c r="BA51" s="873"/>
      <c r="BB51" s="873"/>
      <c r="BC51" s="873"/>
      <c r="BD51" s="873"/>
      <c r="BE51" s="873"/>
      <c r="BH51" s="873"/>
      <c r="BI51" s="873"/>
      <c r="BJ51" s="873"/>
      <c r="BK51" s="873"/>
      <c r="BL51" s="873"/>
      <c r="BM51" s="873"/>
      <c r="BN51" s="873"/>
      <c r="BO51" s="873"/>
      <c r="BP51" s="873"/>
      <c r="BQ51" s="873"/>
      <c r="BR51" s="873"/>
      <c r="BS51" s="873"/>
      <c r="BT51" s="873"/>
      <c r="BU51" s="873"/>
      <c r="BV51" s="873"/>
      <c r="BW51" s="873"/>
      <c r="BX51" s="873"/>
      <c r="BY51" s="873"/>
      <c r="BZ51" s="873"/>
      <c r="CA51" s="873"/>
      <c r="CB51" s="873"/>
      <c r="CC51" s="873"/>
      <c r="CD51" s="873"/>
      <c r="CE51" s="873"/>
      <c r="CF51" s="873"/>
      <c r="CG51" s="873"/>
    </row>
    <row r="52" spans="1:85" s="283" customFormat="1" ht="13.5" customHeight="1" x14ac:dyDescent="0.2">
      <c r="A52" s="877"/>
      <c r="B52" s="845" t="s">
        <v>954</v>
      </c>
      <c r="C52" s="859" t="s">
        <v>160</v>
      </c>
      <c r="D52" s="859" t="s">
        <v>160</v>
      </c>
      <c r="E52" s="859" t="s">
        <v>160</v>
      </c>
      <c r="F52" s="859" t="s">
        <v>160</v>
      </c>
      <c r="G52" s="846" t="s">
        <v>160</v>
      </c>
      <c r="H52" s="859">
        <f>+H51/C51-1</f>
        <v>0.17259069062508536</v>
      </c>
      <c r="I52" s="859">
        <f>+I51/D51-1</f>
        <v>0.10373699957812144</v>
      </c>
      <c r="J52" s="859">
        <f>+J51/E51-1</f>
        <v>0.12498542086936171</v>
      </c>
      <c r="K52" s="859">
        <f>+K51/F51-1</f>
        <v>5.1339529553828367E-2</v>
      </c>
      <c r="L52" s="846">
        <f>+L51/G51-1</f>
        <v>0.10856067726268037</v>
      </c>
      <c r="M52" s="859">
        <f>M51/H51-1</f>
        <v>9.8918099083985078E-2</v>
      </c>
      <c r="N52" s="859">
        <f>N51/I51-1</f>
        <v>0.15894559326398183</v>
      </c>
      <c r="O52" s="859">
        <f>O51/J51-1</f>
        <v>5.2225028535907825E-2</v>
      </c>
      <c r="P52" s="859">
        <f>P51/K51-1</f>
        <v>0.14458340289949412</v>
      </c>
      <c r="Q52" s="846">
        <f>+Q51/L51-1</f>
        <v>0.11303710318723659</v>
      </c>
      <c r="R52" s="859">
        <f>R51/M51-1</f>
        <v>-6.8033641576167203E-2</v>
      </c>
      <c r="S52" s="859">
        <f>S51/N51-1</f>
        <v>-0.72221132989367454</v>
      </c>
      <c r="T52" s="859">
        <f>T51/O51-1</f>
        <v>-0.1602062409677093</v>
      </c>
      <c r="U52" s="859">
        <f>U51/P51-1</f>
        <v>-0.15075374439017197</v>
      </c>
      <c r="V52" s="846">
        <f>+V51/Q51-1</f>
        <v>-0.2783091161705229</v>
      </c>
      <c r="W52" s="859">
        <f>W51/R51-1</f>
        <v>-0.18150064854849768</v>
      </c>
      <c r="X52" s="859">
        <f>X51/S51-1</f>
        <v>1.0670793172641848</v>
      </c>
      <c r="Y52" s="859">
        <f>Y51/T51-1</f>
        <v>-0.37842983043094847</v>
      </c>
      <c r="Z52" s="859">
        <f>Z51/U51-1</f>
        <v>-0.21301959275197979</v>
      </c>
      <c r="AA52" s="846">
        <f>+AA51/V51-1</f>
        <v>-0.13054710385387891</v>
      </c>
      <c r="AB52" s="859">
        <f>AB51/W51-1</f>
        <v>-0.20683347777068362</v>
      </c>
      <c r="AC52" s="859">
        <f>AC51/X51-1</f>
        <v>5.0724068950096068E-2</v>
      </c>
      <c r="AD52" s="859">
        <f>AD51/Y51-1</f>
        <v>0.44978449292826661</v>
      </c>
      <c r="AE52" s="859">
        <f>AE51/Z51-1</f>
        <v>3.172610608699733E-2</v>
      </c>
      <c r="AF52" s="846">
        <f>+AF51/AA51-1</f>
        <v>6.3226378067416933E-2</v>
      </c>
      <c r="AG52" s="859">
        <f>AG51/AB51-1</f>
        <v>0.19750500154520134</v>
      </c>
      <c r="AH52" s="859">
        <f>AH51/AC51-1</f>
        <v>0.13221728193759685</v>
      </c>
      <c r="AI52" s="859">
        <f>AI51/AD51-1</f>
        <v>3.6545895113502258E-2</v>
      </c>
      <c r="AJ52" s="859">
        <f>AJ51/AE51-1</f>
        <v>0.1143646854985696</v>
      </c>
      <c r="AK52" s="846">
        <f>+AK51/AF51-1</f>
        <v>0.11189161160438865</v>
      </c>
      <c r="AL52" s="859">
        <f>AL51/AG51-1</f>
        <v>8.8105378549513835E-2</v>
      </c>
      <c r="AM52" s="859">
        <f>AM51/AH51-1</f>
        <v>0.20936569004763705</v>
      </c>
      <c r="AN52" s="859">
        <f>AN51/AI51-1</f>
        <v>0.21990893954466495</v>
      </c>
      <c r="AO52" s="859">
        <f>AO51/AJ51-1</f>
        <v>0.16567021808240656</v>
      </c>
      <c r="AP52" s="846">
        <f>+AP51/AK51-1</f>
        <v>0.17422273286898204</v>
      </c>
      <c r="AQ52" s="859">
        <f>AQ51/AL51-1</f>
        <v>-2.4255212009738347E-3</v>
      </c>
      <c r="AR52" s="859">
        <f>AR51/AM51-1</f>
        <v>1.473306049244627E-2</v>
      </c>
      <c r="AS52" s="859">
        <f>AS51/AN51-1</f>
        <v>1.8565903576651444E-2</v>
      </c>
      <c r="AT52" s="859">
        <f>AT51/AO51-1</f>
        <v>-9.345749687920013E-3</v>
      </c>
      <c r="AU52" s="846">
        <f>+AU51/AP51-1</f>
        <v>5.5784087549908268E-3</v>
      </c>
      <c r="AV52" s="859">
        <f>AV51/AQ51-1</f>
        <v>0.18660295278157113</v>
      </c>
      <c r="AW52" s="873"/>
      <c r="AX52" s="873"/>
      <c r="AY52" s="873"/>
      <c r="AZ52" s="873"/>
      <c r="BA52" s="873"/>
      <c r="BB52" s="873"/>
      <c r="BC52" s="873"/>
      <c r="BD52" s="873"/>
      <c r="BE52" s="873"/>
      <c r="BH52" s="873"/>
      <c r="BI52" s="873"/>
      <c r="BJ52" s="873"/>
      <c r="BK52" s="873"/>
      <c r="BL52" s="873"/>
      <c r="BM52" s="873"/>
      <c r="BN52" s="873"/>
      <c r="BO52" s="873"/>
      <c r="BP52" s="873"/>
      <c r="BQ52" s="873"/>
      <c r="BR52" s="873"/>
      <c r="BS52" s="873"/>
      <c r="BT52" s="873"/>
      <c r="BU52" s="873"/>
      <c r="BV52" s="873"/>
      <c r="BW52" s="873"/>
      <c r="BX52" s="873"/>
      <c r="BY52" s="873"/>
      <c r="BZ52" s="873"/>
      <c r="CA52" s="873"/>
      <c r="CB52" s="873"/>
      <c r="CC52" s="873"/>
      <c r="CD52" s="873"/>
      <c r="CE52" s="873"/>
      <c r="CF52" s="873"/>
      <c r="CG52" s="873"/>
    </row>
    <row r="53" spans="1:85" s="283" customFormat="1" ht="13.5" customHeight="1" x14ac:dyDescent="0.2">
      <c r="A53" s="877"/>
      <c r="B53" s="842" t="s">
        <v>1000</v>
      </c>
      <c r="C53" s="841">
        <f>HLOOKUP(C35,'Dados Operacionais Auto'!$B$5:$BG$15,6,0)/1000</f>
        <v>140848</v>
      </c>
      <c r="D53" s="841">
        <f>HLOOKUP(D35,'Dados Operacionais Auto'!$B$5:$BG$15,6,0)/1000</f>
        <v>162583.91403599072</v>
      </c>
      <c r="E53" s="841">
        <f>HLOOKUP(E35,'Dados Operacionais Auto'!$B$5:$BG$15,6,0)/1000</f>
        <v>183273.679</v>
      </c>
      <c r="F53" s="841">
        <f>HLOOKUP(F35,'Dados Operacionais Auto'!$B$5:$BG$15,6,0)/1000</f>
        <v>195783.342</v>
      </c>
      <c r="G53" s="637">
        <f>+SUM(C53:F53)</f>
        <v>682488.93503599078</v>
      </c>
      <c r="H53" s="841">
        <f>HLOOKUP(H35,'Dados Operacionais Auto'!$B$5:$BG$15,6,0)/1000</f>
        <v>163476.99900000001</v>
      </c>
      <c r="I53" s="841">
        <f>HLOOKUP(I35,'Dados Operacionais Auto'!$B$5:$BG$15,6,0)/1000</f>
        <v>182617.81599999999</v>
      </c>
      <c r="J53" s="841">
        <f>HLOOKUP(J35,'Dados Operacionais Auto'!$B$5:$BG$15,6,0)/1000</f>
        <v>209050.106</v>
      </c>
      <c r="K53" s="841">
        <f>HLOOKUP(K35,'Dados Operacionais Auto'!$B$5:$BG$15,6,0)/1000</f>
        <v>210511.05100000001</v>
      </c>
      <c r="L53" s="637">
        <f>+SUM(H53:K53)</f>
        <v>765655.97199999995</v>
      </c>
      <c r="M53" s="841">
        <f>HLOOKUP(M35,'Dados Operacionais Auto'!$B$5:$BG$15,6,0)/1000</f>
        <v>183672.549</v>
      </c>
      <c r="N53" s="841">
        <f>HLOOKUP(N35,'Dados Operacionais Auto'!$B$5:$BG$15,6,0)/1000</f>
        <v>215426.712</v>
      </c>
      <c r="O53" s="841">
        <f>HLOOKUP(O35,'Dados Operacionais Auto'!$B$5:$BG$15,6,0)/1000</f>
        <v>221039.09099999999</v>
      </c>
      <c r="P53" s="841">
        <f>HLOOKUP(P35,'Dados Operacionais Auto'!$B$5:$BG$15,6,0)/1000</f>
        <v>241840.08899999995</v>
      </c>
      <c r="Q53" s="637">
        <f>+SUM(M53:P53)</f>
        <v>861978.44099999988</v>
      </c>
      <c r="R53" s="841">
        <f>HLOOKUP(R35,'Dados Operacionais Auto'!$B$5:$BG$15,6,0)/1000</f>
        <v>171622.198</v>
      </c>
      <c r="S53" s="841">
        <f>HLOOKUP(S35,'Dados Operacionais Auto'!$B$5:$BG$15,6,0)/1000</f>
        <v>60373.783000000003</v>
      </c>
      <c r="T53" s="841">
        <f>HLOOKUP(T35,'Dados Operacionais Auto'!$B$5:$BG$15,6,0)/1000</f>
        <v>185264.00700000001</v>
      </c>
      <c r="U53" s="841">
        <f>HLOOKUP(U35,'Dados Operacionais Auto'!$B$5:$BG$15,6,0)/1000</f>
        <v>203052.00700000001</v>
      </c>
      <c r="V53" s="637">
        <f>+SUM(R53:U53)</f>
        <v>620311.995</v>
      </c>
      <c r="W53" s="841">
        <f>HLOOKUP(W35,'Dados Operacionais Auto'!$B$5:$BG$15,6,0)/1000</f>
        <v>137419.23300000001</v>
      </c>
      <c r="X53" s="841">
        <f>HLOOKUP(X35,'Dados Operacionais Auto'!$B$5:$BG$15,6,0)/1000</f>
        <v>121411.53</v>
      </c>
      <c r="Y53" s="841">
        <f>HLOOKUP(Y35,'Dados Operacionais Auto'!$B$5:$BG$15,6,0)/1000</f>
        <v>113637.50599999999</v>
      </c>
      <c r="Z53" s="841">
        <f>HLOOKUP(Z35,'Dados Operacionais Auto'!$B$5:$BG$15,6,0)/1000</f>
        <v>156694.08499999999</v>
      </c>
      <c r="AA53" s="637">
        <f>+SUM(W53:Z53)</f>
        <v>529162.35399999993</v>
      </c>
      <c r="AB53" s="841">
        <f>HLOOKUP(AB35,'Dados Operacionais Auto'!$B$5:$BG$15,6,0)/1000</f>
        <v>106370.03200000001</v>
      </c>
      <c r="AC53" s="841">
        <f>HLOOKUP(AC35,'Dados Operacionais Auto'!$B$5:$BG$15,6,0)/1000</f>
        <v>125059.697</v>
      </c>
      <c r="AD53" s="841">
        <f>HLOOKUP(AD35,'Dados Operacionais Auto'!$B$5:$BG$15,6,0)/1000</f>
        <v>163033.67800000001</v>
      </c>
      <c r="AE53" s="841">
        <f>HLOOKUP(AE35,'Dados Operacionais Auto'!$B$5:$BG$15,6,0)/1000</f>
        <v>160421.22700000001</v>
      </c>
      <c r="AF53" s="637">
        <f>+SUM(AB53:AE53)</f>
        <v>554884.63400000008</v>
      </c>
      <c r="AG53" s="841">
        <f>HLOOKUP(AG35,'Dados Operacionais Auto'!$B$5:$BG$15,6,0)/1000</f>
        <v>128142.26300000001</v>
      </c>
      <c r="AH53" s="841">
        <f>HLOOKUP(AH35,'Dados Operacionais Auto'!$B$5:$BH$15,6,0)/1000</f>
        <v>141472.60399999999</v>
      </c>
      <c r="AI53" s="841">
        <f>HLOOKUP(AI35,'Dados Operacionais Auto'!$B$5:$BM$15,6,0)/1000</f>
        <v>171539.61799999999</v>
      </c>
      <c r="AJ53" s="841">
        <f>HLOOKUP(AJ35,'Dados Operacionais Auto'!$B$5:$BM$15,6,0)/1000</f>
        <v>182304.51500000001</v>
      </c>
      <c r="AK53" s="637">
        <f>+SUM(AG53:AJ53)</f>
        <v>623459</v>
      </c>
      <c r="AL53" s="841">
        <f>HLOOKUP(AL35,'Dados Operacionais Auto'!$B$5:$BM$15,6,0)/1000</f>
        <v>143945.39300000001</v>
      </c>
      <c r="AM53" s="841">
        <f>HLOOKUP(AM35,'Dados Operacionais Auto'!$B$5:$BM$15,6,0)/1000</f>
        <v>174959.81400000001</v>
      </c>
      <c r="AN53" s="841">
        <f>HLOOKUP(AN35,'Dados Operacionais Auto'!$B$5:$BM$15,6,0)/1000</f>
        <v>209792.79</v>
      </c>
      <c r="AO53" s="841">
        <f>HLOOKUP(AO35,'Dados Operacionais Auto'!$B$5:$CA$15,6,0)/1000</f>
        <v>212965.9</v>
      </c>
      <c r="AP53" s="637">
        <f>+SUM(AL53:AO53)</f>
        <v>741663.89700000011</v>
      </c>
      <c r="AQ53" s="841">
        <f>HLOOKUP(AQ35,'Dados Operacionais Auto'!$B$5:$CA$15,6,0)/1000</f>
        <v>138002.35200000001</v>
      </c>
      <c r="AR53" s="841">
        <f>HLOOKUP(AR35,'Dados Operacionais Auto'!$B$5:$CA$15,6,0)/1000</f>
        <v>175360.451</v>
      </c>
      <c r="AS53" s="841">
        <f>HLOOKUP(AS35,'Dados Operacionais Auto'!$B$5:$CA$15,6,0)/1000</f>
        <v>207112.63699999999</v>
      </c>
      <c r="AT53" s="841">
        <f>HLOOKUP(AT35,'Dados Operacionais Auto'!$B$5:$CA$15,6,0)/1000</f>
        <v>209031.50200000001</v>
      </c>
      <c r="AU53" s="637">
        <f>+SUM(AQ53:AT53)</f>
        <v>729506.94200000004</v>
      </c>
      <c r="AV53" s="841">
        <f>HLOOKUP(AV35,'Dados Operacionais Auto'!$B$5:$CA$15,6,0)/1000</f>
        <v>170133.43100000001</v>
      </c>
      <c r="AW53" s="873"/>
      <c r="AX53" s="873"/>
      <c r="AY53" s="873"/>
      <c r="AZ53" s="873"/>
      <c r="BA53" s="873"/>
      <c r="BB53" s="873"/>
      <c r="BC53" s="873"/>
      <c r="BD53" s="873"/>
      <c r="BE53" s="873"/>
      <c r="BH53" s="873"/>
      <c r="BI53" s="873"/>
      <c r="BJ53" s="873"/>
      <c r="BK53" s="873"/>
      <c r="BL53" s="873"/>
      <c r="BM53" s="873"/>
      <c r="BN53" s="873"/>
      <c r="BO53" s="873"/>
      <c r="BP53" s="873"/>
      <c r="BQ53" s="873"/>
      <c r="BR53" s="873"/>
      <c r="BS53" s="873"/>
      <c r="BT53" s="873"/>
      <c r="BU53" s="873"/>
      <c r="BV53" s="873"/>
      <c r="BW53" s="873"/>
      <c r="BX53" s="873"/>
      <c r="BY53" s="873"/>
      <c r="BZ53" s="873"/>
      <c r="CA53" s="873"/>
      <c r="CB53" s="873"/>
      <c r="CC53" s="873"/>
      <c r="CD53" s="873"/>
      <c r="CE53" s="873"/>
      <c r="CF53" s="873"/>
      <c r="CG53" s="873"/>
    </row>
    <row r="54" spans="1:85" s="283" customFormat="1" ht="13.5" customHeight="1" x14ac:dyDescent="0.2">
      <c r="A54" s="877"/>
      <c r="B54" s="845" t="s">
        <v>954</v>
      </c>
      <c r="C54" s="859" t="s">
        <v>160</v>
      </c>
      <c r="D54" s="859" t="s">
        <v>160</v>
      </c>
      <c r="E54" s="859" t="s">
        <v>160</v>
      </c>
      <c r="F54" s="859" t="s">
        <v>160</v>
      </c>
      <c r="G54" s="846" t="s">
        <v>160</v>
      </c>
      <c r="H54" s="859">
        <f>+H53/C53-1</f>
        <v>0.16066255111893679</v>
      </c>
      <c r="I54" s="859">
        <f>+I53/D53-1</f>
        <v>0.12322191947952743</v>
      </c>
      <c r="J54" s="859">
        <f>+J53/E53-1</f>
        <v>0.14064445664344416</v>
      </c>
      <c r="K54" s="859">
        <f>+K53/F53-1</f>
        <v>7.5224525485932281E-2</v>
      </c>
      <c r="L54" s="846">
        <f t="shared" ref="L54:AQ54" si="68">+L53/G53-1</f>
        <v>0.12185844003408408</v>
      </c>
      <c r="M54" s="859">
        <f t="shared" si="68"/>
        <v>0.12353756261454252</v>
      </c>
      <c r="N54" s="859">
        <f t="shared" si="68"/>
        <v>0.17965879079399349</v>
      </c>
      <c r="O54" s="859">
        <f t="shared" si="68"/>
        <v>5.7349815455247866E-2</v>
      </c>
      <c r="P54" s="859">
        <f t="shared" si="68"/>
        <v>0.14882372137318312</v>
      </c>
      <c r="Q54" s="846">
        <f t="shared" si="68"/>
        <v>0.12580384993065774</v>
      </c>
      <c r="R54" s="859">
        <f t="shared" si="68"/>
        <v>-6.5607795316217854E-2</v>
      </c>
      <c r="S54" s="859">
        <f t="shared" si="68"/>
        <v>-0.71974792522479758</v>
      </c>
      <c r="T54" s="859">
        <f t="shared" si="68"/>
        <v>-0.16184957981029691</v>
      </c>
      <c r="U54" s="859">
        <f t="shared" si="68"/>
        <v>-0.16038731279163543</v>
      </c>
      <c r="V54" s="846">
        <f t="shared" si="68"/>
        <v>-0.2803625177906276</v>
      </c>
      <c r="W54" s="859">
        <f t="shared" si="68"/>
        <v>-0.19929219762119577</v>
      </c>
      <c r="X54" s="859">
        <f t="shared" si="68"/>
        <v>1.0109975550148977</v>
      </c>
      <c r="Y54" s="859">
        <f t="shared" si="68"/>
        <v>-0.38661854593267009</v>
      </c>
      <c r="Z54" s="859">
        <f t="shared" si="68"/>
        <v>-0.22830565767320887</v>
      </c>
      <c r="AA54" s="846">
        <f t="shared" si="68"/>
        <v>-0.14694160637664289</v>
      </c>
      <c r="AB54" s="859">
        <f t="shared" si="68"/>
        <v>-0.22594509023347553</v>
      </c>
      <c r="AC54" s="859">
        <f t="shared" si="68"/>
        <v>3.0047945199273896E-2</v>
      </c>
      <c r="AD54" s="859">
        <f t="shared" si="68"/>
        <v>0.43468194382935521</v>
      </c>
      <c r="AE54" s="859">
        <f t="shared" si="68"/>
        <v>2.3786105263641666E-2</v>
      </c>
      <c r="AF54" s="846">
        <f t="shared" si="68"/>
        <v>4.8609429233887225E-2</v>
      </c>
      <c r="AG54" s="859">
        <f t="shared" si="68"/>
        <v>0.2046838812646028</v>
      </c>
      <c r="AH54" s="859">
        <f t="shared" si="68"/>
        <v>0.13124057864941086</v>
      </c>
      <c r="AI54" s="859">
        <f t="shared" si="68"/>
        <v>5.2172901356000612E-2</v>
      </c>
      <c r="AJ54" s="859">
        <f t="shared" si="68"/>
        <v>0.13641142390713656</v>
      </c>
      <c r="AK54" s="846">
        <f t="shared" si="68"/>
        <v>0.12358310502431369</v>
      </c>
      <c r="AL54" s="859">
        <f t="shared" si="68"/>
        <v>0.12332488618528625</v>
      </c>
      <c r="AM54" s="859">
        <f t="shared" si="68"/>
        <v>0.23670455659386902</v>
      </c>
      <c r="AN54" s="859">
        <f t="shared" si="68"/>
        <v>0.22299905086648852</v>
      </c>
      <c r="AO54" s="859">
        <f t="shared" si="68"/>
        <v>0.16818774345769749</v>
      </c>
      <c r="AP54" s="846">
        <f t="shared" si="68"/>
        <v>0.18959530137507064</v>
      </c>
      <c r="AQ54" s="859">
        <f t="shared" si="68"/>
        <v>-4.1286774631265843E-2</v>
      </c>
      <c r="AR54" s="859">
        <f>+AR53/AM53-1</f>
        <v>2.289880120700083E-3</v>
      </c>
      <c r="AS54" s="859">
        <f>+AS53/AN53-1</f>
        <v>-1.2775238844004222E-2</v>
      </c>
      <c r="AT54" s="859">
        <f>+AT53/AO53-1</f>
        <v>-1.8474309736910888E-2</v>
      </c>
      <c r="AU54" s="846">
        <f>+AU53/AP53-1</f>
        <v>-1.6391461211978209E-2</v>
      </c>
      <c r="AV54" s="859">
        <f>+AV53/AQ53-1</f>
        <v>0.23282993756512194</v>
      </c>
      <c r="AW54" s="873"/>
      <c r="AX54" s="873"/>
      <c r="AY54" s="873"/>
      <c r="AZ54" s="873"/>
      <c r="BA54" s="873"/>
      <c r="BB54" s="873"/>
      <c r="BC54" s="873"/>
      <c r="BD54" s="873"/>
      <c r="BE54" s="873"/>
      <c r="BH54" s="873"/>
      <c r="BI54" s="873"/>
      <c r="BJ54" s="873"/>
      <c r="BK54" s="873"/>
      <c r="BL54" s="873"/>
      <c r="BM54" s="873"/>
      <c r="BN54" s="873"/>
      <c r="BO54" s="873"/>
      <c r="BP54" s="873"/>
      <c r="BQ54" s="873"/>
      <c r="BR54" s="873"/>
      <c r="BS54" s="873"/>
      <c r="BT54" s="873"/>
      <c r="BU54" s="873"/>
      <c r="BV54" s="873"/>
      <c r="BW54" s="873"/>
      <c r="BX54" s="873"/>
      <c r="BY54" s="873"/>
      <c r="BZ54" s="873"/>
      <c r="CA54" s="873"/>
      <c r="CB54" s="873"/>
      <c r="CC54" s="873"/>
      <c r="CD54" s="873"/>
      <c r="CE54" s="873"/>
      <c r="CF54" s="873"/>
      <c r="CG54" s="873"/>
    </row>
    <row r="55" spans="1:85" s="283" customFormat="1" ht="13.5" customHeight="1" x14ac:dyDescent="0.2">
      <c r="A55" s="877"/>
      <c r="B55" s="842" t="s">
        <v>955</v>
      </c>
      <c r="C55" s="841">
        <f>HLOOKUP(C35,'Dados Operacionais Auto'!$B$5:$BG$15,7,0)/1000</f>
        <v>5628</v>
      </c>
      <c r="D55" s="841">
        <f>HLOOKUP(D35,'Dados Operacionais Auto'!$B$5:$BG$15,7,0)/1000</f>
        <v>9563.4590000000007</v>
      </c>
      <c r="E55" s="841">
        <f>HLOOKUP(E35,'Dados Operacionais Auto'!$B$5:$BG$15,7,0)/1000</f>
        <v>7795.67</v>
      </c>
      <c r="F55" s="841">
        <f>HLOOKUP(F35,'Dados Operacionais Auto'!$B$5:$BG$15,7,0)/1000</f>
        <v>8454.8169999999991</v>
      </c>
      <c r="G55" s="637">
        <f>+SUM(C55:F55)</f>
        <v>31441.946</v>
      </c>
      <c r="H55" s="841">
        <f>HLOOKUP(H35,'Dados Operacionais Auto'!$B$5:$BG$15,7,0)/1000</f>
        <v>8279.3950000000004</v>
      </c>
      <c r="I55" s="841">
        <f>HLOOKUP(I35,'Dados Operacionais Auto'!$B$5:$BG$15,7,0)/1000</f>
        <v>7387.6090000000004</v>
      </c>
      <c r="J55" s="841">
        <f>HLOOKUP(J35,'Dados Operacionais Auto'!$B$5:$BG$15,7,0)/1000</f>
        <v>5900.1260000000002</v>
      </c>
      <c r="K55" s="841">
        <f>HLOOKUP(K35,'Dados Operacionais Auto'!$B$5:$BG$15,7,0)/1000</f>
        <v>4212.5990000000002</v>
      </c>
      <c r="L55" s="637">
        <f>+SUM(H55:K55)</f>
        <v>25779.728999999999</v>
      </c>
      <c r="M55" s="841">
        <f>HLOOKUP(M35,'Dados Operacionais Auto'!$B$5:$BG$15,7,0)/1000</f>
        <v>5073.6610000000001</v>
      </c>
      <c r="N55" s="841">
        <f>HLOOKUP(N35,'Dados Operacionais Auto'!$B$5:$BG$15,7,0)/1000</f>
        <v>4779.2380000000003</v>
      </c>
      <c r="O55" s="841">
        <f>HLOOKUP(O35,'Dados Operacionais Auto'!$B$5:$BG$15,7,0)/1000</f>
        <v>5136.9229999999998</v>
      </c>
      <c r="P55" s="841">
        <f>HLOOKUP(P35,'Dados Operacionais Auto'!$B$5:$BG$15,7,0)/1000</f>
        <v>3929.0369999999998</v>
      </c>
      <c r="Q55" s="637">
        <f>+SUM(M55:P55)</f>
        <v>18918.859</v>
      </c>
      <c r="R55" s="841">
        <f>HLOOKUP(R35,'Dados Operacionais Auto'!$B$5:$BG$15,7,0)/1000</f>
        <v>4282.92</v>
      </c>
      <c r="S55" s="841">
        <f>HLOOKUP(S35,'Dados Operacionais Auto'!$B$5:$BG$15,7,0)/1000</f>
        <v>796.93499999999995</v>
      </c>
      <c r="T55" s="841">
        <f>HLOOKUP(T35,'Dados Operacionais Auto'!$B$5:$BG$15,7,0)/1000</f>
        <v>4677.1980000000003</v>
      </c>
      <c r="U55" s="841">
        <f>HLOOKUP(U35,'Dados Operacionais Auto'!$B$5:$BG$15,7,0)/1000</f>
        <v>5666.5029999999997</v>
      </c>
      <c r="V55" s="637">
        <f>+SUM(R55:U55)</f>
        <v>15423.556</v>
      </c>
      <c r="W55" s="841">
        <f>HLOOKUP(W35,'Dados Operacionais Auto'!$B$5:$BG$15,7,0)/1000</f>
        <v>6558.9920000000002</v>
      </c>
      <c r="X55" s="841">
        <f>HLOOKUP(X35,'Dados Operacionais Auto'!$B$5:$BG$15,7,0)/1000</f>
        <v>5033.1959999999999</v>
      </c>
      <c r="Y55" s="841">
        <f>HLOOKUP(Y35,'Dados Operacionais Auto'!$B$5:$BG$15,7,0)/1000</f>
        <v>4424.2809999999999</v>
      </c>
      <c r="Z55" s="841">
        <f>HLOOKUP(Z35,'Dados Operacionais Auto'!$B$5:$BG$15,7,0)/1000</f>
        <v>7563.2929999999997</v>
      </c>
      <c r="AA55" s="637">
        <f>+SUM(W55:Z55)</f>
        <v>23579.762000000002</v>
      </c>
      <c r="AB55" s="841">
        <f>HLOOKUP(AB35,'Dados Operacionais Auto'!$B$5:$BG$15,7,0)/1000</f>
        <v>7828.6760000000004</v>
      </c>
      <c r="AC55" s="841">
        <f>HLOOKUP(AC35,'Dados Operacionais Auto'!$B$5:$BG$15,7,0)/1000</f>
        <v>7798.82</v>
      </c>
      <c r="AD55" s="841">
        <f>HLOOKUP(AD35,'Dados Operacionais Auto'!$B$5:$BG$15,7,0)/1000</f>
        <v>8130.47</v>
      </c>
      <c r="AE55" s="841">
        <f>HLOOKUP(AE35,'Dados Operacionais Auto'!$B$5:$BG$15,7,0)/1000</f>
        <v>9047.3979999999992</v>
      </c>
      <c r="AF55" s="637">
        <f>+SUM(AB55:AE55)</f>
        <v>32805.364000000001</v>
      </c>
      <c r="AG55" s="841">
        <f>HLOOKUP(AG35,'Dados Operacionais Auto'!$B$5:$BG$15,7,0)/1000</f>
        <v>8611.2610000000004</v>
      </c>
      <c r="AH55" s="841">
        <f>HLOOKUP(AH35,'Dados Operacionais Auto'!$B$5:$BH$15,7,0)/1000</f>
        <v>8952.1049999999996</v>
      </c>
      <c r="AI55" s="841">
        <f>HLOOKUP(AI35,'Dados Operacionais Auto'!$B$5:$BM$15,7,0)/1000</f>
        <v>5879.8770000000004</v>
      </c>
      <c r="AJ55" s="841">
        <f>HLOOKUP(AJ35,'Dados Operacionais Auto'!$B$5:$BM$15,7,0)/1000</f>
        <v>6545.3360000000002</v>
      </c>
      <c r="AK55" s="637">
        <f>+SUM(AG55:AJ55)</f>
        <v>29988.579000000002</v>
      </c>
      <c r="AL55" s="841">
        <f>HLOOKUP(AL35,'Dados Operacionais Auto'!$B$5:$BM$15,7,0)/1000</f>
        <v>4856.8519999999999</v>
      </c>
      <c r="AM55" s="841">
        <f>HLOOKUP(AM35,'Dados Operacionais Auto'!$B$5:$BM$15,7,0)/1000</f>
        <v>6958.6679999999997</v>
      </c>
      <c r="AN55" s="841">
        <f>HLOOKUP(AN35,'Dados Operacionais Auto'!$B$5:$BM$15,7,0)/1000</f>
        <v>6642.8379999999997</v>
      </c>
      <c r="AO55" s="841">
        <f>HLOOKUP(AO35,'Dados Operacionais Auto'!$B$5:$CA$15,7,0)/1000</f>
        <v>7170.7470000000003</v>
      </c>
      <c r="AP55" s="637">
        <f>+SUM(AL55:AO55)</f>
        <v>25629.105</v>
      </c>
      <c r="AQ55" s="841">
        <f>HLOOKUP(AQ35,'Dados Operacionais Auto'!$B$5:$CA$15,7,0)/1000</f>
        <v>10438.969999999999</v>
      </c>
      <c r="AR55" s="841">
        <f>HLOOKUP(AR35,'Dados Operacionais Auto'!$B$5:$CA$15,7,0)/1000</f>
        <v>9238.2469999999994</v>
      </c>
      <c r="AS55" s="841">
        <f>HLOOKUP(AS35,'Dados Operacionais Auto'!$B$5:$CA$15,7,0)/1000</f>
        <v>13341.314</v>
      </c>
      <c r="AT55" s="841">
        <f>HLOOKUP(AT35,'Dados Operacionais Auto'!$B$5:$CA$15,7,0)/1000</f>
        <v>9047.8029999999999</v>
      </c>
      <c r="AU55" s="637">
        <f>+SUM(AQ55:AT55)</f>
        <v>42066.333999999995</v>
      </c>
      <c r="AV55" s="841">
        <f>HLOOKUP(AV35,'Dados Operacionais Auto'!$B$5:$CA$15,7,0)/1000</f>
        <v>6007.48</v>
      </c>
      <c r="AW55" s="873"/>
      <c r="AX55" s="873"/>
      <c r="AY55" s="873"/>
      <c r="AZ55" s="873"/>
      <c r="BA55" s="873"/>
      <c r="BB55" s="873"/>
      <c r="BC55" s="873"/>
      <c r="BD55" s="873"/>
      <c r="BE55" s="873"/>
      <c r="BH55" s="873"/>
      <c r="BI55" s="873"/>
      <c r="BJ55" s="873"/>
      <c r="BK55" s="873"/>
      <c r="BL55" s="873"/>
      <c r="BM55" s="873"/>
      <c r="BN55" s="873"/>
      <c r="BO55" s="873"/>
      <c r="BP55" s="873"/>
      <c r="BQ55" s="873"/>
      <c r="BR55" s="873"/>
      <c r="BS55" s="873"/>
      <c r="BT55" s="873"/>
      <c r="BU55" s="873"/>
      <c r="BV55" s="873"/>
      <c r="BW55" s="873"/>
      <c r="BX55" s="873"/>
      <c r="BY55" s="873"/>
      <c r="BZ55" s="873"/>
      <c r="CA55" s="873"/>
      <c r="CB55" s="873"/>
      <c r="CC55" s="873"/>
      <c r="CD55" s="873"/>
      <c r="CE55" s="873"/>
      <c r="CF55" s="873"/>
      <c r="CG55" s="873"/>
    </row>
    <row r="56" spans="1:85" s="283" customFormat="1" ht="13.5" customHeight="1" x14ac:dyDescent="0.2">
      <c r="A56" s="877"/>
      <c r="B56" s="888" t="s">
        <v>954</v>
      </c>
      <c r="C56" s="886" t="s">
        <v>160</v>
      </c>
      <c r="D56" s="886" t="s">
        <v>160</v>
      </c>
      <c r="E56" s="886" t="s">
        <v>160</v>
      </c>
      <c r="F56" s="886" t="s">
        <v>160</v>
      </c>
      <c r="G56" s="885" t="s">
        <v>160</v>
      </c>
      <c r="H56" s="886">
        <f>+H55/C55-1</f>
        <v>0.47110785358919705</v>
      </c>
      <c r="I56" s="886">
        <f>+I55/D55-1</f>
        <v>-0.22751705214609064</v>
      </c>
      <c r="J56" s="886">
        <f>+J55/E55-1</f>
        <v>-0.24315344287277418</v>
      </c>
      <c r="K56" s="886">
        <f>+K55/F55-1</f>
        <v>-0.5017516050317824</v>
      </c>
      <c r="L56" s="885">
        <f t="shared" ref="L56:AQ56" si="69">+L55/G55-1</f>
        <v>-0.18008481408879717</v>
      </c>
      <c r="M56" s="886">
        <f t="shared" si="69"/>
        <v>-0.38719423339507297</v>
      </c>
      <c r="N56" s="886">
        <f t="shared" si="69"/>
        <v>-0.35307377529048978</v>
      </c>
      <c r="O56" s="886">
        <f t="shared" si="69"/>
        <v>-0.1293536782095841</v>
      </c>
      <c r="P56" s="886">
        <f t="shared" si="69"/>
        <v>-6.7312839413388392E-2</v>
      </c>
      <c r="Q56" s="885">
        <f t="shared" si="69"/>
        <v>-0.2661342948950316</v>
      </c>
      <c r="R56" s="886">
        <f t="shared" si="69"/>
        <v>-0.15585215488382054</v>
      </c>
      <c r="S56" s="886">
        <f t="shared" si="69"/>
        <v>-0.83325061442849258</v>
      </c>
      <c r="T56" s="886">
        <f t="shared" si="69"/>
        <v>-8.9494236140973737E-2</v>
      </c>
      <c r="U56" s="886">
        <f t="shared" si="69"/>
        <v>0.4422116666246716</v>
      </c>
      <c r="V56" s="885">
        <f t="shared" si="69"/>
        <v>-0.18475231513697521</v>
      </c>
      <c r="W56" s="886">
        <f t="shared" si="69"/>
        <v>0.53142995899993473</v>
      </c>
      <c r="X56" s="886">
        <f t="shared" si="69"/>
        <v>5.3156919949556745</v>
      </c>
      <c r="Y56" s="886">
        <f t="shared" si="69"/>
        <v>-5.4074469372474843E-2</v>
      </c>
      <c r="Z56" s="886">
        <f t="shared" si="69"/>
        <v>0.33473731506009963</v>
      </c>
      <c r="AA56" s="885">
        <f t="shared" si="69"/>
        <v>0.52881488549073907</v>
      </c>
      <c r="AB56" s="886">
        <f t="shared" si="69"/>
        <v>0.19357913533055071</v>
      </c>
      <c r="AC56" s="886">
        <f t="shared" si="69"/>
        <v>0.54947671419908928</v>
      </c>
      <c r="AD56" s="886">
        <f t="shared" si="69"/>
        <v>0.83769294943065331</v>
      </c>
      <c r="AE56" s="886">
        <f t="shared" si="69"/>
        <v>0.19622471323007051</v>
      </c>
      <c r="AF56" s="885">
        <f t="shared" si="69"/>
        <v>0.39125085316806829</v>
      </c>
      <c r="AG56" s="886">
        <f t="shared" si="69"/>
        <v>9.9963901942039746E-2</v>
      </c>
      <c r="AH56" s="886">
        <f t="shared" si="69"/>
        <v>0.14787942278447241</v>
      </c>
      <c r="AI56" s="886">
        <f t="shared" si="69"/>
        <v>-0.27680970472801691</v>
      </c>
      <c r="AJ56" s="886">
        <f t="shared" si="69"/>
        <v>-0.27655045130102596</v>
      </c>
      <c r="AK56" s="885">
        <f t="shared" si="69"/>
        <v>-8.5863549631700509E-2</v>
      </c>
      <c r="AL56" s="886">
        <f t="shared" si="69"/>
        <v>-0.43598829486180946</v>
      </c>
      <c r="AM56" s="886">
        <f t="shared" si="69"/>
        <v>-0.22267801818678401</v>
      </c>
      <c r="AN56" s="886">
        <f t="shared" si="69"/>
        <v>0.12975798643406988</v>
      </c>
      <c r="AO56" s="886">
        <f t="shared" si="69"/>
        <v>9.5550633305914401E-2</v>
      </c>
      <c r="AP56" s="885">
        <f t="shared" si="69"/>
        <v>-0.14537114279406171</v>
      </c>
      <c r="AQ56" s="886">
        <f t="shared" si="69"/>
        <v>1.1493284127249503</v>
      </c>
      <c r="AR56" s="886">
        <f>+AR55/AM55-1</f>
        <v>0.32758841203517686</v>
      </c>
      <c r="AS56" s="886">
        <f>+AS55/AN55-1</f>
        <v>1.0083756370394701</v>
      </c>
      <c r="AT56" s="886">
        <f>+AT55/AO55-1</f>
        <v>0.26176575466963192</v>
      </c>
      <c r="AU56" s="885">
        <f>+AU55/AP55-1</f>
        <v>0.64135009786724884</v>
      </c>
      <c r="AV56" s="886">
        <f>+AV55/AQ55-1</f>
        <v>-0.42451410436087089</v>
      </c>
      <c r="AW56" s="873"/>
      <c r="AX56" s="873"/>
      <c r="AY56" s="873"/>
      <c r="AZ56" s="873"/>
      <c r="BA56" s="873"/>
      <c r="BB56" s="873"/>
      <c r="BC56" s="873"/>
      <c r="BD56" s="873"/>
      <c r="BE56" s="873"/>
      <c r="BH56" s="873"/>
      <c r="BI56" s="873"/>
      <c r="BJ56" s="873"/>
      <c r="BK56" s="873"/>
      <c r="BL56" s="873"/>
      <c r="BM56" s="873"/>
      <c r="BN56" s="873"/>
      <c r="BO56" s="873"/>
      <c r="BP56" s="873"/>
      <c r="BQ56" s="873"/>
      <c r="BR56" s="873"/>
      <c r="BS56" s="873"/>
      <c r="BT56" s="873"/>
      <c r="BU56" s="873"/>
      <c r="BV56" s="873"/>
      <c r="BW56" s="873"/>
      <c r="BX56" s="873"/>
      <c r="BY56" s="873"/>
      <c r="BZ56" s="873"/>
      <c r="CA56" s="873"/>
      <c r="CB56" s="873"/>
      <c r="CC56" s="873"/>
      <c r="CD56" s="873"/>
      <c r="CE56" s="873"/>
      <c r="CF56" s="873"/>
      <c r="CG56" s="873"/>
    </row>
    <row r="57" spans="1:85" s="869" customFormat="1" ht="13.5" customHeight="1" x14ac:dyDescent="0.2">
      <c r="A57" s="24"/>
      <c r="B57" s="872" t="s">
        <v>1001</v>
      </c>
      <c r="C57" s="849">
        <f>HLOOKUP(C35,'Dados Operacionais Auto'!$B$5:$BG$15,8,0)</f>
        <v>891.01117444173417</v>
      </c>
      <c r="D57" s="849">
        <f>HLOOKUP(D35,'Dados Operacionais Auto'!$B$5:$BG$15,8,0)</f>
        <v>939.75627124782716</v>
      </c>
      <c r="E57" s="849">
        <f>HLOOKUP(E35,'Dados Operacionais Auto'!$B$5:$BG$15,8,0)</f>
        <v>978.07225381744843</v>
      </c>
      <c r="F57" s="849">
        <f>HLOOKUP(F35,'Dados Operacionais Auto'!$B$5:$BG$15,8,0)</f>
        <v>966.0578722317349</v>
      </c>
      <c r="G57" s="638">
        <f>+SUMPRODUCT(C57:F57,C42:F42)/SUM(C42:F42)</f>
        <v>946.42739580799548</v>
      </c>
      <c r="H57" s="849">
        <f>HLOOKUP(H35,'Dados Operacionais Auto'!$B$5:$BG$15,8,0)</f>
        <v>969.2197098374254</v>
      </c>
      <c r="I57" s="849">
        <f>HLOOKUP(I35,'Dados Operacionais Auto'!$B$5:$BG$15,8,0)</f>
        <v>979.99032931892611</v>
      </c>
      <c r="J57" s="849">
        <f>HLOOKUP(J35,'Dados Operacionais Auto'!$B$5:$BG$15,8,0)</f>
        <v>1039.9643524118244</v>
      </c>
      <c r="K57" s="849">
        <f>HLOOKUP(K35,'Dados Operacionais Auto'!$B$5:$BG$15,8,0)</f>
        <v>1054.4949834746865</v>
      </c>
      <c r="L57" s="638">
        <f>+L51*1000/L42</f>
        <v>1012.8263811838298</v>
      </c>
      <c r="M57" s="849">
        <f>HLOOKUP(M35,'Dados Operacionais Auto'!$B$5:$BG$15,8,0)</f>
        <v>1052.5370695664296</v>
      </c>
      <c r="N57" s="849">
        <f>HLOOKUP(N35,'Dados Operacionais Auto'!$B$5:$BG$15,8,0)</f>
        <v>1057.7721576143608</v>
      </c>
      <c r="O57" s="849">
        <f>HLOOKUP(O35,'Dados Operacionais Auto'!$B$5:$BG$15,8,0)</f>
        <v>1106.0114035902727</v>
      </c>
      <c r="P57" s="849">
        <f>HLOOKUP(P35,'Dados Operacionais Auto'!$B$5:$BG$15,8,0)</f>
        <v>1071.9824396116298</v>
      </c>
      <c r="Q57" s="638">
        <f>+Q51*1000/Q42</f>
        <v>1072.6076903126509</v>
      </c>
      <c r="R57" s="849">
        <f>HLOOKUP(R35,'Dados Operacionais Auto'!$B$5:$BG$15,8,0)</f>
        <v>1122.6027671767904</v>
      </c>
      <c r="S57" s="849">
        <f>HLOOKUP(S35,'Dados Operacionais Auto'!$B$5:$BG$15,8,0)</f>
        <v>1079.953356166802</v>
      </c>
      <c r="T57" s="849">
        <f>HLOOKUP(T35,'Dados Operacionais Auto'!$B$5:$BG$15,8,0)</f>
        <v>1174.2016357364523</v>
      </c>
      <c r="U57" s="849">
        <f>HLOOKUP(U35,'Dados Operacionais Auto'!$B$5:$BG$15,8,0)</f>
        <v>1123.5923234280792</v>
      </c>
      <c r="V57" s="638">
        <f>+V51*1000/V42</f>
        <v>1133.5053632113654</v>
      </c>
      <c r="W57" s="849">
        <f>HLOOKUP(W35,'Dados Operacionais Auto'!$B$5:$BG$15,8,0)</f>
        <v>1048.5632874517514</v>
      </c>
      <c r="X57" s="849">
        <f>HLOOKUP(X35,'Dados Operacionais Auto'!$B$5:$BG$15,8,0)</f>
        <v>989.44954731479811</v>
      </c>
      <c r="Y57" s="849">
        <f>HLOOKUP(Y35,'Dados Operacionais Auto'!$B$5:$BG$15,8,0)</f>
        <v>1036.7300994915656</v>
      </c>
      <c r="Z57" s="849">
        <f>HLOOKUP(Z35,'Dados Operacionais Auto'!$B$5:$BG$15,8,0)</f>
        <v>1106.8332715645911</v>
      </c>
      <c r="AA57" s="638">
        <f>+AA51*1000/AA42</f>
        <v>1048.0808441650786</v>
      </c>
      <c r="AB57" s="849">
        <f>HLOOKUP(AB35,'Dados Operacionais Auto'!$B$5:$BG$15,8,0)</f>
        <v>978.63356528296708</v>
      </c>
      <c r="AC57" s="849">
        <f>HLOOKUP(AC35,'Dados Operacionais Auto'!$B$5:$BG$15,8,0)</f>
        <v>964.9034214291421</v>
      </c>
      <c r="AD57" s="849">
        <f>HLOOKUP(AD35,'Dados Operacionais Auto'!$B$5:$BG$15,8,0)</f>
        <v>1030.6995291028868</v>
      </c>
      <c r="AE57" s="849">
        <f>HLOOKUP(AE35,'Dados Operacionais Auto'!$B$5:$BG$15,8,0)</f>
        <v>1027.7054275318376</v>
      </c>
      <c r="AF57" s="638">
        <f>+AF51*1000/AF42</f>
        <v>1003.9993200637568</v>
      </c>
      <c r="AG57" s="849">
        <f>HLOOKUP(AG35,'Dados Operacionais Auto'!$B$5:$BG$15,8,0)</f>
        <v>992.32662124213596</v>
      </c>
      <c r="AH57" s="849">
        <f>HLOOKUP(AH35,'Dados Operacionais Auto'!$B$5:$BH$15,8,0)</f>
        <v>957.99712775442617</v>
      </c>
      <c r="AI57" s="849">
        <f>HLOOKUP(AI35,'Dados Operacionais Auto'!$B$5:$BM$15,8,0)</f>
        <v>1045.365867310865</v>
      </c>
      <c r="AJ57" s="849">
        <f>HLOOKUP(AJ35,'Dados Operacionais Auto'!$B$5:$BM$15,8,0)</f>
        <v>1077.27063272943</v>
      </c>
      <c r="AK57" s="638">
        <f>+AK51*1000/AK42</f>
        <v>1021.2432176039885</v>
      </c>
      <c r="AL57" s="849">
        <f>HLOOKUP(AL35,'Dados Operacionais Auto'!$B$5:$BM$15,8,0)</f>
        <v>1060.6609428905426</v>
      </c>
      <c r="AM57" s="849">
        <f>HLOOKUP(AM35,'Dados Operacionais Auto'!$B$5:$BM$15,8,0)</f>
        <v>1088.8236751696813</v>
      </c>
      <c r="AN57" s="849">
        <f>HLOOKUP(AN35,'Dados Operacionais Auto'!$B$5:$BM$15,8,0)</f>
        <v>1067.0053242886158</v>
      </c>
      <c r="AO57" s="849">
        <f>HLOOKUP(AO35,'Dados Operacionais Auto'!$B$5:$CA$15,8,0)</f>
        <v>1088.6697641525764</v>
      </c>
      <c r="AP57" s="638">
        <f>+AP51*1000/AP42</f>
        <v>1077.0218761097724</v>
      </c>
      <c r="AQ57" s="849">
        <f>HLOOKUP(AQ35,'Dados Operacionais Auto'!$B$5:$CA$15,8,0)</f>
        <v>1025.5013609671848</v>
      </c>
      <c r="AR57" s="849">
        <f>HLOOKUP(AR35,'Dados Operacionais Auto'!$B$5:$CA$15,8,0)</f>
        <v>1082.417325835713</v>
      </c>
      <c r="AS57" s="849">
        <f>HLOOKUP(AS35,'Dados Operacionais Auto'!$B$5:$CA$15,8,0)</f>
        <v>1116.1208143055317</v>
      </c>
      <c r="AT57" s="849">
        <f>HLOOKUP(AT35,'Dados Operacionais Auto'!$B$5:$CA$15,8,0)</f>
        <v>1154.0907960330649</v>
      </c>
      <c r="AU57" s="638">
        <f>+AU51*1000/AU42</f>
        <v>1099.4627550504224</v>
      </c>
      <c r="AV57" s="849">
        <f>HLOOKUP(AV35,'Dados Operacionais Auto'!$B$5:$CA$15,8,0)</f>
        <v>1138.4789614519507</v>
      </c>
      <c r="AW57" s="1211"/>
      <c r="AX57" s="870"/>
      <c r="AY57" s="870"/>
      <c r="AZ57" s="870"/>
      <c r="BA57" s="870"/>
      <c r="BB57" s="870"/>
      <c r="BC57" s="870"/>
      <c r="BD57" s="870"/>
      <c r="BE57" s="870"/>
      <c r="BH57" s="870"/>
      <c r="BI57" s="870"/>
      <c r="BJ57" s="870"/>
      <c r="BK57" s="870"/>
      <c r="BL57" s="870"/>
      <c r="BM57" s="870"/>
      <c r="BN57" s="870"/>
      <c r="BO57" s="870"/>
      <c r="BP57" s="870"/>
      <c r="BQ57" s="870"/>
      <c r="BR57" s="870"/>
      <c r="BS57" s="870"/>
      <c r="BT57" s="870"/>
      <c r="BU57" s="870"/>
      <c r="BV57" s="870"/>
      <c r="BW57" s="870"/>
      <c r="BX57" s="870"/>
      <c r="BY57" s="870"/>
      <c r="BZ57" s="870"/>
      <c r="CA57" s="870"/>
      <c r="CB57" s="870"/>
      <c r="CC57" s="870"/>
      <c r="CD57" s="870"/>
      <c r="CE57" s="870"/>
      <c r="CF57" s="870"/>
      <c r="CG57" s="870"/>
    </row>
    <row r="58" spans="1:85" s="835" customFormat="1" ht="13.5" customHeight="1" x14ac:dyDescent="0.2">
      <c r="A58" s="840"/>
      <c r="B58" s="845" t="s">
        <v>954</v>
      </c>
      <c r="C58" s="859" t="s">
        <v>160</v>
      </c>
      <c r="D58" s="859" t="s">
        <v>160</v>
      </c>
      <c r="E58" s="859" t="s">
        <v>160</v>
      </c>
      <c r="F58" s="859" t="s">
        <v>160</v>
      </c>
      <c r="G58" s="883" t="s">
        <v>160</v>
      </c>
      <c r="H58" s="859">
        <f>H57/C57-1</f>
        <v>8.7775033174744443E-2</v>
      </c>
      <c r="I58" s="859">
        <f>I57/D57-1</f>
        <v>4.2813290320133035E-2</v>
      </c>
      <c r="J58" s="859">
        <f>J57/E57-1</f>
        <v>6.327967934148937E-2</v>
      </c>
      <c r="K58" s="859">
        <f>K57/F57-1</f>
        <v>9.1544320257593848E-2</v>
      </c>
      <c r="L58" s="846">
        <f>+L57/G57-1</f>
        <v>7.0157505657522989E-2</v>
      </c>
      <c r="M58" s="859">
        <f>M57/H57-1</f>
        <v>8.5963336159331494E-2</v>
      </c>
      <c r="N58" s="859">
        <f>N57/I57-1</f>
        <v>7.9369995772806901E-2</v>
      </c>
      <c r="O58" s="859">
        <f>O57/J57-1</f>
        <v>6.3508956845757192E-2</v>
      </c>
      <c r="P58" s="859">
        <f>P57/K57-1</f>
        <v>1.6583726249052466E-2</v>
      </c>
      <c r="Q58" s="846">
        <f>+Q57/L57-1</f>
        <v>5.9024241705618374E-2</v>
      </c>
      <c r="R58" s="859">
        <f>R57/M57-1</f>
        <v>6.656838950026045E-2</v>
      </c>
      <c r="S58" s="859">
        <f>S57/N57-1</f>
        <v>2.096973189620277E-2</v>
      </c>
      <c r="T58" s="859">
        <f>T57/O57-1</f>
        <v>6.1654185413300588E-2</v>
      </c>
      <c r="U58" s="859">
        <f>U57/P57-1</f>
        <v>4.814433698666476E-2</v>
      </c>
      <c r="V58" s="846">
        <f>+V57/Q57-1</f>
        <v>5.6775346148193018E-2</v>
      </c>
      <c r="W58" s="859">
        <f>W57/R57-1</f>
        <v>-6.5953409246655714E-2</v>
      </c>
      <c r="X58" s="859">
        <f>X57/S57-1</f>
        <v>-8.3803442375732895E-2</v>
      </c>
      <c r="Y58" s="859">
        <f>Y57/T57-1</f>
        <v>-0.1170766008673334</v>
      </c>
      <c r="Z58" s="859">
        <f>Z57/U57-1</f>
        <v>-1.4915598401701646E-2</v>
      </c>
      <c r="AA58" s="846">
        <f>+AA57/V57-1</f>
        <v>-7.53631361780841E-2</v>
      </c>
      <c r="AB58" s="859">
        <f>AB57/W57-1</f>
        <v>-6.6690988522714267E-2</v>
      </c>
      <c r="AC58" s="859">
        <f>AC57/X57-1</f>
        <v>-2.4807860039220975E-2</v>
      </c>
      <c r="AD58" s="859">
        <f>AD57/Y57-1</f>
        <v>-5.8169145389299626E-3</v>
      </c>
      <c r="AE58" s="859">
        <f>AE57/Z57-1</f>
        <v>-7.1490301263622436E-2</v>
      </c>
      <c r="AF58" s="846">
        <f>+AF57/AA57-1</f>
        <v>-4.2059278486706764E-2</v>
      </c>
      <c r="AG58" s="859">
        <f>AG57/AB57-1</f>
        <v>1.399201544370654E-2</v>
      </c>
      <c r="AH58" s="859">
        <f>AH57/AC57-1</f>
        <v>-7.1574973425700961E-3</v>
      </c>
      <c r="AI58" s="859">
        <f>AI57/AD57-1</f>
        <v>1.422949928069106E-2</v>
      </c>
      <c r="AJ58" s="859">
        <f>AJ57/AE57-1</f>
        <v>4.8229000129569544E-2</v>
      </c>
      <c r="AK58" s="846">
        <f>+AK57/AF57-1</f>
        <v>1.7175208384739404E-2</v>
      </c>
      <c r="AL58" s="859">
        <f>AL57/AG57-1</f>
        <v>6.8862731469271576E-2</v>
      </c>
      <c r="AM58" s="859">
        <f>AM57/AH57-1</f>
        <v>0.13656256749111195</v>
      </c>
      <c r="AN58" s="859">
        <f>AN57/AI57-1</f>
        <v>2.0700366880560983E-2</v>
      </c>
      <c r="AO58" s="859">
        <f>AO57/AJ57-1</f>
        <v>1.0581492780755486E-2</v>
      </c>
      <c r="AP58" s="846">
        <f>+AP57/AK57-1</f>
        <v>5.4618388200070811E-2</v>
      </c>
      <c r="AQ58" s="859">
        <f>AQ57/AL57-1</f>
        <v>-3.3148747636110643E-2</v>
      </c>
      <c r="AR58" s="859">
        <f>AR57/AM57-1</f>
        <v>-5.8837344191381424E-3</v>
      </c>
      <c r="AS58" s="859">
        <f>AS57/AN57-1</f>
        <v>4.6031157388705335E-2</v>
      </c>
      <c r="AT58" s="859">
        <f>AT57/AO57-1</f>
        <v>6.0092632343300645E-2</v>
      </c>
      <c r="AU58" s="846">
        <f>+AU57/AP57-1</f>
        <v>2.0836047473526742E-2</v>
      </c>
      <c r="AV58" s="859">
        <f>AV57/AQ57-1</f>
        <v>0.11016816240810523</v>
      </c>
      <c r="AW58" s="1212"/>
      <c r="AX58" s="836"/>
      <c r="AY58" s="836"/>
      <c r="AZ58" s="836"/>
      <c r="BA58" s="836"/>
      <c r="BB58" s="836"/>
      <c r="BC58" s="836"/>
      <c r="BD58" s="836"/>
      <c r="BE58" s="836"/>
      <c r="BH58" s="836"/>
      <c r="BI58" s="836"/>
      <c r="BJ58" s="836"/>
      <c r="BK58" s="836"/>
      <c r="BL58" s="836"/>
      <c r="BM58" s="836"/>
      <c r="BN58" s="836"/>
      <c r="BO58" s="836"/>
      <c r="BP58" s="836"/>
      <c r="BQ58" s="836"/>
      <c r="BR58" s="836"/>
      <c r="BS58" s="836"/>
      <c r="BT58" s="836"/>
      <c r="BU58" s="836"/>
      <c r="BV58" s="836"/>
      <c r="BW58" s="836"/>
      <c r="BX58" s="836"/>
      <c r="BY58" s="836"/>
      <c r="BZ58" s="836"/>
      <c r="CA58" s="836"/>
      <c r="CB58" s="836"/>
      <c r="CC58" s="836"/>
      <c r="CD58" s="836"/>
      <c r="CE58" s="836"/>
      <c r="CF58" s="836"/>
      <c r="CG58" s="836"/>
    </row>
    <row r="59" spans="1:85" ht="13.5" customHeight="1" x14ac:dyDescent="0.2">
      <c r="A59" s="24"/>
      <c r="B59" s="842" t="s">
        <v>1000</v>
      </c>
      <c r="C59" s="841">
        <f>HLOOKUP(C35,'Dados Operacionais Auto'!$B$5:$BG$15,9,0)</f>
        <v>1128.3998686118521</v>
      </c>
      <c r="D59" s="841">
        <f>HLOOKUP(D35,'Dados Operacionais Auto'!$B$5:$BG$15,9,0)</f>
        <v>1163.0416192342245</v>
      </c>
      <c r="E59" s="841">
        <f>HLOOKUP(E35,'Dados Operacionais Auto'!$B$5:$BG$15,9,0)</f>
        <v>1143.644957380159</v>
      </c>
      <c r="F59" s="841">
        <f>HLOOKUP(F35,'Dados Operacionais Auto'!$B$5:$BG$15,9,0)</f>
        <v>1159.3868702181585</v>
      </c>
      <c r="G59" s="874">
        <f>+G53*1000/G45</f>
        <v>1149.4840880796835</v>
      </c>
      <c r="H59" s="841">
        <f>HLOOKUP(H35,'Dados Operacionais Auto'!$B$5:$BG$15,9,0)</f>
        <v>1208.3718243438025</v>
      </c>
      <c r="I59" s="841">
        <f>HLOOKUP(I35,'Dados Operacionais Auto'!$B$5:$BG$15,9,0)</f>
        <v>1175.2905181457193</v>
      </c>
      <c r="J59" s="841">
        <f>HLOOKUP(J35,'Dados Operacionais Auto'!$B$5:$BG$15,9,0)</f>
        <v>1175.7532634799579</v>
      </c>
      <c r="K59" s="841">
        <f>HLOOKUP(K35,'Dados Operacionais Auto'!$B$5:$BG$15,9,0)</f>
        <v>1136.0369287059573</v>
      </c>
      <c r="L59" s="637">
        <f>+L53*1000/L45</f>
        <v>1171.1360719027427</v>
      </c>
      <c r="M59" s="841">
        <f>HLOOKUP(M35,'Dados Operacionais Auto'!$B$5:$BG$15,9,0)</f>
        <v>1182.7560273549184</v>
      </c>
      <c r="N59" s="841">
        <f>HLOOKUP(N35,'Dados Operacionais Auto'!$B$5:$BG$15,9,0)</f>
        <v>1186.5840750859259</v>
      </c>
      <c r="O59" s="841">
        <f>HLOOKUP(O35,'Dados Operacionais Auto'!$B$5:$BG$15,9,0)</f>
        <v>1229.675506525585</v>
      </c>
      <c r="P59" s="841">
        <f>HLOOKUP(P35,'Dados Operacionais Auto'!$B$5:$BG$15,9,0)</f>
        <v>1160.5668894956832</v>
      </c>
      <c r="Q59" s="637">
        <f>+Q53*1000/Q45</f>
        <v>1188.970219827057</v>
      </c>
      <c r="R59" s="841">
        <f>HLOOKUP(R35,'Dados Operacionais Auto'!$B$5:$BG$15,9,0)</f>
        <v>1266.9584969732762</v>
      </c>
      <c r="S59" s="841">
        <f>HLOOKUP(S35,'Dados Operacionais Auto'!$B$5:$BG$15,9,0)</f>
        <v>1165.4720474112969</v>
      </c>
      <c r="T59" s="841">
        <f>HLOOKUP(T35,'Dados Operacionais Auto'!$B$5:$BG$15,9,0)</f>
        <v>1317.5734798378494</v>
      </c>
      <c r="U59" s="841">
        <f>HLOOKUP(U35,'Dados Operacionais Auto'!$B$5:$BG$15,9,0)</f>
        <v>1303.1608445913423</v>
      </c>
      <c r="V59" s="637">
        <f>+V53*1000/V45</f>
        <v>1282.4657164654002</v>
      </c>
      <c r="W59" s="841">
        <f>HLOOKUP(W35,'Dados Operacionais Auto'!$B$5:$BG$15,9,0)</f>
        <v>1198.4723186408748</v>
      </c>
      <c r="X59" s="841">
        <f>HLOOKUP(X35,'Dados Operacionais Auto'!$B$5:$BG$15,9,0)</f>
        <v>1160.2118571182846</v>
      </c>
      <c r="Y59" s="841">
        <f>HLOOKUP(Y35,'Dados Operacionais Auto'!$B$5:$BG$15,9,0)</f>
        <v>1178.506673580503</v>
      </c>
      <c r="Z59" s="841">
        <f>HLOOKUP(Z35,'Dados Operacionais Auto'!$B$5:$BG$15,9,0)</f>
        <v>1238.6590436590436</v>
      </c>
      <c r="AA59" s="637">
        <f>+AA53*1000/AA45</f>
        <v>1196.5610081494947</v>
      </c>
      <c r="AB59" s="841">
        <f>HLOOKUP(AB35,'Dados Operacionais Auto'!$B$5:$BG$15,9,0)</f>
        <v>1164.9329974811083</v>
      </c>
      <c r="AC59" s="841">
        <f>HLOOKUP(AC35,'Dados Operacionais Auto'!$B$5:$BG$15,9,0)</f>
        <v>1160.2591895051305</v>
      </c>
      <c r="AD59" s="841">
        <f>HLOOKUP(AD35,'Dados Operacionais Auto'!$B$5:$BG$15,9,0)</f>
        <v>1199.7739150912155</v>
      </c>
      <c r="AE59" s="841">
        <f>HLOOKUP(AE35,'Dados Operacionais Auto'!$B$5:$BG$15,9,0)</f>
        <v>1148.0800615472697</v>
      </c>
      <c r="AF59" s="637">
        <f>+AF53*1000/AF45</f>
        <v>1168.8844291182254</v>
      </c>
      <c r="AG59" s="841">
        <f>HLOOKUP(AG35,'Dados Operacionais Auto'!$B$5:$BG$15,9,0)</f>
        <v>1121.281242890394</v>
      </c>
      <c r="AH59" s="841">
        <f>HLOOKUP(AH35,'Dados Operacionais Auto'!$B$5:$BH$15,9,0)</f>
        <v>1084.1394097767695</v>
      </c>
      <c r="AI59" s="841">
        <f>HLOOKUP(AI35,'Dados Operacionais Auto'!$B$5:$BM$15,9,0)</f>
        <v>1133.0150923705919</v>
      </c>
      <c r="AJ59" s="841">
        <f>HLOOKUP(AJ35,'Dados Operacionais Auto'!$B$5:$BM$15,9,0)</f>
        <v>1150.469295284013</v>
      </c>
      <c r="AK59" s="637">
        <f>+AK53*1000/AK45</f>
        <v>1124.0847617450693</v>
      </c>
      <c r="AL59" s="841">
        <f>HLOOKUP(AL35,'Dados Operacionais Auto'!$B$5:$BM$15,9,0)</f>
        <v>1160.8686672365684</v>
      </c>
      <c r="AM59" s="841">
        <f>HLOOKUP(AM35,'Dados Operacionais Auto'!$B$5:$BM$15,9,0)</f>
        <v>1192.5148348839587</v>
      </c>
      <c r="AN59" s="841">
        <f>HLOOKUP(AN35,'Dados Operacionais Auto'!$B$5:$BM$15,9,0)</f>
        <v>1175.8696858448</v>
      </c>
      <c r="AO59" s="841">
        <f>HLOOKUP(AO35,'Dados Operacionais Auto'!$B$5:$CA$15,9,0)</f>
        <v>1187.1869198994352</v>
      </c>
      <c r="AP59" s="637">
        <f>+AP53*1000/AP45</f>
        <v>1180.0257702680128</v>
      </c>
      <c r="AQ59" s="841">
        <f>HLOOKUP(AQ35,'Dados Operacionais Auto'!$B$5:$CA$15,9,0)</f>
        <v>1150.4318380753102</v>
      </c>
      <c r="AR59" s="841">
        <f>HLOOKUP(AR35,'Dados Operacionais Auto'!$B$5:$CA$15,9,0)</f>
        <v>1241.9999079267948</v>
      </c>
      <c r="AS59" s="841">
        <f>HLOOKUP(AS35,'Dados Operacionais Auto'!$B$5:$CA$15,9,0)</f>
        <v>1257.4763182659908</v>
      </c>
      <c r="AT59" s="841">
        <f>HLOOKUP(AT35,'Dados Operacionais Auto'!$B$5:$CA$15,9,0)</f>
        <v>1255.3238247375627</v>
      </c>
      <c r="AU59" s="637">
        <f>+AU53*1000/AU45</f>
        <v>1231.5055488968044</v>
      </c>
      <c r="AV59" s="841">
        <f>HLOOKUP(AV35,'Dados Operacionais Auto'!$B$5:$CA$15,9,0)</f>
        <v>1240.9531141729699</v>
      </c>
      <c r="AW59" s="907"/>
      <c r="BK59" s="267"/>
      <c r="BL59" s="267"/>
      <c r="BM59" s="267"/>
      <c r="BN59" s="267"/>
      <c r="BO59" s="267"/>
      <c r="BP59" s="267"/>
      <c r="BQ59" s="267"/>
      <c r="BR59" s="267"/>
      <c r="BS59" s="267"/>
      <c r="BT59" s="267"/>
      <c r="BU59" s="267"/>
      <c r="BV59" s="267"/>
      <c r="BW59" s="267"/>
      <c r="BX59" s="267"/>
      <c r="BY59" s="267"/>
      <c r="BZ59" s="267"/>
      <c r="CA59" s="267"/>
      <c r="CB59" s="267"/>
      <c r="CC59" s="267"/>
      <c r="CD59" s="267"/>
      <c r="CE59" s="267"/>
      <c r="CF59" s="267"/>
      <c r="CG59" s="267"/>
    </row>
    <row r="60" spans="1:85" s="835" customFormat="1" ht="13.5" customHeight="1" x14ac:dyDescent="0.2">
      <c r="A60" s="840"/>
      <c r="B60" s="845" t="s">
        <v>954</v>
      </c>
      <c r="C60" s="859" t="s">
        <v>160</v>
      </c>
      <c r="D60" s="859" t="s">
        <v>160</v>
      </c>
      <c r="E60" s="859" t="s">
        <v>160</v>
      </c>
      <c r="F60" s="859" t="s">
        <v>160</v>
      </c>
      <c r="G60" s="883" t="s">
        <v>160</v>
      </c>
      <c r="H60" s="859">
        <f>+H59/C59-1</f>
        <v>7.0872000215961739E-2</v>
      </c>
      <c r="I60" s="859">
        <f>+I59/D59-1</f>
        <v>1.0531780384230638E-2</v>
      </c>
      <c r="J60" s="859">
        <f>+J59/E59-1</f>
        <v>2.8075414395523746E-2</v>
      </c>
      <c r="K60" s="859">
        <f>+K59/F59-1</f>
        <v>-2.0139905075695297E-2</v>
      </c>
      <c r="L60" s="846">
        <f t="shared" ref="L60:AQ60" si="70">+L59/G59-1</f>
        <v>1.8836262326371811E-2</v>
      </c>
      <c r="M60" s="859">
        <f t="shared" si="70"/>
        <v>-2.1198604992957781E-2</v>
      </c>
      <c r="N60" s="859">
        <f t="shared" si="70"/>
        <v>9.6091619610993995E-3</v>
      </c>
      <c r="O60" s="859">
        <f t="shared" si="70"/>
        <v>4.5861869765115193E-2</v>
      </c>
      <c r="P60" s="859">
        <f t="shared" si="70"/>
        <v>2.1592573418953487E-2</v>
      </c>
      <c r="Q60" s="846">
        <f t="shared" si="70"/>
        <v>1.522807498819434E-2</v>
      </c>
      <c r="R60" s="859">
        <f t="shared" si="70"/>
        <v>7.1191748484821238E-2</v>
      </c>
      <c r="S60" s="859">
        <f t="shared" si="70"/>
        <v>-1.7792272893178751E-2</v>
      </c>
      <c r="T60" s="859">
        <f t="shared" si="70"/>
        <v>7.1480624641063084E-2</v>
      </c>
      <c r="U60" s="859">
        <f t="shared" si="70"/>
        <v>0.12286577911732643</v>
      </c>
      <c r="V60" s="846">
        <f t="shared" si="70"/>
        <v>7.8635692533949753E-2</v>
      </c>
      <c r="W60" s="859">
        <f t="shared" si="70"/>
        <v>-5.4055581533264618E-2</v>
      </c>
      <c r="X60" s="859">
        <f t="shared" si="70"/>
        <v>-4.5133560300275599E-3</v>
      </c>
      <c r="Y60" s="859">
        <f t="shared" si="70"/>
        <v>-0.10554766651379544</v>
      </c>
      <c r="Z60" s="859">
        <f t="shared" si="70"/>
        <v>-4.9496423407753509E-2</v>
      </c>
      <c r="AA60" s="846">
        <f t="shared" si="70"/>
        <v>-6.6984019309823895E-2</v>
      </c>
      <c r="AB60" s="859">
        <f t="shared" si="70"/>
        <v>-2.7985061180054394E-2</v>
      </c>
      <c r="AC60" s="859">
        <f t="shared" si="70"/>
        <v>4.079633090769974E-5</v>
      </c>
      <c r="AD60" s="859">
        <f t="shared" si="70"/>
        <v>1.8045923699438138E-2</v>
      </c>
      <c r="AE60" s="859">
        <f t="shared" si="70"/>
        <v>-7.3126646574347309E-2</v>
      </c>
      <c r="AF60" s="846">
        <f t="shared" si="70"/>
        <v>-2.3130102721692136E-2</v>
      </c>
      <c r="AG60" s="859">
        <f t="shared" si="70"/>
        <v>-3.7471472337980649E-2</v>
      </c>
      <c r="AH60" s="859">
        <f t="shared" si="70"/>
        <v>-6.560584084736043E-2</v>
      </c>
      <c r="AI60" s="859">
        <f t="shared" si="70"/>
        <v>-5.5642835605029917E-2</v>
      </c>
      <c r="AJ60" s="859">
        <f t="shared" si="70"/>
        <v>2.0810689226005152E-3</v>
      </c>
      <c r="AK60" s="846">
        <f t="shared" si="70"/>
        <v>-3.8326857863058228E-2</v>
      </c>
      <c r="AL60" s="859">
        <f t="shared" si="70"/>
        <v>3.5305526242575436E-2</v>
      </c>
      <c r="AM60" s="859">
        <f t="shared" si="70"/>
        <v>9.996447332313485E-2</v>
      </c>
      <c r="AN60" s="859">
        <f t="shared" si="70"/>
        <v>3.7823497465107936E-2</v>
      </c>
      <c r="AO60" s="859">
        <f t="shared" si="70"/>
        <v>3.1915345125623551E-2</v>
      </c>
      <c r="AP60" s="846">
        <f t="shared" si="70"/>
        <v>4.9765827655290584E-2</v>
      </c>
      <c r="AQ60" s="859">
        <f t="shared" si="70"/>
        <v>-8.9905339473955737E-3</v>
      </c>
      <c r="AR60" s="859">
        <f>+AR59/AM59-1</f>
        <v>4.1496400376143994E-2</v>
      </c>
      <c r="AS60" s="859">
        <f>+AS59/AN59-1</f>
        <v>6.9401085344385605E-2</v>
      </c>
      <c r="AT60" s="859">
        <f>+AT59/AO59-1</f>
        <v>5.739357778967058E-2</v>
      </c>
      <c r="AU60" s="846">
        <f>+AU59/AP59-1</f>
        <v>4.3625978284439704E-2</v>
      </c>
      <c r="AV60" s="859">
        <f>+AV59/AQ59-1</f>
        <v>7.8684606164154181E-2</v>
      </c>
      <c r="AW60" s="836"/>
      <c r="AX60" s="836"/>
      <c r="AY60" s="836"/>
      <c r="AZ60" s="836"/>
      <c r="BA60" s="836"/>
      <c r="BB60" s="836"/>
      <c r="BC60" s="836"/>
      <c r="BD60" s="836"/>
      <c r="BE60" s="836"/>
      <c r="BH60" s="836"/>
      <c r="BI60" s="836"/>
      <c r="BJ60" s="836"/>
      <c r="BK60" s="836"/>
      <c r="BL60" s="836"/>
      <c r="BM60" s="836"/>
      <c r="BN60" s="836"/>
      <c r="BO60" s="836"/>
      <c r="BP60" s="836"/>
      <c r="BQ60" s="836"/>
      <c r="BR60" s="836"/>
      <c r="BS60" s="836"/>
      <c r="BT60" s="836"/>
      <c r="BU60" s="836"/>
      <c r="BV60" s="836"/>
      <c r="BW60" s="836"/>
      <c r="BX60" s="836"/>
      <c r="BY60" s="836"/>
      <c r="BZ60" s="836"/>
      <c r="CA60" s="836"/>
      <c r="CB60" s="836"/>
      <c r="CC60" s="836"/>
      <c r="CD60" s="836"/>
      <c r="CE60" s="836"/>
      <c r="CF60" s="836"/>
      <c r="CG60" s="836"/>
    </row>
    <row r="61" spans="1:85" ht="13.5" customHeight="1" x14ac:dyDescent="0.2">
      <c r="A61" s="24"/>
      <c r="B61" s="842" t="s">
        <v>955</v>
      </c>
      <c r="C61" s="841">
        <f>HLOOKUP(C35,'Dados Operacionais Auto'!$B$5:$BG$15,10,0)</f>
        <v>142.22177297078741</v>
      </c>
      <c r="D61" s="841">
        <f>HLOOKUP(D35,'Dados Operacionais Auto'!$B$5:$BG$15,10,0)</f>
        <v>220.40190362056649</v>
      </c>
      <c r="E61" s="841">
        <f>HLOOKUP(E35,'Dados Operacionais Auto'!$B$5:$BG$15,10,0)</f>
        <v>222.10518818199949</v>
      </c>
      <c r="F61" s="841">
        <f>HLOOKUP(F35,'Dados Operacionais Auto'!$B$5:$BG$15,10,0)</f>
        <v>198.72178348140835</v>
      </c>
      <c r="G61" s="874">
        <f>+G55*1000/G48</f>
        <v>195.76824317593147</v>
      </c>
      <c r="H61" s="841">
        <f>HLOOKUP(H35,'Dados Operacionais Auto'!$B$5:$BG$15,10,0)</f>
        <v>197.4858076519416</v>
      </c>
      <c r="I61" s="841">
        <f>HLOOKUP(I35,'Dados Operacionais Auto'!$B$5:$BG$15,10,0)</f>
        <v>191.86601392063162</v>
      </c>
      <c r="J61" s="841">
        <f>HLOOKUP(J35,'Dados Operacionais Auto'!$B$5:$BG$15,10,0)</f>
        <v>204.23434525251827</v>
      </c>
      <c r="K61" s="841">
        <f>HLOOKUP(K35,'Dados Operacionais Auto'!$B$5:$BG$15,10,0)</f>
        <v>229.89516481117658</v>
      </c>
      <c r="L61" s="637">
        <f>+L55*1000/L48</f>
        <v>201.97059722189579</v>
      </c>
      <c r="M61" s="841">
        <f>HLOOKUP(M35,'Dados Operacionais Auto'!$B$5:$BG$15,10,0)</f>
        <v>211.11226230599593</v>
      </c>
      <c r="N61" s="841">
        <f>HLOOKUP(N35,'Dados Operacionais Auto'!$B$5:$BG$15,10,0)</f>
        <v>179.48841401584858</v>
      </c>
      <c r="O61" s="841">
        <f>HLOOKUP(O35,'Dados Operacionais Auto'!$B$5:$BG$15,10,0)</f>
        <v>207.61116275310189</v>
      </c>
      <c r="P61" s="841">
        <f>HLOOKUP(P35,'Dados Operacionais Auto'!$B$5:$BG$15,10,0)</f>
        <v>188.12722049317694</v>
      </c>
      <c r="Q61" s="637">
        <f>+Q55*1000/Q48</f>
        <v>196.48200191093386</v>
      </c>
      <c r="R61" s="841">
        <f>HLOOKUP(R35,'Dados Operacionais Auto'!$B$5:$BG$15,10,0)</f>
        <v>201.70104549307715</v>
      </c>
      <c r="S61" s="841">
        <f>HLOOKUP(S35,'Dados Operacionais Auto'!$B$5:$BG$15,10,0)</f>
        <v>164.65599173553719</v>
      </c>
      <c r="T61" s="841">
        <f>HLOOKUP(T35,'Dados Operacionais Auto'!$B$5:$BG$15,10,0)</f>
        <v>221.1232034795764</v>
      </c>
      <c r="U61" s="841">
        <f>HLOOKUP(U35,'Dados Operacionais Auto'!$B$5:$BG$15,10,0)</f>
        <v>189.23035565202872</v>
      </c>
      <c r="V61" s="637">
        <f>+V55*1000/V48</f>
        <v>199.86207254020292</v>
      </c>
      <c r="W61" s="841">
        <f>HLOOKUP(W35,'Dados Operacionais Auto'!$B$5:$BG$15,10,0)</f>
        <v>289.60579300600494</v>
      </c>
      <c r="X61" s="841">
        <f>HLOOKUP(X35,'Dados Operacionais Auto'!$B$5:$BG$15,10,0)</f>
        <v>217.44485246468224</v>
      </c>
      <c r="Y61" s="841">
        <f>HLOOKUP(Y35,'Dados Operacionais Auto'!$B$5:$BG$15,10,0)</f>
        <v>253.48235361521714</v>
      </c>
      <c r="Z61" s="841">
        <f>HLOOKUP(Z35,'Dados Operacionais Auto'!$B$5:$BG$15,10,0)</f>
        <v>345.35584474885843</v>
      </c>
      <c r="AA61" s="637">
        <f>+AA55*1000/AA48</f>
        <v>276.92353404032934</v>
      </c>
      <c r="AB61" s="841">
        <f>HLOOKUP(AB35,'Dados Operacionais Auto'!$B$5:$BG$15,10,0)</f>
        <v>308.43416594437002</v>
      </c>
      <c r="AC61" s="841">
        <f>HLOOKUP(AC35,'Dados Operacionais Auto'!$B$5:$BG$15,10,0)</f>
        <v>260.78649055341918</v>
      </c>
      <c r="AD61" s="841">
        <f>HLOOKUP(AD35,'Dados Operacionais Auto'!$B$5:$BG$15,10,0)</f>
        <v>269.40819775340469</v>
      </c>
      <c r="AE61" s="841">
        <f>HLOOKUP(AE35,'Dados Operacionais Auto'!$B$5:$BG$15,10,0)</f>
        <v>359.45164878823999</v>
      </c>
      <c r="AF61" s="637">
        <f>+AF55*1000/AF48</f>
        <v>296.51617918218301</v>
      </c>
      <c r="AG61" s="841">
        <f>HLOOKUP(AG35,'Dados Operacionais Auto'!$B$5:$BG$15,10,0)</f>
        <v>365.98499723745164</v>
      </c>
      <c r="AH61" s="841">
        <f>HLOOKUP(AH35,'Dados Operacionais Auto'!$B$5:$BH$15,10,0)</f>
        <v>337.47144418893959</v>
      </c>
      <c r="AI61" s="841">
        <f>HLOOKUP(AI35,'Dados Operacionais Auto'!$B$5:$BM$15,10,0)</f>
        <v>320.97150499481415</v>
      </c>
      <c r="AJ61" s="841">
        <f>HLOOKUP(AJ35,'Dados Operacionais Auto'!$B$5:$BM$15,10,0)</f>
        <v>388.60868016386627</v>
      </c>
      <c r="AK61" s="637">
        <f>+AK55*1000/AK48</f>
        <v>351.90428078574951</v>
      </c>
      <c r="AL61" s="841">
        <f>HLOOKUP(AL35,'Dados Operacionais Auto'!$B$5:$BM$15,10,0)</f>
        <v>298.07610163250274</v>
      </c>
      <c r="AM61" s="841">
        <f>HLOOKUP(AM35,'Dados Operacionais Auto'!$B$5:$BM$15,10,0)</f>
        <v>341.73098266463683</v>
      </c>
      <c r="AN61" s="841">
        <f>HLOOKUP(AN35,'Dados Operacionais Auto'!$B$5:$BM$15,10,0)</f>
        <v>271.92427033443857</v>
      </c>
      <c r="AO61" s="841">
        <f>HLOOKUP(AO35,'Dados Operacionais Auto'!$B$5:$CA$15,10,0)</f>
        <v>314.23080631025414</v>
      </c>
      <c r="AP61" s="637">
        <f>+AP55*1000/AP48</f>
        <v>305.45020618310969</v>
      </c>
      <c r="AQ61" s="841">
        <f>HLOOKUP(AQ35,'Dados Operacionais Auto'!$B$5:$CA$15,10,0)</f>
        <v>421.04505303916426</v>
      </c>
      <c r="AR61" s="841">
        <f>HLOOKUP(AR35,'Dados Operacionais Auto'!$B$5:$CA$15,10,0)</f>
        <v>314.75067289019114</v>
      </c>
      <c r="AS61" s="841">
        <f>HLOOKUP(AS35,'Dados Operacionais Auto'!$B$5:$CA$15,10,0)</f>
        <v>406.58623106695518</v>
      </c>
      <c r="AT61" s="841">
        <f>HLOOKUP(AT35,'Dados Operacionais Auto'!$B$5:$CA$15,10,0)</f>
        <v>403.09199857435624</v>
      </c>
      <c r="AU61" s="637">
        <f>+AU55*1000/AU48</f>
        <v>384.5080482253685</v>
      </c>
      <c r="AV61" s="841">
        <f>HLOOKUP(AV35,'Dados Operacionais Auto'!$B$5:$CA$15,10,0)</f>
        <v>341.00471135834704</v>
      </c>
      <c r="BK61" s="267"/>
      <c r="BL61" s="267"/>
      <c r="BM61" s="267"/>
      <c r="BN61" s="267"/>
      <c r="BO61" s="267"/>
      <c r="BP61" s="267"/>
      <c r="BQ61" s="267"/>
      <c r="BR61" s="267"/>
      <c r="BS61" s="267"/>
      <c r="BT61" s="267"/>
      <c r="BU61" s="267"/>
      <c r="BV61" s="267"/>
      <c r="BW61" s="267"/>
      <c r="BX61" s="267"/>
      <c r="BY61" s="267"/>
      <c r="BZ61" s="267"/>
      <c r="CA61" s="267"/>
      <c r="CB61" s="267"/>
      <c r="CC61" s="267"/>
      <c r="CD61" s="267"/>
      <c r="CE61" s="267"/>
      <c r="CF61" s="267"/>
      <c r="CG61" s="267"/>
    </row>
    <row r="62" spans="1:85" s="835" customFormat="1" ht="13.5" customHeight="1" x14ac:dyDescent="0.2">
      <c r="A62" s="840"/>
      <c r="B62" s="845" t="s">
        <v>954</v>
      </c>
      <c r="C62" s="859" t="s">
        <v>160</v>
      </c>
      <c r="D62" s="859" t="s">
        <v>160</v>
      </c>
      <c r="E62" s="859" t="s">
        <v>160</v>
      </c>
      <c r="F62" s="859" t="s">
        <v>160</v>
      </c>
      <c r="G62" s="883" t="s">
        <v>160</v>
      </c>
      <c r="H62" s="859">
        <f>+H61/C61-1</f>
        <v>0.38857647128689288</v>
      </c>
      <c r="I62" s="859">
        <f>+I61/D61-1</f>
        <v>-0.12947206549114432</v>
      </c>
      <c r="J62" s="859">
        <f>+J61/E61-1</f>
        <v>-8.0461168312904729E-2</v>
      </c>
      <c r="K62" s="859">
        <f>+K61/F61-1</f>
        <v>0.15686947240328442</v>
      </c>
      <c r="L62" s="846">
        <f t="shared" ref="L62:AQ62" si="71">+L61/G61-1</f>
        <v>3.1682125483398327E-2</v>
      </c>
      <c r="M62" s="859">
        <f t="shared" si="71"/>
        <v>6.8999665424414935E-2</v>
      </c>
      <c r="N62" s="859">
        <f t="shared" si="71"/>
        <v>-6.4511685273782926E-2</v>
      </c>
      <c r="O62" s="859">
        <f t="shared" si="71"/>
        <v>1.6534033472227705E-2</v>
      </c>
      <c r="P62" s="859">
        <f t="shared" si="71"/>
        <v>-0.18168256975872277</v>
      </c>
      <c r="Q62" s="846">
        <f t="shared" si="71"/>
        <v>-2.7175219494607217E-2</v>
      </c>
      <c r="R62" s="859">
        <f t="shared" si="71"/>
        <v>-4.4579204969523389E-2</v>
      </c>
      <c r="S62" s="859">
        <f t="shared" si="71"/>
        <v>-8.2637212889973499E-2</v>
      </c>
      <c r="T62" s="859">
        <f t="shared" si="71"/>
        <v>6.5083401813723629E-2</v>
      </c>
      <c r="U62" s="859">
        <f t="shared" si="71"/>
        <v>5.8637721641765506E-3</v>
      </c>
      <c r="V62" s="846">
        <f t="shared" si="71"/>
        <v>1.7202952923908388E-2</v>
      </c>
      <c r="W62" s="859">
        <f t="shared" si="71"/>
        <v>0.4358170147211502</v>
      </c>
      <c r="X62" s="859">
        <f t="shared" si="71"/>
        <v>0.32060090964641041</v>
      </c>
      <c r="Y62" s="859">
        <f t="shared" si="71"/>
        <v>0.14633991198770557</v>
      </c>
      <c r="Z62" s="859">
        <f t="shared" si="71"/>
        <v>0.82505520088925488</v>
      </c>
      <c r="AA62" s="846">
        <f t="shared" si="71"/>
        <v>0.38557321316992388</v>
      </c>
      <c r="AB62" s="859">
        <f t="shared" si="71"/>
        <v>6.5013799423462082E-2</v>
      </c>
      <c r="AC62" s="859">
        <f t="shared" si="71"/>
        <v>0.19932243783870018</v>
      </c>
      <c r="AD62" s="859">
        <f t="shared" si="71"/>
        <v>6.2828216288234318E-2</v>
      </c>
      <c r="AE62" s="859">
        <f t="shared" si="71"/>
        <v>4.0815304717463086E-2</v>
      </c>
      <c r="AF62" s="846">
        <f t="shared" si="71"/>
        <v>7.0751101778877112E-2</v>
      </c>
      <c r="AG62" s="859">
        <f t="shared" si="71"/>
        <v>0.18659032509213525</v>
      </c>
      <c r="AH62" s="859">
        <f t="shared" si="71"/>
        <v>0.29405263084290145</v>
      </c>
      <c r="AI62" s="859">
        <f t="shared" si="71"/>
        <v>0.1913947224746535</v>
      </c>
      <c r="AJ62" s="859">
        <f t="shared" si="71"/>
        <v>8.1115308481456649E-2</v>
      </c>
      <c r="AK62" s="846">
        <f t="shared" si="71"/>
        <v>0.18679622055137646</v>
      </c>
      <c r="AL62" s="859">
        <f t="shared" si="71"/>
        <v>-0.18555103656582261</v>
      </c>
      <c r="AM62" s="859">
        <f t="shared" si="71"/>
        <v>1.2621922681293363E-2</v>
      </c>
      <c r="AN62" s="859">
        <f t="shared" si="71"/>
        <v>-0.1528086883013744</v>
      </c>
      <c r="AO62" s="859">
        <f t="shared" si="71"/>
        <v>-0.19139529724927629</v>
      </c>
      <c r="AP62" s="846">
        <f t="shared" si="71"/>
        <v>-0.13200769964751446</v>
      </c>
      <c r="AQ62" s="859">
        <f t="shared" si="71"/>
        <v>0.41254213515671112</v>
      </c>
      <c r="AR62" s="859">
        <f>+AR61/AM61-1</f>
        <v>-7.8951898256539588E-2</v>
      </c>
      <c r="AS62" s="859">
        <f>+AS61/AN61-1</f>
        <v>0.4952186157083236</v>
      </c>
      <c r="AT62" s="859">
        <f>+AT61/AO61-1</f>
        <v>0.28278956257511378</v>
      </c>
      <c r="AU62" s="846">
        <f>+AU61/AP61-1</f>
        <v>0.25882399305000181</v>
      </c>
      <c r="AV62" s="859">
        <f>+AV61/AQ61-1</f>
        <v>-0.19009923309411769</v>
      </c>
      <c r="AW62" s="836"/>
      <c r="AX62" s="836"/>
      <c r="AY62" s="836"/>
      <c r="AZ62" s="836"/>
      <c r="BA62" s="836"/>
      <c r="BB62" s="836"/>
      <c r="BC62" s="836"/>
      <c r="BD62" s="836"/>
      <c r="BE62" s="836"/>
      <c r="BH62" s="836"/>
      <c r="BI62" s="836"/>
      <c r="BJ62" s="836"/>
      <c r="BK62" s="836"/>
      <c r="BL62" s="836"/>
      <c r="BM62" s="836"/>
      <c r="BN62" s="836"/>
      <c r="BO62" s="836"/>
      <c r="BP62" s="836"/>
      <c r="BQ62" s="836"/>
      <c r="BR62" s="836"/>
      <c r="BS62" s="836"/>
      <c r="BT62" s="836"/>
      <c r="BU62" s="836"/>
      <c r="BV62" s="836"/>
      <c r="BW62" s="836"/>
      <c r="BX62" s="836"/>
      <c r="BY62" s="836"/>
      <c r="BZ62" s="836"/>
      <c r="CA62" s="836"/>
      <c r="CB62" s="836"/>
      <c r="CC62" s="836"/>
      <c r="CD62" s="836"/>
      <c r="CE62" s="836"/>
      <c r="CF62" s="836"/>
      <c r="CG62" s="836"/>
    </row>
    <row r="63" spans="1:85" s="869" customFormat="1" ht="13.5" customHeight="1" x14ac:dyDescent="0.2">
      <c r="A63" s="24"/>
      <c r="B63" s="891" t="s">
        <v>1221</v>
      </c>
      <c r="C63" s="890">
        <f t="shared" ref="C63:S63" ca="1" si="72">+C65/(C42*C57/1000)</f>
        <v>1.4638722454190447</v>
      </c>
      <c r="D63" s="890">
        <f t="shared" ca="1" si="72"/>
        <v>1.5609712953552854</v>
      </c>
      <c r="E63" s="890">
        <f t="shared" ca="1" si="72"/>
        <v>1.5972489442563604</v>
      </c>
      <c r="F63" s="890">
        <f t="shared" ca="1" si="72"/>
        <v>1.6674908186966177</v>
      </c>
      <c r="G63" s="889">
        <f t="shared" ca="1" si="72"/>
        <v>1.5812312645614364</v>
      </c>
      <c r="H63" s="890">
        <f t="shared" ca="1" si="72"/>
        <v>1.6014399176312468</v>
      </c>
      <c r="I63" s="890">
        <f t="shared" ca="1" si="72"/>
        <v>1.6593197481071922</v>
      </c>
      <c r="J63" s="890">
        <f t="shared" ca="1" si="72"/>
        <v>1.7017403255931356</v>
      </c>
      <c r="K63" s="890">
        <f t="shared" ca="1" si="72"/>
        <v>1.8241325920083795</v>
      </c>
      <c r="L63" s="889">
        <f t="shared" ca="1" si="72"/>
        <v>1.7029951817147049</v>
      </c>
      <c r="M63" s="890">
        <f t="shared" ca="1" si="72"/>
        <v>1.704438231051103</v>
      </c>
      <c r="N63" s="890">
        <f t="shared" ca="1" si="72"/>
        <v>1.6387093583983539</v>
      </c>
      <c r="O63" s="890">
        <f t="shared" ca="1" si="72"/>
        <v>1.6199998789880523</v>
      </c>
      <c r="P63" s="890">
        <f t="shared" ca="1" si="72"/>
        <v>1.6879303889862884</v>
      </c>
      <c r="Q63" s="889">
        <f t="shared" ca="1" si="72"/>
        <v>1.6617216321244261</v>
      </c>
      <c r="R63" s="890">
        <f t="shared" ca="1" si="72"/>
        <v>1.6978181649041046</v>
      </c>
      <c r="S63" s="890">
        <f t="shared" ca="1" si="72"/>
        <v>1.7757660163478872</v>
      </c>
      <c r="T63" s="890">
        <f t="shared" ref="T63:Y63" ca="1" si="73">+T65/(T42*T57/1000)</f>
        <v>1.6084004787692068</v>
      </c>
      <c r="U63" s="890">
        <f t="shared" ca="1" si="73"/>
        <v>1.6173521781082087</v>
      </c>
      <c r="V63" s="889">
        <f t="shared" ca="1" si="73"/>
        <v>1.6521848542649775</v>
      </c>
      <c r="W63" s="890">
        <f t="shared" ca="1" si="73"/>
        <v>1.7369218784993354</v>
      </c>
      <c r="X63" s="890">
        <f t="shared" ca="1" si="73"/>
        <v>1.9767110052498353</v>
      </c>
      <c r="Y63" s="890">
        <f t="shared" ca="1" si="73"/>
        <v>2.065011595326776</v>
      </c>
      <c r="Z63" s="890">
        <f t="shared" ref="Z63:AF63" ca="1" si="74">+Z65/(Z42*Z57/1000)</f>
        <v>2.0641145013285183</v>
      </c>
      <c r="AA63" s="889">
        <f t="shared" ca="1" si="74"/>
        <v>1.959084669187755</v>
      </c>
      <c r="AB63" s="890">
        <f t="shared" ca="1" si="74"/>
        <v>2.1890266519477608</v>
      </c>
      <c r="AC63" s="890">
        <f t="shared" ca="1" si="74"/>
        <v>2.4777264093652351</v>
      </c>
      <c r="AD63" s="890">
        <f t="shared" ca="1" si="74"/>
        <v>2.6876931599601108</v>
      </c>
      <c r="AE63" s="890">
        <f t="shared" ca="1" si="74"/>
        <v>2.7229974007283055</v>
      </c>
      <c r="AF63" s="889">
        <f t="shared" ca="1" si="74"/>
        <v>2.5535068012166509</v>
      </c>
      <c r="AG63" s="890">
        <f t="shared" ref="AG63:AM63" ca="1" si="75">+AG65/(AG42*AG57/1000)</f>
        <v>2.7048834821251102</v>
      </c>
      <c r="AH63" s="890">
        <f t="shared" ca="1" si="75"/>
        <v>2.7522027450955555</v>
      </c>
      <c r="AI63" s="890">
        <f t="shared" ca="1" si="75"/>
        <v>2.711493972519762</v>
      </c>
      <c r="AJ63" s="890">
        <f t="shared" ca="1" si="75"/>
        <v>2.7363086840878692</v>
      </c>
      <c r="AK63" s="889">
        <f t="shared" ca="1" si="75"/>
        <v>2.7266533400225517</v>
      </c>
      <c r="AL63" s="890">
        <f t="shared" ca="1" si="75"/>
        <v>2.9068921499134639</v>
      </c>
      <c r="AM63" s="890">
        <f t="shared" ca="1" si="75"/>
        <v>2.9088245379598097</v>
      </c>
      <c r="AN63" s="890">
        <f t="shared" ref="AN63:AV63" ca="1" si="76">+AN65/(AN42*AN57/1000)</f>
        <v>3.2152291515979066</v>
      </c>
      <c r="AO63" s="890">
        <f t="shared" ca="1" si="76"/>
        <v>3.2723003443856395</v>
      </c>
      <c r="AP63" s="889">
        <f t="shared" ca="1" si="76"/>
        <v>3.0991607930890526</v>
      </c>
      <c r="AQ63" s="890">
        <f t="shared" ca="1" si="76"/>
        <v>3.2979171948495583</v>
      </c>
      <c r="AR63" s="890">
        <f t="shared" ca="1" si="76"/>
        <v>3.3664326526290012</v>
      </c>
      <c r="AS63" s="890">
        <f t="shared" ca="1" si="76"/>
        <v>3.3768775593411795</v>
      </c>
      <c r="AT63" s="890">
        <f t="shared" ca="1" si="76"/>
        <v>3.2895891896757465</v>
      </c>
      <c r="AU63" s="889">
        <f t="shared" ca="1" si="76"/>
        <v>3.3345162113287081</v>
      </c>
      <c r="AV63" s="890">
        <f t="shared" ca="1" si="76"/>
        <v>3.4020229684175991</v>
      </c>
      <c r="AW63" s="870"/>
      <c r="AX63" s="870"/>
      <c r="AY63" s="870"/>
      <c r="AZ63" s="870"/>
      <c r="BA63" s="870"/>
      <c r="BB63" s="870"/>
      <c r="BC63" s="870"/>
      <c r="BD63" s="870"/>
      <c r="BE63" s="870"/>
      <c r="BH63" s="870"/>
      <c r="BI63" s="870"/>
      <c r="BJ63" s="870"/>
      <c r="BK63" s="870"/>
      <c r="BL63" s="870"/>
      <c r="BM63" s="870"/>
      <c r="BN63" s="870"/>
      <c r="BO63" s="870"/>
      <c r="BP63" s="870"/>
      <c r="BQ63" s="870"/>
      <c r="BR63" s="870"/>
      <c r="BS63" s="870"/>
      <c r="BT63" s="870"/>
      <c r="BU63" s="870"/>
      <c r="BV63" s="870"/>
      <c r="BW63" s="870"/>
      <c r="BX63" s="870"/>
      <c r="BY63" s="870"/>
      <c r="BZ63" s="870"/>
      <c r="CA63" s="870"/>
      <c r="CB63" s="870"/>
      <c r="CC63" s="870"/>
      <c r="CD63" s="870"/>
      <c r="CE63" s="870"/>
      <c r="CF63" s="870"/>
      <c r="CG63" s="870"/>
    </row>
    <row r="64" spans="1:85" s="835" customFormat="1" ht="13.5" customHeight="1" x14ac:dyDescent="0.2">
      <c r="A64" s="840"/>
      <c r="B64" s="888" t="s">
        <v>954</v>
      </c>
      <c r="C64" s="886" t="s">
        <v>160</v>
      </c>
      <c r="D64" s="886" t="s">
        <v>160</v>
      </c>
      <c r="E64" s="886" t="s">
        <v>160</v>
      </c>
      <c r="F64" s="886" t="s">
        <v>160</v>
      </c>
      <c r="G64" s="887" t="s">
        <v>160</v>
      </c>
      <c r="H64" s="886">
        <f ca="1">+H63/C63-1</f>
        <v>9.3975189872407494E-2</v>
      </c>
      <c r="I64" s="886">
        <f ca="1">+I63/D63-1</f>
        <v>6.3004651683567392E-2</v>
      </c>
      <c r="J64" s="886">
        <f ca="1">+J63/E63-1</f>
        <v>6.5419596433305971E-2</v>
      </c>
      <c r="K64" s="886">
        <f ca="1">+K63/F63-1</f>
        <v>9.3938612168311453E-2</v>
      </c>
      <c r="L64" s="885">
        <f ca="1">+L63/G63-1</f>
        <v>7.700576119524194E-2</v>
      </c>
      <c r="M64" s="886">
        <f ca="1">M63/H63-1</f>
        <v>6.4316064740165269E-2</v>
      </c>
      <c r="N64" s="886">
        <f ca="1">N63/I63-1</f>
        <v>-1.2420987415083129E-2</v>
      </c>
      <c r="O64" s="886">
        <f t="shared" ref="O64:AQ64" ca="1" si="77">+O63/J63-1</f>
        <v>-4.8033442808962601E-2</v>
      </c>
      <c r="P64" s="886">
        <f t="shared" ca="1" si="77"/>
        <v>-7.4666832673677352E-2</v>
      </c>
      <c r="Q64" s="885">
        <f t="shared" ca="1" si="77"/>
        <v>-2.4235858112482411E-2</v>
      </c>
      <c r="R64" s="886">
        <f t="shared" ca="1" si="77"/>
        <v>-3.8840164614917239E-3</v>
      </c>
      <c r="S64" s="886">
        <f t="shared" ca="1" si="77"/>
        <v>8.3636953219996313E-2</v>
      </c>
      <c r="T64" s="886">
        <f t="shared" ca="1" si="77"/>
        <v>-7.1601241267321702E-3</v>
      </c>
      <c r="U64" s="886">
        <f t="shared" ca="1" si="77"/>
        <v>-4.1813460637121658E-2</v>
      </c>
      <c r="V64" s="885">
        <f t="shared" ca="1" si="77"/>
        <v>-5.7390947286738436E-3</v>
      </c>
      <c r="W64" s="886">
        <f t="shared" ca="1" si="77"/>
        <v>2.3031744154674794E-2</v>
      </c>
      <c r="X64" s="886">
        <f t="shared" ca="1" si="77"/>
        <v>0.1131596094598204</v>
      </c>
      <c r="Y64" s="886">
        <f t="shared" ca="1" si="77"/>
        <v>0.28389143287682983</v>
      </c>
      <c r="Z64" s="886">
        <f t="shared" ca="1" si="77"/>
        <v>0.27623069932912214</v>
      </c>
      <c r="AA64" s="885">
        <f t="shared" ca="1" si="77"/>
        <v>0.18575392101588473</v>
      </c>
      <c r="AB64" s="886">
        <f t="shared" ca="1" si="77"/>
        <v>0.26029079318123083</v>
      </c>
      <c r="AC64" s="886">
        <f t="shared" ca="1" si="77"/>
        <v>0.25345910595164445</v>
      </c>
      <c r="AD64" s="886">
        <f t="shared" ca="1" si="77"/>
        <v>0.30153901607259459</v>
      </c>
      <c r="AE64" s="886">
        <f t="shared" ca="1" si="77"/>
        <v>0.31920850271422108</v>
      </c>
      <c r="AF64" s="885">
        <f t="shared" ca="1" si="77"/>
        <v>0.30341829599194692</v>
      </c>
      <c r="AG64" s="886">
        <f t="shared" ca="1" si="77"/>
        <v>0.23565580150353505</v>
      </c>
      <c r="AH64" s="886">
        <f t="shared" ca="1" si="77"/>
        <v>0.11077749936105263</v>
      </c>
      <c r="AI64" s="886">
        <f t="shared" ca="1" si="77"/>
        <v>8.8554798271704982E-3</v>
      </c>
      <c r="AJ64" s="886">
        <f t="shared" ca="1" si="77"/>
        <v>4.8884671560844861E-3</v>
      </c>
      <c r="AK64" s="885">
        <f t="shared" ca="1" si="77"/>
        <v>6.7807353684510518E-2</v>
      </c>
      <c r="AL64" s="886">
        <f t="shared" ca="1" si="77"/>
        <v>7.4682946279683859E-2</v>
      </c>
      <c r="AM64" s="886">
        <f t="shared" ca="1" si="77"/>
        <v>5.6907796180116099E-2</v>
      </c>
      <c r="AN64" s="886">
        <f t="shared" ca="1" si="77"/>
        <v>0.18577772408250226</v>
      </c>
      <c r="AO64" s="886">
        <f ca="1">+AO63/AJ63-1</f>
        <v>0.19588128467181321</v>
      </c>
      <c r="AP64" s="885">
        <f t="shared" ca="1" si="77"/>
        <v>0.13661709304910019</v>
      </c>
      <c r="AQ64" s="886">
        <f t="shared" ca="1" si="77"/>
        <v>0.13451652994684893</v>
      </c>
      <c r="AR64" s="886">
        <f ca="1">+AR63/AM63-1</f>
        <v>0.15731719417842527</v>
      </c>
      <c r="AS64" s="886">
        <f ca="1">+AS63/AN63-1</f>
        <v>5.0275859082372643E-2</v>
      </c>
      <c r="AT64" s="886">
        <f ca="1">+AT63/AO63-1</f>
        <v>5.2833919477379698E-3</v>
      </c>
      <c r="AU64" s="885">
        <f ca="1">+AU63/AP63-1</f>
        <v>7.5941660969796931E-2</v>
      </c>
      <c r="AV64" s="886">
        <f ca="1">+AV63/AQ63-1</f>
        <v>3.1567127801336303E-2</v>
      </c>
      <c r="AW64" s="836"/>
      <c r="AX64" s="836"/>
      <c r="AY64" s="836"/>
      <c r="AZ64" s="836"/>
      <c r="BA64" s="836"/>
      <c r="BB64" s="836"/>
      <c r="BC64" s="836"/>
      <c r="BD64" s="836"/>
      <c r="BE64" s="836"/>
      <c r="BH64" s="836"/>
      <c r="BI64" s="836"/>
      <c r="BJ64" s="836"/>
      <c r="BK64" s="836"/>
      <c r="BL64" s="836"/>
      <c r="BM64" s="836"/>
      <c r="BN64" s="836"/>
      <c r="BO64" s="836"/>
      <c r="BP64" s="836"/>
      <c r="BQ64" s="836"/>
      <c r="BR64" s="836"/>
      <c r="BS64" s="836"/>
      <c r="BT64" s="836"/>
      <c r="BU64" s="836"/>
      <c r="BV64" s="836"/>
      <c r="BW64" s="836"/>
      <c r="BX64" s="836"/>
      <c r="BY64" s="836"/>
      <c r="BZ64" s="836"/>
      <c r="CA64" s="836"/>
      <c r="CB64" s="836"/>
      <c r="CC64" s="836"/>
      <c r="CD64" s="836"/>
      <c r="CE64" s="836"/>
      <c r="CF64" s="836"/>
      <c r="CG64" s="836"/>
    </row>
    <row r="65" spans="1:85" ht="13.5" customHeight="1" x14ac:dyDescent="0.2">
      <c r="A65" s="24"/>
      <c r="B65" s="842" t="s">
        <v>11</v>
      </c>
      <c r="C65" s="841">
        <f ca="1">+SUMIFS(INDIRECT(CONCATENATE("'",$AW65,$AX65,":",$AY65)),INDIRECT(CONCATENATE("'",$AW65,$AX$35,":",$AY$35)),C$35)</f>
        <v>214422.15101999999</v>
      </c>
      <c r="D65" s="841">
        <f ca="1">+SUMIFS(INDIRECT(CONCATENATE("'",$AW65,$AX65,":",$AY65)),INDIRECT(CONCATENATE("'",$AW65,$AX$35,":",$AY$35)),D$35)</f>
        <v>268717.10787999997</v>
      </c>
      <c r="E65" s="841">
        <f ca="1">+SUMIFS(INDIRECT(CONCATENATE("'",$AW65,$AX65,":",$AY65)),INDIRECT(CONCATENATE("'",$AW65,$AX$35,":",$AY$35)),E$35)</f>
        <v>305185.31597000005</v>
      </c>
      <c r="F65" s="841">
        <f ca="1">+SUMIFS(INDIRECT(CONCATENATE("'",$AW65,$AX65,":",$AY65)),INDIRECT(CONCATENATE("'",$AW65,$AX$35,":",$AY$35)),F$35)</f>
        <v>340565.25495999999</v>
      </c>
      <c r="G65" s="637">
        <f ca="1">SUM(C65:F65)</f>
        <v>1128889.8298299999</v>
      </c>
      <c r="H65" s="841">
        <f ca="1">+SUMIFS(INDIRECT(CONCATENATE("'",$AW65,$AX65,":",$AY65)),INDIRECT(CONCATENATE("'",$AW65,$AX$35,":",$AY$35)),H$35)</f>
        <v>275057.54545999999</v>
      </c>
      <c r="I65" s="841">
        <f ca="1">+SUMIFS(INDIRECT(CONCATENATE("'",$AW65,$AX65,":",$AY65)),INDIRECT(CONCATENATE("'",$AW65,$AX$35,":",$AY$35)),I$35)</f>
        <v>315279.75394999998</v>
      </c>
      <c r="J65" s="841">
        <f ca="1">+SUMIFS(INDIRECT(CONCATENATE("'",$AW65,$AX65,":",$AY65)),INDIRECT(CONCATENATE("'",$AW65,$AX$35,":",$AY$35)),J$35)</f>
        <v>365789.47778999998</v>
      </c>
      <c r="K65" s="841">
        <f ca="1">+SUMIFS(INDIRECT(CONCATENATE("'",$AW65,$AX65,":",$AY65)),INDIRECT(CONCATENATE("'",$AW65,$AX$35,":",$AY$35)),K$35)</f>
        <v>391684.40824000002</v>
      </c>
      <c r="L65" s="637">
        <f ca="1">+SUM(H65:K65)</f>
        <v>1347811.1854399999</v>
      </c>
      <c r="M65" s="841">
        <f ca="1">+SUMIFS(INDIRECT(CONCATENATE("'",$AW65,$AX65,":",$AY65)),INDIRECT(CONCATENATE("'",$AW65,$AX$35,":",$AY$35)),M$35)</f>
        <v>321706.25628999999</v>
      </c>
      <c r="N65" s="841">
        <f ca="1">+SUMIFS(INDIRECT(CONCATENATE("'",$AW65,$AX65,":",$AY65)),INDIRECT(CONCATENATE("'",$AW65,$AX$35,":",$AY$35)),N$35)</f>
        <v>360853.55104000005</v>
      </c>
      <c r="O65" s="841">
        <f ca="1">+SUMIFS(INDIRECT(CONCATENATE("'",$AW65,$AX65,":",$AY65)),INDIRECT(CONCATENATE("'",$AW65,$AX$35,":",$AY$35)),O$35)</f>
        <v>366405.11531000002</v>
      </c>
      <c r="P65" s="841">
        <f ca="1">+SUMIFS(INDIRECT(CONCATENATE("'",$AW65,$AX65,":",$AY65)),INDIRECT(CONCATENATE("'",$AW65,$AX$35,":",$AY$35)),P$35)</f>
        <v>414841.17645000003</v>
      </c>
      <c r="Q65" s="637">
        <f ca="1">+SUM(M65:P65)</f>
        <v>1463806.0990900001</v>
      </c>
      <c r="R65" s="841">
        <f ca="1">+SUMIFS(INDIRECT(CONCATENATE("'",$AW65,$AX65,":",$AY65)),INDIRECT(CONCATENATE("'",$AW65,$AX$35,":",$AY$35)),R$35)</f>
        <v>298654.90463999996</v>
      </c>
      <c r="S65" s="841">
        <f ca="1">+SUMIFS(INDIRECT(CONCATENATE("'",$AW65,$AX65,":",$AY65)),INDIRECT(CONCATENATE("'",$AW65,$AX$35,":",$AY$35)),S$35)</f>
        <v>108624.88222</v>
      </c>
      <c r="T65" s="841">
        <f ca="1">+SUMIFS(INDIRECT(CONCATENATE("'",$AW65,$AX65,":",$AY65)),INDIRECT(CONCATENATE("'",$AW65,$AX$35,":",$AY$35)),T$35)</f>
        <v>305501.52506000001</v>
      </c>
      <c r="U65" s="841">
        <f ca="1">+SUMIFS(INDIRECT(CONCATENATE("'",$AW65,$AX65,":",$AY65)),INDIRECT(CONCATENATE("'",$AW65,$AX$35,":",$AY$35)),U$35)</f>
        <v>337571.33675999998</v>
      </c>
      <c r="V65" s="637">
        <f ca="1">+SUM(R65:U65)</f>
        <v>1050352.6486800001</v>
      </c>
      <c r="W65" s="841">
        <f ca="1">+SUMIFS(INDIRECT(CONCATENATE("'",$AW65,$AX65,":",$AY65)),INDIRECT(CONCATENATE("'",$AW65,$AX$35,":",$AY$35)),W$35)</f>
        <v>250078.92903</v>
      </c>
      <c r="X65" s="841">
        <f ca="1">+SUMIFS(INDIRECT(CONCATENATE("'",$AW65,$AX65,":",$AY65)),INDIRECT(CONCATENATE("'",$AW65,$AX$35,":",$AY$35)),X$35)</f>
        <v>249944.68143999999</v>
      </c>
      <c r="Y65" s="841">
        <f ca="1">+SUMIFS(INDIRECT(CONCATENATE("'",$AW65,$AX65,":",$AY65)),INDIRECT(CONCATENATE("'",$AW65,$AX$35,":",$AY$35)),Y$35)</f>
        <v>243798.95912000004</v>
      </c>
      <c r="Z65" s="841">
        <f ca="1">+SUMIFS(INDIRECT(CONCATENATE("'",$AW65,$AX65,":",$AY65)),INDIRECT(CONCATENATE("'",$AW65,$AX$35,":",$AY$35)),Z$35)</f>
        <v>339046.03587999992</v>
      </c>
      <c r="AA65" s="637">
        <f ca="1">+SUM(W65:Z65)</f>
        <v>1082868.6054699998</v>
      </c>
      <c r="AB65" s="841">
        <f ca="1">+SUMIFS(INDIRECT(CONCATENATE("'",$AW65,$AX65,":",$AY65)),INDIRECT(CONCATENATE("'",$AW65,$AX$35,":",$AY$35)),AB$35)</f>
        <v>249984.01542999997</v>
      </c>
      <c r="AC65" s="841">
        <f ca="1">+SUMIFS(INDIRECT(CONCATENATE("'",$AW65,$AX65,":",$AY65)),INDIRECT(CONCATENATE("'",$AW65,$AX$35,":",$AY$35)),AC$35)</f>
        <v>329187.05628000002</v>
      </c>
      <c r="AD65" s="841">
        <f ca="1">+SUMIFS(INDIRECT(CONCATENATE("'",$AW65,$AX65,":",$AY65)),INDIRECT(CONCATENATE("'",$AW65,$AX$35,":",$AY$35)),AD$35)</f>
        <v>460036.70981000003</v>
      </c>
      <c r="AE65" s="841">
        <f ca="1">+SUMIFS(INDIRECT(CONCATENATE("'",$AW65,$AX65,":",$AY65)),INDIRECT(CONCATENATE("'",$AW65,$AX$35,":",$AY$35)),AE$35)</f>
        <v>461462.62537999998</v>
      </c>
      <c r="AF65" s="637">
        <f ca="1">+SUM(AB65:AE65)</f>
        <v>1500670.4069000001</v>
      </c>
      <c r="AG65" s="841">
        <f ca="1">+SUMIFS(INDIRECT(CONCATENATE("'",$AW65,$AX65,":",$AY65)),INDIRECT(CONCATENATE("'",$AW65,$AX$35,":",$AY$35)),AG$35)</f>
        <v>369902.34818999982</v>
      </c>
      <c r="AH65" s="841">
        <f ca="1">+SUMIFS(INDIRECT(CONCATENATE("'",$AW65,$AX65,":",$AY65)),INDIRECT(CONCATENATE("'",$AW65,$AX$35,":",$AY$35)),AH$35)</f>
        <v>413999.29704000009</v>
      </c>
      <c r="AI65" s="841">
        <f ca="1">+SUMIFS(INDIRECT(CONCATENATE("'",$AW65,$AX65,":",$AY65)),INDIRECT(CONCATENATE("'",$AW65,$AX$35,":",$AY$35)),AI$35)</f>
        <v>481071.89130000008</v>
      </c>
      <c r="AJ65" s="841">
        <f ca="1">+SUMIFS(INDIRECT(CONCATENATE("'",$AW65,$AX65,":",$AY65)),INDIRECT(CONCATENATE("'",$AW65,$AX$35,":",$AY$35)),AJ$35)</f>
        <v>516751.48728000012</v>
      </c>
      <c r="AK65" s="637">
        <f ca="1">+SUM(AG65:AJ65)</f>
        <v>1781725.0238100002</v>
      </c>
      <c r="AL65" s="841">
        <f ca="1">+SUMIFS(INDIRECT(CONCATENATE("'",$AW65,$AX65,":",$AY65)),INDIRECT(CONCATENATE("'",$AW65,$AX$35,":",$AY$35)),AL$35)</f>
        <v>432552.07787999994</v>
      </c>
      <c r="AM65" s="841">
        <f ca="1">+SUMIFS(INDIRECT(CONCATENATE("'",$AW65,$AX65,":",$AY65)),INDIRECT(CONCATENATE("'",$AW65,$AX$35,":",$AY$35)),AM$35)</f>
        <v>529168.94435000001</v>
      </c>
      <c r="AN65" s="841">
        <f ca="1">+SUMIFS(INDIRECT(CONCATENATE("'",$AW65,$AX65,":",$AY65)),INDIRECT(CONCATENATE("'",$AW65,$AX$35,":",$AY$35)),AN$35)</f>
        <v>695890.14059000008</v>
      </c>
      <c r="AO65" s="841">
        <f ca="1">+SUMIFS(INDIRECT(CONCATENATE("'",$AW65,$AX65,":",$AY65)),INDIRECT(CONCATENATE("'",$AW65,$AX$35,":",$AY$35)),AO$35)</f>
        <v>720353.22578999994</v>
      </c>
      <c r="AP65" s="637">
        <f ca="1">+SUM(AL65:AO65)</f>
        <v>2377964.3886100003</v>
      </c>
      <c r="AQ65" s="841">
        <f ca="1">+SUMIFS(INDIRECT(CONCATENATE("'",$AW65,$AX65,":",$AY65)),INDIRECT(CONCATENATE("'",$AW65,$AX$35,":",$AY$35)),AQ$35)</f>
        <v>489547.18824999995</v>
      </c>
      <c r="AR65" s="841">
        <f ca="1">+SUMIFS(INDIRECT(CONCATENATE("'",$AW65,$AX65,":",$AY65)),INDIRECT(CONCATENATE("'",$AW65,$AX$35,":",$AY$35)),AR$35)</f>
        <v>621439.08457999991</v>
      </c>
      <c r="AS65" s="841">
        <f ca="1">+SUMIFS(INDIRECT(CONCATENATE("'",$AW65,$AX65,":",$AY65)),INDIRECT(CONCATENATE("'",$AW65,$AX$35,":",$AY$35)),AS$35)</f>
        <v>744446</v>
      </c>
      <c r="AT65" s="841">
        <f ca="1">+SUMIFS(INDIRECT(CONCATENATE("'",$AW65,$AX65,":",$AY65)),INDIRECT(CONCATENATE("'",$AW65,$AX$35,":",$AY$35)),AT$35)</f>
        <v>717391.32421999995</v>
      </c>
      <c r="AU65" s="637">
        <f ca="1">+SUM(AQ65:AT65)</f>
        <v>2572823.59705</v>
      </c>
      <c r="AV65" s="841">
        <f ca="1">+SUMIFS(INDIRECT(CONCATENATE("'",$AW65,$AX65,":",$AY65)),INDIRECT(CONCATENATE("'",$AW65,$AX$35,":",$AY$35)),AV$35)</f>
        <v>599235.4249000001</v>
      </c>
      <c r="AW65" s="267" t="s">
        <v>997</v>
      </c>
      <c r="AX65" s="267" t="str">
        <f>"$"&amp;ROW(Auto!$B$6)</f>
        <v>$6</v>
      </c>
      <c r="AY65" s="267" t="str">
        <f>"$"&amp;ROW(Auto!$B$6)</f>
        <v>$6</v>
      </c>
      <c r="AZ65" s="267" t="s">
        <v>998</v>
      </c>
      <c r="BA65" s="267" t="s">
        <v>997</v>
      </c>
      <c r="BK65" s="267"/>
      <c r="BL65" s="267"/>
      <c r="BM65" s="267"/>
      <c r="BN65" s="267"/>
      <c r="BO65" s="267"/>
      <c r="BP65" s="267"/>
      <c r="BQ65" s="267"/>
      <c r="BR65" s="267"/>
      <c r="BS65" s="267"/>
      <c r="BT65" s="267"/>
      <c r="BU65" s="267"/>
      <c r="BV65" s="267"/>
      <c r="BW65" s="267"/>
      <c r="BX65" s="267"/>
      <c r="BY65" s="267"/>
      <c r="BZ65" s="267"/>
      <c r="CA65" s="267"/>
      <c r="CB65" s="267"/>
      <c r="CC65" s="267"/>
      <c r="CD65" s="267"/>
      <c r="CE65" s="267"/>
      <c r="CF65" s="267"/>
      <c r="CG65" s="267"/>
    </row>
    <row r="66" spans="1:85" s="835" customFormat="1" ht="13.5" customHeight="1" x14ac:dyDescent="0.2">
      <c r="A66" s="840"/>
      <c r="B66" s="845" t="s">
        <v>954</v>
      </c>
      <c r="C66" s="844" t="s">
        <v>160</v>
      </c>
      <c r="D66" s="844" t="s">
        <v>160</v>
      </c>
      <c r="E66" s="844" t="s">
        <v>160</v>
      </c>
      <c r="F66" s="844" t="s">
        <v>160</v>
      </c>
      <c r="G66" s="843" t="s">
        <v>160</v>
      </c>
      <c r="H66" s="844">
        <f t="shared" ref="H66:AQ66" ca="1" si="78">H65/C65-1</f>
        <v>0.28278512341919515</v>
      </c>
      <c r="I66" s="844">
        <f t="shared" ca="1" si="78"/>
        <v>0.17327756478680678</v>
      </c>
      <c r="J66" s="844">
        <f t="shared" ca="1" si="78"/>
        <v>0.19858151309598848</v>
      </c>
      <c r="K66" s="844">
        <f t="shared" ca="1" si="78"/>
        <v>0.15010090587780023</v>
      </c>
      <c r="L66" s="843">
        <f t="shared" ca="1" si="78"/>
        <v>0.19392623604640624</v>
      </c>
      <c r="M66" s="844">
        <f t="shared" ca="1" si="78"/>
        <v>0.16959618668881005</v>
      </c>
      <c r="N66" s="844">
        <f t="shared" ca="1" si="78"/>
        <v>0.14455034463528404</v>
      </c>
      <c r="O66" s="844">
        <f t="shared" ca="1" si="78"/>
        <v>1.6830378055694428E-3</v>
      </c>
      <c r="P66" s="844">
        <f t="shared" ca="1" si="78"/>
        <v>5.9120985474129473E-2</v>
      </c>
      <c r="Q66" s="843">
        <f t="shared" ca="1" si="78"/>
        <v>8.6061693880462364E-2</v>
      </c>
      <c r="R66" s="844">
        <f t="shared" ca="1" si="78"/>
        <v>-7.1653414253841974E-2</v>
      </c>
      <c r="S66" s="844">
        <f t="shared" ca="1" si="78"/>
        <v>-0.6989779318869469</v>
      </c>
      <c r="T66" s="844">
        <f t="shared" ca="1" si="78"/>
        <v>-0.16621926852323565</v>
      </c>
      <c r="U66" s="844">
        <f t="shared" ca="1" si="78"/>
        <v>-0.18626366927033633</v>
      </c>
      <c r="V66" s="843">
        <f t="shared" ca="1" si="78"/>
        <v>-0.28245096851764073</v>
      </c>
      <c r="W66" s="844">
        <f t="shared" ca="1" si="78"/>
        <v>-0.16264918089509928</v>
      </c>
      <c r="X66" s="844">
        <f t="shared" ca="1" si="78"/>
        <v>1.3009892055282726</v>
      </c>
      <c r="Y66" s="844">
        <f t="shared" ca="1" si="78"/>
        <v>-0.20197138435849604</v>
      </c>
      <c r="Z66" s="844">
        <f t="shared" ca="1" si="78"/>
        <v>4.3685555004582266E-3</v>
      </c>
      <c r="AA66" s="843">
        <f t="shared" ca="1" si="78"/>
        <v>3.0957180743879986E-2</v>
      </c>
      <c r="AB66" s="844">
        <f t="shared" ca="1" si="78"/>
        <v>-3.7953457481676445E-4</v>
      </c>
      <c r="AC66" s="844">
        <f t="shared" ca="1" si="78"/>
        <v>0.31703965206806139</v>
      </c>
      <c r="AD66" s="844">
        <f t="shared" ca="1" si="78"/>
        <v>0.88695108244316101</v>
      </c>
      <c r="AE66" s="844">
        <f t="shared" ca="1" si="78"/>
        <v>0.36106185162220128</v>
      </c>
      <c r="AF66" s="843">
        <f t="shared" ca="1" si="78"/>
        <v>0.38582871395432217</v>
      </c>
      <c r="AG66" s="844">
        <f t="shared" ca="1" si="78"/>
        <v>0.47970400248882772</v>
      </c>
      <c r="AH66" s="844">
        <f t="shared" ca="1" si="78"/>
        <v>0.25764148116401175</v>
      </c>
      <c r="AI66" s="844">
        <f t="shared" ca="1" si="78"/>
        <v>4.5725006377616673E-2</v>
      </c>
      <c r="AJ66" s="844">
        <f t="shared" ca="1" si="78"/>
        <v>0.11981222066352926</v>
      </c>
      <c r="AK66" s="843">
        <f t="shared" ca="1" si="78"/>
        <v>0.18728603937128785</v>
      </c>
      <c r="AL66" s="844">
        <f t="shared" ca="1" si="78"/>
        <v>0.16936829408236198</v>
      </c>
      <c r="AM66" s="844">
        <f t="shared" ca="1" si="78"/>
        <v>0.27818802624409367</v>
      </c>
      <c r="AN66" s="844">
        <f t="shared" ca="1" si="78"/>
        <v>0.44654084592117171</v>
      </c>
      <c r="AO66" s="844">
        <f t="shared" ca="1" si="78"/>
        <v>0.39400319790406124</v>
      </c>
      <c r="AP66" s="843">
        <f t="shared" ca="1" si="78"/>
        <v>0.33464162922571261</v>
      </c>
      <c r="AQ66" s="844">
        <f t="shared" ca="1" si="78"/>
        <v>0.13176473605060757</v>
      </c>
      <c r="AR66" s="844">
        <f ca="1">AR65/AM65-1</f>
        <v>0.17436801840920402</v>
      </c>
      <c r="AS66" s="844">
        <f ca="1">AS65/AN65-1</f>
        <v>6.9775179410980881E-2</v>
      </c>
      <c r="AT66" s="844">
        <f ca="1">AT65/AO65-1</f>
        <v>-4.1117349988287755E-3</v>
      </c>
      <c r="AU66" s="843">
        <f ca="1">AU65/AP65-1</f>
        <v>8.1943703351210262E-2</v>
      </c>
      <c r="AV66" s="844">
        <f ca="1">AV65/AQ65-1</f>
        <v>0.2240605998414702</v>
      </c>
      <c r="AW66" s="836"/>
      <c r="AX66" s="836"/>
      <c r="AY66" s="836"/>
      <c r="AZ66" s="836"/>
      <c r="BA66" s="836"/>
      <c r="BB66" s="836"/>
      <c r="BC66" s="836"/>
      <c r="BD66" s="836"/>
      <c r="BE66" s="836"/>
      <c r="BH66" s="836"/>
      <c r="BI66" s="836"/>
      <c r="BJ66" s="836"/>
      <c r="BK66" s="836"/>
      <c r="BL66" s="836"/>
      <c r="BM66" s="836"/>
      <c r="BN66" s="836"/>
      <c r="BO66" s="836"/>
      <c r="BP66" s="836"/>
      <c r="BQ66" s="836"/>
      <c r="BR66" s="836"/>
      <c r="BS66" s="836"/>
      <c r="BT66" s="836"/>
      <c r="BU66" s="836"/>
      <c r="BV66" s="836"/>
      <c r="BW66" s="836"/>
      <c r="BX66" s="836"/>
      <c r="BY66" s="836"/>
      <c r="BZ66" s="836"/>
      <c r="CA66" s="836"/>
      <c r="CB66" s="836"/>
      <c r="CC66" s="836"/>
      <c r="CD66" s="836"/>
      <c r="CE66" s="836"/>
      <c r="CF66" s="836"/>
      <c r="CG66" s="836"/>
    </row>
    <row r="67" spans="1:85" ht="13.5" customHeight="1" x14ac:dyDescent="0.2">
      <c r="A67" s="24"/>
      <c r="B67" s="850" t="s">
        <v>66</v>
      </c>
      <c r="C67" s="849">
        <f ca="1">C65</f>
        <v>214422.15101999999</v>
      </c>
      <c r="D67" s="849">
        <f ca="1">D65</f>
        <v>268717.10787999997</v>
      </c>
      <c r="E67" s="849">
        <f ca="1">E65</f>
        <v>305185.31597000005</v>
      </c>
      <c r="F67" s="849">
        <f ca="1">F65</f>
        <v>340565.25495999999</v>
      </c>
      <c r="G67" s="848">
        <f ca="1">SUM(C67:F67)</f>
        <v>1128889.8298299999</v>
      </c>
      <c r="H67" s="849">
        <f t="shared" ref="H67:P67" ca="1" si="79">H65</f>
        <v>275057.54545999999</v>
      </c>
      <c r="I67" s="849">
        <f t="shared" ca="1" si="79"/>
        <v>315279.75394999998</v>
      </c>
      <c r="J67" s="849">
        <f t="shared" ca="1" si="79"/>
        <v>365789.47778999998</v>
      </c>
      <c r="K67" s="849">
        <f t="shared" ca="1" si="79"/>
        <v>391684.40824000002</v>
      </c>
      <c r="L67" s="848">
        <f t="shared" ca="1" si="79"/>
        <v>1347811.1854399999</v>
      </c>
      <c r="M67" s="849">
        <f t="shared" ca="1" si="79"/>
        <v>321706.25628999999</v>
      </c>
      <c r="N67" s="849">
        <f t="shared" ca="1" si="79"/>
        <v>360853.55104000005</v>
      </c>
      <c r="O67" s="849">
        <f t="shared" ca="1" si="79"/>
        <v>366405.11531000002</v>
      </c>
      <c r="P67" s="849">
        <f t="shared" ca="1" si="79"/>
        <v>414841.17645000003</v>
      </c>
      <c r="Q67" s="848">
        <f ca="1">+SUM(M67:P67)</f>
        <v>1463806.0990900001</v>
      </c>
      <c r="R67" s="849">
        <f ca="1">R65</f>
        <v>298654.90463999996</v>
      </c>
      <c r="S67" s="849">
        <f ca="1">S65</f>
        <v>108624.88222</v>
      </c>
      <c r="T67" s="849">
        <f ca="1">T65</f>
        <v>305501.52506000001</v>
      </c>
      <c r="U67" s="849">
        <f ca="1">U65</f>
        <v>337571.33675999998</v>
      </c>
      <c r="V67" s="848">
        <f ca="1">+SUM(R67:U67)</f>
        <v>1050352.6486800001</v>
      </c>
      <c r="W67" s="849">
        <f ca="1">W65</f>
        <v>250078.92903</v>
      </c>
      <c r="X67" s="849">
        <f ca="1">X65</f>
        <v>249944.68143999999</v>
      </c>
      <c r="Y67" s="849">
        <f ca="1">Y65</f>
        <v>243798.95912000004</v>
      </c>
      <c r="Z67" s="849">
        <f ca="1">Z65</f>
        <v>339046.03587999992</v>
      </c>
      <c r="AA67" s="848">
        <f ca="1">+SUM(W67:Z67)</f>
        <v>1082868.6054699998</v>
      </c>
      <c r="AB67" s="849">
        <f ca="1">AB65</f>
        <v>249984.01542999997</v>
      </c>
      <c r="AC67" s="849">
        <f ca="1">AC65</f>
        <v>329187.05628000002</v>
      </c>
      <c r="AD67" s="849">
        <f ca="1">AD65</f>
        <v>460036.70981000003</v>
      </c>
      <c r="AE67" s="849">
        <f ca="1">AE65</f>
        <v>461462.62537999998</v>
      </c>
      <c r="AF67" s="848">
        <f ca="1">+SUM(AB67:AE67)</f>
        <v>1500670.4069000001</v>
      </c>
      <c r="AG67" s="849">
        <f ca="1">AG65</f>
        <v>369902.34818999982</v>
      </c>
      <c r="AH67" s="849">
        <f ca="1">AH65</f>
        <v>413999.29704000009</v>
      </c>
      <c r="AI67" s="849">
        <f ca="1">AI65</f>
        <v>481071.89130000008</v>
      </c>
      <c r="AJ67" s="849">
        <f ca="1">AJ65</f>
        <v>516751.48728000012</v>
      </c>
      <c r="AK67" s="848">
        <f ca="1">+SUM(AG67:AJ67)</f>
        <v>1781725.0238100002</v>
      </c>
      <c r="AL67" s="849">
        <f ca="1">AL65</f>
        <v>432552.07787999994</v>
      </c>
      <c r="AM67" s="849">
        <f ca="1">AM65</f>
        <v>529168.94435000001</v>
      </c>
      <c r="AN67" s="849">
        <f ca="1">AN65</f>
        <v>695890.14059000008</v>
      </c>
      <c r="AO67" s="849">
        <f ca="1">AO65</f>
        <v>720353.22578999994</v>
      </c>
      <c r="AP67" s="848">
        <f ca="1">+SUM(AL67:AO67)</f>
        <v>2377964.3886100003</v>
      </c>
      <c r="AQ67" s="849">
        <f ca="1">AQ65</f>
        <v>489547.18824999995</v>
      </c>
      <c r="AR67" s="849">
        <f ca="1">AR65</f>
        <v>621439.08457999991</v>
      </c>
      <c r="AS67" s="849">
        <f ca="1">AS65</f>
        <v>744446</v>
      </c>
      <c r="AT67" s="849">
        <f ca="1">AT65</f>
        <v>717391.32421999995</v>
      </c>
      <c r="AU67" s="848">
        <f ca="1">+SUM(AQ67:AT67)</f>
        <v>2572823.59705</v>
      </c>
      <c r="AV67" s="849">
        <f ca="1">AV65</f>
        <v>599235.4249000001</v>
      </c>
      <c r="BK67" s="267"/>
      <c r="BL67" s="267"/>
      <c r="BM67" s="267"/>
      <c r="BN67" s="267"/>
      <c r="BO67" s="267"/>
      <c r="BP67" s="267"/>
      <c r="BQ67" s="267"/>
      <c r="BR67" s="267"/>
      <c r="BS67" s="267"/>
      <c r="BT67" s="267"/>
      <c r="BU67" s="267"/>
      <c r="BV67" s="267"/>
      <c r="BW67" s="267"/>
      <c r="BX67" s="267"/>
      <c r="BY67" s="267"/>
      <c r="BZ67" s="267"/>
      <c r="CA67" s="267"/>
      <c r="CB67" s="267"/>
      <c r="CC67" s="267"/>
      <c r="CD67" s="267"/>
      <c r="CE67" s="267"/>
      <c r="CF67" s="267"/>
      <c r="CG67" s="267"/>
    </row>
    <row r="68" spans="1:85" ht="13.5" customHeight="1" x14ac:dyDescent="0.2">
      <c r="A68" s="882"/>
      <c r="B68" s="842" t="s">
        <v>1422</v>
      </c>
      <c r="C68" s="841">
        <f ca="1">+SUMIFS(INDIRECT(CONCATENATE("'",$AW68,$AX68,":",$AY68)),INDIRECT(CONCATENATE("'",$AW68,$AX$35,":",$AY$35)),C$35)-C67</f>
        <v>-41103.315629999997</v>
      </c>
      <c r="D68" s="841">
        <f ca="1">+SUMIFS(INDIRECT(CONCATENATE("'",$AW68,$AX68,":",$AY68)),INDIRECT(CONCATENATE("'",$AW68,$AX$35,":",$AY$35)),D$35)-D67</f>
        <v>-52946.743019999965</v>
      </c>
      <c r="E68" s="841">
        <f ca="1">+SUMIFS(INDIRECT(CONCATENATE("'",$AW68,$AX68,":",$AY68)),INDIRECT(CONCATENATE("'",$AW68,$AX$35,":",$AY$35)),E$35)-E67</f>
        <v>-61019.876960000052</v>
      </c>
      <c r="F68" s="841">
        <f ca="1">+SUMIFS(INDIRECT(CONCATENATE("'",$AW68,$AX68,":",$AY68)),INDIRECT(CONCATENATE("'",$AW68,$AX$35,":",$AY$35)),F$35)-F67</f>
        <v>-65737.152109999966</v>
      </c>
      <c r="G68" s="637">
        <f ca="1">SUM(C68:F68)</f>
        <v>-220807.08771999998</v>
      </c>
      <c r="H68" s="841">
        <f ca="1">+SUMIFS(INDIRECT(CONCATENATE("'",$AW68,$AX68,":",$AY68)),INDIRECT(CONCATENATE("'",$AW68,$AX$35,":",$AY$35)),H$35)-H67</f>
        <v>-52596.962559999985</v>
      </c>
      <c r="I68" s="841">
        <f ca="1">+SUMIFS(INDIRECT(CONCATENATE("'",$AW68,$AX68,":",$AY68)),INDIRECT(CONCATENATE("'",$AW68,$AX$35,":",$AY$35)),I$35)-I67</f>
        <v>-59289.149159999972</v>
      </c>
      <c r="J68" s="841">
        <f ca="1">+SUMIFS(INDIRECT(CONCATENATE("'",$AW68,$AX68,":",$AY68)),INDIRECT(CONCATENATE("'",$AW68,$AX$35,":",$AY$35)),J$35)-J67</f>
        <v>-69708.742150000005</v>
      </c>
      <c r="K68" s="884">
        <f ca="1">+SUMIFS(INDIRECT(CONCATENATE("'",$AW68,$AX68,":",$AY68)),INDIRECT(CONCATENATE("'",$AW68,$AX$35,":",$AY$35)),K$35)-K67-4105.6676015285</f>
        <v>-69515.308851528491</v>
      </c>
      <c r="L68" s="898">
        <f ca="1">SUM(H68:K68)</f>
        <v>-251110.16272152844</v>
      </c>
      <c r="M68" s="841">
        <f ca="1">+SUMIFS(INDIRECT(CONCATENATE("'",$AW68,$AX68,":",$AY68)),INDIRECT(CONCATENATE("'",$AW68,$AX$35,":",$AY$35)),M$35)-M67</f>
        <v>-62799.635449999972</v>
      </c>
      <c r="N68" s="841">
        <f ca="1">+SUMIFS(INDIRECT(CONCATENATE("'",$AW68,$AX68,":",$AY68)),INDIRECT(CONCATENATE("'",$AW68,$AX$35,":",$AY$35)),N$35)-N67</f>
        <v>-66748.686060000036</v>
      </c>
      <c r="O68" s="841">
        <f ca="1">+SUMIFS(INDIRECT(CONCATENATE("'",$AW68,$AX68,":",$AY68)),INDIRECT(CONCATENATE("'",$AW68,$AX$35,":",$AY$35)),O$35)-O67</f>
        <v>-66613.590469999996</v>
      </c>
      <c r="P68" s="841">
        <f ca="1">+SUMIFS(INDIRECT(CONCATENATE("'",$AW68,$AX68,":",$AY68)),INDIRECT(CONCATENATE("'",$AW68,$AX$35,":",$AY$35)),P$35)-P67</f>
        <v>-77497.233100000012</v>
      </c>
      <c r="Q68" s="637">
        <f ca="1">SUM(M68:P68)</f>
        <v>-273659.14508000005</v>
      </c>
      <c r="R68" s="841">
        <f ca="1">+SUMIFS(INDIRECT(CONCATENATE("'",$AW68,$AX68,":",$AY68)),INDIRECT(CONCATENATE("'",$AW68,$AX$35,":",$AY$35)),R$35)-R67</f>
        <v>-57894.401809999952</v>
      </c>
      <c r="S68" s="841">
        <f ca="1">+SUMIFS(INDIRECT(CONCATENATE("'",$AW68,$AX68,":",$AY68)),INDIRECT(CONCATENATE("'",$AW68,$AX$35,":",$AY$35)),S$35)-S67</f>
        <v>-21747.188200000004</v>
      </c>
      <c r="T68" s="841">
        <f ca="1">+SUMIFS(INDIRECT(CONCATENATE("'",$AW68,$AX68,":",$AY68)),INDIRECT(CONCATENATE("'",$AW68,$AX$35,":",$AY$35)),T$35)-T67</f>
        <v>-60044.146310000011</v>
      </c>
      <c r="U68" s="841">
        <f ca="1">+SUMIFS(INDIRECT(CONCATENATE("'",$AW68,$AX68,":",$AY68)),INDIRECT(CONCATENATE("'",$AW68,$AX$35,":",$AY$35)),U$35)-U67</f>
        <v>-65009.129129999958</v>
      </c>
      <c r="V68" s="637">
        <f ca="1">SUM(R68:U68)</f>
        <v>-204694.86544999992</v>
      </c>
      <c r="W68" s="841">
        <f ca="1">+SUMIFS(INDIRECT(CONCATENATE("'",$AW68,$AX68,":",$AY68)),INDIRECT(CONCATENATE("'",$AW68,$AX$35,":",$AY$35)),W$35)-W67</f>
        <v>-49254.193539999978</v>
      </c>
      <c r="X68" s="841">
        <f ca="1">+SUMIFS(INDIRECT(CONCATENATE("'",$AW68,$AX68,":",$AY68)),INDIRECT(CONCATENATE("'",$AW68,$AX$35,":",$AY$35)),X$35)-X67</f>
        <v>-49517.74914</v>
      </c>
      <c r="Y68" s="841">
        <f ca="1">+SUMIFS(INDIRECT(CONCATENATE("'",$AW68,$AX68,":",$AY68)),INDIRECT(CONCATENATE("'",$AW68,$AX$35,":",$AY$35)),Y$35)-Y67</f>
        <v>-49478.775010000012</v>
      </c>
      <c r="Z68" s="841">
        <f ca="1">+SUMIFS(INDIRECT(CONCATENATE("'",$AW68,$AX68,":",$AY68)),INDIRECT(CONCATENATE("'",$AW68,$AX$35,":",$AY$35)),Z$35)-Z67</f>
        <v>-67104.971710000013</v>
      </c>
      <c r="AA68" s="637">
        <f ca="1">SUM(W68:Z68)</f>
        <v>-215355.6894</v>
      </c>
      <c r="AB68" s="841">
        <f ca="1">+SUMIFS(INDIRECT(CONCATENATE("'",$AW68,$AX68,":",$AY68)),INDIRECT(CONCATENATE("'",$AW68,$AX$35,":",$AY$35)),AB$35)-AB67</f>
        <v>-48189.471709999983</v>
      </c>
      <c r="AC68" s="841">
        <f ca="1">+SUMIFS(INDIRECT(CONCATENATE("'",$AW68,$AX68,":",$AY68)),INDIRECT(CONCATENATE("'",$AW68,$AX$35,":",$AY$35)),AC$35)-AC67</f>
        <v>-63085.022420000052</v>
      </c>
      <c r="AD68" s="841">
        <f ca="1">+SUMIFS(INDIRECT(CONCATENATE("'",$AW68,$AX68,":",$AY68)),INDIRECT(CONCATENATE("'",$AW68,$AX$35,":",$AY$35)),AD$35)-AD67</f>
        <v>-86906.629780000017</v>
      </c>
      <c r="AE68" s="841">
        <f ca="1">+SUMIFS(INDIRECT(CONCATENATE("'",$AW68,$AX68,":",$AY68)),INDIRECT(CONCATENATE("'",$AW68,$AX$35,":",$AY$35)),AE$35)-AE67</f>
        <v>-89050.690640000044</v>
      </c>
      <c r="AF68" s="637">
        <f ca="1">SUM(AB68:AE68)</f>
        <v>-287231.81455000013</v>
      </c>
      <c r="AG68" s="841">
        <f ca="1">+SUMIFS(INDIRECT(CONCATENATE("'",$AW68,$AX68,":",$AY68)),INDIRECT(CONCATENATE("'",$AW68,$AX$35,":",$AY$35)),AG$35)-AG67</f>
        <v>-72862.59156000003</v>
      </c>
      <c r="AH68" s="884">
        <f ca="1">+SUMIFS(INDIRECT(CONCATENATE("'",$AW68,$AX68,":",$AY68)),INDIRECT(CONCATENATE("'",$AW68,$AX$35,":",$AY$35)),AH$35)-AH67</f>
        <v>-83095.65155000001</v>
      </c>
      <c r="AI68" s="841">
        <f ca="1">+SUMIFS(INDIRECT(CONCATENATE("'",$AW68,$AX68,":",$AY68)),INDIRECT(CONCATENATE("'",$AW68,$AX$35,":",$AY$35)),AI$35)-AI67</f>
        <v>-95247.513340000005</v>
      </c>
      <c r="AJ68" s="884">
        <f ca="1">+SUMIFS(INDIRECT(CONCATENATE("'",$AW68,$AX68,":",$AY68)),INDIRECT(CONCATENATE("'",$AW68,$AX$35,":",$AY$35)),AJ$35)-AJ67</f>
        <v>-103380.24767999997</v>
      </c>
      <c r="AK68" s="898">
        <f ca="1">SUM(AG68:AJ68)</f>
        <v>-354586.00413000002</v>
      </c>
      <c r="AL68" s="841">
        <f ca="1">+SUMIFS(INDIRECT(CONCATENATE("'",$AW68,$AX68,":",$AY68)),INDIRECT(CONCATENATE("'",$AW68,$AX$35,":",$AY$35)),AL$35)-AL67</f>
        <v>-85040.23550000001</v>
      </c>
      <c r="AM68" s="841">
        <f ca="1">+SUMIFS(INDIRECT(CONCATENATE("'",$AW68,$AX68,":",$AY68)),INDIRECT(CONCATENATE("'",$AW68,$AX$35,":",$AY$35)),AM$35)-AM67</f>
        <v>-101889.77088999999</v>
      </c>
      <c r="AN68" s="841">
        <f ca="1">+SUMIFS(INDIRECT(CONCATENATE("'",$AW68,$AX68,":",$AY68)),INDIRECT(CONCATENATE("'",$AW68,$AX$35,":",$AY$35)),AN$35)-AN67</f>
        <v>-133957.97138</v>
      </c>
      <c r="AO68" s="841">
        <f ca="1">+SUMIFS(INDIRECT(CONCATENATE("'",$AW68,$AX68,":",$AY68)),INDIRECT(CONCATENATE("'",$AW68,$AX$35,":",$AY$35)),AO$35)-AO67</f>
        <v>-137016.65207999991</v>
      </c>
      <c r="AP68" s="637">
        <f ca="1">SUM(AL68:AO68)</f>
        <v>-457904.62984999991</v>
      </c>
      <c r="AQ68" s="841">
        <f ca="1">+SUMIFS(INDIRECT(CONCATENATE("'",$AW68,$AX68,":",$AY68)),INDIRECT(CONCATENATE("'",$AW68,$AX$35,":",$AY$35)),AQ$35)-AQ67</f>
        <v>-95011.771950000024</v>
      </c>
      <c r="AR68" s="841">
        <f ca="1">+SUMIFS(INDIRECT(CONCATENATE("'",$AW68,$AX68,":",$AY68)),INDIRECT(CONCATENATE("'",$AW68,$AX$35,":",$AY$35)),AR$35)-AR67</f>
        <v>-125532.80690999998</v>
      </c>
      <c r="AS68" s="841">
        <f ca="1">+SUMIFS(INDIRECT(CONCATENATE("'",$AW68,$AX68,":",$AY68)),INDIRECT(CONCATENATE("'",$AW68,$AX$35,":",$AY$35)),AS$35)-AS67</f>
        <v>-144587</v>
      </c>
      <c r="AT68" s="841">
        <f ca="1">+SUMIFS(INDIRECT(CONCATENATE("'",$AW68,$AX68,":",$AY68)),INDIRECT(CONCATENATE("'",$AW68,$AX$35,":",$AY$35)),AT$35)-AT67</f>
        <v>-145533.56065999996</v>
      </c>
      <c r="AU68" s="637">
        <f ca="1">SUM(AQ68:AT68)</f>
        <v>-510665.13951999997</v>
      </c>
      <c r="AV68" s="841">
        <f ca="1">+SUMIFS(INDIRECT(CONCATENATE("'",$AW68,$AX68,":",$AY68)),INDIRECT(CONCATENATE("'",$AW68,$AX$35,":",$AY$35)),AV$35)-AV67</f>
        <v>-119134.43191999994</v>
      </c>
      <c r="AW68" s="267" t="s">
        <v>997</v>
      </c>
      <c r="AX68" s="267" t="str">
        <f>"$"&amp;ROW(Auto!$B$11)</f>
        <v>$11</v>
      </c>
      <c r="AY68" s="267" t="str">
        <f>"$"&amp;ROW(Auto!$B$11)</f>
        <v>$11</v>
      </c>
      <c r="AZ68" s="267" t="s">
        <v>998</v>
      </c>
      <c r="BA68" s="267" t="s">
        <v>997</v>
      </c>
      <c r="BK68" s="267"/>
      <c r="BL68" s="267"/>
      <c r="BM68" s="267"/>
      <c r="BN68" s="267"/>
      <c r="BO68" s="267"/>
      <c r="BP68" s="267"/>
      <c r="BQ68" s="267"/>
      <c r="BR68" s="267"/>
      <c r="BS68" s="267"/>
      <c r="BT68" s="267"/>
      <c r="BU68" s="267"/>
      <c r="BV68" s="267"/>
      <c r="BW68" s="267"/>
      <c r="BX68" s="267"/>
      <c r="BY68" s="267"/>
      <c r="BZ68" s="267"/>
      <c r="CA68" s="267"/>
      <c r="CB68" s="267"/>
      <c r="CC68" s="267"/>
      <c r="CD68" s="267"/>
      <c r="CE68" s="267"/>
      <c r="CF68" s="267"/>
      <c r="CG68" s="267"/>
    </row>
    <row r="69" spans="1:85" s="835" customFormat="1" ht="13.5" customHeight="1" x14ac:dyDescent="0.2">
      <c r="A69" s="840"/>
      <c r="B69" s="845" t="s">
        <v>1088</v>
      </c>
      <c r="C69" s="859">
        <f t="shared" ref="C69:S69" ca="1" si="80">+C68/C67</f>
        <v>-0.19169342082649909</v>
      </c>
      <c r="D69" s="859">
        <f t="shared" ca="1" si="80"/>
        <v>-0.19703525182194281</v>
      </c>
      <c r="E69" s="859">
        <f t="shared" ca="1" si="80"/>
        <v>-0.19994368590787098</v>
      </c>
      <c r="F69" s="859">
        <f t="shared" ca="1" si="80"/>
        <v>-0.19302366037815841</v>
      </c>
      <c r="G69" s="883">
        <f t="shared" ca="1" si="80"/>
        <v>-0.19559666664128902</v>
      </c>
      <c r="H69" s="859">
        <f t="shared" ca="1" si="80"/>
        <v>-0.19122166771334348</v>
      </c>
      <c r="I69" s="859">
        <f t="shared" ca="1" si="80"/>
        <v>-0.18805251024587707</v>
      </c>
      <c r="J69" s="859">
        <f t="shared" ca="1" si="80"/>
        <v>-0.19057065985375296</v>
      </c>
      <c r="K69" s="859">
        <f t="shared" ca="1" si="80"/>
        <v>-0.17747785561311852</v>
      </c>
      <c r="L69" s="846">
        <f t="shared" ca="1" si="80"/>
        <v>-0.18630959991592014</v>
      </c>
      <c r="M69" s="859">
        <f t="shared" ca="1" si="80"/>
        <v>-0.19520800177845984</v>
      </c>
      <c r="N69" s="859">
        <f t="shared" ca="1" si="80"/>
        <v>-0.18497444702324975</v>
      </c>
      <c r="O69" s="859">
        <f t="shared" ca="1" si="80"/>
        <v>-0.18180311269301203</v>
      </c>
      <c r="P69" s="859">
        <f t="shared" ca="1" si="80"/>
        <v>-0.18681181497743776</v>
      </c>
      <c r="Q69" s="846">
        <f t="shared" ca="1" si="80"/>
        <v>-0.18695040637562918</v>
      </c>
      <c r="R69" s="847">
        <f t="shared" ca="1" si="80"/>
        <v>-0.19385049738187338</v>
      </c>
      <c r="S69" s="847">
        <f t="shared" ca="1" si="80"/>
        <v>-0.2002044812896093</v>
      </c>
      <c r="T69" s="847">
        <f t="shared" ref="T69:Y69" ca="1" si="81">+T68/T67</f>
        <v>-0.19654286929732162</v>
      </c>
      <c r="U69" s="847">
        <f t="shared" ca="1" si="81"/>
        <v>-0.19257893680771512</v>
      </c>
      <c r="V69" s="846">
        <f t="shared" ca="1" si="81"/>
        <v>-0.19488203862506959</v>
      </c>
      <c r="W69" s="847">
        <f t="shared" ca="1" si="81"/>
        <v>-0.19695459242026481</v>
      </c>
      <c r="X69" s="847">
        <f t="shared" ca="1" si="81"/>
        <v>-0.1981148342693857</v>
      </c>
      <c r="Y69" s="847">
        <f t="shared" ca="1" si="81"/>
        <v>-0.20294908226267738</v>
      </c>
      <c r="Z69" s="847">
        <f t="shared" ref="Z69:AF69" ca="1" si="82">+Z68/Z67</f>
        <v>-0.19792289131423668</v>
      </c>
      <c r="AA69" s="846">
        <f t="shared" ca="1" si="82"/>
        <v>-0.19887518052712286</v>
      </c>
      <c r="AB69" s="847">
        <f t="shared" ca="1" si="82"/>
        <v>-0.19277021223580554</v>
      </c>
      <c r="AC69" s="847">
        <f t="shared" ca="1" si="82"/>
        <v>-0.19163883031397558</v>
      </c>
      <c r="AD69" s="847">
        <f t="shared" ca="1" si="82"/>
        <v>-0.18891238009221778</v>
      </c>
      <c r="AE69" s="847">
        <f t="shared" ca="1" si="82"/>
        <v>-0.1929748710779548</v>
      </c>
      <c r="AF69" s="846">
        <f t="shared" ca="1" si="82"/>
        <v>-0.19140233140423377</v>
      </c>
      <c r="AG69" s="847">
        <f t="shared" ref="AG69:AM69" ca="1" si="83">+AG68/AG67</f>
        <v>-0.19697791029586614</v>
      </c>
      <c r="AH69" s="847">
        <f t="shared" ca="1" si="83"/>
        <v>-0.20071447498610465</v>
      </c>
      <c r="AI69" s="847">
        <f t="shared" ca="1" si="83"/>
        <v>-0.19799018621232006</v>
      </c>
      <c r="AJ69" s="847">
        <f t="shared" ca="1" si="83"/>
        <v>-0.20005795866047255</v>
      </c>
      <c r="AK69" s="846">
        <f t="shared" ca="1" si="83"/>
        <v>-0.19901275415201913</v>
      </c>
      <c r="AL69" s="847">
        <f t="shared" ca="1" si="83"/>
        <v>-0.19660114896868477</v>
      </c>
      <c r="AM69" s="847">
        <f t="shared" ca="1" si="83"/>
        <v>-0.19254676975640622</v>
      </c>
      <c r="AN69" s="847">
        <f t="shared" ref="AN69:AV69" ca="1" si="84">+AN68/AN67</f>
        <v>-0.19249873445027649</v>
      </c>
      <c r="AO69" s="847">
        <f t="shared" ca="1" si="84"/>
        <v>-0.19020759146283536</v>
      </c>
      <c r="AP69" s="846">
        <f t="shared" ca="1" si="84"/>
        <v>-0.19256160102450504</v>
      </c>
      <c r="AQ69" s="847">
        <f t="shared" ca="1" si="84"/>
        <v>-0.19408092668173962</v>
      </c>
      <c r="AR69" s="847">
        <f t="shared" ca="1" si="84"/>
        <v>-0.20200339828133185</v>
      </c>
      <c r="AS69" s="847">
        <f t="shared" ca="1" si="84"/>
        <v>-0.19422093744878743</v>
      </c>
      <c r="AT69" s="847">
        <f t="shared" ca="1" si="84"/>
        <v>-0.2028649577247601</v>
      </c>
      <c r="AU69" s="846">
        <f t="shared" ca="1" si="84"/>
        <v>-0.19848431898149904</v>
      </c>
      <c r="AV69" s="847">
        <f t="shared" ca="1" si="84"/>
        <v>-0.19881072942221498</v>
      </c>
      <c r="AW69" s="836"/>
      <c r="AX69" s="836"/>
      <c r="AY69" s="836"/>
      <c r="AZ69" s="836"/>
      <c r="BA69" s="836"/>
      <c r="BB69" s="836"/>
      <c r="BC69" s="836"/>
      <c r="BD69" s="836"/>
      <c r="BE69" s="836"/>
      <c r="BH69" s="836"/>
      <c r="BI69" s="836"/>
      <c r="BJ69" s="836"/>
      <c r="BK69" s="836"/>
      <c r="BL69" s="836"/>
      <c r="BM69" s="836"/>
      <c r="BN69" s="836"/>
      <c r="BO69" s="836"/>
      <c r="BP69" s="836"/>
      <c r="BQ69" s="836"/>
      <c r="BR69" s="836"/>
      <c r="BS69" s="836"/>
      <c r="BT69" s="836"/>
      <c r="BU69" s="836"/>
      <c r="BV69" s="836"/>
      <c r="BW69" s="836"/>
      <c r="BX69" s="836"/>
      <c r="BY69" s="836"/>
      <c r="BZ69" s="836"/>
      <c r="CA69" s="836"/>
      <c r="CB69" s="836"/>
      <c r="CC69" s="836"/>
      <c r="CD69" s="836"/>
      <c r="CE69" s="836"/>
      <c r="CF69" s="836"/>
      <c r="CG69" s="836"/>
    </row>
    <row r="70" spans="1:85" ht="13.5" customHeight="1" x14ac:dyDescent="0.2">
      <c r="A70" s="24"/>
      <c r="B70" s="850" t="s">
        <v>1087</v>
      </c>
      <c r="C70" s="849">
        <f ca="1">+C67+C68</f>
        <v>173318.83538999999</v>
      </c>
      <c r="D70" s="849">
        <f ca="1">+D67+D68</f>
        <v>215770.36486</v>
      </c>
      <c r="E70" s="849">
        <f ca="1">+E67+E68</f>
        <v>244165.43901</v>
      </c>
      <c r="F70" s="849">
        <f ca="1">+F67+F68</f>
        <v>274828.10285000002</v>
      </c>
      <c r="G70" s="848">
        <f ca="1">SUM(C70:F70)</f>
        <v>908082.74210999999</v>
      </c>
      <c r="H70" s="849">
        <f ca="1">+H67+H68</f>
        <v>222460.58290000001</v>
      </c>
      <c r="I70" s="849">
        <f ca="1">+I67+I68</f>
        <v>255990.60479000001</v>
      </c>
      <c r="J70" s="849">
        <f ca="1">+J67+J68</f>
        <v>296080.73563999997</v>
      </c>
      <c r="K70" s="984">
        <f ca="1">+K67+K68</f>
        <v>322169.09938847151</v>
      </c>
      <c r="L70" s="985">
        <f ca="1">+SUM(H70:K70)</f>
        <v>1096701.0227184715</v>
      </c>
      <c r="M70" s="849">
        <f ca="1">+M67+M68</f>
        <v>258906.62084000002</v>
      </c>
      <c r="N70" s="849">
        <f ca="1">+N67+N68</f>
        <v>294104.86498000001</v>
      </c>
      <c r="O70" s="849">
        <f ca="1">+O67+O68</f>
        <v>299791.52484000003</v>
      </c>
      <c r="P70" s="849">
        <f ca="1">+P67+P68</f>
        <v>337343.94335000002</v>
      </c>
      <c r="Q70" s="848">
        <f ca="1">+SUM(M70:P70)</f>
        <v>1190146.9540100002</v>
      </c>
      <c r="R70" s="849">
        <f ca="1">+R67+R68</f>
        <v>240760.50283000001</v>
      </c>
      <c r="S70" s="849">
        <f ca="1">+S67+S68</f>
        <v>86877.694019999995</v>
      </c>
      <c r="T70" s="849">
        <f ca="1">+T67+T68</f>
        <v>245457.37875</v>
      </c>
      <c r="U70" s="849">
        <f ca="1">+U67+U68</f>
        <v>272562.20763000002</v>
      </c>
      <c r="V70" s="848">
        <f ca="1">+SUM(R70:U70)</f>
        <v>845657.78322999994</v>
      </c>
      <c r="W70" s="849">
        <f ca="1">+W67+W68</f>
        <v>200824.73549000002</v>
      </c>
      <c r="X70" s="849">
        <f ca="1">+X67+X68</f>
        <v>200426.93229999999</v>
      </c>
      <c r="Y70" s="849">
        <f ca="1">+Y67+Y68</f>
        <v>194320.18411000003</v>
      </c>
      <c r="Z70" s="849">
        <f ca="1">+Z67+Z68</f>
        <v>271941.06416999991</v>
      </c>
      <c r="AA70" s="848">
        <f ca="1">+SUM(W70:Z70)</f>
        <v>867512.91606999992</v>
      </c>
      <c r="AB70" s="849">
        <f ca="1">+AB67+AB68</f>
        <v>201794.54371999999</v>
      </c>
      <c r="AC70" s="849">
        <f ca="1">+AC67+AC68</f>
        <v>266102.03385999997</v>
      </c>
      <c r="AD70" s="849">
        <f ca="1">+AD67+AD68</f>
        <v>373130.08003000001</v>
      </c>
      <c r="AE70" s="849">
        <f ca="1">+AE67+AE68</f>
        <v>372411.93473999994</v>
      </c>
      <c r="AF70" s="848">
        <f ca="1">+SUM(AB70:AE70)</f>
        <v>1213438.5923499998</v>
      </c>
      <c r="AG70" s="849">
        <f ca="1">+AG67+AG68</f>
        <v>297039.75662999979</v>
      </c>
      <c r="AH70" s="849">
        <f ca="1">+AH67+AH68</f>
        <v>330903.64549000008</v>
      </c>
      <c r="AI70" s="849">
        <f ca="1">+AI67+AI68</f>
        <v>385824.37796000007</v>
      </c>
      <c r="AJ70" s="849">
        <f ca="1">+AJ67+AJ68</f>
        <v>413371.23960000015</v>
      </c>
      <c r="AK70" s="848">
        <f ca="1">+SUM(AG70:AJ70)</f>
        <v>1427139.0196800001</v>
      </c>
      <c r="AL70" s="849">
        <f ca="1">+AL67+AL68</f>
        <v>347511.84237999993</v>
      </c>
      <c r="AM70" s="849">
        <f ca="1">+AM67+AM68</f>
        <v>427279.17346000002</v>
      </c>
      <c r="AN70" s="849">
        <f ca="1">+AN67+AN68</f>
        <v>561932.16921000008</v>
      </c>
      <c r="AO70" s="849">
        <f ca="1">+AO67+AO68</f>
        <v>583336.57371000003</v>
      </c>
      <c r="AP70" s="848">
        <f ca="1">+SUM(AL70:AO70)</f>
        <v>1920059.7587600001</v>
      </c>
      <c r="AQ70" s="849">
        <f ca="1">+AQ67+AQ68</f>
        <v>394535.41629999992</v>
      </c>
      <c r="AR70" s="849">
        <f ca="1">+AR67+AR68</f>
        <v>495906.27766999992</v>
      </c>
      <c r="AS70" s="849">
        <f ca="1">+AS67+AS68</f>
        <v>599859</v>
      </c>
      <c r="AT70" s="849">
        <f ca="1">+AT67+AT68</f>
        <v>571857.76355999999</v>
      </c>
      <c r="AU70" s="848">
        <f ca="1">+SUM(AQ70:AT70)</f>
        <v>2062158.4575299998</v>
      </c>
      <c r="AV70" s="849">
        <f ca="1">+AV67+AV68</f>
        <v>480100.99298000016</v>
      </c>
      <c r="AW70" s="910"/>
      <c r="BK70" s="267"/>
      <c r="BL70" s="267"/>
      <c r="BM70" s="267"/>
      <c r="BN70" s="267"/>
      <c r="BO70" s="267"/>
      <c r="BP70" s="267"/>
      <c r="BQ70" s="267"/>
      <c r="BR70" s="267"/>
      <c r="BS70" s="267"/>
      <c r="BT70" s="267"/>
      <c r="BU70" s="267"/>
      <c r="BV70" s="267"/>
      <c r="BW70" s="267"/>
      <c r="BX70" s="267"/>
      <c r="BY70" s="267"/>
      <c r="BZ70" s="267"/>
      <c r="CA70" s="267"/>
      <c r="CB70" s="267"/>
      <c r="CC70" s="267"/>
      <c r="CD70" s="267"/>
      <c r="CE70" s="267"/>
      <c r="CF70" s="267"/>
      <c r="CG70" s="267"/>
    </row>
    <row r="71" spans="1:85" ht="13.5" customHeight="1" x14ac:dyDescent="0.2">
      <c r="A71" s="882"/>
      <c r="B71" s="842" t="s">
        <v>1089</v>
      </c>
      <c r="C71" s="841">
        <f ca="1">+SUMIFS(INDIRECT(CONCATENATE("'",$AW71,$AX71,":",$AY71)),INDIRECT(CONCATENATE("'",$AW71,$AX$35,":",$AY$35)),C$35)</f>
        <v>-141121.33221999998</v>
      </c>
      <c r="D71" s="841">
        <f ca="1">+SUMIFS(INDIRECT(CONCATENATE("'",$AW71,$AX71,":",$AY71)),INDIRECT(CONCATENATE("'",$AW71,$AX$35,":",$AY$35)),D$35)</f>
        <v>-170858.86447999999</v>
      </c>
      <c r="E71" s="841">
        <f ca="1">+SUMIFS(INDIRECT(CONCATENATE("'",$AW71,$AX71,":",$AY71)),INDIRECT(CONCATENATE("'",$AW71,$AX$35,":",$AY$35)),E$35)</f>
        <v>-191017.84543999998</v>
      </c>
      <c r="F71" s="884">
        <f ca="1">+SUMIFS(INDIRECT(CONCATENATE("'",$AW71,$AX71,":",$AY71)),INDIRECT(CONCATENATE("'",$AW71,$AX$35,":",$AY$35)),F$35)-24082.77427</f>
        <v>-208318.11843999999</v>
      </c>
      <c r="G71" s="898">
        <f ca="1">SUM(C71:F71)</f>
        <v>-711316.16057999991</v>
      </c>
      <c r="H71" s="841">
        <v>-175042.63430000001</v>
      </c>
      <c r="I71" s="841">
        <v>-200153.55509000004</v>
      </c>
      <c r="J71" s="841">
        <v>-226765.28566000002</v>
      </c>
      <c r="K71" s="841">
        <v>-241697.69333000001</v>
      </c>
      <c r="L71" s="637">
        <f>+SUM(H71:K71)</f>
        <v>-843659.16838000016</v>
      </c>
      <c r="M71" s="841">
        <f>+M72+M74</f>
        <v>-195011.17071999999</v>
      </c>
      <c r="N71" s="841">
        <f>+N72+N74</f>
        <v>-222627.48254999999</v>
      </c>
      <c r="O71" s="884">
        <f>+O72+O74</f>
        <v>-225630.30535884132</v>
      </c>
      <c r="P71" s="841">
        <f>+P72+P74</f>
        <v>-251808.91704000003</v>
      </c>
      <c r="Q71" s="898">
        <f>+SUM(M71:P71)</f>
        <v>-895077.87566884141</v>
      </c>
      <c r="R71" s="841">
        <f ca="1">+SUMIFS(INDIRECT(CONCATENATE("'",$AW71,$AX71,":",$AY71)),INDIRECT(CONCATENATE("'",$AW71,$AX$35,":",$AY$35)),R$35)</f>
        <v>-183937.82206000001</v>
      </c>
      <c r="S71" s="841">
        <f ca="1">+SUMIFS(INDIRECT(CONCATENATE("'",$AW71,$AX71,":",$AY71)),INDIRECT(CONCATENATE("'",$AW71,$AX$35,":",$AY$35)),S$35)</f>
        <v>-79168.829530000003</v>
      </c>
      <c r="T71" s="841">
        <f ca="1">+SUMIFS(INDIRECT(CONCATENATE("'",$AW71,$AX71,":",$AY71)),INDIRECT(CONCATENATE("'",$AW71,$AX$35,":",$AY$35)),T$35)</f>
        <v>-185716.21622999999</v>
      </c>
      <c r="U71" s="841">
        <f ca="1">+SUMIFS(INDIRECT(CONCATENATE("'",$AW71,$AX71,":",$AY71)),INDIRECT(CONCATENATE("'",$AW71,$AX$35,":",$AY$35)),U$35)</f>
        <v>-207385.10715999999</v>
      </c>
      <c r="V71" s="637">
        <f ca="1">+SUM(R71:U71)</f>
        <v>-656207.97498000006</v>
      </c>
      <c r="W71" s="841">
        <f ca="1">+SUMIFS(INDIRECT(CONCATENATE("'",$AW71,$AX71,":",$AY71)),INDIRECT(CONCATENATE("'",$AW71,$AX$35,":",$AY$35)),W$35)</f>
        <v>-156515.03270000001</v>
      </c>
      <c r="X71" s="841">
        <f ca="1">+SUMIFS(INDIRECT(CONCATENATE("'",$AW71,$AX71,":",$AY71)),INDIRECT(CONCATENATE("'",$AW71,$AX$35,":",$AY$35)),X$35)</f>
        <v>-156748.70746000001</v>
      </c>
      <c r="Y71" s="841">
        <f ca="1">+SUMIFS(INDIRECT(CONCATENATE("'",$AW71,$AX71,":",$AY71)),INDIRECT(CONCATENATE("'",$AW71,$AX$35,":",$AY$35)),Y$35)</f>
        <v>-152863.65859000004</v>
      </c>
      <c r="Z71" s="841">
        <f ca="1">+SUMIFS(INDIRECT(CONCATENATE("'",$AW71,$AX71,":",$AY71)),INDIRECT(CONCATENATE("'",$AW71,$AX$35,":",$AY$35)),Z$35)</f>
        <v>-211529.13235</v>
      </c>
      <c r="AA71" s="637">
        <f ca="1">+SUM(W71:Z71)</f>
        <v>-677656.53110000002</v>
      </c>
      <c r="AB71" s="841">
        <f ca="1">+SUMIFS(INDIRECT(CONCATENATE("'",$AW71,$AX71,":",$AY71)),INDIRECT(CONCATENATE("'",$AW71,$AX$35,":",$AY$35)),AB$35)</f>
        <v>-164595.84351000001</v>
      </c>
      <c r="AC71" s="841">
        <f ca="1">+SUMIFS(INDIRECT(CONCATENATE("'",$AW71,$AX71,":",$AY71)),INDIRECT(CONCATENATE("'",$AW71,$AX$35,":",$AY$35)),AC$35)</f>
        <v>-208320.34273</v>
      </c>
      <c r="AD71" s="841">
        <f ca="1">+SUMIFS(INDIRECT(CONCATENATE("'",$AW71,$AX71,":",$AY71)),INDIRECT(CONCATENATE("'",$AW71,$AX$35,":",$AY$35)),AD$35)</f>
        <v>-280064.63664000004</v>
      </c>
      <c r="AE71" s="841">
        <f ca="1">+SUMIFS(INDIRECT(CONCATENATE("'",$AW71,$AX71,":",$AY71)),INDIRECT(CONCATENATE("'",$AW71,$AX$35,":",$AY$35)),AE$35)</f>
        <v>-288983.05945</v>
      </c>
      <c r="AF71" s="637">
        <f ca="1">+SUM(AB71:AE71)</f>
        <v>-941963.88233000017</v>
      </c>
      <c r="AG71" s="841">
        <f ca="1">+SUMIFS(INDIRECT(CONCATENATE("'",$AW71,$AX71,":",$AY71)),INDIRECT(CONCATENATE("'",$AW71,$AX$35,":",$AY$35)),AG$35)</f>
        <v>-235868.56953999994</v>
      </c>
      <c r="AH71" s="841">
        <f ca="1">+SUMIFS(INDIRECT(CONCATENATE("'",$AW71,$AX71,":",$AY71)),INDIRECT(CONCATENATE("'",$AW71,$AX$35,":",$AY$35)),AH$35)</f>
        <v>-261388.94050999999</v>
      </c>
      <c r="AI71" s="841">
        <f ca="1">+SUMIFS(INDIRECT(CONCATENATE("'",$AW71,$AX71,":",$AY71)),INDIRECT(CONCATENATE("'",$AW71,$AX$35,":",$AY$35)),AI$35)</f>
        <v>-294365.07498999999</v>
      </c>
      <c r="AJ71" s="841">
        <f ca="1">+SUMIFS(INDIRECT(CONCATENATE("'",$AW71,$AX71,":",$AY71)),INDIRECT(CONCATENATE("'",$AW71,$AX$35,":",$AY$35)),AJ$35)</f>
        <v>-322356.92486999987</v>
      </c>
      <c r="AK71" s="637">
        <f ca="1">+SUM(AG71:AJ71)</f>
        <v>-1113979.5099099998</v>
      </c>
      <c r="AL71" s="841">
        <f ca="1">+SUMIFS(INDIRECT(CONCATENATE("'",$AW71,$AX71,":",$AY71)),INDIRECT(CONCATENATE("'",$AW71,$AX$35,":",$AY$35)),AL$35)</f>
        <v>-272212.08776000008</v>
      </c>
      <c r="AM71" s="841">
        <f ca="1">+SUMIFS(INDIRECT(CONCATENATE("'",$AW71,$AX71,":",$AY71)),INDIRECT(CONCATENATE("'",$AW71,$AX$35,":",$AY$35)),AM$35)</f>
        <v>-330865.52973000001</v>
      </c>
      <c r="AN71" s="841">
        <f ca="1">+SUMIFS(INDIRECT(CONCATENATE("'",$AW71,$AX71,":",$AY71)),INDIRECT(CONCATENATE("'",$AW71,$AX$35,":",$AY$35)),AN$35)</f>
        <v>-421044.66129999998</v>
      </c>
      <c r="AO71" s="841">
        <f ca="1">+SUMIFS(INDIRECT(CONCATENATE("'",$AW71,$AX71,":",$AY71)),INDIRECT(CONCATENATE("'",$AW71,$AX$35,":",$AY$35)),AO$35)</f>
        <v>-438055.93491000007</v>
      </c>
      <c r="AP71" s="637">
        <f ca="1">+SUM(AL71:AO71)</f>
        <v>-1462178.2137000002</v>
      </c>
      <c r="AQ71" s="841">
        <f ca="1">+SUMIFS(INDIRECT(CONCATENATE("'",$AW71,$AX71,":",$AY71)),INDIRECT(CONCATENATE("'",$AW71,$AX$35,":",$AY$35)),AQ$35)</f>
        <v>-308836.84028999996</v>
      </c>
      <c r="AR71" s="841">
        <f ca="1">+SUMIFS(INDIRECT(CONCATENATE("'",$AW71,$AX71,":",$AY71)),INDIRECT(CONCATENATE("'",$AW71,$AX$35,":",$AY$35)),AR$35)</f>
        <v>-383234.3390700001</v>
      </c>
      <c r="AS71" s="841">
        <f ca="1">+SUMIFS(INDIRECT(CONCATENATE("'",$AW71,$AX71,":",$AY71)),INDIRECT(CONCATENATE("'",$AW71,$AX$35,":",$AY$35)),AS$35)</f>
        <v>-462122.52695999987</v>
      </c>
      <c r="AT71" s="841">
        <f ca="1">+SUMIFS(INDIRECT(CONCATENATE("'",$AW71,$AX71,":",$AY71)),INDIRECT(CONCATENATE("'",$AW71,$AX$35,":",$AY$35)),AT$35)</f>
        <v>-463638.68320000003</v>
      </c>
      <c r="AU71" s="637">
        <f ca="1">+SUM(AQ71:AT71)</f>
        <v>-1617832.38952</v>
      </c>
      <c r="AV71" s="841">
        <f ca="1">+SUMIFS(INDIRECT(CONCATENATE("'",$AW71,$AX71,":",$AY71)),INDIRECT(CONCATENATE("'",$AW71,$AX$35,":",$AY$35)),AV$35)</f>
        <v>-392335.67630000005</v>
      </c>
      <c r="AW71" s="267" t="s">
        <v>997</v>
      </c>
      <c r="AX71" s="267" t="str">
        <f>"$"&amp;ROW(Auto!$B$12)</f>
        <v>$12</v>
      </c>
      <c r="AY71" s="267" t="str">
        <f>"$"&amp;ROW(Auto!$B$12)</f>
        <v>$12</v>
      </c>
      <c r="AZ71" s="267" t="s">
        <v>998</v>
      </c>
      <c r="BA71" s="267" t="s">
        <v>997</v>
      </c>
      <c r="BK71" s="267"/>
      <c r="BL71" s="267"/>
      <c r="BM71" s="267"/>
      <c r="BN71" s="267"/>
      <c r="BO71" s="267"/>
      <c r="BP71" s="267"/>
      <c r="BQ71" s="267"/>
      <c r="BR71" s="267"/>
      <c r="BS71" s="267"/>
      <c r="BT71" s="267"/>
      <c r="BU71" s="267"/>
      <c r="BV71" s="267"/>
      <c r="BW71" s="267"/>
      <c r="BX71" s="267"/>
      <c r="BY71" s="267"/>
      <c r="BZ71" s="267"/>
      <c r="CA71" s="267"/>
      <c r="CB71" s="267"/>
      <c r="CC71" s="267"/>
      <c r="CD71" s="267"/>
      <c r="CE71" s="267"/>
      <c r="CF71" s="267"/>
      <c r="CG71" s="267"/>
    </row>
    <row r="72" spans="1:85" ht="13.5" customHeight="1" x14ac:dyDescent="0.2">
      <c r="A72" s="882"/>
      <c r="B72" s="881" t="s">
        <v>1138</v>
      </c>
      <c r="C72" s="841">
        <v>-112776.14310000002</v>
      </c>
      <c r="D72" s="841">
        <v>-140488.4051</v>
      </c>
      <c r="E72" s="841">
        <v>-160141.14546999999</v>
      </c>
      <c r="F72" s="884">
        <f>-152713.59027-24082.77427</f>
        <v>-176796.36453999998</v>
      </c>
      <c r="G72" s="898">
        <f>+SUM(C72:F72)</f>
        <v>-590202.05820999993</v>
      </c>
      <c r="H72" s="841">
        <v>-143533.71661</v>
      </c>
      <c r="I72" s="841">
        <v>-165525.01438000001</v>
      </c>
      <c r="J72" s="841">
        <v>-191095.73679000002</v>
      </c>
      <c r="K72" s="841">
        <v>-201538.18173000001</v>
      </c>
      <c r="L72" s="637">
        <f>+SUM(H72:K72)</f>
        <v>-701692.64951000013</v>
      </c>
      <c r="M72" s="841">
        <v>-161775.28102999998</v>
      </c>
      <c r="N72" s="841">
        <v>-184641.13052999999</v>
      </c>
      <c r="O72" s="841">
        <v>-187538.66755000001</v>
      </c>
      <c r="P72" s="841">
        <v>-212115.57791000002</v>
      </c>
      <c r="Q72" s="637">
        <f>+SUM(M72:P72)</f>
        <v>-746070.65702000004</v>
      </c>
      <c r="R72" s="841">
        <v>-148016.27359000003</v>
      </c>
      <c r="S72" s="841">
        <v>-52993.215260000004</v>
      </c>
      <c r="T72" s="841">
        <v>-157628.48306</v>
      </c>
      <c r="U72" s="841">
        <v>-176981.08489000003</v>
      </c>
      <c r="V72" s="637">
        <f>+SUM(R72:U72)</f>
        <v>-535619.05680000002</v>
      </c>
      <c r="W72" s="841">
        <v>-128013.06775</v>
      </c>
      <c r="X72" s="841">
        <v>-126923</v>
      </c>
      <c r="Y72" s="841">
        <v>-122330</v>
      </c>
      <c r="Z72" s="841">
        <v>-174967</v>
      </c>
      <c r="AA72" s="637">
        <f>+SUM(W72:Z72)</f>
        <v>-552233.06774999993</v>
      </c>
      <c r="AB72" s="841">
        <v>-130217</v>
      </c>
      <c r="AC72" s="841">
        <v>-169533</v>
      </c>
      <c r="AD72" s="841">
        <v>-239575.8</v>
      </c>
      <c r="AE72" s="841">
        <v>-243113.7</v>
      </c>
      <c r="AF72" s="637">
        <f>+SUM(AB72:AE72)</f>
        <v>-782439.5</v>
      </c>
      <c r="AG72" s="841">
        <v>-192990.3</v>
      </c>
      <c r="AH72" s="841">
        <v>-215290.58989999999</v>
      </c>
      <c r="AI72" s="841">
        <v>-249527.674</v>
      </c>
      <c r="AJ72" s="841">
        <v>-270939</v>
      </c>
      <c r="AK72" s="637">
        <f>+SUM(AG72:AJ72)</f>
        <v>-928747.56389999995</v>
      </c>
      <c r="AL72" s="841">
        <v>-224955.34987000006</v>
      </c>
      <c r="AM72" s="867">
        <v>-275790.3</v>
      </c>
      <c r="AN72" s="867">
        <v>-350751.98436999996</v>
      </c>
      <c r="AO72" s="867">
        <v>-367656.11516000004</v>
      </c>
      <c r="AP72" s="637">
        <f>+SUM(AL72:AO72)</f>
        <v>-1219153.7494000001</v>
      </c>
      <c r="AQ72" s="867">
        <v>-248819.58954999995</v>
      </c>
      <c r="AR72" s="867">
        <v>-313622</v>
      </c>
      <c r="AS72" s="867">
        <v>-387298</v>
      </c>
      <c r="AT72" s="867">
        <v>-380281</v>
      </c>
      <c r="AU72" s="637">
        <f>+SUM(AQ72:AT72)</f>
        <v>-1330020.5895499999</v>
      </c>
      <c r="AV72" s="867">
        <v>-320976.72727000009</v>
      </c>
      <c r="AW72" s="910"/>
      <c r="BK72" s="267"/>
      <c r="BL72" s="267"/>
      <c r="BM72" s="267"/>
      <c r="BN72" s="267"/>
      <c r="BO72" s="267"/>
      <c r="BP72" s="267"/>
      <c r="BQ72" s="267"/>
      <c r="BR72" s="267"/>
      <c r="BS72" s="267"/>
      <c r="BT72" s="267"/>
      <c r="BU72" s="267"/>
      <c r="BV72" s="267"/>
      <c r="BW72" s="267"/>
      <c r="BX72" s="267"/>
      <c r="BY72" s="267"/>
      <c r="BZ72" s="267"/>
      <c r="CA72" s="267"/>
      <c r="CB72" s="267"/>
      <c r="CC72" s="267"/>
      <c r="CD72" s="267"/>
      <c r="CE72" s="267"/>
      <c r="CF72" s="267"/>
      <c r="CG72" s="267"/>
    </row>
    <row r="73" spans="1:85" s="835" customFormat="1" ht="13.5" customHeight="1" x14ac:dyDescent="0.2">
      <c r="A73" s="840"/>
      <c r="B73" s="845" t="s">
        <v>994</v>
      </c>
      <c r="C73" s="847">
        <f t="shared" ref="C73:S73" ca="1" si="85">+C72/C70</f>
        <v>-0.6506860194752202</v>
      </c>
      <c r="D73" s="847">
        <f t="shared" ca="1" si="85"/>
        <v>-0.65110148555921576</v>
      </c>
      <c r="E73" s="847">
        <f t="shared" ca="1" si="85"/>
        <v>-0.65587147025931569</v>
      </c>
      <c r="F73" s="847">
        <f t="shared" ca="1" si="85"/>
        <v>-0.64329798410934225</v>
      </c>
      <c r="G73" s="846">
        <f t="shared" ca="1" si="85"/>
        <v>-0.64994304025492233</v>
      </c>
      <c r="H73" s="847">
        <f t="shared" ca="1" si="85"/>
        <v>-0.64520965799375329</v>
      </c>
      <c r="I73" s="847">
        <f t="shared" ca="1" si="85"/>
        <v>-0.6466058178806493</v>
      </c>
      <c r="J73" s="847">
        <f t="shared" ca="1" si="85"/>
        <v>-0.64541766412776824</v>
      </c>
      <c r="K73" s="847">
        <f t="shared" ca="1" si="85"/>
        <v>-0.62556645597778227</v>
      </c>
      <c r="L73" s="846">
        <f t="shared" ca="1" si="85"/>
        <v>-0.63982127760824392</v>
      </c>
      <c r="M73" s="847">
        <f t="shared" ca="1" si="85"/>
        <v>-0.62484026289144001</v>
      </c>
      <c r="N73" s="847">
        <f t="shared" ca="1" si="85"/>
        <v>-0.62780712771465419</v>
      </c>
      <c r="O73" s="847">
        <f t="shared" ca="1" si="85"/>
        <v>-0.62556360674335332</v>
      </c>
      <c r="P73" s="847">
        <f t="shared" ca="1" si="85"/>
        <v>-0.62878134346679682</v>
      </c>
      <c r="Q73" s="846">
        <f t="shared" ca="1" si="85"/>
        <v>-0.62687271895814234</v>
      </c>
      <c r="R73" s="847">
        <f t="shared" ca="1" si="85"/>
        <v>-0.61478636175848866</v>
      </c>
      <c r="S73" s="847">
        <f t="shared" ca="1" si="85"/>
        <v>-0.60997492921256069</v>
      </c>
      <c r="T73" s="847">
        <f t="shared" ref="T73:Z73" ca="1" si="86">+T72/T70</f>
        <v>-0.64218270341974792</v>
      </c>
      <c r="U73" s="847">
        <f t="shared" ca="1" si="86"/>
        <v>-0.64932364038616008</v>
      </c>
      <c r="V73" s="846">
        <f t="shared" ca="1" si="86"/>
        <v>-0.63337566025135683</v>
      </c>
      <c r="W73" s="847">
        <f t="shared" ca="1" si="86"/>
        <v>-0.63743675517687592</v>
      </c>
      <c r="X73" s="847">
        <f t="shared" ca="1" si="86"/>
        <v>-0.6332631974330728</v>
      </c>
      <c r="Y73" s="847">
        <f t="shared" ca="1" si="86"/>
        <v>-0.62952801614654652</v>
      </c>
      <c r="Z73" s="847">
        <f t="shared" ca="1" si="86"/>
        <v>-0.64340043874588204</v>
      </c>
      <c r="AA73" s="846">
        <f t="shared" ref="AA73:AF73" ca="1" si="87">+AA72/AA70</f>
        <v>-0.63657042739112379</v>
      </c>
      <c r="AB73" s="847">
        <f t="shared" ca="1" si="87"/>
        <v>-0.64529494999965209</v>
      </c>
      <c r="AC73" s="847">
        <f t="shared" ca="1" si="87"/>
        <v>-0.6370977235341001</v>
      </c>
      <c r="AD73" s="847">
        <f t="shared" ca="1" si="87"/>
        <v>-0.64207045430574206</v>
      </c>
      <c r="AE73" s="847">
        <f t="shared" ca="1" si="87"/>
        <v>-0.65280856310292601</v>
      </c>
      <c r="AF73" s="846">
        <f t="shared" ca="1" si="87"/>
        <v>-0.64481178110932869</v>
      </c>
      <c r="AG73" s="847">
        <f t="shared" ref="AG73:AM73" ca="1" si="88">+AG72/AG70</f>
        <v>-0.64971201898873621</v>
      </c>
      <c r="AH73" s="847">
        <f t="shared" ca="1" si="88"/>
        <v>-0.65061413748161945</v>
      </c>
      <c r="AI73" s="847">
        <f t="shared" ca="1" si="88"/>
        <v>-0.64673900420535246</v>
      </c>
      <c r="AJ73" s="847">
        <f t="shared" ca="1" si="88"/>
        <v>-0.65543747132039198</v>
      </c>
      <c r="AK73" s="846">
        <f t="shared" ca="1" si="88"/>
        <v>-0.65077581867830092</v>
      </c>
      <c r="AL73" s="847">
        <f t="shared" ca="1" si="88"/>
        <v>-0.64733146453183066</v>
      </c>
      <c r="AM73" s="847">
        <f t="shared" ca="1" si="88"/>
        <v>-0.64545692168124891</v>
      </c>
      <c r="AN73" s="847">
        <f t="shared" ref="AN73:AV73" ca="1" si="89">+AN72/AN70</f>
        <v>-0.62418918792833911</v>
      </c>
      <c r="AO73" s="847">
        <f t="shared" ca="1" si="89"/>
        <v>-0.63026412491457573</v>
      </c>
      <c r="AP73" s="846">
        <f t="shared" ca="1" si="89"/>
        <v>-0.63495614854578575</v>
      </c>
      <c r="AQ73" s="847">
        <f t="shared" ca="1" si="89"/>
        <v>-0.63066477499906004</v>
      </c>
      <c r="AR73" s="847">
        <f t="shared" ca="1" si="89"/>
        <v>-0.63242191946741044</v>
      </c>
      <c r="AS73" s="847">
        <f t="shared" ca="1" si="89"/>
        <v>-0.64564839403926588</v>
      </c>
      <c r="AT73" s="847">
        <f t="shared" ca="1" si="89"/>
        <v>-0.66499228345284234</v>
      </c>
      <c r="AU73" s="846">
        <f t="shared" ca="1" si="89"/>
        <v>-0.64496527155486605</v>
      </c>
      <c r="AV73" s="847">
        <f t="shared" ca="1" si="89"/>
        <v>-0.66856084857831399</v>
      </c>
      <c r="AW73" s="836"/>
      <c r="AX73" s="836"/>
      <c r="AY73" s="836"/>
      <c r="AZ73" s="836"/>
      <c r="BA73" s="836"/>
      <c r="BB73" s="836"/>
      <c r="BC73" s="836"/>
      <c r="BD73" s="836"/>
      <c r="BE73" s="836"/>
      <c r="BH73" s="836"/>
      <c r="BI73" s="836"/>
      <c r="BJ73" s="836"/>
      <c r="BK73" s="836"/>
      <c r="BL73" s="836"/>
      <c r="BM73" s="836"/>
      <c r="BN73" s="836"/>
      <c r="BO73" s="836"/>
      <c r="BP73" s="836"/>
      <c r="BQ73" s="836"/>
      <c r="BR73" s="836"/>
      <c r="BS73" s="836"/>
      <c r="BT73" s="836"/>
      <c r="BU73" s="836"/>
      <c r="BV73" s="836"/>
      <c r="BW73" s="836"/>
      <c r="BX73" s="836"/>
      <c r="BY73" s="836"/>
      <c r="BZ73" s="836"/>
      <c r="CA73" s="836"/>
      <c r="CB73" s="836"/>
      <c r="CC73" s="836"/>
      <c r="CD73" s="836"/>
      <c r="CE73" s="836"/>
      <c r="CF73" s="836"/>
      <c r="CG73" s="836"/>
    </row>
    <row r="74" spans="1:85" ht="13.5" customHeight="1" x14ac:dyDescent="0.2">
      <c r="A74" s="882"/>
      <c r="B74" s="881" t="s">
        <v>1094</v>
      </c>
      <c r="C74" s="841">
        <f ca="1">+C71-C72</f>
        <v>-28345.189119999966</v>
      </c>
      <c r="D74" s="841">
        <f ca="1">+D71-D72</f>
        <v>-30370.459379999986</v>
      </c>
      <c r="E74" s="841">
        <f ca="1">+E71-E72</f>
        <v>-30876.699969999987</v>
      </c>
      <c r="F74" s="841">
        <f ca="1">+F71-F72</f>
        <v>-31521.753900000011</v>
      </c>
      <c r="G74" s="637">
        <f ca="1">SUM(C74:F74)</f>
        <v>-121114.10236999995</v>
      </c>
      <c r="H74" s="841">
        <f>+H71-H72</f>
        <v>-31508.917690000002</v>
      </c>
      <c r="I74" s="841">
        <f>+I71-I72</f>
        <v>-34628.54071000003</v>
      </c>
      <c r="J74" s="841">
        <f>+J71-J72</f>
        <v>-35669.548869999999</v>
      </c>
      <c r="K74" s="841">
        <f>+K71-K72</f>
        <v>-40159.511599999998</v>
      </c>
      <c r="L74" s="637">
        <f>+SUM(H74:K74)</f>
        <v>-141966.51887000003</v>
      </c>
      <c r="M74" s="841">
        <v>-33235.889690000011</v>
      </c>
      <c r="N74" s="841">
        <v>-37986.352019999991</v>
      </c>
      <c r="O74" s="884">
        <f>-43982.50676+5890.86895115869</f>
        <v>-38091.637808841304</v>
      </c>
      <c r="P74" s="841">
        <v>-39693.339130000008</v>
      </c>
      <c r="Q74" s="898">
        <f>+SUM(M74:P74)</f>
        <v>-149007.21864884131</v>
      </c>
      <c r="R74" s="841">
        <f ca="1">+R71-R72</f>
        <v>-35921.54846999998</v>
      </c>
      <c r="S74" s="841">
        <f ca="1">+S71-S72</f>
        <v>-26175.614269999998</v>
      </c>
      <c r="T74" s="841">
        <f ca="1">+T71-T72</f>
        <v>-28087.733169999992</v>
      </c>
      <c r="U74" s="841">
        <f ca="1">+U71-U72</f>
        <v>-30404.022269999958</v>
      </c>
      <c r="V74" s="637">
        <f ca="1">+SUM(R74:U74)</f>
        <v>-120588.91817999992</v>
      </c>
      <c r="W74" s="841">
        <f ca="1">+W71-W72</f>
        <v>-28501.964950000009</v>
      </c>
      <c r="X74" s="841">
        <f ca="1">+X71-X72</f>
        <v>-29825.707460000005</v>
      </c>
      <c r="Y74" s="841">
        <f ca="1">+Y71-Y72</f>
        <v>-30533.658590000035</v>
      </c>
      <c r="Z74" s="841">
        <f ca="1">+Z71-Z72</f>
        <v>-36562.13235</v>
      </c>
      <c r="AA74" s="637">
        <f ca="1">+SUM(W74:Z74)</f>
        <v>-125423.46335000005</v>
      </c>
      <c r="AB74" s="841">
        <f ca="1">+AB71-AB72</f>
        <v>-34378.843510000006</v>
      </c>
      <c r="AC74" s="841">
        <f ca="1">+AC71-AC72</f>
        <v>-38787.342730000004</v>
      </c>
      <c r="AD74" s="841">
        <f ca="1">+AD71-AD72</f>
        <v>-40488.836640000052</v>
      </c>
      <c r="AE74" s="841">
        <f ca="1">+AE71-AE72</f>
        <v>-45869.359449999989</v>
      </c>
      <c r="AF74" s="637">
        <f ca="1">+SUM(AB74:AE74)</f>
        <v>-159524.38233000005</v>
      </c>
      <c r="AG74" s="841">
        <f ca="1">+AG71-AG72</f>
        <v>-42878.26953999995</v>
      </c>
      <c r="AH74" s="841">
        <f ca="1">+AH71-AH72</f>
        <v>-46098.350609999994</v>
      </c>
      <c r="AI74" s="841">
        <f ca="1">+AI71-AI72</f>
        <v>-44837.400989999995</v>
      </c>
      <c r="AJ74" s="841">
        <f ca="1">+AJ71-AJ72</f>
        <v>-51417.924869999872</v>
      </c>
      <c r="AK74" s="637">
        <f ca="1">+SUM(AG74:AJ74)</f>
        <v>-185231.94600999981</v>
      </c>
      <c r="AL74" s="841">
        <f ca="1">+AL71-AL72</f>
        <v>-47256.737890000019</v>
      </c>
      <c r="AM74" s="841">
        <f ca="1">+AM71-AM72</f>
        <v>-55075.229730000021</v>
      </c>
      <c r="AN74" s="841">
        <f ca="1">+AN71-AN72</f>
        <v>-70292.676930000016</v>
      </c>
      <c r="AO74" s="841">
        <f ca="1">+AO71-AO72</f>
        <v>-70399.819750000024</v>
      </c>
      <c r="AP74" s="637">
        <f ca="1">+SUM(AL74:AO74)</f>
        <v>-243024.46430000008</v>
      </c>
      <c r="AQ74" s="841">
        <f ca="1">+AQ71-AQ72</f>
        <v>-60017.250740000018</v>
      </c>
      <c r="AR74" s="841">
        <f ca="1">+AR71-AR72</f>
        <v>-69612.339070000104</v>
      </c>
      <c r="AS74" s="841">
        <f ca="1">+AS71-AS72</f>
        <v>-74824.526959999872</v>
      </c>
      <c r="AT74" s="841">
        <f ca="1">+AT71-AT72</f>
        <v>-83357.683200000029</v>
      </c>
      <c r="AU74" s="637">
        <f ca="1">+SUM(AQ74:AT74)</f>
        <v>-287811.79997000005</v>
      </c>
      <c r="AV74" s="841">
        <f ca="1">+AV71-AV72</f>
        <v>-71358.94902999996</v>
      </c>
      <c r="BK74" s="267"/>
      <c r="BL74" s="267"/>
      <c r="BM74" s="267"/>
      <c r="BN74" s="267"/>
      <c r="BO74" s="267"/>
      <c r="BP74" s="267"/>
      <c r="BQ74" s="267"/>
      <c r="BR74" s="267"/>
      <c r="BS74" s="267"/>
      <c r="BT74" s="267"/>
      <c r="BU74" s="267"/>
      <c r="BV74" s="267"/>
      <c r="BW74" s="267"/>
      <c r="BX74" s="267"/>
      <c r="BY74" s="267"/>
      <c r="BZ74" s="267"/>
      <c r="CA74" s="267"/>
      <c r="CB74" s="267"/>
      <c r="CC74" s="267"/>
      <c r="CD74" s="267"/>
      <c r="CE74" s="267"/>
      <c r="CF74" s="267"/>
      <c r="CG74" s="267"/>
    </row>
    <row r="75" spans="1:85" s="835" customFormat="1" ht="13.5" customHeight="1" x14ac:dyDescent="0.2">
      <c r="A75" s="840"/>
      <c r="B75" s="845" t="s">
        <v>1090</v>
      </c>
      <c r="C75" s="847">
        <f ca="1">+C74/C70</f>
        <v>-0.16354361634278211</v>
      </c>
      <c r="D75" s="847">
        <f ca="1">+D74/D70</f>
        <v>-0.14075361739182993</v>
      </c>
      <c r="E75" s="847">
        <f ca="1">+E74/E70</f>
        <v>-0.12645811010433547</v>
      </c>
      <c r="F75" s="847">
        <f ca="1">+F74/F70</f>
        <v>-0.11469625403339645</v>
      </c>
      <c r="G75" s="846">
        <f t="shared" ref="G75:X75" ca="1" si="90">+G74/G70</f>
        <v>-0.13337342155471651</v>
      </c>
      <c r="H75" s="847">
        <f t="shared" ca="1" si="90"/>
        <v>-0.14163820520134041</v>
      </c>
      <c r="I75" s="847">
        <f t="shared" ca="1" si="90"/>
        <v>-0.13527270166187269</v>
      </c>
      <c r="J75" s="847">
        <f t="shared" ca="1" si="90"/>
        <v>-0.12047237316165701</v>
      </c>
      <c r="K75" s="847">
        <f t="shared" ca="1" si="90"/>
        <v>-0.12465351790792219</v>
      </c>
      <c r="L75" s="846">
        <f t="shared" ca="1" si="90"/>
        <v>-0.12944869743815635</v>
      </c>
      <c r="M75" s="847">
        <f t="shared" ca="1" si="90"/>
        <v>-0.12837018065497535</v>
      </c>
      <c r="N75" s="847">
        <f t="shared" ca="1" si="90"/>
        <v>-0.12915921000689048</v>
      </c>
      <c r="O75" s="847">
        <f t="shared" ca="1" si="90"/>
        <v>-0.12706042250250726</v>
      </c>
      <c r="P75" s="847">
        <f t="shared" ca="1" si="90"/>
        <v>-0.11766430052315331</v>
      </c>
      <c r="Q75" s="846">
        <f t="shared" ca="1" si="90"/>
        <v>-0.12520068899625086</v>
      </c>
      <c r="R75" s="847">
        <f t="shared" ca="1" si="90"/>
        <v>-0.14920033829371104</v>
      </c>
      <c r="S75" s="847">
        <f t="shared" ca="1" si="90"/>
        <v>-0.30129269158518579</v>
      </c>
      <c r="T75" s="847">
        <f t="shared" ca="1" si="90"/>
        <v>-0.11443018463342892</v>
      </c>
      <c r="U75" s="847">
        <f t="shared" ca="1" si="90"/>
        <v>-0.11154892871748771</v>
      </c>
      <c r="V75" s="846">
        <f t="shared" ca="1" si="90"/>
        <v>-0.14259777485806269</v>
      </c>
      <c r="W75" s="847">
        <f t="shared" ca="1" si="90"/>
        <v>-0.14192457358630134</v>
      </c>
      <c r="X75" s="847">
        <f t="shared" ca="1" si="90"/>
        <v>-0.14881087645125829</v>
      </c>
      <c r="Y75" s="847">
        <f t="shared" ref="Y75:AD75" ca="1" si="91">+Y74/Y70</f>
        <v>-0.15713065901952655</v>
      </c>
      <c r="Z75" s="847">
        <f t="shared" ca="1" si="91"/>
        <v>-0.13444873602150695</v>
      </c>
      <c r="AA75" s="846">
        <f t="shared" ca="1" si="91"/>
        <v>-0.14457820860834258</v>
      </c>
      <c r="AB75" s="847">
        <f t="shared" ca="1" si="91"/>
        <v>-0.17036557518474021</v>
      </c>
      <c r="AC75" s="847">
        <f t="shared" ca="1" si="91"/>
        <v>-0.14576116599847777</v>
      </c>
      <c r="AD75" s="847">
        <f t="shared" ca="1" si="91"/>
        <v>-0.10851131765293409</v>
      </c>
      <c r="AE75" s="847">
        <f t="shared" ref="AE75:AM75" ca="1" si="92">+AE74/AE70</f>
        <v>-0.12316833906524442</v>
      </c>
      <c r="AF75" s="846">
        <f t="shared" ca="1" si="92"/>
        <v>-0.13146473446262982</v>
      </c>
      <c r="AG75" s="847">
        <f t="shared" ca="1" si="92"/>
        <v>-0.14435195485771354</v>
      </c>
      <c r="AH75" s="847">
        <f t="shared" ca="1" si="92"/>
        <v>-0.1393104948775582</v>
      </c>
      <c r="AI75" s="847">
        <f t="shared" ca="1" si="92"/>
        <v>-0.11621194396028668</v>
      </c>
      <c r="AJ75" s="847">
        <f t="shared" ca="1" si="92"/>
        <v>-0.12438679797790135</v>
      </c>
      <c r="AK75" s="846">
        <f t="shared" ca="1" si="92"/>
        <v>-0.12979250336209949</v>
      </c>
      <c r="AL75" s="847">
        <f t="shared" ca="1" si="92"/>
        <v>-0.13598597839530704</v>
      </c>
      <c r="AM75" s="847">
        <f t="shared" ca="1" si="92"/>
        <v>-0.1288975291821845</v>
      </c>
      <c r="AN75" s="847">
        <f t="shared" ref="AN75:AV75" ca="1" si="93">+AN74/AN70</f>
        <v>-0.12509103550491144</v>
      </c>
      <c r="AO75" s="847">
        <f t="shared" ca="1" si="93"/>
        <v>-0.12068473489028753</v>
      </c>
      <c r="AP75" s="846">
        <f t="shared" ca="1" si="93"/>
        <v>-0.12657130237287431</v>
      </c>
      <c r="AQ75" s="847">
        <f t="shared" ca="1" si="93"/>
        <v>-0.15212132614823007</v>
      </c>
      <c r="AR75" s="847">
        <f t="shared" ca="1" si="93"/>
        <v>-0.14037398235221279</v>
      </c>
      <c r="AS75" s="847">
        <f t="shared" ca="1" si="93"/>
        <v>-0.12473685809498544</v>
      </c>
      <c r="AT75" s="847">
        <f t="shared" ca="1" si="93"/>
        <v>-0.14576646241728261</v>
      </c>
      <c r="AU75" s="846">
        <f t="shared" ca="1" si="93"/>
        <v>-0.13956822712583086</v>
      </c>
      <c r="AV75" s="847">
        <f t="shared" ca="1" si="93"/>
        <v>-0.14863320441616459</v>
      </c>
      <c r="AW75" s="836"/>
      <c r="AX75" s="836"/>
      <c r="AY75" s="836"/>
      <c r="AZ75" s="836"/>
      <c r="BA75" s="836"/>
      <c r="BB75" s="836"/>
      <c r="BC75" s="836"/>
      <c r="BD75" s="836"/>
      <c r="BE75" s="836"/>
      <c r="BH75" s="836"/>
      <c r="BI75" s="836"/>
      <c r="BJ75" s="836"/>
      <c r="BK75" s="836"/>
      <c r="BL75" s="836"/>
      <c r="BM75" s="836"/>
      <c r="BN75" s="836"/>
      <c r="BO75" s="836"/>
      <c r="BP75" s="836"/>
      <c r="BQ75" s="836"/>
      <c r="BR75" s="836"/>
      <c r="BS75" s="836"/>
      <c r="BT75" s="836"/>
      <c r="BU75" s="836"/>
      <c r="BV75" s="836"/>
      <c r="BW75" s="836"/>
      <c r="BX75" s="836"/>
      <c r="BY75" s="836"/>
      <c r="BZ75" s="836"/>
      <c r="CA75" s="836"/>
      <c r="CB75" s="836"/>
      <c r="CC75" s="836"/>
      <c r="CD75" s="836"/>
      <c r="CE75" s="836"/>
      <c r="CF75" s="836"/>
      <c r="CG75" s="836"/>
    </row>
    <row r="76" spans="1:85" ht="13.5" customHeight="1" x14ac:dyDescent="0.2">
      <c r="A76" s="24"/>
      <c r="B76" s="850" t="s">
        <v>1095</v>
      </c>
      <c r="C76" s="849">
        <f t="shared" ref="C76:P76" ca="1" si="94">C70+C71</f>
        <v>32197.503170000011</v>
      </c>
      <c r="D76" s="849">
        <f t="shared" ca="1" si="94"/>
        <v>44911.500380000012</v>
      </c>
      <c r="E76" s="849">
        <f t="shared" ca="1" si="94"/>
        <v>53147.593570000026</v>
      </c>
      <c r="F76" s="984">
        <f t="shared" ca="1" si="94"/>
        <v>66509.984410000034</v>
      </c>
      <c r="G76" s="985">
        <f t="shared" ca="1" si="94"/>
        <v>196766.58153000008</v>
      </c>
      <c r="H76" s="849">
        <f t="shared" ca="1" si="94"/>
        <v>47417.948600000003</v>
      </c>
      <c r="I76" s="849">
        <f t="shared" ca="1" si="94"/>
        <v>55837.049699999974</v>
      </c>
      <c r="J76" s="849">
        <f t="shared" ca="1" si="94"/>
        <v>69315.449979999947</v>
      </c>
      <c r="K76" s="984">
        <f t="shared" ca="1" si="94"/>
        <v>80471.406058471504</v>
      </c>
      <c r="L76" s="985">
        <f t="shared" ca="1" si="94"/>
        <v>253041.85433847131</v>
      </c>
      <c r="M76" s="849">
        <f t="shared" ca="1" si="94"/>
        <v>63895.450120000023</v>
      </c>
      <c r="N76" s="849">
        <f t="shared" ca="1" si="94"/>
        <v>71477.382430000027</v>
      </c>
      <c r="O76" s="984">
        <f t="shared" ca="1" si="94"/>
        <v>74161.219481158711</v>
      </c>
      <c r="P76" s="849">
        <f t="shared" ca="1" si="94"/>
        <v>85535.026309999987</v>
      </c>
      <c r="Q76" s="985">
        <f ca="1">+SUM(M76:P76)</f>
        <v>295069.07834115875</v>
      </c>
      <c r="R76" s="849">
        <f ca="1">R70+R71</f>
        <v>56822.680770000006</v>
      </c>
      <c r="S76" s="849">
        <f ca="1">S70+S71</f>
        <v>7708.8644899999927</v>
      </c>
      <c r="T76" s="849">
        <f ca="1">T70+T71</f>
        <v>59741.162520000013</v>
      </c>
      <c r="U76" s="849">
        <f ca="1">U70+U71</f>
        <v>65177.100470000034</v>
      </c>
      <c r="V76" s="848">
        <f ca="1">+SUM(R76:U76)</f>
        <v>189449.80825000006</v>
      </c>
      <c r="W76" s="849">
        <f ca="1">W70+W71</f>
        <v>44309.70279000001</v>
      </c>
      <c r="X76" s="849">
        <f ca="1">X70+X71</f>
        <v>43678.224839999981</v>
      </c>
      <c r="Y76" s="849">
        <f ca="1">Y70+Y71</f>
        <v>41456.525519999996</v>
      </c>
      <c r="Z76" s="849">
        <f ca="1">Z70+Z71</f>
        <v>60411.931819999911</v>
      </c>
      <c r="AA76" s="848">
        <f ca="1">+SUM(W76:Z76)</f>
        <v>189856.3849699999</v>
      </c>
      <c r="AB76" s="849">
        <f ca="1">AB70+AB71</f>
        <v>37198.700209999981</v>
      </c>
      <c r="AC76" s="849">
        <f ca="1">AC70+AC71</f>
        <v>57781.691129999963</v>
      </c>
      <c r="AD76" s="849">
        <f ca="1">AD70+AD71</f>
        <v>93065.443389999971</v>
      </c>
      <c r="AE76" s="849">
        <f ca="1">AE70+AE71</f>
        <v>83428.875289999938</v>
      </c>
      <c r="AF76" s="848">
        <f ca="1">+SUM(AB76:AE76)</f>
        <v>271474.71001999988</v>
      </c>
      <c r="AG76" s="849">
        <f ca="1">AG70+AG71</f>
        <v>61171.187089999847</v>
      </c>
      <c r="AH76" s="849">
        <f ca="1">AH70+AH71</f>
        <v>69514.704980000097</v>
      </c>
      <c r="AI76" s="849">
        <f ca="1">AI70+AI71</f>
        <v>91459.302970000077</v>
      </c>
      <c r="AJ76" s="849">
        <f ca="1">AJ70+AJ71</f>
        <v>91014.314730000275</v>
      </c>
      <c r="AK76" s="848">
        <f ca="1">+SUM(AG76:AJ76)</f>
        <v>313159.5097700003</v>
      </c>
      <c r="AL76" s="849">
        <f ca="1">AL70+AL71</f>
        <v>75299.754619999847</v>
      </c>
      <c r="AM76" s="849">
        <f ca="1">AM70+AM71</f>
        <v>96413.643730000011</v>
      </c>
      <c r="AN76" s="849">
        <f ca="1">AN70+AN71</f>
        <v>140887.5079100001</v>
      </c>
      <c r="AO76" s="849">
        <f ca="1">AO70+AO71</f>
        <v>145280.63879999996</v>
      </c>
      <c r="AP76" s="848">
        <f ca="1">+SUM(AL76:AO76)</f>
        <v>457881.54505999992</v>
      </c>
      <c r="AQ76" s="849">
        <f ca="1">AQ70+AQ71</f>
        <v>85698.576009999961</v>
      </c>
      <c r="AR76" s="849">
        <f ca="1">AR70+AR71</f>
        <v>112671.93859999982</v>
      </c>
      <c r="AS76" s="849">
        <f ca="1">AS70+AS71</f>
        <v>137736.47304000013</v>
      </c>
      <c r="AT76" s="849">
        <f ca="1">AT70+AT71</f>
        <v>108219.08035999996</v>
      </c>
      <c r="AU76" s="848">
        <f ca="1">+SUM(AQ76:AT76)</f>
        <v>444326.06800999987</v>
      </c>
      <c r="AV76" s="849">
        <f ca="1">AV70+AV71</f>
        <v>87765.316680000105</v>
      </c>
      <c r="BK76" s="267"/>
      <c r="BL76" s="267"/>
      <c r="BM76" s="267"/>
      <c r="BN76" s="267"/>
      <c r="BO76" s="267"/>
      <c r="BP76" s="267"/>
      <c r="BQ76" s="267"/>
      <c r="BR76" s="267"/>
      <c r="BS76" s="267"/>
      <c r="BT76" s="267"/>
      <c r="BU76" s="267"/>
      <c r="BV76" s="267"/>
      <c r="BW76" s="267"/>
      <c r="BX76" s="267"/>
      <c r="BY76" s="267"/>
      <c r="BZ76" s="267"/>
      <c r="CA76" s="267"/>
      <c r="CB76" s="267"/>
      <c r="CC76" s="267"/>
      <c r="CD76" s="267"/>
      <c r="CE76" s="267"/>
      <c r="CF76" s="267"/>
      <c r="CG76" s="267"/>
    </row>
    <row r="77" spans="1:85" s="835" customFormat="1" ht="13.5" customHeight="1" x14ac:dyDescent="0.2">
      <c r="A77" s="840"/>
      <c r="B77" s="845" t="s">
        <v>1092</v>
      </c>
      <c r="C77" s="844">
        <f t="shared" ref="C77:X77" ca="1" si="95">ROUND(C76/C70,3)</f>
        <v>0.186</v>
      </c>
      <c r="D77" s="844">
        <f t="shared" ca="1" si="95"/>
        <v>0.20799999999999999</v>
      </c>
      <c r="E77" s="844">
        <f t="shared" ca="1" si="95"/>
        <v>0.218</v>
      </c>
      <c r="F77" s="844">
        <f t="shared" ca="1" si="95"/>
        <v>0.24199999999999999</v>
      </c>
      <c r="G77" s="843">
        <f t="shared" ca="1" si="95"/>
        <v>0.217</v>
      </c>
      <c r="H77" s="844">
        <f t="shared" ca="1" si="95"/>
        <v>0.21299999999999999</v>
      </c>
      <c r="I77" s="844">
        <f t="shared" ca="1" si="95"/>
        <v>0.218</v>
      </c>
      <c r="J77" s="844">
        <f t="shared" ca="1" si="95"/>
        <v>0.23400000000000001</v>
      </c>
      <c r="K77" s="844">
        <f t="shared" ca="1" si="95"/>
        <v>0.25</v>
      </c>
      <c r="L77" s="843">
        <f t="shared" ca="1" si="95"/>
        <v>0.23100000000000001</v>
      </c>
      <c r="M77" s="844">
        <f t="shared" ca="1" si="95"/>
        <v>0.247</v>
      </c>
      <c r="N77" s="844">
        <f t="shared" ca="1" si="95"/>
        <v>0.24299999999999999</v>
      </c>
      <c r="O77" s="844">
        <f t="shared" ca="1" si="95"/>
        <v>0.247</v>
      </c>
      <c r="P77" s="844">
        <f t="shared" ca="1" si="95"/>
        <v>0.254</v>
      </c>
      <c r="Q77" s="843">
        <f t="shared" ca="1" si="95"/>
        <v>0.248</v>
      </c>
      <c r="R77" s="844">
        <f t="shared" ca="1" si="95"/>
        <v>0.23599999999999999</v>
      </c>
      <c r="S77" s="844">
        <f t="shared" ca="1" si="95"/>
        <v>8.8999999999999996E-2</v>
      </c>
      <c r="T77" s="844">
        <f t="shared" ca="1" si="95"/>
        <v>0.24299999999999999</v>
      </c>
      <c r="U77" s="844">
        <f t="shared" ca="1" si="95"/>
        <v>0.23899999999999999</v>
      </c>
      <c r="V77" s="843">
        <f t="shared" ca="1" si="95"/>
        <v>0.224</v>
      </c>
      <c r="W77" s="844">
        <f t="shared" ca="1" si="95"/>
        <v>0.221</v>
      </c>
      <c r="X77" s="844">
        <f t="shared" ca="1" si="95"/>
        <v>0.218</v>
      </c>
      <c r="Y77" s="844">
        <f t="shared" ref="Y77:AD77" ca="1" si="96">ROUND(Y76/Y70,3)</f>
        <v>0.21299999999999999</v>
      </c>
      <c r="Z77" s="844">
        <f t="shared" ca="1" si="96"/>
        <v>0.222</v>
      </c>
      <c r="AA77" s="843">
        <f t="shared" ca="1" si="96"/>
        <v>0.219</v>
      </c>
      <c r="AB77" s="844">
        <f t="shared" ca="1" si="96"/>
        <v>0.184</v>
      </c>
      <c r="AC77" s="844">
        <f t="shared" ca="1" si="96"/>
        <v>0.217</v>
      </c>
      <c r="AD77" s="844">
        <f t="shared" ca="1" si="96"/>
        <v>0.249</v>
      </c>
      <c r="AE77" s="844">
        <f t="shared" ref="AE77:AM77" ca="1" si="97">ROUND(AE76/AE70,3)</f>
        <v>0.224</v>
      </c>
      <c r="AF77" s="843">
        <f t="shared" ca="1" si="97"/>
        <v>0.224</v>
      </c>
      <c r="AG77" s="844">
        <f t="shared" ca="1" si="97"/>
        <v>0.20599999999999999</v>
      </c>
      <c r="AH77" s="844">
        <f t="shared" ca="1" si="97"/>
        <v>0.21</v>
      </c>
      <c r="AI77" s="844">
        <f t="shared" ca="1" si="97"/>
        <v>0.23699999999999999</v>
      </c>
      <c r="AJ77" s="844">
        <f t="shared" ca="1" si="97"/>
        <v>0.22</v>
      </c>
      <c r="AK77" s="843">
        <f t="shared" ca="1" si="97"/>
        <v>0.219</v>
      </c>
      <c r="AL77" s="844">
        <f t="shared" ca="1" si="97"/>
        <v>0.217</v>
      </c>
      <c r="AM77" s="844">
        <f t="shared" ca="1" si="97"/>
        <v>0.22600000000000001</v>
      </c>
      <c r="AN77" s="844">
        <f t="shared" ref="AN77:AV77" ca="1" si="98">ROUND(AN76/AN70,3)</f>
        <v>0.251</v>
      </c>
      <c r="AO77" s="844">
        <f t="shared" ca="1" si="98"/>
        <v>0.249</v>
      </c>
      <c r="AP77" s="843">
        <f t="shared" ca="1" si="98"/>
        <v>0.23799999999999999</v>
      </c>
      <c r="AQ77" s="844">
        <f t="shared" ca="1" si="98"/>
        <v>0.217</v>
      </c>
      <c r="AR77" s="844">
        <f t="shared" ca="1" si="98"/>
        <v>0.22700000000000001</v>
      </c>
      <c r="AS77" s="844">
        <f t="shared" ca="1" si="98"/>
        <v>0.23</v>
      </c>
      <c r="AT77" s="844">
        <f t="shared" ca="1" si="98"/>
        <v>0.189</v>
      </c>
      <c r="AU77" s="843">
        <f t="shared" ca="1" si="98"/>
        <v>0.215</v>
      </c>
      <c r="AV77" s="844">
        <f t="shared" ca="1" si="98"/>
        <v>0.183</v>
      </c>
      <c r="AW77" s="836"/>
      <c r="AX77" s="836"/>
      <c r="AY77" s="836"/>
      <c r="AZ77" s="836"/>
      <c r="BA77" s="836"/>
      <c r="BB77" s="836"/>
      <c r="BC77" s="836"/>
      <c r="BD77" s="836"/>
      <c r="BE77" s="836"/>
      <c r="BH77" s="836"/>
      <c r="BI77" s="836"/>
      <c r="BJ77" s="836"/>
      <c r="BK77" s="836"/>
      <c r="BL77" s="836"/>
      <c r="BM77" s="836"/>
      <c r="BN77" s="836"/>
      <c r="BO77" s="836"/>
      <c r="BP77" s="836"/>
      <c r="BQ77" s="836"/>
      <c r="BR77" s="836"/>
      <c r="BS77" s="836"/>
      <c r="BT77" s="836"/>
      <c r="BU77" s="836"/>
      <c r="BV77" s="836"/>
      <c r="BW77" s="836"/>
      <c r="BX77" s="836"/>
      <c r="BY77" s="836"/>
      <c r="BZ77" s="836"/>
      <c r="CA77" s="836"/>
      <c r="CB77" s="836"/>
      <c r="CC77" s="836"/>
      <c r="CD77" s="836"/>
      <c r="CE77" s="836"/>
      <c r="CF77" s="836"/>
      <c r="CG77" s="836"/>
    </row>
    <row r="78" spans="1:85" ht="13.5" customHeight="1" x14ac:dyDescent="0.2">
      <c r="A78" s="882"/>
      <c r="B78" s="842" t="s">
        <v>1162</v>
      </c>
      <c r="C78" s="841">
        <f ca="1">+SUMIFS(INDIRECT(CONCATENATE("'",$AW78,$AX78,":",$AY78)),INDIRECT(CONCATENATE("'",$AW78,$AX$35,":",$AY$35)),C$35)</f>
        <v>-16353.04853</v>
      </c>
      <c r="D78" s="884">
        <f ca="1">+SUMIFS(INDIRECT(CONCATENATE("'",$AW78,$AX78,":",$AY78)),INDIRECT(CONCATENATE("'",$AW78,$AX$35,":",$AY$35)),D$35)+15000</f>
        <v>-19622.371769999998</v>
      </c>
      <c r="E78" s="841">
        <f ca="1">+SUMIFS(INDIRECT(CONCATENATE("'",$AW78,$AX78,":",$AY78)),INDIRECT(CONCATENATE("'",$AW78,$AX$35,":",$AY$35)),E$35)</f>
        <v>-18277.272819999998</v>
      </c>
      <c r="F78" s="841">
        <f ca="1">+SUMIFS(INDIRECT(CONCATENATE("'",$AW78,$AX78,":",$AY78)),INDIRECT(CONCATENATE("'",$AW78,$AX$35,":",$AY$35)),F$35)</f>
        <v>-30661.90698</v>
      </c>
      <c r="G78" s="898">
        <f ca="1">SUM(C78:F78)</f>
        <v>-84914.600099999996</v>
      </c>
      <c r="H78" s="841">
        <f ca="1">+SUMIFS(INDIRECT(CONCATENATE("'",$AW78,$AX78,":",$AY78)),INDIRECT(CONCATENATE("'",$AW78,$AX$35,":",$AY$35)),H$35)</f>
        <v>-24805.271980000001</v>
      </c>
      <c r="I78" s="841">
        <f ca="1">+SUMIFS(INDIRECT(CONCATENATE("'",$AW78,$AX78,":",$AY78)),INDIRECT(CONCATENATE("'",$AW78,$AX$35,":",$AY$35)),I$35)</f>
        <v>-17589.50963</v>
      </c>
      <c r="J78" s="841">
        <f ca="1">+SUMIFS(INDIRECT(CONCATENATE("'",$AW78,$AX78,":",$AY78)),INDIRECT(CONCATENATE("'",$AW78,$AX$35,":",$AY$35)),J$35)</f>
        <v>-19911.637070000001</v>
      </c>
      <c r="K78" s="884">
        <f ca="1">+SUMIFS(INDIRECT(CONCATENATE("'",$AW78,$AX78,":",$AY78)),INDIRECT(CONCATENATE("'",$AW78,$AX$35,":",$AY$35)),K$35)+14500</f>
        <v>-18513.308089999999</v>
      </c>
      <c r="L78" s="898">
        <f ca="1">+SUM(H78:K78)</f>
        <v>-80819.726770000008</v>
      </c>
      <c r="M78" s="841">
        <f ca="1">+SUMIFS(INDIRECT(CONCATENATE("'",$AW78,$AX78,":",$AY78)),INDIRECT(CONCATENATE("'",$AW78,$AX$35,":",$AY$35)),M$35)</f>
        <v>-21396.712169999999</v>
      </c>
      <c r="N78" s="841">
        <f ca="1">+SUMIFS(INDIRECT(CONCATENATE("'",$AW78,$AX78,":",$AY78)),INDIRECT(CONCATENATE("'",$AW78,$AX$35,":",$AY$35)),N$35)</f>
        <v>-22826.147920000003</v>
      </c>
      <c r="O78" s="884">
        <f ca="1">+SUMIFS(INDIRECT(CONCATENATE("'",$AW78,$AX78,":",$AY78)),INDIRECT(CONCATENATE("'",$AW78,$AX$35,":",$AY$35)),O$35)-54681.39513</f>
        <v>-24300.850939999997</v>
      </c>
      <c r="P78" s="884">
        <f ca="1">+SUMIFS(INDIRECT(CONCATENATE("'",$AW78,$AX78,":",$AY78)),INDIRECT(CONCATENATE("'",$AW78,$AX$35,":",$AY$35)),P$35)+2254</f>
        <v>-28062.098229999996</v>
      </c>
      <c r="Q78" s="898">
        <f ca="1">+SUM(M78:P78)</f>
        <v>-96585.809260000009</v>
      </c>
      <c r="R78" s="884">
        <f ca="1">+SUMIFS(INDIRECT(CONCATENATE("'",$AW78,$AX78,":",$AY78)),INDIRECT(CONCATENATE("'",$AW78,$AX$35,":",$AY$35)),R$35)+3317</f>
        <v>-27543.54089</v>
      </c>
      <c r="S78" s="841">
        <f ca="1">+SUMIFS(INDIRECT(CONCATENATE("'",$AW78,$AX78,":",$AY78)),INDIRECT(CONCATENATE("'",$AW78,$AX$35,":",$AY$35)),S$35)</f>
        <v>-19363.556400000001</v>
      </c>
      <c r="T78" s="841">
        <f ca="1">+SUMIFS(INDIRECT(CONCATENATE("'",$AW78,$AX78,":",$AY78)),INDIRECT(CONCATENATE("'",$AW78,$AX$35,":",$AY$35)),T$35)</f>
        <v>-20948.943660000001</v>
      </c>
      <c r="U78" s="841">
        <f ca="1">+SUMIFS(INDIRECT(CONCATENATE("'",$AW78,$AX78,":",$AY78)),INDIRECT(CONCATENATE("'",$AW78,$AX$35,":",$AY$35)),U$35)</f>
        <v>-21931.721740000001</v>
      </c>
      <c r="V78" s="898">
        <f ca="1">+SUM(R78:U78)</f>
        <v>-89787.762690000003</v>
      </c>
      <c r="W78" s="884">
        <f ca="1">+SUMIFS(INDIRECT(CONCATENATE("'",$AW78,$AX78,":",$AY78)),INDIRECT(CONCATENATE("'",$AW78,$AX$35,":",$AY$35)),W$35)</f>
        <v>-11188.241210000004</v>
      </c>
      <c r="X78" s="841">
        <f ca="1">+SUMIFS(INDIRECT(CONCATENATE("'",$AW78,$AX78,":",$AY78)),INDIRECT(CONCATENATE("'",$AW78,$AX$35,":",$AY$35)),X$35)</f>
        <v>-20227.155319999998</v>
      </c>
      <c r="Y78" s="884">
        <f ca="1">+SUMIFS(INDIRECT(CONCATENATE("'",$AW78,$AX78,":",$AY78)),INDIRECT(CONCATENATE("'",$AW78,$AX$35,":",$AY$35)),Y$35)+1159</f>
        <v>-15934.422470000005</v>
      </c>
      <c r="Z78" s="841">
        <f ca="1">+SUMIFS(INDIRECT(CONCATENATE("'",$AW78,$AX78,":",$AY78)),INDIRECT(CONCATENATE("'",$AW78,$AX$35,":",$AY$35)),Z$35)</f>
        <v>-23864.233980000005</v>
      </c>
      <c r="AA78" s="898">
        <f ca="1">+SUM(W78:Z78)</f>
        <v>-71214.052980000008</v>
      </c>
      <c r="AB78" s="841">
        <f ca="1">+SUMIFS(INDIRECT(CONCATENATE("'",$AW78,$AX78,":",$AY78)),INDIRECT(CONCATENATE("'",$AW78,$AX$35,":",$AY$35)),AB$35)</f>
        <v>-16134.47566</v>
      </c>
      <c r="AC78" s="841">
        <f ca="1">+SUMIFS(INDIRECT(CONCATENATE("'",$AW78,$AX78,":",$AY78)),INDIRECT(CONCATENATE("'",$AW78,$AX$35,":",$AY$35)),AC$35)</f>
        <v>-19986.929600000003</v>
      </c>
      <c r="AD78" s="884">
        <f ca="1">+SUMIFS(INDIRECT(CONCATENATE("'",$AW78,$AX78,":",$AY78)),INDIRECT(CONCATENATE("'",$AW78,$AX$35,":",$AY$35)),AD$35)+6645</f>
        <v>-19111.751630000006</v>
      </c>
      <c r="AE78" s="884">
        <f ca="1">+SUMIFS(INDIRECT(CONCATENATE("'",$AW78,$AX78,":",$AY78)),INDIRECT(CONCATENATE("'",$AW78,$AX$35,":",$AY$35)),AE$35)-5459</f>
        <v>-21966.290939999999</v>
      </c>
      <c r="AF78" s="898">
        <f ca="1">+SUM(AB78:AE78)</f>
        <v>-77199.447830000005</v>
      </c>
      <c r="AG78" s="841">
        <f ca="1">+SUMIFS(INDIRECT(CONCATENATE("'",$AW78,$AX78,":",$AY78)),INDIRECT(CONCATENATE("'",$AW78,$AX$35,":",$AY$35)),AG$35)</f>
        <v>-18645.184150000001</v>
      </c>
      <c r="AH78" s="841">
        <f ca="1">+SUMIFS(INDIRECT(CONCATENATE("'",$AW78,$AX78,":",$AY78)),INDIRECT(CONCATENATE("'",$AW78,$AX$35,":",$AY$35)),AH$35)</f>
        <v>-23068.069059999994</v>
      </c>
      <c r="AI78" s="841">
        <f ca="1">+SUMIFS(INDIRECT(CONCATENATE("'",$AW78,$AX78,":",$AY78)),INDIRECT(CONCATENATE("'",$AW78,$AX$35,":",$AY$35)),AI$35)</f>
        <v>-24624.235850000005</v>
      </c>
      <c r="AJ78" s="841">
        <f ca="1">+SUMIFS(INDIRECT(CONCATENATE("'",$AW78,$AX78,":",$AY78)),INDIRECT(CONCATENATE("'",$AW78,$AX$35,":",$AY$35)),AJ$35)</f>
        <v>-28623.659970000001</v>
      </c>
      <c r="AK78" s="637">
        <f ca="1">+SUM(AG78:AJ78)</f>
        <v>-94961.14903</v>
      </c>
      <c r="AL78" s="884">
        <f ca="1">+SUMIFS(INDIRECT(CONCATENATE("'",$AW78,$AX78,":",$AY78)),INDIRECT(CONCATENATE("'",$AW78,$AX$35,":",$AY$35)),AL$35)</f>
        <v>-25337.884590000005</v>
      </c>
      <c r="AM78" s="884">
        <f ca="1">+SUMIFS(INDIRECT(CONCATENATE("'",$AW78,$AX78,":",$AY78)),INDIRECT(CONCATENATE("'",$AW78,$AX$35,":",$AY$35)),AM$35)</f>
        <v>-21782.948499999999</v>
      </c>
      <c r="AN78" s="884">
        <f ca="1">+SUMIFS(INDIRECT(CONCATENATE("'",$AW78,$AX78,":",$AY78)),INDIRECT(CONCATENATE("'",$AW78,$AX$35,":",$AY$35)),AN$35)</f>
        <v>-23322.650829999999</v>
      </c>
      <c r="AO78" s="884">
        <f ca="1">+SUMIFS(INDIRECT(CONCATENATE("'",$AW78,$AX78,":",$AY78)),INDIRECT(CONCATENATE("'",$AW78,$AX$35,":",$AY$35)),AO$35)</f>
        <v>-25002.788710000008</v>
      </c>
      <c r="AP78" s="898">
        <f ca="1">+SUM(AL78:AO78)</f>
        <v>-95446.272630000007</v>
      </c>
      <c r="AQ78" s="841">
        <f ca="1">+SUMIFS(INDIRECT(CONCATENATE("'",$AW78,$AX78,":",$AY78)),INDIRECT(CONCATENATE("'",$AW78,$AX$35,":",$AY$35)),AQ$35)</f>
        <v>-25180.730210000005</v>
      </c>
      <c r="AR78" s="841">
        <f ca="1">+SUMIFS(INDIRECT(CONCATENATE("'",$AW78,$AX78,":",$AY78)),INDIRECT(CONCATENATE("'",$AW78,$AX$35,":",$AY$35)),AR$35)</f>
        <v>-26323.649750000008</v>
      </c>
      <c r="AS78" s="841">
        <f ca="1">+SUMIFS(INDIRECT(CONCATENATE("'",$AW78,$AX78,":",$AY78)),INDIRECT(CONCATENATE("'",$AW78,$AX$35,":",$AY$35)),AS$35)</f>
        <v>-25720.035740000003</v>
      </c>
      <c r="AT78" s="841">
        <f ca="1">+SUMIFS(INDIRECT(CONCATENATE("'",$AW78,$AX78,":",$AY78)),INDIRECT(CONCATENATE("'",$AW78,$AX$35,":",$AY$35)),AT$35)</f>
        <v>-30240.550179999998</v>
      </c>
      <c r="AU78" s="637">
        <f ca="1">+SUM(AQ78:AT78)</f>
        <v>-107464.96588</v>
      </c>
      <c r="AV78" s="841">
        <f ca="1">+SUMIFS(INDIRECT(CONCATENATE("'",$AW78,$AX78,":",$AY78)),INDIRECT(CONCATENATE("'",$AW78,$AX$35,":",$AY$35)),AV$35)</f>
        <v>-22213.325930000003</v>
      </c>
      <c r="AW78" s="267" t="s">
        <v>997</v>
      </c>
      <c r="AX78" s="267" t="str">
        <f>"$"&amp;ROW(Auto!$B$14)</f>
        <v>$14</v>
      </c>
      <c r="AY78" s="267" t="str">
        <f>"$"&amp;ROW(Auto!$B$14)</f>
        <v>$14</v>
      </c>
      <c r="AZ78" s="267" t="s">
        <v>998</v>
      </c>
      <c r="BA78" s="267" t="s">
        <v>997</v>
      </c>
      <c r="BK78" s="267"/>
      <c r="BL78" s="267"/>
      <c r="BM78" s="267"/>
      <c r="BN78" s="267"/>
      <c r="BO78" s="267"/>
      <c r="BP78" s="267"/>
      <c r="BQ78" s="267"/>
      <c r="BR78" s="267"/>
      <c r="BS78" s="267"/>
      <c r="BT78" s="267"/>
      <c r="BU78" s="267"/>
      <c r="BV78" s="267"/>
      <c r="BW78" s="267"/>
      <c r="BX78" s="267"/>
      <c r="BY78" s="267"/>
      <c r="BZ78" s="267"/>
      <c r="CA78" s="267"/>
      <c r="CB78" s="267"/>
      <c r="CC78" s="267"/>
      <c r="CD78" s="267"/>
      <c r="CE78" s="267"/>
      <c r="CF78" s="267"/>
      <c r="CG78" s="267"/>
    </row>
    <row r="79" spans="1:85" s="835" customFormat="1" ht="13.5" customHeight="1" x14ac:dyDescent="0.2">
      <c r="A79" s="840"/>
      <c r="B79" s="845" t="s">
        <v>1090</v>
      </c>
      <c r="C79" s="859">
        <f t="shared" ref="C79:X79" ca="1" si="99">C78/C70</f>
        <v>-9.4352402571841451E-2</v>
      </c>
      <c r="D79" s="859">
        <f t="shared" ca="1" si="99"/>
        <v>-9.0940995454736037E-2</v>
      </c>
      <c r="E79" s="859">
        <f t="shared" ca="1" si="99"/>
        <v>-7.4856101232457548E-2</v>
      </c>
      <c r="F79" s="859">
        <f t="shared" ca="1" si="99"/>
        <v>-0.1115675822888285</v>
      </c>
      <c r="G79" s="986">
        <f t="shared" ca="1" si="99"/>
        <v>-9.350976090867491E-2</v>
      </c>
      <c r="H79" s="859">
        <f t="shared" ca="1" si="99"/>
        <v>-0.11150412201855289</v>
      </c>
      <c r="I79" s="859">
        <f t="shared" ca="1" si="99"/>
        <v>-6.8711543708525641E-2</v>
      </c>
      <c r="J79" s="859">
        <f t="shared" ca="1" si="99"/>
        <v>-6.7250701154060413E-2</v>
      </c>
      <c r="K79" s="859">
        <f t="shared" ca="1" si="99"/>
        <v>-5.7464567909030442E-2</v>
      </c>
      <c r="L79" s="853">
        <f t="shared" ca="1" si="99"/>
        <v>-7.3693490838247194E-2</v>
      </c>
      <c r="M79" s="859">
        <f t="shared" ca="1" si="99"/>
        <v>-8.2642584035047956E-2</v>
      </c>
      <c r="N79" s="859">
        <f t="shared" ca="1" si="99"/>
        <v>-7.761227588517533E-2</v>
      </c>
      <c r="O79" s="859">
        <f t="shared" ca="1" si="99"/>
        <v>-8.1059165875251013E-2</v>
      </c>
      <c r="P79" s="859">
        <f t="shared" ca="1" si="99"/>
        <v>-8.3185421831881226E-2</v>
      </c>
      <c r="Q79" s="846">
        <f t="shared" ca="1" si="99"/>
        <v>-8.1154523762439881E-2</v>
      </c>
      <c r="R79" s="859">
        <f t="shared" ca="1" si="99"/>
        <v>-0.11440224026051474</v>
      </c>
      <c r="S79" s="859">
        <f t="shared" ca="1" si="99"/>
        <v>-0.22288294617421986</v>
      </c>
      <c r="T79" s="859">
        <f t="shared" ca="1" si="99"/>
        <v>-8.5346563084325283E-2</v>
      </c>
      <c r="U79" s="859">
        <f t="shared" ca="1" si="99"/>
        <v>-8.0465013586080339E-2</v>
      </c>
      <c r="V79" s="846">
        <f t="shared" ca="1" si="99"/>
        <v>-0.10617505623498737</v>
      </c>
      <c r="W79" s="859">
        <f t="shared" ca="1" si="99"/>
        <v>-5.5711469917793653E-2</v>
      </c>
      <c r="X79" s="859">
        <f t="shared" ca="1" si="99"/>
        <v>-0.10092034582320451</v>
      </c>
      <c r="Y79" s="859">
        <f t="shared" ref="Y79:AD79" ca="1" si="100">Y78/Y70</f>
        <v>-8.2000861325758664E-2</v>
      </c>
      <c r="Z79" s="859">
        <f t="shared" ca="1" si="100"/>
        <v>-8.7755168763631944E-2</v>
      </c>
      <c r="AA79" s="846">
        <f t="shared" ca="1" si="100"/>
        <v>-8.2089905130880755E-2</v>
      </c>
      <c r="AB79" s="859">
        <f t="shared" ca="1" si="100"/>
        <v>-7.995496489928583E-2</v>
      </c>
      <c r="AC79" s="859">
        <f t="shared" ca="1" si="100"/>
        <v>-7.5110021934350971E-2</v>
      </c>
      <c r="AD79" s="859">
        <f t="shared" ca="1" si="100"/>
        <v>-5.1220077535596709E-2</v>
      </c>
      <c r="AE79" s="859">
        <f t="shared" ref="AE79:AM79" ca="1" si="101">AE78/AE70</f>
        <v>-5.8983853337932914E-2</v>
      </c>
      <c r="AF79" s="846">
        <f t="shared" ca="1" si="101"/>
        <v>-6.3620399348344514E-2</v>
      </c>
      <c r="AG79" s="859">
        <f t="shared" ca="1" si="101"/>
        <v>-6.2769995375484069E-2</v>
      </c>
      <c r="AH79" s="859">
        <f t="shared" ca="1" si="101"/>
        <v>-6.9712344890733802E-2</v>
      </c>
      <c r="AI79" s="859">
        <f t="shared" ca="1" si="101"/>
        <v>-6.3822394997946175E-2</v>
      </c>
      <c r="AJ79" s="859">
        <f t="shared" ca="1" si="101"/>
        <v>-6.9244439931761506E-2</v>
      </c>
      <c r="AK79" s="846">
        <f t="shared" ca="1" si="101"/>
        <v>-6.6539522583646149E-2</v>
      </c>
      <c r="AL79" s="859">
        <f t="shared" ca="1" si="101"/>
        <v>-7.2912291035806889E-2</v>
      </c>
      <c r="AM79" s="859">
        <f t="shared" ca="1" si="101"/>
        <v>-5.098059969459106E-2</v>
      </c>
      <c r="AN79" s="859">
        <f t="shared" ref="AN79:AV79" ca="1" si="102">AN78/AN70</f>
        <v>-4.150438808795813E-2</v>
      </c>
      <c r="AO79" s="859">
        <f t="shared" ca="1" si="102"/>
        <v>-4.2861685409133793E-2</v>
      </c>
      <c r="AP79" s="846">
        <f t="shared" ca="1" si="102"/>
        <v>-4.9710053134825585E-2</v>
      </c>
      <c r="AQ79" s="859">
        <f t="shared" ca="1" si="102"/>
        <v>-6.3823751099832529E-2</v>
      </c>
      <c r="AR79" s="859">
        <f t="shared" ca="1" si="102"/>
        <v>-5.3081904656825177E-2</v>
      </c>
      <c r="AS79" s="859">
        <f t="shared" ca="1" si="102"/>
        <v>-4.2876802281869575E-2</v>
      </c>
      <c r="AT79" s="859">
        <f t="shared" ca="1" si="102"/>
        <v>-5.288124444047549E-2</v>
      </c>
      <c r="AU79" s="846">
        <f t="shared" ca="1" si="102"/>
        <v>-5.2112855579836852E-2</v>
      </c>
      <c r="AV79" s="859">
        <f t="shared" ca="1" si="102"/>
        <v>-4.6268027466723767E-2</v>
      </c>
      <c r="AW79" s="836"/>
      <c r="AX79" s="836"/>
      <c r="AY79" s="836"/>
      <c r="AZ79" s="836"/>
      <c r="BA79" s="836"/>
      <c r="BB79" s="836"/>
      <c r="BC79" s="836"/>
      <c r="BD79" s="836"/>
      <c r="BE79" s="836"/>
      <c r="BH79" s="836"/>
      <c r="BI79" s="836"/>
      <c r="BJ79" s="836"/>
      <c r="BK79" s="836"/>
      <c r="BL79" s="836"/>
      <c r="BM79" s="836"/>
      <c r="BN79" s="836"/>
      <c r="BO79" s="836"/>
      <c r="BP79" s="836"/>
      <c r="BQ79" s="836"/>
      <c r="BR79" s="836"/>
      <c r="BS79" s="836"/>
      <c r="BT79" s="836"/>
      <c r="BU79" s="836"/>
      <c r="BV79" s="836"/>
      <c r="BW79" s="836"/>
      <c r="BX79" s="836"/>
      <c r="BY79" s="836"/>
      <c r="BZ79" s="836"/>
      <c r="CA79" s="836"/>
      <c r="CB79" s="836"/>
      <c r="CC79" s="836"/>
      <c r="CD79" s="836"/>
      <c r="CE79" s="836"/>
      <c r="CF79" s="836"/>
      <c r="CG79" s="836"/>
    </row>
    <row r="80" spans="1:85" ht="13.5" customHeight="1" x14ac:dyDescent="0.2">
      <c r="A80" s="24"/>
      <c r="B80" s="905" t="s">
        <v>1079</v>
      </c>
      <c r="C80" s="906">
        <f ca="1">C76+C78</f>
        <v>15844.454640000011</v>
      </c>
      <c r="D80" s="987">
        <f ca="1">D76+D78</f>
        <v>25289.128610000014</v>
      </c>
      <c r="E80" s="906">
        <f ca="1">E76+E78</f>
        <v>34870.320750000028</v>
      </c>
      <c r="F80" s="906">
        <f ca="1">F76+F78</f>
        <v>35848.077430000034</v>
      </c>
      <c r="G80" s="985">
        <f ca="1">+SUM(C80:F80)</f>
        <v>111851.98143000009</v>
      </c>
      <c r="H80" s="906">
        <f ca="1">H76+H78</f>
        <v>22612.676620000002</v>
      </c>
      <c r="I80" s="906">
        <f ca="1">I76+I78</f>
        <v>38247.540069999974</v>
      </c>
      <c r="J80" s="906">
        <f ca="1">J76+J78</f>
        <v>49403.81290999995</v>
      </c>
      <c r="K80" s="987">
        <f ca="1">K76+K78</f>
        <v>61958.097968471506</v>
      </c>
      <c r="L80" s="985">
        <f ca="1">+SUM(H80:K80)</f>
        <v>172222.12756847142</v>
      </c>
      <c r="M80" s="906">
        <f ca="1">M76+M78</f>
        <v>42498.737950000024</v>
      </c>
      <c r="N80" s="906">
        <f ca="1">N76+N78</f>
        <v>48651.234510000024</v>
      </c>
      <c r="O80" s="987">
        <f ca="1">O76+O78</f>
        <v>49860.368541158714</v>
      </c>
      <c r="P80" s="987">
        <f ca="1">P76+P78</f>
        <v>57472.928079999991</v>
      </c>
      <c r="Q80" s="988">
        <f ca="1">+SUM(M80:P80)</f>
        <v>198483.26908115874</v>
      </c>
      <c r="R80" s="987">
        <f ca="1">R76+R78</f>
        <v>29279.139880000006</v>
      </c>
      <c r="S80" s="906">
        <f ca="1">S76+S78</f>
        <v>-11654.691910000009</v>
      </c>
      <c r="T80" s="906">
        <f ca="1">T76+T78</f>
        <v>38792.218860000008</v>
      </c>
      <c r="U80" s="906">
        <f ca="1">U76+U78</f>
        <v>43245.378730000033</v>
      </c>
      <c r="V80" s="988">
        <f ca="1">+SUM(R80:U80)</f>
        <v>99662.045560000028</v>
      </c>
      <c r="W80" s="906">
        <f ca="1">W76+W78</f>
        <v>33121.461580000003</v>
      </c>
      <c r="X80" s="906">
        <f ca="1">X76+X78</f>
        <v>23451.069519999983</v>
      </c>
      <c r="Y80" s="987">
        <f ca="1">Y76+Y78</f>
        <v>25522.103049999991</v>
      </c>
      <c r="Z80" s="906">
        <f ca="1">Z76+Z78</f>
        <v>36547.697839999906</v>
      </c>
      <c r="AA80" s="988">
        <f ca="1">+SUM(W80:Z80)</f>
        <v>118642.33198999988</v>
      </c>
      <c r="AB80" s="906">
        <f ca="1">AB76+AB78</f>
        <v>21064.224549999981</v>
      </c>
      <c r="AC80" s="906">
        <f ca="1">AC76+AC78</f>
        <v>37794.76152999996</v>
      </c>
      <c r="AD80" s="987">
        <f ca="1">AD76+AD78</f>
        <v>73953.691759999958</v>
      </c>
      <c r="AE80" s="987">
        <f ca="1">AE76+AE78</f>
        <v>61462.584349999939</v>
      </c>
      <c r="AF80" s="988">
        <f ca="1">+SUM(AB80:AE80)</f>
        <v>194275.26218999983</v>
      </c>
      <c r="AG80" s="906">
        <f ca="1">AG76+AG78</f>
        <v>42526.002939999846</v>
      </c>
      <c r="AH80" s="906">
        <f ca="1">AH76+AH78</f>
        <v>46446.635920000102</v>
      </c>
      <c r="AI80" s="906">
        <f ca="1">AI76+AI78</f>
        <v>66835.06712000008</v>
      </c>
      <c r="AJ80" s="906">
        <f ca="1">AJ76+AJ78</f>
        <v>62390.654760000274</v>
      </c>
      <c r="AK80" s="1089">
        <f ca="1">+SUM(AG80:AJ80)</f>
        <v>218198.36074000029</v>
      </c>
      <c r="AL80" s="906">
        <f ca="1">AL76+AL78</f>
        <v>49961.870029999845</v>
      </c>
      <c r="AM80" s="906">
        <f ca="1">AM76+AM78</f>
        <v>74630.695230000012</v>
      </c>
      <c r="AN80" s="906">
        <f ca="1">AN76+AN78</f>
        <v>117564.8570800001</v>
      </c>
      <c r="AO80" s="906">
        <f ca="1">AO76+AO78</f>
        <v>120277.85008999995</v>
      </c>
      <c r="AP80" s="1089">
        <f ca="1">+SUM(AL80:AO80)</f>
        <v>362435.2724299999</v>
      </c>
      <c r="AQ80" s="906">
        <f ca="1">AQ76+AQ78</f>
        <v>60517.845799999952</v>
      </c>
      <c r="AR80" s="906">
        <f ca="1">AR76+AR78</f>
        <v>86348.288849999808</v>
      </c>
      <c r="AS80" s="906">
        <f ca="1">AS76+AS78</f>
        <v>112016.43730000012</v>
      </c>
      <c r="AT80" s="906">
        <f ca="1">AT76+AT78</f>
        <v>77978.530179999972</v>
      </c>
      <c r="AU80" s="1089">
        <f ca="1">+SUM(AQ80:AT80)</f>
        <v>336861.1021299999</v>
      </c>
      <c r="AV80" s="906">
        <f ca="1">AV76+AV78</f>
        <v>65551.990750000099</v>
      </c>
      <c r="BK80" s="267"/>
      <c r="BL80" s="267"/>
      <c r="BM80" s="267"/>
      <c r="BN80" s="267"/>
      <c r="BO80" s="267"/>
      <c r="BP80" s="267"/>
      <c r="BQ80" s="267"/>
      <c r="BR80" s="267"/>
      <c r="BS80" s="267"/>
      <c r="BT80" s="267"/>
      <c r="BU80" s="267"/>
      <c r="BV80" s="267"/>
      <c r="BW80" s="267"/>
      <c r="BX80" s="267"/>
      <c r="BY80" s="267"/>
      <c r="BZ80" s="267"/>
      <c r="CA80" s="267"/>
      <c r="CB80" s="267"/>
      <c r="CC80" s="267"/>
      <c r="CD80" s="267"/>
      <c r="CE80" s="267"/>
      <c r="CF80" s="267"/>
      <c r="CG80" s="267"/>
    </row>
    <row r="81" spans="1:85" s="835" customFormat="1" ht="13.5" customHeight="1" x14ac:dyDescent="0.2">
      <c r="A81" s="840"/>
      <c r="B81" s="845" t="s">
        <v>987</v>
      </c>
      <c r="C81" s="844">
        <f t="shared" ref="C81:X81" ca="1" si="103">+C80/C70</f>
        <v>9.1417961610156251E-2</v>
      </c>
      <c r="D81" s="844">
        <f t="shared" ca="1" si="103"/>
        <v>0.11720390159421828</v>
      </c>
      <c r="E81" s="844">
        <f t="shared" ca="1" si="103"/>
        <v>0.14281431840389125</v>
      </c>
      <c r="F81" s="844">
        <f t="shared" ca="1" si="103"/>
        <v>0.13043817956843284</v>
      </c>
      <c r="G81" s="843">
        <f t="shared" ca="1" si="103"/>
        <v>0.12317377728168627</v>
      </c>
      <c r="H81" s="844">
        <f t="shared" ca="1" si="103"/>
        <v>0.10164801478635342</v>
      </c>
      <c r="I81" s="844">
        <f t="shared" ca="1" si="103"/>
        <v>0.14940993674895239</v>
      </c>
      <c r="J81" s="844">
        <f t="shared" ca="1" si="103"/>
        <v>0.1668592615565144</v>
      </c>
      <c r="K81" s="844">
        <f t="shared" ca="1" si="103"/>
        <v>0.19231545820526513</v>
      </c>
      <c r="L81" s="843">
        <f t="shared" ca="1" si="103"/>
        <v>0.15703653411535268</v>
      </c>
      <c r="M81" s="844">
        <f t="shared" ca="1" si="103"/>
        <v>0.16414697241853671</v>
      </c>
      <c r="N81" s="844">
        <f t="shared" ca="1" si="103"/>
        <v>0.16542138639328</v>
      </c>
      <c r="O81" s="844">
        <f t="shared" ca="1" si="103"/>
        <v>0.16631680487888842</v>
      </c>
      <c r="P81" s="844">
        <f t="shared" ca="1" si="103"/>
        <v>0.17036893417816859</v>
      </c>
      <c r="Q81" s="843">
        <f t="shared" ca="1" si="103"/>
        <v>0.16677206828316679</v>
      </c>
      <c r="R81" s="844">
        <f t="shared" ca="1" si="103"/>
        <v>0.12161105968728553</v>
      </c>
      <c r="S81" s="844">
        <f t="shared" ca="1" si="103"/>
        <v>-0.13415056697196634</v>
      </c>
      <c r="T81" s="844">
        <f t="shared" ca="1" si="103"/>
        <v>0.15804054886249783</v>
      </c>
      <c r="U81" s="844">
        <f t="shared" ca="1" si="103"/>
        <v>0.15866241731027189</v>
      </c>
      <c r="V81" s="843">
        <f t="shared" ca="1" si="103"/>
        <v>0.11785150865559312</v>
      </c>
      <c r="W81" s="844">
        <f t="shared" ca="1" si="103"/>
        <v>0.1649272013190291</v>
      </c>
      <c r="X81" s="844">
        <f t="shared" ca="1" si="103"/>
        <v>0.11700558029246444</v>
      </c>
      <c r="Y81" s="844">
        <f t="shared" ref="Y81:AD81" ca="1" si="104">+Y80/Y70</f>
        <v>0.13134046350816822</v>
      </c>
      <c r="Z81" s="844">
        <f t="shared" ca="1" si="104"/>
        <v>0.13439565646897908</v>
      </c>
      <c r="AA81" s="843">
        <f t="shared" ca="1" si="104"/>
        <v>0.13676145886965282</v>
      </c>
      <c r="AB81" s="844">
        <f t="shared" ca="1" si="104"/>
        <v>0.10438450991632185</v>
      </c>
      <c r="AC81" s="844">
        <f t="shared" ca="1" si="104"/>
        <v>0.14203108853307117</v>
      </c>
      <c r="AD81" s="844">
        <f t="shared" ca="1" si="104"/>
        <v>0.19819815050572714</v>
      </c>
      <c r="AE81" s="844">
        <f t="shared" ref="AE81:AM81" ca="1" si="105">+AE80/AE70</f>
        <v>0.16503924449389668</v>
      </c>
      <c r="AF81" s="843">
        <f t="shared" ca="1" si="105"/>
        <v>0.16010308507969703</v>
      </c>
      <c r="AG81" s="844">
        <f t="shared" ca="1" si="105"/>
        <v>0.14316603077806622</v>
      </c>
      <c r="AH81" s="844">
        <f t="shared" ca="1" si="105"/>
        <v>0.1403630227500885</v>
      </c>
      <c r="AI81" s="844">
        <f t="shared" ca="1" si="105"/>
        <v>0.17322665683641467</v>
      </c>
      <c r="AJ81" s="844">
        <f t="shared" ca="1" si="105"/>
        <v>0.15093129076994513</v>
      </c>
      <c r="AK81" s="843">
        <f t="shared" ca="1" si="105"/>
        <v>0.15289215537595333</v>
      </c>
      <c r="AL81" s="844">
        <f t="shared" ca="1" si="105"/>
        <v>0.14377026603705537</v>
      </c>
      <c r="AM81" s="844">
        <f t="shared" ca="1" si="105"/>
        <v>0.17466494944197558</v>
      </c>
      <c r="AN81" s="844">
        <f t="shared" ref="AN81:AV81" ca="1" si="106">+AN80/AN70</f>
        <v>0.2092153884787914</v>
      </c>
      <c r="AO81" s="844">
        <f t="shared" ca="1" si="106"/>
        <v>0.20618945478600298</v>
      </c>
      <c r="AP81" s="843">
        <f t="shared" ca="1" si="106"/>
        <v>0.18876249594651437</v>
      </c>
      <c r="AQ81" s="844">
        <f t="shared" ca="1" si="106"/>
        <v>0.15339014775287732</v>
      </c>
      <c r="AR81" s="844">
        <f t="shared" ca="1" si="106"/>
        <v>0.17412219352355154</v>
      </c>
      <c r="AS81" s="844">
        <f t="shared" ca="1" si="106"/>
        <v>0.18673794558387907</v>
      </c>
      <c r="AT81" s="844">
        <f t="shared" ca="1" si="106"/>
        <v>0.13636000968939957</v>
      </c>
      <c r="AU81" s="843">
        <f t="shared" ca="1" si="106"/>
        <v>0.16335364573946631</v>
      </c>
      <c r="AV81" s="844">
        <f t="shared" ca="1" si="106"/>
        <v>0.13653791953879763</v>
      </c>
      <c r="AW81" s="836"/>
      <c r="AX81" s="836"/>
      <c r="AY81" s="836"/>
      <c r="AZ81" s="836"/>
      <c r="BA81" s="836"/>
      <c r="BB81" s="836"/>
      <c r="BC81" s="836"/>
      <c r="BD81" s="836"/>
      <c r="BE81" s="836"/>
      <c r="BH81" s="836"/>
      <c r="BI81" s="836"/>
      <c r="BJ81" s="836"/>
      <c r="BK81" s="836"/>
      <c r="BL81" s="836"/>
      <c r="BM81" s="836"/>
      <c r="BN81" s="836"/>
      <c r="BO81" s="836"/>
      <c r="BP81" s="836"/>
      <c r="BQ81" s="836"/>
      <c r="BR81" s="836"/>
      <c r="BS81" s="836"/>
      <c r="BT81" s="836"/>
      <c r="BU81" s="836"/>
      <c r="BV81" s="836"/>
      <c r="BW81" s="836"/>
      <c r="BX81" s="836"/>
      <c r="BY81" s="836"/>
      <c r="BZ81" s="836"/>
      <c r="CA81" s="836"/>
      <c r="CB81" s="836"/>
      <c r="CC81" s="836"/>
      <c r="CD81" s="836"/>
      <c r="CE81" s="836"/>
      <c r="CF81" s="836"/>
      <c r="CG81" s="836"/>
    </row>
    <row r="82" spans="1:85" ht="13.5" customHeight="1" x14ac:dyDescent="0.2">
      <c r="A82" s="882"/>
      <c r="B82" s="842" t="s">
        <v>1082</v>
      </c>
      <c r="C82" s="841">
        <v>0</v>
      </c>
      <c r="D82" s="841">
        <v>0</v>
      </c>
      <c r="E82" s="841">
        <v>0</v>
      </c>
      <c r="F82" s="841">
        <v>0</v>
      </c>
      <c r="G82" s="637">
        <f>SUM(C82:F82)</f>
        <v>0</v>
      </c>
      <c r="H82" s="841">
        <v>0</v>
      </c>
      <c r="I82" s="841">
        <v>0</v>
      </c>
      <c r="J82" s="841">
        <v>0</v>
      </c>
      <c r="K82" s="841">
        <v>0</v>
      </c>
      <c r="L82" s="637">
        <f>SUM(H82:K82)</f>
        <v>0</v>
      </c>
      <c r="M82" s="841">
        <f ca="1">+SUMIFS(INDIRECT(CONCATENATE("'",$AW82,$AX82,":",$AY82)),INDIRECT(CONCATENATE("'",$AW82,$AX$89,":",$AY$89)),M$35)</f>
        <v>-4981</v>
      </c>
      <c r="N82" s="841">
        <f ca="1">+SUMIFS(INDIRECT(CONCATENATE("'",$AW82,$AX82,":",$AY82)),INDIRECT(CONCATENATE("'",$AW82,$AX$89,":",$AY$89)),N$35)</f>
        <v>-4381</v>
      </c>
      <c r="O82" s="841">
        <f ca="1">+SUMIFS(INDIRECT(CONCATENATE("'",$AW82,$AX82,":",$AY82)),INDIRECT(CONCATENATE("'",$AW82,$AX$89,":",$AY$89)),O$35)</f>
        <v>-4770</v>
      </c>
      <c r="P82" s="841">
        <f ca="1">+SUMIFS(INDIRECT(CONCATENATE("'",$AW82,$AX82,":",$AY82)),INDIRECT(CONCATENATE("'",$AW82,$AX$89,":",$AY$89)),P$35)</f>
        <v>-4810.0787082777097</v>
      </c>
      <c r="Q82" s="637">
        <f ca="1">SUM(M82:P82)</f>
        <v>-18942.07870827771</v>
      </c>
      <c r="R82" s="841">
        <f ca="1">+SUMIFS(INDIRECT(CONCATENATE("'",$AW82,$AX82,":",$AY82)),INDIRECT(CONCATENATE("'",$AW82,$AX$89,":",$AY$89)),R$35)</f>
        <v>-5221.6656000000103</v>
      </c>
      <c r="S82" s="841">
        <f ca="1">+SUMIFS(INDIRECT(CONCATENATE("'",$AW82,$AX82,":",$AY82)),INDIRECT(CONCATENATE("'",$AW82,$AX$89,":",$AY$89)),S$35)</f>
        <v>-4983.0441500000097</v>
      </c>
      <c r="T82" s="841">
        <f ca="1">+SUMIFS(INDIRECT(CONCATENATE("'",$AW82,$AX82,":",$AY82)),INDIRECT(CONCATENATE("'",$AW82,$AX$89,":",$AY$89)),T$35)</f>
        <v>-5318.7323999999899</v>
      </c>
      <c r="U82" s="841">
        <f ca="1">+SUMIFS(INDIRECT(CONCATENATE("'",$AW82,$AX82,":",$AY82)),INDIRECT(CONCATENATE("'",$AW82,$AX$89,":",$AY$89)),U$35)</f>
        <v>-5262.5423200000096</v>
      </c>
      <c r="V82" s="637">
        <f ca="1">SUM(R82:U82)</f>
        <v>-20785.984470000018</v>
      </c>
      <c r="W82" s="841">
        <f ca="1">+SUMIFS(INDIRECT(CONCATENATE("'",$AW82,$AX82,":",$AY82)),INDIRECT(CONCATENATE("'",$AW82,$AX$89,":",$AY$89)),W$35)</f>
        <v>-7298.4094699999896</v>
      </c>
      <c r="X82" s="841">
        <f ca="1">+SUMIFS(INDIRECT(CONCATENATE("'",$AW82,$AX82,":",$AY82)),INDIRECT(CONCATENATE("'",$AW82,$AX$89,":",$AY$89)),X$35)</f>
        <v>-6225.2279400000098</v>
      </c>
      <c r="Y82" s="841">
        <f ca="1">+SUMIFS(INDIRECT(CONCATENATE("'",$AW82,$AX82,":",$AY82)),INDIRECT(CONCATENATE("'",$AW82,$AX$89,":",$AY$89)),Y$35)</f>
        <v>-5997.3069699999887</v>
      </c>
      <c r="Z82" s="841">
        <f ca="1">+SUMIFS(INDIRECT(CONCATENATE("'",$AW82,$AX82,":",$AY82)),INDIRECT(CONCATENATE("'",$AW82,$AX$89,":",$AY$89)),Z$35)</f>
        <v>-5965.6264300000103</v>
      </c>
      <c r="AA82" s="637">
        <f ca="1">SUM(W82:Z82)</f>
        <v>-25486.570809999997</v>
      </c>
      <c r="AB82" s="841">
        <f ca="1">+SUMIFS(INDIRECT(CONCATENATE("'",$AW82,$AX82,":",$AY82)),INDIRECT(CONCATENATE("'",$AW82,$AX$89,":",$AY$89)),AB$35)</f>
        <v>-6375.8603899999998</v>
      </c>
      <c r="AC82" s="841">
        <f ca="1">+SUMIFS(INDIRECT(CONCATENATE("'",$AW82,$AX82,":",$AY82)),INDIRECT(CONCATENATE("'",$AW82,$AX$89,":",$AY$89)),AC$35)</f>
        <v>-7005.7261199999921</v>
      </c>
      <c r="AD82" s="841">
        <f ca="1">+SUMIFS(INDIRECT(CONCATENATE("'",$AW82,$AX82,":",$AY82)),INDIRECT(CONCATENATE("'",$AW82,$AX$89,":",$AY$89)),AD$35)</f>
        <v>-6648.5328399999698</v>
      </c>
      <c r="AE82" s="841">
        <f ca="1">+SUMIFS(INDIRECT(CONCATENATE("'",$AW82,$AX82,":",$AY82)),INDIRECT(CONCATENATE("'",$AW82,$AX$89,":",$AY$89)),AE$35)</f>
        <v>-7125.4665299999797</v>
      </c>
      <c r="AF82" s="637">
        <f ca="1">SUM(AB82:AE82)</f>
        <v>-27155.585879999941</v>
      </c>
      <c r="AG82" s="841">
        <f ca="1">+SUMIFS(INDIRECT(CONCATENATE("'",$AW82,$AX82,":",$AY82)),INDIRECT(CONCATENATE("'",$AW82,$AX$89,":",$AY$89)),AG$35)</f>
        <v>-7315.9999799999896</v>
      </c>
      <c r="AH82" s="841">
        <f ca="1">+SUMIFS(INDIRECT(CONCATENATE("'",$AW82,$AX82,":",$AY82)),INDIRECT(CONCATENATE("'",$AW82,$AX$89,":",$AY$89)),AH$35)</f>
        <v>-7304.5372799999996</v>
      </c>
      <c r="AI82" s="841">
        <f ca="1">+SUMIFS(INDIRECT(CONCATENATE("'",$AW82,$AX82,":",$AY82)),INDIRECT(CONCATENATE("'",$AW82,$AX$89,":",$AY$89)),AI$35)</f>
        <v>-7948.7313800000102</v>
      </c>
      <c r="AJ82" s="841">
        <f ca="1">+SUMIFS(INDIRECT(CONCATENATE("'",$AW82,$AX82,":",$AY82)),INDIRECT(CONCATENATE("'",$AW82,$AX$89,":",$AY$89)),AJ$35)</f>
        <v>-8621.4421400000192</v>
      </c>
      <c r="AK82" s="637">
        <f ca="1">SUM(AG82:AJ82)</f>
        <v>-31190.710780000023</v>
      </c>
      <c r="AL82" s="841">
        <f ca="1">+SUMIFS(INDIRECT(CONCATENATE("'",$AW82,$AX82,":",$AY82)),INDIRECT(CONCATENATE("'",$AW82,$AX$89,":",$AY$89)),AL$35)</f>
        <v>-6907.8126200000097</v>
      </c>
      <c r="AM82" s="841">
        <f ca="1">+SUMIFS(INDIRECT(CONCATENATE("'",$AW82,$AX82,":",$AY82)),INDIRECT(CONCATENATE("'",$AW82,$AX$89,":",$AY$89)),AM$35)</f>
        <v>-7069.81412000001</v>
      </c>
      <c r="AN82" s="841">
        <f ca="1">+SUMIFS(INDIRECT(CONCATENATE("'",$AW82,$AX82,":",$AY82)),INDIRECT(CONCATENATE("'",$AW82,$AX$89,":",$AY$89)),AN$35)</f>
        <v>-6995.6201300000002</v>
      </c>
      <c r="AO82" s="841">
        <f ca="1">+SUMIFS(INDIRECT(CONCATENATE("'",$AW82,$AX82,":",$AY82)),INDIRECT(CONCATENATE("'",$AW82,$AX$89,":",$AY$89)),AO$35)</f>
        <v>-6526.4769800000004</v>
      </c>
      <c r="AP82" s="637">
        <f ca="1">SUM(AL82:AO82)</f>
        <v>-27499.72385000002</v>
      </c>
      <c r="AQ82" s="841">
        <f ca="1">+SUMIFS(INDIRECT(CONCATENATE("'",$AW82,$AX82,":",$AY82)),INDIRECT(CONCATENATE("'",$AW82,$AX$89,":",$AY$89)),AQ$35)</f>
        <v>-7229.6381000000001</v>
      </c>
      <c r="AR82" s="841">
        <f ca="1">+SUMIFS(INDIRECT(CONCATENATE("'",$AW82,$AX82,":",$AY82)),INDIRECT(CONCATENATE("'",$AW82,$AX$89,":",$AY$89)),AR$35)</f>
        <v>-7348.6779800000004</v>
      </c>
      <c r="AS82" s="841">
        <f ca="1">+SUMIFS(INDIRECT(CONCATENATE("'",$AW82,$AX82,":",$AY82)),INDIRECT(CONCATENATE("'",$AW82,$AX$89,":",$AY$89)),AS$35)</f>
        <v>-7539.0055199999997</v>
      </c>
      <c r="AT82" s="841">
        <f ca="1">+SUMIFS(INDIRECT(CONCATENATE("'",$AW82,$AX82,":",$AY82)),INDIRECT(CONCATENATE("'",$AW82,$AX$89,":",$AY$89)),AT$35)</f>
        <v>-7908.9215800000002</v>
      </c>
      <c r="AU82" s="637">
        <f ca="1">SUM(AQ82:AT82)</f>
        <v>-30026.243179999998</v>
      </c>
      <c r="AV82" s="841">
        <f ca="1">+SUMIFS(INDIRECT(CONCATENATE("'",$AW82,$AX82,":",$AY82)),INDIRECT(CONCATENATE("'",$AW82,$AX$89,":",$AY$89)),AV$35)</f>
        <v>-7770.7715099999996</v>
      </c>
      <c r="AW82" s="267" t="s">
        <v>984</v>
      </c>
      <c r="AX82" s="267" t="str">
        <f>"$"&amp;ROW(Anexos!$B$7)</f>
        <v>$7</v>
      </c>
      <c r="AY82" s="267" t="str">
        <f>"$"&amp;ROW(Anexos!$B$7)</f>
        <v>$7</v>
      </c>
      <c r="AZ82" s="267" t="s">
        <v>985</v>
      </c>
      <c r="BA82" s="267" t="s">
        <v>984</v>
      </c>
      <c r="BK82" s="267"/>
      <c r="BL82" s="267"/>
      <c r="BM82" s="267"/>
      <c r="BN82" s="267"/>
      <c r="BO82" s="267"/>
      <c r="BP82" s="267"/>
      <c r="BQ82" s="267"/>
      <c r="BR82" s="267"/>
      <c r="BS82" s="267"/>
      <c r="BT82" s="267"/>
      <c r="BU82" s="267"/>
      <c r="BV82" s="267"/>
      <c r="BW82" s="267"/>
      <c r="BX82" s="267"/>
      <c r="BY82" s="267"/>
      <c r="BZ82" s="267"/>
      <c r="CA82" s="267"/>
      <c r="CB82" s="267"/>
      <c r="CC82" s="267"/>
      <c r="CD82" s="267"/>
      <c r="CE82" s="267"/>
      <c r="CF82" s="267"/>
      <c r="CG82" s="267"/>
    </row>
    <row r="83" spans="1:85" ht="13.5" customHeight="1" x14ac:dyDescent="0.2">
      <c r="A83" s="24"/>
      <c r="B83" s="850" t="s">
        <v>1083</v>
      </c>
      <c r="C83" s="849">
        <f ca="1">C76+C78+C82</f>
        <v>15844.454640000011</v>
      </c>
      <c r="D83" s="984">
        <f ca="1">D76+D78+D82</f>
        <v>25289.128610000014</v>
      </c>
      <c r="E83" s="849">
        <f ca="1">E76+E78+E82</f>
        <v>34870.320750000028</v>
      </c>
      <c r="F83" s="849">
        <f ca="1">F76+F78+F82</f>
        <v>35848.077430000034</v>
      </c>
      <c r="G83" s="985">
        <f ca="1">SUM(C83:F83)</f>
        <v>111851.98143000009</v>
      </c>
      <c r="H83" s="849">
        <f ca="1">H76+H78+H82</f>
        <v>22612.676620000002</v>
      </c>
      <c r="I83" s="849">
        <f ca="1">I76+I78+I82</f>
        <v>38247.540069999974</v>
      </c>
      <c r="J83" s="849">
        <f ca="1">J76+J78+J82</f>
        <v>49403.81290999995</v>
      </c>
      <c r="K83" s="984">
        <f ca="1">K76+K78+K82</f>
        <v>61958.097968471506</v>
      </c>
      <c r="L83" s="985">
        <f ca="1">SUM(H83:K83)</f>
        <v>172222.12756847142</v>
      </c>
      <c r="M83" s="849">
        <f ca="1">M76+M78+M82</f>
        <v>37517.737950000024</v>
      </c>
      <c r="N83" s="849">
        <f ca="1">N76+N78+N82</f>
        <v>44270.234510000024</v>
      </c>
      <c r="O83" s="984">
        <f ca="1">O76+O78+O82</f>
        <v>45090.368541158714</v>
      </c>
      <c r="P83" s="984">
        <f ca="1">P76+P78+P82</f>
        <v>52662.849371722281</v>
      </c>
      <c r="Q83" s="985">
        <f ca="1">SUM(M83:P83)</f>
        <v>179541.19037288104</v>
      </c>
      <c r="R83" s="984">
        <f ca="1">R76+R78+R82</f>
        <v>24057.474279999995</v>
      </c>
      <c r="S83" s="849">
        <f ca="1">S76+S78+S82</f>
        <v>-16637.736060000017</v>
      </c>
      <c r="T83" s="849">
        <f ca="1">T76+T78+T82</f>
        <v>33473.486460000015</v>
      </c>
      <c r="U83" s="849">
        <f ca="1">U76+U78+U82</f>
        <v>37982.836410000025</v>
      </c>
      <c r="V83" s="985">
        <f ca="1">SUM(R83:U83)</f>
        <v>78876.061090000017</v>
      </c>
      <c r="W83" s="849">
        <f ca="1">W76+W78+W82</f>
        <v>25823.052110000011</v>
      </c>
      <c r="X83" s="849">
        <f ca="1">X76+X78+X82</f>
        <v>17225.841579999971</v>
      </c>
      <c r="Y83" s="984">
        <f ca="1">Y76+Y78+Y82</f>
        <v>19524.79608</v>
      </c>
      <c r="Z83" s="849">
        <f ca="1">Z76+Z78+Z82</f>
        <v>30582.071409999895</v>
      </c>
      <c r="AA83" s="985">
        <f ca="1">SUM(W83:Z83)</f>
        <v>93155.761179999885</v>
      </c>
      <c r="AB83" s="849">
        <f ca="1">AB76+AB78+AB82</f>
        <v>14688.364159999981</v>
      </c>
      <c r="AC83" s="849">
        <f ca="1">AC76+AC78+AC82</f>
        <v>30789.035409999968</v>
      </c>
      <c r="AD83" s="984">
        <f ca="1">AD76+AD78+AD82</f>
        <v>67305.158919999987</v>
      </c>
      <c r="AE83" s="984">
        <f ca="1">AE76+AE78+AE82</f>
        <v>54337.117819999956</v>
      </c>
      <c r="AF83" s="985">
        <f ca="1">SUM(AB83:AE83)</f>
        <v>167119.67630999989</v>
      </c>
      <c r="AG83" s="849">
        <f ca="1">AG76+AG78+AG82</f>
        <v>35210.002959999852</v>
      </c>
      <c r="AH83" s="849">
        <f ca="1">AH76+AH78+AH82</f>
        <v>39142.098640000106</v>
      </c>
      <c r="AI83" s="849">
        <f ca="1">AI76+AI78+AI82</f>
        <v>58886.335740000068</v>
      </c>
      <c r="AJ83" s="849">
        <f ca="1">AJ76+AJ78+AJ82</f>
        <v>53769.212620000253</v>
      </c>
      <c r="AK83" s="848">
        <f ca="1">SUM(AG83:AJ83)</f>
        <v>187007.6499600003</v>
      </c>
      <c r="AL83" s="849">
        <f ca="1">AL76+AL78+AL82</f>
        <v>43054.057409999834</v>
      </c>
      <c r="AM83" s="849">
        <f ca="1">AM76+AM78+AM82</f>
        <v>67560.881110000002</v>
      </c>
      <c r="AN83" s="849">
        <f ca="1">AN76+AN78+AN82</f>
        <v>110569.23695000011</v>
      </c>
      <c r="AO83" s="849">
        <f ca="1">AO76+AO78+AO82</f>
        <v>113751.37310999994</v>
      </c>
      <c r="AP83" s="848">
        <f ca="1">SUM(AL83:AO83)</f>
        <v>334935.54857999989</v>
      </c>
      <c r="AQ83" s="849">
        <f ca="1">AQ76+AQ78+AQ82</f>
        <v>53288.207699999955</v>
      </c>
      <c r="AR83" s="849">
        <f ca="1">AR76+AR78+AR82</f>
        <v>78999.6108699998</v>
      </c>
      <c r="AS83" s="849">
        <f ca="1">AS76+AS78+AS82</f>
        <v>104477.43178000012</v>
      </c>
      <c r="AT83" s="849">
        <f ca="1">AT76+AT78+AT82</f>
        <v>70069.608599999978</v>
      </c>
      <c r="AU83" s="848">
        <f ca="1">SUM(AQ83:AT83)</f>
        <v>306834.85894999985</v>
      </c>
      <c r="AV83" s="849">
        <f ca="1">AV76+AV78+AV82</f>
        <v>57781.2192400001</v>
      </c>
      <c r="BK83" s="267"/>
      <c r="BL83" s="267"/>
      <c r="BM83" s="267"/>
      <c r="BN83" s="267"/>
      <c r="BO83" s="267"/>
      <c r="BP83" s="267"/>
      <c r="BQ83" s="267"/>
      <c r="BR83" s="267"/>
      <c r="BS83" s="267"/>
      <c r="BT83" s="267"/>
      <c r="BU83" s="267"/>
      <c r="BV83" s="267"/>
      <c r="BW83" s="267"/>
      <c r="BX83" s="267"/>
      <c r="BY83" s="267"/>
      <c r="BZ83" s="267"/>
      <c r="CA83" s="267"/>
      <c r="CB83" s="267"/>
      <c r="CC83" s="267"/>
      <c r="CD83" s="267"/>
      <c r="CE83" s="267"/>
      <c r="CF83" s="267"/>
      <c r="CG83" s="267"/>
    </row>
    <row r="84" spans="1:85" s="835" customFormat="1" ht="13.5" customHeight="1" x14ac:dyDescent="0.2">
      <c r="A84" s="840"/>
      <c r="B84" s="839" t="s">
        <v>982</v>
      </c>
      <c r="C84" s="838">
        <f t="shared" ref="C84:X84" ca="1" si="107">+C83/C70</f>
        <v>9.1417961610156251E-2</v>
      </c>
      <c r="D84" s="838">
        <f t="shared" ca="1" si="107"/>
        <v>0.11720390159421828</v>
      </c>
      <c r="E84" s="838">
        <f t="shared" ca="1" si="107"/>
        <v>0.14281431840389125</v>
      </c>
      <c r="F84" s="838">
        <f t="shared" ca="1" si="107"/>
        <v>0.13043817956843284</v>
      </c>
      <c r="G84" s="837">
        <f t="shared" ca="1" si="107"/>
        <v>0.12317377728168627</v>
      </c>
      <c r="H84" s="838">
        <f t="shared" ca="1" si="107"/>
        <v>0.10164801478635342</v>
      </c>
      <c r="I84" s="838">
        <f t="shared" ca="1" si="107"/>
        <v>0.14940993674895239</v>
      </c>
      <c r="J84" s="838">
        <f t="shared" ca="1" si="107"/>
        <v>0.1668592615565144</v>
      </c>
      <c r="K84" s="838">
        <f t="shared" ca="1" si="107"/>
        <v>0.19231545820526513</v>
      </c>
      <c r="L84" s="837">
        <f t="shared" ca="1" si="107"/>
        <v>0.15703653411535268</v>
      </c>
      <c r="M84" s="838">
        <f t="shared" ca="1" si="107"/>
        <v>0.14490837595530384</v>
      </c>
      <c r="N84" s="838">
        <f t="shared" ca="1" si="107"/>
        <v>0.15052533902494447</v>
      </c>
      <c r="O84" s="838">
        <f t="shared" ca="1" si="107"/>
        <v>0.15040574801180129</v>
      </c>
      <c r="P84" s="838">
        <f t="shared" ca="1" si="107"/>
        <v>0.15611025604536699</v>
      </c>
      <c r="Q84" s="837">
        <f t="shared" ca="1" si="107"/>
        <v>0.15085632053079426</v>
      </c>
      <c r="R84" s="838">
        <f t="shared" ca="1" si="107"/>
        <v>9.9922844474979677E-2</v>
      </c>
      <c r="S84" s="838">
        <f t="shared" ca="1" si="107"/>
        <v>-0.19150756989670867</v>
      </c>
      <c r="T84" s="838">
        <f t="shared" ca="1" si="107"/>
        <v>0.13637188920726229</v>
      </c>
      <c r="U84" s="838">
        <f t="shared" ca="1" si="107"/>
        <v>0.13935474305213025</v>
      </c>
      <c r="V84" s="837">
        <f t="shared" ca="1" si="107"/>
        <v>9.3271844301759943E-2</v>
      </c>
      <c r="W84" s="838">
        <f t="shared" ca="1" si="107"/>
        <v>0.12858501741328501</v>
      </c>
      <c r="X84" s="838">
        <f t="shared" ca="1" si="107"/>
        <v>8.5945742831688154E-2</v>
      </c>
      <c r="Y84" s="838">
        <f t="shared" ref="Y84:AD84" ca="1" si="108">+Y83/Y70</f>
        <v>0.10047744741198618</v>
      </c>
      <c r="Z84" s="838">
        <f t="shared" ca="1" si="108"/>
        <v>0.11245845309659437</v>
      </c>
      <c r="AA84" s="837">
        <f t="shared" ca="1" si="108"/>
        <v>0.1073825639415415</v>
      </c>
      <c r="AB84" s="838">
        <f t="shared" ca="1" si="108"/>
        <v>7.2788708204027663E-2</v>
      </c>
      <c r="AC84" s="838">
        <f t="shared" ca="1" si="108"/>
        <v>0.11570387104293428</v>
      </c>
      <c r="AD84" s="838">
        <f t="shared" ca="1" si="108"/>
        <v>0.18037987962425486</v>
      </c>
      <c r="AE84" s="838">
        <f t="shared" ref="AE84:AM84" ca="1" si="109">+AE83/AE70</f>
        <v>0.14590595185392088</v>
      </c>
      <c r="AF84" s="837">
        <f t="shared" ca="1" si="109"/>
        <v>0.13772404913078329</v>
      </c>
      <c r="AG84" s="838">
        <f t="shared" ca="1" si="109"/>
        <v>0.11853633116141528</v>
      </c>
      <c r="AH84" s="838">
        <f t="shared" ca="1" si="109"/>
        <v>0.11828850837239561</v>
      </c>
      <c r="AI84" s="838">
        <f t="shared" ca="1" si="109"/>
        <v>0.15262471503577477</v>
      </c>
      <c r="AJ84" s="838">
        <f t="shared" ca="1" si="109"/>
        <v>0.13007487572679266</v>
      </c>
      <c r="AK84" s="837">
        <f t="shared" ca="1" si="109"/>
        <v>0.13103674370975579</v>
      </c>
      <c r="AL84" s="838">
        <f t="shared" ca="1" si="109"/>
        <v>0.1238923459849197</v>
      </c>
      <c r="AM84" s="838">
        <f t="shared" ca="1" si="109"/>
        <v>0.15811882559804838</v>
      </c>
      <c r="AN84" s="838">
        <f t="shared" ref="AN84:AV84" ca="1" si="110">+AN83/AN70</f>
        <v>0.19676616326387819</v>
      </c>
      <c r="AO84" s="838">
        <f t="shared" ca="1" si="110"/>
        <v>0.19500127068416989</v>
      </c>
      <c r="AP84" s="837">
        <f t="shared" ca="1" si="110"/>
        <v>0.17444016888115277</v>
      </c>
      <c r="AQ84" s="838">
        <f t="shared" ca="1" si="110"/>
        <v>0.13506571399785375</v>
      </c>
      <c r="AR84" s="838">
        <f t="shared" ca="1" si="110"/>
        <v>0.15930351041567167</v>
      </c>
      <c r="AS84" s="838">
        <f t="shared" ca="1" si="110"/>
        <v>0.17416998291265134</v>
      </c>
      <c r="AT84" s="838">
        <f t="shared" ca="1" si="110"/>
        <v>0.12252978461601001</v>
      </c>
      <c r="AU84" s="837">
        <f t="shared" ca="1" si="110"/>
        <v>0.14879305604745754</v>
      </c>
      <c r="AV84" s="838">
        <f t="shared" ca="1" si="110"/>
        <v>0.12035221773100378</v>
      </c>
      <c r="AW84" s="836"/>
      <c r="AX84" s="836"/>
      <c r="AY84" s="836"/>
      <c r="AZ84" s="836"/>
      <c r="BA84" s="836"/>
      <c r="BB84" s="836"/>
      <c r="BC84" s="836"/>
      <c r="BD84" s="836"/>
      <c r="BE84" s="836"/>
      <c r="BH84" s="836"/>
      <c r="BI84" s="836"/>
      <c r="BJ84" s="836"/>
      <c r="BK84" s="836"/>
      <c r="BL84" s="836"/>
      <c r="BM84" s="836"/>
      <c r="BN84" s="836"/>
      <c r="BO84" s="836"/>
      <c r="BP84" s="836"/>
      <c r="BQ84" s="836"/>
      <c r="BR84" s="836"/>
      <c r="BS84" s="836"/>
      <c r="BT84" s="836"/>
      <c r="BU84" s="836"/>
      <c r="BV84" s="836"/>
      <c r="BW84" s="836"/>
      <c r="BX84" s="836"/>
      <c r="BY84" s="836"/>
      <c r="BZ84" s="836"/>
      <c r="CA84" s="836"/>
      <c r="CB84" s="836"/>
      <c r="CC84" s="836"/>
      <c r="CD84" s="836"/>
      <c r="CE84" s="836"/>
      <c r="CF84" s="836"/>
      <c r="CG84" s="836"/>
    </row>
    <row r="85" spans="1:85" s="283" customFormat="1" ht="13.5" customHeight="1" x14ac:dyDescent="0.2">
      <c r="A85" s="900"/>
      <c r="B85" s="899" t="s">
        <v>1007</v>
      </c>
      <c r="C85" s="981">
        <v>0</v>
      </c>
      <c r="D85" s="981">
        <v>-15000</v>
      </c>
      <c r="E85" s="981">
        <v>0</v>
      </c>
      <c r="F85" s="981">
        <v>24082.774270000002</v>
      </c>
      <c r="G85" s="982">
        <f>+SUM(C85:F85)</f>
        <v>9082.7742700000017</v>
      </c>
      <c r="H85" s="981">
        <v>0</v>
      </c>
      <c r="I85" s="981">
        <v>0</v>
      </c>
      <c r="J85" s="981">
        <v>0</v>
      </c>
      <c r="K85" s="981">
        <f>4105.6676015285-14500</f>
        <v>-10394.332398471499</v>
      </c>
      <c r="L85" s="982">
        <f>+SUM(H85:K85)</f>
        <v>-10394.332398471499</v>
      </c>
      <c r="M85" s="981">
        <v>0</v>
      </c>
      <c r="N85" s="981">
        <v>0</v>
      </c>
      <c r="O85" s="981">
        <f>54681.39513-5890.86895115869</f>
        <v>48790.526178841304</v>
      </c>
      <c r="P85" s="981">
        <v>-2254</v>
      </c>
      <c r="Q85" s="982">
        <f>+SUM(M85:P85)</f>
        <v>46536.526178841304</v>
      </c>
      <c r="R85" s="981">
        <v>-3317</v>
      </c>
      <c r="S85" s="981">
        <v>0</v>
      </c>
      <c r="T85" s="981">
        <v>0</v>
      </c>
      <c r="U85" s="981">
        <v>0</v>
      </c>
      <c r="V85" s="982">
        <f>+SUM(R85:U85)</f>
        <v>-3317</v>
      </c>
      <c r="W85" s="981">
        <v>0</v>
      </c>
      <c r="X85" s="981">
        <v>0</v>
      </c>
      <c r="Y85" s="981">
        <v>-1159</v>
      </c>
      <c r="Z85" s="981">
        <v>0</v>
      </c>
      <c r="AA85" s="982">
        <f>+SUM(W85:Z85)</f>
        <v>-1159</v>
      </c>
      <c r="AB85" s="981">
        <v>0</v>
      </c>
      <c r="AC85" s="981">
        <v>0</v>
      </c>
      <c r="AD85" s="981">
        <v>-6645</v>
      </c>
      <c r="AE85" s="981">
        <v>5459</v>
      </c>
      <c r="AF85" s="982">
        <f>+SUM(AB85:AE85)</f>
        <v>-1186</v>
      </c>
      <c r="AG85" s="981">
        <v>0</v>
      </c>
      <c r="AH85" s="981">
        <v>0</v>
      </c>
      <c r="AI85" s="981">
        <v>0</v>
      </c>
      <c r="AJ85" s="981">
        <v>0</v>
      </c>
      <c r="AK85" s="982">
        <f>+SUM(AG85:AJ85)</f>
        <v>0</v>
      </c>
      <c r="AL85" s="981">
        <v>0</v>
      </c>
      <c r="AM85" s="981">
        <v>0</v>
      </c>
      <c r="AN85" s="981">
        <v>0</v>
      </c>
      <c r="AO85" s="981">
        <v>0</v>
      </c>
      <c r="AP85" s="982">
        <f>+SUM(AL85:AO85)</f>
        <v>0</v>
      </c>
      <c r="AQ85" s="981">
        <v>0</v>
      </c>
      <c r="AR85" s="981">
        <v>0</v>
      </c>
      <c r="AS85" s="981">
        <v>0</v>
      </c>
      <c r="AT85" s="981">
        <v>0</v>
      </c>
      <c r="AU85" s="982">
        <f>+SUM(AQ85:AT85)</f>
        <v>0</v>
      </c>
      <c r="AV85" s="981">
        <v>0</v>
      </c>
      <c r="AW85" s="873"/>
      <c r="AX85" s="873"/>
      <c r="AY85" s="873"/>
      <c r="AZ85" s="873"/>
      <c r="BA85" s="873"/>
      <c r="BB85" s="873"/>
      <c r="BC85" s="873"/>
      <c r="BD85" s="873"/>
      <c r="BE85" s="873"/>
      <c r="BH85" s="873"/>
      <c r="BI85" s="873"/>
      <c r="BJ85" s="873"/>
      <c r="BK85" s="873"/>
      <c r="BL85" s="873"/>
      <c r="BM85" s="873"/>
      <c r="BN85" s="873"/>
      <c r="BO85" s="873"/>
      <c r="BP85" s="873"/>
      <c r="BQ85" s="873"/>
      <c r="BR85" s="873"/>
      <c r="BS85" s="873"/>
      <c r="BT85" s="873"/>
      <c r="BU85" s="873"/>
      <c r="BV85" s="873"/>
      <c r="BW85" s="873"/>
      <c r="BX85" s="873"/>
      <c r="BY85" s="873"/>
      <c r="BZ85" s="873"/>
      <c r="CA85" s="873"/>
      <c r="CB85" s="873"/>
      <c r="CC85" s="873"/>
      <c r="CD85" s="873"/>
      <c r="CE85" s="873"/>
      <c r="CF85" s="873"/>
      <c r="CG85" s="873"/>
    </row>
    <row r="86" spans="1:85" ht="13.5" customHeight="1" x14ac:dyDescent="0.2">
      <c r="A86" s="882"/>
      <c r="B86" s="842" t="s">
        <v>1080</v>
      </c>
      <c r="C86" s="841">
        <f ca="1">+SUMIFS(INDIRECT(CONCATENATE("'",$AW86,$AX86,":",$AY86)),INDIRECT(CONCATENATE("'",$AW86,$AX$35,":",$AY$35)),C$35)</f>
        <v>-3297.1615999999995</v>
      </c>
      <c r="D86" s="841">
        <f ca="1">+SUMIFS(INDIRECT(CONCATENATE("'",$AW86,$AX86,":",$AY86)),INDIRECT(CONCATENATE("'",$AW86,$AX$35,":",$AY$35)),D$35)</f>
        <v>-3490.2046699999996</v>
      </c>
      <c r="E86" s="841">
        <f ca="1">+SUMIFS(INDIRECT(CONCATENATE("'",$AW86,$AX86,":",$AY86)),INDIRECT(CONCATENATE("'",$AW86,$AX$35,":",$AY$35)),E$35)</f>
        <v>-3823.40445</v>
      </c>
      <c r="F86" s="841">
        <f ca="1">+SUMIFS(INDIRECT(CONCATENATE("'",$AW86,$AX86,":",$AY86)),INDIRECT(CONCATENATE("'",$AW86,$AX$35,":",$AY$35)),F$35)</f>
        <v>-3804.8000499999998</v>
      </c>
      <c r="G86" s="637">
        <f ca="1">SUM(C86:F86)</f>
        <v>-14415.570769999998</v>
      </c>
      <c r="H86" s="841">
        <f ca="1">+SUMIFS(INDIRECT(CONCATENATE("'",$AW86,$AX86,":",$AY86)),INDIRECT(CONCATENATE("'",$AW86,$AX$35,":",$AY$35)),H$35)</f>
        <v>-3811.6660800000004</v>
      </c>
      <c r="I86" s="841">
        <f ca="1">+SUMIFS(INDIRECT(CONCATENATE("'",$AW86,$AX86,":",$AY86)),INDIRECT(CONCATENATE("'",$AW86,$AX$35,":",$AY$35)),I$35)</f>
        <v>-6190.8721299999997</v>
      </c>
      <c r="J86" s="841">
        <f ca="1">+SUMIFS(INDIRECT(CONCATENATE("'",$AW86,$AX86,":",$AY86)),INDIRECT(CONCATENATE("'",$AW86,$AX$35,":",$AY$35)),J$35)</f>
        <v>-4079.5165700000002</v>
      </c>
      <c r="K86" s="841">
        <f ca="1">+SUMIFS(INDIRECT(CONCATENATE("'",$AW86,$AX86,":",$AY86)),INDIRECT(CONCATENATE("'",$AW86,$AX$35,":",$AY$35)),K$35)</f>
        <v>-3930.5324799999999</v>
      </c>
      <c r="L86" s="637">
        <f ca="1">+SUM(H86:K86)</f>
        <v>-18012.58726</v>
      </c>
      <c r="M86" s="841">
        <f ca="1">+SUMIFS(INDIRECT(CONCATENATE("'",$AW86,$AX86,":",$AY86)),INDIRECT(CONCATENATE("'",$AW86,$AX$35,":",$AY$35)),M$35)-M87</f>
        <v>-3959.39552</v>
      </c>
      <c r="N86" s="841">
        <f ca="1">+SUMIFS(INDIRECT(CONCATENATE("'",$AW86,$AX86,":",$AY86)),INDIRECT(CONCATENATE("'",$AW86,$AX$35,":",$AY$35)),N$35)-N87</f>
        <v>-3920.8246600000002</v>
      </c>
      <c r="O86" s="841">
        <f ca="1">+SUMIFS(INDIRECT(CONCATENATE("'",$AW86,$AX86,":",$AY86)),INDIRECT(CONCATENATE("'",$AW86,$AX$35,":",$AY$35)),O$35)-O87</f>
        <v>-3876.1679499999991</v>
      </c>
      <c r="P86" s="841">
        <f ca="1">+SUMIFS(INDIRECT(CONCATENATE("'",$AW86,$AX86,":",$AY86)),INDIRECT(CONCATENATE("'",$AW86,$AX$35,":",$AY$35)),P$35)-P87</f>
        <v>-3687.1489399999346</v>
      </c>
      <c r="Q86" s="637">
        <f ca="1">+SUM(M86:P86)</f>
        <v>-15443.537069999933</v>
      </c>
      <c r="R86" s="841">
        <f ca="1">+SUMIFS(INDIRECT(CONCATENATE("'",$AW86,$AX86,":",$AY86)),INDIRECT(CONCATENATE("'",$AW86,$AX$35,":",$AY$35)),R$35)-R87</f>
        <v>-3726.6724599999948</v>
      </c>
      <c r="S86" s="841">
        <f ca="1">+SUMIFS(INDIRECT(CONCATENATE("'",$AW86,$AX86,":",$AY86)),INDIRECT(CONCATENATE("'",$AW86,$AX$35,":",$AY$35)),S$35)-S87</f>
        <v>-3533.704039999996</v>
      </c>
      <c r="T86" s="841">
        <f ca="1">+SUMIFS(INDIRECT(CONCATENATE("'",$AW86,$AX86,":",$AY86)),INDIRECT(CONCATENATE("'",$AW86,$AX$35,":",$AY$35)),T$35)-T87</f>
        <v>-3270.7984799999986</v>
      </c>
      <c r="U86" s="841">
        <f ca="1">+SUMIFS(INDIRECT(CONCATENATE("'",$AW86,$AX86,":",$AY86)),INDIRECT(CONCATENATE("'",$AW86,$AX$35,":",$AY$35)),U$35)-U87</f>
        <v>-3203.2957599999991</v>
      </c>
      <c r="V86" s="637">
        <f ca="1">+SUM(R86:U86)</f>
        <v>-13734.470739999988</v>
      </c>
      <c r="W86" s="841">
        <f ca="1">+SUMIFS(INDIRECT(CONCATENATE("'",$AW86,$AX86,":",$AY86)),INDIRECT(CONCATENATE("'",$AW86,$AX$35,":",$AY$35)),W$35)-W87</f>
        <v>-2543.5521399999943</v>
      </c>
      <c r="X86" s="841">
        <f ca="1">+SUMIFS(INDIRECT(CONCATENATE("'",$AW86,$AX86,":",$AY86)),INDIRECT(CONCATENATE("'",$AW86,$AX$35,":",$AY$35)),X$35)-X87</f>
        <v>-3235.7316799999953</v>
      </c>
      <c r="Y86" s="841">
        <f ca="1">+SUMIFS(INDIRECT(CONCATENATE("'",$AW86,$AX86,":",$AY86)),INDIRECT(CONCATENATE("'",$AW86,$AX$35,":",$AY$35)),Y$35)-Y87</f>
        <v>-3179.7878699999947</v>
      </c>
      <c r="Z86" s="841">
        <f ca="1">+SUMIFS(INDIRECT(CONCATENATE("'",$AW86,$AX86,":",$AY86)),INDIRECT(CONCATENATE("'",$AW86,$AX$35,":",$AY$35)),Z$35)-Z87</f>
        <v>-3346.5489700000007</v>
      </c>
      <c r="AA86" s="637">
        <f ca="1">+SUM(W86:Z86)</f>
        <v>-12305.620659999986</v>
      </c>
      <c r="AB86" s="841">
        <f ca="1">+SUMIFS(INDIRECT(CONCATENATE("'",$AW86,$AX86,":",$AY86)),INDIRECT(CONCATENATE("'",$AW86,$AX$35,":",$AY$35)),AB$35)-AB87</f>
        <v>-3489.4372500000072</v>
      </c>
      <c r="AC86" s="841">
        <f ca="1">+SUMIFS(INDIRECT(CONCATENATE("'",$AW86,$AX86,":",$AY86)),INDIRECT(CONCATENATE("'",$AW86,$AX$35,":",$AY$35)),AC$35)-AC87</f>
        <v>-3558.22667000001</v>
      </c>
      <c r="AD86" s="841">
        <f ca="1">+SUMIFS(INDIRECT(CONCATENATE("'",$AW86,$AX86,":",$AY86)),INDIRECT(CONCATENATE("'",$AW86,$AX$35,":",$AY$35)),AD$35)-AD87</f>
        <v>-3512.3220500000016</v>
      </c>
      <c r="AE86" s="841">
        <f ca="1">+SUMIFS(INDIRECT(CONCATENATE("'",$AW86,$AX86,":",$AY86)),INDIRECT(CONCATENATE("'",$AW86,$AX$35,":",$AY$35)),AE$35)-AE87</f>
        <v>-3651.4341799999938</v>
      </c>
      <c r="AF86" s="637">
        <f ca="1">+SUM(AB86:AE86)</f>
        <v>-14211.420150000013</v>
      </c>
      <c r="AG86" s="841">
        <f ca="1">+SUMIFS(INDIRECT(CONCATENATE("'",$AW86,$AX86,":",$AY86)),INDIRECT(CONCATENATE("'",$AW86,$AX$35,":",$AY$35)),AG$35)-AG87</f>
        <v>-3991.0161699999981</v>
      </c>
      <c r="AH86" s="841">
        <f ca="1">+SUMIFS(INDIRECT(CONCATENATE("'",$AW86,$AX86,":",$AY86)),INDIRECT(CONCATENATE("'",$AW86,$AX$35,":",$AY$35)),AH$35)-AH87</f>
        <v>-3967.8679899999979</v>
      </c>
      <c r="AI86" s="841">
        <f ca="1">+SUMIFS(INDIRECT(CONCATENATE("'",$AW86,$AX86,":",$AY86)),INDIRECT(CONCATENATE("'",$AW86,$AX$35,":",$AY$35)),AI$35)-AI87</f>
        <v>-3416.6006800000023</v>
      </c>
      <c r="AJ86" s="841">
        <f ca="1">+SUMIFS(INDIRECT(CONCATENATE("'",$AW86,$AX86,":",$AY86)),INDIRECT(CONCATENATE("'",$AW86,$AX$35,":",$AY$35)),AJ$35)-AJ87</f>
        <v>-3431.2899399999951</v>
      </c>
      <c r="AK86" s="637">
        <f ca="1">+SUM(AG86:AJ86)</f>
        <v>-14806.774779999992</v>
      </c>
      <c r="AL86" s="841">
        <f ca="1">+SUMIFS(INDIRECT(CONCATENATE("'",$AW86,$AX86,":",$AY86)),INDIRECT(CONCATENATE("'",$AW86,$AX$35,":",$AY$35)),AL$35)-AL87</f>
        <v>-4182.3329899999972</v>
      </c>
      <c r="AM86" s="841">
        <f ca="1">+SUMIFS(INDIRECT(CONCATENATE("'",$AW86,$AX86,":",$AY86)),INDIRECT(CONCATENATE("'",$AW86,$AX$35,":",$AY$35)),AM$35)-AM87</f>
        <v>-4126.7560199999989</v>
      </c>
      <c r="AN86" s="841">
        <f ca="1">+SUMIFS(INDIRECT(CONCATENATE("'",$AW86,$AX86,":",$AY86)),INDIRECT(CONCATENATE("'",$AW86,$AX$35,":",$AY$35)),AN$35)-AN87</f>
        <v>-4289.6400300000005</v>
      </c>
      <c r="AO86" s="841">
        <f ca="1">+SUMIFS(INDIRECT(CONCATENATE("'",$AW86,$AX86,":",$AY86)),INDIRECT(CONCATENATE("'",$AW86,$AX$35,":",$AY$35)),AO$35)-AO87</f>
        <v>-4985.7643900000003</v>
      </c>
      <c r="AP86" s="637">
        <f ca="1">+SUM(AL86:AO86)</f>
        <v>-17584.493429999995</v>
      </c>
      <c r="AQ86" s="841">
        <f ca="1">+SUMIFS(INDIRECT(CONCATENATE("'",$AW86,$AX86,":",$AY86)),INDIRECT(CONCATENATE("'",$AW86,$AX$35,":",$AY$35)),AQ$35)-AQ87</f>
        <v>-5740.6460800000004</v>
      </c>
      <c r="AR86" s="841">
        <f ca="1">+SUMIFS(INDIRECT(CONCATENATE("'",$AW86,$AX86,":",$AY86)),INDIRECT(CONCATENATE("'",$AW86,$AX$35,":",$AY$35)),AR$35)-AR87</f>
        <v>-5706.9287800000011</v>
      </c>
      <c r="AS86" s="841">
        <f ca="1">+SUMIFS(INDIRECT(CONCATENATE("'",$AW86,$AX86,":",$AY86)),INDIRECT(CONCATENATE("'",$AW86,$AX$35,":",$AY$35)),AS$35)-AS87</f>
        <v>-5948.1403199999986</v>
      </c>
      <c r="AT86" s="841">
        <f ca="1">+SUMIFS(INDIRECT(CONCATENATE("'",$AW86,$AX86,":",$AY86)),INDIRECT(CONCATENATE("'",$AW86,$AX$35,":",$AY$35)),AT$35)-AT87</f>
        <v>-6373.2624500000002</v>
      </c>
      <c r="AU86" s="637">
        <f ca="1">+SUM(AQ86:AT86)</f>
        <v>-23768.977630000001</v>
      </c>
      <c r="AV86" s="841">
        <f ca="1">+SUMIFS(INDIRECT(CONCATENATE("'",$AW86,$AX86,":",$AY86)),INDIRECT(CONCATENATE("'",$AW86,$AX$35,":",$AY$35)),AV$35)-AV87</f>
        <v>-6996.003859999998</v>
      </c>
      <c r="AW86" s="267" t="s">
        <v>997</v>
      </c>
      <c r="AX86" s="267" t="str">
        <f>"$"&amp;ROW(Auto!$B$37)</f>
        <v>$37</v>
      </c>
      <c r="AY86" s="267" t="str">
        <f>"$"&amp;ROW(Auto!$B$37)</f>
        <v>$37</v>
      </c>
      <c r="AZ86" s="267" t="s">
        <v>998</v>
      </c>
      <c r="BA86" s="267" t="s">
        <v>997</v>
      </c>
      <c r="BK86" s="267"/>
      <c r="BL86" s="267"/>
      <c r="BM86" s="267"/>
      <c r="BN86" s="267"/>
      <c r="BO86" s="267"/>
      <c r="BP86" s="267"/>
      <c r="BQ86" s="267"/>
      <c r="BR86" s="267"/>
      <c r="BS86" s="267"/>
      <c r="BT86" s="267"/>
      <c r="BU86" s="267"/>
      <c r="BV86" s="267"/>
      <c r="BW86" s="267"/>
      <c r="BX86" s="267"/>
      <c r="BY86" s="267"/>
      <c r="BZ86" s="267"/>
      <c r="CA86" s="267"/>
      <c r="CB86" s="267"/>
      <c r="CC86" s="267"/>
      <c r="CD86" s="267"/>
      <c r="CE86" s="267"/>
      <c r="CF86" s="267"/>
      <c r="CG86" s="267"/>
    </row>
    <row r="87" spans="1:85" ht="13.5" customHeight="1" x14ac:dyDescent="0.2">
      <c r="A87" s="882"/>
      <c r="B87" s="842" t="s">
        <v>1081</v>
      </c>
      <c r="C87" s="841">
        <v>0</v>
      </c>
      <c r="D87" s="841">
        <v>0</v>
      </c>
      <c r="E87" s="841">
        <v>0</v>
      </c>
      <c r="F87" s="841">
        <v>0</v>
      </c>
      <c r="G87" s="637" t="s">
        <v>160</v>
      </c>
      <c r="H87" s="841">
        <v>0</v>
      </c>
      <c r="I87" s="841">
        <v>0</v>
      </c>
      <c r="J87" s="841">
        <v>0</v>
      </c>
      <c r="K87" s="841">
        <v>0</v>
      </c>
      <c r="L87" s="637" t="s">
        <v>160</v>
      </c>
      <c r="M87" s="841">
        <f ca="1">SUMIFS(INDIRECT(CONCATENATE("'",$AW87,$AX87,":",$AY87)),INDIRECT(CONCATENATE("'",$AW87,$AX$113,":",$AY$113)),M$92)+SUMIFS(INDIRECT(CONCATENATE("'",$AW87,$AX88,":",$AY88)),INDIRECT(CONCATENATE("'",$AW87,$AX$113,":",$AY$113)),M$92)</f>
        <v>-4489</v>
      </c>
      <c r="N87" s="841">
        <f ca="1">SUMIFS(INDIRECT(CONCATENATE("'",$AW87,$AX87,":",$AY87)),INDIRECT(CONCATENATE("'",$AW87,$AX$113,":",$AY$113)),N$92)+SUMIFS(INDIRECT(CONCATENATE("'",$AW87,$AX88,":",$AY88)),INDIRECT(CONCATENATE("'",$AW87,$AX$113,":",$AY$113)),N$92)</f>
        <v>-3680</v>
      </c>
      <c r="O87" s="841">
        <f ca="1">SUMIFS(INDIRECT(CONCATENATE("'",$AW87,$AX87,":",$AY87)),INDIRECT(CONCATENATE("'",$AW87,$AX$113,":",$AY$113)),O$92)+SUMIFS(INDIRECT(CONCATENATE("'",$AW87,$AX88,":",$AY88)),INDIRECT(CONCATENATE("'",$AW87,$AX$113,":",$AY$113)),O$92)</f>
        <v>-4230.7541600000004</v>
      </c>
      <c r="P87" s="841">
        <f ca="1">SUMIFS(INDIRECT(CONCATENATE("'",$AW87,$AX87,":",$AY87)),INDIRECT(CONCATENATE("'",$AW87,$AX$113,":",$AY$113)),P$92)+SUMIFS(INDIRECT(CONCATENATE("'",$AW87,$AX88,":",$AY88)),INDIRECT(CONCATENATE("'",$AW87,$AX$113,":",$AY$113)),P$92)</f>
        <v>-4346.2338100000652</v>
      </c>
      <c r="Q87" s="637">
        <f ca="1">+SUM(M87:P87)</f>
        <v>-16745.987970000067</v>
      </c>
      <c r="R87" s="841">
        <f ca="1">SUMIFS(INDIRECT(CONCATENATE("'",$AW87,$AX87,":",$AY87)),INDIRECT(CONCATENATE("'",$AW87,$AX$113,":",$AY$113)),R$92)+SUMIFS(INDIRECT(CONCATENATE("'",$AW87,$AX88,":",$AY88)),INDIRECT(CONCATENATE("'",$AW87,$AX$113,":",$AY$113)),R$92)</f>
        <v>-4006.8072000000052</v>
      </c>
      <c r="S87" s="841">
        <f ca="1">SUMIFS(INDIRECT(CONCATENATE("'",$AW87,$AX87,":",$AY87)),INDIRECT(CONCATENATE("'",$AW87,$AX$113,":",$AY$113)),S$92)+SUMIFS(INDIRECT(CONCATENATE("'",$AW87,$AX88,":",$AY88)),INDIRECT(CONCATENATE("'",$AW87,$AX$113,":",$AY$113)),S$92)</f>
        <v>-4259.3547700000036</v>
      </c>
      <c r="T87" s="841">
        <f ca="1">SUMIFS(INDIRECT(CONCATENATE("'",$AW87,$AX87,":",$AY87)),INDIRECT(CONCATENATE("'",$AW87,$AX$113,":",$AY$113)),T$92)+SUMIFS(INDIRECT(CONCATENATE("'",$AW87,$AX88,":",$AY88)),INDIRECT(CONCATENATE("'",$AW87,$AX$113,":",$AY$113)),T$92)</f>
        <v>-4121.0068000000019</v>
      </c>
      <c r="U87" s="841">
        <f ca="1">SUMIFS(INDIRECT(CONCATENATE("'",$AW87,$AX87,":",$AY87)),INDIRECT(CONCATENATE("'",$AW87,$AX$113,":",$AY$113)),U$92)+SUMIFS(INDIRECT(CONCATENATE("'",$AW87,$AX88,":",$AY88)),INDIRECT(CONCATENATE("'",$AW87,$AX$113,":",$AY$113)),U$92)</f>
        <v>-4068.5125500000013</v>
      </c>
      <c r="V87" s="637">
        <f ca="1">+SUM(R87:U87)</f>
        <v>-16455.681320000011</v>
      </c>
      <c r="W87" s="841">
        <f ca="1">SUMIFS(INDIRECT(CONCATENATE("'",$AW87,$AX87,":",$AY87)),INDIRECT(CONCATENATE("'",$AW87,$AX$113,":",$AY$113)),W$92)+SUMIFS(INDIRECT(CONCATENATE("'",$AW87,$AX88,":",$AY88)),INDIRECT(CONCATENATE("'",$AW87,$AX$113,":",$AY$113)),W$92)</f>
        <v>-5679.9586500000059</v>
      </c>
      <c r="X87" s="841">
        <f ca="1">SUMIFS(INDIRECT(CONCATENATE("'",$AW87,$AX87,":",$AY87)),INDIRECT(CONCATENATE("'",$AW87,$AX$113,":",$AY$113)),X$92)+SUMIFS(INDIRECT(CONCATENATE("'",$AW87,$AX88,":",$AY88)),INDIRECT(CONCATENATE("'",$AW87,$AX$113,":",$AY$113)),X$92)</f>
        <v>-5146.3784100000048</v>
      </c>
      <c r="Y87" s="841">
        <f ca="1">SUMIFS(INDIRECT(CONCATENATE("'",$AW87,$AX87,":",$AY87)),INDIRECT(CONCATENATE("'",$AW87,$AX$113,":",$AY$113)),Y$92)+SUMIFS(INDIRECT(CONCATENATE("'",$AW87,$AX88,":",$AY88)),INDIRECT(CONCATENATE("'",$AW87,$AX$113,":",$AY$113)),Y$92)</f>
        <v>-4957.5544800000062</v>
      </c>
      <c r="Z87" s="841">
        <f ca="1">SUMIFS(INDIRECT(CONCATENATE("'",$AW87,$AX87,":",$AY87)),INDIRECT(CONCATENATE("'",$AW87,$AX$113,":",$AY$113)),Z$92)+SUMIFS(INDIRECT(CONCATENATE("'",$AW87,$AX88,":",$AY88)),INDIRECT(CONCATENATE("'",$AW87,$AX$113,":",$AY$113)),Z$92)</f>
        <v>-4823.5264500000003</v>
      </c>
      <c r="AA87" s="637">
        <f ca="1">+SUM(W87:Z87)</f>
        <v>-20607.417990000016</v>
      </c>
      <c r="AB87" s="841">
        <f ca="1">SUMIFS(INDIRECT(CONCATENATE("'",$AW87,$AX87,":",$AY87)),INDIRECT(CONCATENATE("'",$AW87,$AX$113,":",$AY$113)),AB$92)+SUMIFS(INDIRECT(CONCATENATE("'",$AW87,$AX88,":",$AY88)),INDIRECT(CONCATENATE("'",$AW87,$AX$113,":",$AY$113)),AB$92)</f>
        <v>-5671.5534099999941</v>
      </c>
      <c r="AC87" s="841">
        <f ca="1">SUMIFS(INDIRECT(CONCATENATE("'",$AW87,$AX87,":",$AY87)),INDIRECT(CONCATENATE("'",$AW87,$AX$113,":",$AY$113)),AC$92)+SUMIFS(INDIRECT(CONCATENATE("'",$AW87,$AX88,":",$AY88)),INDIRECT(CONCATENATE("'",$AW87,$AX$113,":",$AY$113)),AC$92)</f>
        <v>-5759.0405899999923</v>
      </c>
      <c r="AD87" s="841">
        <f ca="1">SUMIFS(INDIRECT(CONCATENATE("'",$AW87,$AX87,":",$AY87)),INDIRECT(CONCATENATE("'",$AW87,$AX$113,":",$AY$113)),AD$92)+SUMIFS(INDIRECT(CONCATENATE("'",$AW87,$AX88,":",$AY88)),INDIRECT(CONCATENATE("'",$AW87,$AX$113,":",$AY$113)),AD$92)</f>
        <v>-4565.0494599999993</v>
      </c>
      <c r="AE87" s="841">
        <f ca="1">SUMIFS(INDIRECT(CONCATENATE("'",$AW87,$AX87,":",$AY87)),INDIRECT(CONCATENATE("'",$AW87,$AX$113,":",$AY$113)),AE$92)+SUMIFS(INDIRECT(CONCATENATE("'",$AW87,$AX88,":",$AY88)),INDIRECT(CONCATENATE("'",$AW87,$AX$113,":",$AY$113)),AE$92)</f>
        <v>-5240.7480500000065</v>
      </c>
      <c r="AF87" s="637">
        <f ca="1">+SUM(AB87:AE87)</f>
        <v>-21236.39150999999</v>
      </c>
      <c r="AG87" s="841">
        <f ca="1">SUMIFS(INDIRECT(CONCATENATE("'",$AW87,$AX87,":",$AY87)),INDIRECT(CONCATENATE("'",$AW87,$AX$113,":",$AY$113)),AG$92)+SUMIFS(INDIRECT(CONCATENATE("'",$AW87,$AX88,":",$AY88)),INDIRECT(CONCATENATE("'",$AW87,$AX$113,":",$AY$113)),AG$92)</f>
        <v>-5200.7011400000019</v>
      </c>
      <c r="AH87" s="841">
        <f ca="1">SUMIFS(INDIRECT(CONCATENATE("'",$AW87,$AX87,":",$AY87)),INDIRECT(CONCATENATE("'",$AW87,$AX$113,":",$AY$113)),AH$92)+SUMIFS(INDIRECT(CONCATENATE("'",$AW87,$AX88,":",$AY88)),INDIRECT(CONCATENATE("'",$AW87,$AX$113,":",$AY$113)),AH$92)</f>
        <v>-5244.6578900000013</v>
      </c>
      <c r="AI87" s="841">
        <f ca="1">SUMIFS(INDIRECT(CONCATENATE("'",$AW87,$AX87,":",$AY87)),INDIRECT(CONCATENATE("'",$AW87,$AX$113,":",$AY$113)),AI$92)+SUMIFS(INDIRECT(CONCATENATE("'",$AW87,$AX88,":",$AY88)),INDIRECT(CONCATENATE("'",$AW87,$AX$113,":",$AY$113)),AI$92)</f>
        <v>-6080.8952099999979</v>
      </c>
      <c r="AJ87" s="841">
        <f ca="1">SUMIFS(INDIRECT(CONCATENATE("'",$AW87,$AX87,":",$AY87)),INDIRECT(CONCATENATE("'",$AW87,$AX$113,":",$AY$113)),AJ$92)+SUMIFS(INDIRECT(CONCATENATE("'",$AW87,$AX88,":",$AY88)),INDIRECT(CONCATENATE("'",$AW87,$AX$113,":",$AY$113)),AJ$92)</f>
        <v>-6534.750340000006</v>
      </c>
      <c r="AK87" s="637">
        <f ca="1">+SUM(AG87:AJ87)</f>
        <v>-23061.004580000008</v>
      </c>
      <c r="AL87" s="841">
        <f ca="1">SUMIFS(INDIRECT(CONCATENATE("'",$AW87,$AX87,":",$AY87)),INDIRECT(CONCATENATE("'",$AW87,$AX$113,":",$AY$113)),AL$92)+SUMIFS(INDIRECT(CONCATENATE("'",$AW87,$AX88,":",$AY88)),INDIRECT(CONCATENATE("'",$AW87,$AX$113,":",$AY$113)),AL$92)</f>
        <v>-5351.4860000000008</v>
      </c>
      <c r="AM87" s="841">
        <f ca="1">SUMIFS(INDIRECT(CONCATENATE("'",$AW87,$AX87,":",$AY87)),INDIRECT(CONCATENATE("'",$AW87,$AX$113,":",$AY$113)),AM$92)+SUMIFS(INDIRECT(CONCATENATE("'",$AW87,$AX88,":",$AY88)),INDIRECT(CONCATENATE("'",$AW87,$AX$113,":",$AY$113)),AM$92)</f>
        <v>-5413.1781100000026</v>
      </c>
      <c r="AN87" s="841">
        <f ca="1">SUMIFS(INDIRECT(CONCATENATE("'",$AW87,$AX87,":",$AY87)),INDIRECT(CONCATENATE("'",$AW87,$AX$113,":",$AY$113)),AN$92)+SUMIFS(INDIRECT(CONCATENATE("'",$AW87,$AX88,":",$AY88)),INDIRECT(CONCATENATE("'",$AW87,$AX$113,":",$AY$113)),AN$92)</f>
        <v>-5122.9498800000001</v>
      </c>
      <c r="AO87" s="841">
        <f ca="1">SUMIFS(INDIRECT(CONCATENATE("'",$AW87,$AX87,":",$AY87)),INDIRECT(CONCATENATE("'",$AW87,$AX$113,":",$AY$113)),AO$92)+SUMIFS(INDIRECT(CONCATENATE("'",$AW87,$AX88,":",$AY88)),INDIRECT(CONCATENATE("'",$AW87,$AX$113,":",$AY$113)),AO$92)</f>
        <v>-4991.7550900000006</v>
      </c>
      <c r="AP87" s="637">
        <f ca="1">+SUM(AL87:AO87)</f>
        <v>-20879.369080000004</v>
      </c>
      <c r="AQ87" s="841">
        <f ca="1">SUMIFS(INDIRECT(CONCATENATE("'",$AW87,$AX87,":",$AY87)),INDIRECT(CONCATENATE("'",$AW87,$AX$113,":",$AY$113)),AQ$92)+SUMIFS(INDIRECT(CONCATENATE("'",$AW87,$AX88,":",$AY88)),INDIRECT(CONCATENATE("'",$AW87,$AX$113,":",$AY$113)),AQ$92)</f>
        <v>-4990.4556400000001</v>
      </c>
      <c r="AR87" s="841">
        <f ca="1">SUMIFS(INDIRECT(CONCATENATE("'",$AW87,$AX87,":",$AY87)),INDIRECT(CONCATENATE("'",$AW87,$AX$113,":",$AY$113)),AR$92)+SUMIFS(INDIRECT(CONCATENATE("'",$AW87,$AX88,":",$AY88)),INDIRECT(CONCATENATE("'",$AW87,$AX$113,":",$AY$113)),AR$92)</f>
        <v>-5091.0134100000005</v>
      </c>
      <c r="AS87" s="841">
        <f ca="1">SUMIFS(INDIRECT(CONCATENATE("'",$AW87,$AX87,":",$AY87)),INDIRECT(CONCATENATE("'",$AW87,$AX$113,":",$AY$113)),AS$92)+SUMIFS(INDIRECT(CONCATENATE("'",$AW87,$AX88,":",$AY88)),INDIRECT(CONCATENATE("'",$AW87,$AX$113,":",$AY$113)),AS$92)</f>
        <v>-5231.4204500000014</v>
      </c>
      <c r="AT87" s="841">
        <f ca="1">SUMIFS(INDIRECT(CONCATENATE("'",$AW87,$AX87,":",$AY87)),INDIRECT(CONCATENATE("'",$AW87,$AX$113,":",$AY$113)),AT$92)+SUMIFS(INDIRECT(CONCATENATE("'",$AW87,$AX88,":",$AY88)),INDIRECT(CONCATENATE("'",$AW87,$AX$113,":",$AY$113)),AT$92)</f>
        <v>-5277.9454300000016</v>
      </c>
      <c r="AU87" s="637">
        <f ca="1">+SUM(AQ87:AT87)</f>
        <v>-20590.834930000005</v>
      </c>
      <c r="AV87" s="841">
        <f ca="1">SUMIFS(INDIRECT(CONCATENATE("'",$AW87,$AX87,":",$AY87)),INDIRECT(CONCATENATE("'",$AW87,$AX$113,":",$AY$113)),AV$92)+SUMIFS(INDIRECT(CONCATENATE("'",$AW87,$AX88,":",$AY88)),INDIRECT(CONCATENATE("'",$AW87,$AX$113,":",$AY$113)),AV$92)</f>
        <v>-5477.5591900000027</v>
      </c>
      <c r="AW87" s="267" t="s">
        <v>984</v>
      </c>
      <c r="AX87" s="267" t="str">
        <f>"$"&amp;ROW(Anexos!$B$8)</f>
        <v>$8</v>
      </c>
      <c r="AY87" s="267" t="str">
        <f>"$"&amp;ROW(Anexos!$B$8)</f>
        <v>$8</v>
      </c>
      <c r="AZ87" s="267" t="s">
        <v>985</v>
      </c>
      <c r="BA87" s="267" t="s">
        <v>984</v>
      </c>
      <c r="BK87" s="267"/>
      <c r="BL87" s="267"/>
      <c r="BM87" s="267"/>
      <c r="BN87" s="267"/>
      <c r="BO87" s="267"/>
      <c r="BP87" s="267"/>
      <c r="BQ87" s="267"/>
      <c r="BR87" s="267"/>
      <c r="BS87" s="267"/>
      <c r="BT87" s="267"/>
      <c r="BU87" s="267"/>
      <c r="BV87" s="267"/>
      <c r="BW87" s="267"/>
      <c r="BX87" s="267"/>
      <c r="BY87" s="267"/>
      <c r="BZ87" s="267"/>
      <c r="CA87" s="267"/>
      <c r="CB87" s="267"/>
      <c r="CC87" s="267"/>
      <c r="CD87" s="267"/>
      <c r="CE87" s="267"/>
      <c r="CF87" s="267"/>
      <c r="CG87" s="267"/>
    </row>
    <row r="88" spans="1:85" ht="13.5" customHeight="1" x14ac:dyDescent="0.2">
      <c r="A88" s="24"/>
      <c r="B88" s="850" t="s">
        <v>1084</v>
      </c>
      <c r="C88" s="849">
        <f ca="1">+C76+C78+C86+C87+C85</f>
        <v>12547.293040000011</v>
      </c>
      <c r="D88" s="849">
        <f ca="1">+D76+D78+D86+D87+D85</f>
        <v>6798.9239400000151</v>
      </c>
      <c r="E88" s="849">
        <f ca="1">+E76+E78+E86+E87+E85</f>
        <v>31046.916300000026</v>
      </c>
      <c r="F88" s="849">
        <f ca="1">+F76+F78+F86+F87+F85</f>
        <v>56126.051650000038</v>
      </c>
      <c r="G88" s="848">
        <f ca="1">+SUM(C88:F88)</f>
        <v>106519.18493000009</v>
      </c>
      <c r="H88" s="849">
        <f ca="1">+H76+H78+H86+H87+H85</f>
        <v>18801.010540000003</v>
      </c>
      <c r="I88" s="849">
        <f ca="1">+I76+I78+I86+I87+I85</f>
        <v>32056.667939999974</v>
      </c>
      <c r="J88" s="849">
        <f ca="1">+J76+J78+J86+J87+J85</f>
        <v>45324.29633999995</v>
      </c>
      <c r="K88" s="849">
        <f ca="1">+K76+K78+K86+K87+K85</f>
        <v>47633.233090000009</v>
      </c>
      <c r="L88" s="848">
        <f ca="1">+SUM(H88:K88)</f>
        <v>143815.20790999994</v>
      </c>
      <c r="M88" s="849">
        <f ca="1">+M76+M78+M86+M87+M85</f>
        <v>34050.342430000026</v>
      </c>
      <c r="N88" s="849">
        <f ca="1">+N76+N78+N86+N87+N85</f>
        <v>41050.409850000025</v>
      </c>
      <c r="O88" s="849">
        <f ca="1">+O76+O78+O86+O87+O85</f>
        <v>90543.972610000026</v>
      </c>
      <c r="P88" s="849">
        <f ca="1">+P76+P78+P86+P87+P85</f>
        <v>47185.545329999994</v>
      </c>
      <c r="Q88" s="848">
        <f ca="1">+SUM(M88:P88)</f>
        <v>212830.27022000006</v>
      </c>
      <c r="R88" s="849">
        <f ca="1">+R76+R78+R86+R87+R85</f>
        <v>18228.660220000005</v>
      </c>
      <c r="S88" s="849">
        <f ca="1">+S76+S78+S86+S87+S85</f>
        <v>-19447.750720000011</v>
      </c>
      <c r="T88" s="849">
        <f ca="1">+T76+T78+T86+T87+T85</f>
        <v>31400.413580000008</v>
      </c>
      <c r="U88" s="849">
        <f ca="1">+U76+U78+U86+U87+U85</f>
        <v>35973.570420000033</v>
      </c>
      <c r="V88" s="848">
        <f ca="1">+SUM(R88:U88)</f>
        <v>66154.893500000035</v>
      </c>
      <c r="W88" s="849">
        <f ca="1">+W76+W78+W86+W87+W85</f>
        <v>24897.950790000003</v>
      </c>
      <c r="X88" s="849">
        <f ca="1">+X76+X78+X86+X87+X85</f>
        <v>15068.959429999981</v>
      </c>
      <c r="Y88" s="849">
        <f ca="1">+Y76+Y78+Y86+Y87+Y85</f>
        <v>16225.760699999992</v>
      </c>
      <c r="Z88" s="849">
        <f ca="1">+Z76+Z78+Z86+Z87+Z85</f>
        <v>28377.622419999901</v>
      </c>
      <c r="AA88" s="848">
        <f ca="1">+SUM(W88:Z88)</f>
        <v>84570.293339999873</v>
      </c>
      <c r="AB88" s="849">
        <f ca="1">+AB76+AB78+AB86+AB87+AB85</f>
        <v>11903.233889999981</v>
      </c>
      <c r="AC88" s="849">
        <f ca="1">+AC76+AC78+AC86+AC87+AC85</f>
        <v>28477.494269999956</v>
      </c>
      <c r="AD88" s="849">
        <f ca="1">+AD76+AD78+AD86+AD87+AD85</f>
        <v>59231.320249999961</v>
      </c>
      <c r="AE88" s="849">
        <f ca="1">+AE76+AE78+AE86+AE87+AE85</f>
        <v>58029.402119999933</v>
      </c>
      <c r="AF88" s="848">
        <f ca="1">+SUM(AB88:AE88)</f>
        <v>157641.45052999983</v>
      </c>
      <c r="AG88" s="849">
        <f ca="1">+AG76+AG78+AG86+AG87+AG85</f>
        <v>33334.285629999846</v>
      </c>
      <c r="AH88" s="849">
        <f ca="1">+AH76+AH78+AH86+AH87+AH85</f>
        <v>37234.110040000101</v>
      </c>
      <c r="AI88" s="849">
        <f ca="1">+AI76+AI78+AI86+AI87+AI85</f>
        <v>57337.571230000081</v>
      </c>
      <c r="AJ88" s="849">
        <f ca="1">+AJ76+AJ78+AJ86+AJ87+AJ85</f>
        <v>52424.614480000273</v>
      </c>
      <c r="AK88" s="848">
        <f ca="1">+SUM(AG88:AJ88)</f>
        <v>180330.58138000031</v>
      </c>
      <c r="AL88" s="849">
        <f ca="1">+AL76+AL78+AL86+AL87+AL85</f>
        <v>40428.051039999846</v>
      </c>
      <c r="AM88" s="849">
        <f ca="1">+AM76+AM78+AM86+AM87+AM85</f>
        <v>65090.761100000011</v>
      </c>
      <c r="AN88" s="849">
        <f ca="1">+AN76+AN78+AN86+AN87+AN85</f>
        <v>108152.26717000011</v>
      </c>
      <c r="AO88" s="849">
        <f ca="1">+AO76+AO78+AO86+AO87+AO85</f>
        <v>110300.33060999995</v>
      </c>
      <c r="AP88" s="848">
        <f ca="1">+SUM(AL88:AO88)</f>
        <v>323971.40991999989</v>
      </c>
      <c r="AQ88" s="849">
        <f ca="1">+AQ76+AQ78+AQ86+AQ87+AQ85</f>
        <v>49786.744079999953</v>
      </c>
      <c r="AR88" s="849">
        <f ca="1">+AR76+AR78+AR86+AR87+AR85</f>
        <v>75550.346659999806</v>
      </c>
      <c r="AS88" s="849">
        <f ca="1">+AS76+AS78+AS86+AS87+AS85</f>
        <v>100836.87653000013</v>
      </c>
      <c r="AT88" s="849">
        <f ca="1">+AT76+AT78+AT86+AT87+AT85</f>
        <v>66327.322299999971</v>
      </c>
      <c r="AU88" s="848">
        <f ca="1">+SUM(AQ88:AT88)</f>
        <v>292501.28956999985</v>
      </c>
      <c r="AV88" s="849">
        <f ca="1">+AV76+AV78+AV86+AV87+AV85</f>
        <v>53078.427700000102</v>
      </c>
      <c r="AX88" s="267" t="str">
        <f>"$"&amp;ROW(Anexos!$B$9)</f>
        <v>$9</v>
      </c>
      <c r="AY88" s="267" t="str">
        <f>"$"&amp;ROW(Anexos!$B$9)</f>
        <v>$9</v>
      </c>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row>
    <row r="89" spans="1:85" s="835" customFormat="1" ht="13.5" customHeight="1" x14ac:dyDescent="0.2">
      <c r="A89" s="840"/>
      <c r="B89" s="839" t="s">
        <v>989</v>
      </c>
      <c r="C89" s="838">
        <f t="shared" ref="C89:X89" ca="1" si="111">ROUND(C88/C70,3)</f>
        <v>7.1999999999999995E-2</v>
      </c>
      <c r="D89" s="838">
        <f t="shared" ca="1" si="111"/>
        <v>3.2000000000000001E-2</v>
      </c>
      <c r="E89" s="838">
        <f t="shared" ca="1" si="111"/>
        <v>0.127</v>
      </c>
      <c r="F89" s="838">
        <f t="shared" ca="1" si="111"/>
        <v>0.20399999999999999</v>
      </c>
      <c r="G89" s="837">
        <f t="shared" ca="1" si="111"/>
        <v>0.11700000000000001</v>
      </c>
      <c r="H89" s="838">
        <f t="shared" ca="1" si="111"/>
        <v>8.5000000000000006E-2</v>
      </c>
      <c r="I89" s="838">
        <f t="shared" ca="1" si="111"/>
        <v>0.125</v>
      </c>
      <c r="J89" s="838">
        <f t="shared" ca="1" si="111"/>
        <v>0.153</v>
      </c>
      <c r="K89" s="838">
        <f t="shared" ca="1" si="111"/>
        <v>0.14799999999999999</v>
      </c>
      <c r="L89" s="837">
        <f t="shared" ca="1" si="111"/>
        <v>0.13100000000000001</v>
      </c>
      <c r="M89" s="838">
        <f t="shared" ca="1" si="111"/>
        <v>0.13200000000000001</v>
      </c>
      <c r="N89" s="838">
        <f t="shared" ca="1" si="111"/>
        <v>0.14000000000000001</v>
      </c>
      <c r="O89" s="838">
        <f t="shared" ca="1" si="111"/>
        <v>0.30199999999999999</v>
      </c>
      <c r="P89" s="838">
        <f t="shared" ca="1" si="111"/>
        <v>0.14000000000000001</v>
      </c>
      <c r="Q89" s="837">
        <f t="shared" ca="1" si="111"/>
        <v>0.17899999999999999</v>
      </c>
      <c r="R89" s="838">
        <f t="shared" ca="1" si="111"/>
        <v>7.5999999999999998E-2</v>
      </c>
      <c r="S89" s="838">
        <f t="shared" ca="1" si="111"/>
        <v>-0.224</v>
      </c>
      <c r="T89" s="838">
        <f t="shared" ca="1" si="111"/>
        <v>0.128</v>
      </c>
      <c r="U89" s="838">
        <f t="shared" ca="1" si="111"/>
        <v>0.13200000000000001</v>
      </c>
      <c r="V89" s="837">
        <f t="shared" ca="1" si="111"/>
        <v>7.8E-2</v>
      </c>
      <c r="W89" s="838">
        <f t="shared" ca="1" si="111"/>
        <v>0.124</v>
      </c>
      <c r="X89" s="838">
        <f t="shared" ca="1" si="111"/>
        <v>7.4999999999999997E-2</v>
      </c>
      <c r="Y89" s="838">
        <f t="shared" ref="Y89:AD89" ca="1" si="112">ROUND(Y88/Y70,3)</f>
        <v>8.4000000000000005E-2</v>
      </c>
      <c r="Z89" s="838">
        <f t="shared" ca="1" si="112"/>
        <v>0.104</v>
      </c>
      <c r="AA89" s="837">
        <f t="shared" ca="1" si="112"/>
        <v>9.7000000000000003E-2</v>
      </c>
      <c r="AB89" s="838">
        <f t="shared" ca="1" si="112"/>
        <v>5.8999999999999997E-2</v>
      </c>
      <c r="AC89" s="838">
        <f t="shared" ca="1" si="112"/>
        <v>0.107</v>
      </c>
      <c r="AD89" s="838">
        <f t="shared" ca="1" si="112"/>
        <v>0.159</v>
      </c>
      <c r="AE89" s="838">
        <f t="shared" ref="AE89:AM89" ca="1" si="113">ROUND(AE88/AE70,3)</f>
        <v>0.156</v>
      </c>
      <c r="AF89" s="837">
        <f t="shared" ca="1" si="113"/>
        <v>0.13</v>
      </c>
      <c r="AG89" s="838">
        <f t="shared" ca="1" si="113"/>
        <v>0.112</v>
      </c>
      <c r="AH89" s="838">
        <f t="shared" ca="1" si="113"/>
        <v>0.113</v>
      </c>
      <c r="AI89" s="838">
        <f t="shared" ca="1" si="113"/>
        <v>0.14899999999999999</v>
      </c>
      <c r="AJ89" s="838">
        <f t="shared" ca="1" si="113"/>
        <v>0.127</v>
      </c>
      <c r="AK89" s="837">
        <f t="shared" ca="1" si="113"/>
        <v>0.126</v>
      </c>
      <c r="AL89" s="838">
        <f t="shared" ca="1" si="113"/>
        <v>0.11600000000000001</v>
      </c>
      <c r="AM89" s="838">
        <f t="shared" ca="1" si="113"/>
        <v>0.152</v>
      </c>
      <c r="AN89" s="838">
        <f t="shared" ref="AN89:AV89" ca="1" si="114">ROUND(AN88/AN70,3)</f>
        <v>0.192</v>
      </c>
      <c r="AO89" s="838">
        <f t="shared" ca="1" si="114"/>
        <v>0.189</v>
      </c>
      <c r="AP89" s="837">
        <f t="shared" ca="1" si="114"/>
        <v>0.16900000000000001</v>
      </c>
      <c r="AQ89" s="838">
        <f t="shared" ca="1" si="114"/>
        <v>0.126</v>
      </c>
      <c r="AR89" s="838">
        <f t="shared" ca="1" si="114"/>
        <v>0.152</v>
      </c>
      <c r="AS89" s="838">
        <f t="shared" ca="1" si="114"/>
        <v>0.16800000000000001</v>
      </c>
      <c r="AT89" s="838">
        <f t="shared" ca="1" si="114"/>
        <v>0.11600000000000001</v>
      </c>
      <c r="AU89" s="837">
        <f t="shared" ca="1" si="114"/>
        <v>0.14199999999999999</v>
      </c>
      <c r="AV89" s="838">
        <f t="shared" ca="1" si="114"/>
        <v>0.111</v>
      </c>
      <c r="AW89" s="836"/>
      <c r="AX89" s="267" t="str">
        <f>"$"&amp;ROW(Anexos!$B$5)</f>
        <v>$5</v>
      </c>
      <c r="AY89" s="267" t="str">
        <f>"$"&amp;ROW(Anexos!$B$5)</f>
        <v>$5</v>
      </c>
      <c r="AZ89" s="836"/>
      <c r="BA89" s="836"/>
      <c r="BB89" s="836"/>
      <c r="BC89" s="836"/>
      <c r="BD89" s="836"/>
      <c r="BE89" s="836"/>
      <c r="BH89" s="836"/>
      <c r="BI89" s="836"/>
      <c r="BJ89" s="836"/>
      <c r="BK89" s="836"/>
      <c r="BL89" s="836"/>
      <c r="BM89" s="836"/>
      <c r="BN89" s="836"/>
      <c r="BO89" s="836"/>
      <c r="BP89" s="836"/>
      <c r="BQ89" s="836"/>
      <c r="BR89" s="836"/>
      <c r="BS89" s="836"/>
      <c r="BT89" s="836"/>
      <c r="BU89" s="836"/>
      <c r="BV89" s="836"/>
      <c r="BW89" s="836"/>
      <c r="BX89" s="836"/>
      <c r="BY89" s="836"/>
      <c r="BZ89" s="836"/>
      <c r="CA89" s="836"/>
      <c r="CB89" s="836"/>
      <c r="CC89" s="836"/>
      <c r="CD89" s="836"/>
      <c r="CE89" s="836"/>
      <c r="CF89" s="836"/>
      <c r="CG89" s="836"/>
    </row>
    <row r="90" spans="1:85" ht="13.5" customHeight="1" x14ac:dyDescent="0.2">
      <c r="A90" s="739"/>
      <c r="B90" s="9" t="s">
        <v>1139</v>
      </c>
      <c r="C90" s="823">
        <f ca="1">+SUMIFS(INDIRECT(CONCATENATE("'",$AW90,$AX90,":",$AY90)),INDIRECT(CONCATENATE("'",$AW90,$AX$35,":",$AY$35)),C$35)-C88</f>
        <v>0</v>
      </c>
      <c r="D90" s="823">
        <f ca="1">+SUMIFS(INDIRECT(CONCATENATE("'",$AW90,$AX90,":",$AY90)),INDIRECT(CONCATENATE("'",$AW90,$AX$35,":",$AY$35)),D$35)-D88</f>
        <v>0</v>
      </c>
      <c r="E90" s="823">
        <f ca="1">+SUMIFS(INDIRECT(CONCATENATE("'",$AW90,$AX90,":",$AY90)),INDIRECT(CONCATENATE("'",$AW90,$AX$35,":",$AY$35)),E$35)-E88</f>
        <v>0</v>
      </c>
      <c r="F90" s="823">
        <f ca="1">+SUMIFS(INDIRECT(CONCATENATE("'",$AW90,$AX90,":",$AY90)),INDIRECT(CONCATENATE("'",$AW90,$AX$35,":",$AY$35)),F$35)-F88</f>
        <v>0</v>
      </c>
      <c r="H90" s="823">
        <f ca="1">+SUMIFS(INDIRECT(CONCATENATE("'",$AW90,$AX90,":",$AY90)),INDIRECT(CONCATENATE("'",$AW90,$AX$35,":",$AY$35)),H$35)-H88</f>
        <v>0</v>
      </c>
      <c r="I90" s="823">
        <f ca="1">+SUMIFS(INDIRECT(CONCATENATE("'",$AW90,$AX90,":",$AY90)),INDIRECT(CONCATENATE("'",$AW90,$AX$35,":",$AY$35)),I$35)-I88</f>
        <v>0</v>
      </c>
      <c r="J90" s="823">
        <f ca="1">+SUMIFS(INDIRECT(CONCATENATE("'",$AW90,$AX90,":",$AY90)),INDIRECT(CONCATENATE("'",$AW90,$AX$35,":",$AY$35)),J$35)-J88</f>
        <v>0</v>
      </c>
      <c r="K90" s="823">
        <f ca="1">+SUMIFS(INDIRECT(CONCATENATE("'",$AW90,$AX90,":",$AY90)),INDIRECT(CONCATENATE("'",$AW90,$AX$35,":",$AY$35)),K$35)-K88</f>
        <v>0</v>
      </c>
      <c r="M90" s="823">
        <f ca="1">+SUMIFS(INDIRECT(CONCATENATE("'",$AW90,$AX90,":",$AY90)),INDIRECT(CONCATENATE("'",$AW90,$AX$35,":",$AY$35)),M$35)-M88</f>
        <v>0</v>
      </c>
      <c r="N90" s="823">
        <f ca="1">+SUMIFS(INDIRECT(CONCATENATE("'",$AW90,$AX90,":",$AY90)),INDIRECT(CONCATENATE("'",$AW90,$AX$35,":",$AY$35)),N$35)-N88</f>
        <v>0</v>
      </c>
      <c r="O90" s="823">
        <f ca="1">+SUMIFS(INDIRECT(CONCATENATE("'",$AW90,$AX90,":",$AY90)),INDIRECT(CONCATENATE("'",$AW90,$AX$35,":",$AY$35)),O$35)-O88</f>
        <v>0</v>
      </c>
      <c r="P90" s="823">
        <f ca="1">+SUMIFS(INDIRECT(CONCATENATE("'",$AW90,$AX90,":",$AY90)),INDIRECT(CONCATENATE("'",$AW90,$AX$35,":",$AY$35)),P$35)-P88</f>
        <v>0</v>
      </c>
      <c r="R90" s="823">
        <f ca="1">+SUMIFS(INDIRECT(CONCATENATE("'",$AW90,$AX90,":",$AY90)),INDIRECT(CONCATENATE("'",$AW90,$AX$35,":",$AY$35)),R$35)-R88</f>
        <v>0</v>
      </c>
      <c r="S90" s="823">
        <f ca="1">+SUMIFS(INDIRECT(CONCATENATE("'",$AW90,$AX90,":",$AY90)),INDIRECT(CONCATENATE("'",$AW90,$AX$35,":",$AY$35)),S$35)-S88</f>
        <v>0</v>
      </c>
      <c r="T90" s="823">
        <f ca="1">+SUMIFS(INDIRECT(CONCATENATE("'",$AW90,$AX90,":",$AY90)),INDIRECT(CONCATENATE("'",$AW90,$AX$35,":",$AY$35)),T$35)-T88</f>
        <v>0</v>
      </c>
      <c r="U90" s="823">
        <f ca="1">+SUMIFS(INDIRECT(CONCATENATE("'",$AW90,$AX90,":",$AY90)),INDIRECT(CONCATENATE("'",$AW90,$AX$35,":",$AY$35)),U$35)-U88</f>
        <v>0</v>
      </c>
      <c r="W90" s="823">
        <f ca="1">+SUMIFS(INDIRECT(CONCATENATE("'",$AW90,$AX90,":",$AY90)),INDIRECT(CONCATENATE("'",$AW90,$AX$35,":",$AY$35)),W$35)-W88</f>
        <v>0</v>
      </c>
      <c r="X90" s="823">
        <f ca="1">+SUMIFS(INDIRECT(CONCATENATE("'",$AW90,$AX90,":",$AY90)),INDIRECT(CONCATENATE("'",$AW90,$AX$35,":",$AY$35)),X$35)-X88</f>
        <v>0</v>
      </c>
      <c r="Y90" s="823">
        <f ca="1">+SUMIFS(INDIRECT(CONCATENATE("'",$AW90,$AX90,":",$AY90)),INDIRECT(CONCATENATE("'",$AW90,$AX$35,":",$AY$35)),Y$35)-Y88</f>
        <v>0</v>
      </c>
      <c r="Z90" s="823">
        <f ca="1">+SUMIFS(INDIRECT(CONCATENATE("'",$AW90,$AX90,":",$AY90)),INDIRECT(CONCATENATE("'",$AW90,$AX$35,":",$AY$35)),Z$35)-Z88</f>
        <v>0</v>
      </c>
      <c r="AB90" s="823">
        <f ca="1">+SUMIFS(INDIRECT(CONCATENATE("'",$AW90,$AX90,":",$AY90)),INDIRECT(CONCATENATE("'",$AW90,$AX$35,":",$AY$35)),AB$35)-AB88</f>
        <v>0</v>
      </c>
      <c r="AC90" s="823">
        <f ca="1">+SUMIFS(INDIRECT(CONCATENATE("'",$AW90,$AX90,":",$AY90)),INDIRECT(CONCATENATE("'",$AW90,$AX$35,":",$AY$35)),AC$35)-AC88</f>
        <v>0</v>
      </c>
      <c r="AD90" s="823">
        <f ca="1">+SUMIFS(INDIRECT(CONCATENATE("'",$AW90,$AX90,":",$AY90)),INDIRECT(CONCATENATE("'",$AW90,$AX$35,":",$AY$35)),AD$35)-AD88</f>
        <v>0</v>
      </c>
      <c r="AE90" s="823">
        <f ca="1">+SUMIFS(INDIRECT(CONCATENATE("'",$AW90,$AX90,":",$AY90)),INDIRECT(CONCATENATE("'",$AW90,$AX$35,":",$AY$35)),AE$35)-AE88</f>
        <v>0</v>
      </c>
      <c r="AG90" s="823">
        <f ca="1">+SUMIFS(INDIRECT(CONCATENATE("'",$AW90,$AX90,":",$AY90)),INDIRECT(CONCATENATE("'",$AW90,$AX$35,":",$AY$35)),AG$35)-AG88</f>
        <v>0</v>
      </c>
      <c r="AH90" s="823">
        <f ca="1">+SUMIFS(INDIRECT(CONCATENATE("'",$AW90,$AX90,":",$AY90)),INDIRECT(CONCATENATE("'",$AW90,$AX$35,":",$AY$35)),AH$35)-AH88</f>
        <v>0</v>
      </c>
      <c r="AI90" s="823">
        <f ca="1">+SUMIFS(INDIRECT(CONCATENATE("'",$AW90,$AX90,":",$AY90)),INDIRECT(CONCATENATE("'",$AW90,$AX$35,":",$AY$35)),AI$35)-AI88</f>
        <v>0</v>
      </c>
      <c r="AJ90" s="823">
        <f ca="1">+SUMIFS(INDIRECT(CONCATENATE("'",$AW90,$AX90,":",$AY90)),INDIRECT(CONCATENATE("'",$AW90,$AX$35,":",$AY$35)),AJ$35)-AJ88</f>
        <v>0</v>
      </c>
      <c r="AL90" s="823">
        <f ca="1">+SUMIFS(INDIRECT(CONCATENATE("'",$AW90,$AX90,":",$AY90)),INDIRECT(CONCATENATE("'",$AW90,$AX$35,":",$AY$35)),AL$35)-AL88</f>
        <v>0</v>
      </c>
      <c r="AM90" s="823">
        <f ca="1">+SUMIFS(INDIRECT(CONCATENATE("'",$AW90,$AX90,":",$AY90)),INDIRECT(CONCATENATE("'",$AW90,$AX$35,":",$AY$35)),AM$35)-AM88</f>
        <v>0</v>
      </c>
      <c r="AN90" s="823">
        <f ca="1">+SUMIFS(INDIRECT(CONCATENATE("'",$AW90,$AX90,":",$AY90)),INDIRECT(CONCATENATE("'",$AW90,$AX$35,":",$AY$35)),AN$35)-AN88</f>
        <v>0</v>
      </c>
      <c r="AO90" s="823">
        <f ca="1">+SUMIFS(INDIRECT(CONCATENATE("'",$AW90,$AX90,":",$AY90)),INDIRECT(CONCATENATE("'",$AW90,$AX$35,":",$AY$35)),AO$35)-AO88</f>
        <v>0</v>
      </c>
      <c r="AQ90" s="823">
        <f ca="1">+SUMIFS(INDIRECT(CONCATENATE("'",$AW90,$AX90,":",$AY90)),INDIRECT(CONCATENATE("'",$AW90,$AX$35,":",$AY$35)),AQ$35)-AQ88</f>
        <v>0</v>
      </c>
      <c r="AR90" s="823">
        <f ca="1">+SUMIFS(INDIRECT(CONCATENATE("'",$AW90,$AX90,":",$AY90)),INDIRECT(CONCATENATE("'",$AW90,$AX$35,":",$AY$35)),AR$35)-AR88</f>
        <v>0</v>
      </c>
      <c r="AS90" s="823">
        <f ca="1">+SUMIFS(INDIRECT(CONCATENATE("'",$AW90,$AX90,":",$AY90)),INDIRECT(CONCATENATE("'",$AW90,$AX$35,":",$AY$35)),AS$35)-AS88</f>
        <v>0</v>
      </c>
      <c r="AT90" s="823">
        <f ca="1">+SUMIFS(INDIRECT(CONCATENATE("'",$AW90,$AX90,":",$AY90)),INDIRECT(CONCATENATE("'",$AW90,$AX$35,":",$AY$35)),AT$35)-AT88</f>
        <v>0</v>
      </c>
      <c r="AU90" s="823"/>
      <c r="AV90" s="823">
        <f ca="1">+SUMIFS(INDIRECT(CONCATENATE("'",$AW90,$AX90,":",$AY90)),INDIRECT(CONCATENATE("'",$AW90,$AX$35,":",$AY$35)),AV$35)-AV88</f>
        <v>0</v>
      </c>
      <c r="AW90" s="267" t="s">
        <v>997</v>
      </c>
      <c r="AX90" s="267" t="str">
        <f>"$"&amp;ROW(Auto!$B$40)</f>
        <v>$40</v>
      </c>
      <c r="AY90" s="267" t="str">
        <f>"$"&amp;ROW(Auto!$B$40)</f>
        <v>$40</v>
      </c>
      <c r="AZ90" s="267" t="s">
        <v>998</v>
      </c>
      <c r="BA90" s="267" t="s">
        <v>997</v>
      </c>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row>
    <row r="91" spans="1:85" ht="12.75" x14ac:dyDescent="0.2">
      <c r="B91" s="1108" t="s">
        <v>632</v>
      </c>
      <c r="C91" s="38"/>
      <c r="D91" s="38"/>
      <c r="E91" s="38"/>
      <c r="F91" s="38"/>
      <c r="G91" s="38"/>
      <c r="H91" s="38"/>
      <c r="I91" s="38"/>
      <c r="J91" s="38"/>
      <c r="K91" s="38"/>
      <c r="L91" s="38"/>
      <c r="M91" s="38"/>
      <c r="N91" s="38"/>
      <c r="O91" s="38"/>
      <c r="AC91" s="275"/>
      <c r="BB91" s="1147"/>
      <c r="BC91" s="1147"/>
      <c r="BD91" s="1147"/>
      <c r="BE91" s="1147"/>
      <c r="BF91" s="275"/>
      <c r="BG91" s="275"/>
      <c r="BH91" s="275"/>
      <c r="BI91" s="275"/>
      <c r="BJ91" s="275"/>
    </row>
    <row r="92" spans="1:85" ht="13.5" customHeight="1" x14ac:dyDescent="0.2">
      <c r="B92" s="852" t="s">
        <v>995</v>
      </c>
      <c r="C92" s="851" t="str">
        <f t="shared" ref="C92:AH92" si="115">C5</f>
        <v>1T17</v>
      </c>
      <c r="D92" s="851" t="str">
        <f t="shared" si="115"/>
        <v>2T17</v>
      </c>
      <c r="E92" s="851" t="str">
        <f t="shared" si="115"/>
        <v>3T17</v>
      </c>
      <c r="F92" s="851" t="str">
        <f t="shared" si="115"/>
        <v>4T17</v>
      </c>
      <c r="G92" s="851" t="str">
        <f t="shared" si="115"/>
        <v>2017</v>
      </c>
      <c r="H92" s="851" t="str">
        <f t="shared" si="115"/>
        <v>1T18</v>
      </c>
      <c r="I92" s="851" t="str">
        <f t="shared" si="115"/>
        <v>2T18</v>
      </c>
      <c r="J92" s="851" t="str">
        <f t="shared" si="115"/>
        <v>3T18</v>
      </c>
      <c r="K92" s="851" t="str">
        <f t="shared" si="115"/>
        <v>4T18</v>
      </c>
      <c r="L92" s="851" t="str">
        <f t="shared" si="115"/>
        <v>2018</v>
      </c>
      <c r="M92" s="851" t="str">
        <f t="shared" si="115"/>
        <v>1T19</v>
      </c>
      <c r="N92" s="851" t="str">
        <f t="shared" si="115"/>
        <v>2T19</v>
      </c>
      <c r="O92" s="851" t="str">
        <f t="shared" si="115"/>
        <v>3T19</v>
      </c>
      <c r="P92" s="851" t="str">
        <f t="shared" si="115"/>
        <v>4T19</v>
      </c>
      <c r="Q92" s="851" t="str">
        <f t="shared" si="115"/>
        <v>2019</v>
      </c>
      <c r="R92" s="851" t="str">
        <f t="shared" si="115"/>
        <v>1T20</v>
      </c>
      <c r="S92" s="851" t="str">
        <f t="shared" si="115"/>
        <v>2T20</v>
      </c>
      <c r="T92" s="851" t="str">
        <f t="shared" si="115"/>
        <v>3T20</v>
      </c>
      <c r="U92" s="851" t="str">
        <f t="shared" si="115"/>
        <v>4T20</v>
      </c>
      <c r="V92" s="851" t="str">
        <f t="shared" si="115"/>
        <v>2020</v>
      </c>
      <c r="W92" s="851" t="str">
        <f t="shared" si="115"/>
        <v>1T21</v>
      </c>
      <c r="X92" s="851" t="str">
        <f t="shared" si="115"/>
        <v>2T21</v>
      </c>
      <c r="Y92" s="851" t="str">
        <f t="shared" si="115"/>
        <v>3T21</v>
      </c>
      <c r="Z92" s="851" t="str">
        <f t="shared" si="115"/>
        <v>4T21</v>
      </c>
      <c r="AA92" s="851" t="str">
        <f t="shared" si="115"/>
        <v>2021</v>
      </c>
      <c r="AB92" s="851" t="str">
        <f t="shared" si="115"/>
        <v>1T22</v>
      </c>
      <c r="AC92" s="851" t="str">
        <f t="shared" si="115"/>
        <v>2T22</v>
      </c>
      <c r="AD92" s="851" t="str">
        <f t="shared" si="115"/>
        <v>3T22</v>
      </c>
      <c r="AE92" s="851" t="str">
        <f t="shared" si="115"/>
        <v>4T22</v>
      </c>
      <c r="AF92" s="851" t="str">
        <f t="shared" si="115"/>
        <v>2022</v>
      </c>
      <c r="AG92" s="851" t="str">
        <f t="shared" si="115"/>
        <v>1T23</v>
      </c>
      <c r="AH92" s="851" t="str">
        <f t="shared" si="115"/>
        <v>2T23</v>
      </c>
      <c r="AI92" s="851" t="str">
        <f t="shared" ref="AI92:AN92" si="116">AI5</f>
        <v>3T23</v>
      </c>
      <c r="AJ92" s="851" t="str">
        <f t="shared" si="116"/>
        <v>4T23</v>
      </c>
      <c r="AK92" s="851" t="str">
        <f t="shared" si="116"/>
        <v>2023</v>
      </c>
      <c r="AL92" s="851" t="str">
        <f t="shared" si="116"/>
        <v>1T24</v>
      </c>
      <c r="AM92" s="851" t="str">
        <f t="shared" si="116"/>
        <v>2T24</v>
      </c>
      <c r="AN92" s="851" t="str">
        <f t="shared" si="116"/>
        <v>3T24</v>
      </c>
      <c r="AO92" s="851" t="str">
        <f t="shared" ref="AO92:AV92" si="117">AO5</f>
        <v>4T24</v>
      </c>
      <c r="AP92" s="851" t="str">
        <f t="shared" si="117"/>
        <v>2024</v>
      </c>
      <c r="AQ92" s="851" t="str">
        <f t="shared" si="117"/>
        <v>1T25</v>
      </c>
      <c r="AR92" s="851" t="str">
        <f t="shared" si="117"/>
        <v>2T25</v>
      </c>
      <c r="AS92" s="851" t="str">
        <f t="shared" si="117"/>
        <v>3T25</v>
      </c>
      <c r="AT92" s="851" t="str">
        <f t="shared" si="117"/>
        <v>4T25</v>
      </c>
      <c r="AU92" s="851" t="str">
        <f t="shared" si="117"/>
        <v>2025</v>
      </c>
      <c r="AV92" s="851" t="str">
        <f t="shared" si="117"/>
        <v>1T26</v>
      </c>
      <c r="AX92" s="267" t="str">
        <f>"$"&amp;ROW(LI!$B$5)</f>
        <v>$5</v>
      </c>
      <c r="AY92" s="267" t="str">
        <f>"$"&amp;ROW(LI!$B$5)</f>
        <v>$5</v>
      </c>
      <c r="AZ92" s="267" t="s">
        <v>992</v>
      </c>
      <c r="BK92" s="267"/>
      <c r="BL92" s="267"/>
      <c r="BM92" s="267"/>
      <c r="BN92" s="267"/>
      <c r="BO92" s="267"/>
      <c r="BP92" s="267"/>
      <c r="BQ92" s="267"/>
      <c r="BR92" s="267"/>
      <c r="BS92" s="267"/>
      <c r="BT92" s="267"/>
      <c r="BU92" s="267"/>
      <c r="BV92" s="267"/>
      <c r="BW92" s="267"/>
      <c r="BX92" s="267"/>
      <c r="BY92" s="267"/>
      <c r="BZ92" s="267"/>
      <c r="CA92" s="267"/>
      <c r="CB92" s="267"/>
      <c r="CC92" s="267"/>
      <c r="CD92" s="267"/>
      <c r="CE92" s="267"/>
      <c r="CF92" s="267"/>
      <c r="CG92" s="267"/>
    </row>
    <row r="93" spans="1:85" ht="13.5" customHeight="1" x14ac:dyDescent="0.2">
      <c r="B93" s="842" t="s">
        <v>12</v>
      </c>
      <c r="C93" s="841">
        <f ca="1">+SUMIFS(INDIRECT(CONCATENATE("'",$AW93,$AX93,":",$AY93)),INDIRECT(CONCATENATE("'",$AW93,$AX$92,":",$AY$92)),C$92)</f>
        <v>14711.21329</v>
      </c>
      <c r="D93" s="841">
        <f ca="1">+SUMIFS(INDIRECT(CONCATENATE("'",$AW93,$AX93,":",$AY93)),INDIRECT(CONCATENATE("'",$AW93,$AX$92,":",$AY$92)),D$92)</f>
        <v>15228.65266</v>
      </c>
      <c r="E93" s="841">
        <f ca="1">+SUMIFS(INDIRECT(CONCATENATE("'",$AW93,$AX93,":",$AY93)),INDIRECT(CONCATENATE("'",$AW93,$AX$92,":",$AY$92)),E$92)</f>
        <v>15248.51109</v>
      </c>
      <c r="F93" s="841">
        <f ca="1">+SUMIFS(INDIRECT(CONCATENATE("'",$AW93,$AX93,":",$AY93)),INDIRECT(CONCATENATE("'",$AW93,$AX$92,":",$AY$92)),F$92)</f>
        <v>18348.92193</v>
      </c>
      <c r="G93" s="637">
        <f ca="1">SUM(C93:F93)</f>
        <v>63537.298970000003</v>
      </c>
      <c r="H93" s="841">
        <f ca="1">+SUMIFS(INDIRECT(CONCATENATE("'",$AW93,$AX93,":",$AY93)),INDIRECT(CONCATENATE("'",$AW93,$AX$92,":",$AY$92)),H$92)</f>
        <v>13420.595569999999</v>
      </c>
      <c r="I93" s="841">
        <f ca="1">+SUMIFS(INDIRECT(CONCATENATE("'",$AW93,$AX93,":",$AY93)),INDIRECT(CONCATENATE("'",$AW93,$AX$92,":",$AY$92)),I$92)</f>
        <v>11588.4</v>
      </c>
      <c r="J93" s="841">
        <f ca="1">+SUMIFS(INDIRECT(CONCATENATE("'",$AW93,$AX93,":",$AY93)),INDIRECT(CONCATENATE("'",$AW93,$AX$92,":",$AY$92)),J$92)</f>
        <v>10761.402389999999</v>
      </c>
      <c r="K93" s="841">
        <f ca="1">+SUMIFS(INDIRECT(CONCATENATE("'",$AW93,$AX93,":",$AY93)),INDIRECT(CONCATENATE("'",$AW93,$AX$92,":",$AY$92)),K$92)</f>
        <v>12177.346869999994</v>
      </c>
      <c r="L93" s="637">
        <f ca="1">+SUM(H93:K93)</f>
        <v>47947.744829999996</v>
      </c>
      <c r="M93" s="841">
        <f ca="1">+SUMIFS(INDIRECT(CONCATENATE("'",$AW93,$AX93,":",$AY93)),INDIRECT(CONCATENATE("'",$AW93,$AX$92,":",$AY$92)),M$92)</f>
        <v>8489.4</v>
      </c>
      <c r="N93" s="841">
        <f ca="1">+SUMIFS(INDIRECT(CONCATENATE("'",$AW93,$AX93,":",$AY93)),INDIRECT(CONCATENATE("'",$AW93,$AX$92,":",$AY$92)),N$92)</f>
        <v>8685.1920200000004</v>
      </c>
      <c r="O93" s="841">
        <f ca="1">+SUMIFS(INDIRECT(CONCATENATE("'",$AW93,$AX93,":",$AY93)),INDIRECT(CONCATENATE("'",$AW93,$AX$92,":",$AY$92)),O$92)</f>
        <v>8764.0848000000005</v>
      </c>
      <c r="P93" s="841">
        <f ca="1">+SUMIFS(INDIRECT(CONCATENATE("'",$AW93,$AX93,":",$AY93)),INDIRECT(CONCATENATE("'",$AW93,$AX$92,":",$AY$92)),P$92)</f>
        <v>10631.25776</v>
      </c>
      <c r="Q93" s="637">
        <f ca="1">+SUM(M93:P93)</f>
        <v>36569.934580000001</v>
      </c>
      <c r="R93" s="841">
        <f ca="1">+SUMIFS(INDIRECT(CONCATENATE("'",$AW$93,$AX93,":",$AY93)),INDIRECT(CONCATENATE("'",$AW93,$AX$92,":",$AY$92)),R$92)</f>
        <v>8671.6252599999989</v>
      </c>
      <c r="S93" s="841">
        <f ca="1">+SUMIFS(INDIRECT(CONCATENATE("'",$AW$93,$AX93,":",$AY93)),INDIRECT(CONCATENATE("'",$AW93,$AX$92,":",$AY$92)),S$92)</f>
        <v>11829.77543</v>
      </c>
      <c r="T93" s="841">
        <f ca="1">+SUMIFS(INDIRECT(CONCATENATE("'",$AW$93,$AX93,":",$AY93)),INDIRECT(CONCATENATE("'",$AW93,$AX$92,":",$AY$92)),T$92)</f>
        <v>9323.1470300000019</v>
      </c>
      <c r="U93" s="841">
        <f ca="1">+SUMIFS(INDIRECT(CONCATENATE("'",$AW$93,$AX93,":",$AY93)),INDIRECT(CONCATENATE("'",$AW93,$AX$92,":",$AY$92)),U$92)</f>
        <v>5179.5571500000005</v>
      </c>
      <c r="V93" s="637">
        <f ca="1">+SUM(R93:U93)</f>
        <v>35004.104870000003</v>
      </c>
      <c r="W93" s="841">
        <f ca="1">+SUMIFS(INDIRECT(CONCATENATE("'",$AW$93,$AX93,":",$AY93)),INDIRECT(CONCATENATE("'",$AW93,$AX$92,":",$AY$92)),W$92)</f>
        <v>1367.5780099999999</v>
      </c>
      <c r="X93" s="841">
        <f ca="1">+SUMIFS(INDIRECT(CONCATENATE("'",$AW$93,$AX93,":",$AY93)),INDIRECT(CONCATENATE("'",$AW93,$AX$92,":",$AY$92)),X$92)</f>
        <v>431.86840000000001</v>
      </c>
      <c r="Y93" s="841">
        <f ca="1">+SUMIFS(INDIRECT(CONCATENATE("'",$AW$93,$AX93,":",$AY93)),INDIRECT(CONCATENATE("'",$AW93,$AX$92,":",$AY$92)),Y$92)</f>
        <v>420.28199999999998</v>
      </c>
      <c r="Z93" s="841">
        <f ca="1">+SUMIFS(INDIRECT(CONCATENATE("'",$AW$93,$AX93,":",$AY93)),INDIRECT(CONCATENATE("'",$AW93,$AX$92,":",$AY$92)),Z$92)</f>
        <v>638.75400000000002</v>
      </c>
      <c r="AA93" s="637">
        <f ca="1">+SUM(W93:Z93)</f>
        <v>2858.4824100000001</v>
      </c>
      <c r="AB93" s="841">
        <f ca="1">+SUMIFS(INDIRECT(CONCATENATE("'",$AW$93,$AX93,":",$AY93)),INDIRECT(CONCATENATE("'",$AW93,$AX$92,":",$AY$92)),AB$92)</f>
        <v>931.00256000000002</v>
      </c>
      <c r="AC93" s="841">
        <f ca="1">+SUMIFS(INDIRECT(CONCATENATE("'",$AW$93,$AX93,":",$AY93)),INDIRECT(CONCATENATE("'",$AW93,$AX$92,":",$AY$92)),AC$92)</f>
        <v>946.8376200000057</v>
      </c>
      <c r="AD93" s="841">
        <f ca="1">+SUMIFS(INDIRECT(CONCATENATE("'",$AW$93,$AX93,":",$AY93)),INDIRECT(CONCATENATE("'",$AW93,$AX$92,":",$AY$92)),AD$92)</f>
        <v>1066.48</v>
      </c>
      <c r="AE93" s="841">
        <f ca="1">+SUMIFS(INDIRECT(CONCATENATE("'",$AW$93,$AX93,":",$AY93)),INDIRECT(CONCATENATE("'",$AW93,$AX$92,":",$AY$92)),AE$92)</f>
        <v>1579.9119099999998</v>
      </c>
      <c r="AF93" s="637">
        <f ca="1">+SUM(AB93:AE93)</f>
        <v>4524.232090000005</v>
      </c>
      <c r="AG93" s="841">
        <f ca="1">+SUMIFS(INDIRECT(CONCATENATE("'",$AW$93,$AX93,":",$AY93)),INDIRECT(CONCATENATE("'",$AW93,$AX$92,":",$AY$92)),AG$92)</f>
        <v>1308</v>
      </c>
      <c r="AH93" s="841">
        <f ca="1">+SUMIFS(INDIRECT(CONCATENATE("'",$AW$93,$AX93,":",$AY93)),INDIRECT(CONCATENATE("'",$AW93,$AX$92,":",$AY$92)),AH$92)</f>
        <v>1469.99</v>
      </c>
      <c r="AI93" s="841">
        <f ca="1">+SUMIFS(INDIRECT(CONCATENATE("'",$AW$93,$AX93,":",$AY93)),INDIRECT(CONCATENATE("'",$AW93,$AX$92,":",$AY$92)),AI$92)</f>
        <v>1493.4783099999986</v>
      </c>
      <c r="AJ93" s="841">
        <f ca="1">+SUMIFS(INDIRECT(CONCATENATE("'",$AW$93,$AX93,":",$AY93)),INDIRECT(CONCATENATE("'",$AW93,$AX$92,":",$AY$92)),AJ$92)</f>
        <v>1226.0999999999999</v>
      </c>
      <c r="AK93" s="637">
        <f ca="1">+SUM(AG93:AJ93)</f>
        <v>5497.5683099999987</v>
      </c>
      <c r="AL93" s="841">
        <f ca="1">+SUMIFS(INDIRECT(CONCATENATE("'",$AW$93,$AX93,":",$AY93)),INDIRECT(CONCATENATE("'",$AW93,$AX$92,":",$AY$92)),AL$92)</f>
        <v>872.82729000000108</v>
      </c>
      <c r="AM93" s="841">
        <f ca="1">+SUMIFS(INDIRECT(CONCATENATE("'",$AW$93,$AX93,":",$AY93)),INDIRECT(CONCATENATE("'",$AW93,$AX$92,":",$AY$92)),AM$92)</f>
        <v>0</v>
      </c>
      <c r="AN93" s="841">
        <f ca="1">+SUMIFS(INDIRECT(CONCATENATE("'",$AW$93,$AX93,":",$AY93)),INDIRECT(CONCATENATE("'",$AW93,$AX$92,":",$AY$92)),AN$92)</f>
        <v>0</v>
      </c>
      <c r="AO93" s="841">
        <f ca="1">+SUMIFS(INDIRECT(CONCATENATE("'",$AW$93,$AX93,":",$AY93)),INDIRECT(CONCATENATE("'",$AW93,$AX$92,":",$AY$92)),AO$92)</f>
        <v>0</v>
      </c>
      <c r="AP93" s="637">
        <f ca="1">+SUM(AL93:AO93)</f>
        <v>872.82729000000108</v>
      </c>
      <c r="AQ93" s="841">
        <f ca="1">+SUMIFS(INDIRECT(CONCATENATE("'",$AW$93,$AX93,":",$AY93)),INDIRECT(CONCATENATE("'",$AW93,$AX$92,":",$AY$92)),AQ$92)</f>
        <v>0</v>
      </c>
      <c r="AR93" s="841">
        <f ca="1">+SUMIFS(INDIRECT(CONCATENATE("'",$AW$93,$AX93,":",$AY93)),INDIRECT(CONCATENATE("'",$AW93,$AX$92,":",$AY$92)),AR$92)</f>
        <v>0</v>
      </c>
      <c r="AS93" s="841">
        <f ca="1">+SUMIFS(INDIRECT(CONCATENATE("'",$AW$93,$AX93,":",$AY93)),INDIRECT(CONCATENATE("'",$AW93,$AX$92,":",$AY$92)),AS$92)</f>
        <v>0</v>
      </c>
      <c r="AT93" s="841">
        <f ca="1">+SUMIFS(INDIRECT(CONCATENATE("'",$AW$93,$AX93,":",$AY93)),INDIRECT(CONCATENATE("'",$AW93,$AX$92,":",$AY$92)),AT$92)</f>
        <v>0</v>
      </c>
      <c r="AU93" s="637">
        <f ca="1">+SUM(AQ93:AT93)</f>
        <v>0</v>
      </c>
      <c r="AV93" s="841">
        <f ca="1">+SUMIFS(INDIRECT(CONCATENATE("'",$AW$93,$AX93,":",$AY93)),INDIRECT(CONCATENATE("'",$AW93,$AX$92,":",$AY$92)),AV$92)</f>
        <v>0</v>
      </c>
      <c r="AW93" s="267" t="s">
        <v>991</v>
      </c>
      <c r="AX93" s="267" t="str">
        <f>"$"&amp;ROW(LI!$B$6)</f>
        <v>$6</v>
      </c>
      <c r="AY93" s="267" t="str">
        <f>"$"&amp;ROW(LI!$B$6)</f>
        <v>$6</v>
      </c>
      <c r="AZ93" s="267" t="s">
        <v>992</v>
      </c>
      <c r="BA93" s="267" t="s">
        <v>991</v>
      </c>
      <c r="BK93" s="267"/>
      <c r="BL93" s="267"/>
      <c r="BM93" s="267"/>
      <c r="BN93" s="267"/>
      <c r="BO93" s="267"/>
      <c r="BP93" s="267"/>
      <c r="BQ93" s="267"/>
      <c r="BR93" s="267"/>
      <c r="BS93" s="267"/>
      <c r="BT93" s="267"/>
      <c r="BU93" s="267"/>
      <c r="BV93" s="267"/>
      <c r="BW93" s="267"/>
      <c r="BX93" s="267"/>
      <c r="BY93" s="267"/>
      <c r="BZ93" s="267"/>
      <c r="CA93" s="267"/>
      <c r="CB93" s="267"/>
      <c r="CC93" s="267"/>
      <c r="CD93" s="267"/>
      <c r="CE93" s="267"/>
      <c r="CF93" s="267"/>
      <c r="CG93" s="267"/>
    </row>
    <row r="94" spans="1:85" s="835" customFormat="1" ht="13.5" customHeight="1" x14ac:dyDescent="0.2">
      <c r="A94" s="840"/>
      <c r="B94" s="845" t="s">
        <v>954</v>
      </c>
      <c r="C94" s="859">
        <v>0.02</v>
      </c>
      <c r="D94" s="859">
        <v>0.02</v>
      </c>
      <c r="E94" s="859">
        <v>0.02</v>
      </c>
      <c r="F94" s="859">
        <v>0.02</v>
      </c>
      <c r="G94" s="883" t="s">
        <v>160</v>
      </c>
      <c r="H94" s="859">
        <v>0.02</v>
      </c>
      <c r="I94" s="859">
        <v>0.02</v>
      </c>
      <c r="J94" s="859">
        <v>0.02</v>
      </c>
      <c r="K94" s="859">
        <v>0.02</v>
      </c>
      <c r="L94" s="846">
        <f ca="1">+L93/G93-1</f>
        <v>-0.24536066834318571</v>
      </c>
      <c r="M94" s="859">
        <v>0.02</v>
      </c>
      <c r="N94" s="859">
        <v>0.02</v>
      </c>
      <c r="O94" s="859">
        <v>0.02</v>
      </c>
      <c r="P94" s="859">
        <v>0.02</v>
      </c>
      <c r="Q94" s="846">
        <f ca="1">+Q93/L93-1</f>
        <v>-0.23729604573354435</v>
      </c>
      <c r="R94" s="859">
        <v>0.02</v>
      </c>
      <c r="S94" s="859">
        <v>0.02</v>
      </c>
      <c r="T94" s="859">
        <v>0.02</v>
      </c>
      <c r="U94" s="859">
        <v>1.02</v>
      </c>
      <c r="V94" s="846">
        <f ca="1">+V93/Q93-1</f>
        <v>-4.2817405280685006E-2</v>
      </c>
      <c r="W94" s="859">
        <v>1.02</v>
      </c>
      <c r="X94" s="859">
        <v>1.02</v>
      </c>
      <c r="Y94" s="859">
        <v>1.02</v>
      </c>
      <c r="Z94" s="859">
        <v>2.02</v>
      </c>
      <c r="AA94" s="846">
        <f ca="1">+AA93/V93-1</f>
        <v>-0.91833865140628579</v>
      </c>
      <c r="AB94" s="859">
        <v>1.02</v>
      </c>
      <c r="AC94" s="859">
        <v>1.02</v>
      </c>
      <c r="AD94" s="859">
        <v>1.02</v>
      </c>
      <c r="AE94" s="859">
        <v>2.02</v>
      </c>
      <c r="AF94" s="846">
        <f ca="1">+AF93/AA93-1</f>
        <v>0.58273917452582991</v>
      </c>
      <c r="AG94" s="859">
        <v>2.02</v>
      </c>
      <c r="AH94" s="859">
        <v>2.02</v>
      </c>
      <c r="AI94" s="859">
        <v>2.02</v>
      </c>
      <c r="AJ94" s="859">
        <v>2.02</v>
      </c>
      <c r="AK94" s="846">
        <f ca="1">+AK93/AF93-1</f>
        <v>0.21513843689659007</v>
      </c>
      <c r="AL94" s="859">
        <v>2.02</v>
      </c>
      <c r="AM94" s="859" t="s">
        <v>160</v>
      </c>
      <c r="AN94" s="859" t="s">
        <v>160</v>
      </c>
      <c r="AO94" s="859" t="s">
        <v>160</v>
      </c>
      <c r="AP94" s="846">
        <f ca="1">+AP93/AK93-1</f>
        <v>-0.84123393457206519</v>
      </c>
      <c r="AQ94" s="859" t="s">
        <v>160</v>
      </c>
      <c r="AR94" s="859" t="s">
        <v>160</v>
      </c>
      <c r="AS94" s="859" t="s">
        <v>160</v>
      </c>
      <c r="AT94" s="859" t="s">
        <v>160</v>
      </c>
      <c r="AU94" s="846" t="s">
        <v>149</v>
      </c>
      <c r="AV94" s="859" t="s">
        <v>160</v>
      </c>
      <c r="AW94" s="836"/>
      <c r="AX94" s="836"/>
      <c r="AY94" s="836"/>
      <c r="AZ94" s="836"/>
      <c r="BA94" s="836"/>
      <c r="BB94" s="836"/>
      <c r="BC94" s="836"/>
      <c r="BD94" s="836"/>
      <c r="BE94" s="836"/>
      <c r="BH94" s="836"/>
      <c r="BI94" s="836"/>
      <c r="BJ94" s="836"/>
      <c r="BK94" s="836"/>
      <c r="BL94" s="836"/>
      <c r="BM94" s="836"/>
      <c r="BN94" s="836"/>
      <c r="BO94" s="836"/>
      <c r="BP94" s="836"/>
      <c r="BQ94" s="836"/>
      <c r="BR94" s="836"/>
      <c r="BS94" s="836"/>
      <c r="BT94" s="836"/>
      <c r="BU94" s="836"/>
      <c r="BV94" s="836"/>
      <c r="BW94" s="836"/>
      <c r="BX94" s="836"/>
      <c r="BY94" s="836"/>
      <c r="BZ94" s="836"/>
      <c r="CA94" s="836"/>
      <c r="CB94" s="836"/>
      <c r="CC94" s="836"/>
      <c r="CD94" s="836"/>
      <c r="CE94" s="836"/>
      <c r="CF94" s="836"/>
      <c r="CG94" s="836"/>
    </row>
    <row r="95" spans="1:85" ht="13.5" customHeight="1" x14ac:dyDescent="0.2">
      <c r="B95" s="842" t="s">
        <v>451</v>
      </c>
      <c r="C95" s="841">
        <f ca="1">+SUMIFS(INDIRECT(CONCATENATE("'",$AW95,$AX95,":",$AY95)),INDIRECT(CONCATENATE("'",$AW95,$AX$92,":",$AY$92)),C$92)</f>
        <v>34006.128879999997</v>
      </c>
      <c r="D95" s="841">
        <f ca="1">+SUMIFS(INDIRECT(CONCATENATE("'",$AW95,$AX95,":",$AY95)),INDIRECT(CONCATENATE("'",$AW95,$AX$92,":",$AY$92)),D$92)</f>
        <v>32821.211210000001</v>
      </c>
      <c r="E95" s="841">
        <f ca="1">+SUMIFS(INDIRECT(CONCATENATE("'",$AW95,$AX95,":",$AY95)),INDIRECT(CONCATENATE("'",$AW95,$AX$92,":",$AY$92)),E$92)</f>
        <v>35196.763349999994</v>
      </c>
      <c r="F95" s="841">
        <f ca="1">+SUMIFS(INDIRECT(CONCATENATE("'",$AW95,$AX95,":",$AY95)),INDIRECT(CONCATENATE("'",$AW95,$AX$92,":",$AY$92)),F$92)</f>
        <v>35738.6976</v>
      </c>
      <c r="G95" s="637">
        <f ca="1">SUM(C95:F95)</f>
        <v>137762.80103999999</v>
      </c>
      <c r="H95" s="841">
        <f ca="1">+SUMIFS(INDIRECT(CONCATENATE("'",$AW95,$AX95,":",$AY95)),INDIRECT(CONCATENATE("'",$AW95,$AX$92,":",$AY$92)),H$92)</f>
        <v>34371.302250000008</v>
      </c>
      <c r="I95" s="841">
        <f ca="1">+SUMIFS(INDIRECT(CONCATENATE("'",$AW95,$AX95,":",$AY95)),INDIRECT(CONCATENATE("'",$AW95,$AX$92,":",$AY$92)),I$92)</f>
        <v>33530.382989999991</v>
      </c>
      <c r="J95" s="841">
        <f ca="1">+SUMIFS(INDIRECT(CONCATENATE("'",$AW95,$AX95,":",$AY95)),INDIRECT(CONCATENATE("'",$AW95,$AX$92,":",$AY$92)),J$92)</f>
        <v>39294.710639999998</v>
      </c>
      <c r="K95" s="841">
        <f ca="1">+SUMIFS(INDIRECT(CONCATENATE("'",$AW95,$AX95,":",$AY95)),INDIRECT(CONCATENATE("'",$AW95,$AX$92,":",$AY$92)),K$92)</f>
        <v>35764.443149999999</v>
      </c>
      <c r="L95" s="637">
        <f ca="1">+SUM(H95:K95)</f>
        <v>142960.83903</v>
      </c>
      <c r="M95" s="841">
        <f ca="1">+SUMIFS(INDIRECT(CONCATENATE("'",$AW95,$AX95,":",$AY95)),INDIRECT(CONCATENATE("'",$AW95,$AX$92,":",$AY$92)),M$92)</f>
        <v>37086.800000000003</v>
      </c>
      <c r="N95" s="841">
        <f ca="1">+SUMIFS(INDIRECT(CONCATENATE("'",$AW95,$AX95,":",$AY95)),INDIRECT(CONCATENATE("'",$AW95,$AX$92,":",$AY$92)),N$92)</f>
        <v>36792.112699999998</v>
      </c>
      <c r="O95" s="841">
        <f ca="1">+SUMIFS(INDIRECT(CONCATENATE("'",$AW95,$AX95,":",$AY95)),INDIRECT(CONCATENATE("'",$AW95,$AX$92,":",$AY$92)),O$92)</f>
        <v>40679.987550000005</v>
      </c>
      <c r="P95" s="841">
        <f ca="1">+SUMIFS(INDIRECT(CONCATENATE("'",$AW95,$AX95,":",$AY95)),INDIRECT(CONCATENATE("'",$AW95,$AX$92,":",$AY$92)),P$92)</f>
        <v>38374.866529999999</v>
      </c>
      <c r="Q95" s="637">
        <f ca="1">+SUM(M95:P95)</f>
        <v>152933.76678000001</v>
      </c>
      <c r="R95" s="841">
        <f ca="1">+SUMIFS(INDIRECT(CONCATENATE("'",$AW$93,$AX95,":",$AY95)),INDIRECT(CONCATENATE("'",$AW95,$AX$92,":",$AY$92)),R$92)</f>
        <v>38126.811840000002</v>
      </c>
      <c r="S95" s="841">
        <f ca="1">+SUMIFS(INDIRECT(CONCATENATE("'",$AW$93,$AX95,":",$AY95)),INDIRECT(CONCATENATE("'",$AW95,$AX$92,":",$AY$92)),S$92)</f>
        <v>39810.467429999997</v>
      </c>
      <c r="T95" s="841">
        <f ca="1">+SUMIFS(INDIRECT(CONCATENATE("'",$AW$93,$AX95,":",$AY95)),INDIRECT(CONCATENATE("'",$AW95,$AX$92,":",$AY$92)),T$92)</f>
        <v>43491.398690000002</v>
      </c>
      <c r="U95" s="841">
        <f ca="1">+SUMIFS(INDIRECT(CONCATENATE("'",$AW$93,$AX95,":",$AY95)),INDIRECT(CONCATENATE("'",$AW95,$AX$92,":",$AY$92)),U$92)</f>
        <v>43978.259429999998</v>
      </c>
      <c r="V95" s="637">
        <f ca="1">+SUM(R95:U95)</f>
        <v>165406.93739000001</v>
      </c>
      <c r="W95" s="841">
        <f ca="1">+SUMIFS(INDIRECT(CONCATENATE("'",$AW$93,$AX95,":",$AY95)),INDIRECT(CONCATENATE("'",$AW95,$AX$92,":",$AY$92)),W$92)</f>
        <v>39318.226990000003</v>
      </c>
      <c r="X95" s="841">
        <f ca="1">+SUMIFS(INDIRECT(CONCATENATE("'",$AW$93,$AX95,":",$AY95)),INDIRECT(CONCATENATE("'",$AW95,$AX$92,":",$AY$92)),X$92)</f>
        <v>44334.720099999999</v>
      </c>
      <c r="Y95" s="841">
        <f ca="1">+SUMIFS(INDIRECT(CONCATENATE("'",$AW$93,$AX95,":",$AY95)),INDIRECT(CONCATENATE("'",$AW95,$AX$92,":",$AY$92)),Y$92)</f>
        <v>45062.793720000001</v>
      </c>
      <c r="Z95" s="841">
        <f ca="1">+SUMIFS(INDIRECT(CONCATENATE("'",$AW$93,$AX95,":",$AY95)),INDIRECT(CONCATENATE("'",$AW95,$AX$92,":",$AY$92)),Z$92)</f>
        <v>39797.487730000008</v>
      </c>
      <c r="AA95" s="637">
        <f ca="1">+SUM(W95:Z95)</f>
        <v>168513.22854000001</v>
      </c>
      <c r="AB95" s="841">
        <f ca="1">+SUMIFS(INDIRECT(CONCATENATE("'",$AW$93,$AX95,":",$AY95)),INDIRECT(CONCATENATE("'",$AW95,$AX$92,":",$AY$92)),AB$92)</f>
        <v>47423.771669999995</v>
      </c>
      <c r="AC95" s="841">
        <f ca="1">+SUMIFS(INDIRECT(CONCATENATE("'",$AW$93,$AX95,":",$AY95)),INDIRECT(CONCATENATE("'",$AW95,$AX$92,":",$AY$92)),AC$92)</f>
        <v>45697.330499999996</v>
      </c>
      <c r="AD95" s="841">
        <f ca="1">+SUMIFS(INDIRECT(CONCATENATE("'",$AW$93,$AX95,":",$AY95)),INDIRECT(CONCATENATE("'",$AW95,$AX$92,":",$AY$92)),AD$92)</f>
        <v>50307.146229999998</v>
      </c>
      <c r="AE95" s="841">
        <f ca="1">+SUMIFS(INDIRECT(CONCATENATE("'",$AW$93,$AX95,":",$AY95)),INDIRECT(CONCATENATE("'",$AW95,$AX$92,":",$AY$92)),AE$92)</f>
        <v>43257.92398</v>
      </c>
      <c r="AF95" s="637">
        <f ca="1">+SUM(AB95:AE95)</f>
        <v>186686.17237999997</v>
      </c>
      <c r="AG95" s="841">
        <f ca="1">+SUMIFS(INDIRECT(CONCATENATE("'",$AW$93,$AX95,":",$AY95)),INDIRECT(CONCATENATE("'",$AW95,$AX$92,":",$AY$92)),AG$92)</f>
        <v>46015.97638</v>
      </c>
      <c r="AH95" s="841">
        <f ca="1">+SUMIFS(INDIRECT(CONCATENATE("'",$AW$93,$AX95,":",$AY95)),INDIRECT(CONCATENATE("'",$AW95,$AX$92,":",$AY$92)),AH$92)</f>
        <v>41674.159630000002</v>
      </c>
      <c r="AI95" s="841">
        <f ca="1">+SUMIFS(INDIRECT(CONCATENATE("'",$AW$93,$AX95,":",$AY95)),INDIRECT(CONCATENATE("'",$AW95,$AX$92,":",$AY$92)),AI$92)</f>
        <v>48533.991850000006</v>
      </c>
      <c r="AJ95" s="841">
        <f ca="1">+SUMIFS(INDIRECT(CONCATENATE("'",$AW$93,$AX95,":",$AY95)),INDIRECT(CONCATENATE("'",$AW95,$AX$92,":",$AY$92)),AJ$92)</f>
        <v>47992.6</v>
      </c>
      <c r="AK95" s="637">
        <f ca="1">+SUM(AG95:AJ95)</f>
        <v>184216.72786000001</v>
      </c>
      <c r="AL95" s="841">
        <f ca="1">+SUMIFS(INDIRECT(CONCATENATE("'",$AW$93,$AX95,":",$AY95)),INDIRECT(CONCATENATE("'",$AW95,$AX$92,":",$AY$92)),AL$92)</f>
        <v>49810.86</v>
      </c>
      <c r="AM95" s="841">
        <f ca="1">+SUMIFS(INDIRECT(CONCATENATE("'",$AW$93,$AX95,":",$AY95)),INDIRECT(CONCATENATE("'",$AW95,$AX$92,":",$AY$92)),AM$92)</f>
        <v>55719.131580000001</v>
      </c>
      <c r="AN95" s="841">
        <f ca="1">+SUMIFS(INDIRECT(CONCATENATE("'",$AW$93,$AX95,":",$AY95)),INDIRECT(CONCATENATE("'",$AW95,$AX$92,":",$AY$92)),AN$92)</f>
        <v>50868.375529999998</v>
      </c>
      <c r="AO95" s="841">
        <f ca="1">+SUMIFS(INDIRECT(CONCATENATE("'",$AW$93,$AX95,":",$AY95)),INDIRECT(CONCATENATE("'",$AW95,$AX$92,":",$AY$92)),AO$92)</f>
        <v>49988.152990000002</v>
      </c>
      <c r="AP95" s="637">
        <f ca="1">+SUM(AL95:AO95)</f>
        <v>206386.52009999999</v>
      </c>
      <c r="AQ95" s="841">
        <f ca="1">+SUMIFS(INDIRECT(CONCATENATE("'",$AW$93,$AX95,":",$AY95)),INDIRECT(CONCATENATE("'",$AW95,$AX$92,":",$AY$92)),AQ$92)</f>
        <v>55602.698880000004</v>
      </c>
      <c r="AR95" s="841">
        <f ca="1">+SUMIFS(INDIRECT(CONCATENATE("'",$AW$93,$AX95,":",$AY95)),INDIRECT(CONCATENATE("'",$AW95,$AX$92,":",$AY$92)),AR$92)</f>
        <v>54247.260320000001</v>
      </c>
      <c r="AS95" s="841">
        <f ca="1">+SUMIFS(INDIRECT(CONCATENATE("'",$AW$93,$AX95,":",$AY95)),INDIRECT(CONCATENATE("'",$AW95,$AX$92,":",$AY$92)),AS$92)</f>
        <v>41985.478689999996</v>
      </c>
      <c r="AT95" s="841">
        <f ca="1">+SUMIFS(INDIRECT(CONCATENATE("'",$AW$93,$AX95,":",$AY95)),INDIRECT(CONCATENATE("'",$AW95,$AX$92,":",$AY$92)),AT$92)</f>
        <v>47361.427729999996</v>
      </c>
      <c r="AU95" s="637">
        <f ca="1">+SUM(AQ95:AT95)</f>
        <v>199196.86562</v>
      </c>
      <c r="AV95" s="841">
        <f ca="1">+SUMIFS(INDIRECT(CONCATENATE("'",$AW$93,$AX95,":",$AY95)),INDIRECT(CONCATENATE("'",$AW95,$AX$92,":",$AY$92)),AV$92)</f>
        <v>50799.559019999993</v>
      </c>
      <c r="AW95" s="267" t="s">
        <v>991</v>
      </c>
      <c r="AX95" s="267" t="str">
        <f>"$"&amp;ROW(LI!$B$7)</f>
        <v>$7</v>
      </c>
      <c r="AY95" s="267" t="str">
        <f>"$"&amp;ROW(LI!$B$7)</f>
        <v>$7</v>
      </c>
      <c r="AZ95" s="267" t="s">
        <v>992</v>
      </c>
      <c r="BA95" s="267" t="s">
        <v>991</v>
      </c>
      <c r="BK95" s="267"/>
      <c r="BL95" s="267"/>
      <c r="BM95" s="267"/>
      <c r="BN95" s="267"/>
      <c r="BO95" s="267"/>
      <c r="BP95" s="267"/>
      <c r="BQ95" s="267"/>
      <c r="BR95" s="267"/>
      <c r="BS95" s="267"/>
      <c r="BT95" s="267"/>
      <c r="BU95" s="267"/>
      <c r="BV95" s="267"/>
      <c r="BW95" s="267"/>
      <c r="BX95" s="267"/>
      <c r="BY95" s="267"/>
      <c r="BZ95" s="267"/>
      <c r="CA95" s="267"/>
      <c r="CB95" s="267"/>
      <c r="CC95" s="267"/>
      <c r="CD95" s="267"/>
      <c r="CE95" s="267"/>
      <c r="CF95" s="267"/>
      <c r="CG95" s="267"/>
    </row>
    <row r="96" spans="1:85" s="835" customFormat="1" ht="13.5" customHeight="1" x14ac:dyDescent="0.2">
      <c r="A96" s="840"/>
      <c r="B96" s="845" t="s">
        <v>954</v>
      </c>
      <c r="C96" s="859" t="s">
        <v>160</v>
      </c>
      <c r="D96" s="859" t="s">
        <v>160</v>
      </c>
      <c r="E96" s="859" t="s">
        <v>160</v>
      </c>
      <c r="F96" s="859" t="s">
        <v>160</v>
      </c>
      <c r="G96" s="883" t="s">
        <v>160</v>
      </c>
      <c r="H96" s="859">
        <f t="shared" ref="H96:U96" ca="1" si="118">+H95/C95-1</f>
        <v>1.0738457508310484E-2</v>
      </c>
      <c r="I96" s="859">
        <f t="shared" ca="1" si="118"/>
        <v>2.1607117892831429E-2</v>
      </c>
      <c r="J96" s="859">
        <f t="shared" ca="1" si="118"/>
        <v>0.11642966284284784</v>
      </c>
      <c r="K96" s="859">
        <f t="shared" ca="1" si="118"/>
        <v>7.2038299459453725E-4</v>
      </c>
      <c r="L96" s="846">
        <f t="shared" ca="1" si="118"/>
        <v>3.7731796615334101E-2</v>
      </c>
      <c r="M96" s="859">
        <f t="shared" ca="1" si="118"/>
        <v>7.9004796799632349E-2</v>
      </c>
      <c r="N96" s="859">
        <f t="shared" ca="1" si="118"/>
        <v>9.727684026075023E-2</v>
      </c>
      <c r="O96" s="859">
        <f t="shared" ca="1" si="118"/>
        <v>3.5253521083060679E-2</v>
      </c>
      <c r="P96" s="859">
        <f t="shared" ca="1" si="118"/>
        <v>7.2989347801434956E-2</v>
      </c>
      <c r="Q96" s="846">
        <f t="shared" ca="1" si="118"/>
        <v>6.9759857438352002E-2</v>
      </c>
      <c r="R96" s="859">
        <f t="shared" ca="1" si="118"/>
        <v>2.8042641586764061E-2</v>
      </c>
      <c r="S96" s="859">
        <f t="shared" ca="1" si="118"/>
        <v>8.2038092093580595E-2</v>
      </c>
      <c r="T96" s="859">
        <f t="shared" ca="1" si="118"/>
        <v>6.9110422822634243E-2</v>
      </c>
      <c r="U96" s="859">
        <f t="shared" ca="1" si="118"/>
        <v>0.14601726094915479</v>
      </c>
      <c r="V96" s="846">
        <f ca="1">+V95/Q95-1</f>
        <v>8.1559297679125731E-2</v>
      </c>
      <c r="W96" s="859">
        <f t="shared" ref="W96:AQ96" ca="1" si="119">+W95/R95-1</f>
        <v>3.1248748387350034E-2</v>
      </c>
      <c r="X96" s="859">
        <f t="shared" ca="1" si="119"/>
        <v>0.1136448015325402</v>
      </c>
      <c r="Y96" s="859">
        <f t="shared" ca="1" si="119"/>
        <v>3.6131167939680742E-2</v>
      </c>
      <c r="Z96" s="859">
        <f t="shared" ca="1" si="119"/>
        <v>-9.5064510378236045E-2</v>
      </c>
      <c r="AA96" s="846">
        <f t="shared" ca="1" si="119"/>
        <v>1.8779690858285569E-2</v>
      </c>
      <c r="AB96" s="859">
        <f t="shared" ca="1" si="119"/>
        <v>0.20615234461262744</v>
      </c>
      <c r="AC96" s="859">
        <f t="shared" ca="1" si="119"/>
        <v>3.0734611539816603E-2</v>
      </c>
      <c r="AD96" s="859">
        <f t="shared" ca="1" si="119"/>
        <v>0.11637877009104347</v>
      </c>
      <c r="AE96" s="859">
        <f t="shared" ca="1" si="119"/>
        <v>8.6951122982354967E-2</v>
      </c>
      <c r="AF96" s="846">
        <f t="shared" ca="1" si="119"/>
        <v>0.10784283226575453</v>
      </c>
      <c r="AG96" s="859">
        <f t="shared" ca="1" si="119"/>
        <v>-2.9685434971224778E-2</v>
      </c>
      <c r="AH96" s="859">
        <f t="shared" ca="1" si="119"/>
        <v>-8.8039516225132508E-2</v>
      </c>
      <c r="AI96" s="859">
        <f t="shared" ca="1" si="119"/>
        <v>-3.5246570574551828E-2</v>
      </c>
      <c r="AJ96" s="859">
        <f t="shared" ca="1" si="119"/>
        <v>0.10945222480369243</v>
      </c>
      <c r="AK96" s="846">
        <f t="shared" ca="1" si="119"/>
        <v>-1.322778483546927E-2</v>
      </c>
      <c r="AL96" s="859">
        <f t="shared" ca="1" si="119"/>
        <v>8.2468827536372302E-2</v>
      </c>
      <c r="AM96" s="859">
        <f t="shared" ca="1" si="119"/>
        <v>0.33701872034605906</v>
      </c>
      <c r="AN96" s="859">
        <f t="shared" ca="1" si="119"/>
        <v>4.8097912226438666E-2</v>
      </c>
      <c r="AO96" s="859">
        <f t="shared" ca="1" si="119"/>
        <v>4.158043094143693E-2</v>
      </c>
      <c r="AP96" s="846">
        <f t="shared" ca="1" si="119"/>
        <v>0.12034624921168091</v>
      </c>
      <c r="AQ96" s="859">
        <f t="shared" ca="1" si="119"/>
        <v>0.11627662883154399</v>
      </c>
      <c r="AR96" s="859">
        <f ca="1">+AR95/AL95-1</f>
        <v>8.906492118385434E-2</v>
      </c>
      <c r="AS96" s="859">
        <f ca="1">+AS95/AM95-1</f>
        <v>-0.2464800240161964</v>
      </c>
      <c r="AT96" s="859">
        <f ca="1">+AT95/AO95-1</f>
        <v>-5.2546955686189833E-2</v>
      </c>
      <c r="AU96" s="846">
        <f ca="1">+AU95/AP95-1</f>
        <v>-3.4835872403470969E-2</v>
      </c>
      <c r="AV96" s="859">
        <f ca="1">+AV95/AQ95-1</f>
        <v>-8.6383214425724164E-2</v>
      </c>
      <c r="AW96" s="836"/>
      <c r="AX96" s="836"/>
      <c r="AY96" s="836"/>
      <c r="AZ96" s="836"/>
      <c r="BA96" s="836"/>
      <c r="BB96" s="836"/>
      <c r="BC96" s="836"/>
      <c r="BD96" s="836"/>
      <c r="BE96" s="836"/>
      <c r="BH96" s="836"/>
      <c r="BI96" s="836"/>
      <c r="BJ96" s="836"/>
      <c r="BK96" s="836"/>
      <c r="BL96" s="836"/>
      <c r="BM96" s="836"/>
      <c r="BN96" s="836"/>
      <c r="BO96" s="836"/>
      <c r="BP96" s="836"/>
      <c r="BQ96" s="836"/>
      <c r="BR96" s="836"/>
      <c r="BS96" s="836"/>
      <c r="BT96" s="836"/>
      <c r="BU96" s="836"/>
      <c r="BV96" s="836"/>
      <c r="BW96" s="836"/>
      <c r="BX96" s="836"/>
      <c r="BY96" s="836"/>
      <c r="BZ96" s="836"/>
      <c r="CA96" s="836"/>
      <c r="CB96" s="836"/>
      <c r="CC96" s="836"/>
      <c r="CD96" s="836"/>
      <c r="CE96" s="836"/>
      <c r="CF96" s="836"/>
      <c r="CG96" s="836"/>
    </row>
    <row r="97" spans="1:85" ht="13.5" customHeight="1" x14ac:dyDescent="0.2">
      <c r="B97" s="850" t="s">
        <v>66</v>
      </c>
      <c r="C97" s="849">
        <f ca="1">+C93+C95</f>
        <v>48717.342169999996</v>
      </c>
      <c r="D97" s="849">
        <f ca="1">+D93+D95</f>
        <v>48049.863870000001</v>
      </c>
      <c r="E97" s="849">
        <f ca="1">+E93+E95</f>
        <v>50445.274439999994</v>
      </c>
      <c r="F97" s="849">
        <f ca="1">+F93+F95</f>
        <v>54087.619529999996</v>
      </c>
      <c r="G97" s="848">
        <f ca="1">SUM(C97:F97)</f>
        <v>201300.10000999997</v>
      </c>
      <c r="H97" s="849">
        <f ca="1">+H93+H95</f>
        <v>47791.897820000006</v>
      </c>
      <c r="I97" s="849">
        <f ca="1">+I93+I95</f>
        <v>45118.782989999992</v>
      </c>
      <c r="J97" s="849">
        <f ca="1">+J93+J95</f>
        <v>50056.113029999993</v>
      </c>
      <c r="K97" s="849">
        <f ca="1">+K93+K95</f>
        <v>47941.790019999993</v>
      </c>
      <c r="L97" s="848">
        <f ca="1">+SUM(H97:K97)</f>
        <v>190908.58385999998</v>
      </c>
      <c r="M97" s="849">
        <f ca="1">+M93+M95</f>
        <v>45576.200000000004</v>
      </c>
      <c r="N97" s="849">
        <f ca="1">+N93+N95</f>
        <v>45477.30472</v>
      </c>
      <c r="O97" s="849">
        <f ca="1">+O93+O95</f>
        <v>49444.072350000002</v>
      </c>
      <c r="P97" s="849">
        <f ca="1">+P93+P95</f>
        <v>49006.12429</v>
      </c>
      <c r="Q97" s="848">
        <f ca="1">+SUM(M97:P97)</f>
        <v>189503.70136000001</v>
      </c>
      <c r="R97" s="849">
        <f ca="1">+R93+R95</f>
        <v>46798.437100000003</v>
      </c>
      <c r="S97" s="849">
        <f ca="1">+S93+S95</f>
        <v>51640.242859999998</v>
      </c>
      <c r="T97" s="849">
        <f ca="1">+T93+T95</f>
        <v>52814.545720000002</v>
      </c>
      <c r="U97" s="849">
        <f ca="1">+U93+U95</f>
        <v>49157.816579999999</v>
      </c>
      <c r="V97" s="848">
        <f ca="1">+SUM(R97:U97)</f>
        <v>200411.04226000002</v>
      </c>
      <c r="W97" s="849">
        <f ca="1">+W93+W95</f>
        <v>40685.805</v>
      </c>
      <c r="X97" s="849">
        <f ca="1">+X93+X95</f>
        <v>44766.588499999998</v>
      </c>
      <c r="Y97" s="849">
        <f ca="1">+Y93+Y95</f>
        <v>45483.075720000001</v>
      </c>
      <c r="Z97" s="849">
        <f ca="1">+Z93+Z95</f>
        <v>40436.241730000009</v>
      </c>
      <c r="AA97" s="848">
        <f ca="1">+SUM(W97:Z97)</f>
        <v>171371.71095000001</v>
      </c>
      <c r="AB97" s="849">
        <f ca="1">+AB93+AB95</f>
        <v>48354.774229999995</v>
      </c>
      <c r="AC97" s="849">
        <f ca="1">+AC93+AC95</f>
        <v>46644.168120000002</v>
      </c>
      <c r="AD97" s="849">
        <f ca="1">+AD93+AD95</f>
        <v>51373.626230000002</v>
      </c>
      <c r="AE97" s="849">
        <f ca="1">+AE93+AE95</f>
        <v>44837.835890000002</v>
      </c>
      <c r="AF97" s="848">
        <f ca="1">+SUM(AB97:AE97)</f>
        <v>191210.40447000001</v>
      </c>
      <c r="AG97" s="849">
        <f ca="1">+AG93+AG95</f>
        <v>47323.97638</v>
      </c>
      <c r="AH97" s="849">
        <f ca="1">+AH93+AH95</f>
        <v>43144.14963</v>
      </c>
      <c r="AI97" s="849">
        <f ca="1">+AI93+AI95</f>
        <v>50027.470160000004</v>
      </c>
      <c r="AJ97" s="849">
        <f ca="1">+AJ93+AJ95</f>
        <v>49218.7</v>
      </c>
      <c r="AK97" s="848">
        <f ca="1">+SUM(AG97:AJ97)</f>
        <v>189714.29616999999</v>
      </c>
      <c r="AL97" s="849">
        <f ca="1">+AL93+AL95</f>
        <v>50683.687290000002</v>
      </c>
      <c r="AM97" s="849">
        <f ca="1">+AM93+AM95</f>
        <v>55719.131580000001</v>
      </c>
      <c r="AN97" s="849">
        <f ca="1">+AN93+AN95</f>
        <v>50868.375529999998</v>
      </c>
      <c r="AO97" s="849">
        <f ca="1">+AO93+AO95</f>
        <v>49988.152990000002</v>
      </c>
      <c r="AP97" s="848">
        <f ca="1">+SUM(AL97:AO97)</f>
        <v>207259.34739000001</v>
      </c>
      <c r="AQ97" s="849">
        <f ca="1">+AQ93+AQ95</f>
        <v>55602.698880000004</v>
      </c>
      <c r="AR97" s="849">
        <f ca="1">+AR93+AR95</f>
        <v>54247.260320000001</v>
      </c>
      <c r="AS97" s="849">
        <f ca="1">+AS93+AS95</f>
        <v>41985.478689999996</v>
      </c>
      <c r="AT97" s="849">
        <f ca="1">+AT93+AT95</f>
        <v>47361.427729999996</v>
      </c>
      <c r="AU97" s="848">
        <f ca="1">+SUM(AQ97:AT97)</f>
        <v>199196.86562</v>
      </c>
      <c r="AV97" s="849">
        <f ca="1">+AV93+AV95</f>
        <v>50799.559019999993</v>
      </c>
      <c r="BK97" s="267"/>
      <c r="BL97" s="267"/>
      <c r="BM97" s="267"/>
      <c r="BN97" s="267"/>
      <c r="BO97" s="267"/>
      <c r="BP97" s="267"/>
      <c r="BQ97" s="267"/>
      <c r="BR97" s="267"/>
      <c r="BS97" s="267"/>
      <c r="BT97" s="267"/>
      <c r="BU97" s="267"/>
      <c r="BV97" s="267"/>
      <c r="BW97" s="267"/>
      <c r="BX97" s="267"/>
      <c r="BY97" s="267"/>
      <c r="BZ97" s="267"/>
      <c r="CA97" s="267"/>
      <c r="CB97" s="267"/>
      <c r="CC97" s="267"/>
      <c r="CD97" s="267"/>
      <c r="CE97" s="267"/>
      <c r="CF97" s="267"/>
      <c r="CG97" s="267"/>
    </row>
    <row r="98" spans="1:85" ht="13.5" customHeight="1" x14ac:dyDescent="0.2">
      <c r="B98" s="863" t="s">
        <v>1422</v>
      </c>
      <c r="C98" s="841">
        <f ca="1">+SUMIFS(INDIRECT(CONCATENATE("'",$AW98,$AX98,":",$AY98)),INDIRECT(CONCATENATE("'",$AW98,$AX$92,":",$AY$92)),C$92)-C97</f>
        <v>-8521.600689999992</v>
      </c>
      <c r="D98" s="841">
        <f ca="1">+SUMIFS(INDIRECT(CONCATENATE("'",$AW98,$AX98,":",$AY98)),INDIRECT(CONCATENATE("'",$AW98,$AX$92,":",$AY$92)),D$92)-D97</f>
        <v>1286.1736299999975</v>
      </c>
      <c r="E98" s="841">
        <f ca="1">+SUMIFS(INDIRECT(CONCATENATE("'",$AW98,$AX98,":",$AY98)),INDIRECT(CONCATENATE("'",$AW98,$AX$92,":",$AY$92)),E$92)-E97</f>
        <v>-8731.8596199999956</v>
      </c>
      <c r="F98" s="841">
        <f ca="1">+SUMIFS(INDIRECT(CONCATENATE("'",$AW98,$AX98,":",$AY98)),INDIRECT(CONCATENATE("'",$AW98,$AX$92,":",$AY$92)),F$92)-F97</f>
        <v>-9440.1161999999968</v>
      </c>
      <c r="G98" s="637">
        <f ca="1">SUM(C98:F98)</f>
        <v>-25407.402879999987</v>
      </c>
      <c r="H98" s="841">
        <f ca="1">+SUMIFS(INDIRECT(CONCATENATE("'",$AW98,$AX98,":",$AY98)),INDIRECT(CONCATENATE("'",$AW98,$AX$92,":",$AY$92)),H$92)-H97</f>
        <v>-8180.1162800000093</v>
      </c>
      <c r="I98" s="841">
        <f ca="1">+SUMIFS(INDIRECT(CONCATENATE("'",$AW98,$AX98,":",$AY98)),INDIRECT(CONCATENATE("'",$AW98,$AX$92,":",$AY$92)),I$92)-I97</f>
        <v>-7834.0642799999914</v>
      </c>
      <c r="J98" s="884">
        <f ca="1">+SUMIFS(INDIRECT(CONCATENATE("'",$AW98,$AX98,":",$AY98)),INDIRECT(CONCATENATE("'",$AW98,$AX$92,":",$AY$92)),J$92)-J97+5251.75993</f>
        <v>-9679.4215399999957</v>
      </c>
      <c r="K98" s="884">
        <f ca="1">+SUMIFS(INDIRECT(CONCATENATE("'",$AW98,$AX98,":",$AY98)),INDIRECT(CONCATENATE("'",$AW98,$AX$92,":",$AY$92)),K$92)-K97-372.347081014</f>
        <v>-7363.4351610139938</v>
      </c>
      <c r="L98" s="898">
        <f ca="1">+SUM(H98:K98)</f>
        <v>-33057.037261013989</v>
      </c>
      <c r="M98" s="841">
        <f ca="1">+SUMIFS(INDIRECT(CONCATENATE("'",$AW98,$AX98,":",$AY98)),INDIRECT(CONCATENATE("'",$AW98,$AX$92,":",$AY$92)),M$92)-M97</f>
        <v>-7802.054750000003</v>
      </c>
      <c r="N98" s="841">
        <f ca="1">+SUMIFS(INDIRECT(CONCATENATE("'",$AW98,$AX98,":",$AY98)),INDIRECT(CONCATENATE("'",$AW98,$AX$92,":",$AY$92)),N$92)-N97</f>
        <v>-7994.1580099999992</v>
      </c>
      <c r="O98" s="841">
        <f ca="1">+SUMIFS(INDIRECT(CONCATENATE("'",$AW98,$AX98,":",$AY98)),INDIRECT(CONCATENATE("'",$AW98,$AX$92,":",$AY$92)),O$92)-O97</f>
        <v>-8512.4502900000007</v>
      </c>
      <c r="P98" s="841">
        <f ca="1">+SUMIFS(INDIRECT(CONCATENATE("'",$AW98,$AX98,":",$AY98)),INDIRECT(CONCATENATE("'",$AW98,$AX$92,":",$AY$92)),P$92)-P97</f>
        <v>-8021.5480800000078</v>
      </c>
      <c r="Q98" s="637">
        <f ca="1">+SUM(M98:P98)</f>
        <v>-32330.211130000011</v>
      </c>
      <c r="R98" s="841">
        <f ca="1">+SUMIFS(INDIRECT(CONCATENATE("'",$AW$93,$AX98,":",$AY98)),INDIRECT(CONCATENATE("'",$AW98,$AX$92,":",$AY$92)),R$92)-R97</f>
        <v>-7812.5165100000013</v>
      </c>
      <c r="S98" s="841">
        <f ca="1">+SUMIFS(INDIRECT(CONCATENATE("'",$AW$93,$AX98,":",$AY98)),INDIRECT(CONCATENATE("'",$AW98,$AX$92,":",$AY$92)),S$92)-S97</f>
        <v>-8377.3944399999964</v>
      </c>
      <c r="T98" s="841">
        <f ca="1">+SUMIFS(INDIRECT(CONCATENATE("'",$AW$93,$AX98,":",$AY98)),INDIRECT(CONCATENATE("'",$AW98,$AX$92,":",$AY$92)),T$92)-T97</f>
        <v>-9090.4414899999974</v>
      </c>
      <c r="U98" s="841">
        <f ca="1">+SUMIFS(INDIRECT(CONCATENATE("'",$AW$93,$AX98,":",$AY98)),INDIRECT(CONCATENATE("'",$AW98,$AX$92,":",$AY$92)),U$92)-U97</f>
        <v>-8753.4944399999949</v>
      </c>
      <c r="V98" s="637">
        <f ca="1">+SUM(R98:U98)</f>
        <v>-34033.84687999999</v>
      </c>
      <c r="W98" s="841">
        <f ca="1">+SUMIFS(INDIRECT(CONCATENATE("'",$AW$93,$AX98,":",$AY98)),INDIRECT(CONCATENATE("'",$AW98,$AX$92,":",$AY$92)),W$92)-W97</f>
        <v>-7598.3961899999995</v>
      </c>
      <c r="X98" s="841">
        <f ca="1">+SUMIFS(INDIRECT(CONCATENATE("'",$AW$93,$AX98,":",$AY98)),INDIRECT(CONCATENATE("'",$AW98,$AX$92,":",$AY$92)),X$92)-X97</f>
        <v>-8127.262569999999</v>
      </c>
      <c r="Y98" s="841">
        <f ca="1">+SUMIFS(INDIRECT(CONCATENATE("'",$AW$93,$AX98,":",$AY98)),INDIRECT(CONCATENATE("'",$AW98,$AX$92,":",$AY$92)),Y$92)-Y97</f>
        <v>-8364.7450699999972</v>
      </c>
      <c r="Z98" s="841">
        <f ca="1">+SUMIFS(INDIRECT(CONCATENATE("'",$AW$93,$AX98,":",$AY98)),INDIRECT(CONCATENATE("'",$AW98,$AX$92,":",$AY$92)),Z$92)-Z97</f>
        <v>-7451.2142800000001</v>
      </c>
      <c r="AA98" s="637">
        <f ca="1">+SUM(W98:Z98)</f>
        <v>-31541.618109999996</v>
      </c>
      <c r="AB98" s="841">
        <f ca="1">+SUMIFS(INDIRECT(CONCATENATE("'",$AW$93,$AX98,":",$AY98)),INDIRECT(CONCATENATE("'",$AW98,$AX$92,":",$AY$92)),AB$92)-AB97</f>
        <v>-9083.2088399999993</v>
      </c>
      <c r="AC98" s="841">
        <f ca="1">+SUMIFS(INDIRECT(CONCATENATE("'",$AW$93,$AX98,":",$AY98)),INDIRECT(CONCATENATE("'",$AW98,$AX$92,":",$AY$92)),AC$92)-AC97</f>
        <v>-8211.0274199999985</v>
      </c>
      <c r="AD98" s="841">
        <f ca="1">+SUMIFS(INDIRECT(CONCATENATE("'",$AW$93,$AX98,":",$AY98)),INDIRECT(CONCATENATE("'",$AW98,$AX$92,":",$AY$92)),AD$92)-AD97</f>
        <v>-8995.0151800000021</v>
      </c>
      <c r="AE98" s="841">
        <f ca="1">+SUMIFS(INDIRECT(CONCATENATE("'",$AW$93,$AX98,":",$AY98)),INDIRECT(CONCATENATE("'",$AW98,$AX$92,":",$AY$92)),AE$92)-AE97</f>
        <v>-7850.2991499999989</v>
      </c>
      <c r="AF98" s="637">
        <f ca="1">+SUM(AB98:AE98)</f>
        <v>-34139.550589999999</v>
      </c>
      <c r="AG98" s="841">
        <f ca="1">+SUMIFS(INDIRECT(CONCATENATE("'",$AW$93,$AX98,":",$AY98)),INDIRECT(CONCATENATE("'",$AW98,$AX$92,":",$AY$92)),AG$92)-AG97</f>
        <v>-8325.7838399999964</v>
      </c>
      <c r="AH98" s="841">
        <f ca="1">+SUMIFS(INDIRECT(CONCATENATE("'",$AW$93,$AX98,":",$AY98)),INDIRECT(CONCATENATE("'",$AW98,$AX$92,":",$AY$92)),AH$92)-AH97</f>
        <v>-7397.0650800000003</v>
      </c>
      <c r="AI98" s="841">
        <f ca="1">+SUMIFS(INDIRECT(CONCATENATE("'",$AW$93,$AX98,":",$AY98)),INDIRECT(CONCATENATE("'",$AW98,$AX$92,":",$AY$92)),AI$92)-AI97</f>
        <v>-8874.2566299999962</v>
      </c>
      <c r="AJ98" s="841">
        <f ca="1">+SUMIFS(INDIRECT(CONCATENATE("'",$AW$93,$AX98,":",$AY98)),INDIRECT(CONCATENATE("'",$AW98,$AX$92,":",$AY$92)),AJ$92)-AJ97</f>
        <v>-8788.6658699999971</v>
      </c>
      <c r="AK98" s="637">
        <f ca="1">+SUM(AG98:AJ98)</f>
        <v>-33385.77141999999</v>
      </c>
      <c r="AL98" s="841">
        <f ca="1">+SUMIFS(INDIRECT(CONCATENATE("'",$AW$93,$AX98,":",$AY98)),INDIRECT(CONCATENATE("'",$AW98,$AX$92,":",$AY$92)),AL$92)-AL97</f>
        <v>-9024.7368700000006</v>
      </c>
      <c r="AM98" s="841">
        <f ca="1">+SUMIFS(INDIRECT(CONCATENATE("'",$AW$93,$AX98,":",$AY98)),INDIRECT(CONCATENATE("'",$AW98,$AX$92,":",$AY$92)),AM$92)-AM97</f>
        <v>-10156.115299999998</v>
      </c>
      <c r="AN98" s="841">
        <f ca="1">+SUMIFS(INDIRECT(CONCATENATE("'",$AW$93,$AX98,":",$AY98)),INDIRECT(CONCATENATE("'",$AW98,$AX$92,":",$AY$92)),AN$92)-AN97</f>
        <v>-9046.2838300000003</v>
      </c>
      <c r="AO98" s="841">
        <f ca="1">+SUMIFS(INDIRECT(CONCATENATE("'",$AW$93,$AX98,":",$AY98)),INDIRECT(CONCATENATE("'",$AW98,$AX$92,":",$AY$92)),AO$92)-AO97</f>
        <v>-8964.5530199999994</v>
      </c>
      <c r="AP98" s="637">
        <f ca="1">+SUM(AL98:AO98)</f>
        <v>-37191.689019999998</v>
      </c>
      <c r="AQ98" s="841">
        <f ca="1">+SUMIFS(INDIRECT(CONCATENATE("'",$AW$93,$AX98,":",$AY98)),INDIRECT(CONCATENATE("'",$AW98,$AX$92,":",$AY$92)),AQ$92)-AQ97</f>
        <v>-9780.828499999996</v>
      </c>
      <c r="AR98" s="841">
        <f ca="1">+SUMIFS(INDIRECT(CONCATENATE("'",$AW$93,$AX98,":",$AY98)),INDIRECT(CONCATENATE("'",$AW98,$AX$92,":",$AY$92)),AR$92)-AR97</f>
        <v>-9613.9776100000017</v>
      </c>
      <c r="AS98" s="841">
        <f ca="1">+SUMIFS(INDIRECT(CONCATENATE("'",$AW$93,$AX98,":",$AY98)),INDIRECT(CONCATENATE("'",$AW98,$AX$92,":",$AY$92)),AS$92)-AS97</f>
        <v>-7621.7291400000031</v>
      </c>
      <c r="AT98" s="841">
        <f ca="1">+SUMIFS(INDIRECT(CONCATENATE("'",$AW$93,$AX98,":",$AY98)),INDIRECT(CONCATENATE("'",$AW98,$AX$92,":",$AY$92)),AT$92)-AT97</f>
        <v>-8910.8805900000007</v>
      </c>
      <c r="AU98" s="637">
        <f ca="1">+SUM(AQ98:AT98)</f>
        <v>-35927.415840000001</v>
      </c>
      <c r="AV98" s="841">
        <f ca="1">+SUMIFS(INDIRECT(CONCATENATE("'",$AW$93,$AX98,":",$AY98)),INDIRECT(CONCATENATE("'",$AW98,$AX$92,":",$AY$92)),AV$92)-AV97</f>
        <v>-9621.8796700000021</v>
      </c>
      <c r="AW98" s="267" t="s">
        <v>991</v>
      </c>
      <c r="AX98" s="267" t="str">
        <f>"$"&amp;ROW(LI!$B$12)</f>
        <v>$12</v>
      </c>
      <c r="AY98" s="267" t="str">
        <f>"$"&amp;ROW(LI!$B$12)</f>
        <v>$12</v>
      </c>
      <c r="AZ98" s="267" t="s">
        <v>992</v>
      </c>
      <c r="BA98" s="267" t="s">
        <v>991</v>
      </c>
      <c r="BK98" s="267"/>
      <c r="BL98" s="267"/>
      <c r="BM98" s="267"/>
      <c r="BN98" s="267"/>
      <c r="BO98" s="267"/>
      <c r="BP98" s="267"/>
      <c r="BQ98" s="267"/>
      <c r="BR98" s="267"/>
      <c r="BS98" s="267"/>
      <c r="BT98" s="267"/>
      <c r="BU98" s="267"/>
      <c r="BV98" s="267"/>
      <c r="BW98" s="267"/>
      <c r="BX98" s="267"/>
      <c r="BY98" s="267"/>
      <c r="BZ98" s="267"/>
      <c r="CA98" s="267"/>
      <c r="CB98" s="267"/>
      <c r="CC98" s="267"/>
      <c r="CD98" s="267"/>
      <c r="CE98" s="267"/>
      <c r="CF98" s="267"/>
      <c r="CG98" s="267"/>
    </row>
    <row r="99" spans="1:85" s="835" customFormat="1" ht="13.5" customHeight="1" x14ac:dyDescent="0.2">
      <c r="A99" s="840"/>
      <c r="B99" s="845" t="s">
        <v>1088</v>
      </c>
      <c r="C99" s="859">
        <f t="shared" ref="C99:S99" ca="1" si="120">+C100/C97-1</f>
        <v>-0.17491924457339481</v>
      </c>
      <c r="D99" s="859">
        <f t="shared" ca="1" si="120"/>
        <v>2.6767477083385005E-2</v>
      </c>
      <c r="E99" s="859">
        <f t="shared" ca="1" si="120"/>
        <v>-0.1730956906654505</v>
      </c>
      <c r="F99" s="859">
        <f t="shared" ca="1" si="120"/>
        <v>-0.17453377098180456</v>
      </c>
      <c r="G99" s="883">
        <f t="shared" ca="1" si="120"/>
        <v>-0.1262165437510353</v>
      </c>
      <c r="H99" s="859">
        <f t="shared" ca="1" si="120"/>
        <v>-0.17116115185065506</v>
      </c>
      <c r="I99" s="859">
        <f t="shared" ca="1" si="120"/>
        <v>-0.17363199450074518</v>
      </c>
      <c r="J99" s="859">
        <f t="shared" ca="1" si="120"/>
        <v>-0.19337141767677513</v>
      </c>
      <c r="K99" s="859">
        <f t="shared" ca="1" si="120"/>
        <v>-0.15359116040394338</v>
      </c>
      <c r="L99" s="846">
        <f t="shared" ca="1" si="120"/>
        <v>-0.1731563693608239</v>
      </c>
      <c r="M99" s="859">
        <f t="shared" ca="1" si="120"/>
        <v>-0.17118703950746228</v>
      </c>
      <c r="N99" s="859">
        <f t="shared" ca="1" si="120"/>
        <v>-0.17578346076618589</v>
      </c>
      <c r="O99" s="859">
        <f t="shared" ca="1" si="120"/>
        <v>-0.17216321159274417</v>
      </c>
      <c r="P99" s="859">
        <f t="shared" ca="1" si="120"/>
        <v>-0.16368460465331791</v>
      </c>
      <c r="Q99" s="846">
        <f t="shared" ca="1" si="120"/>
        <v>-0.17060464200951064</v>
      </c>
      <c r="R99" s="859">
        <f t="shared" ca="1" si="120"/>
        <v>-0.16693968846237395</v>
      </c>
      <c r="S99" s="859">
        <f t="shared" ca="1" si="120"/>
        <v>-0.1622260852395998</v>
      </c>
      <c r="T99" s="859">
        <f t="shared" ref="T99:Y99" ca="1" si="121">+T100/T97-1</f>
        <v>-0.17212003560900835</v>
      </c>
      <c r="U99" s="859">
        <f t="shared" ca="1" si="121"/>
        <v>-0.17806922782574075</v>
      </c>
      <c r="V99" s="846">
        <f t="shared" ca="1" si="121"/>
        <v>-0.16982021796906155</v>
      </c>
      <c r="W99" s="859">
        <f t="shared" ca="1" si="121"/>
        <v>-0.18675791691967258</v>
      </c>
      <c r="X99" s="859">
        <f t="shared" ca="1" si="121"/>
        <v>-0.18154750769091998</v>
      </c>
      <c r="Y99" s="859">
        <f t="shared" ca="1" si="121"/>
        <v>-0.1839089581692871</v>
      </c>
      <c r="Z99" s="859">
        <f t="shared" ref="Z99:AF99" ca="1" si="122">+Z100/Z97-1</f>
        <v>-0.18427069285402653</v>
      </c>
      <c r="AA99" s="846">
        <f t="shared" ca="1" si="122"/>
        <v>-0.18405382040681562</v>
      </c>
      <c r="AB99" s="859">
        <f t="shared" ca="1" si="122"/>
        <v>-0.18784512976517309</v>
      </c>
      <c r="AC99" s="859">
        <f t="shared" ca="1" si="122"/>
        <v>-0.17603545632705342</v>
      </c>
      <c r="AD99" s="859">
        <f t="shared" ca="1" si="122"/>
        <v>-0.17509013554404884</v>
      </c>
      <c r="AE99" s="859">
        <f t="shared" ca="1" si="122"/>
        <v>-0.17508202602059164</v>
      </c>
      <c r="AF99" s="846">
        <f t="shared" ca="1" si="122"/>
        <v>-0.17854441908968577</v>
      </c>
      <c r="AG99" s="859">
        <f t="shared" ref="AG99:AM99" ca="1" si="123">+AG100/AG97-1</f>
        <v>-0.17593162022451325</v>
      </c>
      <c r="AH99" s="859">
        <f t="shared" ca="1" si="123"/>
        <v>-0.17145001450802733</v>
      </c>
      <c r="AI99" s="859">
        <f t="shared" ca="1" si="123"/>
        <v>-0.17738767524358057</v>
      </c>
      <c r="AJ99" s="859">
        <f t="shared" ca="1" si="123"/>
        <v>-0.17856355145503633</v>
      </c>
      <c r="AK99" s="846">
        <f t="shared" ca="1" si="123"/>
        <v>-0.17597920712355553</v>
      </c>
      <c r="AL99" s="859">
        <f t="shared" ca="1" si="123"/>
        <v>-0.17805999035473885</v>
      </c>
      <c r="AM99" s="859">
        <f t="shared" ca="1" si="123"/>
        <v>-0.18227339536722909</v>
      </c>
      <c r="AN99" s="859">
        <f t="shared" ref="AN99:AV99" ca="1" si="124">+AN100/AN97-1</f>
        <v>-0.177837089070495</v>
      </c>
      <c r="AO99" s="859">
        <f t="shared" ca="1" si="124"/>
        <v>-0.17933355172761301</v>
      </c>
      <c r="AP99" s="846">
        <f t="shared" ca="1" si="124"/>
        <v>-0.17944517093367263</v>
      </c>
      <c r="AQ99" s="859">
        <f t="shared" ca="1" si="124"/>
        <v>-0.17590564301759293</v>
      </c>
      <c r="AR99" s="859">
        <f t="shared" ca="1" si="124"/>
        <v>-0.17722512719145556</v>
      </c>
      <c r="AS99" s="859">
        <f t="shared" ca="1" si="124"/>
        <v>-0.18153250547111965</v>
      </c>
      <c r="AT99" s="859">
        <f t="shared" ca="1" si="124"/>
        <v>-0.18814636756306247</v>
      </c>
      <c r="AU99" s="846">
        <f t="shared" ca="1" si="124"/>
        <v>-0.1803613512098996</v>
      </c>
      <c r="AV99" s="859">
        <f t="shared" ca="1" si="124"/>
        <v>-0.18940872432006406</v>
      </c>
      <c r="AW99" s="836"/>
      <c r="AX99" s="836"/>
      <c r="AY99" s="836"/>
      <c r="AZ99" s="836"/>
      <c r="BA99" s="836"/>
      <c r="BB99" s="836"/>
      <c r="BC99" s="836"/>
      <c r="BD99" s="836"/>
      <c r="BE99" s="836"/>
      <c r="BH99" s="836"/>
      <c r="BI99" s="836"/>
      <c r="BJ99" s="836"/>
      <c r="BK99" s="836"/>
      <c r="BL99" s="836"/>
      <c r="BM99" s="836"/>
      <c r="BN99" s="836"/>
      <c r="BO99" s="836"/>
      <c r="BP99" s="836"/>
      <c r="BQ99" s="836"/>
      <c r="BR99" s="836"/>
      <c r="BS99" s="836"/>
      <c r="BT99" s="836"/>
      <c r="BU99" s="836"/>
      <c r="BV99" s="836"/>
      <c r="BW99" s="836"/>
      <c r="BX99" s="836"/>
      <c r="BY99" s="836"/>
      <c r="BZ99" s="836"/>
      <c r="CA99" s="836"/>
      <c r="CB99" s="836"/>
      <c r="CC99" s="836"/>
      <c r="CD99" s="836"/>
      <c r="CE99" s="836"/>
      <c r="CF99" s="836"/>
      <c r="CG99" s="836"/>
    </row>
    <row r="100" spans="1:85" ht="13.5" customHeight="1" x14ac:dyDescent="0.2">
      <c r="B100" s="850" t="s">
        <v>1087</v>
      </c>
      <c r="C100" s="849">
        <f ca="1">+C98+C97</f>
        <v>40195.741480000004</v>
      </c>
      <c r="D100" s="849">
        <f ca="1">+D98+D97</f>
        <v>49336.037499999999</v>
      </c>
      <c r="E100" s="849">
        <f ca="1">+E98+E97</f>
        <v>41713.414819999998</v>
      </c>
      <c r="F100" s="849">
        <f ca="1">+F98+F97</f>
        <v>44647.50333</v>
      </c>
      <c r="G100" s="848">
        <f ca="1">SUM(C100:F100)</f>
        <v>175892.69713000002</v>
      </c>
      <c r="H100" s="849">
        <f ca="1">+H98+H97</f>
        <v>39611.781539999996</v>
      </c>
      <c r="I100" s="849">
        <f ca="1">+I98+I97</f>
        <v>37284.718710000001</v>
      </c>
      <c r="J100" s="984">
        <f ca="1">+J98+J97</f>
        <v>40376.691489999997</v>
      </c>
      <c r="K100" s="984">
        <f ca="1">+K98+K97</f>
        <v>40578.354858986</v>
      </c>
      <c r="L100" s="985">
        <f ca="1">+SUM(H100:K100)</f>
        <v>157851.54659898599</v>
      </c>
      <c r="M100" s="849">
        <f ca="1">+M98+M97</f>
        <v>37774.145250000001</v>
      </c>
      <c r="N100" s="849">
        <f ca="1">+N98+N97</f>
        <v>37483.146710000001</v>
      </c>
      <c r="O100" s="849">
        <f ca="1">+O98+O97</f>
        <v>40931.622060000002</v>
      </c>
      <c r="P100" s="849">
        <f ca="1">+P98+P97</f>
        <v>40984.576209999992</v>
      </c>
      <c r="Q100" s="848">
        <f ca="1">+SUM(M100:P100)</f>
        <v>157173.49023</v>
      </c>
      <c r="R100" s="849">
        <f ca="1">+R98+R97</f>
        <v>38985.920590000002</v>
      </c>
      <c r="S100" s="849">
        <f ca="1">+S98+S97</f>
        <v>43262.848420000002</v>
      </c>
      <c r="T100" s="849">
        <f ca="1">+T98+T97</f>
        <v>43724.104230000004</v>
      </c>
      <c r="U100" s="849">
        <f ca="1">+U98+U97</f>
        <v>40404.322140000004</v>
      </c>
      <c r="V100" s="848">
        <f ca="1">+SUM(R100:U100)</f>
        <v>166377.19538000002</v>
      </c>
      <c r="W100" s="849">
        <f ca="1">+W98+W97</f>
        <v>33087.408810000001</v>
      </c>
      <c r="X100" s="849">
        <f ca="1">+X98+X97</f>
        <v>36639.325929999999</v>
      </c>
      <c r="Y100" s="849">
        <f ca="1">+Y98+Y97</f>
        <v>37118.330650000004</v>
      </c>
      <c r="Z100" s="849">
        <f ca="1">+Z98+Z97</f>
        <v>32985.027450000009</v>
      </c>
      <c r="AA100" s="848">
        <f ca="1">+SUM(W100:Z100)</f>
        <v>139830.09284</v>
      </c>
      <c r="AB100" s="849">
        <f ca="1">+AB98+AB97</f>
        <v>39271.565389999996</v>
      </c>
      <c r="AC100" s="849">
        <f ca="1">+AC98+AC97</f>
        <v>38433.140700000004</v>
      </c>
      <c r="AD100" s="849">
        <f ca="1">+AD98+AD97</f>
        <v>42378.61105</v>
      </c>
      <c r="AE100" s="849">
        <f ca="1">+AE98+AE97</f>
        <v>36987.536740000003</v>
      </c>
      <c r="AF100" s="848">
        <f ca="1">+SUM(AB100:AE100)</f>
        <v>157070.85388000001</v>
      </c>
      <c r="AG100" s="849">
        <f ca="1">+AG98+AG97</f>
        <v>38998.192540000004</v>
      </c>
      <c r="AH100" s="849">
        <f ca="1">+AH98+AH97</f>
        <v>35747.08455</v>
      </c>
      <c r="AI100" s="849">
        <f ca="1">+AI98+AI97</f>
        <v>41153.213530000008</v>
      </c>
      <c r="AJ100" s="849">
        <f ca="1">+AJ98+AJ97</f>
        <v>40430.03413</v>
      </c>
      <c r="AK100" s="848">
        <f ca="1">+SUM(AG100:AJ100)</f>
        <v>156328.52475000001</v>
      </c>
      <c r="AL100" s="849">
        <f ca="1">+AL98+AL97</f>
        <v>41658.950420000001</v>
      </c>
      <c r="AM100" s="849">
        <f ca="1">+AM98+AM97</f>
        <v>45563.016280000003</v>
      </c>
      <c r="AN100" s="849">
        <f ca="1">+AN98+AN97</f>
        <v>41822.091699999997</v>
      </c>
      <c r="AO100" s="849">
        <f ca="1">+AO98+AO97</f>
        <v>41023.599970000003</v>
      </c>
      <c r="AP100" s="848">
        <f ca="1">+SUM(AL100:AO100)</f>
        <v>170067.65837000002</v>
      </c>
      <c r="AQ100" s="849">
        <f ca="1">+AQ98+AQ97</f>
        <v>45821.870380000008</v>
      </c>
      <c r="AR100" s="849">
        <f ca="1">+AR98+AR97</f>
        <v>44633.282709999999</v>
      </c>
      <c r="AS100" s="849">
        <f ca="1">+AS98+AS97</f>
        <v>34363.749549999993</v>
      </c>
      <c r="AT100" s="849">
        <f ca="1">+AT98+AT97</f>
        <v>38450.547139999995</v>
      </c>
      <c r="AU100" s="848">
        <f ca="1">+SUM(AQ100:AT100)</f>
        <v>163269.44978</v>
      </c>
      <c r="AV100" s="849">
        <f ca="1">+AV98+AV97</f>
        <v>41177.679349999991</v>
      </c>
      <c r="BK100" s="267"/>
      <c r="BL100" s="267"/>
      <c r="BM100" s="267"/>
      <c r="BN100" s="267"/>
      <c r="BO100" s="267"/>
      <c r="BP100" s="267"/>
      <c r="BQ100" s="267"/>
      <c r="BR100" s="267"/>
      <c r="BS100" s="267"/>
      <c r="BT100" s="267"/>
      <c r="BU100" s="267"/>
      <c r="BV100" s="267"/>
      <c r="BW100" s="267"/>
      <c r="BX100" s="267"/>
      <c r="BY100" s="267"/>
      <c r="BZ100" s="267"/>
      <c r="CA100" s="267"/>
      <c r="CB100" s="267"/>
      <c r="CC100" s="267"/>
      <c r="CD100" s="267"/>
      <c r="CE100" s="267"/>
      <c r="CF100" s="267"/>
      <c r="CG100" s="267"/>
    </row>
    <row r="101" spans="1:85" ht="13.5" customHeight="1" x14ac:dyDescent="0.2">
      <c r="B101" s="863" t="s">
        <v>1094</v>
      </c>
      <c r="C101" s="841">
        <f ca="1">+SUMIFS(INDIRECT(CONCATENATE("'",$AW101,$AX101,":",$AY101)),INDIRECT(CONCATENATE("'",$AW101,$AX$92,":",$AY$92)),C$92)</f>
        <v>-33763.876869999993</v>
      </c>
      <c r="D101" s="841">
        <f ca="1">+SUMIFS(INDIRECT(CONCATENATE("'",$AW101,$AX101,":",$AY101)),INDIRECT(CONCATENATE("'",$AW101,$AX$92,":",$AY$92)),D$92)</f>
        <v>-35062.16257</v>
      </c>
      <c r="E101" s="841">
        <f ca="1">+SUMIFS(INDIRECT(CONCATENATE("'",$AW101,$AX101,":",$AY101)),INDIRECT(CONCATENATE("'",$AW101,$AX$92,":",$AY$92)),E$92)</f>
        <v>-35168.157510000005</v>
      </c>
      <c r="F101" s="884">
        <f ca="1">+SUMIFS(INDIRECT(CONCATENATE("'",$AW101,$AX101,":",$AY101)),INDIRECT(CONCATENATE("'",$AW101,$AX$92,":",$AY$92)),F$92)-5147.63034</f>
        <v>-39024.335300000006</v>
      </c>
      <c r="G101" s="898">
        <f ca="1">SUM(C101:F101)</f>
        <v>-143018.53224999999</v>
      </c>
      <c r="H101" s="841">
        <f ca="1">+SUMIFS(INDIRECT(CONCATENATE("'",$AW101,$AX101,":",$AY101)),INDIRECT(CONCATENATE("'",$AW101,$AX$92,":",$AY$92)),H$92)</f>
        <v>-32103.398359999996</v>
      </c>
      <c r="I101" s="841">
        <f ca="1">+SUMIFS(INDIRECT(CONCATENATE("'",$AW101,$AX101,":",$AY101)),INDIRECT(CONCATENATE("'",$AW101,$AX$92,":",$AY$92)),I$92)</f>
        <v>-29829.59719</v>
      </c>
      <c r="J101" s="841">
        <f ca="1">+SUMIFS(INDIRECT(CONCATENATE("'",$AW101,$AX101,":",$AY101)),INDIRECT(CONCATENATE("'",$AW101,$AX$92,":",$AY$92)),J$92)</f>
        <v>-31606.118449999998</v>
      </c>
      <c r="K101" s="841">
        <f ca="1">+SUMIFS(INDIRECT(CONCATENATE("'",$AW101,$AX101,":",$AY101)),INDIRECT(CONCATENATE("'",$AW101,$AX$92,":",$AY$92)),K$92)</f>
        <v>-32730.792299999997</v>
      </c>
      <c r="L101" s="637">
        <f ca="1">+SUM(H101:K101)</f>
        <v>-126269.90629999999</v>
      </c>
      <c r="M101" s="841">
        <f ca="1">+SUMIFS(INDIRECT(CONCATENATE("'",$AW101,$AX101,":",$AY101)),INDIRECT(CONCATENATE("'",$AW101,$AX$92,":",$AY$92)),M$92)</f>
        <v>-24847.719380000002</v>
      </c>
      <c r="N101" s="841">
        <f ca="1">+SUMIFS(INDIRECT(CONCATENATE("'",$AW101,$AX101,":",$AY101)),INDIRECT(CONCATENATE("'",$AW101,$AX$92,":",$AY$92)),N$92)</f>
        <v>-27137.973819999999</v>
      </c>
      <c r="O101" s="884">
        <f ca="1">+SUMIFS(INDIRECT(CONCATENATE("'",$AW101,$AX101,":",$AY101)),INDIRECT(CONCATENATE("'",$AW101,$AX$92,":",$AY$92)),O$92)+193.292048841321</f>
        <v>-26075.299731158677</v>
      </c>
      <c r="P101" s="841">
        <f ca="1">+SUMIFS(INDIRECT(CONCATENATE("'",$AW101,$AX101,":",$AY101)),INDIRECT(CONCATENATE("'",$AW101,$AX$92,":",$AY$92)),P$92)</f>
        <v>-27258.207099999996</v>
      </c>
      <c r="Q101" s="898">
        <f ca="1">+SUM(M101:P101)</f>
        <v>-105319.20003115867</v>
      </c>
      <c r="R101" s="841">
        <f ca="1">+SUMIFS(INDIRECT(CONCATENATE("'",$AW101,$AX101,":",$AY101)),INDIRECT(CONCATENATE("'",$AW101,$AX$92,":",$AY$92)),R$92)</f>
        <v>-23949.649169999997</v>
      </c>
      <c r="S101" s="841">
        <f ca="1">+SUMIFS(INDIRECT(CONCATENATE("'",$AW101,$AX101,":",$AY101)),INDIRECT(CONCATENATE("'",$AW101,$AX$92,":",$AY$92)),S$92)</f>
        <v>-26755.184610000004</v>
      </c>
      <c r="T101" s="841">
        <f ca="1">+SUMIFS(INDIRECT(CONCATENATE("'",$AW101,$AX101,":",$AY101)),INDIRECT(CONCATENATE("'",$AW101,$AX$92,":",$AY$92)),T$92)</f>
        <v>-26649.67727</v>
      </c>
      <c r="U101" s="884">
        <f ca="1">+SUMIFS(INDIRECT(CONCATENATE("'",$AW101,$AX101,":",$AY101)),INDIRECT(CONCATENATE("'",$AW101,$AX$92,":",$AY$92)),U$92)+2875</f>
        <v>-25813.472970000003</v>
      </c>
      <c r="V101" s="898">
        <f ca="1">+SUM(R101:U101)</f>
        <v>-103167.98402</v>
      </c>
      <c r="W101" s="841">
        <f ca="1">+SUMIFS(INDIRECT(CONCATENATE("'",$AW101,$AX101,":",$AY101)),INDIRECT(CONCATENATE("'",$AW101,$AX$92,":",$AY$92)),W$92)</f>
        <v>-22940.262020000002</v>
      </c>
      <c r="X101" s="841">
        <f ca="1">+SUMIFS(INDIRECT(CONCATENATE("'",$AW101,$AX101,":",$AY101)),INDIRECT(CONCATENATE("'",$AW101,$AX$92,":",$AY$92)),X$92)</f>
        <v>-24186.268790000002</v>
      </c>
      <c r="Y101" s="841">
        <f ca="1">+SUMIFS(INDIRECT(CONCATENATE("'",$AW101,$AX101,":",$AY101)),INDIRECT(CONCATENATE("'",$AW101,$AX$92,":",$AY$92)),Y$92)</f>
        <v>-25173.943309999999</v>
      </c>
      <c r="Z101" s="841">
        <f ca="1">+SUMIFS(INDIRECT(CONCATENATE("'",$AW101,$AX101,":",$AY101)),INDIRECT(CONCATENATE("'",$AW101,$AX$92,":",$AY$92)),Z$92)</f>
        <v>-22896.50952</v>
      </c>
      <c r="AA101" s="637">
        <f ca="1">+SUM(W101:Z101)</f>
        <v>-95196.983639999991</v>
      </c>
      <c r="AB101" s="841">
        <f ca="1">+SUMIFS(INDIRECT(CONCATENATE("'",$AW101,$AX101,":",$AY101)),INDIRECT(CONCATENATE("'",$AW101,$AX$92,":",$AY$92)),AB$92)</f>
        <v>-25044.119490000005</v>
      </c>
      <c r="AC101" s="841">
        <f ca="1">+SUMIFS(INDIRECT(CONCATENATE("'",$AW101,$AX101,":",$AY101)),INDIRECT(CONCATENATE("'",$AW101,$AX$92,":",$AY$92)),AC$92)</f>
        <v>-26249.11119</v>
      </c>
      <c r="AD101" s="841">
        <f ca="1">+SUMIFS(INDIRECT(CONCATENATE("'",$AW101,$AX101,":",$AY101)),INDIRECT(CONCATENATE("'",$AW101,$AX$92,":",$AY$92)),AD$92)</f>
        <v>-28395.833310000005</v>
      </c>
      <c r="AE101" s="841">
        <f ca="1">+SUMIFS(INDIRECT(CONCATENATE("'",$AW101,$AX101,":",$AY101)),INDIRECT(CONCATENATE("'",$AW101,$AX$92,":",$AY$92)),AE$92)</f>
        <v>-25579.179450000003</v>
      </c>
      <c r="AF101" s="637">
        <f ca="1">+SUM(AB101:AE101)</f>
        <v>-105268.24344000002</v>
      </c>
      <c r="AG101" s="841">
        <f ca="1">+SUMIFS(INDIRECT(CONCATENATE("'",$AW101,$AX101,":",$AY101)),INDIRECT(CONCATENATE("'",$AW101,$AX$92,":",$AY$92)),AG$92)</f>
        <v>-27962.731210000002</v>
      </c>
      <c r="AH101" s="841">
        <f ca="1">+SUMIFS(INDIRECT(CONCATENATE("'",$AW101,$AX101,":",$AY101)),INDIRECT(CONCATENATE("'",$AW101,$AX$92,":",$AY$92)),AH$92)</f>
        <v>-24097.067410000003</v>
      </c>
      <c r="AI101" s="841">
        <f ca="1">+SUMIFS(INDIRECT(CONCATENATE("'",$AW101,$AX101,":",$AY101)),INDIRECT(CONCATENATE("'",$AW101,$AX$92,":",$AY$92)),AI$92)</f>
        <v>-28659.82591</v>
      </c>
      <c r="AJ101" s="841">
        <f ca="1">+SUMIFS(INDIRECT(CONCATENATE("'",$AW101,$AX101,":",$AY101)),INDIRECT(CONCATENATE("'",$AW101,$AX$92,":",$AY$92)),AJ$92)</f>
        <v>-26994.540899999996</v>
      </c>
      <c r="AK101" s="637">
        <f ca="1">+SUM(AG101:AJ101)</f>
        <v>-107714.16542999999</v>
      </c>
      <c r="AL101" s="841">
        <f ca="1">+SUMIFS(INDIRECT(CONCATENATE("'",$AW101,$AX101,":",$AY101)),INDIRECT(CONCATENATE("'",$AW101,$AX$92,":",$AY$92)),AL$92)</f>
        <v>-30761.998070000005</v>
      </c>
      <c r="AM101" s="841">
        <f ca="1">+SUMIFS(INDIRECT(CONCATENATE("'",$AW101,$AX101,":",$AY101)),INDIRECT(CONCATENATE("'",$AW101,$AX$92,":",$AY$92)),AM$92)</f>
        <v>-33179.92899</v>
      </c>
      <c r="AN101" s="841">
        <f ca="1">+SUMIFS(INDIRECT(CONCATENATE("'",$AW101,$AX101,":",$AY101)),INDIRECT(CONCATENATE("'",$AW101,$AX$92,":",$AY$92)),AN$92)</f>
        <v>-30561.183870000001</v>
      </c>
      <c r="AO101" s="841">
        <f ca="1">+SUMIFS(INDIRECT(CONCATENATE("'",$AW101,$AX101,":",$AY101)),INDIRECT(CONCATENATE("'",$AW101,$AX$92,":",$AY$92)),AO$92)</f>
        <v>-31888.350020000002</v>
      </c>
      <c r="AP101" s="637">
        <f ca="1">+SUM(AL101:AO101)</f>
        <v>-126391.46094999999</v>
      </c>
      <c r="AQ101" s="841">
        <f ca="1">+SUMIFS(INDIRECT(CONCATENATE("'",$AW101,$AX101,":",$AY101)),INDIRECT(CONCATENATE("'",$AW101,$AX$92,":",$AY$92)),AQ$92)</f>
        <v>-34249.135450000002</v>
      </c>
      <c r="AR101" s="841">
        <f ca="1">+SUMIFS(INDIRECT(CONCATENATE("'",$AW101,$AX101,":",$AY101)),INDIRECT(CONCATENATE("'",$AW101,$AX$92,":",$AY$92)),AR$92)</f>
        <v>-32967.494210000004</v>
      </c>
      <c r="AS101" s="841">
        <f ca="1">+SUMIFS(INDIRECT(CONCATENATE("'",$AW101,$AX101,":",$AY101)),INDIRECT(CONCATENATE("'",$AW101,$AX$92,":",$AY$92)),AS$92)</f>
        <v>-26966.71571</v>
      </c>
      <c r="AT101" s="841">
        <f ca="1">+SUMIFS(INDIRECT(CONCATENATE("'",$AW101,$AX101,":",$AY101)),INDIRECT(CONCATENATE("'",$AW101,$AX$92,":",$AY$92)),AT$92)</f>
        <v>-31345.064120000003</v>
      </c>
      <c r="AU101" s="637">
        <f ca="1">+SUM(AQ101:AT101)</f>
        <v>-125528.40949000002</v>
      </c>
      <c r="AV101" s="841">
        <f ca="1">+SUMIFS(INDIRECT(CONCATENATE("'",$AW101,$AX101,":",$AY101)),INDIRECT(CONCATENATE("'",$AW101,$AX$92,":",$AY$92)),AV$92)</f>
        <v>-30701.950629999999</v>
      </c>
      <c r="AW101" s="267" t="s">
        <v>991</v>
      </c>
      <c r="AX101" s="267" t="str">
        <f>"$"&amp;ROW(LI!$B$13)</f>
        <v>$13</v>
      </c>
      <c r="AY101" s="267" t="str">
        <f>"$"&amp;ROW(LI!$B$13)</f>
        <v>$13</v>
      </c>
      <c r="AZ101" s="267" t="s">
        <v>992</v>
      </c>
      <c r="BA101" s="267" t="s">
        <v>991</v>
      </c>
      <c r="BK101" s="267"/>
      <c r="BL101" s="267"/>
      <c r="BM101" s="267"/>
      <c r="BN101" s="267"/>
      <c r="BO101" s="267"/>
      <c r="BP101" s="267"/>
      <c r="BQ101" s="267"/>
      <c r="BR101" s="267"/>
      <c r="BS101" s="267"/>
      <c r="BT101" s="267"/>
      <c r="BU101" s="267"/>
      <c r="BV101" s="267"/>
      <c r="BW101" s="267"/>
      <c r="BX101" s="267"/>
      <c r="BY101" s="267"/>
      <c r="BZ101" s="267"/>
      <c r="CA101" s="267"/>
      <c r="CB101" s="267"/>
      <c r="CC101" s="267"/>
      <c r="CD101" s="267"/>
      <c r="CE101" s="267"/>
      <c r="CF101" s="267"/>
      <c r="CG101" s="267"/>
    </row>
    <row r="102" spans="1:85" s="835" customFormat="1" ht="13.5" customHeight="1" x14ac:dyDescent="0.2">
      <c r="A102" s="840"/>
      <c r="B102" s="845" t="s">
        <v>1090</v>
      </c>
      <c r="C102" s="859">
        <f t="shared" ref="C102:S102" ca="1" si="125">+C101/C100</f>
        <v>-0.8399864171382363</v>
      </c>
      <c r="D102" s="859">
        <f t="shared" ca="1" si="125"/>
        <v>-0.71068055617559478</v>
      </c>
      <c r="E102" s="859">
        <f t="shared" ca="1" si="125"/>
        <v>-0.84308987077073849</v>
      </c>
      <c r="F102" s="859">
        <f t="shared" ca="1" si="125"/>
        <v>-0.87405414389158875</v>
      </c>
      <c r="G102" s="883">
        <f t="shared" ca="1" si="125"/>
        <v>-0.81310102456554434</v>
      </c>
      <c r="H102" s="859">
        <f t="shared" ca="1" si="125"/>
        <v>-0.81045075762578278</v>
      </c>
      <c r="I102" s="859">
        <f t="shared" ca="1" si="125"/>
        <v>-0.80004887315938122</v>
      </c>
      <c r="J102" s="859">
        <f t="shared" ca="1" si="125"/>
        <v>-0.78278128503490219</v>
      </c>
      <c r="K102" s="859">
        <f t="shared" ca="1" si="125"/>
        <v>-0.8066071779830134</v>
      </c>
      <c r="L102" s="846">
        <f t="shared" ca="1" si="125"/>
        <v>-0.79992821749654697</v>
      </c>
      <c r="M102" s="859">
        <f t="shared" ca="1" si="125"/>
        <v>-0.65779699886127807</v>
      </c>
      <c r="N102" s="859">
        <f t="shared" ca="1" si="125"/>
        <v>-0.72400468482439206</v>
      </c>
      <c r="O102" s="859">
        <f t="shared" ca="1" si="125"/>
        <v>-0.63704535561615305</v>
      </c>
      <c r="P102" s="859">
        <f t="shared" ca="1" si="125"/>
        <v>-0.66508451765689247</v>
      </c>
      <c r="Q102" s="846">
        <f t="shared" ca="1" si="125"/>
        <v>-0.67008246668722382</v>
      </c>
      <c r="R102" s="859">
        <f t="shared" ca="1" si="125"/>
        <v>-0.61431534275846111</v>
      </c>
      <c r="S102" s="859">
        <f t="shared" ca="1" si="125"/>
        <v>-0.61843326519460839</v>
      </c>
      <c r="T102" s="859">
        <f t="shared" ref="T102:Y102" ca="1" si="126">+T101/T100</f>
        <v>-0.60949624330359886</v>
      </c>
      <c r="U102" s="859">
        <f t="shared" ca="1" si="126"/>
        <v>-0.63887900112658591</v>
      </c>
      <c r="V102" s="846">
        <f t="shared" ca="1" si="126"/>
        <v>-0.62008488473656342</v>
      </c>
      <c r="W102" s="859">
        <f t="shared" ca="1" si="126"/>
        <v>-0.69332301455612233</v>
      </c>
      <c r="X102" s="859">
        <f t="shared" ca="1" si="126"/>
        <v>-0.66011773350329217</v>
      </c>
      <c r="Y102" s="859">
        <f t="shared" ca="1" si="126"/>
        <v>-0.67820785227042524</v>
      </c>
      <c r="Z102" s="859">
        <f t="shared" ref="Z102:AF102" ca="1" si="127">+Z101/Z100</f>
        <v>-0.69414856648845968</v>
      </c>
      <c r="AA102" s="846">
        <f t="shared" ca="1" si="127"/>
        <v>-0.68080469451542702</v>
      </c>
      <c r="AB102" s="859">
        <f t="shared" ca="1" si="127"/>
        <v>-0.6377163538374554</v>
      </c>
      <c r="AC102" s="859">
        <f t="shared" ca="1" si="127"/>
        <v>-0.68298116448234991</v>
      </c>
      <c r="AD102" s="859">
        <f t="shared" ca="1" si="127"/>
        <v>-0.67005106128885283</v>
      </c>
      <c r="AE102" s="859">
        <f t="shared" ca="1" si="127"/>
        <v>-0.69156212347435175</v>
      </c>
      <c r="AF102" s="846">
        <f t="shared" ca="1" si="127"/>
        <v>-0.67019590738599744</v>
      </c>
      <c r="AG102" s="859">
        <f t="shared" ref="AG102:AM102" ca="1" si="128">+AG101/AG100</f>
        <v>-0.71702633862630805</v>
      </c>
      <c r="AH102" s="859">
        <f t="shared" ca="1" si="128"/>
        <v>-0.67409881710199504</v>
      </c>
      <c r="AI102" s="859">
        <f t="shared" ca="1" si="128"/>
        <v>-0.69641769017885957</v>
      </c>
      <c r="AJ102" s="859">
        <f t="shared" ca="1" si="128"/>
        <v>-0.66768533544149145</v>
      </c>
      <c r="AK102" s="846">
        <f t="shared" ca="1" si="128"/>
        <v>-0.68902438376013642</v>
      </c>
      <c r="AL102" s="859">
        <f t="shared" ca="1" si="128"/>
        <v>-0.73842470249158054</v>
      </c>
      <c r="AM102" s="859">
        <f t="shared" ca="1" si="128"/>
        <v>-0.72822064250747176</v>
      </c>
      <c r="AN102" s="859">
        <f t="shared" ref="AN102:AV102" ca="1" si="129">+AN101/AN100</f>
        <v>-0.73074259626282645</v>
      </c>
      <c r="AO102" s="859">
        <f t="shared" ca="1" si="129"/>
        <v>-0.77731720383680403</v>
      </c>
      <c r="AP102" s="846">
        <f t="shared" ca="1" si="129"/>
        <v>-0.74318340219056889</v>
      </c>
      <c r="AQ102" s="859">
        <f t="shared" ca="1" si="129"/>
        <v>-0.74744079990564527</v>
      </c>
      <c r="AR102" s="859">
        <f t="shared" ca="1" si="129"/>
        <v>-0.738630282343398</v>
      </c>
      <c r="AS102" s="859">
        <f t="shared" ca="1" si="129"/>
        <v>-0.78474311049097978</v>
      </c>
      <c r="AT102" s="859">
        <f t="shared" ca="1" si="129"/>
        <v>-0.81520463170189383</v>
      </c>
      <c r="AU102" s="846">
        <f t="shared" ca="1" si="129"/>
        <v>-0.7688419949913794</v>
      </c>
      <c r="AV102" s="859">
        <f t="shared" ca="1" si="129"/>
        <v>-0.74559691353757662</v>
      </c>
      <c r="AW102" s="836"/>
      <c r="AX102" s="836"/>
      <c r="AY102" s="836"/>
      <c r="AZ102" s="836"/>
      <c r="BA102" s="836"/>
      <c r="BB102" s="836"/>
      <c r="BC102" s="836"/>
      <c r="BD102" s="836"/>
      <c r="BE102" s="836"/>
      <c r="BH102" s="836"/>
      <c r="BI102" s="836"/>
      <c r="BJ102" s="836"/>
      <c r="BK102" s="836"/>
      <c r="BL102" s="836"/>
      <c r="BM102" s="836"/>
      <c r="BN102" s="836"/>
      <c r="BO102" s="836"/>
      <c r="BP102" s="836"/>
      <c r="BQ102" s="836"/>
      <c r="BR102" s="836"/>
      <c r="BS102" s="836"/>
      <c r="BT102" s="836"/>
      <c r="BU102" s="836"/>
      <c r="BV102" s="836"/>
      <c r="BW102" s="836"/>
      <c r="BX102" s="836"/>
      <c r="BY102" s="836"/>
      <c r="BZ102" s="836"/>
      <c r="CA102" s="836"/>
      <c r="CB102" s="836"/>
      <c r="CC102" s="836"/>
      <c r="CD102" s="836"/>
      <c r="CE102" s="836"/>
      <c r="CF102" s="836"/>
      <c r="CG102" s="836"/>
    </row>
    <row r="103" spans="1:85" ht="13.5" customHeight="1" x14ac:dyDescent="0.2">
      <c r="B103" s="863" t="s">
        <v>1162</v>
      </c>
      <c r="C103" s="841">
        <f ca="1">+SUMIFS(INDIRECT(CONCATENATE("'",$AW$93,$AX103,":",$AY103)),INDIRECT(CONCATENATE("'",$AW103,$AX$92,":",$AY$92)),C$92)</f>
        <v>-1342.9465300000002</v>
      </c>
      <c r="D103" s="841">
        <f ca="1">+SUMIFS(INDIRECT(CONCATENATE("'",$AW$93,$AX103,":",$AY103)),INDIRECT(CONCATENATE("'",$AW103,$AX$92,":",$AY$92)),D$92)</f>
        <v>-4629.9583400000001</v>
      </c>
      <c r="E103" s="884">
        <f ca="1">+SUMIFS(INDIRECT(CONCATENATE("'",$AW$93,$AX103,":",$AY103)),INDIRECT(CONCATENATE("'",$AW103,$AX$92,":",$AY$92)),E$92)+5733</f>
        <v>-441.93514000000141</v>
      </c>
      <c r="F103" s="884">
        <f ca="1">+SUMIFS(INDIRECT(CONCATENATE("'",$AW$93,$AX103,":",$AY103)),INDIRECT(CONCATENATE("'",$AW103,$AX$92,":",$AY$92)),F$92)+5731</f>
        <v>-3461.1338500000002</v>
      </c>
      <c r="G103" s="898">
        <f ca="1">SUM(C103:F103)</f>
        <v>-9875.9738600000019</v>
      </c>
      <c r="H103" s="841">
        <f ca="1">+SUMIFS(INDIRECT(CONCATENATE("'",$AW$93,$AX103,":",$AY103)),INDIRECT(CONCATENATE("'",$AW103,$AX$92,":",$AY$92)),H$92)</f>
        <v>-667.74580000000003</v>
      </c>
      <c r="I103" s="841">
        <f ca="1">+SUMIFS(INDIRECT(CONCATENATE("'",$AW$93,$AX103,":",$AY103)),INDIRECT(CONCATENATE("'",$AW103,$AX$92,":",$AY$92)),I$92)</f>
        <v>-554.25487999999996</v>
      </c>
      <c r="J103" s="841">
        <f ca="1">+SUMIFS(INDIRECT(CONCATENATE("'",$AW$93,$AX103,":",$AY103)),INDIRECT(CONCATENATE("'",$AW103,$AX$92,":",$AY$92)),J$92)</f>
        <v>-382.59770999999995</v>
      </c>
      <c r="K103" s="884">
        <f ca="1">+SUMIFS(INDIRECT(CONCATENATE("'",$AW$93,$AX103,":",$AY103)),INDIRECT(CONCATENATE("'",$AW103,$AX$92,":",$AY$92)),K$92)+2859.05403</f>
        <v>-1731.2877800000001</v>
      </c>
      <c r="L103" s="898">
        <f ca="1">+SUM(H103:K103)</f>
        <v>-3335.8861700000002</v>
      </c>
      <c r="M103" s="841">
        <f ca="1">+SUMIFS(INDIRECT(CONCATENATE("'",$AW$93,$AX103,":",$AY103)),INDIRECT(CONCATENATE("'",$AW103,$AX$92,":",$AY$92)),M$92)</f>
        <v>600.34452999999996</v>
      </c>
      <c r="N103" s="841">
        <f ca="1">+SUMIFS(INDIRECT(CONCATENATE("'",$AW$93,$AX103,":",$AY103)),INDIRECT(CONCATENATE("'",$AW103,$AX$92,":",$AY$92)),N$92)</f>
        <v>446.94294000000008</v>
      </c>
      <c r="O103" s="884">
        <f ca="1">+SUMIFS(INDIRECT(CONCATENATE("'",$AW$93,$AX103,":",$AY103)),INDIRECT(CONCATENATE("'",$AW103,$AX$92,":",$AY$92)),O$92)-1794.21006</f>
        <v>-198.85109000000011</v>
      </c>
      <c r="P103" s="841">
        <f ca="1">+SUMIFS(INDIRECT(CONCATENATE("'",$AW$93,$AX103,":",$AY103)),INDIRECT(CONCATENATE("'",$AW103,$AX$92,":",$AY$92)),P$92)</f>
        <v>-1102.86581</v>
      </c>
      <c r="Q103" s="898">
        <f ca="1">+SUM(M103:P103)</f>
        <v>-254.42943000000014</v>
      </c>
      <c r="R103" s="841">
        <f ca="1">+SUMIFS(INDIRECT(CONCATENATE("'",$AW$93,$AX103,":",$AY103)),INDIRECT(CONCATENATE("'",$AW103,$AX$92,":",$AY$92)),R$92)</f>
        <v>-95.066719999999975</v>
      </c>
      <c r="S103" s="841">
        <f ca="1">+SUMIFS(INDIRECT(CONCATENATE("'",$AW$93,$AX103,":",$AY103)),INDIRECT(CONCATENATE("'",$AW103,$AX$92,":",$AY$92)),S$92)</f>
        <v>-199.52291000000005</v>
      </c>
      <c r="T103" s="841">
        <f ca="1">+SUMIFS(INDIRECT(CONCATENATE("'",$AW$93,$AX103,":",$AY103)),INDIRECT(CONCATENATE("'",$AW103,$AX$92,":",$AY$92)),T$92)</f>
        <v>-557.19947999999999</v>
      </c>
      <c r="U103" s="884">
        <f ca="1">+SUMIFS(INDIRECT(CONCATENATE("'",$AW$93,$AX103,":",$AY103)),INDIRECT(CONCATENATE("'",$AW103,$AX$92,":",$AY$92)),U$92)+2345</f>
        <v>499.13855000000012</v>
      </c>
      <c r="V103" s="898">
        <f ca="1">+SUM(R103:U103)</f>
        <v>-352.65055999999993</v>
      </c>
      <c r="W103" s="841">
        <f ca="1">+SUMIFS(INDIRECT(CONCATENATE("'",$AW$93,$AX103,":",$AY103)),INDIRECT(CONCATENATE("'",$AW103,$AX$92,":",$AY$92)),W$92)</f>
        <v>-76.880210000000019</v>
      </c>
      <c r="X103" s="884">
        <f ca="1">+SUMIFS(INDIRECT(CONCATENATE("'",$AW$93,$AX103,":",$AY103)),INDIRECT(CONCATENATE("'",$AW103,$AX$92,":",$AY$92)),X$92)-5732.71379</f>
        <v>-581.52906999999959</v>
      </c>
      <c r="Y103" s="841">
        <f ca="1">+SUMIFS(INDIRECT(CONCATENATE("'",$AW$93,$AX103,":",$AY103)),INDIRECT(CONCATENATE("'",$AW103,$AX$92,":",$AY$92)),Y$92)</f>
        <v>13.98998000000006</v>
      </c>
      <c r="Z103" s="884">
        <f ca="1">+SUMIFS(INDIRECT(CONCATENATE("'",$AW$93,$AX103,":",$AY103)),INDIRECT(CONCATENATE("'",$AW103,$AX$92,":",$AY$92)),Z$92)-2591</f>
        <v>-763.55877000000032</v>
      </c>
      <c r="AA103" s="898">
        <f ca="1">+SUM(W103:Z103)</f>
        <v>-1407.9780699999999</v>
      </c>
      <c r="AB103" s="841">
        <f ca="1">+SUMIFS(INDIRECT(CONCATENATE("'",$AW$93,$AX103,":",$AY103)),INDIRECT(CONCATENATE("'",$AW103,$AX$92,":",$AY$92)),AB$92)</f>
        <v>-202.53901000000008</v>
      </c>
      <c r="AC103" s="841">
        <f ca="1">+SUMIFS(INDIRECT(CONCATENATE("'",$AW$93,$AX103,":",$AY103)),INDIRECT(CONCATENATE("'",$AW103,$AX$92,":",$AY$92)),AC$92)</f>
        <v>-829.83764999999994</v>
      </c>
      <c r="AD103" s="841">
        <f ca="1">+SUMIFS(INDIRECT(CONCATENATE("'",$AW$93,$AX103,":",$AY103)),INDIRECT(CONCATENATE("'",$AW103,$AX$92,":",$AY$92)),AD$92)</f>
        <v>-11.300450000000097</v>
      </c>
      <c r="AE103" s="841">
        <f ca="1">+SUMIFS(INDIRECT(CONCATENATE("'",$AW$93,$AX103,":",$AY103)),INDIRECT(CONCATENATE("'",$AW103,$AX$92,":",$AY$92)),AE$92)</f>
        <v>-142.48084999999998</v>
      </c>
      <c r="AF103" s="637">
        <f ca="1">+SUM(AB103:AE103)</f>
        <v>-1186.15796</v>
      </c>
      <c r="AG103" s="841">
        <f ca="1">+SUMIFS(INDIRECT(CONCATENATE("'",$AW$93,$AX103,":",$AY103)),INDIRECT(CONCATENATE("'",$AW103,$AX$92,":",$AY$92)),AG$92)</f>
        <v>92.010109999999983</v>
      </c>
      <c r="AH103" s="841">
        <f ca="1">+SUMIFS(INDIRECT(CONCATENATE("'",$AW$93,$AX103,":",$AY103)),INDIRECT(CONCATENATE("'",$AW103,$AX$92,":",$AY$92)),AH$92)</f>
        <v>-84.018460000000218</v>
      </c>
      <c r="AI103" s="841">
        <f ca="1">+SUMIFS(INDIRECT(CONCATENATE("'",$AW$93,$AX103,":",$AY103)),INDIRECT(CONCATENATE("'",$AW103,$AX$92,":",$AY$92)),AI$92)</f>
        <v>-74.616739999999965</v>
      </c>
      <c r="AJ103" s="841">
        <f ca="1">+SUMIFS(INDIRECT(CONCATENATE("'",$AW$93,$AX103,":",$AY103)),INDIRECT(CONCATENATE("'",$AW103,$AX$92,":",$AY$92)),AJ$92)</f>
        <v>-1699.2201799999996</v>
      </c>
      <c r="AK103" s="637">
        <f ca="1">+SUM(AG103:AJ103)</f>
        <v>-1765.8452699999998</v>
      </c>
      <c r="AL103" s="884">
        <f ca="1">+SUMIFS(INDIRECT(CONCATENATE("'",$AW$93,$AX103,":",$AY103)),INDIRECT(CONCATENATE("'",$AW103,$AX$92,":",$AY$92)),AL$92)</f>
        <v>-2540.4430400000001</v>
      </c>
      <c r="AM103" s="884">
        <f ca="1">+SUMIFS(INDIRECT(CONCATENATE("'",$AW$93,$AX103,":",$AY103)),INDIRECT(CONCATENATE("'",$AW103,$AX$92,":",$AY$92)),AM$92)</f>
        <v>-1844.8559499999999</v>
      </c>
      <c r="AN103" s="884">
        <f ca="1">+SUMIFS(INDIRECT(CONCATENATE("'",$AW$93,$AX103,":",$AY103)),INDIRECT(CONCATENATE("'",$AW103,$AX$92,":",$AY$92)),AN$92)</f>
        <v>-3253.43165</v>
      </c>
      <c r="AO103" s="884">
        <f ca="1">+SUMIFS(INDIRECT(CONCATENATE("'",$AW$93,$AX103,":",$AY103)),INDIRECT(CONCATENATE("'",$AW103,$AX$92,":",$AY$92)),AO$92)</f>
        <v>-3407.9472599999999</v>
      </c>
      <c r="AP103" s="898">
        <f ca="1">+SUM(AL103:AO103)</f>
        <v>-11046.677899999999</v>
      </c>
      <c r="AQ103" s="841">
        <f ca="1">+SUMIFS(INDIRECT(CONCATENATE("'",$AW$93,$AX103,":",$AY103)),INDIRECT(CONCATENATE("'",$AW103,$AX$92,":",$AY$92)),AQ$92)</f>
        <v>-3188.3353599999996</v>
      </c>
      <c r="AR103" s="841">
        <f ca="1">+SUMIFS(INDIRECT(CONCATENATE("'",$AW$93,$AX103,":",$AY103)),INDIRECT(CONCATENATE("'",$AW103,$AX$92,":",$AY$92)),AR$92)</f>
        <v>-3306.1176299999997</v>
      </c>
      <c r="AS103" s="841">
        <f ca="1">+SUMIFS(INDIRECT(CONCATENATE("'",$AW$93,$AX103,":",$AY103)),INDIRECT(CONCATENATE("'",$AW103,$AX$92,":",$AY$92)),AS$92)</f>
        <v>-2584.8586</v>
      </c>
      <c r="AT103" s="841">
        <f ca="1">+SUMIFS(INDIRECT(CONCATENATE("'",$AW$93,$AX103,":",$AY103)),INDIRECT(CONCATENATE("'",$AW103,$AX$92,":",$AY$92)),AT$92)</f>
        <v>-3729.5138999999995</v>
      </c>
      <c r="AU103" s="637">
        <f ca="1">+SUM(AQ103:AT103)</f>
        <v>-12808.825489999999</v>
      </c>
      <c r="AV103" s="841">
        <f ca="1">+SUMIFS(INDIRECT(CONCATENATE("'",$AW$93,$AX103,":",$AY103)),INDIRECT(CONCATENATE("'",$AW103,$AX$92,":",$AY$92)),AV$92)</f>
        <v>-1802.3571699999998</v>
      </c>
      <c r="AW103" s="267" t="s">
        <v>991</v>
      </c>
      <c r="AX103" s="267" t="str">
        <f>"$"&amp;ROW(LI!$B$15)</f>
        <v>$15</v>
      </c>
      <c r="AY103" s="267" t="str">
        <f>"$"&amp;ROW(LI!$B$15)</f>
        <v>$15</v>
      </c>
      <c r="AZ103" s="267" t="s">
        <v>992</v>
      </c>
      <c r="BA103" s="267" t="s">
        <v>991</v>
      </c>
      <c r="BK103" s="267"/>
      <c r="BL103" s="267"/>
      <c r="BM103" s="267"/>
      <c r="BN103" s="267"/>
      <c r="BO103" s="267"/>
      <c r="BP103" s="267"/>
      <c r="BQ103" s="267"/>
      <c r="BR103" s="267"/>
      <c r="BS103" s="267"/>
      <c r="BT103" s="267"/>
      <c r="BU103" s="267"/>
      <c r="BV103" s="267"/>
      <c r="BW103" s="267"/>
      <c r="BX103" s="267"/>
      <c r="BY103" s="267"/>
      <c r="BZ103" s="267"/>
      <c r="CA103" s="267"/>
      <c r="CB103" s="267"/>
      <c r="CC103" s="267"/>
      <c r="CD103" s="267"/>
      <c r="CE103" s="267"/>
      <c r="CF103" s="267"/>
      <c r="CG103" s="267"/>
    </row>
    <row r="104" spans="1:85" s="835" customFormat="1" ht="13.5" customHeight="1" x14ac:dyDescent="0.2">
      <c r="A104" s="840"/>
      <c r="B104" s="845" t="s">
        <v>1090</v>
      </c>
      <c r="C104" s="859">
        <f t="shared" ref="C104:S104" ca="1" si="130">+C103/C100</f>
        <v>-3.3410169350108973E-2</v>
      </c>
      <c r="D104" s="859">
        <f t="shared" ca="1" si="130"/>
        <v>-9.3845362834418966E-2</v>
      </c>
      <c r="E104" s="859">
        <f t="shared" ca="1" si="130"/>
        <v>-1.0594556736891997E-2</v>
      </c>
      <c r="F104" s="859">
        <f t="shared" ca="1" si="130"/>
        <v>-7.7521330239184061E-2</v>
      </c>
      <c r="G104" s="883">
        <f t="shared" ca="1" si="130"/>
        <v>-5.6147719724263467E-2</v>
      </c>
      <c r="H104" s="859">
        <f t="shared" ca="1" si="130"/>
        <v>-1.68572524143028E-2</v>
      </c>
      <c r="I104" s="859">
        <f t="shared" ca="1" si="130"/>
        <v>-1.4865470336815099E-2</v>
      </c>
      <c r="J104" s="859">
        <f t="shared" ca="1" si="130"/>
        <v>-9.4757072925293305E-3</v>
      </c>
      <c r="K104" s="859">
        <f t="shared" ca="1" si="130"/>
        <v>-4.266530237651095E-2</v>
      </c>
      <c r="L104" s="846">
        <f t="shared" ca="1" si="130"/>
        <v>-2.1133059775933986E-2</v>
      </c>
      <c r="M104" s="859">
        <f t="shared" ca="1" si="130"/>
        <v>1.5893001046794034E-2</v>
      </c>
      <c r="N104" s="859">
        <f t="shared" ca="1" si="130"/>
        <v>1.1923837223643811E-2</v>
      </c>
      <c r="O104" s="859">
        <f t="shared" ca="1" si="130"/>
        <v>-4.8581287521054601E-3</v>
      </c>
      <c r="P104" s="859">
        <f t="shared" ca="1" si="130"/>
        <v>-2.6909289103028651E-2</v>
      </c>
      <c r="Q104" s="846">
        <f t="shared" ca="1" si="130"/>
        <v>-1.6187808111131246E-3</v>
      </c>
      <c r="R104" s="859">
        <f t="shared" ca="1" si="130"/>
        <v>-2.4384885251211652E-3</v>
      </c>
      <c r="S104" s="859">
        <f t="shared" ca="1" si="130"/>
        <v>-4.6118764086685174E-3</v>
      </c>
      <c r="T104" s="859">
        <f t="shared" ref="T104:Y104" ca="1" si="131">+T103/T100</f>
        <v>-1.274353105255142E-2</v>
      </c>
      <c r="U104" s="859">
        <f t="shared" ca="1" si="131"/>
        <v>1.2353592971328589E-2</v>
      </c>
      <c r="V104" s="846">
        <f t="shared" ca="1" si="131"/>
        <v>-2.119584713485269E-3</v>
      </c>
      <c r="W104" s="859">
        <f t="shared" ca="1" si="131"/>
        <v>-2.3235488291474954E-3</v>
      </c>
      <c r="X104" s="859">
        <f t="shared" ca="1" si="131"/>
        <v>-1.5871718576674142E-2</v>
      </c>
      <c r="Y104" s="859">
        <f t="shared" ca="1" si="131"/>
        <v>3.7690218700608665E-4</v>
      </c>
      <c r="Z104" s="859">
        <f t="shared" ref="Z104:AF104" ca="1" si="132">+Z103/Z100</f>
        <v>-2.3148647402444412E-2</v>
      </c>
      <c r="AA104" s="846">
        <f t="shared" ca="1" si="132"/>
        <v>-1.0069206430486125E-2</v>
      </c>
      <c r="AB104" s="859">
        <f t="shared" ca="1" si="132"/>
        <v>-5.1573958916232574E-3</v>
      </c>
      <c r="AC104" s="859">
        <f t="shared" ca="1" si="132"/>
        <v>-2.1591720970126176E-2</v>
      </c>
      <c r="AD104" s="859">
        <f t="shared" ca="1" si="132"/>
        <v>-2.6665456276203506E-4</v>
      </c>
      <c r="AE104" s="859">
        <f t="shared" ca="1" si="132"/>
        <v>-3.852131354449314E-3</v>
      </c>
      <c r="AF104" s="846">
        <f t="shared" ca="1" si="132"/>
        <v>-7.5517381531917342E-3</v>
      </c>
      <c r="AG104" s="859">
        <f t="shared" ref="AG104:AM104" ca="1" si="133">+AG103/AG100</f>
        <v>2.3593429337943356E-3</v>
      </c>
      <c r="AH104" s="859">
        <f t="shared" ca="1" si="133"/>
        <v>-2.3503583874786294E-3</v>
      </c>
      <c r="AI104" s="859">
        <f t="shared" ca="1" si="133"/>
        <v>-1.8131449186976759E-3</v>
      </c>
      <c r="AJ104" s="859">
        <f t="shared" ca="1" si="133"/>
        <v>-4.2028660538259099E-2</v>
      </c>
      <c r="AK104" s="846">
        <f t="shared" ca="1" si="133"/>
        <v>-1.1295732962515528E-2</v>
      </c>
      <c r="AL104" s="859">
        <f t="shared" ca="1" si="133"/>
        <v>-6.098192619803406E-2</v>
      </c>
      <c r="AM104" s="859">
        <f t="shared" ca="1" si="133"/>
        <v>-4.0490206764686995E-2</v>
      </c>
      <c r="AN104" s="859">
        <f t="shared" ref="AN104:AV104" ca="1" si="134">+AN103/AN100</f>
        <v>-7.7792179151096846E-2</v>
      </c>
      <c r="AO104" s="859">
        <f t="shared" ca="1" si="134"/>
        <v>-8.3072847397405031E-2</v>
      </c>
      <c r="AP104" s="846">
        <f t="shared" ca="1" si="134"/>
        <v>-6.4954606924538194E-2</v>
      </c>
      <c r="AQ104" s="859">
        <f t="shared" ca="1" si="134"/>
        <v>-6.9581082866307889E-2</v>
      </c>
      <c r="AR104" s="859">
        <f t="shared" ca="1" si="134"/>
        <v>-7.407292113110181E-2</v>
      </c>
      <c r="AS104" s="859">
        <f t="shared" ca="1" si="134"/>
        <v>-7.5220505150026637E-2</v>
      </c>
      <c r="AT104" s="859">
        <f t="shared" ca="1" si="134"/>
        <v>-9.6995080106940704E-2</v>
      </c>
      <c r="AU104" s="846">
        <f t="shared" ca="1" si="134"/>
        <v>-7.8452065020488848E-2</v>
      </c>
      <c r="AV104" s="859">
        <f t="shared" ca="1" si="134"/>
        <v>-4.3770246367708439E-2</v>
      </c>
      <c r="AW104" s="836"/>
      <c r="AX104" s="836"/>
      <c r="AY104" s="836"/>
      <c r="AZ104" s="836"/>
      <c r="BA104" s="836"/>
      <c r="BB104" s="836"/>
      <c r="BC104" s="836"/>
      <c r="BD104" s="836"/>
      <c r="BE104" s="836"/>
      <c r="BH104" s="836"/>
      <c r="BI104" s="836"/>
      <c r="BJ104" s="836"/>
      <c r="BK104" s="836"/>
      <c r="BL104" s="836"/>
      <c r="BM104" s="836"/>
      <c r="BN104" s="836"/>
      <c r="BO104" s="836"/>
      <c r="BP104" s="836"/>
      <c r="BQ104" s="836"/>
      <c r="BR104" s="836"/>
      <c r="BS104" s="836"/>
      <c r="BT104" s="836"/>
      <c r="BU104" s="836"/>
      <c r="BV104" s="836"/>
      <c r="BW104" s="836"/>
      <c r="BX104" s="836"/>
      <c r="BY104" s="836"/>
      <c r="BZ104" s="836"/>
      <c r="CA104" s="836"/>
      <c r="CB104" s="836"/>
      <c r="CC104" s="836"/>
      <c r="CD104" s="836"/>
      <c r="CE104" s="836"/>
      <c r="CF104" s="836"/>
      <c r="CG104" s="836"/>
    </row>
    <row r="105" spans="1:85" ht="13.5" customHeight="1" x14ac:dyDescent="0.2">
      <c r="A105" s="24"/>
      <c r="B105" s="905" t="s">
        <v>1086</v>
      </c>
      <c r="C105" s="906">
        <f ca="1">+C113-C112-C111-C110</f>
        <v>5088.9180800000113</v>
      </c>
      <c r="D105" s="906">
        <f t="shared" ref="D105:X105" ca="1" si="135">+D113-D112-D111-D110</f>
        <v>9643.9165899999971</v>
      </c>
      <c r="E105" s="987">
        <f t="shared" ca="1" si="135"/>
        <v>6103.3221699999922</v>
      </c>
      <c r="F105" s="987">
        <f t="shared" ca="1" si="135"/>
        <v>2162.0341799999933</v>
      </c>
      <c r="G105" s="988">
        <f ca="1">+SUM(C105:F105)</f>
        <v>22998.191019999991</v>
      </c>
      <c r="H105" s="906">
        <f t="shared" ca="1" si="135"/>
        <v>6840.637380000001</v>
      </c>
      <c r="I105" s="906">
        <f t="shared" ca="1" si="135"/>
        <v>6900.8666400000002</v>
      </c>
      <c r="J105" s="987">
        <f t="shared" ca="1" si="135"/>
        <v>8387.9753299999993</v>
      </c>
      <c r="K105" s="987">
        <f t="shared" ca="1" si="135"/>
        <v>6116.2747789860023</v>
      </c>
      <c r="L105" s="988">
        <f ca="1">+SUM(H105:K105)</f>
        <v>28245.754128986002</v>
      </c>
      <c r="M105" s="906">
        <f t="shared" ca="1" si="135"/>
        <v>13526.770400000001</v>
      </c>
      <c r="N105" s="906">
        <f t="shared" ca="1" si="135"/>
        <v>10792.115830000002</v>
      </c>
      <c r="O105" s="987">
        <f t="shared" ca="1" si="135"/>
        <v>14657.471238841325</v>
      </c>
      <c r="P105" s="906">
        <f t="shared" ca="1" si="135"/>
        <v>12623.503299999997</v>
      </c>
      <c r="Q105" s="988">
        <f ca="1">+SUM(M105:P105)</f>
        <v>51599.860768841325</v>
      </c>
      <c r="R105" s="906">
        <f t="shared" ca="1" si="135"/>
        <v>14941.204700000004</v>
      </c>
      <c r="S105" s="906">
        <f t="shared" ca="1" si="135"/>
        <v>16308.140899999999</v>
      </c>
      <c r="T105" s="906">
        <f t="shared" ca="1" si="135"/>
        <v>16517.227480000005</v>
      </c>
      <c r="U105" s="987">
        <f t="shared" ca="1" si="135"/>
        <v>15089.987720000001</v>
      </c>
      <c r="V105" s="988">
        <f ca="1">+SUM(R105:U105)</f>
        <v>62856.560800000007</v>
      </c>
      <c r="W105" s="906">
        <f t="shared" ca="1" si="135"/>
        <v>10070.26658</v>
      </c>
      <c r="X105" s="987">
        <f t="shared" ca="1" si="135"/>
        <v>11871.528069999995</v>
      </c>
      <c r="Y105" s="906">
        <f ca="1">+Y113-Y112-Y111-Y110</f>
        <v>11958.377320000003</v>
      </c>
      <c r="Z105" s="987">
        <f ca="1">+Z113-Z112-Z111-Z110</f>
        <v>9324.9591600000094</v>
      </c>
      <c r="AA105" s="988">
        <f ca="1">+SUM(W105:Z105)</f>
        <v>43225.131130000009</v>
      </c>
      <c r="AB105" s="906">
        <f ca="1">+AB113-AB112-AB111-AB110</f>
        <v>14024.906889999991</v>
      </c>
      <c r="AC105" s="906">
        <f ca="1">+AC113-AC112-AC111-AC110</f>
        <v>11354.191860000004</v>
      </c>
      <c r="AD105" s="906">
        <f ca="1">+AD113-AD112-AD111-AD110</f>
        <v>13971.477289999993</v>
      </c>
      <c r="AE105" s="906">
        <f ca="1">+AE113-AE112-AE111-AE110</f>
        <v>11265.87644</v>
      </c>
      <c r="AF105" s="1089">
        <f ca="1">+SUM(AB105:AE105)</f>
        <v>50616.452479999993</v>
      </c>
      <c r="AG105" s="906">
        <f ca="1">+AG113-AG112-AG111-AG110</f>
        <v>11127.471440000001</v>
      </c>
      <c r="AH105" s="906">
        <f ca="1">+AH113-AH112-AH111-AH110</f>
        <v>11565.998679999997</v>
      </c>
      <c r="AI105" s="906">
        <f ca="1">+AI113-AI112-AI111-AI110</f>
        <v>12418.770880000007</v>
      </c>
      <c r="AJ105" s="906">
        <f ca="1">+AJ113-AJ112-AJ111-AJ110</f>
        <v>11736.273050000003</v>
      </c>
      <c r="AK105" s="1089">
        <f ca="1">+SUM(AG105:AJ105)</f>
        <v>46848.514050000013</v>
      </c>
      <c r="AL105" s="906">
        <f ca="1">+AL113-AL112-AL111-AL110</f>
        <v>8356.5093099999958</v>
      </c>
      <c r="AM105" s="906">
        <f ca="1">+AM113-AM112-AM111-AM110</f>
        <v>10538.231340000004</v>
      </c>
      <c r="AN105" s="906">
        <f ca="1">+AN113-AN112-AN111-AN110</f>
        <v>8007.476179999996</v>
      </c>
      <c r="AO105" s="906">
        <f ca="1">+AO113-AO112-AO111-AO110</f>
        <v>5727.3026900000013</v>
      </c>
      <c r="AP105" s="1089">
        <f ca="1">+SUM(AL105:AO105)</f>
        <v>32629.519519999998</v>
      </c>
      <c r="AQ105" s="906">
        <f ca="1">+AQ113-AQ112-AQ111-AQ110</f>
        <v>8384.3995700000069</v>
      </c>
      <c r="AR105" s="906">
        <f ca="1">+AR113-AR112-AR111-AR110</f>
        <v>8359.6708699999945</v>
      </c>
      <c r="AS105" s="906">
        <f ca="1">+AS113-AS112-AS111-AS110</f>
        <v>4812.1752399999932</v>
      </c>
      <c r="AT105" s="906">
        <f ca="1">+AT113-AT112-AT111-AT110</f>
        <v>3375.9691199999929</v>
      </c>
      <c r="AU105" s="1089">
        <f ca="1">+SUM(AQ105:AT105)</f>
        <v>24932.214799999991</v>
      </c>
      <c r="AV105" s="906">
        <f ca="1">+AV113-AV112-AV111-AV110</f>
        <v>8673.3715499999926</v>
      </c>
      <c r="BK105" s="267"/>
      <c r="BL105" s="267"/>
      <c r="BM105" s="267"/>
      <c r="BN105" s="267"/>
      <c r="BO105" s="267"/>
      <c r="BP105" s="267"/>
      <c r="BQ105" s="267"/>
      <c r="BR105" s="267"/>
      <c r="BS105" s="267"/>
      <c r="BT105" s="267"/>
      <c r="BU105" s="267"/>
      <c r="BV105" s="267"/>
      <c r="BW105" s="267"/>
      <c r="BX105" s="267"/>
      <c r="BY105" s="267"/>
      <c r="BZ105" s="267"/>
      <c r="CA105" s="267"/>
      <c r="CB105" s="267"/>
      <c r="CC105" s="267"/>
      <c r="CD105" s="267"/>
      <c r="CE105" s="267"/>
      <c r="CF105" s="267"/>
      <c r="CG105" s="267"/>
    </row>
    <row r="106" spans="1:85" s="835" customFormat="1" ht="13.5" customHeight="1" x14ac:dyDescent="0.2">
      <c r="A106" s="840"/>
      <c r="B106" s="845" t="s">
        <v>987</v>
      </c>
      <c r="C106" s="844">
        <f t="shared" ref="C106:X106" ca="1" si="136">+C105/C100</f>
        <v>0.12660341351165469</v>
      </c>
      <c r="D106" s="844">
        <f t="shared" ca="1" si="136"/>
        <v>0.19547408098998623</v>
      </c>
      <c r="E106" s="844">
        <f t="shared" ca="1" si="136"/>
        <v>0.14631557249236957</v>
      </c>
      <c r="F106" s="844">
        <f t="shared" ca="1" si="136"/>
        <v>4.8424525869227214E-2</v>
      </c>
      <c r="G106" s="843">
        <f t="shared" ca="1" si="136"/>
        <v>0.13075125571019203</v>
      </c>
      <c r="H106" s="844">
        <f t="shared" ca="1" si="136"/>
        <v>0.17269198995991439</v>
      </c>
      <c r="I106" s="844">
        <f t="shared" ca="1" si="136"/>
        <v>0.18508565650380362</v>
      </c>
      <c r="J106" s="844">
        <f t="shared" ca="1" si="136"/>
        <v>0.20774300767256845</v>
      </c>
      <c r="K106" s="844">
        <f t="shared" ca="1" si="136"/>
        <v>0.15072751964047565</v>
      </c>
      <c r="L106" s="843">
        <f t="shared" ca="1" si="136"/>
        <v>0.17893872272751901</v>
      </c>
      <c r="M106" s="844">
        <f t="shared" ca="1" si="136"/>
        <v>0.35809600218551607</v>
      </c>
      <c r="N106" s="844">
        <f t="shared" ca="1" si="136"/>
        <v>0.28791915239925175</v>
      </c>
      <c r="O106" s="844">
        <f t="shared" ca="1" si="136"/>
        <v>0.3580965156317415</v>
      </c>
      <c r="P106" s="844">
        <f t="shared" ca="1" si="136"/>
        <v>0.30800619324007888</v>
      </c>
      <c r="Q106" s="843">
        <f t="shared" ca="1" si="136"/>
        <v>0.32829875250166307</v>
      </c>
      <c r="R106" s="844">
        <f t="shared" ca="1" si="136"/>
        <v>0.3832461687164177</v>
      </c>
      <c r="S106" s="844">
        <f t="shared" ca="1" si="136"/>
        <v>0.37695485839672316</v>
      </c>
      <c r="T106" s="844">
        <f t="shared" ca="1" si="136"/>
        <v>0.3777602256438497</v>
      </c>
      <c r="U106" s="844">
        <f t="shared" ca="1" si="136"/>
        <v>0.37347459184474269</v>
      </c>
      <c r="V106" s="843">
        <f t="shared" ca="1" si="136"/>
        <v>0.37779553054995124</v>
      </c>
      <c r="W106" s="844">
        <f t="shared" ca="1" si="136"/>
        <v>0.30435343661473013</v>
      </c>
      <c r="X106" s="844">
        <f t="shared" ca="1" si="136"/>
        <v>0.32401054792003359</v>
      </c>
      <c r="Y106" s="844">
        <f t="shared" ref="Y106:AD106" ca="1" si="137">+Y105/Y100</f>
        <v>0.32216904991658085</v>
      </c>
      <c r="Z106" s="844">
        <f t="shared" ca="1" si="137"/>
        <v>0.28270278610909588</v>
      </c>
      <c r="AA106" s="843">
        <f t="shared" ca="1" si="137"/>
        <v>0.30912609905408689</v>
      </c>
      <c r="AB106" s="844">
        <f t="shared" ca="1" si="137"/>
        <v>0.35712625027092132</v>
      </c>
      <c r="AC106" s="844">
        <f t="shared" ca="1" si="137"/>
        <v>0.29542711454752391</v>
      </c>
      <c r="AD106" s="844">
        <f t="shared" ca="1" si="137"/>
        <v>0.32968228414838513</v>
      </c>
      <c r="AE106" s="844">
        <f t="shared" ref="AE106:AM106" ca="1" si="138">+AE105/AE100</f>
        <v>0.30458574517119896</v>
      </c>
      <c r="AF106" s="843">
        <f t="shared" ca="1" si="138"/>
        <v>0.32225235446081085</v>
      </c>
      <c r="AG106" s="844">
        <f t="shared" ca="1" si="138"/>
        <v>0.28533300430748632</v>
      </c>
      <c r="AH106" s="844">
        <f t="shared" ca="1" si="138"/>
        <v>0.32355082451052636</v>
      </c>
      <c r="AI106" s="844">
        <f t="shared" ca="1" si="138"/>
        <v>0.30176916490244265</v>
      </c>
      <c r="AJ106" s="844">
        <f t="shared" ca="1" si="138"/>
        <v>0.29028600402024946</v>
      </c>
      <c r="AK106" s="843">
        <f t="shared" ca="1" si="138"/>
        <v>0.29967988327734801</v>
      </c>
      <c r="AL106" s="844">
        <f t="shared" ca="1" si="138"/>
        <v>0.2005933713103854</v>
      </c>
      <c r="AM106" s="844">
        <f t="shared" ca="1" si="138"/>
        <v>0.2312891507278412</v>
      </c>
      <c r="AN106" s="844">
        <f t="shared" ref="AN106:AV106" ca="1" si="139">+AN105/AN100</f>
        <v>0.19146522458607676</v>
      </c>
      <c r="AO106" s="844">
        <f t="shared" ca="1" si="139"/>
        <v>0.13960994876579089</v>
      </c>
      <c r="AP106" s="843">
        <f t="shared" ca="1" si="139"/>
        <v>0.19186199088489275</v>
      </c>
      <c r="AQ106" s="844">
        <f t="shared" ca="1" si="139"/>
        <v>0.1829781172280468</v>
      </c>
      <c r="AR106" s="844">
        <f t="shared" ca="1" si="139"/>
        <v>0.18729679652550016</v>
      </c>
      <c r="AS106" s="844">
        <f t="shared" ca="1" si="139"/>
        <v>0.14003638435899363</v>
      </c>
      <c r="AT106" s="844">
        <f t="shared" ca="1" si="139"/>
        <v>8.7800288191165476E-2</v>
      </c>
      <c r="AU106" s="843">
        <f t="shared" ca="1" si="139"/>
        <v>0.15270593998813187</v>
      </c>
      <c r="AV106" s="844">
        <f t="shared" ca="1" si="139"/>
        <v>0.21063284009471492</v>
      </c>
      <c r="AW106" s="836"/>
      <c r="AX106" s="836"/>
      <c r="AY106" s="836"/>
      <c r="AZ106" s="836"/>
      <c r="BA106" s="836"/>
      <c r="BB106" s="836"/>
      <c r="BC106" s="836"/>
      <c r="BD106" s="836"/>
      <c r="BE106" s="836"/>
      <c r="BH106" s="836"/>
      <c r="BI106" s="836"/>
      <c r="BJ106" s="836"/>
      <c r="BK106" s="836"/>
      <c r="BL106" s="836"/>
      <c r="BM106" s="836"/>
      <c r="BN106" s="836"/>
      <c r="BO106" s="836"/>
      <c r="BP106" s="836"/>
      <c r="BQ106" s="836"/>
      <c r="BR106" s="836"/>
      <c r="BS106" s="836"/>
      <c r="BT106" s="836"/>
      <c r="BU106" s="836"/>
      <c r="BV106" s="836"/>
      <c r="BW106" s="836"/>
      <c r="BX106" s="836"/>
      <c r="BY106" s="836"/>
      <c r="BZ106" s="836"/>
      <c r="CA106" s="836"/>
      <c r="CB106" s="836"/>
      <c r="CC106" s="836"/>
      <c r="CD106" s="836"/>
      <c r="CE106" s="836"/>
      <c r="CF106" s="836"/>
      <c r="CG106" s="836"/>
    </row>
    <row r="107" spans="1:85" ht="13.5" customHeight="1" x14ac:dyDescent="0.2">
      <c r="A107" s="882"/>
      <c r="B107" s="842" t="s">
        <v>986</v>
      </c>
      <c r="C107" s="841">
        <v>0</v>
      </c>
      <c r="D107" s="841">
        <v>0</v>
      </c>
      <c r="E107" s="841">
        <v>0</v>
      </c>
      <c r="F107" s="841">
        <v>0</v>
      </c>
      <c r="G107" s="637" t="s">
        <v>160</v>
      </c>
      <c r="H107" s="841">
        <v>0</v>
      </c>
      <c r="I107" s="841">
        <v>0</v>
      </c>
      <c r="J107" s="841">
        <v>0</v>
      </c>
      <c r="K107" s="841">
        <v>0</v>
      </c>
      <c r="L107" s="637" t="s">
        <v>160</v>
      </c>
      <c r="M107" s="841">
        <f ca="1">+SUMIFS(INDIRECT(CONCATENATE("'",$AW107,$AX107,":",$AY107)),INDIRECT(CONCATENATE("'",$AW107,$AX$89,":",$AY$89)),M$35)</f>
        <v>-4719</v>
      </c>
      <c r="N107" s="841">
        <f ca="1">+SUMIFS(INDIRECT(CONCATENATE("'",$AW107,$AX107,":",$AY107)),INDIRECT(CONCATENATE("'",$AW107,$AX$89,":",$AY$89)),N$35)</f>
        <v>-3891</v>
      </c>
      <c r="O107" s="841">
        <f ca="1">+SUMIFS(INDIRECT(CONCATENATE("'",$AW107,$AX107,":",$AY107)),INDIRECT(CONCATENATE("'",$AW107,$AX$89,":",$AY$89)),O$35)</f>
        <v>-4334</v>
      </c>
      <c r="P107" s="841">
        <f ca="1">+SUMIFS(INDIRECT(CONCATENATE("'",$AW107,$AX107,":",$AY107)),INDIRECT(CONCATENATE("'",$AW107,$AX$89,":",$AY$89)),P$35)</f>
        <v>-4368.29738</v>
      </c>
      <c r="Q107" s="637">
        <f ca="1">SUM(M107:P107)</f>
        <v>-17312.29738</v>
      </c>
      <c r="R107" s="841">
        <f ca="1">+SUMIFS(INDIRECT(CONCATENATE("'",$AW107,$AX107,":",$AY107)),INDIRECT(CONCATENATE("'",$AW107,$AX$89,":",$AY$89)),R$35)</f>
        <v>-4649.11193</v>
      </c>
      <c r="S107" s="841">
        <f ca="1">+SUMIFS(INDIRECT(CONCATENATE("'",$AW107,$AX107,":",$AY107)),INDIRECT(CONCATENATE("'",$AW107,$AX$89,":",$AY$89)),S$35)</f>
        <v>-4410.0316700000003</v>
      </c>
      <c r="T107" s="841">
        <f ca="1">+SUMIFS(INDIRECT(CONCATENATE("'",$AW107,$AX107,":",$AY107)),INDIRECT(CONCATENATE("'",$AW107,$AX$89,":",$AY$89)),T$35)</f>
        <v>-4105.63141</v>
      </c>
      <c r="U107" s="841">
        <f ca="1">+SUMIFS(INDIRECT(CONCATENATE("'",$AW107,$AX107,":",$AY107)),INDIRECT(CONCATENATE("'",$AW107,$AX$89,":",$AY$89)),U$35)</f>
        <v>-4024.5754499999998</v>
      </c>
      <c r="V107" s="637">
        <f ca="1">SUM(R107:U107)</f>
        <v>-17189.350459999998</v>
      </c>
      <c r="W107" s="841">
        <f ca="1">+SUMIFS(INDIRECT(CONCATENATE("'",$AW107,$AX107,":",$AY107)),INDIRECT(CONCATENATE("'",$AW107,$AX$89,":",$AY$89)),W$35)</f>
        <v>-2208.1629600000001</v>
      </c>
      <c r="X107" s="841">
        <f ca="1">+SUMIFS(INDIRECT(CONCATENATE("'",$AW107,$AX107,":",$AY107)),INDIRECT(CONCATENATE("'",$AW107,$AX$89,":",$AY$89)),X$35)</f>
        <v>-2587.8254499999998</v>
      </c>
      <c r="Y107" s="841">
        <f ca="1">+SUMIFS(INDIRECT(CONCATENATE("'",$AW107,$AX107,":",$AY107)),INDIRECT(CONCATENATE("'",$AW107,$AX$89,":",$AY$89)),Y$35)</f>
        <v>-2588.4667799999984</v>
      </c>
      <c r="Z107" s="841">
        <f ca="1">+SUMIFS(INDIRECT(CONCATENATE("'",$AW107,$AX107,":",$AY107)),INDIRECT(CONCATENATE("'",$AW107,$AX$89,":",$AY$89)),Z$35)</f>
        <v>-2576.5198399999999</v>
      </c>
      <c r="AA107" s="637">
        <f ca="1">SUM(W107:Z107)</f>
        <v>-9960.9750299999978</v>
      </c>
      <c r="AB107" s="841">
        <f ca="1">+SUMIFS(INDIRECT(CONCATENATE("'",$AW107,$AX107,":",$AY107)),INDIRECT(CONCATENATE("'",$AW107,$AX$89,":",$AY$89)),AB$35)</f>
        <v>-2932.1561299999998</v>
      </c>
      <c r="AC107" s="841">
        <f ca="1">+SUMIFS(INDIRECT(CONCATENATE("'",$AW107,$AX107,":",$AY107)),INDIRECT(CONCATENATE("'",$AW107,$AX$89,":",$AY$89)),AC$35)</f>
        <v>-2939.8680899999995</v>
      </c>
      <c r="AD107" s="841">
        <f ca="1">+SUMIFS(INDIRECT(CONCATENATE("'",$AW107,$AX107,":",$AY107)),INDIRECT(CONCATENATE("'",$AW107,$AX$89,":",$AY$89)),AD$35)</f>
        <v>-2957.4588600000002</v>
      </c>
      <c r="AE107" s="841">
        <f ca="1">+SUMIFS(INDIRECT(CONCATENATE("'",$AW107,$AX107,":",$AY107)),INDIRECT(CONCATENATE("'",$AW107,$AX$89,":",$AY$89)),AE$35)</f>
        <v>-2981.36715</v>
      </c>
      <c r="AF107" s="637">
        <f ca="1">SUM(AB107:AE107)</f>
        <v>-11810.85023</v>
      </c>
      <c r="AG107" s="841">
        <f ca="1">+SUMIFS(INDIRECT(CONCATENATE("'",$AW107,$AX107,":",$AY107)),INDIRECT(CONCATENATE("'",$AW107,$AX$89,":",$AY$89)),AG$35)</f>
        <v>-2965.89284</v>
      </c>
      <c r="AH107" s="841">
        <f ca="1">+SUMIFS(INDIRECT(CONCATENATE("'",$AW107,$AX107,":",$AY107)),INDIRECT(CONCATENATE("'",$AW107,$AX$89,":",$AY$89)),AH$35)</f>
        <v>-2687.7272699999999</v>
      </c>
      <c r="AI107" s="841">
        <f ca="1">+SUMIFS(INDIRECT(CONCATENATE("'",$AW107,$AX107,":",$AY107)),INDIRECT(CONCATENATE("'",$AW107,$AX$89,":",$AY$89)),AI$35)</f>
        <v>-2919.9746599999999</v>
      </c>
      <c r="AJ107" s="841">
        <f ca="1">+SUMIFS(INDIRECT(CONCATENATE("'",$AW107,$AX107,":",$AY107)),INDIRECT(CONCATENATE("'",$AW107,$AX$89,":",$AY$89)),AJ$35)</f>
        <v>-2809.4375100000002</v>
      </c>
      <c r="AK107" s="637">
        <f ca="1">SUM(AG107:AJ107)</f>
        <v>-11383.032279999999</v>
      </c>
      <c r="AL107" s="841">
        <f ca="1">+SUMIFS(INDIRECT(CONCATENATE("'",$AW107,$AX107,":",$AY107)),INDIRECT(CONCATENATE("'",$AW107,$AX$89,":",$AY$89)),AL$35)</f>
        <v>-2823.2623800000001</v>
      </c>
      <c r="AM107" s="841">
        <f ca="1">+SUMIFS(INDIRECT(CONCATENATE("'",$AW107,$AX107,":",$AY107)),INDIRECT(CONCATENATE("'",$AW107,$AX$89,":",$AY$89)),AM$35)</f>
        <v>-2831.43163</v>
      </c>
      <c r="AN107" s="841">
        <f ca="1">+SUMIFS(INDIRECT(CONCATENATE("'",$AW107,$AX107,":",$AY107)),INDIRECT(CONCATENATE("'",$AW107,$AX$89,":",$AY$89)),AN$35)</f>
        <v>-2885.5690199999999</v>
      </c>
      <c r="AO107" s="841">
        <f ca="1">+SUMIFS(INDIRECT(CONCATENATE("'",$AW107,$AX107,":",$AY107)),INDIRECT(CONCATENATE("'",$AW107,$AX$89,":",$AY$89)),AO$35)</f>
        <v>-2612.3018499999998</v>
      </c>
      <c r="AP107" s="637">
        <f ca="1">SUM(AL107:AO107)</f>
        <v>-11152.56488</v>
      </c>
      <c r="AQ107" s="841">
        <f ca="1">+SUMIFS(INDIRECT(CONCATENATE("'",$AW107,$AX107,":",$AY107)),INDIRECT(CONCATENATE("'",$AW107,$AX$89,":",$AY$89)),AQ$35)</f>
        <v>-3474.6312899999998</v>
      </c>
      <c r="AR107" s="841">
        <f ca="1">+SUMIFS(INDIRECT(CONCATENATE("'",$AW107,$AX107,":",$AY107)),INDIRECT(CONCATENATE("'",$AW107,$AX$89,":",$AY$89)),AR$35)</f>
        <v>-3523.0232900000001</v>
      </c>
      <c r="AS107" s="841">
        <f ca="1">+SUMIFS(INDIRECT(CONCATENATE("'",$AW107,$AX107,":",$AY107)),INDIRECT(CONCATENATE("'",$AW107,$AX$89,":",$AY$89)),AS$35)</f>
        <v>-3551.6418600000002</v>
      </c>
      <c r="AT107" s="841">
        <f ca="1">+SUMIFS(INDIRECT(CONCATENATE("'",$AW107,$AX107,":",$AY107)),INDIRECT(CONCATENATE("'",$AW107,$AX$89,":",$AY$89)),AT$35)</f>
        <v>-3579.5062800000001</v>
      </c>
      <c r="AU107" s="637">
        <f ca="1">SUM(AQ107:AT107)</f>
        <v>-14128.80272</v>
      </c>
      <c r="AV107" s="841">
        <f ca="1">+SUMIFS(INDIRECT(CONCATENATE("'",$AW107,$AX107,":",$AY107)),INDIRECT(CONCATENATE("'",$AW107,$AX$89,":",$AY$89)),AV$35)</f>
        <v>-3404.48135</v>
      </c>
      <c r="AW107" s="267" t="s">
        <v>984</v>
      </c>
      <c r="AX107" s="267" t="str">
        <f>"$"&amp;ROW(Anexos!$B$13)</f>
        <v>$13</v>
      </c>
      <c r="AY107" s="267" t="str">
        <f>"$"&amp;ROW(Anexos!$B$13)</f>
        <v>$13</v>
      </c>
      <c r="AZ107" s="267" t="s">
        <v>985</v>
      </c>
      <c r="BA107" s="267" t="s">
        <v>984</v>
      </c>
      <c r="BK107" s="267"/>
      <c r="BL107" s="267"/>
      <c r="BM107" s="267"/>
      <c r="BN107" s="267"/>
      <c r="BO107" s="267"/>
      <c r="BP107" s="267"/>
      <c r="BQ107" s="267"/>
      <c r="BR107" s="267"/>
      <c r="BS107" s="267"/>
      <c r="BT107" s="267"/>
      <c r="BU107" s="267"/>
      <c r="BV107" s="267"/>
      <c r="BW107" s="267"/>
      <c r="BX107" s="267"/>
      <c r="BY107" s="267"/>
      <c r="BZ107" s="267"/>
      <c r="CA107" s="267"/>
      <c r="CB107" s="267"/>
      <c r="CC107" s="267"/>
      <c r="CD107" s="267"/>
      <c r="CE107" s="267"/>
      <c r="CF107" s="267"/>
      <c r="CG107" s="267"/>
    </row>
    <row r="108" spans="1:85" ht="13.5" customHeight="1" x14ac:dyDescent="0.2">
      <c r="A108" s="24"/>
      <c r="B108" s="850" t="s">
        <v>1085</v>
      </c>
      <c r="C108" s="849">
        <f ca="1">+C113-C111-C112+C107-C110</f>
        <v>5088.9180800000113</v>
      </c>
      <c r="D108" s="849">
        <f ca="1">+D113-D111-D112+D107-D110</f>
        <v>9643.9165899999971</v>
      </c>
      <c r="E108" s="984">
        <f ca="1">+E113-E111-E112+E107-E110</f>
        <v>6103.3221699999922</v>
      </c>
      <c r="F108" s="984">
        <f ca="1">+F113-F111-F112+F107-F110</f>
        <v>2162.0341799999933</v>
      </c>
      <c r="G108" s="985">
        <f ca="1">SUM(C108:F108)</f>
        <v>22998.191019999991</v>
      </c>
      <c r="H108" s="849">
        <f ca="1">+H113-H111-H112+H107-H110</f>
        <v>6840.637380000001</v>
      </c>
      <c r="I108" s="849">
        <f ca="1">+I113-I111-I112+I107-I110</f>
        <v>6900.8666400000002</v>
      </c>
      <c r="J108" s="984">
        <f ca="1">+J113-J111-J112+J107-J110</f>
        <v>8387.9753299999993</v>
      </c>
      <c r="K108" s="984">
        <f ca="1">+K113-K111-K112+K107-K110</f>
        <v>6116.2747789860023</v>
      </c>
      <c r="L108" s="985">
        <f ca="1">SUM(H108:K108)</f>
        <v>28245.754128986002</v>
      </c>
      <c r="M108" s="849">
        <f ca="1">+M113-M111-M112+M107-M110</f>
        <v>8807.7704000000012</v>
      </c>
      <c r="N108" s="849">
        <f ca="1">+N113-N111-N112+N107-N110</f>
        <v>6901.1158300000025</v>
      </c>
      <c r="O108" s="984">
        <f ca="1">+O113-O111-O112+O107-O110</f>
        <v>10323.471238841325</v>
      </c>
      <c r="P108" s="849">
        <f ca="1">+P113-P111-P112+P107-P110</f>
        <v>8255.2059199999985</v>
      </c>
      <c r="Q108" s="985">
        <f ca="1">SUM(M108:P108)</f>
        <v>34287.563388841329</v>
      </c>
      <c r="R108" s="849">
        <f ca="1">+R113-R111-R112+R107-R110</f>
        <v>10292.092770000003</v>
      </c>
      <c r="S108" s="849">
        <f ca="1">+S113-S111-S112+S107-S110</f>
        <v>11898.109229999998</v>
      </c>
      <c r="T108" s="849">
        <f ca="1">+T113-T111-T112+T107-T110</f>
        <v>12411.596070000005</v>
      </c>
      <c r="U108" s="984">
        <f ca="1">+U113-U111-U112+U107-U110</f>
        <v>11065.412270000001</v>
      </c>
      <c r="V108" s="985">
        <f ca="1">SUM(R108:U108)</f>
        <v>45667.210340000005</v>
      </c>
      <c r="W108" s="849">
        <f ca="1">+W113-W111-W112+W107-W110</f>
        <v>7862.1036199999999</v>
      </c>
      <c r="X108" s="984">
        <f ca="1">+X113-X111-X112+X107-X110</f>
        <v>9283.7026199999946</v>
      </c>
      <c r="Y108" s="849">
        <f ca="1">+Y113-Y111-Y112+Y107-Y110</f>
        <v>9369.9105400000062</v>
      </c>
      <c r="Z108" s="984">
        <f ca="1">+Z113-Z111-Z112+Z107-Z110</f>
        <v>6748.4393200000086</v>
      </c>
      <c r="AA108" s="985">
        <f ca="1">SUM(W108:Z108)</f>
        <v>33264.156100000007</v>
      </c>
      <c r="AB108" s="849">
        <f ca="1">+AB113-AB111-AB112+AB107-AB110</f>
        <v>11092.750759999994</v>
      </c>
      <c r="AC108" s="849">
        <f ca="1">+AC113-AC111-AC112+AC107-AC110</f>
        <v>8414.3237700000027</v>
      </c>
      <c r="AD108" s="849">
        <f ca="1">+AD113-AD111-AD112+AD107-AD110</f>
        <v>11014.018429999993</v>
      </c>
      <c r="AE108" s="849">
        <f ca="1">+AE113-AE111-AE112+AE107-AE110</f>
        <v>8284.50929</v>
      </c>
      <c r="AF108" s="848">
        <f ca="1">SUM(AB108:AE108)</f>
        <v>38805.602249999989</v>
      </c>
      <c r="AG108" s="849">
        <f ca="1">+AG113-AG111-AG112+AG107-AG110</f>
        <v>8161.5786000000007</v>
      </c>
      <c r="AH108" s="849">
        <f ca="1">+AH113-AH111-AH112+AH107-AH110</f>
        <v>8878.2714099999976</v>
      </c>
      <c r="AI108" s="849">
        <f ca="1">+AI113-AI111-AI112+AI107-AI110</f>
        <v>9498.7962200000075</v>
      </c>
      <c r="AJ108" s="849">
        <f ca="1">+AJ113-AJ111-AJ112+AJ107-AJ110</f>
        <v>8926.8355400000037</v>
      </c>
      <c r="AK108" s="848">
        <f ca="1">SUM(AG108:AJ108)</f>
        <v>35465.481770000013</v>
      </c>
      <c r="AL108" s="849">
        <f ca="1">+AL113-AL111-AL112+AL107-AL110</f>
        <v>5533.2469299999957</v>
      </c>
      <c r="AM108" s="849">
        <f ca="1">+AM113-AM111-AM112+AM107-AM110</f>
        <v>7706.7997100000039</v>
      </c>
      <c r="AN108" s="849">
        <f ca="1">+AN113-AN111-AN112+AN107-AN110</f>
        <v>5121.9071599999961</v>
      </c>
      <c r="AO108" s="849">
        <f ca="1">+AO113-AO111-AO112+AO107-AO110</f>
        <v>3115.0008400000015</v>
      </c>
      <c r="AP108" s="848">
        <f ca="1">SUM(AL108:AO108)</f>
        <v>21476.954639999996</v>
      </c>
      <c r="AQ108" s="849">
        <f ca="1">+AQ113-AQ111-AQ112+AQ107-AQ110</f>
        <v>4909.7682800000075</v>
      </c>
      <c r="AR108" s="849">
        <f ca="1">+AR113-AR111-AR112+AR107-AR110</f>
        <v>4836.6475799999944</v>
      </c>
      <c r="AS108" s="849">
        <f ca="1">+AS113-AS111-AS112+AS107-AS110</f>
        <v>1260.533379999993</v>
      </c>
      <c r="AT108" s="849">
        <f ca="1">+AT113-AT111-AT112+AT107-AT110</f>
        <v>-203.53716000000713</v>
      </c>
      <c r="AU108" s="848">
        <f ca="1">SUM(AQ108:AT108)</f>
        <v>10803.412079999987</v>
      </c>
      <c r="AV108" s="849">
        <f ca="1">+AV113-AV111-AV112+AV107-AV110</f>
        <v>5268.8901999999925</v>
      </c>
      <c r="BK108" s="267"/>
      <c r="BL108" s="267"/>
      <c r="BM108" s="267"/>
      <c r="BN108" s="267"/>
      <c r="BO108" s="267"/>
      <c r="BP108" s="267"/>
      <c r="BQ108" s="267"/>
      <c r="BR108" s="267"/>
      <c r="BS108" s="267"/>
      <c r="BT108" s="267"/>
      <c r="BU108" s="267"/>
      <c r="BV108" s="267"/>
      <c r="BW108" s="267"/>
      <c r="BX108" s="267"/>
      <c r="BY108" s="267"/>
      <c r="BZ108" s="267"/>
      <c r="CA108" s="267"/>
      <c r="CB108" s="267"/>
      <c r="CC108" s="267"/>
      <c r="CD108" s="267"/>
      <c r="CE108" s="267"/>
      <c r="CF108" s="267"/>
      <c r="CG108" s="267"/>
    </row>
    <row r="109" spans="1:85" s="835" customFormat="1" ht="13.5" customHeight="1" x14ac:dyDescent="0.2">
      <c r="A109" s="840"/>
      <c r="B109" s="839" t="s">
        <v>982</v>
      </c>
      <c r="C109" s="838">
        <f t="shared" ref="C109:X109" ca="1" si="140">+C108/C100</f>
        <v>0.12660341351165469</v>
      </c>
      <c r="D109" s="838">
        <f t="shared" ca="1" si="140"/>
        <v>0.19547408098998623</v>
      </c>
      <c r="E109" s="838">
        <f t="shared" ca="1" si="140"/>
        <v>0.14631557249236957</v>
      </c>
      <c r="F109" s="838">
        <f t="shared" ca="1" si="140"/>
        <v>4.8424525869227214E-2</v>
      </c>
      <c r="G109" s="837">
        <f t="shared" ca="1" si="140"/>
        <v>0.13075125571019203</v>
      </c>
      <c r="H109" s="838">
        <f t="shared" ca="1" si="140"/>
        <v>0.17269198995991439</v>
      </c>
      <c r="I109" s="838">
        <f t="shared" ca="1" si="140"/>
        <v>0.18508565650380362</v>
      </c>
      <c r="J109" s="838">
        <f t="shared" ca="1" si="140"/>
        <v>0.20774300767256845</v>
      </c>
      <c r="K109" s="838">
        <f t="shared" ca="1" si="140"/>
        <v>0.15072751964047565</v>
      </c>
      <c r="L109" s="837">
        <f t="shared" ca="1" si="140"/>
        <v>0.17893872272751901</v>
      </c>
      <c r="M109" s="838">
        <f t="shared" ca="1" si="140"/>
        <v>0.23316928395620021</v>
      </c>
      <c r="N109" s="838">
        <f t="shared" ca="1" si="140"/>
        <v>0.18411249950257985</v>
      </c>
      <c r="O109" s="838">
        <f t="shared" ca="1" si="140"/>
        <v>0.25221261018457974</v>
      </c>
      <c r="P109" s="838">
        <f t="shared" ca="1" si="140"/>
        <v>0.20142225889323159</v>
      </c>
      <c r="Q109" s="837">
        <f t="shared" ca="1" si="140"/>
        <v>0.21815105930819878</v>
      </c>
      <c r="R109" s="838">
        <f t="shared" ca="1" si="140"/>
        <v>0.26399511962890404</v>
      </c>
      <c r="S109" s="838">
        <f t="shared" ca="1" si="140"/>
        <v>0.27501909061770458</v>
      </c>
      <c r="T109" s="838">
        <f t="shared" ca="1" si="140"/>
        <v>0.28386164310449508</v>
      </c>
      <c r="U109" s="838">
        <f t="shared" ca="1" si="140"/>
        <v>0.27386704401718742</v>
      </c>
      <c r="V109" s="837">
        <f t="shared" ca="1" si="140"/>
        <v>0.27447998648911953</v>
      </c>
      <c r="W109" s="838">
        <f t="shared" ca="1" si="140"/>
        <v>0.23761617795902584</v>
      </c>
      <c r="X109" s="838">
        <f t="shared" ca="1" si="140"/>
        <v>0.25338082468374701</v>
      </c>
      <c r="Y109" s="838">
        <f t="shared" ref="Y109:AD109" ca="1" si="141">+Y108/Y100</f>
        <v>0.25243351131147934</v>
      </c>
      <c r="Z109" s="838">
        <f t="shared" ca="1" si="141"/>
        <v>0.20459098693276992</v>
      </c>
      <c r="AA109" s="837">
        <f t="shared" ca="1" si="141"/>
        <v>0.23788982345926338</v>
      </c>
      <c r="AB109" s="838">
        <f t="shared" ca="1" si="141"/>
        <v>0.28246265841046969</v>
      </c>
      <c r="AC109" s="838">
        <f t="shared" ca="1" si="141"/>
        <v>0.21893406619251396</v>
      </c>
      <c r="AD109" s="838">
        <f t="shared" ca="1" si="141"/>
        <v>0.25989569164985632</v>
      </c>
      <c r="AE109" s="838">
        <f t="shared" ref="AE109:AM109" ca="1" si="142">+AE108/AE100</f>
        <v>0.22398110337098376</v>
      </c>
      <c r="AF109" s="837">
        <f t="shared" ca="1" si="142"/>
        <v>0.24705794417879043</v>
      </c>
      <c r="AG109" s="838">
        <f t="shared" ca="1" si="142"/>
        <v>0.20928094530608726</v>
      </c>
      <c r="AH109" s="838">
        <f t="shared" ca="1" si="142"/>
        <v>0.24836351052858094</v>
      </c>
      <c r="AI109" s="838">
        <f t="shared" ca="1" si="142"/>
        <v>0.23081541889980337</v>
      </c>
      <c r="AJ109" s="838">
        <f t="shared" ca="1" si="142"/>
        <v>0.22079713094716608</v>
      </c>
      <c r="AK109" s="837">
        <f t="shared" ca="1" si="142"/>
        <v>0.2268650703812134</v>
      </c>
      <c r="AL109" s="838">
        <f t="shared" ca="1" si="142"/>
        <v>0.13282252371254041</v>
      </c>
      <c r="AM109" s="838">
        <f t="shared" ca="1" si="142"/>
        <v>0.16914595080007735</v>
      </c>
      <c r="AN109" s="838">
        <f t="shared" ref="AN109:AV109" ca="1" si="143">+AN108/AN100</f>
        <v>0.12246893810909024</v>
      </c>
      <c r="AO109" s="838">
        <f t="shared" ca="1" si="143"/>
        <v>7.5931923143701646E-2</v>
      </c>
      <c r="AP109" s="837">
        <f t="shared" ca="1" si="143"/>
        <v>0.12628476716763296</v>
      </c>
      <c r="AQ109" s="838">
        <f t="shared" ca="1" si="143"/>
        <v>0.10714901507257082</v>
      </c>
      <c r="AR109" s="838">
        <f t="shared" ca="1" si="143"/>
        <v>0.10836414635745251</v>
      </c>
      <c r="AS109" s="838">
        <f t="shared" ca="1" si="143"/>
        <v>3.6682067484105303E-2</v>
      </c>
      <c r="AT109" s="838">
        <f t="shared" ca="1" si="143"/>
        <v>-5.2934789005451626E-3</v>
      </c>
      <c r="AU109" s="837">
        <f t="shared" ca="1" si="143"/>
        <v>6.6169219621657421E-2</v>
      </c>
      <c r="AV109" s="838">
        <f t="shared" ca="1" si="143"/>
        <v>0.12795500579854785</v>
      </c>
      <c r="AW109" s="836"/>
      <c r="AX109" s="836"/>
      <c r="AY109" s="836"/>
      <c r="AZ109" s="836"/>
      <c r="BA109" s="836"/>
      <c r="BB109" s="836"/>
      <c r="BC109" s="836"/>
      <c r="BD109" s="836"/>
      <c r="BE109" s="836"/>
      <c r="BH109" s="836"/>
      <c r="BI109" s="836"/>
      <c r="BJ109" s="836"/>
      <c r="BK109" s="836"/>
      <c r="BL109" s="836"/>
      <c r="BM109" s="836"/>
      <c r="BN109" s="836"/>
      <c r="BO109" s="836"/>
      <c r="BP109" s="836"/>
      <c r="BQ109" s="836"/>
      <c r="BR109" s="836"/>
      <c r="BS109" s="836"/>
      <c r="BT109" s="836"/>
      <c r="BU109" s="836"/>
      <c r="BV109" s="836"/>
      <c r="BW109" s="836"/>
      <c r="BX109" s="836"/>
      <c r="BY109" s="836"/>
      <c r="BZ109" s="836"/>
      <c r="CA109" s="836"/>
      <c r="CB109" s="836"/>
      <c r="CC109" s="836"/>
      <c r="CD109" s="836"/>
      <c r="CE109" s="836"/>
      <c r="CF109" s="836"/>
      <c r="CG109" s="836"/>
    </row>
    <row r="110" spans="1:85" s="283" customFormat="1" ht="13.5" customHeight="1" x14ac:dyDescent="0.2">
      <c r="A110" s="900"/>
      <c r="B110" s="899" t="s">
        <v>1007</v>
      </c>
      <c r="C110" s="981">
        <v>0</v>
      </c>
      <c r="D110" s="981"/>
      <c r="E110" s="981">
        <v>-5733</v>
      </c>
      <c r="F110" s="981">
        <f>5147.63034-5731</f>
        <v>-583.36966000000029</v>
      </c>
      <c r="G110" s="982">
        <f>+SUM(C110:F110)</f>
        <v>-6316.3696600000003</v>
      </c>
      <c r="H110" s="981">
        <v>0</v>
      </c>
      <c r="I110" s="981">
        <v>0</v>
      </c>
      <c r="J110" s="981">
        <v>-5251.7599300000002</v>
      </c>
      <c r="K110" s="981">
        <f>-2859.05403+372.347081014</f>
        <v>-2486.7069489859996</v>
      </c>
      <c r="L110" s="982">
        <f>+SUM(H110:K110)</f>
        <v>-7738.4668789859998</v>
      </c>
      <c r="M110" s="981">
        <v>0</v>
      </c>
      <c r="N110" s="981">
        <v>0</v>
      </c>
      <c r="O110" s="981">
        <f>-193.292048841321+1794.21006</f>
        <v>1600.9180111586791</v>
      </c>
      <c r="P110" s="981">
        <v>0</v>
      </c>
      <c r="Q110" s="982">
        <f>+SUM(M110:P110)</f>
        <v>1600.9180111586791</v>
      </c>
      <c r="R110" s="981"/>
      <c r="S110" s="981">
        <v>0</v>
      </c>
      <c r="T110" s="981">
        <v>0</v>
      </c>
      <c r="U110" s="981">
        <f>-2875-2345</f>
        <v>-5220</v>
      </c>
      <c r="V110" s="982">
        <f>+SUM(R110:U110)</f>
        <v>-5220</v>
      </c>
      <c r="W110" s="981">
        <v>0</v>
      </c>
      <c r="X110" s="981">
        <v>5732.7137899999998</v>
      </c>
      <c r="Y110" s="983">
        <v>0</v>
      </c>
      <c r="Z110" s="981">
        <v>2591</v>
      </c>
      <c r="AA110" s="982">
        <f>+SUM(W110:Z110)</f>
        <v>8323.7137899999998</v>
      </c>
      <c r="AB110" s="981">
        <v>0</v>
      </c>
      <c r="AC110" s="981">
        <v>0</v>
      </c>
      <c r="AD110" s="981">
        <v>0</v>
      </c>
      <c r="AE110" s="983">
        <v>0</v>
      </c>
      <c r="AF110" s="982">
        <f>+SUM(AB110:AE110)</f>
        <v>0</v>
      </c>
      <c r="AG110" s="983">
        <v>0</v>
      </c>
      <c r="AH110" s="983">
        <v>0</v>
      </c>
      <c r="AI110" s="983">
        <v>0</v>
      </c>
      <c r="AJ110" s="983">
        <v>0</v>
      </c>
      <c r="AK110" s="982">
        <f>+SUM(AG110:AJ110)</f>
        <v>0</v>
      </c>
      <c r="AL110" s="983">
        <v>0</v>
      </c>
      <c r="AM110" s="983">
        <v>0</v>
      </c>
      <c r="AN110" s="983">
        <v>0</v>
      </c>
      <c r="AO110" s="983">
        <v>0</v>
      </c>
      <c r="AP110" s="982">
        <f>+SUM(AL110:AO110)</f>
        <v>0</v>
      </c>
      <c r="AQ110" s="983">
        <v>0</v>
      </c>
      <c r="AR110" s="983">
        <v>0</v>
      </c>
      <c r="AS110" s="983">
        <v>0</v>
      </c>
      <c r="AT110" s="983">
        <v>0</v>
      </c>
      <c r="AU110" s="874">
        <f>+SUM(AQ110:AT110)</f>
        <v>0</v>
      </c>
      <c r="AV110" s="983">
        <v>0</v>
      </c>
      <c r="AW110" s="873"/>
      <c r="AX110" s="873"/>
      <c r="AY110" s="873"/>
      <c r="AZ110" s="873"/>
      <c r="BA110" s="873"/>
      <c r="BB110" s="873"/>
      <c r="BC110" s="873"/>
      <c r="BD110" s="873"/>
      <c r="BE110" s="873"/>
      <c r="BH110" s="873"/>
      <c r="BI110" s="873"/>
      <c r="BJ110" s="873"/>
      <c r="BK110" s="873"/>
      <c r="BL110" s="873"/>
      <c r="BM110" s="873"/>
      <c r="BN110" s="873"/>
      <c r="BO110" s="873"/>
      <c r="BP110" s="873"/>
      <c r="BQ110" s="873"/>
      <c r="BR110" s="873"/>
      <c r="BS110" s="873"/>
      <c r="BT110" s="873"/>
      <c r="BU110" s="873"/>
      <c r="BV110" s="873"/>
      <c r="BW110" s="873"/>
      <c r="BX110" s="873"/>
      <c r="BY110" s="873"/>
      <c r="BZ110" s="873"/>
      <c r="CA110" s="873"/>
      <c r="CB110" s="873"/>
      <c r="CC110" s="873"/>
      <c r="CD110" s="873"/>
      <c r="CE110" s="873"/>
      <c r="CF110" s="873"/>
      <c r="CG110" s="873"/>
    </row>
    <row r="111" spans="1:85" ht="13.5" customHeight="1" x14ac:dyDescent="0.2">
      <c r="A111" s="882"/>
      <c r="B111" s="842" t="s">
        <v>993</v>
      </c>
      <c r="C111" s="841">
        <f ca="1">+SUMIFS(INDIRECT(CONCATENATE("'",$AW111,$AX111,":",$AY111)),INDIRECT(CONCATENATE("'",$AW111,$AX$92,":",$AY$92)),C$92)</f>
        <v>-3275.6654100000001</v>
      </c>
      <c r="D111" s="841">
        <f ca="1">+SUMIFS(INDIRECT(CONCATENATE("'",$AW111,$AX111,":",$AY111)),INDIRECT(CONCATENATE("'",$AW111,$AX$92,":",$AY$92)),D$92)</f>
        <v>-3339.7341299999998</v>
      </c>
      <c r="E111" s="841">
        <f ca="1">+SUMIFS(INDIRECT(CONCATENATE("'",$AW111,$AX111,":",$AY111)),INDIRECT(CONCATENATE("'",$AW111,$AX$92,":",$AY$92)),E$92)</f>
        <v>-3481.3923999999997</v>
      </c>
      <c r="F111" s="841">
        <f ca="1">+SUMIFS(INDIRECT(CONCATENATE("'",$AW111,$AX111,":",$AY111)),INDIRECT(CONCATENATE("'",$AW111,$AX$92,":",$AY$92)),F$92)</f>
        <v>-3632.3136199999999</v>
      </c>
      <c r="G111" s="637">
        <f ca="1">SUM(C111:F111)</f>
        <v>-13729.10556</v>
      </c>
      <c r="H111" s="841">
        <f ca="1">+SUMIFS(INDIRECT(CONCATENATE("'",$AW111,$AX111,":",$AY111)),INDIRECT(CONCATENATE("'",$AW111,$AX$92,":",$AY$92)),H$92)</f>
        <v>-3098.15454</v>
      </c>
      <c r="I111" s="841">
        <f ca="1">+SUMIFS(INDIRECT(CONCATENATE("'",$AW111,$AX111,":",$AY111)),INDIRECT(CONCATENATE("'",$AW111,$AX$92,":",$AY$92)),I$92)</f>
        <v>-2719.4558000000002</v>
      </c>
      <c r="J111" s="841">
        <f ca="1">+SUMIFS(INDIRECT(CONCATENATE("'",$AW111,$AX111,":",$AY111)),INDIRECT(CONCATENATE("'",$AW111,$AX$92,":",$AY$92)),J$92)</f>
        <v>-2774.3335099999999</v>
      </c>
      <c r="K111" s="841">
        <f ca="1">+SUMIFS(INDIRECT(CONCATENATE("'",$AW111,$AX111,":",$AY111)),INDIRECT(CONCATENATE("'",$AW111,$AX$92,":",$AY$92)),K$92)</f>
        <v>-2686.27648</v>
      </c>
      <c r="L111" s="637">
        <f ca="1">+SUM(H111:K111)</f>
        <v>-11278.22033</v>
      </c>
      <c r="M111" s="841">
        <f ca="1">+SUMIFS(INDIRECT(CONCATENATE("'",$AW$93,$AX111,":",$AY111)),INDIRECT(CONCATENATE("'",$AW111,$AX$92,":",$AY$92)),M$92)-M112</f>
        <v>-2511.038230000001</v>
      </c>
      <c r="N111" s="841">
        <f ca="1">+SUMIFS(INDIRECT(CONCATENATE("'",$AW$93,$AX111,":",$AY111)),INDIRECT(CONCATENATE("'",$AW111,$AX$92,":",$AY$92)),N$92)-N112</f>
        <v>-2576.3358799999996</v>
      </c>
      <c r="O111" s="841">
        <f ca="1">+SUMIFS(INDIRECT(CONCATENATE("'",$AW$93,$AX111,":",$AY111)),INDIRECT(CONCATENATE("'",$AW111,$AX$92,":",$AY$92)),O$92)-O112</f>
        <v>-2680.99467</v>
      </c>
      <c r="P111" s="841">
        <f ca="1">+SUMIFS(INDIRECT(CONCATENATE("'",$AW$93,$AX111,":",$AY111)),INDIRECT(CONCATENATE("'",$AW111,$AX$92,":",$AY$92)),P$92)-P112</f>
        <v>-2600.5471800000278</v>
      </c>
      <c r="Q111" s="637">
        <f ca="1">+SUM(M111:P111)</f>
        <v>-10368.915960000028</v>
      </c>
      <c r="R111" s="841">
        <f ca="1">+SUMIFS(INDIRECT(CONCATENATE("'",$AW$93,$AX111,":",$AY111)),INDIRECT(CONCATENATE("'",$AW111,$AX$92,":",$AY$92)),R$92)-R112</f>
        <v>-2544.9265800000007</v>
      </c>
      <c r="S111" s="841">
        <f ca="1">+SUMIFS(INDIRECT(CONCATENATE("'",$AW$93,$AX111,":",$AY111)),INDIRECT(CONCATENATE("'",$AW111,$AX$92,":",$AY$92)),S$92)-S112</f>
        <v>-2420.8554599999998</v>
      </c>
      <c r="T111" s="841">
        <f ca="1">+SUMIFS(INDIRECT(CONCATENATE("'",$AW$93,$AX111,":",$AY111)),INDIRECT(CONCATENATE("'",$AW111,$AX$92,":",$AY$92)),T$92)-T112</f>
        <v>-2400.105170000003</v>
      </c>
      <c r="U111" s="841">
        <f ca="1">+SUMIFS(INDIRECT(CONCATENATE("'",$AW$93,$AX111,":",$AY111)),INDIRECT(CONCATENATE("'",$AW111,$AX$92,":",$AY$92)),U$92)-U112</f>
        <v>-2324.7594200000008</v>
      </c>
      <c r="V111" s="637">
        <f ca="1">+SUM(R111:U111)</f>
        <v>-9690.6466300000029</v>
      </c>
      <c r="W111" s="841">
        <f ca="1">+SUMIFS(INDIRECT(CONCATENATE("'",$AW$93,$AX111,":",$AY111)),INDIRECT(CONCATENATE("'",$AW111,$AX$92,":",$AY$92)),W$92)-W112</f>
        <v>-2903.3228899999999</v>
      </c>
      <c r="X111" s="841">
        <f ca="1">+SUMIFS(INDIRECT(CONCATENATE("'",$AW$93,$AX111,":",$AY111)),INDIRECT(CONCATENATE("'",$AW111,$AX$92,":",$AY$92)),X$92)-X112</f>
        <v>-2303.34087</v>
      </c>
      <c r="Y111" s="841">
        <f ca="1">+SUMIFS(INDIRECT(CONCATENATE("'",$AW$93,$AX111,":",$AY111)),INDIRECT(CONCATENATE("'",$AW111,$AX$92,":",$AY$92)),Y$92)-Y112</f>
        <v>-2306.79727</v>
      </c>
      <c r="Z111" s="841">
        <f ca="1">+SUMIFS(INDIRECT(CONCATENATE("'",$AW$93,$AX111,":",$AY111)),INDIRECT(CONCATENATE("'",$AW111,$AX$92,":",$AY$92)),Z$92)-Z112</f>
        <v>-2197.2099300000004</v>
      </c>
      <c r="AA111" s="637">
        <f ca="1">+SUM(W111:Z111)</f>
        <v>-9710.6709599999995</v>
      </c>
      <c r="AB111" s="841">
        <f ca="1">+SUMIFS(INDIRECT(CONCATENATE("'",$AW$93,$AX111,":",$AY111)),INDIRECT(CONCATENATE("'",$AW111,$AX$92,":",$AY$92)),AB$92)-AB112</f>
        <v>-2197.8351100000009</v>
      </c>
      <c r="AC111" s="841">
        <f ca="1">+SUMIFS(INDIRECT(CONCATENATE("'",$AW$93,$AX111,":",$AY111)),INDIRECT(CONCATENATE("'",$AW111,$AX$92,":",$AY$92)),AC$92)-AC112</f>
        <v>-1930.6501700000008</v>
      </c>
      <c r="AD111" s="841">
        <f ca="1">+SUMIFS(INDIRECT(CONCATENATE("'",$AW$93,$AX111,":",$AY111)),INDIRECT(CONCATENATE("'",$AW111,$AX$92,":",$AY$92)),AD$92)-AD112</f>
        <v>-2000.7181099999998</v>
      </c>
      <c r="AE111" s="841">
        <f ca="1">+SUMIFS(INDIRECT(CONCATENATE("'",$AW$93,$AX111,":",$AY111)),INDIRECT(CONCATENATE("'",$AW111,$AX$92,":",$AY$92)),AE$92)-AE112</f>
        <v>-1993.4262699999999</v>
      </c>
      <c r="AF111" s="637">
        <f ca="1">+SUM(AB111:AE111)</f>
        <v>-8122.6296600000014</v>
      </c>
      <c r="AG111" s="841">
        <f ca="1">+SUMIFS(INDIRECT(CONCATENATE("'",$AW$93,$AX111,":",$AY111)),INDIRECT(CONCATENATE("'",$AW111,$AX$92,":",$AY$92)),AG$92)-AG112</f>
        <v>-2013.4723500000005</v>
      </c>
      <c r="AH111" s="841">
        <f ca="1">+SUMIFS(INDIRECT(CONCATENATE("'",$AW$93,$AX111,":",$AY111)),INDIRECT(CONCATENATE("'",$AW111,$AX$92,":",$AY$92)),AH$92)-AH112</f>
        <v>-2079.9376399999992</v>
      </c>
      <c r="AI111" s="841">
        <f ca="1">+SUMIFS(INDIRECT(CONCATENATE("'",$AW$93,$AX111,":",$AY111)),INDIRECT(CONCATENATE("'",$AW111,$AX$92,":",$AY$92)),AI$92)-AI112</f>
        <v>-1875.6750399999992</v>
      </c>
      <c r="AJ111" s="841">
        <f ca="1">+SUMIFS(INDIRECT(CONCATENATE("'",$AW$93,$AX111,":",$AY111)),INDIRECT(CONCATENATE("'",$AW111,$AX$92,":",$AY$92)),AJ$92)-AJ112</f>
        <v>-1815.5740800000003</v>
      </c>
      <c r="AK111" s="637">
        <f ca="1">+SUM(AG111:AJ111)</f>
        <v>-7784.6591099999987</v>
      </c>
      <c r="AL111" s="841">
        <f ca="1">+SUMIFS(INDIRECT(CONCATENATE("'",$AW$93,$AX111,":",$AY111)),INDIRECT(CONCATENATE("'",$AW111,$AX$92,":",$AY$92)),AL$92)-AL112</f>
        <v>-2141.16192</v>
      </c>
      <c r="AM111" s="841">
        <f ca="1">+SUMIFS(INDIRECT(CONCATENATE("'",$AW$93,$AX111,":",$AY111)),INDIRECT(CONCATENATE("'",$AW111,$AX$92,":",$AY$92)),AM$92)-AM112</f>
        <v>-2229.8068200000016</v>
      </c>
      <c r="AN111" s="841">
        <f ca="1">+SUMIFS(INDIRECT(CONCATENATE("'",$AW$93,$AX111,":",$AY111)),INDIRECT(CONCATENATE("'",$AW111,$AX$92,":",$AY$92)),AN$92)-AN112</f>
        <v>-2275.3238800000004</v>
      </c>
      <c r="AO111" s="841">
        <f ca="1">+SUMIFS(INDIRECT(CONCATENATE("'",$AW$93,$AX111,":",$AY111)),INDIRECT(CONCATENATE("'",$AW111,$AX$92,":",$AY$92)),AO$92)-AO112</f>
        <v>-1919.60916</v>
      </c>
      <c r="AP111" s="637">
        <f ca="1">+SUM(AL111:AO111)</f>
        <v>-8565.901780000002</v>
      </c>
      <c r="AQ111" s="841">
        <f ca="1">+SUMIFS(INDIRECT(CONCATENATE("'",$AW$93,$AX111,":",$AY111)),INDIRECT(CONCATENATE("'",$AW111,$AX$92,":",$AY$92)),AQ$92)-AQ112</f>
        <v>-1863.3321100000012</v>
      </c>
      <c r="AR111" s="841">
        <f ca="1">+SUMIFS(INDIRECT(CONCATENATE("'",$AW$93,$AX111,":",$AY111)),INDIRECT(CONCATENATE("'",$AW111,$AX$92,":",$AY$92)),AR$92)-AR112</f>
        <v>-1894.4477400000014</v>
      </c>
      <c r="AS111" s="841">
        <f ca="1">+SUMIFS(INDIRECT(CONCATENATE("'",$AW$93,$AX111,":",$AY111)),INDIRECT(CONCATENATE("'",$AW111,$AX$92,":",$AY$92)),AS$92)-AS112</f>
        <v>-1892.6771099999996</v>
      </c>
      <c r="AT111" s="841">
        <f ca="1">+SUMIFS(INDIRECT(CONCATENATE("'",$AW$93,$AX111,":",$AY111)),INDIRECT(CONCATENATE("'",$AW111,$AX$92,":",$AY$92)),AT$92)-AT112</f>
        <v>-1851.8862899999999</v>
      </c>
      <c r="AU111" s="637">
        <f ca="1">+SUM(AQ111:AT111)</f>
        <v>-7502.3432500000017</v>
      </c>
      <c r="AV111" s="841">
        <f ca="1">+SUMIFS(INDIRECT(CONCATENATE("'",$AW$93,$AX111,":",$AY111)),INDIRECT(CONCATENATE("'",$AW111,$AX$92,":",$AY$92)),AV$92)-AV112</f>
        <v>-1873.9908299999997</v>
      </c>
      <c r="AW111" s="267" t="s">
        <v>991</v>
      </c>
      <c r="AX111" s="267" t="str">
        <f>"$"&amp;ROW(LI!$B$37)</f>
        <v>$37</v>
      </c>
      <c r="AY111" s="267" t="str">
        <f>"$"&amp;ROW(LI!$B$37)</f>
        <v>$37</v>
      </c>
      <c r="AZ111" s="267" t="s">
        <v>992</v>
      </c>
      <c r="BA111" s="267" t="s">
        <v>991</v>
      </c>
      <c r="BK111" s="267"/>
      <c r="BL111" s="267"/>
      <c r="BM111" s="267"/>
      <c r="BN111" s="267"/>
      <c r="BO111" s="267"/>
      <c r="BP111" s="267"/>
      <c r="BQ111" s="267"/>
      <c r="BR111" s="267"/>
      <c r="BS111" s="267"/>
      <c r="BT111" s="267"/>
      <c r="BU111" s="267"/>
      <c r="BV111" s="267"/>
      <c r="BW111" s="267"/>
      <c r="BX111" s="267"/>
      <c r="BY111" s="267"/>
      <c r="BZ111" s="267"/>
      <c r="CA111" s="267"/>
      <c r="CB111" s="267"/>
      <c r="CC111" s="267"/>
      <c r="CD111" s="267"/>
      <c r="CE111" s="267"/>
      <c r="CF111" s="267"/>
      <c r="CG111" s="267"/>
    </row>
    <row r="112" spans="1:85" ht="13.5" customHeight="1" x14ac:dyDescent="0.2">
      <c r="A112" s="882"/>
      <c r="B112" s="842" t="s">
        <v>990</v>
      </c>
      <c r="C112" s="841">
        <v>0</v>
      </c>
      <c r="D112" s="841">
        <v>0</v>
      </c>
      <c r="E112" s="841">
        <v>0</v>
      </c>
      <c r="F112" s="841">
        <v>0</v>
      </c>
      <c r="G112" s="637" t="s">
        <v>160</v>
      </c>
      <c r="H112" s="841">
        <v>0</v>
      </c>
      <c r="I112" s="841">
        <v>0</v>
      </c>
      <c r="J112" s="841">
        <v>0</v>
      </c>
      <c r="K112" s="841">
        <v>0</v>
      </c>
      <c r="L112" s="637" t="s">
        <v>160</v>
      </c>
      <c r="M112" s="841">
        <f ca="1">+SUMIFS(INDIRECT(CONCATENATE("'",$AW$112,$AX112,":",$AY112)),INDIRECT(CONCATENATE("'",$AW112,$AX$113,":",$AY$113)),M$92)</f>
        <v>-4441</v>
      </c>
      <c r="N112" s="841">
        <f ca="1">+SUMIFS(INDIRECT(CONCATENATE("'",$AW$112,$AX112,":",$AY112)),INDIRECT(CONCATENATE("'",$AW112,$AX$113,":",$AY$113)),N$92)</f>
        <v>-3463</v>
      </c>
      <c r="O112" s="841">
        <f ca="1">+SUMIFS(INDIRECT(CONCATENATE("'",$AW$112,$AX112,":",$AY112)),INDIRECT(CONCATENATE("'",$AW112,$AX$113,":",$AY$113)),O$92)</f>
        <v>-4045</v>
      </c>
      <c r="P112" s="841">
        <f ca="1">+SUMIFS(INDIRECT(CONCATENATE("'",$AW$112,$AX112,":",$AY112)),INDIRECT(CONCATENATE("'",$AW112,$AX$113,":",$AY$113)),P$92)</f>
        <v>-4098.6000999999724</v>
      </c>
      <c r="Q112" s="637">
        <f ca="1">+SUM(M112:P112)</f>
        <v>-16047.600099999972</v>
      </c>
      <c r="R112" s="841">
        <f ca="1">+SUMIFS(INDIRECT(CONCATENATE("'",$AW$112,$AX112,":",$AY112)),INDIRECT(CONCATENATE("'",$AW112,$AX$113,":",$AY$113)),R$92)</f>
        <v>-3874.5827399999985</v>
      </c>
      <c r="S112" s="841">
        <f ca="1">+SUMIFS(INDIRECT(CONCATENATE("'",$AW$112,$AX112,":",$AY112)),INDIRECT(CONCATENATE("'",$AW112,$AX$113,":",$AY$113)),S$92)</f>
        <v>-3625.8885200000004</v>
      </c>
      <c r="T112" s="841">
        <f ca="1">+SUMIFS(INDIRECT(CONCATENATE("'",$AW$112,$AX112,":",$AY112)),INDIRECT(CONCATENATE("'",$AW112,$AX$113,":",$AY$113)),T$92)</f>
        <v>-3404.3640799999971</v>
      </c>
      <c r="U112" s="841">
        <f ca="1">+SUMIFS(INDIRECT(CONCATENATE("'",$AW$112,$AX112,":",$AY112)),INDIRECT(CONCATENATE("'",$AW112,$AX$113,":",$AY$113)),U$92)</f>
        <v>-3263.7494699999993</v>
      </c>
      <c r="V112" s="637">
        <f ca="1">+SUM(R112:U112)</f>
        <v>-14168.584809999995</v>
      </c>
      <c r="W112" s="841">
        <f ca="1">+SUMIFS(INDIRECT(CONCATENATE("'",$AW$112,$AX112,":",$AY112)),INDIRECT(CONCATENATE("'",$AW112,$AX$113,":",$AY$113)),W$92)</f>
        <v>-1832.6725199999996</v>
      </c>
      <c r="X112" s="841">
        <f ca="1">+SUMIFS(INDIRECT(CONCATENATE("'",$AW$112,$AX112,":",$AY112)),INDIRECT(CONCATENATE("'",$AW112,$AX$113,":",$AY$113)),X$92)</f>
        <v>-2154.1461500000005</v>
      </c>
      <c r="Y112" s="841">
        <f ca="1">+SUMIFS(INDIRECT(CONCATENATE("'",$AW$112,$AX112,":",$AY112)),INDIRECT(CONCATENATE("'",$AW112,$AX$113,":",$AY$113)),Y$92)</f>
        <v>-2149.62075</v>
      </c>
      <c r="Z112" s="841">
        <f ca="1">+SUMIFS(INDIRECT(CONCATENATE("'",$AW$112,$AX112,":",$AY112)),INDIRECT(CONCATENATE("'",$AW112,$AX$113,":",$AY$113)),Z$92)</f>
        <v>-2105.9890599999994</v>
      </c>
      <c r="AA112" s="637">
        <f ca="1">+SUM(W112:Z112)</f>
        <v>-8242.4284800000005</v>
      </c>
      <c r="AB112" s="841">
        <f ca="1">+SUMIFS(INDIRECT(CONCATENATE("'",$AW$112,$AX112,":",$AY112)),INDIRECT(CONCATENATE("'",$AW112,$AX$113,":",$AY$113)),AB$92)</f>
        <v>-2128.59656</v>
      </c>
      <c r="AC112" s="841">
        <f ca="1">+SUMIFS(INDIRECT(CONCATENATE("'",$AW$112,$AX112,":",$AY112)),INDIRECT(CONCATENATE("'",$AW112,$AX$113,":",$AY$113)),AC$92)</f>
        <v>-2442.54612</v>
      </c>
      <c r="AD112" s="841">
        <f ca="1">+SUMIFS(INDIRECT(CONCATENATE("'",$AW$112,$AX112,":",$AY112)),INDIRECT(CONCATENATE("'",$AW112,$AX$113,":",$AY$113)),AD$92)</f>
        <v>-2467.9047399999999</v>
      </c>
      <c r="AE112" s="841">
        <f ca="1">+SUMIFS(INDIRECT(CONCATENATE("'",$AW$112,$AX112,":",$AY112)),INDIRECT(CONCATENATE("'",$AW112,$AX$113,":",$AY$113)),AE$92)</f>
        <v>-2486.7018399999997</v>
      </c>
      <c r="AF112" s="637">
        <f ca="1">+SUM(AB112:AE112)</f>
        <v>-9525.7492600000005</v>
      </c>
      <c r="AG112" s="841">
        <f ca="1">+SUMIFS(INDIRECT(CONCATENATE("'",$AW$112,$AX112,":",$AY112)),INDIRECT(CONCATENATE("'",$AW112,$AX$113,":",$AY$113)),AG$92)</f>
        <v>-2208.9716399999993</v>
      </c>
      <c r="AH112" s="841">
        <f ca="1">+SUMIFS(INDIRECT(CONCATENATE("'",$AW$112,$AX112,":",$AY112)),INDIRECT(CONCATENATE("'",$AW112,$AX$113,":",$AY$113)),AH$92)</f>
        <v>-2098.15398</v>
      </c>
      <c r="AI112" s="841">
        <f ca="1">+SUMIFS(INDIRECT(CONCATENATE("'",$AW$112,$AX112,":",$AY112)),INDIRECT(CONCATENATE("'",$AW112,$AX$113,":",$AY$113)),AI$92)</f>
        <v>-2411.6025400000008</v>
      </c>
      <c r="AJ112" s="841">
        <f ca="1">+SUMIFS(INDIRECT(CONCATENATE("'",$AW$112,$AX112,":",$AY112)),INDIRECT(CONCATENATE("'",$AW112,$AX$113,":",$AY$113)),AJ$92)</f>
        <v>-2392.4915899999996</v>
      </c>
      <c r="AK112" s="637">
        <f ca="1">+SUM(AG112:AJ112)</f>
        <v>-9111.2197500000002</v>
      </c>
      <c r="AL112" s="841">
        <f ca="1">+SUMIFS(INDIRECT(CONCATENATE("'",$AW$112,$AX112,":",$AY112)),INDIRECT(CONCATENATE("'",$AW112,$AX$113,":",$AY$113)),AL$92)</f>
        <v>-2162.65724</v>
      </c>
      <c r="AM112" s="841">
        <f ca="1">+SUMIFS(INDIRECT(CONCATENATE("'",$AW$112,$AX112,":",$AY112)),INDIRECT(CONCATENATE("'",$AW112,$AX$113,":",$AY$113)),AM$92)</f>
        <v>-2159.1878899999992</v>
      </c>
      <c r="AN112" s="841">
        <f ca="1">+SUMIFS(INDIRECT(CONCATENATE("'",$AW$112,$AX112,":",$AY112)),INDIRECT(CONCATENATE("'",$AW112,$AX$113,":",$AY$113)),AN$92)</f>
        <v>-2155.9959599999997</v>
      </c>
      <c r="AO112" s="841">
        <f ca="1">+SUMIFS(INDIRECT(CONCATENATE("'",$AW$112,$AX112,":",$AY112)),INDIRECT(CONCATENATE("'",$AW112,$AX$113,":",$AY$113)),AO$92)</f>
        <v>-2127.8839999999996</v>
      </c>
      <c r="AP112" s="637">
        <f ca="1">+SUM(AL112:AO112)</f>
        <v>-8605.7250899999999</v>
      </c>
      <c r="AQ112" s="841">
        <f ca="1">+SUMIFS(INDIRECT(CONCATENATE("'",$AW$112,$AX112,":",$AY112)),INDIRECT(CONCATENATE("'",$AW112,$AX$113,":",$AY$113)),AQ$92)</f>
        <v>-2453.6142299999983</v>
      </c>
      <c r="AR112" s="841">
        <f ca="1">+SUMIFS(INDIRECT(CONCATENATE("'",$AW$112,$AX112,":",$AY112)),INDIRECT(CONCATENATE("'",$AW112,$AX$113,":",$AY$113)),AR$92)</f>
        <v>-2371.6650499999996</v>
      </c>
      <c r="AS112" s="841">
        <f ca="1">+SUMIFS(INDIRECT(CONCATENATE("'",$AW$112,$AX112,":",$AY112)),INDIRECT(CONCATENATE("'",$AW112,$AX$113,":",$AY$113)),AS$92)</f>
        <v>-2515.5637699999997</v>
      </c>
      <c r="AT112" s="841">
        <f ca="1">+SUMIFS(INDIRECT(CONCATENATE("'",$AW$112,$AX112,":",$AY112)),INDIRECT(CONCATENATE("'",$AW112,$AX$113,":",$AY$113)),AT$92)</f>
        <v>-2517.5142999999994</v>
      </c>
      <c r="AU112" s="637">
        <f ca="1">+SUM(AQ112:AT112)</f>
        <v>-9858.3573499999966</v>
      </c>
      <c r="AV112" s="841">
        <f ca="1">+SUMIFS(INDIRECT(CONCATENATE("'",$AW$112,$AX112,":",$AY112)),INDIRECT(CONCATENATE("'",$AW112,$AX$113,":",$AY$113)),AV$92)</f>
        <v>-2365.30771</v>
      </c>
      <c r="AW112" s="267" t="s">
        <v>984</v>
      </c>
      <c r="AX112" s="267" t="str">
        <f>"$"&amp;ROW(Anexos!$B$14)</f>
        <v>$14</v>
      </c>
      <c r="AY112" s="267" t="str">
        <f>"$"&amp;ROW(Anexos!$B$14)</f>
        <v>$14</v>
      </c>
      <c r="AZ112" s="267" t="s">
        <v>985</v>
      </c>
      <c r="BA112" s="267" t="s">
        <v>984</v>
      </c>
      <c r="BK112" s="267"/>
      <c r="BL112" s="267"/>
      <c r="BM112" s="267"/>
      <c r="BN112" s="267"/>
      <c r="BO112" s="267"/>
      <c r="BP112" s="267"/>
      <c r="BQ112" s="267"/>
      <c r="BR112" s="267"/>
      <c r="BS112" s="267"/>
      <c r="BT112" s="267"/>
      <c r="BU112" s="267"/>
      <c r="BV112" s="267"/>
      <c r="BW112" s="267"/>
      <c r="BX112" s="267"/>
      <c r="BY112" s="267"/>
      <c r="BZ112" s="267"/>
      <c r="CA112" s="267"/>
      <c r="CB112" s="267"/>
      <c r="CC112" s="267"/>
      <c r="CD112" s="267"/>
      <c r="CE112" s="267"/>
      <c r="CF112" s="267"/>
      <c r="CG112" s="267"/>
    </row>
    <row r="113" spans="1:85" ht="13.5" customHeight="1" x14ac:dyDescent="0.2">
      <c r="A113" s="24"/>
      <c r="B113" s="850" t="s">
        <v>1084</v>
      </c>
      <c r="C113" s="849">
        <f ca="1">+C100+C101+C103+C111+C110</f>
        <v>1813.2526700000112</v>
      </c>
      <c r="D113" s="849">
        <f ca="1">+D100+D101+D103+D111+D110</f>
        <v>6304.1824599999973</v>
      </c>
      <c r="E113" s="849">
        <f ca="1">+E100+E101+E103+E111+E110</f>
        <v>-3111.0702300000075</v>
      </c>
      <c r="F113" s="849">
        <f ca="1">+F100+F101+F103+F111+F110</f>
        <v>-2053.6491000000069</v>
      </c>
      <c r="G113" s="848">
        <f ca="1">+G100+G101+G103+G111</f>
        <v>9269.0854600000239</v>
      </c>
      <c r="H113" s="849">
        <f ca="1">+H100+H101+H103+H111+H110</f>
        <v>3742.482840000001</v>
      </c>
      <c r="I113" s="849">
        <f ca="1">+I100+I101+I103+I111+I110</f>
        <v>4181.4108400000005</v>
      </c>
      <c r="J113" s="849">
        <f ca="1">+J100+J101+J103+J111+J110</f>
        <v>361.88188999999875</v>
      </c>
      <c r="K113" s="849">
        <f ca="1">+K100+K101+K103+K111+K110</f>
        <v>943.29135000000269</v>
      </c>
      <c r="L113" s="848">
        <f ca="1">+L100+L101+L103+L111</f>
        <v>16967.533798986005</v>
      </c>
      <c r="M113" s="849">
        <f ca="1">+M100+M101+M103+M111+M112+M110</f>
        <v>6574.7321699999993</v>
      </c>
      <c r="N113" s="849">
        <f ca="1">+N100+N101+N103+N111+N112+N110</f>
        <v>4752.7799500000037</v>
      </c>
      <c r="O113" s="849">
        <f ca="1">+O100+O101+O103+O111+O112+O110</f>
        <v>9532.3945800000038</v>
      </c>
      <c r="P113" s="849">
        <f ca="1">+P100+P101+P103+P111+P112+P110</f>
        <v>5924.3560199999974</v>
      </c>
      <c r="Q113" s="848">
        <f ca="1">+Q100+Q101+Q103+Q111+Q112</f>
        <v>25183.344708841316</v>
      </c>
      <c r="R113" s="849">
        <f ca="1">+R100+R101+R103+R111+R112+R110</f>
        <v>8521.6953800000047</v>
      </c>
      <c r="S113" s="849">
        <f ca="1">+S100+S101+S103+S111+S112+S110</f>
        <v>10261.396919999999</v>
      </c>
      <c r="T113" s="849">
        <f ca="1">+T100+T101+T103+T111+T112+T110</f>
        <v>10712.758230000005</v>
      </c>
      <c r="U113" s="849">
        <f ca="1">+U100+U101+U103+U111+U112+U110</f>
        <v>4281.4788300000018</v>
      </c>
      <c r="V113" s="848">
        <f ca="1">+V100+V101+V103+V111+V112</f>
        <v>38997.329360000018</v>
      </c>
      <c r="W113" s="849">
        <f ca="1">+W100+W101+W103+W111+W112+W110</f>
        <v>5334.27117</v>
      </c>
      <c r="X113" s="849">
        <f ca="1">+X100+X101+X103+X111+X112+X110</f>
        <v>13146.754839999996</v>
      </c>
      <c r="Y113" s="849">
        <f ca="1">+Y100+Y101+Y103+Y111+Y112+Y110</f>
        <v>7501.9593000000041</v>
      </c>
      <c r="Z113" s="849">
        <f ca="1">+Z100+Z101+Z103+Z111+Z112+Z110</f>
        <v>7612.7601700000087</v>
      </c>
      <c r="AA113" s="848">
        <f ca="1">+AA100+AA101+AA103+AA111+AA112</f>
        <v>25272.031690000003</v>
      </c>
      <c r="AB113" s="849">
        <f ca="1">+AB100+AB101+AB103+AB111+AB112+AB110</f>
        <v>9698.4752199999912</v>
      </c>
      <c r="AC113" s="849">
        <f ca="1">+AC100+AC101+AC103+AC111+AC112+AC110</f>
        <v>6980.9955700000037</v>
      </c>
      <c r="AD113" s="849">
        <f ca="1">+AD100+AD101+AD103+AD111+AD112+AD110</f>
        <v>9502.8544399999937</v>
      </c>
      <c r="AE113" s="849">
        <f ca="1">+AE100+AE101+AE103+AE111+AE112+AE110</f>
        <v>6785.7483300000004</v>
      </c>
      <c r="AF113" s="848">
        <f ca="1">+AF100+AF101+AF103+AF111+AF112</f>
        <v>32968.07355999999</v>
      </c>
      <c r="AG113" s="849">
        <f ca="1">+AG100+AG101+AG103+AG111+AG112+AG110</f>
        <v>6905.0274500000014</v>
      </c>
      <c r="AH113" s="849">
        <f ca="1">+AH100+AH101+AH103+AH111+AH112+AH110</f>
        <v>7387.9070599999968</v>
      </c>
      <c r="AI113" s="849">
        <f ca="1">+AI100+AI101+AI103+AI111+AI112+AI110</f>
        <v>8131.4933000000083</v>
      </c>
      <c r="AJ113" s="849">
        <f ca="1">+AJ100+AJ101+AJ103+AJ111+AJ112+AJ110</f>
        <v>7528.2073800000035</v>
      </c>
      <c r="AK113" s="848">
        <f ca="1">+AK100+AK101+AK103+AK111+AK112</f>
        <v>29952.635190000019</v>
      </c>
      <c r="AL113" s="849">
        <f ca="1">+AL100+AL101+AL103+AL111+AL112+AL110</f>
        <v>4052.6901499999954</v>
      </c>
      <c r="AM113" s="849">
        <f ca="1">+AM100+AM101+AM103+AM111+AM112+AM110</f>
        <v>6149.2366300000031</v>
      </c>
      <c r="AN113" s="849">
        <f ca="1">+AN100+AN101+AN103+AN111+AN112+AN110</f>
        <v>3576.1563399999964</v>
      </c>
      <c r="AO113" s="849">
        <f ca="1">+AO100+AO101+AO103+AO111+AO112+AO110</f>
        <v>1679.8095300000018</v>
      </c>
      <c r="AP113" s="848">
        <f ca="1">+AP100+AP101+AP103+AP111+AP112</f>
        <v>15457.892650000023</v>
      </c>
      <c r="AQ113" s="849">
        <f ca="1">+AQ100+AQ101+AQ103+AQ111+AQ112+AQ110</f>
        <v>4067.4532300000074</v>
      </c>
      <c r="AR113" s="849">
        <f ca="1">+AR100+AR101+AR103+AR111+AR112+AR110</f>
        <v>4093.5580799999934</v>
      </c>
      <c r="AS113" s="849">
        <f ca="1">+AS100+AS101+AS103+AS111+AS112+AS110</f>
        <v>403.93435999999383</v>
      </c>
      <c r="AT113" s="849">
        <f ca="1">+AT100+AT101+AT103+AT111+AT112+AT110</f>
        <v>-993.43147000000636</v>
      </c>
      <c r="AU113" s="848">
        <f ca="1">+AU100+AU101+AU103+AU111+AU112</f>
        <v>7571.5141999999778</v>
      </c>
      <c r="AV113" s="849">
        <f ca="1">+AV100+AV101+AV103+AV111+AV112+AV110</f>
        <v>4434.0730099999928</v>
      </c>
      <c r="AX113" s="267" t="str">
        <f>"$"&amp;ROW(Anexos!$B$5)</f>
        <v>$5</v>
      </c>
      <c r="AY113" s="267" t="str">
        <f>"$"&amp;ROW(Anexos!$B$5)</f>
        <v>$5</v>
      </c>
      <c r="BK113" s="267"/>
      <c r="BL113" s="267"/>
      <c r="BM113" s="267"/>
      <c r="BN113" s="267"/>
      <c r="BO113" s="267"/>
      <c r="BP113" s="267"/>
      <c r="BQ113" s="267"/>
      <c r="BR113" s="267"/>
      <c r="BS113" s="267"/>
      <c r="BT113" s="267"/>
      <c r="BU113" s="267"/>
      <c r="BV113" s="267"/>
      <c r="BW113" s="267"/>
      <c r="BX113" s="267"/>
      <c r="BY113" s="267"/>
      <c r="BZ113" s="267"/>
      <c r="CA113" s="267"/>
      <c r="CB113" s="267"/>
      <c r="CC113" s="267"/>
      <c r="CD113" s="267"/>
      <c r="CE113" s="267"/>
      <c r="CF113" s="267"/>
      <c r="CG113" s="267"/>
    </row>
    <row r="114" spans="1:85" s="835" customFormat="1" ht="13.5" customHeight="1" x14ac:dyDescent="0.2">
      <c r="A114" s="840"/>
      <c r="B114" s="839" t="s">
        <v>989</v>
      </c>
      <c r="C114" s="838">
        <f ca="1">ROUND(C113/C100,3)</f>
        <v>4.4999999999999998E-2</v>
      </c>
      <c r="D114" s="838">
        <f ca="1">ROUND(D113/D100,3)</f>
        <v>0.128</v>
      </c>
      <c r="E114" s="838">
        <f ca="1">ROUND(E113/E100,3)</f>
        <v>-7.4999999999999997E-2</v>
      </c>
      <c r="F114" s="838">
        <f ca="1">ROUND(F113/F100,3)</f>
        <v>-4.5999999999999999E-2</v>
      </c>
      <c r="G114" s="837">
        <f ca="1">ROUND(G113/G97,3)</f>
        <v>4.5999999999999999E-2</v>
      </c>
      <c r="H114" s="838">
        <f t="shared" ref="H114:X114" ca="1" si="144">ROUND(H113/H100,3)</f>
        <v>9.4E-2</v>
      </c>
      <c r="I114" s="838">
        <f t="shared" ca="1" si="144"/>
        <v>0.112</v>
      </c>
      <c r="J114" s="838">
        <f t="shared" ca="1" si="144"/>
        <v>8.9999999999999993E-3</v>
      </c>
      <c r="K114" s="838">
        <f t="shared" ca="1" si="144"/>
        <v>2.3E-2</v>
      </c>
      <c r="L114" s="837">
        <f t="shared" ca="1" si="144"/>
        <v>0.107</v>
      </c>
      <c r="M114" s="838">
        <f t="shared" ca="1" si="144"/>
        <v>0.17399999999999999</v>
      </c>
      <c r="N114" s="838">
        <f t="shared" ca="1" si="144"/>
        <v>0.127</v>
      </c>
      <c r="O114" s="838">
        <f t="shared" ca="1" si="144"/>
        <v>0.23300000000000001</v>
      </c>
      <c r="P114" s="838">
        <f t="shared" ca="1" si="144"/>
        <v>0.14499999999999999</v>
      </c>
      <c r="Q114" s="837">
        <f t="shared" ca="1" si="144"/>
        <v>0.16</v>
      </c>
      <c r="R114" s="838">
        <f t="shared" ca="1" si="144"/>
        <v>0.219</v>
      </c>
      <c r="S114" s="838">
        <f t="shared" ca="1" si="144"/>
        <v>0.23699999999999999</v>
      </c>
      <c r="T114" s="838">
        <f t="shared" ca="1" si="144"/>
        <v>0.245</v>
      </c>
      <c r="U114" s="838">
        <f t="shared" ca="1" si="144"/>
        <v>0.106</v>
      </c>
      <c r="V114" s="837">
        <f t="shared" ca="1" si="144"/>
        <v>0.23400000000000001</v>
      </c>
      <c r="W114" s="838">
        <f t="shared" ca="1" si="144"/>
        <v>0.161</v>
      </c>
      <c r="X114" s="838">
        <f t="shared" ca="1" si="144"/>
        <v>0.35899999999999999</v>
      </c>
      <c r="Y114" s="838">
        <f t="shared" ref="Y114:AD114" ca="1" si="145">ROUND(Y113/Y100,3)</f>
        <v>0.20200000000000001</v>
      </c>
      <c r="Z114" s="838">
        <f t="shared" ca="1" si="145"/>
        <v>0.23100000000000001</v>
      </c>
      <c r="AA114" s="837">
        <f t="shared" ca="1" si="145"/>
        <v>0.18099999999999999</v>
      </c>
      <c r="AB114" s="838">
        <f t="shared" ca="1" si="145"/>
        <v>0.247</v>
      </c>
      <c r="AC114" s="838">
        <f t="shared" ca="1" si="145"/>
        <v>0.182</v>
      </c>
      <c r="AD114" s="838">
        <f t="shared" ca="1" si="145"/>
        <v>0.224</v>
      </c>
      <c r="AE114" s="838">
        <f t="shared" ref="AE114:AM114" ca="1" si="146">ROUND(AE113/AE100,3)</f>
        <v>0.183</v>
      </c>
      <c r="AF114" s="837">
        <f t="shared" ca="1" si="146"/>
        <v>0.21</v>
      </c>
      <c r="AG114" s="838">
        <f t="shared" ca="1" si="146"/>
        <v>0.17699999999999999</v>
      </c>
      <c r="AH114" s="838">
        <f t="shared" ca="1" si="146"/>
        <v>0.20699999999999999</v>
      </c>
      <c r="AI114" s="838">
        <f t="shared" ca="1" si="146"/>
        <v>0.19800000000000001</v>
      </c>
      <c r="AJ114" s="838">
        <f t="shared" ca="1" si="146"/>
        <v>0.186</v>
      </c>
      <c r="AK114" s="837">
        <f t="shared" ca="1" si="146"/>
        <v>0.192</v>
      </c>
      <c r="AL114" s="838">
        <f t="shared" ca="1" si="146"/>
        <v>9.7000000000000003E-2</v>
      </c>
      <c r="AM114" s="838">
        <f t="shared" ca="1" si="146"/>
        <v>0.13500000000000001</v>
      </c>
      <c r="AN114" s="838">
        <f t="shared" ref="AN114:AV114" ca="1" si="147">ROUND(AN113/AN100,3)</f>
        <v>8.5999999999999993E-2</v>
      </c>
      <c r="AO114" s="838">
        <f t="shared" ca="1" si="147"/>
        <v>4.1000000000000002E-2</v>
      </c>
      <c r="AP114" s="837">
        <f t="shared" ca="1" si="147"/>
        <v>9.0999999999999998E-2</v>
      </c>
      <c r="AQ114" s="838">
        <f t="shared" ca="1" si="147"/>
        <v>8.8999999999999996E-2</v>
      </c>
      <c r="AR114" s="838">
        <f t="shared" ca="1" si="147"/>
        <v>9.1999999999999998E-2</v>
      </c>
      <c r="AS114" s="838">
        <f t="shared" ca="1" si="147"/>
        <v>1.2E-2</v>
      </c>
      <c r="AT114" s="838">
        <f t="shared" ca="1" si="147"/>
        <v>-2.5999999999999999E-2</v>
      </c>
      <c r="AU114" s="837">
        <f t="shared" ca="1" si="147"/>
        <v>4.5999999999999999E-2</v>
      </c>
      <c r="AV114" s="838">
        <f t="shared" ca="1" si="147"/>
        <v>0.108</v>
      </c>
      <c r="AW114" s="836"/>
      <c r="AX114" s="836"/>
      <c r="AY114" s="836"/>
      <c r="AZ114" s="836"/>
      <c r="BA114" s="836"/>
      <c r="BB114" s="836"/>
      <c r="BC114" s="836"/>
      <c r="BD114" s="836"/>
      <c r="BE114" s="836"/>
      <c r="BH114" s="836"/>
      <c r="BI114" s="836"/>
      <c r="BJ114" s="836"/>
      <c r="BK114" s="836"/>
      <c r="BL114" s="836"/>
      <c r="BM114" s="836"/>
      <c r="BN114" s="836"/>
      <c r="BO114" s="836"/>
      <c r="BP114" s="836"/>
      <c r="BQ114" s="836"/>
      <c r="BR114" s="836"/>
      <c r="BS114" s="836"/>
      <c r="BT114" s="836"/>
      <c r="BU114" s="836"/>
      <c r="BV114" s="836"/>
      <c r="BW114" s="836"/>
      <c r="BX114" s="836"/>
      <c r="BY114" s="836"/>
      <c r="BZ114" s="836"/>
      <c r="CA114" s="836"/>
      <c r="CB114" s="836"/>
      <c r="CC114" s="836"/>
      <c r="CD114" s="836"/>
      <c r="CE114" s="836"/>
      <c r="CF114" s="836"/>
      <c r="CG114" s="836"/>
    </row>
    <row r="115" spans="1:85" ht="13.5" customHeight="1" x14ac:dyDescent="0.2">
      <c r="A115" s="626"/>
      <c r="B115" s="9"/>
      <c r="C115" s="989">
        <f ca="1">+SUMIFS(INDIRECT(CONCATENATE("'",$AW115,$AX115,":",$AY115)),INDIRECT(CONCATENATE("'",$AW115,$AX$92,":",$AY$92)),C$92)-C113</f>
        <v>0</v>
      </c>
      <c r="D115" s="989">
        <f ca="1">+SUMIFS(INDIRECT(CONCATENATE("'",$AW115,$AX115,":",$AY115)),INDIRECT(CONCATENATE("'",$AW115,$AX$92,":",$AY$92)),D$92)-D113</f>
        <v>0</v>
      </c>
      <c r="E115" s="989">
        <f ca="1">+SUMIFS(INDIRECT(CONCATENATE("'",$AW115,$AX115,":",$AY115)),INDIRECT(CONCATENATE("'",$AW115,$AX$92,":",$AY$92)),E$92)-E113</f>
        <v>0</v>
      </c>
      <c r="F115" s="989">
        <f ca="1">+SUMIFS(INDIRECT(CONCATENATE("'",$AW115,$AX115,":",$AY115)),INDIRECT(CONCATENATE("'",$AW115,$AX$92,":",$AY$92)),F$92)-F113</f>
        <v>3.637978807091713E-12</v>
      </c>
      <c r="G115" s="275"/>
      <c r="H115" s="989">
        <f ca="1">+SUMIFS(INDIRECT(CONCATENATE("'",$AW115,$AX115,":",$AY115)),INDIRECT(CONCATENATE("'",$AW115,$AX$92,":",$AY$92)),H$92)-H113</f>
        <v>0</v>
      </c>
      <c r="I115" s="989">
        <f ca="1">+SUMIFS(INDIRECT(CONCATENATE("'",$AW115,$AX115,":",$AY115)),INDIRECT(CONCATENATE("'",$AW115,$AX$92,":",$AY$92)),I$92)-I113</f>
        <v>0</v>
      </c>
      <c r="J115" s="989">
        <f ca="1">+SUMIFS(INDIRECT(CONCATENATE("'",$AW115,$AX115,":",$AY115)),INDIRECT(CONCATENATE("'",$AW115,$AX$92,":",$AY$92)),J$92)-J113</f>
        <v>4.5474735088646412E-13</v>
      </c>
      <c r="K115" s="989">
        <f ca="1">+SUMIFS(INDIRECT(CONCATENATE("'",$AW115,$AX115,":",$AY115)),INDIRECT(CONCATENATE("'",$AW115,$AX$92,":",$AY$92)),K$92)-K113</f>
        <v>-9.0949470177292824E-13</v>
      </c>
      <c r="L115" s="275"/>
      <c r="M115" s="989">
        <f ca="1">+SUMIFS(INDIRECT(CONCATENATE("'",$AW115,$AX115,":",$AY115)),INDIRECT(CONCATENATE("'",$AW115,$AX$92,":",$AY$92)),M$92)-M113</f>
        <v>0</v>
      </c>
      <c r="N115" s="989">
        <f ca="1">+SUMIFS(INDIRECT(CONCATENATE("'",$AW115,$AX115,":",$AY115)),INDIRECT(CONCATENATE("'",$AW115,$AX$92,":",$AY$92)),N$92)-N113</f>
        <v>0</v>
      </c>
      <c r="O115" s="989">
        <f ca="1">+SUMIFS(INDIRECT(CONCATENATE("'",$AW115,$AX115,":",$AY115)),INDIRECT(CONCATENATE("'",$AW115,$AX$92,":",$AY$92)),O$92)-O113</f>
        <v>0</v>
      </c>
      <c r="P115" s="989">
        <f ca="1">+SUMIFS(INDIRECT(CONCATENATE("'",$AW115,$AX115,":",$AY115)),INDIRECT(CONCATENATE("'",$AW115,$AX$92,":",$AY$92)),P$92)-P113</f>
        <v>0</v>
      </c>
      <c r="Q115" s="275"/>
      <c r="R115" s="989">
        <f ca="1">+SUMIFS(INDIRECT(CONCATENATE("'",$AW115,$AX115,":",$AY115)),INDIRECT(CONCATENATE("'",$AW115,$AX$92,":",$AY$92)),R$92)-R113</f>
        <v>0</v>
      </c>
      <c r="S115" s="989">
        <f ca="1">+SUMIFS(INDIRECT(CONCATENATE("'",$AW115,$AX115,":",$AY115)),INDIRECT(CONCATENATE("'",$AW115,$AX$92,":",$AY$92)),S$92)-S113</f>
        <v>0</v>
      </c>
      <c r="T115" s="989">
        <f ca="1">+SUMIFS(INDIRECT(CONCATENATE("'",$AW115,$AX115,":",$AY115)),INDIRECT(CONCATENATE("'",$AW115,$AX$92,":",$AY$92)),T$92)-T113</f>
        <v>0</v>
      </c>
      <c r="U115" s="989">
        <f ca="1">+SUMIFS(INDIRECT(CONCATENATE("'",$AW115,$AX115,":",$AY115)),INDIRECT(CONCATENATE("'",$AW115,$AX$92,":",$AY$92)),U$92)-U113</f>
        <v>0</v>
      </c>
      <c r="V115" s="275"/>
      <c r="W115" s="989">
        <f ca="1">+SUMIFS(INDIRECT(CONCATENATE("'",$AW115,$AX115,":",$AY115)),INDIRECT(CONCATENATE("'",$AW115,$AX$92,":",$AY$92)),W$92)-W113</f>
        <v>0</v>
      </c>
      <c r="X115" s="989">
        <f ca="1">+SUMIFS(INDIRECT(CONCATENATE("'",$AW115,$AX115,":",$AY115)),INDIRECT(CONCATENATE("'",$AW115,$AX$92,":",$AY$92)),X$92)-X113</f>
        <v>0</v>
      </c>
      <c r="Y115" s="989">
        <f ca="1">+SUMIFS(INDIRECT(CONCATENATE("'",$AW115,$AX115,":",$AY115)),INDIRECT(CONCATENATE("'",$AW115,$AX$92,":",$AY$92)),Y$92)-Y113</f>
        <v>0</v>
      </c>
      <c r="Z115" s="989">
        <f ca="1">+SUMIFS(INDIRECT(CONCATENATE("'",$AW115,$AX115,":",$AY115)),INDIRECT(CONCATENATE("'",$AW115,$AX$92,":",$AY$92)),Z$92)-Z113</f>
        <v>0</v>
      </c>
      <c r="AA115" s="275"/>
      <c r="AB115" s="989">
        <f ca="1">+SUMIFS(INDIRECT(CONCATENATE("'",$AW115,$AX115,":",$AY115)),INDIRECT(CONCATENATE("'",$AW115,$AX$92,":",$AY$92)),AB$92)-AB113</f>
        <v>0</v>
      </c>
      <c r="AC115" s="989">
        <f ca="1">+SUMIFS(INDIRECT(CONCATENATE("'",$AW115,$AX115,":",$AY115)),INDIRECT(CONCATENATE("'",$AW115,$AX$92,":",$AY$92)),AC$92)-AC113</f>
        <v>0</v>
      </c>
      <c r="AD115" s="989">
        <f ca="1">+SUMIFS(INDIRECT(CONCATENATE("'",$AW115,$AX115,":",$AY115)),INDIRECT(CONCATENATE("'",$AW115,$AX$92,":",$AY$92)),AD$92)-AD113</f>
        <v>0</v>
      </c>
      <c r="AE115" s="989">
        <f ca="1">+SUMIFS(INDIRECT(CONCATENATE("'",$AW115,$AX115,":",$AY115)),INDIRECT(CONCATENATE("'",$AW115,$AX$92,":",$AY$92)),AE$92)-AE113</f>
        <v>0</v>
      </c>
      <c r="AF115" s="275"/>
      <c r="AG115" s="989">
        <f ca="1">+SUMIFS(INDIRECT(CONCATENATE("'",$AW115,$AX115,":",$AY115)),INDIRECT(CONCATENATE("'",$AW115,$AX$92,":",$AY$92)),AG$92)-AG113</f>
        <v>0</v>
      </c>
      <c r="AH115" s="989">
        <f ca="1">+SUMIFS(INDIRECT(CONCATENATE("'",$AW115,$AX115,":",$AY115)),INDIRECT(CONCATENATE("'",$AW115,$AX$92,":",$AY$92)),AH$92)-AH113</f>
        <v>0</v>
      </c>
      <c r="AI115" s="989">
        <f ca="1">+SUMIFS(INDIRECT(CONCATENATE("'",$AW115,$AX115,":",$AY115)),INDIRECT(CONCATENATE("'",$AW115,$AX$92,":",$AY$92)),AI$92)-AI113</f>
        <v>0</v>
      </c>
      <c r="AJ115" s="989">
        <f ca="1">+SUMIFS(INDIRECT(CONCATENATE("'",$AW115,$AX115,":",$AY115)),INDIRECT(CONCATENATE("'",$AW115,$AX$92,":",$AY$92)),AJ$92)-AJ113</f>
        <v>0</v>
      </c>
      <c r="AK115" s="275"/>
      <c r="AL115" s="989">
        <f ca="1">+SUMIFS(INDIRECT(CONCATENATE("'",$AW115,$AX115,":",$AY115)),INDIRECT(CONCATENATE("'",$AW115,$AX$92,":",$AY$92)),AL$92)-AL113</f>
        <v>0</v>
      </c>
      <c r="AM115" s="989">
        <f ca="1">+SUMIFS(INDIRECT(CONCATENATE("'",$AW115,$AX115,":",$AY115)),INDIRECT(CONCATENATE("'",$AW115,$AX$92,":",$AY$92)),AM$92)-AM113</f>
        <v>0</v>
      </c>
      <c r="AN115" s="989">
        <f ca="1">+SUMIFS(INDIRECT(CONCATENATE("'",$AW115,$AX115,":",$AY115)),INDIRECT(CONCATENATE("'",$AW115,$AX$92,":",$AY$92)),AN$92)-AN113</f>
        <v>0</v>
      </c>
      <c r="AO115" s="989">
        <f ca="1">+SUMIFS(INDIRECT(CONCATENATE("'",$AW115,$AX115,":",$AY115)),INDIRECT(CONCATENATE("'",$AW115,$AX$92,":",$AY$92)),AO$92)-AO113</f>
        <v>0</v>
      </c>
      <c r="AP115" s="275"/>
      <c r="AQ115" s="989">
        <f ca="1">+SUMIFS(INDIRECT(CONCATENATE("'",$AW115,$AX115,":",$AY115)),INDIRECT(CONCATENATE("'",$AW115,$AX$92,":",$AY$92)),AQ$92)-AQ113</f>
        <v>0</v>
      </c>
      <c r="AR115" s="989">
        <f ca="1">+SUMIFS(INDIRECT(CONCATENATE("'",$AW115,$AX115,":",$AY115)),INDIRECT(CONCATENATE("'",$AW115,$AX$92,":",$AY$92)),AR$92)-AR113</f>
        <v>0</v>
      </c>
      <c r="AS115" s="989">
        <f ca="1">+SUMIFS(INDIRECT(CONCATENATE("'",$AW115,$AX115,":",$AY115)),INDIRECT(CONCATENATE("'",$AW115,$AX$92,":",$AY$92)),AS$92)-AS113</f>
        <v>0</v>
      </c>
      <c r="AT115" s="989">
        <f ca="1">+SUMIFS(INDIRECT(CONCATENATE("'",$AW115,$AX115,":",$AY115)),INDIRECT(CONCATENATE("'",$AW115,$AX$92,":",$AY$92)),AT$92)-AT113</f>
        <v>0</v>
      </c>
      <c r="AU115" s="989"/>
      <c r="AV115" s="989">
        <f ca="1">+SUMIFS(INDIRECT(CONCATENATE("'",$AW115,$AX115,":",$AY115)),INDIRECT(CONCATENATE("'",$AW115,$AX$92,":",$AY$92)),AV$92)-AV113</f>
        <v>0</v>
      </c>
      <c r="AW115" s="267" t="s">
        <v>991</v>
      </c>
      <c r="AX115" s="267" t="str">
        <f>"$"&amp;ROW(LI!$B$40)</f>
        <v>$40</v>
      </c>
      <c r="AY115" s="267" t="str">
        <f>"$"&amp;ROW(LI!$B$40)</f>
        <v>$40</v>
      </c>
      <c r="AZ115" s="267" t="s">
        <v>992</v>
      </c>
      <c r="BA115" s="267" t="s">
        <v>991</v>
      </c>
      <c r="BK115" s="267"/>
      <c r="BL115" s="267"/>
      <c r="BM115" s="267"/>
      <c r="BN115" s="267"/>
      <c r="BO115" s="267"/>
      <c r="BP115" s="267"/>
      <c r="BQ115" s="267"/>
      <c r="BR115" s="267"/>
      <c r="BS115" s="267"/>
      <c r="BT115" s="267"/>
      <c r="BU115" s="267"/>
      <c r="BV115" s="267"/>
      <c r="BW115" s="267"/>
      <c r="BX115" s="267"/>
      <c r="BY115" s="267"/>
      <c r="BZ115" s="267"/>
      <c r="CA115" s="267"/>
      <c r="CB115" s="267"/>
      <c r="CC115" s="267"/>
      <c r="CD115" s="267"/>
      <c r="CE115" s="267"/>
      <c r="CF115" s="267"/>
      <c r="CG115" s="267"/>
    </row>
    <row r="116" spans="1:85" ht="14.25" customHeight="1" x14ac:dyDescent="0.2">
      <c r="B116" s="852" t="s">
        <v>441</v>
      </c>
      <c r="C116" s="851" t="str">
        <f t="shared" ref="C116:AH116" si="148">C5</f>
        <v>1T17</v>
      </c>
      <c r="D116" s="851" t="str">
        <f t="shared" si="148"/>
        <v>2T17</v>
      </c>
      <c r="E116" s="851" t="str">
        <f t="shared" si="148"/>
        <v>3T17</v>
      </c>
      <c r="F116" s="851" t="str">
        <f t="shared" si="148"/>
        <v>4T17</v>
      </c>
      <c r="G116" s="851" t="str">
        <f t="shared" si="148"/>
        <v>2017</v>
      </c>
      <c r="H116" s="851" t="str">
        <f t="shared" si="148"/>
        <v>1T18</v>
      </c>
      <c r="I116" s="851" t="str">
        <f t="shared" si="148"/>
        <v>2T18</v>
      </c>
      <c r="J116" s="851" t="str">
        <f t="shared" si="148"/>
        <v>3T18</v>
      </c>
      <c r="K116" s="851" t="str">
        <f t="shared" si="148"/>
        <v>4T18</v>
      </c>
      <c r="L116" s="851" t="str">
        <f t="shared" si="148"/>
        <v>2018</v>
      </c>
      <c r="M116" s="851" t="str">
        <f t="shared" si="148"/>
        <v>1T19</v>
      </c>
      <c r="N116" s="851" t="str">
        <f t="shared" si="148"/>
        <v>2T19</v>
      </c>
      <c r="O116" s="851" t="str">
        <f t="shared" si="148"/>
        <v>3T19</v>
      </c>
      <c r="P116" s="851" t="str">
        <f t="shared" si="148"/>
        <v>4T19</v>
      </c>
      <c r="Q116" s="851" t="str">
        <f t="shared" si="148"/>
        <v>2019</v>
      </c>
      <c r="R116" s="851" t="str">
        <f t="shared" si="148"/>
        <v>1T20</v>
      </c>
      <c r="S116" s="851" t="str">
        <f t="shared" si="148"/>
        <v>2T20</v>
      </c>
      <c r="T116" s="851" t="str">
        <f t="shared" si="148"/>
        <v>3T20</v>
      </c>
      <c r="U116" s="851" t="str">
        <f t="shared" si="148"/>
        <v>4T20</v>
      </c>
      <c r="V116" s="851" t="str">
        <f t="shared" si="148"/>
        <v>2020</v>
      </c>
      <c r="W116" s="851" t="str">
        <f t="shared" si="148"/>
        <v>1T21</v>
      </c>
      <c r="X116" s="851" t="str">
        <f t="shared" si="148"/>
        <v>2T21</v>
      </c>
      <c r="Y116" s="851" t="str">
        <f t="shared" si="148"/>
        <v>3T21</v>
      </c>
      <c r="Z116" s="851" t="str">
        <f t="shared" si="148"/>
        <v>4T21</v>
      </c>
      <c r="AA116" s="851" t="str">
        <f t="shared" si="148"/>
        <v>2021</v>
      </c>
      <c r="AB116" s="851" t="str">
        <f t="shared" si="148"/>
        <v>1T22</v>
      </c>
      <c r="AC116" s="851" t="str">
        <f t="shared" si="148"/>
        <v>2T22</v>
      </c>
      <c r="AD116" s="851" t="str">
        <f t="shared" si="148"/>
        <v>3T22</v>
      </c>
      <c r="AE116" s="851" t="str">
        <f t="shared" si="148"/>
        <v>4T22</v>
      </c>
      <c r="AF116" s="851" t="str">
        <f t="shared" si="148"/>
        <v>2022</v>
      </c>
      <c r="AG116" s="851" t="str">
        <f t="shared" si="148"/>
        <v>1T23</v>
      </c>
      <c r="AH116" s="851" t="str">
        <f t="shared" si="148"/>
        <v>2T23</v>
      </c>
      <c r="AI116" s="851" t="str">
        <f t="shared" ref="AI116:AN116" si="149">AI5</f>
        <v>3T23</v>
      </c>
      <c r="AJ116" s="851" t="str">
        <f t="shared" si="149"/>
        <v>4T23</v>
      </c>
      <c r="AK116" s="851" t="str">
        <f t="shared" si="149"/>
        <v>2023</v>
      </c>
      <c r="AL116" s="851" t="str">
        <f t="shared" si="149"/>
        <v>1T24</v>
      </c>
      <c r="AM116" s="851" t="str">
        <f t="shared" si="149"/>
        <v>2T24</v>
      </c>
      <c r="AN116" s="851" t="str">
        <f t="shared" si="149"/>
        <v>3T24</v>
      </c>
      <c r="AO116" s="851" t="str">
        <f>AO5</f>
        <v>4T24</v>
      </c>
      <c r="AP116" s="851" t="str">
        <f>AP5</f>
        <v>2024</v>
      </c>
      <c r="AQ116" s="851" t="str">
        <f t="shared" ref="AQ116:AV116" si="150">AQ5</f>
        <v>1T25</v>
      </c>
      <c r="AR116" s="851" t="str">
        <f>AR5</f>
        <v>2T25</v>
      </c>
      <c r="AS116" s="851" t="str">
        <f>AS5</f>
        <v>3T25</v>
      </c>
      <c r="AT116" s="851" t="str">
        <f>AT5</f>
        <v>4T25</v>
      </c>
      <c r="AU116" s="851" t="str">
        <f t="shared" si="150"/>
        <v>2025</v>
      </c>
      <c r="AV116" s="851" t="str">
        <f t="shared" si="150"/>
        <v>1T26</v>
      </c>
      <c r="AX116" s="267" t="str">
        <f>"$"&amp;ROW(BP!$B$5)</f>
        <v>$5</v>
      </c>
      <c r="AY116" s="267" t="str">
        <f>"$"&amp;ROW(BP!$B$5)</f>
        <v>$5</v>
      </c>
      <c r="BK116" s="267"/>
      <c r="BL116" s="267"/>
      <c r="BM116" s="267"/>
      <c r="BN116" s="267"/>
      <c r="BO116" s="267"/>
      <c r="BP116" s="267"/>
      <c r="BQ116" s="267"/>
      <c r="BR116" s="267"/>
      <c r="BS116" s="267"/>
      <c r="BT116" s="267"/>
      <c r="BU116" s="267"/>
      <c r="BV116" s="267"/>
      <c r="BW116" s="267"/>
      <c r="BX116" s="267"/>
      <c r="BY116" s="267"/>
      <c r="BZ116" s="267"/>
      <c r="CA116" s="267"/>
      <c r="CB116" s="267"/>
      <c r="CC116" s="267"/>
      <c r="CD116" s="267"/>
      <c r="CE116" s="267"/>
      <c r="CF116" s="267"/>
      <c r="CG116" s="267"/>
    </row>
    <row r="117" spans="1:85" ht="14.25" customHeight="1" x14ac:dyDescent="0.2">
      <c r="B117" s="842" t="s">
        <v>75</v>
      </c>
      <c r="C117" s="841">
        <v>126013</v>
      </c>
      <c r="D117" s="841">
        <v>183030</v>
      </c>
      <c r="E117" s="841">
        <v>145307</v>
      </c>
      <c r="F117" s="841">
        <v>148732</v>
      </c>
      <c r="G117" s="637">
        <f>+F117</f>
        <v>148732</v>
      </c>
      <c r="H117" s="841">
        <v>125466</v>
      </c>
      <c r="I117" s="841">
        <v>90689</v>
      </c>
      <c r="J117" s="841">
        <v>97964</v>
      </c>
      <c r="K117" s="841">
        <v>83542</v>
      </c>
      <c r="L117" s="637">
        <f>+K117</f>
        <v>83542</v>
      </c>
      <c r="M117" s="841">
        <v>107994</v>
      </c>
      <c r="N117" s="841">
        <v>106775</v>
      </c>
      <c r="O117" s="841">
        <v>112108</v>
      </c>
      <c r="P117" s="841">
        <v>67332</v>
      </c>
      <c r="Q117" s="637">
        <f>+P117</f>
        <v>67332</v>
      </c>
      <c r="R117" s="841">
        <f t="shared" ref="R117:U118" ca="1" si="151">+SUMIFS(INDIRECT(CONCATENATE("'",$AW117,$AX117,":",$AY117)),INDIRECT(CONCATENATE("'",$AW117,$AX$116,":",$AY$116)),R$92)</f>
        <v>125940</v>
      </c>
      <c r="S117" s="841">
        <f t="shared" ca="1" si="151"/>
        <v>286503</v>
      </c>
      <c r="T117" s="841">
        <f t="shared" ca="1" si="151"/>
        <v>247793</v>
      </c>
      <c r="U117" s="841">
        <f t="shared" ca="1" si="151"/>
        <v>260387</v>
      </c>
      <c r="V117" s="637">
        <f ca="1">+U117</f>
        <v>260387</v>
      </c>
      <c r="W117" s="841">
        <f t="shared" ref="W117:Z118" ca="1" si="152">+SUMIFS(INDIRECT(CONCATENATE("'",$AW117,$AX117,":",$AY117)),INDIRECT(CONCATENATE("'",$AW117,$AX$116,":",$AY$116)),W$92)</f>
        <v>304909</v>
      </c>
      <c r="X117" s="841">
        <f t="shared" ca="1" si="152"/>
        <v>244529</v>
      </c>
      <c r="Y117" s="841">
        <f t="shared" ca="1" si="152"/>
        <v>221421</v>
      </c>
      <c r="Z117" s="841">
        <f t="shared" ca="1" si="152"/>
        <v>147128</v>
      </c>
      <c r="AA117" s="637">
        <f ca="1">+Z117</f>
        <v>147128</v>
      </c>
      <c r="AB117" s="841">
        <f t="shared" ref="AB117:AE118" ca="1" si="153">+SUMIFS(INDIRECT(CONCATENATE("'",$AW117,$AX117,":",$AY117)),INDIRECT(CONCATENATE("'",$AW117,$AX$116,":",$AY$116)),AB$92)</f>
        <v>210504</v>
      </c>
      <c r="AC117" s="841">
        <f t="shared" ca="1" si="153"/>
        <v>119723</v>
      </c>
      <c r="AD117" s="841">
        <f t="shared" ca="1" si="153"/>
        <v>137242</v>
      </c>
      <c r="AE117" s="841">
        <f t="shared" ca="1" si="153"/>
        <v>190299</v>
      </c>
      <c r="AF117" s="637">
        <f ca="1">+AE117</f>
        <v>190299</v>
      </c>
      <c r="AG117" s="841">
        <f t="shared" ref="AG117:AJ118" ca="1" si="154">+SUMIFS(INDIRECT(CONCATENATE("'",$AW117,$AX117,":",$AY117)),INDIRECT(CONCATENATE("'",$AW117,$AX$116,":",$AY$116)),AG$92)</f>
        <v>242048</v>
      </c>
      <c r="AH117" s="841">
        <f t="shared" ca="1" si="154"/>
        <v>237038</v>
      </c>
      <c r="AI117" s="841">
        <f t="shared" ca="1" si="154"/>
        <v>258630</v>
      </c>
      <c r="AJ117" s="841">
        <f t="shared" ca="1" si="154"/>
        <v>232539</v>
      </c>
      <c r="AK117" s="637">
        <f ca="1">+AJ117</f>
        <v>232539</v>
      </c>
      <c r="AL117" s="841">
        <f t="shared" ref="AL117:AO118" ca="1" si="155">+SUMIFS(INDIRECT(CONCATENATE("'",$AW117,$AX117,":",$AY117)),INDIRECT(CONCATENATE("'",$AW117,$AX$116,":",$AY$116)),AL$92)</f>
        <v>299796</v>
      </c>
      <c r="AM117" s="841">
        <f t="shared" ca="1" si="155"/>
        <v>282802</v>
      </c>
      <c r="AN117" s="841">
        <f t="shared" ca="1" si="155"/>
        <v>264126</v>
      </c>
      <c r="AO117" s="841">
        <f t="shared" ca="1" si="155"/>
        <v>241335</v>
      </c>
      <c r="AP117" s="637">
        <f ca="1">+AO117</f>
        <v>241335</v>
      </c>
      <c r="AQ117" s="841">
        <f t="shared" ref="AQ117:AV118" ca="1" si="156">+SUMIFS(INDIRECT(CONCATENATE("'",$AW117,$AX117,":",$AY117)),INDIRECT(CONCATENATE("'",$AW117,$AX$116,":",$AY$116)),AQ$92)</f>
        <v>339197</v>
      </c>
      <c r="AR117" s="841">
        <f t="shared" ca="1" si="156"/>
        <v>347151</v>
      </c>
      <c r="AS117" s="841">
        <f t="shared" ca="1" si="156"/>
        <v>245664</v>
      </c>
      <c r="AT117" s="841">
        <f t="shared" ca="1" si="156"/>
        <v>113860</v>
      </c>
      <c r="AU117" s="637">
        <f ca="1">+AT117</f>
        <v>113860</v>
      </c>
      <c r="AV117" s="841">
        <f t="shared" ca="1" si="156"/>
        <v>184189</v>
      </c>
      <c r="AW117" s="267" t="s">
        <v>977</v>
      </c>
      <c r="AX117" s="267" t="str">
        <f>"$"&amp;ROW(BP!$B$7)</f>
        <v>$7</v>
      </c>
      <c r="AY117" s="267" t="str">
        <f>"$"&amp;ROW(BP!$B$7)</f>
        <v>$7</v>
      </c>
      <c r="AZ117" s="267" t="s">
        <v>978</v>
      </c>
      <c r="BA117" s="267" t="s">
        <v>977</v>
      </c>
      <c r="BK117" s="267"/>
      <c r="BL117" s="267"/>
      <c r="BM117" s="267"/>
      <c r="BN117" s="267"/>
      <c r="BO117" s="267"/>
      <c r="BP117" s="267"/>
      <c r="BQ117" s="267"/>
      <c r="BR117" s="267"/>
      <c r="BS117" s="267"/>
      <c r="BT117" s="267"/>
      <c r="BU117" s="267"/>
      <c r="BV117" s="267"/>
      <c r="BW117" s="267"/>
      <c r="BX117" s="267"/>
      <c r="BY117" s="267"/>
      <c r="BZ117" s="267"/>
      <c r="CA117" s="267"/>
      <c r="CB117" s="267"/>
      <c r="CC117" s="267"/>
      <c r="CD117" s="267"/>
      <c r="CE117" s="267"/>
      <c r="CF117" s="267"/>
      <c r="CG117" s="267"/>
    </row>
    <row r="118" spans="1:85" ht="14.25" customHeight="1" x14ac:dyDescent="0.2">
      <c r="B118" s="842" t="s">
        <v>36</v>
      </c>
      <c r="C118" s="841">
        <v>116130</v>
      </c>
      <c r="D118" s="841">
        <v>123239</v>
      </c>
      <c r="E118" s="841">
        <v>137433</v>
      </c>
      <c r="F118" s="841">
        <v>171180</v>
      </c>
      <c r="G118" s="637">
        <f>+F118</f>
        <v>171180</v>
      </c>
      <c r="H118" s="841">
        <v>149456</v>
      </c>
      <c r="I118" s="841">
        <v>175884</v>
      </c>
      <c r="J118" s="841">
        <v>190482</v>
      </c>
      <c r="K118" s="841">
        <v>226227</v>
      </c>
      <c r="L118" s="637">
        <f>+K118</f>
        <v>226227</v>
      </c>
      <c r="M118" s="841">
        <v>202605</v>
      </c>
      <c r="N118" s="841">
        <v>215878</v>
      </c>
      <c r="O118" s="841">
        <v>222773</v>
      </c>
      <c r="P118" s="841">
        <v>261173</v>
      </c>
      <c r="Q118" s="637">
        <f>+P118</f>
        <v>261173</v>
      </c>
      <c r="R118" s="841">
        <f t="shared" ca="1" si="151"/>
        <v>208452</v>
      </c>
      <c r="S118" s="841">
        <f t="shared" ca="1" si="151"/>
        <v>127444</v>
      </c>
      <c r="T118" s="841">
        <f t="shared" ca="1" si="151"/>
        <v>199717</v>
      </c>
      <c r="U118" s="841">
        <f t="shared" ca="1" si="151"/>
        <v>212138</v>
      </c>
      <c r="V118" s="637">
        <f ca="1">+U118</f>
        <v>212138</v>
      </c>
      <c r="W118" s="841">
        <f t="shared" ca="1" si="152"/>
        <v>169120</v>
      </c>
      <c r="X118" s="884">
        <f t="shared" ca="1" si="152"/>
        <v>197088</v>
      </c>
      <c r="Y118" s="884">
        <f t="shared" ca="1" si="152"/>
        <v>196436</v>
      </c>
      <c r="Z118" s="884">
        <f t="shared" ca="1" si="152"/>
        <v>302669</v>
      </c>
      <c r="AA118" s="898">
        <f ca="1">+Z118</f>
        <v>302669</v>
      </c>
      <c r="AB118" s="884">
        <f t="shared" ca="1" si="153"/>
        <v>223696</v>
      </c>
      <c r="AC118" s="884">
        <f t="shared" ca="1" si="153"/>
        <v>266460</v>
      </c>
      <c r="AD118" s="841">
        <f t="shared" ca="1" si="153"/>
        <v>289087</v>
      </c>
      <c r="AE118" s="841">
        <f t="shared" ca="1" si="153"/>
        <v>314053</v>
      </c>
      <c r="AF118" s="1103">
        <f ca="1">+AE118</f>
        <v>314053</v>
      </c>
      <c r="AG118" s="841">
        <f t="shared" ca="1" si="154"/>
        <v>259933</v>
      </c>
      <c r="AH118" s="841">
        <f t="shared" ca="1" si="154"/>
        <v>264045</v>
      </c>
      <c r="AI118" s="841">
        <f t="shared" ca="1" si="154"/>
        <v>280755</v>
      </c>
      <c r="AJ118" s="841">
        <f t="shared" ca="1" si="154"/>
        <v>345505</v>
      </c>
      <c r="AK118" s="1103">
        <f ca="1">+AJ118</f>
        <v>345505</v>
      </c>
      <c r="AL118" s="841">
        <f t="shared" ca="1" si="155"/>
        <v>294190</v>
      </c>
      <c r="AM118" s="841">
        <f t="shared" ca="1" si="155"/>
        <v>342942</v>
      </c>
      <c r="AN118" s="841">
        <f t="shared" ca="1" si="155"/>
        <v>395339</v>
      </c>
      <c r="AO118" s="841">
        <f t="shared" ca="1" si="155"/>
        <v>437934</v>
      </c>
      <c r="AP118" s="1103">
        <f ca="1">+AO118</f>
        <v>437934</v>
      </c>
      <c r="AQ118" s="841">
        <f t="shared" ca="1" si="156"/>
        <v>328402</v>
      </c>
      <c r="AR118" s="841">
        <f t="shared" ca="1" si="156"/>
        <v>366152</v>
      </c>
      <c r="AS118" s="841">
        <f t="shared" ca="1" si="156"/>
        <v>419796</v>
      </c>
      <c r="AT118" s="841">
        <f t="shared" ca="1" si="156"/>
        <v>443159</v>
      </c>
      <c r="AU118" s="1103">
        <f ca="1">+AT118</f>
        <v>443159</v>
      </c>
      <c r="AV118" s="841">
        <f t="shared" ca="1" si="156"/>
        <v>413218</v>
      </c>
      <c r="AW118" s="267" t="s">
        <v>977</v>
      </c>
      <c r="AX118" s="267" t="str">
        <f>"$"&amp;ROW(BP!$B$8)</f>
        <v>$8</v>
      </c>
      <c r="AY118" s="267" t="str">
        <f>"$"&amp;ROW(BP!$B$8)</f>
        <v>$8</v>
      </c>
      <c r="AZ118" s="267" t="s">
        <v>978</v>
      </c>
      <c r="BA118" s="267" t="s">
        <v>977</v>
      </c>
      <c r="BK118" s="267"/>
      <c r="BL118" s="267"/>
      <c r="BM118" s="267"/>
      <c r="BN118" s="267"/>
      <c r="BO118" s="267"/>
      <c r="BP118" s="267"/>
      <c r="BQ118" s="267"/>
      <c r="BR118" s="267"/>
      <c r="BS118" s="267"/>
      <c r="BT118" s="267"/>
      <c r="BU118" s="267"/>
      <c r="BV118" s="267"/>
      <c r="BW118" s="267"/>
      <c r="BX118" s="267"/>
      <c r="BY118" s="267"/>
      <c r="BZ118" s="267"/>
      <c r="CA118" s="267"/>
      <c r="CB118" s="267"/>
      <c r="CC118" s="267"/>
      <c r="CD118" s="267"/>
      <c r="CE118" s="267"/>
      <c r="CF118" s="267"/>
      <c r="CG118" s="267"/>
    </row>
    <row r="119" spans="1:85" s="283" customFormat="1" ht="14.1" customHeight="1" x14ac:dyDescent="0.2">
      <c r="A119" s="877"/>
      <c r="B119" s="876" t="s">
        <v>535</v>
      </c>
      <c r="C119" s="875">
        <f ca="1">+C118/(C8/90)</f>
        <v>39.719237402548863</v>
      </c>
      <c r="D119" s="875">
        <f ca="1">+D118/(D8/90)</f>
        <v>35.014730035534399</v>
      </c>
      <c r="E119" s="875">
        <f ca="1">+E118/(E8/90)</f>
        <v>34.780388227402035</v>
      </c>
      <c r="F119" s="875">
        <f ca="1">+F118/(F8/90)</f>
        <v>39.037343944115563</v>
      </c>
      <c r="G119" s="874">
        <f ca="1">+F119</f>
        <v>39.037343944115563</v>
      </c>
      <c r="H119" s="875">
        <f ca="1">+H118/(H8/90)</f>
        <v>41.663506875971962</v>
      </c>
      <c r="I119" s="875">
        <f ca="1">+I118/(I8/90)</f>
        <v>43.922375863127726</v>
      </c>
      <c r="J119" s="875">
        <f ca="1">+J118/(J8/90)</f>
        <v>41.225349933842544</v>
      </c>
      <c r="K119" s="875">
        <f ca="1">+K118/(K8/90)</f>
        <v>46.313049769519438</v>
      </c>
      <c r="L119" s="874">
        <f ca="1">+K119</f>
        <v>46.313049769519438</v>
      </c>
      <c r="M119" s="875">
        <f ca="1">+M118/(M8/90)</f>
        <v>49.646939808097962</v>
      </c>
      <c r="N119" s="875">
        <f ca="1">+N118/(N8/90)</f>
        <v>47.815763249532246</v>
      </c>
      <c r="O119" s="875">
        <f ca="1">+O118/(O8/90)</f>
        <v>48.213560576659368</v>
      </c>
      <c r="P119" s="875">
        <f ca="1">+P118/(P8/90)</f>
        <v>50.675232910702135</v>
      </c>
      <c r="Q119" s="874">
        <f ca="1">+P119</f>
        <v>50.675232910702135</v>
      </c>
      <c r="R119" s="875">
        <f ca="1">+R118/(R8/90)</f>
        <v>54.307420809725244</v>
      </c>
      <c r="S119" s="875">
        <f ca="1">+S118/(S8/90)</f>
        <v>71.568658460625841</v>
      </c>
      <c r="T119" s="875">
        <f ca="1">+T118/(T8/90)</f>
        <v>50.163895693743683</v>
      </c>
      <c r="U119" s="875">
        <f ca="1">+U118/(U8/90)</f>
        <v>49.36897007920826</v>
      </c>
      <c r="V119" s="874">
        <f ca="1">+U119</f>
        <v>49.36897007920826</v>
      </c>
      <c r="W119" s="875">
        <f ca="1">+W118/(W8/90)</f>
        <v>52.347476219140027</v>
      </c>
      <c r="X119" s="1094">
        <f ca="1">+X118/(X8/90)</f>
        <v>60.187450597363473</v>
      </c>
      <c r="Y119" s="1094">
        <f ca="1">+Y118/(Y8/90)</f>
        <v>61.114199538102213</v>
      </c>
      <c r="Z119" s="1094">
        <f ca="1">+Z118/(Z8/90)</f>
        <v>71.782561682617512</v>
      </c>
      <c r="AA119" s="982">
        <f ca="1">+Z119</f>
        <v>71.782561682617512</v>
      </c>
      <c r="AB119" s="1094">
        <f ca="1">+AB118/(AB8/90)</f>
        <v>67.482475285711402</v>
      </c>
      <c r="AC119" s="1094">
        <f ca="1">+AC118/(AC8/90)</f>
        <v>63.808961158789771</v>
      </c>
      <c r="AD119" s="875">
        <f ca="1">+AD118/(AD8/90)</f>
        <v>50.874665931595509</v>
      </c>
      <c r="AE119" s="875">
        <f ca="1">+AE118/(AE8/90)</f>
        <v>55.826079891574423</v>
      </c>
      <c r="AF119" s="1104">
        <f ca="1">+AE119</f>
        <v>55.826079891574423</v>
      </c>
      <c r="AG119" s="875">
        <f ca="1">+AG118/(AG8/90)</f>
        <v>56.070215665586787</v>
      </c>
      <c r="AH119" s="875">
        <f ca="1">+AH118/(AH8/90)</f>
        <v>51.983792337188738</v>
      </c>
      <c r="AI119" s="875">
        <f ca="1">+AI118/(AI8/90)</f>
        <v>47.576690603690487</v>
      </c>
      <c r="AJ119" s="875">
        <f ca="1">+AJ118/(AJ8/90)</f>
        <v>54.941851530098845</v>
      </c>
      <c r="AK119" s="1104">
        <f ca="1">+AJ119</f>
        <v>54.941851530098845</v>
      </c>
      <c r="AL119" s="875">
        <f ca="1">+AL118/(AL8/90)</f>
        <v>54.791267344803188</v>
      </c>
      <c r="AM119" s="875">
        <f ca="1">+AM118/(AM8/90)</f>
        <v>52.770403894665691</v>
      </c>
      <c r="AN119" s="875">
        <f ca="1">+AN118/(AN8/90)</f>
        <v>47.646607614023388</v>
      </c>
      <c r="AO119" s="875">
        <f ca="1">+AO118/(AO8/90)</f>
        <v>51.164407216993304</v>
      </c>
      <c r="AP119" s="1104">
        <f ca="1">+AO119</f>
        <v>51.164407216993304</v>
      </c>
      <c r="AQ119" s="875">
        <f ca="1">+AQ118/(AQ8/90)</f>
        <v>54.216612160742947</v>
      </c>
      <c r="AR119" s="875">
        <f ca="1">+AR118/(AR8/90)</f>
        <v>48.770676288977057</v>
      </c>
      <c r="AS119" s="875">
        <f ca="1">+AS118/(AS8/90)</f>
        <v>48.041871445602425</v>
      </c>
      <c r="AT119" s="875">
        <f ca="1">+AT118/(AT8/90)</f>
        <v>52.153208861689272</v>
      </c>
      <c r="AU119" s="1104">
        <f ca="1">+AT119</f>
        <v>52.153208861689272</v>
      </c>
      <c r="AV119" s="875">
        <f ca="1">+AV118/(AV8/90)</f>
        <v>57.21172078421079</v>
      </c>
      <c r="AW119" s="873"/>
      <c r="AX119" s="873"/>
      <c r="AY119" s="873"/>
      <c r="AZ119" s="873"/>
      <c r="BA119" s="873"/>
      <c r="BB119" s="873"/>
      <c r="BC119" s="873"/>
      <c r="BD119" s="873"/>
      <c r="BE119" s="873"/>
      <c r="BH119" s="873"/>
      <c r="BI119" s="873"/>
      <c r="BJ119" s="873"/>
      <c r="BK119" s="873"/>
      <c r="BL119" s="873"/>
      <c r="BM119" s="873"/>
      <c r="BN119" s="873"/>
      <c r="BO119" s="873"/>
      <c r="BP119" s="873"/>
      <c r="BQ119" s="873"/>
      <c r="BR119" s="873"/>
      <c r="BS119" s="873"/>
      <c r="BT119" s="873"/>
      <c r="BU119" s="873"/>
      <c r="BV119" s="873"/>
      <c r="BW119" s="873"/>
      <c r="BX119" s="873"/>
      <c r="BY119" s="873"/>
      <c r="BZ119" s="873"/>
      <c r="CA119" s="873"/>
      <c r="CB119" s="873"/>
      <c r="CC119" s="873"/>
      <c r="CD119" s="873"/>
      <c r="CE119" s="873"/>
      <c r="CF119" s="873"/>
      <c r="CG119" s="873"/>
    </row>
    <row r="120" spans="1:85" ht="3" customHeight="1" x14ac:dyDescent="0.2">
      <c r="B120" s="868"/>
      <c r="C120" s="1032"/>
      <c r="D120" s="1032"/>
      <c r="E120" s="1032"/>
      <c r="F120" s="1032"/>
      <c r="G120" s="841"/>
      <c r="H120" s="1032"/>
      <c r="I120" s="1032"/>
      <c r="J120" s="1032"/>
      <c r="K120" s="1032"/>
      <c r="L120" s="841"/>
      <c r="M120" s="1032"/>
      <c r="N120" s="1032"/>
      <c r="O120" s="1032"/>
      <c r="P120" s="1032"/>
      <c r="Q120" s="841"/>
      <c r="R120" s="1032"/>
      <c r="S120" s="1032"/>
      <c r="T120" s="1032"/>
      <c r="U120" s="1032"/>
      <c r="V120" s="841"/>
      <c r="W120" s="1032"/>
      <c r="X120" s="1032"/>
      <c r="Y120" s="1032"/>
      <c r="Z120" s="1032"/>
      <c r="AA120" s="841"/>
      <c r="AB120" s="1032"/>
      <c r="AC120" s="1032"/>
      <c r="AD120" s="1032"/>
      <c r="AE120" s="1032"/>
      <c r="AF120" s="1105"/>
      <c r="AG120" s="1032"/>
      <c r="AH120" s="1032"/>
      <c r="AI120" s="1032"/>
      <c r="AJ120" s="1032"/>
      <c r="AK120" s="1105"/>
      <c r="AL120" s="1032"/>
      <c r="AM120" s="1032"/>
      <c r="AN120" s="1032"/>
      <c r="AO120" s="1032"/>
      <c r="AP120" s="1105"/>
      <c r="AQ120" s="1032"/>
      <c r="AR120" s="1032"/>
      <c r="AS120" s="1032"/>
      <c r="AT120" s="1032"/>
      <c r="AU120" s="1105"/>
      <c r="AV120" s="1032"/>
      <c r="BK120" s="267"/>
      <c r="BL120" s="267"/>
      <c r="BM120" s="267"/>
      <c r="BN120" s="267"/>
      <c r="BO120" s="267"/>
      <c r="BP120" s="267"/>
      <c r="BQ120" s="267"/>
      <c r="BR120" s="267"/>
      <c r="BS120" s="267"/>
      <c r="BT120" s="267"/>
      <c r="BU120" s="267"/>
      <c r="BV120" s="267"/>
      <c r="BW120" s="267"/>
      <c r="BX120" s="267"/>
      <c r="BY120" s="267"/>
      <c r="BZ120" s="267"/>
      <c r="CA120" s="267"/>
      <c r="CB120" s="267"/>
      <c r="CC120" s="267"/>
      <c r="CD120" s="267"/>
      <c r="CE120" s="267"/>
      <c r="CF120" s="267"/>
      <c r="CG120" s="267"/>
    </row>
    <row r="121" spans="1:85" ht="13.5" customHeight="1" x14ac:dyDescent="0.2">
      <c r="B121" s="842" t="s">
        <v>29</v>
      </c>
      <c r="C121" s="841">
        <v>214161</v>
      </c>
      <c r="D121" s="841">
        <v>216033</v>
      </c>
      <c r="E121" s="841">
        <v>214285</v>
      </c>
      <c r="F121" s="841">
        <v>210100</v>
      </c>
      <c r="G121" s="637">
        <f ca="1">+G122+F121+G24</f>
        <v>156725.32367000001</v>
      </c>
      <c r="H121" s="841">
        <v>193695</v>
      </c>
      <c r="I121" s="841">
        <v>189509</v>
      </c>
      <c r="J121" s="841">
        <v>197392</v>
      </c>
      <c r="K121" s="841">
        <v>202166</v>
      </c>
      <c r="L121" s="637">
        <f ca="1">+L122+K121+L24</f>
        <v>137435.10702</v>
      </c>
      <c r="M121" s="841">
        <v>201707</v>
      </c>
      <c r="N121" s="841">
        <v>210345</v>
      </c>
      <c r="O121" s="841">
        <v>208236</v>
      </c>
      <c r="P121" s="841">
        <v>209033</v>
      </c>
      <c r="Q121" s="637">
        <f ca="1">+Q122+P121+Q24</f>
        <v>147210.87786000001</v>
      </c>
      <c r="R121" s="841">
        <f ca="1">+SUMIFS(INDIRECT(CONCATENATE("'",$AW121,$AX121,":",$AY121)),INDIRECT(CONCATENATE("'",$AW121,$AX$116,":",$AY$116)),R$92)</f>
        <v>207833</v>
      </c>
      <c r="S121" s="841">
        <f ca="1">+SUMIFS(INDIRECT(CONCATENATE("'",$AW121,$AX121,":",$AY121)),INDIRECT(CONCATENATE("'",$AW121,$AX$116,":",$AY$116)),S$92)</f>
        <v>204713</v>
      </c>
      <c r="T121" s="841">
        <f ca="1">+SUMIFS(INDIRECT(CONCATENATE("'",$AW121,$AX121,":",$AY121)),INDIRECT(CONCATENATE("'",$AW121,$AX$116,":",$AY$116)),T$92)</f>
        <v>203615</v>
      </c>
      <c r="U121" s="841">
        <f ca="1">+SUMIFS(INDIRECT(CONCATENATE("'",$AW121,$AX121,":",$AY121)),INDIRECT(CONCATENATE("'",$AW121,$AX$116,":",$AY$116)),U$92)</f>
        <v>202117</v>
      </c>
      <c r="V121" s="637">
        <f ca="1">+V122+U121+V24</f>
        <v>158920.88263000001</v>
      </c>
      <c r="W121" s="841">
        <f ca="1">+SUMIFS(INDIRECT(CONCATENATE("'",$AW121,$AX121,":",$AY121)),INDIRECT(CONCATENATE("'",$AW121,$AX$116,":",$AY$116)),W$92)</f>
        <v>202115</v>
      </c>
      <c r="X121" s="841">
        <f ca="1">+SUMIFS(INDIRECT(CONCATENATE("'",$AW121,$AX121,":",$AY121)),INDIRECT(CONCATENATE("'",$AW121,$AX$116,":",$AY$116)),X$92)</f>
        <v>202083</v>
      </c>
      <c r="Y121" s="841">
        <f ca="1">+SUMIFS(INDIRECT(CONCATENATE("'",$AW121,$AX121,":",$AY121)),INDIRECT(CONCATENATE("'",$AW121,$AX$116,":",$AY$116)),Y$92)</f>
        <v>206653</v>
      </c>
      <c r="Z121" s="841">
        <f ca="1">+SUMIFS(INDIRECT(CONCATENATE("'",$AW121,$AX121,":",$AY121)),INDIRECT(CONCATENATE("'",$AW121,$AX$116,":",$AY$116)),Z$92)</f>
        <v>206881</v>
      </c>
      <c r="AA121" s="637">
        <f ca="1">+AA122+Z121+AA24</f>
        <v>155262.70838000003</v>
      </c>
      <c r="AB121" s="841">
        <f ca="1">+SUMIFS(INDIRECT(CONCATENATE("'",$AW121,$AX121,":",$AY121)),INDIRECT(CONCATENATE("'",$AW121,$AX$116,":",$AY$116)),AB$92)</f>
        <v>204701</v>
      </c>
      <c r="AC121" s="841">
        <f ca="1">+SUMIFS(INDIRECT(CONCATENATE("'",$AW121,$AX121,":",$AY121)),INDIRECT(CONCATENATE("'",$AW121,$AX$116,":",$AY$116)),AC$92)</f>
        <v>211132</v>
      </c>
      <c r="AD121" s="841">
        <f ca="1">+SUMIFS(INDIRECT(CONCATENATE("'",$AW121,$AX121,":",$AY121)),INDIRECT(CONCATENATE("'",$AW121,$AX$116,":",$AY$116)),AD$92)</f>
        <v>212482</v>
      </c>
      <c r="AE121" s="841">
        <f ca="1">+SUMIFS(INDIRECT(CONCATENATE("'",$AW121,$AX121,":",$AY121)),INDIRECT(CONCATENATE("'",$AW121,$AX$116,":",$AY$116)),AE$92)</f>
        <v>225154</v>
      </c>
      <c r="AF121" s="1103">
        <f ca="1">+AF122+AE121+AF24</f>
        <v>157842.05447000003</v>
      </c>
      <c r="AG121" s="841">
        <f ca="1">+SUMIFS(INDIRECT(CONCATENATE("'",$AW121,$AX121,":",$AY121)),INDIRECT(CONCATENATE("'",$AW121,$AX$116,":",$AY$116)),AG$92)</f>
        <v>223208</v>
      </c>
      <c r="AH121" s="841">
        <f ca="1">+SUMIFS(INDIRECT(CONCATENATE("'",$AW121,$AX121,":",$AY121)),INDIRECT(CONCATENATE("'",$AW121,$AX$116,":",$AY$116)),AH$92)</f>
        <v>222276</v>
      </c>
      <c r="AI121" s="841">
        <f ca="1">+SUMIFS(INDIRECT(CONCATENATE("'",$AW121,$AX121,":",$AY121)),INDIRECT(CONCATENATE("'",$AW121,$AX$116,":",$AY$116)),AI$92)</f>
        <v>228001</v>
      </c>
      <c r="AJ121" s="841">
        <f ca="1">+SUMIFS(INDIRECT(CONCATENATE("'",$AW121,$AX121,":",$AY121)),INDIRECT(CONCATENATE("'",$AW121,$AX$116,":",$AY$116)),AJ$92)</f>
        <v>230500</v>
      </c>
      <c r="AK121" s="1103">
        <f ca="1">+AK122+AJ121+AK24</f>
        <v>174756.70574</v>
      </c>
      <c r="AL121" s="841">
        <f ca="1">+SUMIFS(INDIRECT(CONCATENATE("'",$AW121,$AX121,":",$AY121)),INDIRECT(CONCATENATE("'",$AW121,$AX$116,":",$AY$116)),AL$92)</f>
        <v>234199</v>
      </c>
      <c r="AM121" s="841">
        <f ca="1">+SUMIFS(INDIRECT(CONCATENATE("'",$AW121,$AX121,":",$AY121)),INDIRECT(CONCATENATE("'",$AW121,$AX$116,":",$AY$116)),AM$92)</f>
        <v>238171</v>
      </c>
      <c r="AN121" s="841">
        <f ca="1">+SUMIFS(INDIRECT(CONCATENATE("'",$AW121,$AX121,":",$AY121)),INDIRECT(CONCATENATE("'",$AW121,$AX$116,":",$AY$116)),AN$92)</f>
        <v>239710</v>
      </c>
      <c r="AO121" s="841">
        <f ca="1">+SUMIFS(INDIRECT(CONCATENATE("'",$AW121,$AX121,":",$AY121)),INDIRECT(CONCATENATE("'",$AW121,$AX$116,":",$AY$116)),AO$92)</f>
        <v>245613</v>
      </c>
      <c r="AP121" s="1103">
        <f ca="1">+AP122+AO121+AP24</f>
        <v>161887.60479000001</v>
      </c>
      <c r="AQ121" s="841">
        <f ca="1">+SUMIFS(INDIRECT(CONCATENATE("'",$AW121,$AX121,":",$AY121)),INDIRECT(CONCATENATE("'",$AW121,$AX$116,":",$AY$116)),AQ$92)</f>
        <v>243995</v>
      </c>
      <c r="AR121" s="841">
        <f ca="1">+SUMIFS(INDIRECT(CONCATENATE("'",$AW121,$AX121,":",$AY121)),INDIRECT(CONCATENATE("'",$AW121,$AX$116,":",$AY$116)),AR$92)</f>
        <v>247325</v>
      </c>
      <c r="AS121" s="841">
        <f ca="1">+SUMIFS(INDIRECT(CONCATENATE("'",$AW121,$AX121,":",$AY121)),INDIRECT(CONCATENATE("'",$AW121,$AX$116,":",$AY$116)),AS$92)</f>
        <v>258572</v>
      </c>
      <c r="AT121" s="841">
        <f ca="1">+SUMIFS(INDIRECT(CONCATENATE("'",$AW121,$AX121,":",$AY121)),INDIRECT(CONCATENATE("'",$AW121,$AX$116,":",$AY$116)),AT$92)</f>
        <v>321041</v>
      </c>
      <c r="AU121" s="1103">
        <f ca="1">+AU122+AT121+AU24</f>
        <v>177396.23191063473</v>
      </c>
      <c r="AV121" s="841">
        <f ca="1">+SUMIFS(INDIRECT(CONCATENATE("'",$AW121,$AX121,":",$AY121)),INDIRECT(CONCATENATE("'",$AW121,$AX$116,":",$AY$116)),AV$92)</f>
        <v>323121</v>
      </c>
      <c r="AW121" s="267" t="s">
        <v>977</v>
      </c>
      <c r="AX121" s="267" t="str">
        <f>"$"&amp;ROW(BP!$B$35)</f>
        <v>$35</v>
      </c>
      <c r="AY121" s="267" t="str">
        <f>"$"&amp;ROW(BP!$B$35)</f>
        <v>$35</v>
      </c>
      <c r="AZ121" s="267" t="s">
        <v>978</v>
      </c>
      <c r="BA121" s="267" t="s">
        <v>977</v>
      </c>
      <c r="BK121" s="267"/>
      <c r="BL121" s="267"/>
      <c r="BM121" s="267"/>
      <c r="BN121" s="267"/>
      <c r="BO121" s="267"/>
      <c r="BP121" s="267"/>
      <c r="BQ121" s="267"/>
      <c r="BR121" s="267"/>
      <c r="BS121" s="267"/>
      <c r="BT121" s="267"/>
      <c r="BU121" s="267"/>
      <c r="BV121" s="267"/>
      <c r="BW121" s="267"/>
      <c r="BX121" s="267"/>
      <c r="BY121" s="267"/>
      <c r="BZ121" s="267"/>
      <c r="CA121" s="267"/>
      <c r="CB121" s="267"/>
      <c r="CC121" s="267"/>
      <c r="CD121" s="267"/>
      <c r="CE121" s="267"/>
      <c r="CF121" s="267"/>
      <c r="CG121" s="267"/>
    </row>
    <row r="122" spans="1:85" s="878" customFormat="1" ht="13.5" customHeight="1" x14ac:dyDescent="0.2">
      <c r="B122" s="881" t="s">
        <v>64</v>
      </c>
      <c r="C122" s="880">
        <f ca="1">-SUMIFS(INDIRECT(CONCATENATE("'",$AW122,$AX122,":",$AY122)),INDIRECT(CONCATENATE("'",$AW122,$AX$116,":",$AY$116)),C$116)</f>
        <v>-6820</v>
      </c>
      <c r="D122" s="880">
        <f ca="1">-SUMIFS(INDIRECT(CONCATENATE("'",$AW122,$AX122,":",$AY122)),INDIRECT(CONCATENATE("'",$AW122,$AX$116,":",$AY$116)),D$116)</f>
        <v>-8432</v>
      </c>
      <c r="E122" s="880">
        <f ca="1">-SUMIFS(INDIRECT(CONCATENATE("'",$AW122,$AX122,":",$AY122)),INDIRECT(CONCATENATE("'",$AW122,$AX$116,":",$AY$116)),E$116)</f>
        <v>-5862</v>
      </c>
      <c r="F122" s="880">
        <f ca="1">-SUMIFS(INDIRECT(CONCATENATE("'",$AW122,$AX122,":",$AY122)),INDIRECT(CONCATENATE("'",$AW122,$AX$116,":",$AY$116)),F$116)</f>
        <v>-4116</v>
      </c>
      <c r="G122" s="637">
        <f ca="1">+SUM(C122:F122)</f>
        <v>-25230</v>
      </c>
      <c r="H122" s="880">
        <f ca="1">-SUMIFS(INDIRECT(CONCATENATE("'",$AW122,$AX122,":",$AY122)),INDIRECT(CONCATENATE("'",$AW122,$AX$116,":",$AY$116)),H$116)</f>
        <v>-2460.1986400000001</v>
      </c>
      <c r="I122" s="880">
        <f ca="1">-SUMIFS(INDIRECT(CONCATENATE("'",$AW122,$AX122,":",$AY122)),INDIRECT(CONCATENATE("'",$AW122,$AX$116,":",$AY$116)),I$116)</f>
        <v>-4724.2775700000002</v>
      </c>
      <c r="J122" s="880">
        <f ca="1">-SUMIFS(INDIRECT(CONCATENATE("'",$AW122,$AX122,":",$AY122)),INDIRECT(CONCATENATE("'",$AW122,$AX$116,":",$AY$116)),J$116)</f>
        <v>-14999.27721</v>
      </c>
      <c r="K122" s="880">
        <f ca="1">-SUMIFS(INDIRECT(CONCATENATE("'",$AW122,$AX122,":",$AY122)),INDIRECT(CONCATENATE("'",$AW122,$AX$116,":",$AY$116)),K$116)</f>
        <v>-13256.331969999999</v>
      </c>
      <c r="L122" s="637">
        <f ca="1">+SUM(H122:K122)</f>
        <v>-35440.08539</v>
      </c>
      <c r="M122" s="880">
        <f ca="1">-SUMIFS(INDIRECT(CONCATENATE("'",$AW122,$AX122,":",$AY122)),INDIRECT(CONCATENATE("'",$AW122,$AX$116,":",$AY$116)),M$116)</f>
        <v>-6635.6352500000012</v>
      </c>
      <c r="N122" s="880">
        <f ca="1">-SUMIFS(INDIRECT(CONCATENATE("'",$AW122,$AX122,":",$AY122)),INDIRECT(CONCATENATE("'",$AW122,$AX$116,":",$AY$116)),N$116)</f>
        <v>-14552.057499999999</v>
      </c>
      <c r="O122" s="880">
        <f ca="1">-SUMIFS(INDIRECT(CONCATENATE("'",$AW122,$AX122,":",$AY122)),INDIRECT(CONCATENATE("'",$AW122,$AX$116,":",$AY$116)),O$116)</f>
        <v>-4132.3085700000001</v>
      </c>
      <c r="P122" s="880">
        <f ca="1">-SUMIFS(INDIRECT(CONCATENATE("'",$AW122,$AX122,":",$AY122)),INDIRECT(CONCATENATE("'",$AW122,$AX$116,":",$AY$116)),P$116)</f>
        <v>-10689.66779</v>
      </c>
      <c r="Q122" s="637">
        <f ca="1">+SUM(M122:P122)</f>
        <v>-36009.669110000003</v>
      </c>
      <c r="R122" s="880">
        <f ca="1">-SUMIFS(INDIRECT(CONCATENATE("'",$AW122,$AX122,":",$AY122)),INDIRECT(CONCATENATE("'",$AW122,$AX$116,":",$AY$116)),R$116)</f>
        <v>-5427</v>
      </c>
      <c r="S122" s="880">
        <f ca="1">-SUMIFS(INDIRECT(CONCATENATE("'",$AW122,$AX122,":",$AY122)),INDIRECT(CONCATENATE("'",$AW122,$AX$116,":",$AY$116)),S$116)</f>
        <v>-4266</v>
      </c>
      <c r="T122" s="880">
        <f ca="1">-SUMIFS(INDIRECT(CONCATENATE("'",$AW122,$AX122,":",$AY122)),INDIRECT(CONCATENATE("'",$AW122,$AX$116,":",$AY$116)),T$116)</f>
        <v>-4406</v>
      </c>
      <c r="U122" s="880">
        <f ca="1">-SUMIFS(INDIRECT(CONCATENATE("'",$AW122,$AX122,":",$AY122)),INDIRECT(CONCATENATE("'",$AW122,$AX$116,":",$AY$116)),U$116)</f>
        <v>-5672</v>
      </c>
      <c r="V122" s="637">
        <f ca="1">+SUM(R122:U122)</f>
        <v>-19771</v>
      </c>
      <c r="W122" s="880">
        <f ca="1">-SUMIFS(INDIRECT(CONCATENATE("'",$AW122,$AX122,":",$AY122)),INDIRECT(CONCATENATE("'",$AW122,$AX$116,":",$AY$116)),W$116)</f>
        <v>-6526</v>
      </c>
      <c r="X122" s="880">
        <f ca="1">-SUMIFS(INDIRECT(CONCATENATE("'",$AW122,$AX122,":",$AY122)),INDIRECT(CONCATENATE("'",$AW122,$AX$116,":",$AY$116)),X$116)</f>
        <v>-6456</v>
      </c>
      <c r="Y122" s="880">
        <f ca="1">-SUMIFS(INDIRECT(CONCATENATE("'",$AW122,$AX122,":",$AY122)),INDIRECT(CONCATENATE("'",$AW122,$AX$116,":",$AY$116)),Y$116)</f>
        <v>-10292</v>
      </c>
      <c r="Z122" s="880">
        <f ca="1">-SUMIFS(INDIRECT(CONCATENATE("'",$AW122,$AX122,":",$AY122)),INDIRECT(CONCATENATE("'",$AW122,$AX$116,":",$AY$116)),Z$116)</f>
        <v>-6328</v>
      </c>
      <c r="AA122" s="637">
        <f ca="1">+SUM(W122:Z122)</f>
        <v>-29602</v>
      </c>
      <c r="AB122" s="880">
        <f ca="1">-SUMIFS(INDIRECT(CONCATENATE("'",$AW122,$AX122,":",$AY122)),INDIRECT(CONCATENATE("'",$AW122,$AX$116,":",$AY$116)),AB$116)</f>
        <v>-4409.3565700000054</v>
      </c>
      <c r="AC122" s="880">
        <f ca="1">-SUMIFS(INDIRECT(CONCATENATE("'",$AW122,$AX122,":",$AY122)),INDIRECT(CONCATENATE("'",$AW122,$AX$116,":",$AY$116)),AC$116)</f>
        <v>-12332.297929999988</v>
      </c>
      <c r="AD122" s="880">
        <f ca="1">-SUMIFS(INDIRECT(CONCATENATE("'",$AW122,$AX122,":",$AY122)),INDIRECT(CONCATENATE("'",$AW122,$AX$116,":",$AY$116)),AD$116)</f>
        <v>-7994.1122999999989</v>
      </c>
      <c r="AE122" s="880">
        <f ca="1">-SUMIFS(INDIRECT(CONCATENATE("'",$AW122,$AX122,":",$AY122)),INDIRECT(CONCATENATE("'",$AW122,$AX$116,":",$AY$116)),AE$116)</f>
        <v>-20242.128919999996</v>
      </c>
      <c r="AF122" s="1103">
        <f ca="1">+SUM(AB122:AE122)</f>
        <v>-44977.895719999986</v>
      </c>
      <c r="AG122" s="880">
        <f ca="1">-SUMIFS(INDIRECT(CONCATENATE("'",$AW122,$AX122,":",$AY122)),INDIRECT(CONCATENATE("'",$AW122,$AX$116,":",$AY$116)),AG$116)</f>
        <v>-5455.5496700000003</v>
      </c>
      <c r="AH122" s="880">
        <f ca="1">-SUMIFS(INDIRECT(CONCATENATE("'",$AW122,$AX122,":",$AY122)),INDIRECT(CONCATENATE("'",$AW122,$AX$116,":",$AY$116)),AH$116)</f>
        <v>-5162.2759199999982</v>
      </c>
      <c r="AI122" s="880">
        <f ca="1">-SUMIFS(INDIRECT(CONCATENATE("'",$AW122,$AX122,":",$AY122)),INDIRECT(CONCATENATE("'",$AW122,$AX$116,":",$AY$116)),AI$116)</f>
        <v>-11944.03478</v>
      </c>
      <c r="AJ122" s="880">
        <f ca="1">-SUMIFS(INDIRECT(CONCATENATE("'",$AW122,$AX122,":",$AY122)),INDIRECT(CONCATENATE("'",$AW122,$AX$116,":",$AY$116)),AJ$116)</f>
        <v>-10590</v>
      </c>
      <c r="AK122" s="1103">
        <f ca="1">+SUM(AG122:AJ122)</f>
        <v>-33151.860369999995</v>
      </c>
      <c r="AL122" s="880">
        <f ca="1">-SUMIFS(INDIRECT(CONCATENATE("'",$AW122,$AX122,":",$AY122)),INDIRECT(CONCATENATE("'",$AW122,$AX$116,":",$AY$116)),AL$116)</f>
        <v>-16136</v>
      </c>
      <c r="AM122" s="880">
        <f ca="1">-SUMIFS(INDIRECT(CONCATENATE("'",$AW122,$AX122,":",$AY122)),INDIRECT(CONCATENATE("'",$AW122,$AX$116,":",$AY$116)),AM$116)</f>
        <v>-12059.535570000004</v>
      </c>
      <c r="AN122" s="880">
        <f ca="1">-SUMIFS(INDIRECT(CONCATENATE("'",$AW122,$AX122,":",$AY122)),INDIRECT(CONCATENATE("'",$AW122,$AX$116,":",$AY$116)),AN$116)</f>
        <v>-12574.213229999987</v>
      </c>
      <c r="AO122" s="880">
        <f ca="1">-SUMIFS(INDIRECT(CONCATENATE("'",$AW122,$AX122,":",$AY122)),INDIRECT(CONCATENATE("'",$AW122,$AX$116,":",$AY$116)),AO$116)</f>
        <v>-16805.251200000013</v>
      </c>
      <c r="AP122" s="1103">
        <f ca="1">+SUM(AL122:AO122)</f>
        <v>-57575</v>
      </c>
      <c r="AQ122" s="880">
        <f ca="1">-SUMIFS(INDIRECT(CONCATENATE("'",$AW122,$AX122,":",$AY122)),INDIRECT(CONCATENATE("'",$AW122,$AX$116,":",$AY$116)),AQ$116)</f>
        <v>-9944.0004399999998</v>
      </c>
      <c r="AR122" s="880">
        <f ca="1">-SUMIFS(INDIRECT(CONCATENATE("'",$AW122,$AX122,":",$AY122)),INDIRECT(CONCATENATE("'",$AW122,$AX$116,":",$AY$116)),AR$116)</f>
        <v>-11444.999560000009</v>
      </c>
      <c r="AS122" s="880">
        <f ca="1">-SUMIFS(INDIRECT(CONCATENATE("'",$AW122,$AX122,":",$AY122)),INDIRECT(CONCATENATE("'",$AW122,$AX$116,":",$AY$116)),AS$116)</f>
        <v>-18181.399209365238</v>
      </c>
      <c r="AT122" s="880">
        <f ca="1">-SUMIFS(INDIRECT(CONCATENATE("'",$AW122,$AX122,":",$AY122)),INDIRECT(CONCATENATE("'",$AW122,$AX$116,":",$AY$116)),AT$116)</f>
        <v>-72803.04800000001</v>
      </c>
      <c r="AU122" s="1103">
        <f ca="1">+SUM(AQ122:AT122)</f>
        <v>-112373.44720936526</v>
      </c>
      <c r="AV122" s="880">
        <f ca="1">-SUMIFS(INDIRECT(CONCATENATE("'",$AW122,$AX122,":",$AY122)),INDIRECT(CONCATENATE("'",$AW122,$AX$116,":",$AY$116)),AV$116)</f>
        <v>-12339.4061</v>
      </c>
      <c r="AW122" s="267" t="s">
        <v>980</v>
      </c>
      <c r="AX122" s="267" t="str">
        <f>"$"&amp;ROW(Indicadores!$B$45)</f>
        <v>$45</v>
      </c>
      <c r="AY122" s="267" t="str">
        <f>"$"&amp;ROW(Indicadores!$B$45)</f>
        <v>$45</v>
      </c>
      <c r="AZ122" s="879" t="s">
        <v>981</v>
      </c>
      <c r="BA122" s="879" t="s">
        <v>980</v>
      </c>
      <c r="BB122" s="879"/>
      <c r="BC122" s="879"/>
      <c r="BD122" s="879"/>
      <c r="BE122" s="879"/>
      <c r="BH122" s="879"/>
      <c r="BI122" s="879"/>
      <c r="BJ122" s="879"/>
      <c r="BK122" s="879"/>
      <c r="BL122" s="879"/>
      <c r="BM122" s="879"/>
      <c r="BN122" s="879"/>
      <c r="BO122" s="879"/>
      <c r="BP122" s="879"/>
      <c r="BQ122" s="879"/>
      <c r="BR122" s="879"/>
      <c r="BS122" s="879"/>
      <c r="BT122" s="879"/>
      <c r="BU122" s="879"/>
      <c r="BV122" s="879"/>
      <c r="BW122" s="879"/>
      <c r="BX122" s="879"/>
      <c r="BY122" s="879"/>
      <c r="BZ122" s="879"/>
      <c r="CA122" s="879"/>
      <c r="CB122" s="879"/>
      <c r="CC122" s="879"/>
      <c r="CD122" s="879"/>
      <c r="CE122" s="879"/>
      <c r="CF122" s="879"/>
      <c r="CG122" s="879"/>
    </row>
    <row r="123" spans="1:85" ht="3" customHeight="1" x14ac:dyDescent="0.2">
      <c r="B123" s="868"/>
      <c r="C123" s="1032"/>
      <c r="D123" s="1032"/>
      <c r="E123" s="1032"/>
      <c r="F123" s="1032"/>
      <c r="G123" s="841"/>
      <c r="H123" s="1032"/>
      <c r="I123" s="1032"/>
      <c r="J123" s="1032"/>
      <c r="K123" s="1032"/>
      <c r="L123" s="841"/>
      <c r="M123" s="1032"/>
      <c r="N123" s="1032"/>
      <c r="O123" s="1032"/>
      <c r="P123" s="1032"/>
      <c r="Q123" s="841"/>
      <c r="R123" s="1032"/>
      <c r="S123" s="1032"/>
      <c r="T123" s="1032"/>
      <c r="U123" s="1032"/>
      <c r="V123" s="841"/>
      <c r="W123" s="1032"/>
      <c r="X123" s="1032"/>
      <c r="Y123" s="1032"/>
      <c r="Z123" s="1032"/>
      <c r="AA123" s="841"/>
      <c r="AB123" s="1032"/>
      <c r="AC123" s="1032"/>
      <c r="AD123" s="1032"/>
      <c r="AE123" s="1032"/>
      <c r="AF123" s="1105"/>
      <c r="AG123" s="1032"/>
      <c r="AH123" s="1032"/>
      <c r="AI123" s="1032"/>
      <c r="AJ123" s="1032"/>
      <c r="AK123" s="1105"/>
      <c r="AL123" s="1032"/>
      <c r="AM123" s="1032"/>
      <c r="AN123" s="1032"/>
      <c r="AO123" s="1032"/>
      <c r="AP123" s="1105"/>
      <c r="AQ123" s="1032"/>
      <c r="AR123" s="1032"/>
      <c r="AS123" s="1032"/>
      <c r="AT123" s="1032"/>
      <c r="AU123" s="1105"/>
      <c r="AV123" s="1032"/>
      <c r="AW123" s="267">
        <v>0</v>
      </c>
      <c r="BK123" s="267"/>
      <c r="BL123" s="267"/>
      <c r="BM123" s="267"/>
      <c r="BN123" s="267"/>
      <c r="BO123" s="267"/>
      <c r="BP123" s="267"/>
      <c r="BQ123" s="267"/>
      <c r="BR123" s="267"/>
      <c r="BS123" s="267"/>
      <c r="BT123" s="267"/>
      <c r="BU123" s="267"/>
      <c r="BV123" s="267"/>
      <c r="BW123" s="267"/>
      <c r="BX123" s="267"/>
      <c r="BY123" s="267"/>
      <c r="BZ123" s="267"/>
      <c r="CA123" s="267"/>
      <c r="CB123" s="267"/>
      <c r="CC123" s="267"/>
      <c r="CD123" s="267"/>
      <c r="CE123" s="267"/>
      <c r="CF123" s="267"/>
      <c r="CG123" s="267"/>
    </row>
    <row r="124" spans="1:85" ht="13.5" customHeight="1" x14ac:dyDescent="0.2">
      <c r="B124" s="842" t="s">
        <v>481</v>
      </c>
      <c r="C124" s="841">
        <v>23189</v>
      </c>
      <c r="D124" s="841">
        <v>23235</v>
      </c>
      <c r="E124" s="841">
        <v>26706</v>
      </c>
      <c r="F124" s="841">
        <v>32237</v>
      </c>
      <c r="G124" s="637">
        <f>+F124</f>
        <v>32237</v>
      </c>
      <c r="H124" s="841">
        <v>28016</v>
      </c>
      <c r="I124" s="841">
        <v>24553</v>
      </c>
      <c r="J124" s="841">
        <v>27786</v>
      </c>
      <c r="K124" s="841">
        <v>36898</v>
      </c>
      <c r="L124" s="637">
        <f>+K124</f>
        <v>36898</v>
      </c>
      <c r="M124" s="841">
        <v>32147</v>
      </c>
      <c r="N124" s="841">
        <v>30700</v>
      </c>
      <c r="O124" s="841">
        <v>30325</v>
      </c>
      <c r="P124" s="841">
        <v>36312</v>
      </c>
      <c r="Q124" s="637">
        <f>+P124</f>
        <v>36312</v>
      </c>
      <c r="R124" s="841">
        <f ca="1">+SUMIFS(INDIRECT(CONCATENATE("'",$AW124,$AX124,":",$AY124)),INDIRECT(CONCATENATE("'",$AW124,$AX$116,":",$AY$116)),R$92)</f>
        <v>21287</v>
      </c>
      <c r="S124" s="841">
        <f ca="1">+SUMIFS(INDIRECT(CONCATENATE("'",$AW124,$AX124,":",$AY124)),INDIRECT(CONCATENATE("'",$AW124,$AX$116,":",$AY$116)),S$92)</f>
        <v>17169</v>
      </c>
      <c r="T124" s="841">
        <f ca="1">+SUMIFS(INDIRECT(CONCATENATE("'",$AW124,$AX124,":",$AY124)),INDIRECT(CONCATENATE("'",$AW124,$AX$116,":",$AY$116)),T$92)</f>
        <v>28173</v>
      </c>
      <c r="U124" s="841">
        <f ca="1">+SUMIFS(INDIRECT(CONCATENATE("'",$AW124,$AX124,":",$AY124)),INDIRECT(CONCATENATE("'",$AW124,$AX$116,":",$AY$116)),U$92)</f>
        <v>31268</v>
      </c>
      <c r="V124" s="637">
        <f ca="1">+U124</f>
        <v>31268</v>
      </c>
      <c r="W124" s="841">
        <f ca="1">+SUMIFS(INDIRECT(CONCATENATE("'",$AW124,$AX124,":",$AY124)),INDIRECT(CONCATENATE("'",$AW124,$AX$116,":",$AY$116)),W$92)</f>
        <v>27426</v>
      </c>
      <c r="X124" s="884">
        <f ca="1">+SUMIFS(INDIRECT(CONCATENATE("'",$AW124,$AX124,":",$AY124)),INDIRECT(CONCATENATE("'",$AW124,$AX$116,":",$AY$116)),X$92)</f>
        <v>29673</v>
      </c>
      <c r="Y124" s="884">
        <f ca="1">+SUMIFS(INDIRECT(CONCATENATE("'",$AW124,$AX124,":",$AY124)),INDIRECT(CONCATENATE("'",$AW124,$AX$116,":",$AY$116)),Y$92)</f>
        <v>37709</v>
      </c>
      <c r="Z124" s="884">
        <f ca="1">+SUMIFS(INDIRECT(CONCATENATE("'",$AW124,$AX124,":",$AY124)),INDIRECT(CONCATENATE("'",$AW124,$AX$116,":",$AY$116)),Z$92)</f>
        <v>47838</v>
      </c>
      <c r="AA124" s="898">
        <f ca="1">+Z124</f>
        <v>47838</v>
      </c>
      <c r="AB124" s="884">
        <f ca="1">+SUMIFS(INDIRECT(CONCATENATE("'",$AW124,$AX124,":",$AY124)),INDIRECT(CONCATENATE("'",$AW124,$AX$116,":",$AY$116)),AB$92)</f>
        <v>39307</v>
      </c>
      <c r="AC124" s="884">
        <f ca="1">+SUMIFS(INDIRECT(CONCATENATE("'",$AW124,$AX124,":",$AY124)),INDIRECT(CONCATENATE("'",$AW124,$AX$116,":",$AY$116)),AC$92)</f>
        <v>34064</v>
      </c>
      <c r="AD124" s="841">
        <f ca="1">+SUMIFS(INDIRECT(CONCATENATE("'",$AW124,$AX124,":",$AY124)),INDIRECT(CONCATENATE("'",$AW124,$AX$116,":",$AY$116)),AD$92)</f>
        <v>30411</v>
      </c>
      <c r="AE124" s="841">
        <f ca="1">+SUMIFS(INDIRECT(CONCATENATE("'",$AW124,$AX124,":",$AY124)),INDIRECT(CONCATENATE("'",$AW124,$AX$116,":",$AY$116)),AE$92)</f>
        <v>49406</v>
      </c>
      <c r="AF124" s="1103">
        <f ca="1">+AE124</f>
        <v>49406</v>
      </c>
      <c r="AG124" s="841">
        <f ca="1">+SUMIFS(INDIRECT(CONCATENATE("'",$AW124,$AX124,":",$AY124)),INDIRECT(CONCATENATE("'",$AW124,$AX$116,":",$AY$116)),AG$92)</f>
        <v>36895</v>
      </c>
      <c r="AH124" s="841">
        <f ca="1">+SUMIFS(INDIRECT(CONCATENATE("'",$AW124,$AX124,":",$AY124)),INDIRECT(CONCATENATE("'",$AW124,$AX$116,":",$AY$116)),AH$92)</f>
        <v>36160</v>
      </c>
      <c r="AI124" s="841">
        <f ca="1">+SUMIFS(INDIRECT(CONCATENATE("'",$AW124,$AX124,":",$AY124)),INDIRECT(CONCATENATE("'",$AW124,$AX$116,":",$AY$116)),AI$92)</f>
        <v>43470</v>
      </c>
      <c r="AJ124" s="841">
        <f ca="1">+SUMIFS(INDIRECT(CONCATENATE("'",$AW124,$AX124,":",$AY124)),INDIRECT(CONCATENATE("'",$AW124,$AX$116,":",$AY$116)),AJ$92)</f>
        <v>49620</v>
      </c>
      <c r="AK124" s="1103">
        <f ca="1">+AJ124</f>
        <v>49620</v>
      </c>
      <c r="AL124" s="841">
        <f ca="1">+SUMIFS(INDIRECT(CONCATENATE("'",$AW124,$AX124,":",$AY124)),INDIRECT(CONCATENATE("'",$AW124,$AX$116,":",$AY$116)),AL$92)</f>
        <v>45666</v>
      </c>
      <c r="AM124" s="841">
        <f ca="1">+SUMIFS(INDIRECT(CONCATENATE("'",$AW124,$AX124,":",$AY124)),INDIRECT(CONCATENATE("'",$AW124,$AX$116,":",$AY$116)),AM$92)</f>
        <v>54715</v>
      </c>
      <c r="AN124" s="841">
        <f ca="1">+SUMIFS(INDIRECT(CONCATENATE("'",$AW124,$AX124,":",$AY124)),INDIRECT(CONCATENATE("'",$AW124,$AX$116,":",$AY$116)),AN$92)</f>
        <v>56527</v>
      </c>
      <c r="AO124" s="841">
        <f ca="1">+SUMIFS(INDIRECT(CONCATENATE("'",$AW124,$AX124,":",$AY124)),INDIRECT(CONCATENATE("'",$AW124,$AX$116,":",$AY$116)),AO$92)</f>
        <v>62418</v>
      </c>
      <c r="AP124" s="1103">
        <f ca="1">+AO124</f>
        <v>62418</v>
      </c>
      <c r="AQ124" s="841">
        <f ca="1">+SUMIFS(INDIRECT(CONCATENATE("'",$AW124,$AX124,":",$AY124)),INDIRECT(CONCATENATE("'",$AW124,$AX$116,":",$AY$116)),AQ$92)</f>
        <v>48147</v>
      </c>
      <c r="AR124" s="841">
        <f ca="1">+SUMIFS(INDIRECT(CONCATENATE("'",$AW124,$AX124,":",$AY124)),INDIRECT(CONCATENATE("'",$AW124,$AX$116,":",$AY$116)),AR$92)</f>
        <v>52246</v>
      </c>
      <c r="AS124" s="841">
        <f ca="1">+SUMIFS(INDIRECT(CONCATENATE("'",$AW124,$AX124,":",$AY124)),INDIRECT(CONCATENATE("'",$AW124,$AX$116,":",$AY$116)),AS$92)</f>
        <v>59589</v>
      </c>
      <c r="AT124" s="841">
        <f ca="1">+SUMIFS(INDIRECT(CONCATENATE("'",$AW124,$AX124,":",$AY124)),INDIRECT(CONCATENATE("'",$AW124,$AX$116,":",$AY$116)),AT$92)</f>
        <v>62248</v>
      </c>
      <c r="AU124" s="1103">
        <f ca="1">+AT124</f>
        <v>62248</v>
      </c>
      <c r="AV124" s="841">
        <f ca="1">+SUMIFS(INDIRECT(CONCATENATE("'",$AW124,$AX124,":",$AY124)),INDIRECT(CONCATENATE("'",$AW124,$AX$116,":",$AY$116)),AV$92)</f>
        <v>68197</v>
      </c>
      <c r="AW124" s="267" t="s">
        <v>977</v>
      </c>
      <c r="AX124" s="267" t="str">
        <f>"$"&amp;ROW(BP!$B$46)</f>
        <v>$46</v>
      </c>
      <c r="AY124" s="267" t="str">
        <f>"$"&amp;ROW(BP!$B$46)</f>
        <v>$46</v>
      </c>
      <c r="AZ124" s="267" t="s">
        <v>978</v>
      </c>
      <c r="BA124" s="267" t="s">
        <v>977</v>
      </c>
      <c r="BK124" s="267"/>
      <c r="BL124" s="267"/>
      <c r="BM124" s="267"/>
      <c r="BN124" s="267"/>
      <c r="BO124" s="267"/>
      <c r="BP124" s="267"/>
      <c r="BQ124" s="267"/>
      <c r="BR124" s="267"/>
      <c r="BS124" s="267"/>
      <c r="BT124" s="267"/>
      <c r="BU124" s="267"/>
      <c r="BV124" s="267"/>
      <c r="BW124" s="267"/>
      <c r="BX124" s="267"/>
      <c r="BY124" s="267"/>
      <c r="BZ124" s="267"/>
      <c r="CA124" s="267"/>
      <c r="CB124" s="267"/>
      <c r="CC124" s="267"/>
      <c r="CD124" s="267"/>
      <c r="CE124" s="267"/>
      <c r="CF124" s="267"/>
      <c r="CG124" s="267"/>
    </row>
    <row r="125" spans="1:85" s="283" customFormat="1" ht="13.5" customHeight="1" x14ac:dyDescent="0.2">
      <c r="A125" s="877"/>
      <c r="B125" s="876" t="s">
        <v>783</v>
      </c>
      <c r="C125" s="875">
        <f ca="1">+C124/(C12/90)</f>
        <v>-11.933599249814067</v>
      </c>
      <c r="D125" s="875">
        <f ca="1">+D124/(D12/90)</f>
        <v>-10.155106692879134</v>
      </c>
      <c r="E125" s="875">
        <f ca="1">+E124/(E12/90)</f>
        <v>-10.626386994120585</v>
      </c>
      <c r="F125" s="875">
        <f ca="1">+F124/(F12/90)</f>
        <v>-11.730012200209686</v>
      </c>
      <c r="G125" s="874">
        <f ca="1">+F125</f>
        <v>-11.730012200209686</v>
      </c>
      <c r="H125" s="875">
        <f ca="1">+H124/(H12/90)</f>
        <v>-12.172282363421248</v>
      </c>
      <c r="I125" s="875">
        <f ca="1">+I124/(I12/90)</f>
        <v>-9.608399476626218</v>
      </c>
      <c r="J125" s="875">
        <f ca="1">+J124/(J12/90)</f>
        <v>-9.6788574904958349</v>
      </c>
      <c r="K125" s="875">
        <f ca="1">+K124/(K12/90)</f>
        <v>-12.100857505285793</v>
      </c>
      <c r="L125" s="874">
        <f ca="1">+K125</f>
        <v>-12.100857505285793</v>
      </c>
      <c r="M125" s="875">
        <f ca="1">+M124/(M12/90)</f>
        <v>-13.159486062556086</v>
      </c>
      <c r="N125" s="875">
        <f ca="1">+N124/(N12/90)</f>
        <v>-11.062378441584492</v>
      </c>
      <c r="O125" s="875">
        <f ca="1">+O124/(O12/90)</f>
        <v>-10.843024330046713</v>
      </c>
      <c r="P125" s="875">
        <f ca="1">+P124/(P12/90)</f>
        <v>-11.710730922071987</v>
      </c>
      <c r="Q125" s="874">
        <f ca="1">+P125</f>
        <v>-11.710730922071987</v>
      </c>
      <c r="R125" s="875">
        <f ca="1">+R124/(R12/90)</f>
        <v>-9.2157068853869877</v>
      </c>
      <c r="S125" s="875">
        <f ca="1">+S124/(S12/90)</f>
        <v>-14.587910140543697</v>
      </c>
      <c r="T125" s="875">
        <f ca="1">+T124/(T12/90)</f>
        <v>-11.939629091146879</v>
      </c>
      <c r="U125" s="875">
        <f ca="1">+U124/(U12/90)</f>
        <v>-12.067483423060411</v>
      </c>
      <c r="V125" s="874">
        <f ca="1">+U125</f>
        <v>-12.067483423060411</v>
      </c>
      <c r="W125" s="875">
        <f ca="1">+W124/(W12/90)</f>
        <v>-13.754623422236131</v>
      </c>
      <c r="X125" s="1094">
        <f ca="1">+X124/(X12/90)</f>
        <v>-14.759832815906426</v>
      </c>
      <c r="Y125" s="1094">
        <f ca="1">+Y124/(Y12/90)</f>
        <v>-19.062321463452598</v>
      </c>
      <c r="Z125" s="1094">
        <f ca="1">+Z124/(Z12/90)</f>
        <v>-18.36582366014191</v>
      </c>
      <c r="AA125" s="982">
        <f ca="1">+Z125</f>
        <v>-18.36582366014191</v>
      </c>
      <c r="AB125" s="1094">
        <f ca="1">+AB124/(AB12/90)</f>
        <v>-18.654454177466803</v>
      </c>
      <c r="AC125" s="1094">
        <f ca="1">+AC124/(AC12/90)</f>
        <v>-13.069732434324456</v>
      </c>
      <c r="AD125" s="875">
        <f ca="1">+AD124/(AD12/90)</f>
        <v>-8.8730656490397379</v>
      </c>
      <c r="AE125" s="875">
        <f ca="1">+AE124/(AE12/90)</f>
        <v>-14.135644556540573</v>
      </c>
      <c r="AF125" s="1104">
        <f ca="1">+AE125</f>
        <v>-14.135644556540573</v>
      </c>
      <c r="AG125" s="875">
        <f ca="1">+AG124/(AG12/90)</f>
        <v>-12.585883443551195</v>
      </c>
      <c r="AH125" s="875">
        <f ca="1">+AH124/(AH12/90)</f>
        <v>-11.399507890810398</v>
      </c>
      <c r="AI125" s="875">
        <f ca="1">+AI124/(AI12/90)</f>
        <v>-12.111450198110719</v>
      </c>
      <c r="AJ125" s="875">
        <f ca="1">+AJ124/(AJ12/90)</f>
        <v>-12.783115107752598</v>
      </c>
      <c r="AK125" s="1104">
        <f ca="1">+AJ125</f>
        <v>-12.783115107752598</v>
      </c>
      <c r="AL125" s="875">
        <f ca="1">+AL124/(AL12/90)</f>
        <v>-13.565318593967481</v>
      </c>
      <c r="AM125" s="875">
        <f ca="1">+AM124/(AM12/90)</f>
        <v>-13.5267447568615</v>
      </c>
      <c r="AN125" s="1163">
        <f ca="1">+AN124/(AN12/90)</f>
        <v>-11.265199630188391</v>
      </c>
      <c r="AO125" s="1163">
        <f ca="1">+AO124/(AO12/90)</f>
        <v>-11.953800014477812</v>
      </c>
      <c r="AP125" s="1104">
        <f ca="1">+AO125</f>
        <v>-11.953800014477812</v>
      </c>
      <c r="AQ125" s="1163">
        <f ca="1">+AQ124/(AQ12/90)</f>
        <v>-12.630157763381856</v>
      </c>
      <c r="AR125" s="1163">
        <f ca="1">+AR124/(AR12/90)</f>
        <v>-11.297739759922276</v>
      </c>
      <c r="AS125" s="1163">
        <f ca="1">+AS124/(AS12/90)</f>
        <v>-10.965299442536605</v>
      </c>
      <c r="AT125" s="1163">
        <f ca="1">+AT124/(AT12/90)</f>
        <v>-11.318189799832316</v>
      </c>
      <c r="AU125" s="1104">
        <f ca="1">+AT125</f>
        <v>-11.318189799832316</v>
      </c>
      <c r="AV125" s="1163">
        <f ca="1">+AV124/(AV12/90)</f>
        <v>-14.508709413254177</v>
      </c>
      <c r="AW125" s="873"/>
      <c r="AX125" s="873"/>
      <c r="AY125" s="873"/>
      <c r="AZ125" s="873"/>
      <c r="BA125" s="873"/>
      <c r="BB125" s="873"/>
      <c r="BC125" s="873"/>
      <c r="BD125" s="873"/>
      <c r="BE125" s="873"/>
      <c r="BH125" s="873"/>
      <c r="BI125" s="873"/>
      <c r="BJ125" s="873"/>
      <c r="BK125" s="873"/>
      <c r="BL125" s="873"/>
      <c r="BM125" s="873"/>
      <c r="BN125" s="873"/>
      <c r="BO125" s="873"/>
      <c r="BP125" s="873"/>
      <c r="BQ125" s="873"/>
      <c r="BR125" s="873"/>
      <c r="BS125" s="873"/>
      <c r="BT125" s="873"/>
      <c r="BU125" s="873"/>
      <c r="BV125" s="873"/>
      <c r="BW125" s="873"/>
      <c r="BX125" s="873"/>
      <c r="BY125" s="873"/>
      <c r="BZ125" s="873"/>
      <c r="CA125" s="873"/>
      <c r="CB125" s="873"/>
      <c r="CC125" s="873"/>
      <c r="CD125" s="873"/>
      <c r="CE125" s="873"/>
      <c r="CF125" s="873"/>
      <c r="CG125" s="873"/>
    </row>
    <row r="126" spans="1:85" ht="3" customHeight="1" x14ac:dyDescent="0.2">
      <c r="B126" s="868"/>
      <c r="C126" s="1032"/>
      <c r="D126" s="1032"/>
      <c r="E126" s="1032"/>
      <c r="F126" s="1032"/>
      <c r="G126" s="841"/>
      <c r="H126" s="1032"/>
      <c r="I126" s="1032"/>
      <c r="J126" s="1032"/>
      <c r="K126" s="1032"/>
      <c r="L126" s="841"/>
      <c r="M126" s="1032"/>
      <c r="N126" s="1032"/>
      <c r="O126" s="1032"/>
      <c r="P126" s="1032"/>
      <c r="Q126" s="841"/>
      <c r="R126" s="1032"/>
      <c r="S126" s="1032"/>
      <c r="T126" s="1032"/>
      <c r="U126" s="1032"/>
      <c r="V126" s="841"/>
      <c r="W126" s="1032"/>
      <c r="X126" s="1032"/>
      <c r="Y126" s="1032"/>
      <c r="Z126" s="1032"/>
      <c r="AA126" s="841"/>
      <c r="AB126" s="1032"/>
      <c r="AC126" s="1032"/>
      <c r="AD126" s="1032"/>
      <c r="AE126" s="1032"/>
      <c r="AF126" s="1105"/>
      <c r="AG126" s="1032"/>
      <c r="AH126" s="1032"/>
      <c r="AI126" s="1032"/>
      <c r="AJ126" s="1032"/>
      <c r="AK126" s="1105"/>
      <c r="AL126" s="1032"/>
      <c r="AM126" s="1032"/>
      <c r="AN126" s="1032"/>
      <c r="AO126" s="1032"/>
      <c r="AP126" s="1105"/>
      <c r="AQ126" s="1032"/>
      <c r="AR126" s="1032"/>
      <c r="AS126" s="1032"/>
      <c r="AT126" s="1032"/>
      <c r="AU126" s="1105"/>
      <c r="AV126" s="1032"/>
      <c r="BK126" s="267"/>
      <c r="BL126" s="267"/>
      <c r="BM126" s="267"/>
      <c r="BN126" s="267"/>
      <c r="BO126" s="267"/>
      <c r="BP126" s="267"/>
      <c r="BQ126" s="267"/>
      <c r="BR126" s="267"/>
      <c r="BS126" s="267"/>
      <c r="BT126" s="267"/>
      <c r="BU126" s="267"/>
      <c r="BV126" s="267"/>
      <c r="BW126" s="267"/>
      <c r="BX126" s="267"/>
      <c r="BY126" s="267"/>
      <c r="BZ126" s="267"/>
      <c r="CA126" s="267"/>
      <c r="CB126" s="267"/>
      <c r="CC126" s="267"/>
      <c r="CD126" s="267"/>
      <c r="CE126" s="267"/>
      <c r="CF126" s="267"/>
      <c r="CG126" s="267"/>
    </row>
    <row r="127" spans="1:85" ht="14.25" customHeight="1" x14ac:dyDescent="0.2">
      <c r="B127" s="842" t="s">
        <v>979</v>
      </c>
      <c r="C127" s="841">
        <v>291577</v>
      </c>
      <c r="D127" s="841">
        <v>221452</v>
      </c>
      <c r="E127" s="841">
        <v>273851</v>
      </c>
      <c r="F127" s="841">
        <v>219975</v>
      </c>
      <c r="G127" s="637">
        <f>+F127</f>
        <v>219975</v>
      </c>
      <c r="H127" s="841">
        <v>154169</v>
      </c>
      <c r="I127" s="841">
        <v>148113</v>
      </c>
      <c r="J127" s="841">
        <v>158913</v>
      </c>
      <c r="K127" s="841">
        <v>158586</v>
      </c>
      <c r="L127" s="637">
        <f>+K127</f>
        <v>158586</v>
      </c>
      <c r="M127" s="841">
        <v>142726</v>
      </c>
      <c r="N127" s="841">
        <v>138647</v>
      </c>
      <c r="O127" s="841">
        <v>140100</v>
      </c>
      <c r="P127" s="841">
        <v>137418</v>
      </c>
      <c r="Q127" s="637">
        <f>+P127</f>
        <v>137418</v>
      </c>
      <c r="R127" s="841">
        <f ca="1">+SUMIFS(INDIRECT(CONCATENATE("'",$AW127,$AX127,":",$AX127)),INDIRECT(CONCATENATE("'",$AW127,$AX$116,":",$AX$116)),R$92)+SUMIFS(INDIRECT(CONCATENATE("'",$AW127,$AY127,":",$AY127)),INDIRECT(CONCATENATE("'",$AW127,$AX$116,":",$AX$116)),R$92)+SUMIFS(INDIRECT(CONCATENATE("'",$AW127,$AZ127,":",$AZ127)),INDIRECT(CONCATENATE("'",$AW127,$AX$116,":",$AX$116)),R$92)+SUMIFS(INDIRECT(CONCATENATE("'",$AW127,$BA127,":",$BA127)),INDIRECT(CONCATENATE("'",$AW127,$AX$116,":",$AX$116)),R$92)-SUMIFS(INDIRECT(CONCATENATE("'",$AW127,$BB127,":",$BB127)),INDIRECT(CONCATENATE("'",$AW127,$AX$116,":",$AX$116)),R$92)</f>
        <v>109177</v>
      </c>
      <c r="S127" s="841">
        <f ca="1">+SUMIFS(INDIRECT(CONCATENATE("'",$AW127,$AX127,":",$AX127)),INDIRECT(CONCATENATE("'",$AW127,$AX$116,":",$AX$116)),S$92)+SUMIFS(INDIRECT(CONCATENATE("'",$AW127,$AY127,":",$AY127)),INDIRECT(CONCATENATE("'",$AW127,$AX$116,":",$AX$116)),S$92)+SUMIFS(INDIRECT(CONCATENATE("'",$AW127,$AZ127,":",$AZ127)),INDIRECT(CONCATENATE("'",$AW127,$AX$116,":",$AX$116)),S$92)+SUMIFS(INDIRECT(CONCATENATE("'",$AW127,$BA127,":",$BA127)),INDIRECT(CONCATENATE("'",$AW127,$AX$116,":",$AX$116)),S$92)-SUMIFS(INDIRECT(CONCATENATE("'",$AW127,$BB127,":",$BB127)),INDIRECT(CONCATENATE("'",$AW127,$AX$116,":",$AX$116)),S$92)</f>
        <v>199692</v>
      </c>
      <c r="T127" s="841">
        <f ca="1">+SUMIFS(INDIRECT(CONCATENATE("'",$AW127,$AX127,":",$AX127)),INDIRECT(CONCATENATE("'",$AW127,$AX$116,":",$AX$116)),T$92)+SUMIFS(INDIRECT(CONCATENATE("'",$AW127,$AY127,":",$AY127)),INDIRECT(CONCATENATE("'",$AW127,$AX$116,":",$AX$116)),T$92)+SUMIFS(INDIRECT(CONCATENATE("'",$AW127,$AZ127,":",$AZ127)),INDIRECT(CONCATENATE("'",$AW127,$AX$116,":",$AX$116)),T$92)+SUMIFS(INDIRECT(CONCATENATE("'",$AW127,$BA127,":",$BA127)),INDIRECT(CONCATENATE("'",$AW127,$AX$116,":",$AX$116)),T$92)-SUMIFS(INDIRECT(CONCATENATE("'",$AW127,$BB127,":",$BB127)),INDIRECT(CONCATENATE("'",$AW127,$AX$116,":",$AX$116)),T$92)</f>
        <v>194035</v>
      </c>
      <c r="U127" s="841">
        <f ca="1">+SUMIFS(INDIRECT(CONCATENATE("'",$AW127,$AX127,":",$AX127)),INDIRECT(CONCATENATE("'",$AW127,$AX$116,":",$AX$116)),U$92)+SUMIFS(INDIRECT(CONCATENATE("'",$AW127,$AY127,":",$AY127)),INDIRECT(CONCATENATE("'",$AW127,$AX$116,":",$AX$116)),U$92)+SUMIFS(INDIRECT(CONCATENATE("'",$AW127,$AZ127,":",$AZ127)),INDIRECT(CONCATENATE("'",$AW127,$AX$116,":",$AX$116)),U$92)+SUMIFS(INDIRECT(CONCATENATE("'",$AW127,$BA127,":",$BA127)),INDIRECT(CONCATENATE("'",$AW127,$AX$116,":",$AX$116)),U$92)-SUMIFS(INDIRECT(CONCATENATE("'",$AW127,$BB127,":",$BB127)),INDIRECT(CONCATENATE("'",$AW127,$AX$116,":",$AX$116)),U$92)</f>
        <v>194370</v>
      </c>
      <c r="V127" s="637">
        <f ca="1">+U127</f>
        <v>194370</v>
      </c>
      <c r="W127" s="841">
        <f ca="1">+SUMIFS(INDIRECT(CONCATENATE("'",$AW127,$AX127,":",$AX127)),INDIRECT(CONCATENATE("'",$AW127,$AX$116,":",$AX$116)),W$92)+SUMIFS(INDIRECT(CONCATENATE("'",$AW127,$AY127,":",$AY127)),INDIRECT(CONCATENATE("'",$AW127,$AX$116,":",$AX$116)),W$92)+SUMIFS(INDIRECT(CONCATENATE("'",$AW127,$AZ127,":",$AZ127)),INDIRECT(CONCATENATE("'",$AW127,$AX$116,":",$AX$116)),W$92)+SUMIFS(INDIRECT(CONCATENATE("'",$AW127,$BA127,":",$BA127)),INDIRECT(CONCATENATE("'",$AW127,$AX$116,":",$AX$116)),W$92)-SUMIFS(INDIRECT(CONCATENATE("'",$AW127,$BB127,":",$BB127)),INDIRECT(CONCATENATE("'",$AW127,$AX$116,":",$AX$116)),W$92)</f>
        <v>195148</v>
      </c>
      <c r="X127" s="841">
        <f ca="1">+SUMIFS(INDIRECT(CONCATENATE("'",$AW127,$AX127,":",$AX127)),INDIRECT(CONCATENATE("'",$AW127,$AX$116,":",$AX$116)),X$92)+SUMIFS(INDIRECT(CONCATENATE("'",$AW127,$AY127,":",$AY127)),INDIRECT(CONCATENATE("'",$AW127,$AX$116,":",$AX$116)),X$92)+SUMIFS(INDIRECT(CONCATENATE("'",$AW127,$AZ127,":",$AZ127)),INDIRECT(CONCATENATE("'",$AW127,$AX$116,":",$AX$116)),X$92)+SUMIFS(INDIRECT(CONCATENATE("'",$AW127,$BA127,":",$BA127)),INDIRECT(CONCATENATE("'",$AW127,$AX$116,":",$AX$116)),X$92)-SUMIFS(INDIRECT(CONCATENATE("'",$AW127,$BB127,":",$BB127)),INDIRECT(CONCATENATE("'",$AW127,$AX$116,":",$AX$116)),X$92)</f>
        <v>152866</v>
      </c>
      <c r="Y127" s="841">
        <f ca="1">+SUMIFS(INDIRECT(CONCATENATE("'",$AW127,$AX127,":",$AX127)),INDIRECT(CONCATENATE("'",$AW127,$AX$116,":",$AX$116)),Y$92)+SUMIFS(INDIRECT(CONCATENATE("'",$AW127,$AY127,":",$AY127)),INDIRECT(CONCATENATE("'",$AW127,$AX$116,":",$AX$116)),Y$92)+SUMIFS(INDIRECT(CONCATENATE("'",$AW127,$AZ127,":",$AZ127)),INDIRECT(CONCATENATE("'",$AW127,$AX$116,":",$AX$116)),Y$92)+SUMIFS(INDIRECT(CONCATENATE("'",$AW127,$BA127,":",$BA127)),INDIRECT(CONCATENATE("'",$AW127,$AX$116,":",$AX$116)),Y$92)-SUMIFS(INDIRECT(CONCATENATE("'",$AW127,$BB127,":",$BB127)),INDIRECT(CONCATENATE("'",$AW127,$AX$116,":",$AX$116)),Y$92)</f>
        <v>128229</v>
      </c>
      <c r="Z127" s="841">
        <f ca="1">+SUMIFS(INDIRECT(CONCATENATE("'",$AW127,$AX127,":",$AX127)),INDIRECT(CONCATENATE("'",$AW127,$AX$116,":",$AX$116)),Z$92)+SUMIFS(INDIRECT(CONCATENATE("'",$AW127,$AY127,":",$AY127)),INDIRECT(CONCATENATE("'",$AW127,$AX$116,":",$AX$116)),Z$92)+SUMIFS(INDIRECT(CONCATENATE("'",$AW127,$AZ127,":",$AZ127)),INDIRECT(CONCATENATE("'",$AW127,$AX$116,":",$AX$116)),Z$92)+SUMIFS(INDIRECT(CONCATENATE("'",$AW127,$BA127,":",$BA127)),INDIRECT(CONCATENATE("'",$AW127,$AX$116,":",$AX$116)),Z$92)-SUMIFS(INDIRECT(CONCATENATE("'",$AW127,$BB127,":",$BB127)),INDIRECT(CONCATENATE("'",$AW127,$AX$116,":",$AX$116)),Z$92)</f>
        <v>129437</v>
      </c>
      <c r="AA127" s="637">
        <f ca="1">+Z127</f>
        <v>129437</v>
      </c>
      <c r="AB127" s="841">
        <f ca="1">+SUMIFS(INDIRECT(CONCATENATE("'",$AW127,$AX127,":",$AX127)),INDIRECT(CONCATENATE("'",$AW127,$AX$116,":",$AX$116)),AB$92)+SUMIFS(INDIRECT(CONCATENATE("'",$AW127,$AY127,":",$AY127)),INDIRECT(CONCATENATE("'",$AW127,$AX$116,":",$AX$116)),AB$92)+SUMIFS(INDIRECT(CONCATENATE("'",$AW127,$AZ127,":",$AZ127)),INDIRECT(CONCATENATE("'",$AW127,$AX$116,":",$AX$116)),AB$92)+SUMIFS(INDIRECT(CONCATENATE("'",$AW127,$BA127,":",$BA127)),INDIRECT(CONCATENATE("'",$AW127,$AX$116,":",$AX$116)),AB$92)-SUMIFS(INDIRECT(CONCATENATE("'",$AW127,$BB127,":",$BB127)),INDIRECT(CONCATENATE("'",$AW127,$AX$116,":",$AX$116)),AB$92)</f>
        <v>119778</v>
      </c>
      <c r="AC127" s="841">
        <f ca="1">+SUMIFS(INDIRECT(CONCATENATE("'",$AW127,$AX127,":",$AX127)),INDIRECT(CONCATENATE("'",$AW127,$AX$116,":",$AX$116)),AC$92)+SUMIFS(INDIRECT(CONCATENATE("'",$AW127,$AY127,":",$AY127)),INDIRECT(CONCATENATE("'",$AW127,$AX$116,":",$AX$116)),AC$92)+SUMIFS(INDIRECT(CONCATENATE("'",$AW127,$AZ127,":",$AZ127)),INDIRECT(CONCATENATE("'",$AW127,$AX$116,":",$AX$116)),AC$92)+SUMIFS(INDIRECT(CONCATENATE("'",$AW127,$BA127,":",$BA127)),INDIRECT(CONCATENATE("'",$AW127,$AX$116,":",$AX$116)),AC$92)-SUMIFS(INDIRECT(CONCATENATE("'",$AW127,$BB127,":",$BB127)),INDIRECT(CONCATENATE("'",$AW127,$AX$116,":",$AX$116)),AC$92)</f>
        <v>68935</v>
      </c>
      <c r="AD127" s="841">
        <f ca="1">+SUMIFS(INDIRECT(CONCATENATE("'",$AW127,$AX127,":",$AX127)),INDIRECT(CONCATENATE("'",$AW127,$AX$116,":",$AX$116)),AD$92)+SUMIFS(INDIRECT(CONCATENATE("'",$AW127,$AY127,":",$AY127)),INDIRECT(CONCATENATE("'",$AW127,$AX$116,":",$AX$116)),AD$92)+SUMIFS(INDIRECT(CONCATENATE("'",$AW127,$AZ127,":",$AZ127)),INDIRECT(CONCATENATE("'",$AW127,$AX$116,":",$AX$116)),AD$92)+SUMIFS(INDIRECT(CONCATENATE("'",$AW127,$BA127,":",$BA127)),INDIRECT(CONCATENATE("'",$AW127,$AX$116,":",$AX$116)),AD$92)-SUMIFS(INDIRECT(CONCATENATE("'",$AW127,$BB127,":",$BB127)),INDIRECT(CONCATENATE("'",$AW127,$AX$116,":",$AX$116)),AD$92)</f>
        <v>66956</v>
      </c>
      <c r="AE127" s="841">
        <f ca="1">+SUMIFS(INDIRECT(CONCATENATE("'",$AW127,$AX127,":",$AX127)),INDIRECT(CONCATENATE("'",$AW127,$AX$116,":",$AX$116)),AE$92)+SUMIFS(INDIRECT(CONCATENATE("'",$AW127,$AY127,":",$AY127)),INDIRECT(CONCATENATE("'",$AW127,$AX$116,":",$AX$116)),AE$92)+SUMIFS(INDIRECT(CONCATENATE("'",$AW127,$AZ127,":",$AZ127)),INDIRECT(CONCATENATE("'",$AW127,$AX$116,":",$AX$116)),AE$92)+SUMIFS(INDIRECT(CONCATENATE("'",$AW127,$BA127,":",$BA127)),INDIRECT(CONCATENATE("'",$AW127,$AX$116,":",$AX$116)),AE$92)-SUMIFS(INDIRECT(CONCATENATE("'",$AW127,$BB127,":",$BB127)),INDIRECT(CONCATENATE("'",$AW127,$AX$116,":",$AX$116)),AE$92)</f>
        <v>102264</v>
      </c>
      <c r="AF127" s="1103">
        <f ca="1">+AE127</f>
        <v>102264</v>
      </c>
      <c r="AG127" s="841">
        <f ca="1">+SUMIFS(INDIRECT(CONCATENATE("'",$AW127,$AX127,":",$AX127)),INDIRECT(CONCATENATE("'",$AW127,$AX$116,":",$AX$116)),AG$92)+SUMIFS(INDIRECT(CONCATENATE("'",$AW127,$AY127,":",$AY127)),INDIRECT(CONCATENATE("'",$AW127,$AX$116,":",$AX$116)),AG$92)+SUMIFS(INDIRECT(CONCATENATE("'",$AW127,$AZ127,":",$AZ127)),INDIRECT(CONCATENATE("'",$AW127,$AX$116,":",$AX$116)),AG$92)+SUMIFS(INDIRECT(CONCATENATE("'",$AW127,$BA127,":",$BA127)),INDIRECT(CONCATENATE("'",$AW127,$AX$116,":",$AX$116)),AG$92)-SUMIFS(INDIRECT(CONCATENATE("'",$AW127,$BB127,":",$BB127)),INDIRECT(CONCATENATE("'",$AW127,$AX$116,":",$AX$116)),AG$92)</f>
        <v>90890</v>
      </c>
      <c r="AH127" s="841">
        <f ca="1">+SUMIFS(INDIRECT(CONCATENATE("'",$AW127,$AX127,":",$AX127)),INDIRECT(CONCATENATE("'",$AW127,$AX$116,":",$AX$116)),AH$92)+SUMIFS(INDIRECT(CONCATENATE("'",$AW127,$AY127,":",$AY127)),INDIRECT(CONCATENATE("'",$AW127,$AX$116,":",$AX$116)),AH$92)+SUMIFS(INDIRECT(CONCATENATE("'",$AW127,$AZ127,":",$AZ127)),INDIRECT(CONCATENATE("'",$AW127,$AX$116,":",$AX$116)),AH$92)+SUMIFS(INDIRECT(CONCATENATE("'",$AW127,$BA127,":",$BA127)),INDIRECT(CONCATENATE("'",$AW127,$AX$116,":",$AX$116)),AH$92)-SUMIFS(INDIRECT(CONCATENATE("'",$AW127,$BB127,":",$BB127)),INDIRECT(CONCATENATE("'",$AW127,$AX$116,":",$AX$116)),AH$92)</f>
        <v>91791</v>
      </c>
      <c r="AI127" s="841">
        <f ca="1">+SUMIFS(INDIRECT(CONCATENATE("'",$AW127,$AX127,":",$AX127)),INDIRECT(CONCATENATE("'",$AW127,$AX$116,":",$AX$116)),AI$92)+SUMIFS(INDIRECT(CONCATENATE("'",$AW127,$AY127,":",$AY127)),INDIRECT(CONCATENATE("'",$AW127,$AX$116,":",$AX$116)),AI$92)+SUMIFS(INDIRECT(CONCATENATE("'",$AW127,$AZ127,":",$AZ127)),INDIRECT(CONCATENATE("'",$AW127,$AX$116,":",$AX$116)),AI$92)+SUMIFS(INDIRECT(CONCATENATE("'",$AW127,$BA127,":",$BA127)),INDIRECT(CONCATENATE("'",$AW127,$AX$116,":",$AX$116)),AI$92)-SUMIFS(INDIRECT(CONCATENATE("'",$AW127,$BB127,":",$BB127)),INDIRECT(CONCATENATE("'",$AW127,$AX$116,":",$AX$116)),AI$92)</f>
        <v>96330</v>
      </c>
      <c r="AJ127" s="841">
        <f ca="1">+SUMIFS(INDIRECT(CONCATENATE("'",$AW127,$AX127,":",$AX127)),INDIRECT(CONCATENATE("'",$AW127,$AX$116,":",$AX$116)),AJ$92)+SUMIFS(INDIRECT(CONCATENATE("'",$AW127,$AY127,":",$AY127)),INDIRECT(CONCATENATE("'",$AW127,$AX$116,":",$AX$116)),AJ$92)+SUMIFS(INDIRECT(CONCATENATE("'",$AW127,$AZ127,":",$AZ127)),INDIRECT(CONCATENATE("'",$AW127,$AX$116,":",$AX$116)),AJ$92)+SUMIFS(INDIRECT(CONCATENATE("'",$AW127,$BA127,":",$BA127)),INDIRECT(CONCATENATE("'",$AW127,$AX$116,":",$AX$116)),AJ$92)-SUMIFS(INDIRECT(CONCATENATE("'",$AW127,$BB127,":",$BB127)),INDIRECT(CONCATENATE("'",$AW127,$AX$116,":",$AX$116)),AJ$92)</f>
        <v>102123</v>
      </c>
      <c r="AK127" s="1103">
        <f ca="1">+AJ127</f>
        <v>102123</v>
      </c>
      <c r="AL127" s="841">
        <f ca="1">+SUMIFS(INDIRECT(CONCATENATE("'",$AW127,$AX127,":",$AX127)),INDIRECT(CONCATENATE("'",$AW127,$AX$116,":",$AX$116)),AL$92)+SUMIFS(INDIRECT(CONCATENATE("'",$AW127,$AY127,":",$AY127)),INDIRECT(CONCATENATE("'",$AW127,$AX$116,":",$AX$116)),AL$92)+SUMIFS(INDIRECT(CONCATENATE("'",$AW127,$AZ127,":",$AZ127)),INDIRECT(CONCATENATE("'",$AW127,$AX$116,":",$AX$116)),AL$92)+SUMIFS(INDIRECT(CONCATENATE("'",$AW127,$BA127,":",$BA127)),INDIRECT(CONCATENATE("'",$AW127,$AX$116,":",$AX$116)),AL$92)-SUMIFS(INDIRECT(CONCATENATE("'",$AW127,$BB127,":",$BB127)),INDIRECT(CONCATENATE("'",$AW127,$AX$116,":",$AX$116)),AL$92)</f>
        <v>107741</v>
      </c>
      <c r="AM127" s="841">
        <f ca="1">+SUMIFS(INDIRECT(CONCATENATE("'",$AW127,$AX127,":",$AX127)),INDIRECT(CONCATENATE("'",$AW127,$AX$116,":",$AX$116)),AM$92)+SUMIFS(INDIRECT(CONCATENATE("'",$AW127,$AY127,":",$AY127)),INDIRECT(CONCATENATE("'",$AW127,$AX$116,":",$AX$116)),AM$92)+SUMIFS(INDIRECT(CONCATENATE("'",$AW127,$AZ127,":",$AZ127)),INDIRECT(CONCATENATE("'",$AW127,$AX$116,":",$AX$116)),AM$92)+SUMIFS(INDIRECT(CONCATENATE("'",$AW127,$BA127,":",$BA127)),INDIRECT(CONCATENATE("'",$AW127,$AX$116,":",$AX$116)),AM$92)-SUMIFS(INDIRECT(CONCATENATE("'",$AW127,$BB127,":",$BB127)),INDIRECT(CONCATENATE("'",$AW127,$AX$116,":",$AX$116)),AM$92)</f>
        <v>106490</v>
      </c>
      <c r="AN127" s="841">
        <f ca="1">+SUMIFS(INDIRECT(CONCATENATE("'",$AW127,$AX127,":",$AX127)),INDIRECT(CONCATENATE("'",$AW127,$AX$116,":",$AX$116)),AN$92)+SUMIFS(INDIRECT(CONCATENATE("'",$AW127,$AY127,":",$AY127)),INDIRECT(CONCATENATE("'",$AW127,$AX$116,":",$AX$116)),AN$92)+SUMIFS(INDIRECT(CONCATENATE("'",$AW127,$AZ127,":",$AZ127)),INDIRECT(CONCATENATE("'",$AW127,$AX$116,":",$AX$116)),AN$92)+SUMIFS(INDIRECT(CONCATENATE("'",$AW127,$BA127,":",$BA127)),INDIRECT(CONCATENATE("'",$AW127,$AX$116,":",$AX$116)),AN$92)-SUMIFS(INDIRECT(CONCATENATE("'",$AW127,$BB127,":",$BB127)),INDIRECT(CONCATENATE("'",$AW127,$AX$116,":",$AX$116)),AN$92)</f>
        <v>106203</v>
      </c>
      <c r="AO127" s="841">
        <f ca="1">+SUMIFS(INDIRECT(CONCATENATE("'",$AW127,$AX127,":",$AX127)),INDIRECT(CONCATENATE("'",$AW127,$AX$116,":",$AX$116)),AO$92)+SUMIFS(INDIRECT(CONCATENATE("'",$AW127,$AY127,":",$AY127)),INDIRECT(CONCATENATE("'",$AW127,$AX$116,":",$AX$116)),AO$92)+SUMIFS(INDIRECT(CONCATENATE("'",$AW127,$AZ127,":",$AZ127)),INDIRECT(CONCATENATE("'",$AW127,$AX$116,":",$AX$116)),AO$92)+SUMIFS(INDIRECT(CONCATENATE("'",$AW127,$BA127,":",$BA127)),INDIRECT(CONCATENATE("'",$AW127,$AX$116,":",$AX$116)),AO$92)-SUMIFS(INDIRECT(CONCATENATE("'",$AW127,$BB127,":",$BB127)),INDIRECT(CONCATENATE("'",$AW127,$AX$116,":",$AX$116)),AO$92)</f>
        <v>106520</v>
      </c>
      <c r="AP127" s="1103">
        <f ca="1">+AO127</f>
        <v>106520</v>
      </c>
      <c r="AQ127" s="841">
        <f ca="1">+SUMIFS(INDIRECT(CONCATENATE("'",$AW127,$AX127,":",$AX127)),INDIRECT(CONCATENATE("'",$AW127,$AX$116,":",$AX$116)),AQ$92)+SUMIFS(INDIRECT(CONCATENATE("'",$AW127,$AY127,":",$AY127)),INDIRECT(CONCATENATE("'",$AW127,$AX$116,":",$AX$116)),AQ$92)+SUMIFS(INDIRECT(CONCATENATE("'",$AW127,$AZ127,":",$AZ127)),INDIRECT(CONCATENATE("'",$AW127,$AX$116,":",$AX$116)),AQ$92)+SUMIFS(INDIRECT(CONCATENATE("'",$AW127,$BA127,":",$BA127)),INDIRECT(CONCATENATE("'",$AW127,$AX$116,":",$AX$116)),AQ$92)-SUMIFS(INDIRECT(CONCATENATE("'",$AW127,$BB127,":",$BB127)),INDIRECT(CONCATENATE("'",$AW127,$AX$116,":",$AX$116)),AQ$92)</f>
        <v>110809</v>
      </c>
      <c r="AR127" s="841">
        <f ca="1">+SUMIFS(INDIRECT(CONCATENATE("'",$AW127,$AX127,":",$AX127)),INDIRECT(CONCATENATE("'",$AW127,$AX$116,":",$AX$116)),AR$92)+SUMIFS(INDIRECT(CONCATENATE("'",$AW127,$AY127,":",$AY127)),INDIRECT(CONCATENATE("'",$AW127,$AX$116,":",$AX$116)),AR$92)+SUMIFS(INDIRECT(CONCATENATE("'",$AW127,$AZ127,":",$AZ127)),INDIRECT(CONCATENATE("'",$AW127,$AX$116,":",$AX$116)),AR$92)+SUMIFS(INDIRECT(CONCATENATE("'",$AW127,$BA127,":",$BA127)),INDIRECT(CONCATENATE("'",$AW127,$AX$116,":",$AX$116)),AR$92)-SUMIFS(INDIRECT(CONCATENATE("'",$AW127,$BB127,":",$BB127)),INDIRECT(CONCATENATE("'",$AW127,$AX$116,":",$AX$116)),AR$92)</f>
        <v>111729</v>
      </c>
      <c r="AS127" s="841">
        <f ca="1">+SUMIFS(INDIRECT(CONCATENATE("'",$AW127,$AX127,":",$AX127)),INDIRECT(CONCATENATE("'",$AW127,$AX$116,":",$AX$116)),AS$92)+SUMIFS(INDIRECT(CONCATENATE("'",$AW127,$AY127,":",$AY127)),INDIRECT(CONCATENATE("'",$AW127,$AX$116,":",$AX$116)),AS$92)+SUMIFS(INDIRECT(CONCATENATE("'",$AW127,$AZ127,":",$AZ127)),INDIRECT(CONCATENATE("'",$AW127,$AX$116,":",$AX$116)),AS$92)+SUMIFS(INDIRECT(CONCATENATE("'",$AW127,$BA127,":",$BA127)),INDIRECT(CONCATENATE("'",$AW127,$AX$116,":",$AX$116)),AS$92)-SUMIFS(INDIRECT(CONCATENATE("'",$AW127,$BB127,":",$BB127)),INDIRECT(CONCATENATE("'",$AW127,$AX$116,":",$AX$116)),AS$92)</f>
        <v>93198</v>
      </c>
      <c r="AT127" s="841">
        <f ca="1">+SUMIFS(INDIRECT(CONCATENATE("'",$AW127,$AX127,":",$AX127)),INDIRECT(CONCATENATE("'",$AW127,$AX$116,":",$AX$116)),AT$92)+SUMIFS(INDIRECT(CONCATENATE("'",$AW127,$AY127,":",$AY127)),INDIRECT(CONCATENATE("'",$AW127,$AX$116,":",$AX$116)),AT$92)+SUMIFS(INDIRECT(CONCATENATE("'",$AW127,$AZ127,":",$AZ127)),INDIRECT(CONCATENATE("'",$AW127,$AX$116,":",$AX$116)),AT$92)+SUMIFS(INDIRECT(CONCATENATE("'",$AW127,$BA127,":",$BA127)),INDIRECT(CONCATENATE("'",$AW127,$AX$116,":",$AX$116)),AT$92)-SUMIFS(INDIRECT(CONCATENATE("'",$AW127,$BB127,":",$BB127)),INDIRECT(CONCATENATE("'",$AW127,$AX$116,":",$AX$116)),AT$92)</f>
        <v>133329</v>
      </c>
      <c r="AU127" s="1103">
        <f ca="1">+AT127</f>
        <v>133329</v>
      </c>
      <c r="AV127" s="841">
        <f ca="1">+SUMIFS(INDIRECT(CONCATENATE("'",$AW127,$AX127,":",$AX127)),INDIRECT(CONCATENATE("'",$AW127,$AX$116,":",$AX$116)),AV$92)+SUMIFS(INDIRECT(CONCATENATE("'",$AW127,$AY127,":",$AY127)),INDIRECT(CONCATENATE("'",$AW127,$AX$116,":",$AX$116)),AV$92)+SUMIFS(INDIRECT(CONCATENATE("'",$AW127,$AZ127,":",$AZ127)),INDIRECT(CONCATENATE("'",$AW127,$AX$116,":",$AX$116)),AV$92)+SUMIFS(INDIRECT(CONCATENATE("'",$AW127,$BA127,":",$BA127)),INDIRECT(CONCATENATE("'",$AW127,$AX$116,":",$AX$116)),AV$92)-SUMIFS(INDIRECT(CONCATENATE("'",$AW127,$BB127,":",$BB127)),INDIRECT(CONCATENATE("'",$AW127,$AX$116,":",$AX$116)),AV$92)</f>
        <v>132583</v>
      </c>
      <c r="AW127" s="267" t="s">
        <v>977</v>
      </c>
      <c r="AX127" s="267" t="str">
        <f>"$"&amp;ROW(BP!$B$43)</f>
        <v>$43</v>
      </c>
      <c r="AY127" s="267" t="str">
        <f>"$"&amp;ROW(BP!$B$44)</f>
        <v>$44</v>
      </c>
      <c r="AZ127" s="267" t="str">
        <f>"$"&amp;ROW(BP!$B$62)</f>
        <v>$62</v>
      </c>
      <c r="BA127" s="267" t="str">
        <f>"$"&amp;ROW(BP!$B$63)</f>
        <v>$63</v>
      </c>
      <c r="BB127" s="267" t="str">
        <f>"$"&amp;ROW(BP!$B$16)</f>
        <v>$16</v>
      </c>
      <c r="BC127" s="267" t="s">
        <v>978</v>
      </c>
      <c r="BD127" s="267" t="s">
        <v>977</v>
      </c>
      <c r="BK127" s="267"/>
      <c r="BL127" s="267"/>
      <c r="BM127" s="267"/>
      <c r="BN127" s="267"/>
      <c r="BO127" s="267"/>
      <c r="BP127" s="267"/>
      <c r="BQ127" s="267"/>
      <c r="BR127" s="267"/>
      <c r="BS127" s="267"/>
      <c r="BT127" s="267"/>
      <c r="BU127" s="267"/>
      <c r="BV127" s="267"/>
      <c r="BW127" s="267"/>
      <c r="BX127" s="267"/>
      <c r="BY127" s="267"/>
      <c r="BZ127" s="267"/>
      <c r="CA127" s="267"/>
      <c r="CB127" s="267"/>
      <c r="CC127" s="267"/>
      <c r="CD127" s="267"/>
      <c r="CE127" s="267"/>
      <c r="CF127" s="267"/>
      <c r="CG127" s="267"/>
    </row>
    <row r="128" spans="1:85" ht="14.25" customHeight="1" x14ac:dyDescent="0.2">
      <c r="B128" s="854" t="s">
        <v>43</v>
      </c>
      <c r="C128" s="856">
        <f ca="1">+SUMIFS(INDIRECT(CONCATENATE("'",$AW128,$AX128,":",$AY128)),INDIRECT(CONCATENATE("'",$AW128,$AX$116,":",$AY$116)),C$92)</f>
        <v>380528</v>
      </c>
      <c r="D128" s="856">
        <f ca="1">+SUMIFS(INDIRECT(CONCATENATE("'",$AW128,$AX128,":",$AY128)),INDIRECT(CONCATENATE("'",$AW128,$AX$116,":",$AY$116)),D$92)</f>
        <v>400073</v>
      </c>
      <c r="E128" s="856">
        <f ca="1">+SUMIFS(INDIRECT(CONCATENATE("'",$AW128,$AX128,":",$AY128)),INDIRECT(CONCATENATE("'",$AW128,$AX$116,":",$AY$116)),E$92)</f>
        <v>400609</v>
      </c>
      <c r="F128" s="856">
        <f ca="1">+SUMIFS(INDIRECT(CONCATENATE("'",$AW128,$AX128,":",$AY128)),INDIRECT(CONCATENATE("'",$AW128,$AX$116,":",$AY$116)),F$92)</f>
        <v>448806</v>
      </c>
      <c r="G128" s="865">
        <f ca="1">+F128</f>
        <v>448806</v>
      </c>
      <c r="H128" s="856">
        <f ca="1">+SUMIFS(INDIRECT(CONCATENATE("'",$AW128,$AX128,":",$AY128)),INDIRECT(CONCATENATE("'",$AW128,$AX$116,":",$AY$116)),H$92)</f>
        <v>462802</v>
      </c>
      <c r="I128" s="856">
        <f ca="1">+SUMIFS(INDIRECT(CONCATENATE("'",$AW128,$AX128,":",$AY128)),INDIRECT(CONCATENATE("'",$AW128,$AX$116,":",$AY$116)),I$92)</f>
        <v>455259</v>
      </c>
      <c r="J128" s="856">
        <f ca="1">+SUMIFS(INDIRECT(CONCATENATE("'",$AW128,$AX128,":",$AY128)),INDIRECT(CONCATENATE("'",$AW128,$AX$116,":",$AY$116)),J$92)</f>
        <v>465415</v>
      </c>
      <c r="K128" s="856">
        <f ca="1">+SUMIFS(INDIRECT(CONCATENATE("'",$AW128,$AX128,":",$AY128)),INDIRECT(CONCATENATE("'",$AW128,$AX$116,":",$AY$116)),K$92)</f>
        <v>484372</v>
      </c>
      <c r="L128" s="865">
        <f ca="1">+K128</f>
        <v>484372</v>
      </c>
      <c r="M128" s="856">
        <f ca="1">+SUMIFS(INDIRECT(CONCATENATE("'",$AW128,$AX128,":",$AY128)),INDIRECT(CONCATENATE("'",$AW128,$AX$116,":",$AY$116)),M$92)</f>
        <v>511005</v>
      </c>
      <c r="N128" s="856">
        <f ca="1">+SUMIFS(INDIRECT(CONCATENATE("'",$AW128,$AX128,":",$AY128)),INDIRECT(CONCATENATE("'",$AW128,$AX$116,":",$AY$116)),N$92)</f>
        <v>515840</v>
      </c>
      <c r="O128" s="856">
        <f ca="1">+SUMIFS(INDIRECT(CONCATENATE("'",$AW128,$AX128,":",$AY128)),INDIRECT(CONCATENATE("'",$AW128,$AX$116,":",$AY$116)),O$92)</f>
        <v>577735</v>
      </c>
      <c r="P128" s="856">
        <f ca="1">+SUMIFS(INDIRECT(CONCATENATE("'",$AW128,$AX128,":",$AY128)),INDIRECT(CONCATENATE("'",$AW128,$AX$116,":",$AY$116)),P$92)</f>
        <v>575079</v>
      </c>
      <c r="Q128" s="865">
        <f ca="1">+P128</f>
        <v>575079</v>
      </c>
      <c r="R128" s="856">
        <f ca="1">+SUMIFS(INDIRECT(CONCATENATE("'",$AW128,$AX128,":",$AY128)),INDIRECT(CONCATENATE("'",$AW128,$AX$116,":",$AY$116)),R$92)</f>
        <v>595131</v>
      </c>
      <c r="S128" s="856">
        <f ca="1">+SUMIFS(INDIRECT(CONCATENATE("'",$AW128,$AX128,":",$AY128)),INDIRECT(CONCATENATE("'",$AW128,$AX$116,":",$AY$116)),S$92)</f>
        <v>590088</v>
      </c>
      <c r="T128" s="856">
        <f ca="1">+SUMIFS(INDIRECT(CONCATENATE("'",$AW128,$AX128,":",$AY128)),INDIRECT(CONCATENATE("'",$AW128,$AX$116,":",$AY$116)),T$92)</f>
        <v>619947</v>
      </c>
      <c r="U128" s="856">
        <f ca="1">+SUMIFS(INDIRECT(CONCATENATE("'",$AW128,$AX128,":",$AY128)),INDIRECT(CONCATENATE("'",$AW128,$AX$116,":",$AY$116)),U$92)</f>
        <v>624663</v>
      </c>
      <c r="V128" s="865">
        <f ca="1">+U128</f>
        <v>624663</v>
      </c>
      <c r="W128" s="856">
        <f ca="1">+SUMIFS(INDIRECT(CONCATENATE("'",$AW128,$AX128,":",$AY128)),INDIRECT(CONCATENATE("'",$AW128,$AX$116,":",$AY$116)),W$92)</f>
        <v>644911</v>
      </c>
      <c r="X128" s="856">
        <f ca="1">+SUMIFS(INDIRECT(CONCATENATE("'",$AW128,$AX128,":",$AY128)),INDIRECT(CONCATENATE("'",$AW128,$AX$116,":",$AY$116)),X$92)</f>
        <v>656554</v>
      </c>
      <c r="Y128" s="856">
        <f ca="1">+SUMIFS(INDIRECT(CONCATENATE("'",$AW128,$AX128,":",$AY128)),INDIRECT(CONCATENATE("'",$AW128,$AX$116,":",$AY$116)),Y$92)</f>
        <v>668634</v>
      </c>
      <c r="Z128" s="856">
        <f ca="1">+SUMIFS(INDIRECT(CONCATENATE("'",$AW128,$AX128,":",$AY128)),INDIRECT(CONCATENATE("'",$AW128,$AX$116,":",$AY$116)),Z$92)</f>
        <v>680734</v>
      </c>
      <c r="AA128" s="865">
        <f ca="1">+Z128</f>
        <v>680734</v>
      </c>
      <c r="AB128" s="856">
        <f ca="1">+SUMIFS(INDIRECT(CONCATENATE("'",$AW128,$AX128,":",$AY128)),INDIRECT(CONCATENATE("'",$AW128,$AX$116,":",$AY$116)),AB$92)</f>
        <v>699442</v>
      </c>
      <c r="AC128" s="856">
        <f ca="1">+SUMIFS(INDIRECT(CONCATENATE("'",$AW128,$AX128,":",$AY128)),INDIRECT(CONCATENATE("'",$AW128,$AX$116,":",$AY$116)),AC$92)</f>
        <v>707573</v>
      </c>
      <c r="AD128" s="856">
        <f ca="1">+SUMIFS(INDIRECT(CONCATENATE("'",$AW128,$AX128,":",$AY128)),INDIRECT(CONCATENATE("'",$AW128,$AX$116,":",$AY$116)),AD$92)</f>
        <v>736379</v>
      </c>
      <c r="AE128" s="856">
        <f ca="1">+SUMIFS(INDIRECT(CONCATENATE("'",$AW128,$AX128,":",$AY128)),INDIRECT(CONCATENATE("'",$AW128,$AX$116,":",$AY$116)),AE$92)</f>
        <v>766189</v>
      </c>
      <c r="AF128" s="865">
        <f ca="1">+AE128</f>
        <v>766189</v>
      </c>
      <c r="AG128" s="856">
        <f ca="1">+SUMIFS(INDIRECT(CONCATENATE("'",$AW128,$AX128,":",$AY128)),INDIRECT(CONCATENATE("'",$AW128,$AX$116,":",$AY$116)),AG$92)</f>
        <v>800844</v>
      </c>
      <c r="AH128" s="856">
        <f ca="1">+SUMIFS(INDIRECT(CONCATENATE("'",$AW128,$AX128,":",$AY128)),INDIRECT(CONCATENATE("'",$AW128,$AX$116,":",$AY$116)),AH$92)</f>
        <v>800942</v>
      </c>
      <c r="AI128" s="856">
        <f ca="1">+SUMIFS(INDIRECT(CONCATENATE("'",$AW128,$AX128,":",$AY128)),INDIRECT(CONCATENATE("'",$AW128,$AX$116,":",$AY$116)),AI$92)</f>
        <v>819533</v>
      </c>
      <c r="AJ128" s="856">
        <f ca="1">+SUMIFS(INDIRECT(CONCATENATE("'",$AW128,$AX128,":",$AY128)),INDIRECT(CONCATENATE("'",$AW128,$AX$116,":",$AY$116)),AJ$92)</f>
        <v>835170</v>
      </c>
      <c r="AK128" s="865">
        <f ca="1">+AJ128</f>
        <v>835170</v>
      </c>
      <c r="AL128" s="856">
        <f ca="1">+SUMIFS(INDIRECT(CONCATENATE("'",$AW128,$AX128,":",$AY128)),INDIRECT(CONCATENATE("'",$AW128,$AX$116,":",$AY$116)),AL$92)</f>
        <v>872453</v>
      </c>
      <c r="AM128" s="856">
        <f ca="1">+SUMIFS(INDIRECT(CONCATENATE("'",$AW128,$AX128,":",$AY128)),INDIRECT(CONCATENATE("'",$AW128,$AX$116,":",$AY$116)),AM$92)</f>
        <v>888230</v>
      </c>
      <c r="AN128" s="856">
        <f ca="1">+SUMIFS(INDIRECT(CONCATENATE("'",$AW128,$AX128,":",$AY128)),INDIRECT(CONCATENATE("'",$AW128,$AX$116,":",$AY$116)),AN$92)</f>
        <v>892007</v>
      </c>
      <c r="AO128" s="856">
        <f ca="1">+SUMIFS(INDIRECT(CONCATENATE("'",$AW128,$AX128,":",$AY128)),INDIRECT(CONCATENATE("'",$AW128,$AX$116,":",$AY$116)),AO$92)</f>
        <v>921409</v>
      </c>
      <c r="AP128" s="865">
        <f ca="1">+AO128</f>
        <v>921409</v>
      </c>
      <c r="AQ128" s="856">
        <f ca="1">+SUMIFS(INDIRECT(CONCATENATE("'",$AW128,$AX128,":",$AY128)),INDIRECT(CONCATENATE("'",$AW128,$AX$116,":",$AY$116)),AQ$92)</f>
        <v>965143</v>
      </c>
      <c r="AR128" s="856">
        <f ca="1">+SUMIFS(INDIRECT(CONCATENATE("'",$AW128,$AX128,":",$AY128)),INDIRECT(CONCATENATE("'",$AW128,$AX$116,":",$AY$116)),AR$92)</f>
        <v>993359</v>
      </c>
      <c r="AS128" s="856">
        <f ca="1">+SUMIFS(INDIRECT(CONCATENATE("'",$AW128,$AX128,":",$AY128)),INDIRECT(CONCATENATE("'",$AW128,$AX$116,":",$AY$116)),AS$92)</f>
        <v>984234</v>
      </c>
      <c r="AT128" s="856">
        <f ca="1">+SUMIFS(INDIRECT(CONCATENATE("'",$AW128,$AX128,":",$AY128)),INDIRECT(CONCATENATE("'",$AW128,$AX$116,":",$AY$116)),AT$92)</f>
        <v>872233</v>
      </c>
      <c r="AU128" s="865">
        <f ca="1">+AT128</f>
        <v>872233</v>
      </c>
      <c r="AV128" s="856">
        <f ca="1">+SUMIFS(INDIRECT(CONCATENATE("'",$AW128,$AX128,":",$AY128)),INDIRECT(CONCATENATE("'",$AW128,$AX$116,":",$AY$116)),AV$92)</f>
        <v>911018</v>
      </c>
      <c r="AW128" s="267" t="s">
        <v>977</v>
      </c>
      <c r="AX128" s="267" t="str">
        <f>"$"&amp;ROW(BP!$B$78)</f>
        <v>$78</v>
      </c>
      <c r="AY128" s="267" t="str">
        <f>"$"&amp;ROW(BP!$B$78)</f>
        <v>$78</v>
      </c>
      <c r="AZ128" s="267" t="s">
        <v>978</v>
      </c>
      <c r="BA128" s="267" t="s">
        <v>977</v>
      </c>
      <c r="BC128" s="267" t="s">
        <v>978</v>
      </c>
      <c r="BD128" s="267" t="s">
        <v>977</v>
      </c>
      <c r="BK128" s="267"/>
      <c r="BL128" s="267"/>
      <c r="BM128" s="267"/>
      <c r="BN128" s="267"/>
      <c r="BO128" s="267"/>
      <c r="BP128" s="267"/>
      <c r="BQ128" s="267"/>
      <c r="BR128" s="267"/>
      <c r="BS128" s="267"/>
      <c r="BT128" s="267"/>
      <c r="BU128" s="267"/>
      <c r="BV128" s="267"/>
      <c r="BW128" s="267"/>
      <c r="BX128" s="267"/>
      <c r="BY128" s="267"/>
      <c r="BZ128" s="267"/>
      <c r="CA128" s="267"/>
      <c r="CB128" s="267"/>
      <c r="CC128" s="267"/>
      <c r="CD128" s="267"/>
      <c r="CE128" s="267"/>
      <c r="CF128" s="267"/>
      <c r="CG128" s="267"/>
    </row>
    <row r="129" spans="2:85" ht="14.25" customHeight="1" x14ac:dyDescent="0.2">
      <c r="BK129" s="267"/>
      <c r="BL129" s="267"/>
      <c r="BM129" s="267"/>
      <c r="BN129" s="267"/>
      <c r="BO129" s="267"/>
      <c r="BP129" s="267"/>
      <c r="BQ129" s="267"/>
      <c r="BR129" s="267"/>
      <c r="BS129" s="267"/>
      <c r="BT129" s="267"/>
      <c r="BU129" s="267"/>
      <c r="BV129" s="267"/>
      <c r="BW129" s="267"/>
      <c r="BX129" s="267"/>
      <c r="BY129" s="267"/>
      <c r="BZ129" s="267"/>
      <c r="CA129" s="267"/>
      <c r="CB129" s="267"/>
      <c r="CC129" s="267"/>
      <c r="CD129" s="267"/>
      <c r="CE129" s="267"/>
      <c r="CF129" s="267"/>
      <c r="CG129" s="267"/>
    </row>
    <row r="130" spans="2:85" ht="13.5" customHeight="1" x14ac:dyDescent="0.2">
      <c r="B130" s="852" t="s">
        <v>856</v>
      </c>
      <c r="C130" s="851" t="str">
        <f t="shared" ref="C130:AH130" si="157">C5</f>
        <v>1T17</v>
      </c>
      <c r="D130" s="851" t="str">
        <f t="shared" si="157"/>
        <v>2T17</v>
      </c>
      <c r="E130" s="851" t="str">
        <f t="shared" si="157"/>
        <v>3T17</v>
      </c>
      <c r="F130" s="851" t="str">
        <f t="shared" si="157"/>
        <v>4T17</v>
      </c>
      <c r="G130" s="851" t="str">
        <f t="shared" si="157"/>
        <v>2017</v>
      </c>
      <c r="H130" s="851" t="str">
        <f t="shared" si="157"/>
        <v>1T18</v>
      </c>
      <c r="I130" s="851" t="str">
        <f t="shared" si="157"/>
        <v>2T18</v>
      </c>
      <c r="J130" s="851" t="str">
        <f t="shared" si="157"/>
        <v>3T18</v>
      </c>
      <c r="K130" s="851" t="str">
        <f t="shared" si="157"/>
        <v>4T18</v>
      </c>
      <c r="L130" s="851" t="str">
        <f t="shared" si="157"/>
        <v>2018</v>
      </c>
      <c r="M130" s="851" t="str">
        <f t="shared" si="157"/>
        <v>1T19</v>
      </c>
      <c r="N130" s="851" t="str">
        <f t="shared" si="157"/>
        <v>2T19</v>
      </c>
      <c r="O130" s="851" t="str">
        <f t="shared" si="157"/>
        <v>3T19</v>
      </c>
      <c r="P130" s="851" t="str">
        <f t="shared" si="157"/>
        <v>4T19</v>
      </c>
      <c r="Q130" s="851" t="str">
        <f t="shared" si="157"/>
        <v>2019</v>
      </c>
      <c r="R130" s="851" t="str">
        <f t="shared" si="157"/>
        <v>1T20</v>
      </c>
      <c r="S130" s="851" t="str">
        <f t="shared" si="157"/>
        <v>2T20</v>
      </c>
      <c r="T130" s="851" t="str">
        <f t="shared" si="157"/>
        <v>3T20</v>
      </c>
      <c r="U130" s="851" t="str">
        <f t="shared" si="157"/>
        <v>4T20</v>
      </c>
      <c r="V130" s="851" t="str">
        <f t="shared" si="157"/>
        <v>2020</v>
      </c>
      <c r="W130" s="851" t="str">
        <f t="shared" si="157"/>
        <v>1T21</v>
      </c>
      <c r="X130" s="851" t="str">
        <f t="shared" si="157"/>
        <v>2T21</v>
      </c>
      <c r="Y130" s="851" t="str">
        <f t="shared" si="157"/>
        <v>3T21</v>
      </c>
      <c r="Z130" s="851" t="str">
        <f t="shared" si="157"/>
        <v>4T21</v>
      </c>
      <c r="AA130" s="851" t="str">
        <f t="shared" si="157"/>
        <v>2021</v>
      </c>
      <c r="AB130" s="851" t="str">
        <f t="shared" si="157"/>
        <v>1T22</v>
      </c>
      <c r="AC130" s="851" t="str">
        <f t="shared" si="157"/>
        <v>2T22</v>
      </c>
      <c r="AD130" s="851" t="str">
        <f t="shared" si="157"/>
        <v>3T22</v>
      </c>
      <c r="AE130" s="851" t="str">
        <f t="shared" si="157"/>
        <v>4T22</v>
      </c>
      <c r="AF130" s="851" t="str">
        <f t="shared" si="157"/>
        <v>2022</v>
      </c>
      <c r="AG130" s="851" t="str">
        <f t="shared" si="157"/>
        <v>1T23</v>
      </c>
      <c r="AH130" s="851" t="str">
        <f t="shared" si="157"/>
        <v>2T23</v>
      </c>
      <c r="AI130" s="851" t="str">
        <f t="shared" ref="AI130:AN130" si="158">AI5</f>
        <v>3T23</v>
      </c>
      <c r="AJ130" s="851" t="str">
        <f t="shared" si="158"/>
        <v>4T23</v>
      </c>
      <c r="AK130" s="851" t="str">
        <f t="shared" si="158"/>
        <v>2023</v>
      </c>
      <c r="AL130" s="851" t="str">
        <f t="shared" si="158"/>
        <v>1T24</v>
      </c>
      <c r="AM130" s="851" t="str">
        <f t="shared" si="158"/>
        <v>2T24</v>
      </c>
      <c r="AN130" s="851" t="str">
        <f t="shared" si="158"/>
        <v>3T24</v>
      </c>
      <c r="AO130" s="851" t="str">
        <f>AO5</f>
        <v>4T24</v>
      </c>
      <c r="AP130" s="851" t="str">
        <f>AP5</f>
        <v>2024</v>
      </c>
      <c r="AQ130" s="851" t="str">
        <f t="shared" ref="AQ130:AV130" si="159">AQ5</f>
        <v>1T25</v>
      </c>
      <c r="AR130" s="851" t="str">
        <f t="shared" si="159"/>
        <v>2T25</v>
      </c>
      <c r="AS130" s="851" t="str">
        <f>AS5</f>
        <v>3T25</v>
      </c>
      <c r="AT130" s="851" t="str">
        <f>AT5</f>
        <v>4T25</v>
      </c>
      <c r="AU130" s="851" t="str">
        <f t="shared" si="159"/>
        <v>2025</v>
      </c>
      <c r="AV130" s="851" t="str">
        <f t="shared" si="159"/>
        <v>1T26</v>
      </c>
      <c r="BK130" s="267"/>
      <c r="BL130" s="267"/>
      <c r="BM130" s="267"/>
      <c r="BN130" s="267"/>
      <c r="BO130" s="267"/>
      <c r="BP130" s="267"/>
      <c r="BQ130" s="267"/>
      <c r="BR130" s="267"/>
      <c r="BS130" s="267"/>
      <c r="BT130" s="267"/>
      <c r="BU130" s="267"/>
      <c r="BV130" s="267"/>
      <c r="BW130" s="267"/>
      <c r="BX130" s="267"/>
      <c r="BY130" s="267"/>
      <c r="BZ130" s="267"/>
      <c r="CA130" s="267"/>
      <c r="CB130" s="267"/>
      <c r="CC130" s="267"/>
      <c r="CD130" s="267"/>
      <c r="CE130" s="267"/>
      <c r="CF130" s="267"/>
      <c r="CG130" s="267"/>
    </row>
    <row r="131" spans="2:85" ht="13.5" customHeight="1" x14ac:dyDescent="0.2">
      <c r="B131" s="850" t="s">
        <v>1133</v>
      </c>
      <c r="C131" s="849">
        <f ca="1">+C21</f>
        <v>20933.372720000058</v>
      </c>
      <c r="D131" s="849">
        <f ca="1">+D21</f>
        <v>34933.045200000037</v>
      </c>
      <c r="E131" s="849">
        <f ca="1">+E21</f>
        <v>40973.642920000042</v>
      </c>
      <c r="F131" s="849">
        <f ca="1">+F21</f>
        <v>38010.111610000007</v>
      </c>
      <c r="G131" s="848">
        <f ca="1">+SUM(C131:F131)</f>
        <v>134850.17245000013</v>
      </c>
      <c r="H131" s="849">
        <f ca="1">+H21</f>
        <v>29453.314000000006</v>
      </c>
      <c r="I131" s="849">
        <f ca="1">+I21</f>
        <v>45148.406709999959</v>
      </c>
      <c r="J131" s="849">
        <f ca="1">+J21</f>
        <v>57791.788239999936</v>
      </c>
      <c r="K131" s="849">
        <f ca="1">+K21</f>
        <v>68074.372747457557</v>
      </c>
      <c r="L131" s="848">
        <f ca="1">+SUM(H131:K131)</f>
        <v>200467.88169745746</v>
      </c>
      <c r="M131" s="849">
        <f ca="1">+M21</f>
        <v>46325.508350000062</v>
      </c>
      <c r="N131" s="849">
        <f ca="1">+N21</f>
        <v>51171.350340000041</v>
      </c>
      <c r="O131" s="849">
        <f ca="1">+O21</f>
        <v>55413.839780000053</v>
      </c>
      <c r="P131" s="849">
        <f ca="1">+P21</f>
        <v>60918.05529172231</v>
      </c>
      <c r="Q131" s="848">
        <f ca="1">+SUM(M131:P131)</f>
        <v>213828.75376172247</v>
      </c>
      <c r="R131" s="849">
        <f ca="1">+R21</f>
        <v>34349.567049999998</v>
      </c>
      <c r="S131" s="849">
        <f ca="1">+S21</f>
        <v>-4739.6268300000338</v>
      </c>
      <c r="T131" s="849">
        <f ca="1">+T21</f>
        <v>45885.082529999978</v>
      </c>
      <c r="U131" s="849">
        <f ca="1">+U21</f>
        <v>49048.248680000019</v>
      </c>
      <c r="V131" s="848">
        <f ca="1">+SUM(R131:U131)</f>
        <v>124543.27142999996</v>
      </c>
      <c r="W131" s="849">
        <f ca="1">+W21</f>
        <v>33685.155730000013</v>
      </c>
      <c r="X131" s="849">
        <f ca="1">+X21</f>
        <v>26509.544199999968</v>
      </c>
      <c r="Y131" s="849">
        <f ca="1">+Y21</f>
        <v>28894.70661999999</v>
      </c>
      <c r="Z131" s="849">
        <f ca="1">+Z21</f>
        <v>37330.510729999893</v>
      </c>
      <c r="AA131" s="848">
        <f ca="1">+SUM(W131:Z131)</f>
        <v>126419.91727999986</v>
      </c>
      <c r="AB131" s="849">
        <f ca="1">+AB21</f>
        <v>25781.114919999942</v>
      </c>
      <c r="AC131" s="849">
        <f ca="1">+AC21</f>
        <v>39203.359179999956</v>
      </c>
      <c r="AD131" s="849">
        <f ca="1">+AD21</f>
        <v>78319.177349999984</v>
      </c>
      <c r="AE131" s="849">
        <f ca="1">+AE21</f>
        <v>62621.627109999972</v>
      </c>
      <c r="AF131" s="848">
        <f ca="1">+SUM(AB131:AE131)</f>
        <v>205925.27855999986</v>
      </c>
      <c r="AG131" s="849">
        <f ca="1">+AG21</f>
        <v>43371.581559999875</v>
      </c>
      <c r="AH131" s="849">
        <f ca="1">+AH21</f>
        <v>48020.370050000056</v>
      </c>
      <c r="AI131" s="849">
        <f ca="1">+AI21</f>
        <v>68385.131959999999</v>
      </c>
      <c r="AJ131" s="849">
        <f ca="1">+AJ21</f>
        <v>62696.048160000224</v>
      </c>
      <c r="AK131" s="848">
        <f ca="1">+SUM(AG131:AJ131)</f>
        <v>222473.13173000014</v>
      </c>
      <c r="AL131" s="849">
        <f ca="1">+AL21</f>
        <v>48587.304339999806</v>
      </c>
      <c r="AM131" s="849">
        <f ca="1">+AM21</f>
        <v>75267.680820000067</v>
      </c>
      <c r="AN131" s="849">
        <f ca="1">+AN21</f>
        <v>115691.14411000008</v>
      </c>
      <c r="AO131" s="849">
        <f ca="1">+AO21</f>
        <v>116866.37394999992</v>
      </c>
      <c r="AP131" s="848">
        <f ca="1">+SUM(AL131:AO131)</f>
        <v>356412.50321999984</v>
      </c>
      <c r="AQ131" s="849">
        <f ca="1">+AQ21</f>
        <v>58197.97597999993</v>
      </c>
      <c r="AR131" s="849">
        <f ca="1">+AR21</f>
        <v>83836.258449999776</v>
      </c>
      <c r="AS131" s="849">
        <f ca="1">+AS21</f>
        <v>105737.96516000018</v>
      </c>
      <c r="AT131" s="849">
        <f ca="1">+AT21</f>
        <v>69866.071440000014</v>
      </c>
      <c r="AU131" s="848">
        <f ca="1">+SUM(AQ131:AT131)</f>
        <v>317638.27102999995</v>
      </c>
      <c r="AV131" s="849">
        <f ca="1">+AV21</f>
        <v>63050.109440000182</v>
      </c>
      <c r="BK131" s="267"/>
      <c r="BL131" s="267"/>
      <c r="BM131" s="267"/>
      <c r="BN131" s="267"/>
      <c r="BO131" s="267"/>
      <c r="BP131" s="267"/>
      <c r="BQ131" s="267"/>
      <c r="BR131" s="267"/>
      <c r="BS131" s="267"/>
      <c r="BT131" s="267"/>
      <c r="BU131" s="267"/>
      <c r="BV131" s="267"/>
      <c r="BW131" s="267"/>
      <c r="BX131" s="267"/>
      <c r="BY131" s="267"/>
      <c r="BZ131" s="267"/>
      <c r="CA131" s="267"/>
      <c r="CB131" s="267"/>
      <c r="CC131" s="267"/>
      <c r="CD131" s="267"/>
      <c r="CE131" s="267"/>
      <c r="CF131" s="267"/>
      <c r="CG131" s="267"/>
    </row>
    <row r="132" spans="2:85" ht="13.5" customHeight="1" x14ac:dyDescent="0.2">
      <c r="B132" s="842" t="s">
        <v>64</v>
      </c>
      <c r="C132" s="841">
        <f ca="1">+C122</f>
        <v>-6820</v>
      </c>
      <c r="D132" s="841">
        <f ca="1">+D122</f>
        <v>-8432</v>
      </c>
      <c r="E132" s="841">
        <f ca="1">+E122</f>
        <v>-5862</v>
      </c>
      <c r="F132" s="841">
        <f ca="1">+F122</f>
        <v>-4116</v>
      </c>
      <c r="G132" s="637">
        <f ca="1">+SUM(C132:F132)</f>
        <v>-25230</v>
      </c>
      <c r="H132" s="841">
        <f ca="1">+H122</f>
        <v>-2460.1986400000001</v>
      </c>
      <c r="I132" s="841">
        <f ca="1">+I122</f>
        <v>-4724.2775700000002</v>
      </c>
      <c r="J132" s="841">
        <f ca="1">+J122</f>
        <v>-14999.27721</v>
      </c>
      <c r="K132" s="841">
        <f ca="1">+K122</f>
        <v>-13256.331969999999</v>
      </c>
      <c r="L132" s="637">
        <f ca="1">+SUM(H132:K132)</f>
        <v>-35440.08539</v>
      </c>
      <c r="M132" s="841">
        <f ca="1">+M122</f>
        <v>-6635.6352500000012</v>
      </c>
      <c r="N132" s="841">
        <f ca="1">+N122</f>
        <v>-14552.057499999999</v>
      </c>
      <c r="O132" s="841">
        <f ca="1">+O122</f>
        <v>-4132.3085700000001</v>
      </c>
      <c r="P132" s="841">
        <f ca="1">+P122</f>
        <v>-10689.66779</v>
      </c>
      <c r="Q132" s="637">
        <f ca="1">+SUM(M132:P132)</f>
        <v>-36009.669110000003</v>
      </c>
      <c r="R132" s="841">
        <f ca="1">+R122</f>
        <v>-5427</v>
      </c>
      <c r="S132" s="841">
        <f ca="1">+S122</f>
        <v>-4266</v>
      </c>
      <c r="T132" s="841">
        <f ca="1">+T122</f>
        <v>-4406</v>
      </c>
      <c r="U132" s="841">
        <f ca="1">+U122</f>
        <v>-5672</v>
      </c>
      <c r="V132" s="637">
        <f ca="1">+SUM(R132:U132)</f>
        <v>-19771</v>
      </c>
      <c r="W132" s="841">
        <f ca="1">+W122</f>
        <v>-6526</v>
      </c>
      <c r="X132" s="841">
        <f ca="1">+X122</f>
        <v>-6456</v>
      </c>
      <c r="Y132" s="841">
        <f ca="1">+Y122</f>
        <v>-10292</v>
      </c>
      <c r="Z132" s="841">
        <f ca="1">+Z122</f>
        <v>-6328</v>
      </c>
      <c r="AA132" s="637">
        <f ca="1">+SUM(W132:Z132)</f>
        <v>-29602</v>
      </c>
      <c r="AB132" s="841">
        <f ca="1">+AB122</f>
        <v>-4409.3565700000054</v>
      </c>
      <c r="AC132" s="841">
        <f ca="1">+AC122</f>
        <v>-12332.297929999988</v>
      </c>
      <c r="AD132" s="841">
        <f ca="1">+AD122</f>
        <v>-7994.1122999999989</v>
      </c>
      <c r="AE132" s="841">
        <f ca="1">+AE122</f>
        <v>-20242.128919999996</v>
      </c>
      <c r="AF132" s="637">
        <f ca="1">+SUM(AB132:AE132)</f>
        <v>-44977.895719999986</v>
      </c>
      <c r="AG132" s="841">
        <f ca="1">+AG122</f>
        <v>-5455.5496700000003</v>
      </c>
      <c r="AH132" s="841">
        <f ca="1">+AH122</f>
        <v>-5162.2759199999982</v>
      </c>
      <c r="AI132" s="841">
        <f ca="1">+AI122</f>
        <v>-11944.03478</v>
      </c>
      <c r="AJ132" s="841">
        <f ca="1">+AJ122</f>
        <v>-10590</v>
      </c>
      <c r="AK132" s="637">
        <f ca="1">+SUM(AG132:AJ132)</f>
        <v>-33151.860369999995</v>
      </c>
      <c r="AL132" s="841">
        <f ca="1">+AL122</f>
        <v>-16136</v>
      </c>
      <c r="AM132" s="841">
        <f ca="1">+AM122</f>
        <v>-12059.535570000004</v>
      </c>
      <c r="AN132" s="841">
        <f ca="1">+AN122</f>
        <v>-12574.213229999987</v>
      </c>
      <c r="AO132" s="841">
        <f ca="1">+AO122</f>
        <v>-16805.251200000013</v>
      </c>
      <c r="AP132" s="637">
        <f ca="1">+SUM(AL132:AO132)</f>
        <v>-57575</v>
      </c>
      <c r="AQ132" s="841">
        <f ca="1">+AQ122</f>
        <v>-9944.0004399999998</v>
      </c>
      <c r="AR132" s="841">
        <f ca="1">+AR122</f>
        <v>-11444.999560000009</v>
      </c>
      <c r="AS132" s="841">
        <f ca="1">+AS122</f>
        <v>-18181.399209365238</v>
      </c>
      <c r="AT132" s="841">
        <f ca="1">+AT122</f>
        <v>-72803.04800000001</v>
      </c>
      <c r="AU132" s="637">
        <f ca="1">+SUM(AQ132:AT132)</f>
        <v>-112373.44720936526</v>
      </c>
      <c r="AV132" s="841">
        <f ca="1">+AV122</f>
        <v>-12339.4061</v>
      </c>
      <c r="BK132" s="267"/>
      <c r="BL132" s="267"/>
      <c r="BM132" s="267"/>
      <c r="BN132" s="267"/>
      <c r="BO132" s="267"/>
      <c r="BP132" s="267"/>
      <c r="BQ132" s="267"/>
      <c r="BR132" s="267"/>
      <c r="BS132" s="267"/>
      <c r="BT132" s="267"/>
      <c r="BU132" s="267"/>
      <c r="BV132" s="267"/>
      <c r="BW132" s="267"/>
      <c r="BX132" s="267"/>
      <c r="BY132" s="267"/>
      <c r="BZ132" s="267"/>
      <c r="CA132" s="267"/>
      <c r="CB132" s="267"/>
      <c r="CC132" s="267"/>
      <c r="CD132" s="267"/>
      <c r="CE132" s="267"/>
      <c r="CF132" s="267"/>
      <c r="CG132" s="267"/>
    </row>
    <row r="133" spans="2:85" ht="13.5" customHeight="1" x14ac:dyDescent="0.2">
      <c r="B133" s="842" t="s">
        <v>976</v>
      </c>
      <c r="C133" s="841">
        <f ca="1">+C31</f>
        <v>-4298.9160000000002</v>
      </c>
      <c r="D133" s="841">
        <f ca="1">+D31</f>
        <v>7766.8676799999994</v>
      </c>
      <c r="E133" s="841">
        <f ca="1">+E31</f>
        <v>-8879.3011299999998</v>
      </c>
      <c r="F133" s="841">
        <f ca="1">+F31</f>
        <v>-8319.4488999999994</v>
      </c>
      <c r="G133" s="637">
        <f ca="1">+SUM(C133:F133)</f>
        <v>-13730.798350000001</v>
      </c>
      <c r="H133" s="841">
        <f ca="1">+H31</f>
        <v>-6233</v>
      </c>
      <c r="I133" s="841">
        <f ca="1">+I31</f>
        <v>-7000.1369300000006</v>
      </c>
      <c r="J133" s="841">
        <f ca="1">+J31</f>
        <v>-9929.7333699999999</v>
      </c>
      <c r="K133" s="841">
        <f ca="1">+K31</f>
        <v>-12883.216170000002</v>
      </c>
      <c r="L133" s="637">
        <f ca="1">+SUM(H133:K133)</f>
        <v>-36046.086470000002</v>
      </c>
      <c r="M133" s="841">
        <f ca="1">+M31</f>
        <v>-11575.73976</v>
      </c>
      <c r="N133" s="841">
        <f ca="1">+N31</f>
        <v>-10923.94203</v>
      </c>
      <c r="O133" s="841">
        <f ca="1">+O31</f>
        <v>-40057.514449999995</v>
      </c>
      <c r="P133" s="841">
        <f ca="1">+P31</f>
        <v>-8769.3005799999992</v>
      </c>
      <c r="Q133" s="637">
        <f ca="1">+SUM(M133:P133)</f>
        <v>-71326.49682</v>
      </c>
      <c r="R133" s="841">
        <f ca="1">+R31</f>
        <v>-6850.96893</v>
      </c>
      <c r="S133" s="841">
        <f ca="1">+S31</f>
        <v>4624.6438899999994</v>
      </c>
      <c r="T133" s="841">
        <f ca="1">+T31</f>
        <v>-12021.130280000001</v>
      </c>
      <c r="U133" s="841">
        <f ca="1">+U31</f>
        <v>-9295.3423600000006</v>
      </c>
      <c r="V133" s="637">
        <f ca="1">+SUM(R133:U133)</f>
        <v>-23542.797680000003</v>
      </c>
      <c r="W133" s="841">
        <f ca="1">+W31</f>
        <v>-7991.2797200000005</v>
      </c>
      <c r="X133" s="841">
        <f ca="1">+X31</f>
        <v>-8180.5598599999994</v>
      </c>
      <c r="Y133" s="841">
        <f ca="1">+Y31</f>
        <v>9562.4</v>
      </c>
      <c r="Z133" s="841">
        <f ca="1">+Z31</f>
        <v>-9991.3930700000001</v>
      </c>
      <c r="AA133" s="637">
        <f ca="1">+SUM(W133:Z133)</f>
        <v>-16600.83265</v>
      </c>
      <c r="AB133" s="841">
        <f ca="1">+AB31</f>
        <v>-5291</v>
      </c>
      <c r="AC133" s="841">
        <f ca="1">+AC31</f>
        <v>-8048.3106200000002</v>
      </c>
      <c r="AD133" s="841">
        <f ca="1">+AD31</f>
        <v>-17648.283640000001</v>
      </c>
      <c r="AE133" s="841">
        <f ca="1">+AE31</f>
        <v>-17243.035919999998</v>
      </c>
      <c r="AF133" s="637">
        <f ca="1">+SUM(AB133:AE133)</f>
        <v>-48230.63018</v>
      </c>
      <c r="AG133" s="841">
        <f ca="1">+AG31</f>
        <v>-10633.6551</v>
      </c>
      <c r="AH133" s="841">
        <f ca="1">+AH31</f>
        <v>-10582.149069999999</v>
      </c>
      <c r="AI133" s="841">
        <f ca="1">+AI31</f>
        <v>-16768.140070000001</v>
      </c>
      <c r="AJ133" s="841">
        <f ca="1">+AJ31</f>
        <v>-15580.425179999998</v>
      </c>
      <c r="AK133" s="637">
        <f ca="1">+SUM(AG133:AJ133)</f>
        <v>-53564.369419999995</v>
      </c>
      <c r="AL133" s="841">
        <f ca="1">+AL31</f>
        <v>-15609.352519999997</v>
      </c>
      <c r="AM133" s="841">
        <f ca="1">+AM31</f>
        <v>-21144.194380000001</v>
      </c>
      <c r="AN133" s="841">
        <f ca="1">+AN31</f>
        <v>-35933.303370000001</v>
      </c>
      <c r="AO133" s="841">
        <f ca="1">+AO31</f>
        <v>-34169.50647</v>
      </c>
      <c r="AP133" s="637">
        <f ca="1">+SUM(AL133:AO133)</f>
        <v>-106856.35673999999</v>
      </c>
      <c r="AQ133" s="841">
        <f ca="1">+AQ31</f>
        <v>-18778.226869999999</v>
      </c>
      <c r="AR133" s="841">
        <f ca="1">+AR31</f>
        <v>-24727.419260000002</v>
      </c>
      <c r="AS133" s="841">
        <f ca="1">+AS31</f>
        <v>-32032.358809999994</v>
      </c>
      <c r="AT133" s="841">
        <f ca="1">+AT31</f>
        <v>-19871.384720000002</v>
      </c>
      <c r="AU133" s="637">
        <f ca="1">+SUM(AQ133:AT133)</f>
        <v>-95409.389660000001</v>
      </c>
      <c r="AV133" s="841">
        <f ca="1">+AV31</f>
        <v>-19037.088649999998</v>
      </c>
      <c r="BK133" s="267"/>
      <c r="BL133" s="267"/>
      <c r="BM133" s="267"/>
      <c r="BN133" s="267"/>
      <c r="BO133" s="267"/>
      <c r="BP133" s="267"/>
      <c r="BQ133" s="267"/>
      <c r="BR133" s="267"/>
      <c r="BS133" s="267"/>
      <c r="BT133" s="267"/>
      <c r="BU133" s="267"/>
      <c r="BV133" s="267"/>
      <c r="BW133" s="267"/>
      <c r="BX133" s="267"/>
      <c r="BY133" s="267"/>
      <c r="BZ133" s="267"/>
      <c r="CA133" s="267"/>
      <c r="CB133" s="267"/>
      <c r="CC133" s="267"/>
      <c r="CD133" s="267"/>
      <c r="CE133" s="267"/>
      <c r="CF133" s="267"/>
      <c r="CG133" s="267"/>
    </row>
    <row r="134" spans="2:85" ht="13.5" customHeight="1" x14ac:dyDescent="0.2">
      <c r="B134" s="842" t="s">
        <v>975</v>
      </c>
      <c r="C134" s="841">
        <f>+(154255-C118)+(C124-43164)</f>
        <v>18150</v>
      </c>
      <c r="D134" s="841">
        <f>+(C118-D118)+(D124-C124)</f>
        <v>-7063</v>
      </c>
      <c r="E134" s="841">
        <f>+(D118-E118)+(E124-D124)</f>
        <v>-10723</v>
      </c>
      <c r="F134" s="841">
        <f>+(E118-F118)+(F124-E124)</f>
        <v>-28216</v>
      </c>
      <c r="G134" s="637">
        <f>+SUM(C134:F134)</f>
        <v>-27852</v>
      </c>
      <c r="H134" s="841">
        <f>+(G118-H118)+(H124-G124)</f>
        <v>17503</v>
      </c>
      <c r="I134" s="841">
        <f>+(H118-I118)+(I124-H124)</f>
        <v>-29891</v>
      </c>
      <c r="J134" s="841">
        <f>+(I118-J118)+(J124-I124)</f>
        <v>-11365</v>
      </c>
      <c r="K134" s="841">
        <f>+(J118-K118)+(K124-J124)</f>
        <v>-26633</v>
      </c>
      <c r="L134" s="637">
        <f>+SUM(H134:K134)</f>
        <v>-50386</v>
      </c>
      <c r="M134" s="841">
        <f>+(L118-M118)+(M124-L124)</f>
        <v>18871</v>
      </c>
      <c r="N134" s="841">
        <f>+(M118-N118)+(N124-M124)</f>
        <v>-14720</v>
      </c>
      <c r="O134" s="841">
        <f>+(N118-O118)+(O124-N124)</f>
        <v>-7270</v>
      </c>
      <c r="P134" s="841">
        <f>+(O118-P118)+(P124-O124)</f>
        <v>-32413</v>
      </c>
      <c r="Q134" s="637">
        <f>+SUM(M134:P134)</f>
        <v>-35532</v>
      </c>
      <c r="R134" s="841">
        <f ca="1">+(Q118-R118)+(R124-Q124)</f>
        <v>37696</v>
      </c>
      <c r="S134" s="841">
        <f ca="1">+(R118-S118)+(S124-R124)</f>
        <v>76890</v>
      </c>
      <c r="T134" s="841">
        <f ca="1">+(S118-T118)+(T124-S124)</f>
        <v>-61269</v>
      </c>
      <c r="U134" s="841">
        <f ca="1">+(T118-U118)+(U124-T124)</f>
        <v>-9326</v>
      </c>
      <c r="V134" s="637">
        <f ca="1">+SUM(R134:U134)</f>
        <v>43991</v>
      </c>
      <c r="W134" s="841">
        <f ca="1">+(V118-W118)+(W124-V124)</f>
        <v>39176</v>
      </c>
      <c r="X134" s="841">
        <f ca="1">+(W118-X118)+(X124-W124)</f>
        <v>-25721</v>
      </c>
      <c r="Y134" s="841">
        <f ca="1">+(X118-Y118)+(Y124-X124)</f>
        <v>8688</v>
      </c>
      <c r="Z134" s="841">
        <f ca="1">+(Y118-Z118)+(Z124-Y124)</f>
        <v>-96104</v>
      </c>
      <c r="AA134" s="637">
        <f ca="1">+SUM(W134:Z134)</f>
        <v>-73961</v>
      </c>
      <c r="AB134" s="841">
        <f ca="1">+(AA118-AB118)+(AB124-AA124)</f>
        <v>70442</v>
      </c>
      <c r="AC134" s="841">
        <f ca="1">+(AB118-AC118)+(AC124-AB124)</f>
        <v>-48007</v>
      </c>
      <c r="AD134" s="841">
        <f ca="1">+(AC118-AD118)+(AD124-AC124)</f>
        <v>-26280</v>
      </c>
      <c r="AE134" s="841">
        <f ca="1">+(AD118-AE118)+(AE124-AD124)</f>
        <v>-5971</v>
      </c>
      <c r="AF134" s="637">
        <f ca="1">+SUM(AB134:AE134)</f>
        <v>-9816</v>
      </c>
      <c r="AG134" s="841">
        <f ca="1">+(AF118-AG118)+(AG124-AF124)</f>
        <v>41609</v>
      </c>
      <c r="AH134" s="841">
        <f ca="1">+(AG118-AH118)+(AH124-AG124)</f>
        <v>-4847</v>
      </c>
      <c r="AI134" s="841">
        <f ca="1">+(AH118-AI118)+(AI124-AH124)</f>
        <v>-9400</v>
      </c>
      <c r="AJ134" s="841">
        <f ca="1">+(AI118-AJ118)+(AJ124-AI124)</f>
        <v>-58600</v>
      </c>
      <c r="AK134" s="637">
        <f ca="1">+SUM(AG134:AJ134)</f>
        <v>-31238</v>
      </c>
      <c r="AL134" s="841">
        <f ca="1">+(AK118-AL118)+(AL124-AK124)</f>
        <v>47361</v>
      </c>
      <c r="AM134" s="841">
        <f ca="1">+(AL118-AM118)+(AM124-AL124)</f>
        <v>-39703</v>
      </c>
      <c r="AN134" s="841">
        <f ca="1">+(AM118-AN118)+(AN124-AM124)</f>
        <v>-50585</v>
      </c>
      <c r="AO134" s="841">
        <f ca="1">+(AN118-AO118)+(AO124-AN124)</f>
        <v>-36704</v>
      </c>
      <c r="AP134" s="637">
        <f ca="1">+SUM(AL134:AO134)</f>
        <v>-79631</v>
      </c>
      <c r="AQ134" s="841">
        <f ca="1">+(AP118-AQ118)+(AQ124-AP124)</f>
        <v>95261</v>
      </c>
      <c r="AR134" s="841">
        <f ca="1">+(AQ118-AR118)+(AR124-AQ124)</f>
        <v>-33651</v>
      </c>
      <c r="AS134" s="841">
        <f ca="1">+(AR118-AS118)+(AS124-AR124)</f>
        <v>-46301</v>
      </c>
      <c r="AT134" s="841">
        <f ca="1">+(AS118-AT118)+(AT124-AS124)</f>
        <v>-20704</v>
      </c>
      <c r="AU134" s="637">
        <f ca="1">+SUM(AQ134:AT134)</f>
        <v>-5395</v>
      </c>
      <c r="AV134" s="841">
        <f ca="1">+(AU118-AV118)+(AV124-AU124)</f>
        <v>35890</v>
      </c>
      <c r="BK134" s="267"/>
      <c r="BL134" s="267"/>
      <c r="BM134" s="267"/>
      <c r="BN134" s="267"/>
      <c r="BO134" s="267"/>
      <c r="BP134" s="267"/>
      <c r="BQ134" s="267"/>
      <c r="BR134" s="267"/>
      <c r="BS134" s="267"/>
      <c r="BT134" s="267"/>
      <c r="BU134" s="267"/>
      <c r="BV134" s="267"/>
      <c r="BW134" s="267"/>
      <c r="BX134" s="267"/>
      <c r="BY134" s="267"/>
      <c r="BZ134" s="267"/>
      <c r="CA134" s="267"/>
      <c r="CB134" s="267"/>
      <c r="CC134" s="267"/>
      <c r="CD134" s="267"/>
      <c r="CE134" s="267"/>
      <c r="CF134" s="267"/>
      <c r="CG134" s="267"/>
    </row>
    <row r="135" spans="2:85" s="869" customFormat="1" ht="13.5" customHeight="1" x14ac:dyDescent="0.2">
      <c r="B135" s="872" t="s">
        <v>974</v>
      </c>
      <c r="C135" s="849">
        <f t="shared" ref="C135:S135" ca="1" si="160">+SUM(C131:C134)</f>
        <v>27964.456720000057</v>
      </c>
      <c r="D135" s="849">
        <f t="shared" ca="1" si="160"/>
        <v>27204.912880000033</v>
      </c>
      <c r="E135" s="849">
        <f t="shared" ca="1" si="160"/>
        <v>15509.341790000042</v>
      </c>
      <c r="F135" s="849">
        <f t="shared" ca="1" si="160"/>
        <v>-2641.3372899999922</v>
      </c>
      <c r="G135" s="638">
        <f t="shared" ca="1" si="160"/>
        <v>68037.374100000132</v>
      </c>
      <c r="H135" s="849">
        <f t="shared" ca="1" si="160"/>
        <v>38263.115360000011</v>
      </c>
      <c r="I135" s="849">
        <f t="shared" ca="1" si="160"/>
        <v>3532.9922099999603</v>
      </c>
      <c r="J135" s="849">
        <f t="shared" ca="1" si="160"/>
        <v>21497.777659999934</v>
      </c>
      <c r="K135" s="849">
        <f t="shared" ca="1" si="160"/>
        <v>15301.824607457558</v>
      </c>
      <c r="L135" s="638">
        <f t="shared" ca="1" si="160"/>
        <v>78595.709837457456</v>
      </c>
      <c r="M135" s="849">
        <f t="shared" ca="1" si="160"/>
        <v>46985.133340000059</v>
      </c>
      <c r="N135" s="849">
        <f t="shared" ca="1" si="160"/>
        <v>10975.35081000004</v>
      </c>
      <c r="O135" s="849">
        <f t="shared" ca="1" si="160"/>
        <v>3954.0167600000568</v>
      </c>
      <c r="P135" s="849">
        <f t="shared" ca="1" si="160"/>
        <v>9046.086921722308</v>
      </c>
      <c r="Q135" s="638">
        <f t="shared" ca="1" si="160"/>
        <v>70960.587831722456</v>
      </c>
      <c r="R135" s="849">
        <f t="shared" ca="1" si="160"/>
        <v>59767.598119999995</v>
      </c>
      <c r="S135" s="849">
        <f t="shared" ca="1" si="160"/>
        <v>72509.017059999969</v>
      </c>
      <c r="T135" s="849">
        <f t="shared" ref="T135:Y135" ca="1" si="161">+SUM(T131:T134)</f>
        <v>-31811.047750000023</v>
      </c>
      <c r="U135" s="849">
        <f t="shared" ca="1" si="161"/>
        <v>24754.906320000016</v>
      </c>
      <c r="V135" s="638">
        <f t="shared" ca="1" si="161"/>
        <v>125220.47374999996</v>
      </c>
      <c r="W135" s="849">
        <f t="shared" ca="1" si="161"/>
        <v>58343.876010000015</v>
      </c>
      <c r="X135" s="849">
        <f t="shared" ca="1" si="161"/>
        <v>-13848.015660000032</v>
      </c>
      <c r="Y135" s="849">
        <f t="shared" ca="1" si="161"/>
        <v>36853.106619999991</v>
      </c>
      <c r="Z135" s="849">
        <f t="shared" ref="Z135:AF135" ca="1" si="162">+SUM(Z131:Z134)</f>
        <v>-75092.882340000098</v>
      </c>
      <c r="AA135" s="638">
        <f t="shared" ca="1" si="162"/>
        <v>6256.0846299998666</v>
      </c>
      <c r="AB135" s="849">
        <f t="shared" ca="1" si="162"/>
        <v>86522.758349999931</v>
      </c>
      <c r="AC135" s="849">
        <f t="shared" ca="1" si="162"/>
        <v>-29184.24937000003</v>
      </c>
      <c r="AD135" s="849">
        <f t="shared" ca="1" si="162"/>
        <v>26396.781409999989</v>
      </c>
      <c r="AE135" s="849">
        <f t="shared" ca="1" si="162"/>
        <v>19165.462269999978</v>
      </c>
      <c r="AF135" s="638">
        <f t="shared" ca="1" si="162"/>
        <v>102900.75265999985</v>
      </c>
      <c r="AG135" s="849">
        <f t="shared" ref="AG135:AM135" ca="1" si="163">+SUM(AG131:AG134)</f>
        <v>68891.376789999878</v>
      </c>
      <c r="AH135" s="849">
        <f t="shared" ca="1" si="163"/>
        <v>27428.945060000056</v>
      </c>
      <c r="AI135" s="849">
        <f t="shared" ca="1" si="163"/>
        <v>30272.957109999996</v>
      </c>
      <c r="AJ135" s="849">
        <f t="shared" ca="1" si="163"/>
        <v>-22074.377019999774</v>
      </c>
      <c r="AK135" s="638">
        <f t="shared" ca="1" si="163"/>
        <v>104518.90194000013</v>
      </c>
      <c r="AL135" s="849">
        <f t="shared" ca="1" si="163"/>
        <v>64202.951819999813</v>
      </c>
      <c r="AM135" s="849">
        <f t="shared" ca="1" si="163"/>
        <v>2360.9508700000588</v>
      </c>
      <c r="AN135" s="849">
        <f t="shared" ref="AN135:AV135" ca="1" si="164">+SUM(AN131:AN134)</f>
        <v>16598.627510000078</v>
      </c>
      <c r="AO135" s="849">
        <f t="shared" ca="1" si="164"/>
        <v>29187.6162799999</v>
      </c>
      <c r="AP135" s="638">
        <f t="shared" ca="1" si="164"/>
        <v>112350.14647999985</v>
      </c>
      <c r="AQ135" s="849">
        <f t="shared" ca="1" si="164"/>
        <v>124736.74866999993</v>
      </c>
      <c r="AR135" s="849">
        <f t="shared" ca="1" si="164"/>
        <v>14012.839629999762</v>
      </c>
      <c r="AS135" s="849">
        <f t="shared" ca="1" si="164"/>
        <v>9223.2071406349569</v>
      </c>
      <c r="AT135" s="849">
        <f t="shared" ca="1" si="164"/>
        <v>-43512.361279999997</v>
      </c>
      <c r="AU135" s="638">
        <f t="shared" ca="1" si="164"/>
        <v>104460.43416063469</v>
      </c>
      <c r="AV135" s="849">
        <f t="shared" ca="1" si="164"/>
        <v>67563.614690000191</v>
      </c>
      <c r="AW135" s="870"/>
      <c r="AX135" s="267" t="s">
        <v>973</v>
      </c>
      <c r="AY135" s="267" t="s">
        <v>973</v>
      </c>
      <c r="AZ135" s="870"/>
      <c r="BA135" s="870"/>
      <c r="BB135" s="870"/>
      <c r="BC135" s="870"/>
      <c r="BD135" s="870"/>
      <c r="BE135" s="870"/>
      <c r="BH135" s="870"/>
      <c r="BI135" s="870"/>
      <c r="BJ135" s="870"/>
      <c r="BK135" s="870"/>
      <c r="BL135" s="870"/>
      <c r="BM135" s="870"/>
      <c r="BN135" s="870"/>
      <c r="BO135" s="870"/>
      <c r="BP135" s="870"/>
      <c r="BQ135" s="870"/>
      <c r="BR135" s="870"/>
      <c r="BS135" s="870"/>
      <c r="BT135" s="870"/>
      <c r="BU135" s="870"/>
      <c r="BV135" s="870"/>
      <c r="BW135" s="870"/>
      <c r="BX135" s="870"/>
      <c r="BY135" s="870"/>
      <c r="BZ135" s="870"/>
      <c r="CA135" s="870"/>
      <c r="CB135" s="870"/>
      <c r="CC135" s="870"/>
      <c r="CD135" s="870"/>
      <c r="CE135" s="870"/>
      <c r="CF135" s="870"/>
      <c r="CG135" s="870"/>
    </row>
    <row r="136" spans="2:85" ht="3" customHeight="1" x14ac:dyDescent="0.2">
      <c r="B136" s="868"/>
      <c r="C136" s="1032"/>
      <c r="D136" s="1032"/>
      <c r="E136" s="1032"/>
      <c r="F136" s="1032"/>
      <c r="G136" s="841"/>
      <c r="H136" s="1032"/>
      <c r="I136" s="1032"/>
      <c r="J136" s="1032"/>
      <c r="K136" s="1032"/>
      <c r="L136" s="841"/>
      <c r="M136" s="638"/>
      <c r="N136" s="638"/>
      <c r="O136" s="638"/>
      <c r="P136" s="638"/>
      <c r="Q136" s="841"/>
      <c r="R136" s="638"/>
      <c r="S136" s="638"/>
      <c r="T136" s="638"/>
      <c r="U136" s="638"/>
      <c r="V136" s="841"/>
      <c r="W136" s="638"/>
      <c r="X136" s="638"/>
      <c r="Y136" s="638"/>
      <c r="Z136" s="638"/>
      <c r="AA136" s="841"/>
      <c r="AB136" s="638"/>
      <c r="AC136" s="638"/>
      <c r="AD136" s="638"/>
      <c r="AE136" s="638"/>
      <c r="AF136" s="841"/>
      <c r="AG136" s="638"/>
      <c r="AH136" s="638"/>
      <c r="AI136" s="638"/>
      <c r="AJ136" s="638"/>
      <c r="AK136" s="841"/>
      <c r="AL136" s="638"/>
      <c r="AM136" s="638"/>
      <c r="AN136" s="638"/>
      <c r="AO136" s="638"/>
      <c r="AP136" s="841"/>
      <c r="AQ136" s="638"/>
      <c r="AR136" s="638"/>
      <c r="AS136" s="638"/>
      <c r="AT136" s="638"/>
      <c r="AU136" s="841"/>
      <c r="AV136" s="638"/>
      <c r="BK136" s="267"/>
      <c r="BL136" s="267"/>
      <c r="BM136" s="267"/>
      <c r="BN136" s="267"/>
      <c r="BO136" s="267"/>
      <c r="BP136" s="267"/>
      <c r="BQ136" s="267"/>
      <c r="BR136" s="267"/>
      <c r="BS136" s="267"/>
      <c r="BT136" s="267"/>
      <c r="BU136" s="267"/>
      <c r="BV136" s="267"/>
      <c r="BW136" s="267"/>
      <c r="BX136" s="267"/>
      <c r="BY136" s="267"/>
      <c r="BZ136" s="267"/>
      <c r="CA136" s="267"/>
      <c r="CB136" s="267"/>
      <c r="CC136" s="267"/>
      <c r="CD136" s="267"/>
      <c r="CE136" s="267"/>
      <c r="CF136" s="267"/>
      <c r="CG136" s="267"/>
    </row>
    <row r="137" spans="2:85" ht="13.5" customHeight="1" x14ac:dyDescent="0.2">
      <c r="B137" s="842" t="s">
        <v>331</v>
      </c>
      <c r="C137" s="841">
        <f ca="1">+C28</f>
        <v>-4287.1967700000005</v>
      </c>
      <c r="D137" s="841">
        <f ca="1">+D28</f>
        <v>3566.6795899999997</v>
      </c>
      <c r="E137" s="841">
        <f ca="1">+E28</f>
        <v>-3113.1098000000002</v>
      </c>
      <c r="F137" s="841">
        <f ca="1">+F28</f>
        <v>12617.618369999998</v>
      </c>
      <c r="G137" s="637">
        <f ca="1">+SUM(C137:F137)</f>
        <v>8783.9913899999974</v>
      </c>
      <c r="H137" s="841">
        <f ca="1">+H28</f>
        <v>-1889.4519500000006</v>
      </c>
      <c r="I137" s="841">
        <f ca="1">+I28</f>
        <v>-825.25070000000005</v>
      </c>
      <c r="J137" s="841">
        <f ca="1">+J28</f>
        <v>-4991.2516099999993</v>
      </c>
      <c r="K137" s="841">
        <f ca="1">+K28</f>
        <v>-1413.8592499999995</v>
      </c>
      <c r="L137" s="637">
        <f ca="1">+SUM(H137:K137)</f>
        <v>-9119.81351</v>
      </c>
      <c r="M137" s="841">
        <f ca="1">+M28</f>
        <v>-1898</v>
      </c>
      <c r="N137" s="841">
        <f ca="1">+N28</f>
        <v>-2688</v>
      </c>
      <c r="O137" s="841">
        <f ca="1">+O28</f>
        <v>30529</v>
      </c>
      <c r="P137" s="841">
        <f ca="1">+P28</f>
        <v>-3245.5405300000002</v>
      </c>
      <c r="Q137" s="637">
        <f ca="1">+SUM(M137:P137)</f>
        <v>22697.459470000002</v>
      </c>
      <c r="R137" s="841">
        <f ca="1">+R28</f>
        <v>-2007.30314</v>
      </c>
      <c r="S137" s="841">
        <f ca="1">+S28</f>
        <v>-2212.7467099999976</v>
      </c>
      <c r="T137" s="841">
        <f ca="1">+T28</f>
        <v>-2784.8866099999996</v>
      </c>
      <c r="U137" s="841">
        <f ca="1">+U28</f>
        <v>-2152.0314800000006</v>
      </c>
      <c r="V137" s="637">
        <f ca="1">+SUM(R137:U137)</f>
        <v>-9156.9679399999986</v>
      </c>
      <c r="W137" s="841">
        <f ca="1">+W28</f>
        <v>-2893.5208399999997</v>
      </c>
      <c r="X137" s="841">
        <f ca="1">+X28</f>
        <v>1719.5772200000001</v>
      </c>
      <c r="Y137" s="841">
        <f ca="1">+Y28</f>
        <v>-896.09401000000025</v>
      </c>
      <c r="Z137" s="841">
        <f ca="1">+Z28</f>
        <v>-952.37159000000065</v>
      </c>
      <c r="AA137" s="637">
        <f ca="1">+SUM(W137:Z137)</f>
        <v>-3022.4092200000005</v>
      </c>
      <c r="AB137" s="841">
        <f ca="1">+AB28</f>
        <v>-540.99999999999909</v>
      </c>
      <c r="AC137" s="841">
        <f ca="1">+AC28</f>
        <v>164.84838000000036</v>
      </c>
      <c r="AD137" s="841">
        <f ca="1">+AD28</f>
        <v>-52.790259999998852</v>
      </c>
      <c r="AE137" s="841">
        <f ca="1">+AE28</f>
        <v>7143.2795999999998</v>
      </c>
      <c r="AF137" s="637">
        <f ca="1">+SUM(AB137:AE137)</f>
        <v>6714.3377200000023</v>
      </c>
      <c r="AG137" s="841">
        <f ca="1">+AG28</f>
        <v>1279.2891100000006</v>
      </c>
      <c r="AH137" s="841">
        <f ca="1">+AH28</f>
        <v>2933.0279499999979</v>
      </c>
      <c r="AI137" s="841">
        <f ca="1">+AI28</f>
        <v>2517.9430699999984</v>
      </c>
      <c r="AJ137" s="841">
        <f ca="1">+AJ28</f>
        <v>2208.5117899999996</v>
      </c>
      <c r="AK137" s="637">
        <f ca="1">+SUM(AG137:AJ137)</f>
        <v>8938.7719199999956</v>
      </c>
      <c r="AL137" s="841">
        <f ca="1">+AL28</f>
        <v>2039.7343800000008</v>
      </c>
      <c r="AM137" s="841">
        <f ca="1">+AM28</f>
        <v>4056.5603300000002</v>
      </c>
      <c r="AN137" s="841">
        <f ca="1">+AN28</f>
        <v>1218.2220500000021</v>
      </c>
      <c r="AO137" s="841">
        <f ca="1">+AO28</f>
        <v>1460.4212000000007</v>
      </c>
      <c r="AP137" s="637">
        <f ca="1">+SUM(AL137:AO137)</f>
        <v>8774.9379600000029</v>
      </c>
      <c r="AQ137" s="841">
        <f ca="1">+AQ28</f>
        <v>2351.3270400000001</v>
      </c>
      <c r="AR137" s="841">
        <f ca="1">+AR28</f>
        <v>3260.8603000000021</v>
      </c>
      <c r="AS137" s="841">
        <f ca="1">+AS28</f>
        <v>3306.933340000005</v>
      </c>
      <c r="AT137" s="841">
        <f ca="1">+AT28</f>
        <v>2568.8136299999987</v>
      </c>
      <c r="AU137" s="637">
        <f ca="1">+SUM(AQ137:AT137)</f>
        <v>11487.934310000006</v>
      </c>
      <c r="AV137" s="841">
        <f ca="1">+AV28</f>
        <v>-1121.6847399999997</v>
      </c>
      <c r="AX137" s="267" t="str">
        <f>"$"&amp;ROW(DFC!$B$84)</f>
        <v>$84</v>
      </c>
      <c r="AY137" s="267" t="str">
        <f>"$"&amp;ROW(DFC!$B$84)</f>
        <v>$84</v>
      </c>
      <c r="BK137" s="267"/>
      <c r="BL137" s="267"/>
      <c r="BM137" s="267"/>
      <c r="BN137" s="267"/>
      <c r="BO137" s="267"/>
      <c r="BP137" s="267"/>
      <c r="BQ137" s="267"/>
      <c r="BR137" s="267"/>
      <c r="BS137" s="267"/>
      <c r="BT137" s="267"/>
      <c r="BU137" s="267"/>
      <c r="BV137" s="267"/>
      <c r="BW137" s="267"/>
      <c r="BX137" s="267"/>
      <c r="BY137" s="267"/>
      <c r="BZ137" s="267"/>
      <c r="CA137" s="267"/>
      <c r="CB137" s="267"/>
      <c r="CC137" s="267"/>
      <c r="CD137" s="267"/>
      <c r="CE137" s="267"/>
      <c r="CF137" s="267"/>
      <c r="CG137" s="267"/>
    </row>
    <row r="138" spans="2:85" ht="13.5" customHeight="1" x14ac:dyDescent="0.2">
      <c r="B138" s="842" t="s">
        <v>972</v>
      </c>
      <c r="C138" s="841">
        <f t="shared" ref="C138:F140" ca="1" si="165">+SUMIFS(INDIRECT(CONCATENATE("'",$AW138,$AX138,":",$AY138)),INDIRECT(CONCATENATE("'",$AW138,$AX$116,":",$AY$116)),C$116)</f>
        <v>-66920</v>
      </c>
      <c r="D138" s="841">
        <f t="shared" ca="1" si="165"/>
        <v>-263</v>
      </c>
      <c r="E138" s="841">
        <f t="shared" ca="1" si="165"/>
        <v>-50255.884591548151</v>
      </c>
      <c r="F138" s="841">
        <f t="shared" ca="1" si="165"/>
        <v>-263.11540845184936</v>
      </c>
      <c r="G138" s="637">
        <f ca="1">+SUM(C138:F138)</f>
        <v>-117702</v>
      </c>
      <c r="H138" s="841">
        <f t="shared" ref="H138:K140" ca="1" si="166">+SUMIFS(INDIRECT(CONCATENATE("'",$AW138,$AX138,":",$AY138)),INDIRECT(CONCATENATE("'",$AW138,$AX$116,":",$AY$116)),H$116)</f>
        <v>-66800</v>
      </c>
      <c r="I138" s="841">
        <f t="shared" ca="1" si="166"/>
        <v>-4620</v>
      </c>
      <c r="J138" s="841">
        <f t="shared" ca="1" si="166"/>
        <v>-40000</v>
      </c>
      <c r="K138" s="841">
        <f t="shared" ca="1" si="166"/>
        <v>0</v>
      </c>
      <c r="L138" s="637">
        <f ca="1">+SUM(H138:K138)</f>
        <v>-111420</v>
      </c>
      <c r="M138" s="841">
        <f t="shared" ref="M138:P140" ca="1" si="167">+SUMIFS(INDIRECT(CONCATENATE("'",$AW138,$AX138,":",$AY138)),INDIRECT(CONCATENATE("'",$AW138,$AX$116,":",$AY$116)),M$116)</f>
        <v>-46676</v>
      </c>
      <c r="N138" s="841">
        <f t="shared" ca="1" si="167"/>
        <v>-3333</v>
      </c>
      <c r="O138" s="841">
        <f t="shared" ca="1" si="167"/>
        <v>0</v>
      </c>
      <c r="P138" s="841">
        <f t="shared" ca="1" si="167"/>
        <v>-3334</v>
      </c>
      <c r="Q138" s="637">
        <f ca="1">+SUM(M138:P138)</f>
        <v>-53343</v>
      </c>
      <c r="R138" s="841">
        <f t="shared" ref="R138:U140" ca="1" si="168">+SUMIFS(INDIRECT(CONCATENATE("'",$AW138,$AX138,":",$AY138)),INDIRECT(CONCATENATE("'",$AW138,$AX$116,":",$AY$116)),R$116)</f>
        <v>0</v>
      </c>
      <c r="S138" s="841">
        <f t="shared" ca="1" si="168"/>
        <v>-3333</v>
      </c>
      <c r="T138" s="841">
        <f t="shared" ca="1" si="168"/>
        <v>-96373</v>
      </c>
      <c r="U138" s="841">
        <f t="shared" ca="1" si="168"/>
        <v>0</v>
      </c>
      <c r="V138" s="637">
        <f ca="1">+SUM(R138:U138)</f>
        <v>-99706</v>
      </c>
      <c r="W138" s="841">
        <f ca="1">+SUMIFS(INDIRECT(CONCATENATE("'",$AW138,$AX138,":",$AY138)),INDIRECT(CONCATENATE("'",$AW138,$AX$116,":",$AY$116)),W$116)+SUMIFS(INDIRECT(CONCATENATE("'",$AW138,$AX137,":",$AY137)),INDIRECT(CONCATENATE("'",$AW138,$AX$116,":",$AY$116)),W$116)</f>
        <v>0</v>
      </c>
      <c r="X138" s="841">
        <f ca="1">+SUMIFS(INDIRECT(CONCATENATE("'",$AW138,$AX138,":",$AY138)),INDIRECT(CONCATENATE("'",$AW138,$AX$116,":",$AY$116)),X$116)+SUMIFS(INDIRECT(CONCATENATE("'",$AW138,$AX137,":",$AY137)),INDIRECT(CONCATENATE("'",$AW138,$AX$116,":",$AY$116)),X$116)</f>
        <v>-40000</v>
      </c>
      <c r="Y138" s="841">
        <f ca="1">+SUMIFS(INDIRECT(CONCATENATE("'",$AW138,$AX138,":",$AY138)),INDIRECT(CONCATENATE("'",$AW138,$AX$116,":",$AY$116)),Y$116)+SUMIFS(INDIRECT(CONCATENATE("'",$AW138,$AX137,":",$AY137)),INDIRECT(CONCATENATE("'",$AW138,$AX$116,":",$AY$116)),Y$116)</f>
        <v>-25005</v>
      </c>
      <c r="Z138" s="841">
        <f ca="1">+SUMIFS(INDIRECT(CONCATENATE("'",$AW138,$AX138,":",$AY138)),INDIRECT(CONCATENATE("'",$AW138,$AX$116,":",$AY$116)),Z$116)+SUMIFS(INDIRECT(CONCATENATE("'",$AW138,$AX137,":",$AY137)),INDIRECT(CONCATENATE("'",$AW138,$AX$116,":",$AY$116)),Z$116)</f>
        <v>0</v>
      </c>
      <c r="AA138" s="637">
        <f ca="1">+SUM(W138:Z138)</f>
        <v>-65005</v>
      </c>
      <c r="AB138" s="841">
        <f ca="1">+SUMIFS(INDIRECT(CONCATENATE("'",$AW138,$AX138,":",$AY138)),INDIRECT(CONCATENATE("'",$AW138,$AX$116,":",$AY$116)),AB$116)+SUMIFS(INDIRECT(CONCATENATE("'",$AW138,$AX137,":",$AY137)),INDIRECT(CONCATENATE("'",$AW138,$AX$116,":",$AY$116)),AB$116)</f>
        <v>-10000</v>
      </c>
      <c r="AC138" s="841">
        <f ca="1">+SUMIFS(INDIRECT(CONCATENATE("'",$AW138,$AX138,":",$AY138)),INDIRECT(CONCATENATE("'",$AW138,$AX$116,":",$AY$116)),AC$116)+SUMIFS(INDIRECT(CONCATENATE("'",$AW138,$AX137,":",$AY137)),INDIRECT(CONCATENATE("'",$AW138,$AX$116,":",$AY$116)),AC$116)</f>
        <v>-50000</v>
      </c>
      <c r="AD138" s="841">
        <f ca="1">+SUMIFS(INDIRECT(CONCATENATE("'",$AW138,$AX138,":",$AY138)),INDIRECT(CONCATENATE("'",$AW138,$AX$116,":",$AY$116)),AD$116)+SUMIFS(INDIRECT(CONCATENATE("'",$AW138,$AX137,":",$AY137)),INDIRECT(CONCATENATE("'",$AW138,$AX$116,":",$AY$116)),AD$116)</f>
        <v>0</v>
      </c>
      <c r="AE138" s="841">
        <f ca="1">+SUMIFS(INDIRECT(CONCATENATE("'",$AW138,$AX138,":",$AY138)),INDIRECT(CONCATENATE("'",$AW138,$AX$116,":",$AY$116)),AE$116)+SUMIFS(INDIRECT(CONCATENATE("'",$AW138,$AX137,":",$AY137)),INDIRECT(CONCATENATE("'",$AW138,$AX$116,":",$AY$116)),AE$116)</f>
        <v>0</v>
      </c>
      <c r="AF138" s="637">
        <f ca="1">+SUM(AB138:AE138)</f>
        <v>-60000</v>
      </c>
      <c r="AG138" s="841">
        <f ca="1">+SUMIFS(INDIRECT(CONCATENATE("'",$AW138,$AX138,":",$AY138)),INDIRECT(CONCATENATE("'",$AW138,$AX$116,":",$AY$116)),AG$116)+SUMIFS(INDIRECT(CONCATENATE("'",$AW138,$AX137,":",$AY137)),INDIRECT(CONCATENATE("'",$AW138,$AX$116,":",$AY$116)),AG$116)</f>
        <v>-10000</v>
      </c>
      <c r="AH138" s="841">
        <f ca="1">+SUMIFS(INDIRECT(CONCATENATE("'",$AW138,$AX138,":",$AY138)),INDIRECT(CONCATENATE("'",$AW138,$AX$116,":",$AY$116)),AH$116)+SUMIFS(INDIRECT(CONCATENATE("'",$AW138,$AX137,":",$AY137)),INDIRECT(CONCATENATE("'",$AW138,$AX$116,":",$AY$116)),AH$116)</f>
        <v>0</v>
      </c>
      <c r="AI138" s="841">
        <f ca="1">+SUMIFS(INDIRECT(CONCATENATE("'",$AW138,$AX138,":",$AY138)),INDIRECT(CONCATENATE("'",$AW138,$AX$116,":",$AY$116)),AI$116)+SUMIFS(INDIRECT(CONCATENATE("'",$AW138,$AX137,":",$AY137)),INDIRECT(CONCATENATE("'",$AW138,$AX$116,":",$AY$116)),AI$116)</f>
        <v>-45000</v>
      </c>
      <c r="AJ138" s="841">
        <f ca="1">+SUMIFS(INDIRECT(CONCATENATE("'",$AW138,$AX138,":",$AY138)),INDIRECT(CONCATENATE("'",$AW138,$AX$116,":",$AY$116)),AJ$116)+SUMIFS(INDIRECT(CONCATENATE("'",$AW138,$AX137,":",$AY137)),INDIRECT(CONCATENATE("'",$AW138,$AX$116,":",$AY$116)),AJ$116)</f>
        <v>0</v>
      </c>
      <c r="AK138" s="637">
        <f ca="1">+SUM(AG138:AJ138)</f>
        <v>-55000</v>
      </c>
      <c r="AL138" s="841">
        <f ca="1">+SUMIFS(INDIRECT(CONCATENATE("'",$AW138,$AX138,":",$AY138)),INDIRECT(CONCATENATE("'",$AW138,$AX$116,":",$AY$116)),AL$116)+SUMIFS(INDIRECT(CONCATENATE("'",$AW138,$AX137,":",$AY137)),INDIRECT(CONCATENATE("'",$AW138,$AX$116,":",$AY$116)),AL$116)</f>
        <v>0</v>
      </c>
      <c r="AM138" s="841">
        <f ca="1">+SUMIFS(INDIRECT(CONCATENATE("'",$AW138,$AX138,":",$AY138)),INDIRECT(CONCATENATE("'",$AW138,$AX$116,":",$AY$116)),AM$116)+SUMIFS(INDIRECT(CONCATENATE("'",$AW138,$AX137,":",$AY137)),INDIRECT(CONCATENATE("'",$AW138,$AX$116,":",$AY$116)),AM$116)</f>
        <v>-10000</v>
      </c>
      <c r="AN138" s="841">
        <f ca="1">+SUMIFS(INDIRECT(CONCATENATE("'",$AW138,$AX138,":",$AY138)),INDIRECT(CONCATENATE("'",$AW138,$AX$116,":",$AY$116)),AN$116)+SUMIFS(INDIRECT(CONCATENATE("'",$AW138,$AX137,":",$AY137)),INDIRECT(CONCATENATE("'",$AW138,$AX$116,":",$AY$116)),AN$116)</f>
        <v>0</v>
      </c>
      <c r="AO138" s="841">
        <f ca="1">+SUMIFS(INDIRECT(CONCATENATE("'",$AW138,$AX138,":",$AY138)),INDIRECT(CONCATENATE("'",$AW138,$AX$116,":",$AY$116)),AO$116)+SUMIFS(INDIRECT(CONCATENATE("'",$AW138,$AX137,":",$AY137)),INDIRECT(CONCATENATE("'",$AW138,$AX$116,":",$AY$116)),AO$116)</f>
        <v>0</v>
      </c>
      <c r="AP138" s="637">
        <f ca="1">+SUM(AL138:AO138)</f>
        <v>-10000</v>
      </c>
      <c r="AQ138" s="841">
        <f ca="1">+SUMIFS(INDIRECT(CONCATENATE("'",$AW138,$AX138,":",$AY138)),INDIRECT(CONCATENATE("'",$AW138,$AX$116,":",$AY$116)),AQ$116)+SUMIFS(INDIRECT(CONCATENATE("'",$AW138,$AX137,":",$AY137)),INDIRECT(CONCATENATE("'",$AW138,$AX$116,":",$AY$116)),AQ$116)</f>
        <v>-1018</v>
      </c>
      <c r="AR138" s="841">
        <f ca="1">+SUMIFS(INDIRECT(CONCATENATE("'",$AW138,$AX138,":",$AY138)),INDIRECT(CONCATENATE("'",$AW138,$AX$116,":",$AY$116)),AR$116)+SUMIFS(INDIRECT(CONCATENATE("'",$AW138,$AX137,":",$AY137)),INDIRECT(CONCATENATE("'",$AW138,$AX$116,":",$AY$116)),AR$116)</f>
        <v>-1087</v>
      </c>
      <c r="AS138" s="841">
        <f ca="1">+SUMIFS(INDIRECT(CONCATENATE("'",$AW138,$AX138,":",$AY138)),INDIRECT(CONCATENATE("'",$AW138,$AX$116,":",$AY$116)),AS$116)+SUMIFS(INDIRECT(CONCATENATE("'",$AW138,$AX137,":",$AY137)),INDIRECT(CONCATENATE("'",$AW138,$AX$116,":",$AY$116)),AS$116)</f>
        <v>-23448</v>
      </c>
      <c r="AT138" s="841">
        <f ca="1">+SUMIFS(INDIRECT(CONCATENATE("'",$AW138,$AX138,":",$AY138)),INDIRECT(CONCATENATE("'",$AW138,$AX$116,":",$AY$116)),AT$116)+SUMIFS(INDIRECT(CONCATENATE("'",$AW138,$AX137,":",$AY137)),INDIRECT(CONCATENATE("'",$AW138,$AX$116,":",$AY$116)),AT$116)</f>
        <v>-1062</v>
      </c>
      <c r="AU138" s="637">
        <f ca="1">+SUM(AQ138:AT138)</f>
        <v>-26615</v>
      </c>
      <c r="AV138" s="841">
        <f ca="1">+SUMIFS(INDIRECT(CONCATENATE("'",$AW138,$AX138,":",$AY138)),INDIRECT(CONCATENATE("'",$AW138,$AX$116,":",$AY$116)),AV$116)+SUMIFS(INDIRECT(CONCATENATE("'",$AW138,$AX137,":",$AY137)),INDIRECT(CONCATENATE("'",$AW138,$AX$116,":",$AY$116)),AV$116)</f>
        <v>-1018</v>
      </c>
      <c r="AW138" s="267" t="s">
        <v>968</v>
      </c>
      <c r="AX138" s="267" t="str">
        <f>"$"&amp;ROW(DFC!$B$82)</f>
        <v>$82</v>
      </c>
      <c r="AY138" s="267" t="str">
        <f>"$"&amp;ROW(DFC!$B$82)</f>
        <v>$82</v>
      </c>
      <c r="AZ138" s="267" t="s">
        <v>969</v>
      </c>
      <c r="BA138" s="267" t="s">
        <v>968</v>
      </c>
      <c r="BK138" s="267"/>
      <c r="BL138" s="267"/>
      <c r="BM138" s="267"/>
      <c r="BN138" s="267"/>
      <c r="BO138" s="267"/>
      <c r="BP138" s="267"/>
      <c r="BQ138" s="267"/>
      <c r="BR138" s="267"/>
      <c r="BS138" s="267"/>
      <c r="BT138" s="267"/>
      <c r="BU138" s="267"/>
      <c r="BV138" s="267"/>
      <c r="BW138" s="267"/>
      <c r="BX138" s="267"/>
      <c r="BY138" s="267"/>
      <c r="BZ138" s="267"/>
      <c r="CA138" s="267"/>
      <c r="CB138" s="267"/>
      <c r="CC138" s="267"/>
      <c r="CD138" s="267"/>
      <c r="CE138" s="267"/>
      <c r="CF138" s="267"/>
      <c r="CG138" s="267"/>
    </row>
    <row r="139" spans="2:85" ht="13.5" customHeight="1" x14ac:dyDescent="0.2">
      <c r="B139" s="842" t="s">
        <v>971</v>
      </c>
      <c r="C139" s="841">
        <f t="shared" ca="1" si="165"/>
        <v>1342</v>
      </c>
      <c r="D139" s="841">
        <f t="shared" ca="1" si="165"/>
        <v>53131.804740000036</v>
      </c>
      <c r="E139" s="841">
        <f t="shared" ca="1" si="165"/>
        <v>0</v>
      </c>
      <c r="F139" s="841">
        <f t="shared" ca="1" si="165"/>
        <v>0</v>
      </c>
      <c r="G139" s="637">
        <f ca="1">+SUM(C139:F139)</f>
        <v>54473.804740000036</v>
      </c>
      <c r="H139" s="841">
        <f t="shared" ca="1" si="166"/>
        <v>0</v>
      </c>
      <c r="I139" s="841">
        <f t="shared" ca="1" si="166"/>
        <v>0</v>
      </c>
      <c r="J139" s="841">
        <f t="shared" ca="1" si="166"/>
        <v>50000</v>
      </c>
      <c r="K139" s="841">
        <f t="shared" ca="1" si="166"/>
        <v>0</v>
      </c>
      <c r="L139" s="637">
        <f ca="1">+SUM(H139:K139)</f>
        <v>50000</v>
      </c>
      <c r="M139" s="841">
        <f t="shared" ca="1" si="167"/>
        <v>30000</v>
      </c>
      <c r="N139" s="841">
        <f t="shared" ca="1" si="167"/>
        <v>0</v>
      </c>
      <c r="O139" s="841">
        <f t="shared" ca="1" si="167"/>
        <v>0</v>
      </c>
      <c r="P139" s="841">
        <f t="shared" ca="1" si="167"/>
        <v>0</v>
      </c>
      <c r="Q139" s="637">
        <f ca="1">+SUM(M139:P139)</f>
        <v>30000</v>
      </c>
      <c r="R139" s="841">
        <f t="shared" ca="1" si="168"/>
        <v>0</v>
      </c>
      <c r="S139" s="841">
        <f t="shared" ca="1" si="168"/>
        <v>90000</v>
      </c>
      <c r="T139" s="841">
        <f t="shared" ca="1" si="168"/>
        <v>45000</v>
      </c>
      <c r="U139" s="841">
        <f t="shared" ca="1" si="168"/>
        <v>0</v>
      </c>
      <c r="V139" s="637">
        <f ca="1">+SUM(R139:U139)</f>
        <v>135000</v>
      </c>
      <c r="W139" s="841">
        <f t="shared" ref="W139:Z140" ca="1" si="169">+SUMIFS(INDIRECT(CONCATENATE("'",$AW139,$AX139,":",$AY139)),INDIRECT(CONCATENATE("'",$AW139,$AX$116,":",$AY$116)),W$116)</f>
        <v>0</v>
      </c>
      <c r="X139" s="841">
        <f t="shared" ca="1" si="169"/>
        <v>0</v>
      </c>
      <c r="Y139" s="841">
        <f t="shared" ca="1" si="169"/>
        <v>0</v>
      </c>
      <c r="Z139" s="841">
        <f t="shared" ca="1" si="169"/>
        <v>0</v>
      </c>
      <c r="AA139" s="637">
        <f ca="1">+SUM(W139:Z139)</f>
        <v>0</v>
      </c>
      <c r="AB139" s="841">
        <f t="shared" ref="AB139:AE140" ca="1" si="170">+SUMIFS(INDIRECT(CONCATENATE("'",$AW139,$AX139,":",$AY139)),INDIRECT(CONCATENATE("'",$AW139,$AX$116,":",$AY$116)),AB$116)</f>
        <v>0</v>
      </c>
      <c r="AC139" s="841">
        <f t="shared" ca="1" si="170"/>
        <v>0</v>
      </c>
      <c r="AD139" s="841">
        <f t="shared" ca="1" si="170"/>
        <v>0</v>
      </c>
      <c r="AE139" s="841">
        <f t="shared" ca="1" si="170"/>
        <v>32568</v>
      </c>
      <c r="AF139" s="637">
        <f ca="1">+SUM(AB139:AE139)</f>
        <v>32568</v>
      </c>
      <c r="AG139" s="841">
        <f t="shared" ref="AG139:AJ140" ca="1" si="171">+SUMIFS(INDIRECT(CONCATENATE("'",$AW139,$AX139,":",$AY139)),INDIRECT(CONCATENATE("'",$AW139,$AX$116,":",$AY$116)),AG$116)</f>
        <v>0</v>
      </c>
      <c r="AH139" s="841">
        <f t="shared" ca="1" si="171"/>
        <v>0</v>
      </c>
      <c r="AI139" s="841">
        <f t="shared" ca="1" si="171"/>
        <v>51266</v>
      </c>
      <c r="AJ139" s="841">
        <f t="shared" ca="1" si="171"/>
        <v>5005</v>
      </c>
      <c r="AK139" s="637">
        <f ca="1">+SUM(AG139:AJ139)</f>
        <v>56271</v>
      </c>
      <c r="AL139" s="841">
        <f t="shared" ref="AL139:AO140" ca="1" si="172">+SUMIFS(INDIRECT(CONCATENATE("'",$AW139,$AX139,":",$AY139)),INDIRECT(CONCATENATE("'",$AW139,$AX$116,":",$AY$116)),AL$116)</f>
        <v>5910</v>
      </c>
      <c r="AM139" s="841">
        <f t="shared" ca="1" si="172"/>
        <v>8729</v>
      </c>
      <c r="AN139" s="841">
        <f t="shared" ca="1" si="172"/>
        <v>0</v>
      </c>
      <c r="AO139" s="841">
        <f t="shared" ca="1" si="172"/>
        <v>0</v>
      </c>
      <c r="AP139" s="637">
        <f ca="1">+SUM(AL139:AO139)</f>
        <v>14639</v>
      </c>
      <c r="AQ139" s="841">
        <f t="shared" ref="AQ139:AV140" ca="1" si="173">+SUMIFS(INDIRECT(CONCATENATE("'",$AW139,$AX139,":",$AY139)),INDIRECT(CONCATENATE("'",$AW139,$AX$116,":",$AY$116)),AQ$116)</f>
        <v>6522</v>
      </c>
      <c r="AR139" s="841">
        <f t="shared" ca="1" si="173"/>
        <v>0</v>
      </c>
      <c r="AS139" s="841">
        <f t="shared" ca="1" si="173"/>
        <v>0</v>
      </c>
      <c r="AT139" s="841">
        <f t="shared" ca="1" si="173"/>
        <v>40000</v>
      </c>
      <c r="AU139" s="637">
        <f ca="1">+SUM(AQ139:AT139)</f>
        <v>46522</v>
      </c>
      <c r="AV139" s="841">
        <f t="shared" ca="1" si="173"/>
        <v>0</v>
      </c>
      <c r="AW139" s="267" t="s">
        <v>968</v>
      </c>
      <c r="AX139" s="267" t="str">
        <f>"$"&amp;ROW(DFC!$B$81)</f>
        <v>$81</v>
      </c>
      <c r="AY139" s="267" t="str">
        <f>"$"&amp;ROW(DFC!$B$81)</f>
        <v>$81</v>
      </c>
      <c r="AZ139" s="267" t="s">
        <v>969</v>
      </c>
      <c r="BA139" s="267" t="s">
        <v>968</v>
      </c>
      <c r="BK139" s="267"/>
      <c r="BL139" s="267"/>
      <c r="BM139" s="267"/>
      <c r="BN139" s="267"/>
      <c r="BO139" s="267"/>
      <c r="BP139" s="267"/>
      <c r="BQ139" s="267"/>
      <c r="BR139" s="267"/>
      <c r="BS139" s="267"/>
      <c r="BT139" s="267"/>
      <c r="BU139" s="267"/>
      <c r="BV139" s="267"/>
      <c r="BW139" s="267"/>
      <c r="BX139" s="267"/>
      <c r="BY139" s="267"/>
      <c r="BZ139" s="267"/>
      <c r="CA139" s="267"/>
      <c r="CB139" s="267"/>
      <c r="CC139" s="267"/>
      <c r="CD139" s="267"/>
      <c r="CE139" s="267"/>
      <c r="CF139" s="267"/>
      <c r="CG139" s="267"/>
    </row>
    <row r="140" spans="2:85" ht="13.5" customHeight="1" x14ac:dyDescent="0.2">
      <c r="B140" s="842" t="s">
        <v>729</v>
      </c>
      <c r="C140" s="841">
        <f t="shared" ca="1" si="165"/>
        <v>0</v>
      </c>
      <c r="D140" s="841">
        <f t="shared" ca="1" si="165"/>
        <v>735</v>
      </c>
      <c r="E140" s="841">
        <f t="shared" ca="1" si="165"/>
        <v>0</v>
      </c>
      <c r="F140" s="841">
        <f t="shared" ca="1" si="165"/>
        <v>1</v>
      </c>
      <c r="G140" s="637">
        <f ca="1">+SUM(C140:F140)</f>
        <v>736</v>
      </c>
      <c r="H140" s="841">
        <f t="shared" ca="1" si="166"/>
        <v>0</v>
      </c>
      <c r="I140" s="841">
        <f t="shared" ca="1" si="166"/>
        <v>244</v>
      </c>
      <c r="J140" s="841">
        <f t="shared" ca="1" si="166"/>
        <v>0</v>
      </c>
      <c r="K140" s="841">
        <f t="shared" ca="1" si="166"/>
        <v>0</v>
      </c>
      <c r="L140" s="637">
        <f ca="1">+SUM(H140:K140)</f>
        <v>244</v>
      </c>
      <c r="M140" s="841">
        <f t="shared" ca="1" si="167"/>
        <v>0</v>
      </c>
      <c r="N140" s="841">
        <f t="shared" ca="1" si="167"/>
        <v>267</v>
      </c>
      <c r="O140" s="841">
        <f t="shared" ca="1" si="167"/>
        <v>0</v>
      </c>
      <c r="P140" s="841">
        <f t="shared" ca="1" si="167"/>
        <v>0</v>
      </c>
      <c r="Q140" s="637">
        <f ca="1">+SUM(M140:P140)</f>
        <v>267</v>
      </c>
      <c r="R140" s="841">
        <f t="shared" ca="1" si="168"/>
        <v>0</v>
      </c>
      <c r="S140" s="841">
        <f t="shared" ca="1" si="168"/>
        <v>1567</v>
      </c>
      <c r="T140" s="841">
        <f t="shared" ca="1" si="168"/>
        <v>3775</v>
      </c>
      <c r="U140" s="841">
        <f t="shared" ca="1" si="168"/>
        <v>2000</v>
      </c>
      <c r="V140" s="637">
        <f ca="1">+SUM(R140:U140)</f>
        <v>7342</v>
      </c>
      <c r="W140" s="841">
        <f t="shared" ca="1" si="169"/>
        <v>0</v>
      </c>
      <c r="X140" s="841">
        <f t="shared" ca="1" si="169"/>
        <v>1684</v>
      </c>
      <c r="Y140" s="841">
        <f t="shared" ca="1" si="169"/>
        <v>2754</v>
      </c>
      <c r="Z140" s="841">
        <f t="shared" ca="1" si="169"/>
        <v>2150</v>
      </c>
      <c r="AA140" s="637">
        <f ca="1">+SUM(W140:Z140)</f>
        <v>6588</v>
      </c>
      <c r="AB140" s="841">
        <f t="shared" ca="1" si="170"/>
        <v>1144</v>
      </c>
      <c r="AC140" s="841">
        <f t="shared" ca="1" si="170"/>
        <v>2195</v>
      </c>
      <c r="AD140" s="841">
        <f t="shared" ca="1" si="170"/>
        <v>2043</v>
      </c>
      <c r="AE140" s="841">
        <f t="shared" ca="1" si="170"/>
        <v>1300</v>
      </c>
      <c r="AF140" s="637">
        <f ca="1">+SUM(AB140:AE140)</f>
        <v>6682</v>
      </c>
      <c r="AG140" s="841">
        <f t="shared" ca="1" si="171"/>
        <v>2100</v>
      </c>
      <c r="AH140" s="841">
        <f t="shared" ca="1" si="171"/>
        <v>3102</v>
      </c>
      <c r="AI140" s="841">
        <f t="shared" ca="1" si="171"/>
        <v>4000</v>
      </c>
      <c r="AJ140" s="841">
        <f t="shared" ca="1" si="171"/>
        <v>5500</v>
      </c>
      <c r="AK140" s="637">
        <f ca="1">+SUM(AG140:AJ140)</f>
        <v>14702</v>
      </c>
      <c r="AL140" s="841">
        <f t="shared" ca="1" si="172"/>
        <v>0</v>
      </c>
      <c r="AM140" s="841">
        <f t="shared" ca="1" si="172"/>
        <v>3181</v>
      </c>
      <c r="AN140" s="841">
        <f t="shared" ca="1" si="172"/>
        <v>17473</v>
      </c>
      <c r="AO140" s="841">
        <f t="shared" ca="1" si="172"/>
        <v>6500</v>
      </c>
      <c r="AP140" s="637">
        <f ca="1">+SUM(AL140:AO140)</f>
        <v>27154</v>
      </c>
      <c r="AQ140" s="841">
        <f t="shared" ca="1" si="173"/>
        <v>0</v>
      </c>
      <c r="AR140" s="841">
        <f t="shared" ca="1" si="173"/>
        <v>5526</v>
      </c>
      <c r="AS140" s="841">
        <f t="shared" ca="1" si="173"/>
        <v>4750</v>
      </c>
      <c r="AT140" s="841">
        <f t="shared" ca="1" si="173"/>
        <v>14351</v>
      </c>
      <c r="AU140" s="637">
        <f ca="1">+SUM(AQ140:AT140)</f>
        <v>24627</v>
      </c>
      <c r="AV140" s="841">
        <f t="shared" ca="1" si="173"/>
        <v>0</v>
      </c>
      <c r="AW140" s="267" t="s">
        <v>968</v>
      </c>
      <c r="AX140" s="267" t="str">
        <f>"$"&amp;ROW(DFC!$B$64)</f>
        <v>$64</v>
      </c>
      <c r="AY140" s="267" t="str">
        <f>"$"&amp;ROW(DFC!$B$64)</f>
        <v>$64</v>
      </c>
      <c r="AZ140" s="267" t="s">
        <v>969</v>
      </c>
      <c r="BA140" s="267" t="s">
        <v>968</v>
      </c>
      <c r="BK140" s="267"/>
      <c r="BL140" s="267"/>
      <c r="BM140" s="267"/>
      <c r="BN140" s="267"/>
      <c r="BO140" s="267"/>
      <c r="BP140" s="267"/>
      <c r="BQ140" s="267"/>
      <c r="BR140" s="267"/>
      <c r="BS140" s="267"/>
      <c r="BT140" s="267"/>
      <c r="BU140" s="267"/>
      <c r="BV140" s="267"/>
      <c r="BW140" s="267"/>
      <c r="BX140" s="267"/>
      <c r="BY140" s="267"/>
      <c r="BZ140" s="267"/>
      <c r="CA140" s="267"/>
      <c r="CB140" s="267"/>
      <c r="CC140" s="267"/>
      <c r="CD140" s="267"/>
      <c r="CE140" s="267"/>
      <c r="CF140" s="267"/>
      <c r="CG140" s="267"/>
    </row>
    <row r="141" spans="2:85" s="869" customFormat="1" ht="13.5" customHeight="1" x14ac:dyDescent="0.2">
      <c r="B141" s="872" t="s">
        <v>970</v>
      </c>
      <c r="C141" s="849">
        <f t="shared" ref="C141:AE141" ca="1" si="174">+SUM(C135:C140)</f>
        <v>-41900.740049999942</v>
      </c>
      <c r="D141" s="849">
        <f t="shared" ca="1" si="174"/>
        <v>84375.397210000068</v>
      </c>
      <c r="E141" s="849">
        <f t="shared" ca="1" si="174"/>
        <v>-37859.652601548107</v>
      </c>
      <c r="F141" s="849">
        <f t="shared" ca="1" si="174"/>
        <v>9714.1656715481568</v>
      </c>
      <c r="G141" s="638">
        <f t="shared" ca="1" si="174"/>
        <v>14329.170230000163</v>
      </c>
      <c r="H141" s="849">
        <f t="shared" ca="1" si="174"/>
        <v>-30426.336589999992</v>
      </c>
      <c r="I141" s="849">
        <f t="shared" ca="1" si="174"/>
        <v>-1668.2584900000397</v>
      </c>
      <c r="J141" s="849">
        <f t="shared" ca="1" si="174"/>
        <v>26506.526049999935</v>
      </c>
      <c r="K141" s="849">
        <f t="shared" ca="1" si="174"/>
        <v>13887.965357457559</v>
      </c>
      <c r="L141" s="638">
        <f t="shared" ca="1" si="174"/>
        <v>8299.8963274574489</v>
      </c>
      <c r="M141" s="849">
        <f t="shared" ca="1" si="174"/>
        <v>28411.133340000059</v>
      </c>
      <c r="N141" s="849">
        <f t="shared" ca="1" si="174"/>
        <v>5221.3508100000399</v>
      </c>
      <c r="O141" s="849">
        <f t="shared" ca="1" si="174"/>
        <v>34483.016760000057</v>
      </c>
      <c r="P141" s="849">
        <f t="shared" ca="1" si="174"/>
        <v>2466.5463917223078</v>
      </c>
      <c r="Q141" s="638">
        <f t="shared" ca="1" si="174"/>
        <v>70582.047301722458</v>
      </c>
      <c r="R141" s="849">
        <f t="shared" ca="1" si="174"/>
        <v>57760.294979999991</v>
      </c>
      <c r="S141" s="849">
        <f t="shared" ca="1" si="174"/>
        <v>158530.27034999998</v>
      </c>
      <c r="T141" s="849">
        <f t="shared" ca="1" si="174"/>
        <v>-82193.934360000014</v>
      </c>
      <c r="U141" s="849">
        <f t="shared" ca="1" si="174"/>
        <v>24602.874840000015</v>
      </c>
      <c r="V141" s="638">
        <f t="shared" ca="1" si="174"/>
        <v>158699.50580999994</v>
      </c>
      <c r="W141" s="849">
        <f t="shared" ca="1" si="174"/>
        <v>55450.355170000017</v>
      </c>
      <c r="X141" s="849">
        <f t="shared" ca="1" si="174"/>
        <v>-50444.438440000027</v>
      </c>
      <c r="Y141" s="849">
        <f t="shared" ca="1" si="174"/>
        <v>13706.012609999991</v>
      </c>
      <c r="Z141" s="849">
        <f t="shared" ca="1" si="174"/>
        <v>-73895.253930000094</v>
      </c>
      <c r="AA141" s="638">
        <f t="shared" ca="1" si="174"/>
        <v>-55183.324590000135</v>
      </c>
      <c r="AB141" s="849">
        <f t="shared" ca="1" si="174"/>
        <v>77125.758349999931</v>
      </c>
      <c r="AC141" s="849">
        <f t="shared" ca="1" si="174"/>
        <v>-76824.400990000024</v>
      </c>
      <c r="AD141" s="849">
        <f t="shared" ca="1" si="174"/>
        <v>28386.991149999991</v>
      </c>
      <c r="AE141" s="849">
        <f t="shared" ca="1" si="174"/>
        <v>60176.741869999976</v>
      </c>
      <c r="AF141" s="638">
        <f t="shared" ref="AF141:AK141" ca="1" si="175">+SUM(AF135:AF140)</f>
        <v>88865.090379999849</v>
      </c>
      <c r="AG141" s="849">
        <f t="shared" ca="1" si="175"/>
        <v>62270.665899999876</v>
      </c>
      <c r="AH141" s="849">
        <f t="shared" ca="1" si="175"/>
        <v>33463.973010000052</v>
      </c>
      <c r="AI141" s="849">
        <f t="shared" ca="1" si="175"/>
        <v>43056.900179999997</v>
      </c>
      <c r="AJ141" s="849">
        <f t="shared" ca="1" si="175"/>
        <v>-9360.8652299997739</v>
      </c>
      <c r="AK141" s="638">
        <f t="shared" ca="1" si="175"/>
        <v>129430.67386000013</v>
      </c>
      <c r="AL141" s="849">
        <f t="shared" ref="AL141:AV141" ca="1" si="176">+SUM(AL135:AL140)</f>
        <v>72152.686199999807</v>
      </c>
      <c r="AM141" s="849">
        <f t="shared" ca="1" si="176"/>
        <v>8327.511200000059</v>
      </c>
      <c r="AN141" s="849">
        <f t="shared" ca="1" si="176"/>
        <v>35289.849560000082</v>
      </c>
      <c r="AO141" s="849">
        <f t="shared" ca="1" si="176"/>
        <v>37148.037479999897</v>
      </c>
      <c r="AP141" s="638">
        <f t="shared" ca="1" si="176"/>
        <v>152918.08443999986</v>
      </c>
      <c r="AQ141" s="849">
        <f t="shared" ca="1" si="176"/>
        <v>132592.07570999995</v>
      </c>
      <c r="AR141" s="849">
        <f t="shared" ca="1" si="176"/>
        <v>21712.699929999762</v>
      </c>
      <c r="AS141" s="849">
        <f t="shared" ca="1" si="176"/>
        <v>-6167.8595193650381</v>
      </c>
      <c r="AT141" s="849">
        <f t="shared" ca="1" si="176"/>
        <v>12345.45235</v>
      </c>
      <c r="AU141" s="638">
        <f t="shared" ca="1" si="176"/>
        <v>160482.36847063468</v>
      </c>
      <c r="AV141" s="849">
        <f t="shared" ca="1" si="176"/>
        <v>65423.929950000194</v>
      </c>
      <c r="AW141" s="870"/>
      <c r="AX141" s="870"/>
      <c r="AY141" s="870"/>
      <c r="AZ141" s="870"/>
      <c r="BA141" s="870"/>
      <c r="BB141" s="870"/>
      <c r="BC141" s="870"/>
      <c r="BD141" s="870"/>
      <c r="BE141" s="870"/>
      <c r="BH141" s="870"/>
      <c r="BI141" s="870"/>
      <c r="BJ141" s="870"/>
      <c r="BK141" s="870"/>
      <c r="BL141" s="870"/>
      <c r="BM141" s="870"/>
      <c r="BN141" s="870"/>
      <c r="BO141" s="870"/>
      <c r="BP141" s="870"/>
      <c r="BQ141" s="870"/>
      <c r="BR141" s="870"/>
      <c r="BS141" s="870"/>
      <c r="BT141" s="870"/>
      <c r="BU141" s="870"/>
      <c r="BV141" s="870"/>
      <c r="BW141" s="870"/>
      <c r="BX141" s="870"/>
      <c r="BY141" s="870"/>
      <c r="BZ141" s="870"/>
      <c r="CA141" s="870"/>
      <c r="CB141" s="870"/>
      <c r="CC141" s="870"/>
      <c r="CD141" s="870"/>
      <c r="CE141" s="870"/>
      <c r="CF141" s="870"/>
      <c r="CG141" s="870"/>
    </row>
    <row r="142" spans="2:85" ht="3" customHeight="1" x14ac:dyDescent="0.2">
      <c r="B142" s="868"/>
      <c r="C142" s="1032"/>
      <c r="D142" s="1032"/>
      <c r="E142" s="1032"/>
      <c r="F142" s="1032"/>
      <c r="G142" s="841"/>
      <c r="H142" s="1032"/>
      <c r="I142" s="1032"/>
      <c r="J142" s="1032"/>
      <c r="K142" s="1032"/>
      <c r="L142" s="841"/>
      <c r="M142" s="638"/>
      <c r="N142" s="638"/>
      <c r="O142" s="638"/>
      <c r="P142" s="638"/>
      <c r="Q142" s="841"/>
      <c r="R142" s="638"/>
      <c r="S142" s="638"/>
      <c r="T142" s="638"/>
      <c r="U142" s="638"/>
      <c r="V142" s="841"/>
      <c r="W142" s="638"/>
      <c r="X142" s="638"/>
      <c r="Y142" s="638"/>
      <c r="Z142" s="638"/>
      <c r="AA142" s="841"/>
      <c r="AB142" s="638"/>
      <c r="AC142" s="638"/>
      <c r="AD142" s="638"/>
      <c r="AE142" s="638"/>
      <c r="AF142" s="841"/>
      <c r="AG142" s="638"/>
      <c r="AH142" s="638"/>
      <c r="AI142" s="638"/>
      <c r="AJ142" s="638"/>
      <c r="AK142" s="841"/>
      <c r="AL142" s="638"/>
      <c r="AM142" s="638"/>
      <c r="AN142" s="638"/>
      <c r="AO142" s="638"/>
      <c r="AP142" s="841"/>
      <c r="AQ142" s="638"/>
      <c r="AR142" s="638"/>
      <c r="AS142" s="638"/>
      <c r="AT142" s="638"/>
      <c r="AU142" s="841"/>
      <c r="AV142" s="638"/>
      <c r="BK142" s="267"/>
      <c r="BL142" s="267"/>
      <c r="BM142" s="267"/>
      <c r="BN142" s="267"/>
      <c r="BO142" s="267"/>
      <c r="BP142" s="267"/>
      <c r="BQ142" s="267"/>
      <c r="BR142" s="267"/>
      <c r="BS142" s="267"/>
      <c r="BT142" s="267"/>
      <c r="BU142" s="267"/>
      <c r="BV142" s="267"/>
      <c r="BW142" s="267"/>
      <c r="BX142" s="267"/>
      <c r="BY142" s="267"/>
      <c r="BZ142" s="267"/>
      <c r="CA142" s="267"/>
      <c r="CB142" s="267"/>
      <c r="CC142" s="267"/>
      <c r="CD142" s="267"/>
      <c r="CE142" s="267"/>
      <c r="CF142" s="267"/>
      <c r="CG142" s="267"/>
    </row>
    <row r="143" spans="2:85" ht="13.5" customHeight="1" x14ac:dyDescent="0.2">
      <c r="B143" s="842" t="s">
        <v>1249</v>
      </c>
      <c r="C143" s="841">
        <f ca="1">+SUMIFS(INDIRECT(CONCATENATE("'",$AW143,$AX143,":",$AY143)),INDIRECT(CONCATENATE("'",$AW143,$AX$116,":",$AY$116)),C$116)</f>
        <v>0</v>
      </c>
      <c r="D143" s="841">
        <f ca="1">+SUMIFS(INDIRECT(CONCATENATE("'",$AW143,$AX143,":",$AY143)),INDIRECT(CONCATENATE("'",$AW143,$AX$116,":",$AY$116)),D$116)</f>
        <v>-8000</v>
      </c>
      <c r="E143" s="841">
        <f ca="1">+SUMIFS(INDIRECT(CONCATENATE("'",$AW143,$AX143,":",$AY143)),INDIRECT(CONCATENATE("'",$AW143,$AX$116,":",$AY$116)),E$116)</f>
        <v>-14750</v>
      </c>
      <c r="F143" s="841">
        <f ca="1">+SUMIFS(INDIRECT(CONCATENATE("'",$AW143,$AX143,":",$AY143)),INDIRECT(CONCATENATE("'",$AW143,$AX$116,":",$AY$116)),F$116)</f>
        <v>-7643</v>
      </c>
      <c r="G143" s="637">
        <f ca="1">+SUM(C143:F143)</f>
        <v>-30393</v>
      </c>
      <c r="H143" s="841">
        <f ca="1">+SUMIFS(INDIRECT(CONCATENATE("'",$AW143,$AX143,":",$AY143)),INDIRECT(CONCATENATE("'",$AW143,$AX$116,":",$AY$116)),H$116)</f>
        <v>0</v>
      </c>
      <c r="I143" s="841">
        <f ca="1">+SUMIFS(INDIRECT(CONCATENATE("'",$AW143,$AX143,":",$AY143)),INDIRECT(CONCATENATE("'",$AW143,$AX$116,":",$AY$116)),I$116)</f>
        <v>-38856</v>
      </c>
      <c r="J143" s="841">
        <f ca="1">+SUMIFS(INDIRECT(CONCATENATE("'",$AW143,$AX143,":",$AY143)),INDIRECT(CONCATENATE("'",$AW143,$AX$116,":",$AY$116)),J$116)</f>
        <v>-21090</v>
      </c>
      <c r="K143" s="841">
        <f ca="1">+SUMIFS(INDIRECT(CONCATENATE("'",$AW143,$AX143,":",$AY143)),INDIRECT(CONCATENATE("'",$AW143,$AX$116,":",$AY$116)),K$116)</f>
        <v>-15554</v>
      </c>
      <c r="L143" s="637">
        <f ca="1">+SUM(H143:K143)</f>
        <v>-75500</v>
      </c>
      <c r="M143" s="841">
        <f ca="1">+SUMIFS(INDIRECT(CONCATENATE("'",$AW143,$AX143,":",$AY143)),INDIRECT(CONCATENATE("'",$AW143,$AX$116,":",$AY$116)),M$116)</f>
        <v>0</v>
      </c>
      <c r="N143" s="841">
        <f ca="1">+SUMIFS(INDIRECT(CONCATENATE("'",$AW143,$AX143,":",$AY143)),INDIRECT(CONCATENATE("'",$AW143,$AX$116,":",$AY$116)),N$116)</f>
        <v>-28306</v>
      </c>
      <c r="O143" s="841">
        <f ca="1">+SUMIFS(INDIRECT(CONCATENATE("'",$AW143,$AX143,":",$AY143)),INDIRECT(CONCATENATE("'",$AW143,$AX$116,":",$AY$116)),O$116)</f>
        <v>-29568</v>
      </c>
      <c r="P143" s="841">
        <f ca="1">+SUMIFS(INDIRECT(CONCATENATE("'",$AW143,$AX143,":",$AY143)),INDIRECT(CONCATENATE("'",$AW143,$AX$116,":",$AY$116)),P$116)</f>
        <v>-45696</v>
      </c>
      <c r="Q143" s="637">
        <f ca="1">+SUM(M143:P143)</f>
        <v>-103570</v>
      </c>
      <c r="R143" s="841">
        <f ca="1">+SUMIFS(INDIRECT(CONCATENATE("'",$AW143,$AX143,":",$AY143)),INDIRECT(CONCATENATE("'",$AW143,$AX$116,":",$AY$116)),R$116)</f>
        <v>0</v>
      </c>
      <c r="S143" s="841">
        <f ca="1">+SUMIFS(INDIRECT(CONCATENATE("'",$AW143,$AX143,":",$AY143)),INDIRECT(CONCATENATE("'",$AW143,$AX$116,":",$AY$116)),S$116)</f>
        <v>0</v>
      </c>
      <c r="T143" s="841">
        <f ca="1">+SUMIFS(INDIRECT(CONCATENATE("'",$AW143,$AX143,":",$AY143)),INDIRECT(CONCATENATE("'",$AW143,$AX$116,":",$AY$116)),T$116)</f>
        <v>0</v>
      </c>
      <c r="U143" s="841">
        <f ca="1">+SUMIFS(INDIRECT(CONCATENATE("'",$AW143,$AX143,":",$AY143)),INDIRECT(CONCATENATE("'",$AW143,$AX$116,":",$AY$116)),U$116)</f>
        <v>-22431</v>
      </c>
      <c r="V143" s="637">
        <f ca="1">+SUM(R143:U143)</f>
        <v>-22431</v>
      </c>
      <c r="W143" s="841">
        <f ca="1">+SUMIFS(INDIRECT(CONCATENATE("'",$AW143,$AX143,":",$AY143)),INDIRECT(CONCATENATE("'",$AW143,$AX$116,":",$AY$116)),W$116)</f>
        <v>0</v>
      </c>
      <c r="X143" s="841">
        <f ca="1">+SUMIFS(INDIRECT(CONCATENATE("'",$AW143,$AX143,":",$AY143)),INDIRECT(CONCATENATE("'",$AW143,$AX$116,":",$AY$116)),X$116)</f>
        <v>-12541</v>
      </c>
      <c r="Y143" s="841">
        <f ca="1">+SUMIFS(INDIRECT(CONCATENATE("'",$AW143,$AX143,":",$AY143)),INDIRECT(CONCATENATE("'",$AW143,$AX$116,":",$AY$116)),Y$116)</f>
        <v>-22157</v>
      </c>
      <c r="Z143" s="841">
        <f ca="1">+SUMIFS(INDIRECT(CONCATENATE("'",$AW143,$AX143,":",$AY143)),INDIRECT(CONCATENATE("'",$AW143,$AX$116,":",$AY$116)),Z$116)</f>
        <v>-17118</v>
      </c>
      <c r="AA143" s="637">
        <f ca="1">+SUM(W143:Z143)</f>
        <v>-51816</v>
      </c>
      <c r="AB143" s="841">
        <f ca="1">+SUMIFS(INDIRECT(CONCATENATE("'",$AW143,$AX143,":",$AY143)),INDIRECT(CONCATENATE("'",$AW143,$AX$116,":",$AY$116)),AB$116)</f>
        <v>0</v>
      </c>
      <c r="AC143" s="841">
        <f ca="1">+SUMIFS(INDIRECT(CONCATENATE("'",$AW143,$AX143,":",$AY143)),INDIRECT(CONCATENATE("'",$AW143,$AX$116,":",$AY$116)),AC$116)</f>
        <v>-22339</v>
      </c>
      <c r="AD143" s="841">
        <f ca="1">+SUMIFS(INDIRECT(CONCATENATE("'",$AW143,$AX143,":",$AY143)),INDIRECT(CONCATENATE("'",$AW143,$AX$116,":",$AY$116)),AD$116)</f>
        <v>-24589</v>
      </c>
      <c r="AE143" s="841">
        <f ca="1">+SUMIFS(INDIRECT(CONCATENATE("'",$AW143,$AX143,":",$AY143)),INDIRECT(CONCATENATE("'",$AW143,$AX$116,":",$AY$116)),AE$116)</f>
        <v>-27035</v>
      </c>
      <c r="AF143" s="637">
        <f ca="1">+SUM(AB143:AE143)</f>
        <v>-73963</v>
      </c>
      <c r="AG143" s="841">
        <f ca="1">+SUMIFS(INDIRECT(CONCATENATE("'",$AW143,$AX143,":",$AY143)),INDIRECT(CONCATENATE("'",$AW143,$AX$116,":",$AY$116)),AG$116)</f>
        <v>0</v>
      </c>
      <c r="AH143" s="841">
        <f ca="1">+SUMIFS(INDIRECT(CONCATENATE("'",$AW143,$AX143,":",$AY143)),INDIRECT(CONCATENATE("'",$AW143,$AX$116,":",$AY$116)),AH$116)</f>
        <v>-39563</v>
      </c>
      <c r="AI143" s="841">
        <f ca="1">+SUMIFS(INDIRECT(CONCATENATE("'",$AW143,$AX143,":",$AY143)),INDIRECT(CONCATENATE("'",$AW143,$AX$116,":",$AY$116)),AI$116)</f>
        <v>-37648</v>
      </c>
      <c r="AJ143" s="841">
        <f ca="1">+SUMIFS(INDIRECT(CONCATENATE("'",$AW143,$AX143,":",$AY143)),INDIRECT(CONCATENATE("'",$AW143,$AX$116,":",$AY$116)),AJ$116)</f>
        <v>-35606</v>
      </c>
      <c r="AK143" s="637">
        <f ca="1">+SUM(AG143:AJ143)</f>
        <v>-112817</v>
      </c>
      <c r="AL143" s="841">
        <f ca="1">+SUMIFS(INDIRECT(CONCATENATE("'",$AW143,$AX143,":",$AY143)),INDIRECT(CONCATENATE("'",$AW143,$AX$116,":",$AY$116)),AL$116)</f>
        <v>0</v>
      </c>
      <c r="AM143" s="841">
        <f ca="1">+SUMIFS(INDIRECT(CONCATENATE("'",$AW143,$AX143,":",$AY143)),INDIRECT(CONCATENATE("'",$AW143,$AX$116,":",$AY$116)),AM$116)</f>
        <v>-47713</v>
      </c>
      <c r="AN143" s="841">
        <f ca="1">+SUMIFS(INDIRECT(CONCATENATE("'",$AW143,$AX143,":",$AY143)),INDIRECT(CONCATENATE("'",$AW143,$AX$116,":",$AY$116)),AN$116)</f>
        <v>-80444</v>
      </c>
      <c r="AO143" s="841">
        <f ca="1">+SUMIFS(INDIRECT(CONCATENATE("'",$AW143,$AX143,":",$AY143)),INDIRECT(CONCATENATE("'",$AW143,$AX$116,":",$AY$116)),AO$116)</f>
        <v>-52001</v>
      </c>
      <c r="AP143" s="637">
        <f ca="1">+SUM(AL143:AO143)</f>
        <v>-180158</v>
      </c>
      <c r="AQ143" s="841">
        <f ca="1">+SUMIFS(INDIRECT(CONCATENATE("'",$AW143,$AX143,":",$AY143)),INDIRECT(CONCATENATE("'",$AW143,$AX$116,":",$AY$116)),AQ$116)</f>
        <v>0</v>
      </c>
      <c r="AR143" s="841">
        <f ca="1">+SUMIFS(INDIRECT(CONCATENATE("'",$AW143,$AX143,":",$AY143)),INDIRECT(CONCATENATE("'",$AW143,$AX$116,":",$AY$116)),AR$116)</f>
        <v>-38903</v>
      </c>
      <c r="AS143" s="841">
        <f ca="1">+SUMIFS(INDIRECT(CONCATENATE("'",$AW143,$AX143,":",$AY143)),INDIRECT(CONCATENATE("'",$AW143,$AX$116,":",$AY$116)),AS$116)</f>
        <v>-89016</v>
      </c>
      <c r="AT143" s="841">
        <f ca="1">+SUMIFS(INDIRECT(CONCATENATE("'",$AW143,$AX143,":",$AY143)),INDIRECT(CONCATENATE("'",$AW143,$AX$116,":",$AY$116)),AT$116)</f>
        <v>-164185</v>
      </c>
      <c r="AU143" s="637">
        <f ca="1">+SUM(AQ143:AT143)</f>
        <v>-292104</v>
      </c>
      <c r="AV143" s="841">
        <f ca="1">+SUMIFS(INDIRECT(CONCATENATE("'",$AW143,$AX143,":",$AY143)),INDIRECT(CONCATENATE("'",$AW143,$AX$116,":",$AY$116)),AV$116)</f>
        <v>0</v>
      </c>
      <c r="AW143" s="267" t="s">
        <v>968</v>
      </c>
      <c r="AX143" s="267" t="str">
        <f>"$"&amp;ROW(DFC!$B$80)</f>
        <v>$80</v>
      </c>
      <c r="AY143" s="267" t="str">
        <f>"$"&amp;ROW(DFC!$B$80)</f>
        <v>$80</v>
      </c>
      <c r="AZ143" s="267" t="s">
        <v>969</v>
      </c>
      <c r="BA143" s="267" t="s">
        <v>968</v>
      </c>
      <c r="BK143" s="267"/>
      <c r="BL143" s="267"/>
      <c r="BM143" s="267"/>
      <c r="BN143" s="267"/>
      <c r="BO143" s="267"/>
      <c r="BP143" s="267"/>
      <c r="BQ143" s="267"/>
      <c r="BR143" s="267"/>
      <c r="BS143" s="267"/>
      <c r="BT143" s="267"/>
      <c r="BU143" s="267"/>
      <c r="BV143" s="267"/>
      <c r="BW143" s="267"/>
      <c r="BX143" s="267"/>
      <c r="BY143" s="267"/>
      <c r="BZ143" s="267"/>
      <c r="CA143" s="267"/>
      <c r="CB143" s="267"/>
      <c r="CC143" s="267"/>
      <c r="CD143" s="267"/>
      <c r="CE143" s="267"/>
      <c r="CF143" s="267"/>
      <c r="CG143" s="267"/>
    </row>
    <row r="144" spans="2:85" ht="13.5" customHeight="1" x14ac:dyDescent="0.2">
      <c r="B144" s="842" t="s">
        <v>967</v>
      </c>
      <c r="C144" s="867">
        <f ca="1">+C145-C143-C141</f>
        <v>-24944.259950000058</v>
      </c>
      <c r="D144" s="867">
        <f ca="1">+D145-D143-D141</f>
        <v>-19358.397210000068</v>
      </c>
      <c r="E144" s="867">
        <f ca="1">+E145-E143-E141</f>
        <v>14886.652601548107</v>
      </c>
      <c r="F144" s="867">
        <f ca="1">+F145-F143-F141</f>
        <v>1353.8343284518432</v>
      </c>
      <c r="G144" s="637">
        <f ca="1">+SUM(C144:F144)</f>
        <v>-28062.170230000178</v>
      </c>
      <c r="H144" s="867">
        <f ca="1">+H145-H143-H141</f>
        <v>7160.3365899999917</v>
      </c>
      <c r="I144" s="867">
        <f ca="1">+I145-I143-I141</f>
        <v>5747.2584900000402</v>
      </c>
      <c r="J144" s="867">
        <f ca="1">+J145-J143-J141</f>
        <v>1858.4739500000651</v>
      </c>
      <c r="K144" s="867">
        <f ca="1">+K145-K143-K141</f>
        <v>-12755.965357457559</v>
      </c>
      <c r="L144" s="637">
        <f ca="1">+SUM(H144:K144)</f>
        <v>2010.1036725425383</v>
      </c>
      <c r="M144" s="867">
        <f ca="1">+M145-M143-M141</f>
        <v>-3959.1333400000585</v>
      </c>
      <c r="N144" s="867">
        <f ca="1">+N145-N143-N141</f>
        <v>21865.64918999996</v>
      </c>
      <c r="O144" s="867">
        <f ca="1">+O145-O143-O141</f>
        <v>417.98323999994318</v>
      </c>
      <c r="P144" s="867">
        <f ca="1">+P145-P143-P141</f>
        <v>-1546.5463917223078</v>
      </c>
      <c r="Q144" s="637">
        <f ca="1">+SUM(M144:P144)</f>
        <v>16777.952698277535</v>
      </c>
      <c r="R144" s="867">
        <f ca="1">+R145-R143-R141</f>
        <v>847.70502000000852</v>
      </c>
      <c r="S144" s="867">
        <f ca="1">+S145-S143-S141</f>
        <v>2032.729650000023</v>
      </c>
      <c r="T144" s="867">
        <f ca="1">+T145-T143-T141</f>
        <v>43483.934360000014</v>
      </c>
      <c r="U144" s="867">
        <f ca="1">+U145-U143-U141</f>
        <v>10422.125159999985</v>
      </c>
      <c r="V144" s="637">
        <f ca="1">+SUM(R144:U144)</f>
        <v>56786.494190000027</v>
      </c>
      <c r="W144" s="867">
        <f ca="1">+W145-W143-W141</f>
        <v>-10928.355170000017</v>
      </c>
      <c r="X144" s="867">
        <f ca="1">+X145-X143-X141</f>
        <v>2605.4384400000272</v>
      </c>
      <c r="Y144" s="867">
        <f ca="1">+Y145-Y143-Y141</f>
        <v>-14657.012609999991</v>
      </c>
      <c r="Z144" s="867">
        <f ca="1">+Z145-Z143-Z141</f>
        <v>16720.253930000094</v>
      </c>
      <c r="AA144" s="637">
        <f ca="1">+SUM(W144:Z144)</f>
        <v>-6259.6754099998871</v>
      </c>
      <c r="AB144" s="867">
        <f ca="1">+AB145-AB143-AB141</f>
        <v>-13749.758349999931</v>
      </c>
      <c r="AC144" s="867">
        <f ca="1">+AC145-AC143-AC141</f>
        <v>8382.4009900000237</v>
      </c>
      <c r="AD144" s="867">
        <f ca="1">+AD145-AD143-AD141</f>
        <v>13721.008850000009</v>
      </c>
      <c r="AE144" s="867">
        <f ca="1">+AE145-AE143-AE141</f>
        <v>19915.258130000024</v>
      </c>
      <c r="AF144" s="637">
        <f ca="1">+SUM(AB144:AE144)</f>
        <v>28268.909620000126</v>
      </c>
      <c r="AG144" s="867">
        <f ca="1">+AG145-AG143-AG141</f>
        <v>-10521.665899999876</v>
      </c>
      <c r="AH144" s="867">
        <f ca="1">+AH145-AH143-AH141</f>
        <v>1089.0269899999475</v>
      </c>
      <c r="AI144" s="867">
        <f ca="1">+AI145-AI143-AI141</f>
        <v>16183.099820000003</v>
      </c>
      <c r="AJ144" s="867">
        <f ca="1">+AJ145-AJ143-AJ141</f>
        <v>18875.865229999774</v>
      </c>
      <c r="AK144" s="637">
        <f ca="1">+SUM(AG144:AJ144)</f>
        <v>25626.326139999848</v>
      </c>
      <c r="AL144" s="867">
        <f ca="1">+AL145-AL143-AL141</f>
        <v>-4895.6861999998073</v>
      </c>
      <c r="AM144" s="867">
        <f ca="1">+AM145-AM143-AM141</f>
        <v>22391.488799999941</v>
      </c>
      <c r="AN144" s="867">
        <f ca="1">+AN145-AN143-AN141</f>
        <v>26478.150439999918</v>
      </c>
      <c r="AO144" s="867">
        <f ca="1">+AO145-AO143-AO141</f>
        <v>-7938.0374799998972</v>
      </c>
      <c r="AP144" s="637">
        <f ca="1">+SUM(AL144:AO144)</f>
        <v>36035.915560000154</v>
      </c>
      <c r="AQ144" s="867">
        <f ca="1">+AQ145-AQ143-AQ141</f>
        <v>-34730.075709999946</v>
      </c>
      <c r="AR144" s="867">
        <f ca="1">+AR145-AR143-AR141</f>
        <v>25144.300070000238</v>
      </c>
      <c r="AS144" s="867">
        <f ca="1">+AS145-AS143-AS141</f>
        <v>-6303.1404806349619</v>
      </c>
      <c r="AT144" s="867">
        <f ca="1">+AT145-AT143-AT141</f>
        <v>-81451.452350000007</v>
      </c>
      <c r="AU144" s="637">
        <f ca="1">+SUM(AQ144:AT144)</f>
        <v>-97340.368470634683</v>
      </c>
      <c r="AV144" s="867">
        <f ca="1">+AV145-AV143-AV141</f>
        <v>4905.0700499998056</v>
      </c>
      <c r="BK144" s="267"/>
      <c r="BL144" s="267"/>
      <c r="BM144" s="267"/>
      <c r="BN144" s="267"/>
      <c r="BO144" s="267"/>
      <c r="BP144" s="267"/>
      <c r="BQ144" s="267"/>
      <c r="BR144" s="267"/>
      <c r="BS144" s="267"/>
      <c r="BT144" s="267"/>
      <c r="BU144" s="267"/>
      <c r="BV144" s="267"/>
      <c r="BW144" s="267"/>
      <c r="BX144" s="267"/>
      <c r="BY144" s="267"/>
      <c r="BZ144" s="267"/>
      <c r="CA144" s="267"/>
      <c r="CB144" s="267"/>
      <c r="CC144" s="267"/>
      <c r="CD144" s="267"/>
      <c r="CE144" s="267"/>
      <c r="CF144" s="267"/>
      <c r="CG144" s="267"/>
    </row>
    <row r="145" spans="1:85" s="869" customFormat="1" ht="13.5" customHeight="1" x14ac:dyDescent="0.2">
      <c r="B145" s="872" t="s">
        <v>966</v>
      </c>
      <c r="C145" s="871">
        <f>+C148-C147</f>
        <v>-66845</v>
      </c>
      <c r="D145" s="871">
        <f>+D148-D147</f>
        <v>57017</v>
      </c>
      <c r="E145" s="871">
        <f>+E148-E147</f>
        <v>-37723</v>
      </c>
      <c r="F145" s="871">
        <f>+F148-F147</f>
        <v>3425</v>
      </c>
      <c r="G145" s="638">
        <f ca="1">+G141+G143+G144</f>
        <v>-44126.000000000015</v>
      </c>
      <c r="H145" s="871">
        <f>+H148-H147</f>
        <v>-23266</v>
      </c>
      <c r="I145" s="871">
        <f>+I148-I147</f>
        <v>-34777</v>
      </c>
      <c r="J145" s="871">
        <f>+J148-J147</f>
        <v>7275</v>
      </c>
      <c r="K145" s="871">
        <f>+K148-K147</f>
        <v>-14422</v>
      </c>
      <c r="L145" s="638">
        <f ca="1">+L141+L143+L144</f>
        <v>-65190.000000000015</v>
      </c>
      <c r="M145" s="871">
        <f>+M148-M147</f>
        <v>24452</v>
      </c>
      <c r="N145" s="871">
        <f>+N148-N147</f>
        <v>-1219</v>
      </c>
      <c r="O145" s="871">
        <f>+O148-O147</f>
        <v>5333</v>
      </c>
      <c r="P145" s="871">
        <f>+P148-P147</f>
        <v>-44776</v>
      </c>
      <c r="Q145" s="638">
        <f ca="1">+Q141+Q143+Q144</f>
        <v>-16210.000000000007</v>
      </c>
      <c r="R145" s="849">
        <f ca="1">+R148-R147</f>
        <v>58608</v>
      </c>
      <c r="S145" s="871">
        <f ca="1">+S148-S147</f>
        <v>160563</v>
      </c>
      <c r="T145" s="871">
        <f ca="1">+T148-T147</f>
        <v>-38710</v>
      </c>
      <c r="U145" s="871">
        <f ca="1">+U148-U147</f>
        <v>12594</v>
      </c>
      <c r="V145" s="638">
        <f ca="1">+V141+V143+V144</f>
        <v>193054.99999999997</v>
      </c>
      <c r="W145" s="871">
        <f ca="1">+W148-W147</f>
        <v>44522</v>
      </c>
      <c r="X145" s="871">
        <f ca="1">+X148-X147</f>
        <v>-60380</v>
      </c>
      <c r="Y145" s="871">
        <f ca="1">+Y148-Y147</f>
        <v>-23108</v>
      </c>
      <c r="Z145" s="871">
        <f ca="1">+Z148-Z147</f>
        <v>-74293</v>
      </c>
      <c r="AA145" s="638">
        <f ca="1">+AA141+AA143+AA144</f>
        <v>-113259.00000000003</v>
      </c>
      <c r="AB145" s="871">
        <f ca="1">+AB148-AB147</f>
        <v>63376</v>
      </c>
      <c r="AC145" s="871">
        <f ca="1">+AC148-AC147</f>
        <v>-90781</v>
      </c>
      <c r="AD145" s="871">
        <f ca="1">+AD148-AD147</f>
        <v>17519</v>
      </c>
      <c r="AE145" s="871">
        <f ca="1">+AE148-AE147</f>
        <v>53057</v>
      </c>
      <c r="AF145" s="638">
        <f ca="1">+AF141+AF143+AF144</f>
        <v>43170.999999999971</v>
      </c>
      <c r="AG145" s="871">
        <f ca="1">+AG148-AG147</f>
        <v>51749</v>
      </c>
      <c r="AH145" s="871">
        <f ca="1">+AH148-AH147</f>
        <v>-5010</v>
      </c>
      <c r="AI145" s="871">
        <f ca="1">+AI148-AI147</f>
        <v>21592</v>
      </c>
      <c r="AJ145" s="871">
        <f ca="1">+AJ148-AJ147</f>
        <v>-26091</v>
      </c>
      <c r="AK145" s="638">
        <f ca="1">+AK141+AK143+AK144</f>
        <v>42239.999999999971</v>
      </c>
      <c r="AL145" s="871">
        <f ca="1">+AL148-AL147</f>
        <v>67257</v>
      </c>
      <c r="AM145" s="871">
        <f ca="1">+AM148-AM147</f>
        <v>-16994</v>
      </c>
      <c r="AN145" s="871">
        <f ca="1">+AN148-AN147</f>
        <v>-18676</v>
      </c>
      <c r="AO145" s="871">
        <f ca="1">+AO148-AO147</f>
        <v>-22791</v>
      </c>
      <c r="AP145" s="638">
        <f ca="1">+AP141+AP143+AP144</f>
        <v>8796.0000000000146</v>
      </c>
      <c r="AQ145" s="871">
        <f ca="1">+AQ148-AQ147</f>
        <v>97862</v>
      </c>
      <c r="AR145" s="871">
        <f ca="1">+AR148-AR147</f>
        <v>7954</v>
      </c>
      <c r="AS145" s="871">
        <f ca="1">+AS148-AS147</f>
        <v>-101487</v>
      </c>
      <c r="AT145" s="871">
        <f ca="1">+AT148-AT147</f>
        <v>-233291</v>
      </c>
      <c r="AU145" s="638">
        <f ca="1">+AU141+AU143+AU144</f>
        <v>-228962</v>
      </c>
      <c r="AV145" s="871">
        <f ca="1">+AV148-AV147</f>
        <v>70329</v>
      </c>
      <c r="AW145" s="870"/>
      <c r="AX145" s="870"/>
      <c r="AY145" s="870"/>
      <c r="AZ145" s="870"/>
      <c r="BA145" s="870"/>
      <c r="BB145" s="870"/>
      <c r="BC145" s="870"/>
      <c r="BD145" s="870"/>
      <c r="BE145" s="870"/>
      <c r="BH145" s="870"/>
      <c r="BI145" s="870"/>
      <c r="BJ145" s="870"/>
      <c r="BK145" s="870"/>
      <c r="BL145" s="870"/>
      <c r="BM145" s="870"/>
      <c r="BN145" s="870"/>
      <c r="BO145" s="870"/>
      <c r="BP145" s="870"/>
      <c r="BQ145" s="870"/>
      <c r="BR145" s="870"/>
      <c r="BS145" s="870"/>
      <c r="BT145" s="870"/>
      <c r="BU145" s="870"/>
      <c r="BV145" s="870"/>
      <c r="BW145" s="870"/>
      <c r="BX145" s="870"/>
      <c r="BY145" s="870"/>
      <c r="BZ145" s="870"/>
      <c r="CA145" s="870"/>
      <c r="CB145" s="870"/>
      <c r="CC145" s="870"/>
      <c r="CD145" s="870"/>
      <c r="CE145" s="870"/>
      <c r="CF145" s="870"/>
      <c r="CG145" s="870"/>
    </row>
    <row r="146" spans="1:85" ht="3" customHeight="1" x14ac:dyDescent="0.2">
      <c r="B146" s="868"/>
      <c r="C146" s="638"/>
      <c r="D146" s="638"/>
      <c r="E146" s="638"/>
      <c r="F146" s="638"/>
      <c r="G146" s="841"/>
      <c r="H146" s="638"/>
      <c r="I146" s="638"/>
      <c r="J146" s="638"/>
      <c r="K146" s="638"/>
      <c r="L146" s="841"/>
      <c r="M146" s="638"/>
      <c r="N146" s="638"/>
      <c r="O146" s="638"/>
      <c r="P146" s="638"/>
      <c r="Q146" s="841"/>
      <c r="R146" s="638"/>
      <c r="S146" s="638"/>
      <c r="T146" s="638"/>
      <c r="U146" s="638"/>
      <c r="V146" s="841"/>
      <c r="W146" s="638"/>
      <c r="X146" s="638"/>
      <c r="Y146" s="638"/>
      <c r="Z146" s="638"/>
      <c r="AA146" s="841"/>
      <c r="AB146" s="638"/>
      <c r="AC146" s="638"/>
      <c r="AD146" s="638"/>
      <c r="AE146" s="638"/>
      <c r="AF146" s="841"/>
      <c r="AG146" s="638"/>
      <c r="AH146" s="638"/>
      <c r="AI146" s="638"/>
      <c r="AJ146" s="638"/>
      <c r="AK146" s="841"/>
      <c r="AL146" s="638"/>
      <c r="AM146" s="638"/>
      <c r="AN146" s="638"/>
      <c r="AO146" s="638"/>
      <c r="AP146" s="841"/>
      <c r="AQ146" s="638"/>
      <c r="AR146" s="638"/>
      <c r="AS146" s="638"/>
      <c r="AT146" s="638"/>
      <c r="AU146" s="841"/>
      <c r="AV146" s="638"/>
      <c r="BK146" s="267"/>
      <c r="BL146" s="267"/>
      <c r="BM146" s="267"/>
      <c r="BN146" s="267"/>
      <c r="BO146" s="267"/>
      <c r="BP146" s="267"/>
      <c r="BQ146" s="267"/>
      <c r="BR146" s="267"/>
      <c r="BS146" s="267"/>
      <c r="BT146" s="267"/>
      <c r="BU146" s="267"/>
      <c r="BV146" s="267"/>
      <c r="BW146" s="267"/>
      <c r="BX146" s="267"/>
      <c r="BY146" s="267"/>
      <c r="BZ146" s="267"/>
      <c r="CA146" s="267"/>
      <c r="CB146" s="267"/>
      <c r="CC146" s="267"/>
      <c r="CD146" s="267"/>
      <c r="CE146" s="267"/>
      <c r="CF146" s="267"/>
      <c r="CG146" s="267"/>
    </row>
    <row r="147" spans="1:85" ht="13.5" customHeight="1" x14ac:dyDescent="0.2">
      <c r="B147" s="842" t="s">
        <v>361</v>
      </c>
      <c r="C147" s="867">
        <v>192858</v>
      </c>
      <c r="D147" s="867">
        <f>+C117</f>
        <v>126013</v>
      </c>
      <c r="E147" s="867">
        <f>+D117</f>
        <v>183030</v>
      </c>
      <c r="F147" s="867">
        <f>+E117</f>
        <v>145307</v>
      </c>
      <c r="G147" s="637">
        <f>+C147</f>
        <v>192858</v>
      </c>
      <c r="H147" s="867">
        <f>+G117</f>
        <v>148732</v>
      </c>
      <c r="I147" s="867">
        <f>+H117</f>
        <v>125466</v>
      </c>
      <c r="J147" s="867">
        <f>+I117</f>
        <v>90689</v>
      </c>
      <c r="K147" s="867">
        <f>+J117</f>
        <v>97964</v>
      </c>
      <c r="L147" s="637">
        <f>+H147</f>
        <v>148732</v>
      </c>
      <c r="M147" s="867">
        <f>+L117</f>
        <v>83542</v>
      </c>
      <c r="N147" s="867">
        <f>+M117</f>
        <v>107994</v>
      </c>
      <c r="O147" s="867">
        <f>+N117</f>
        <v>106775</v>
      </c>
      <c r="P147" s="867">
        <f>+O117</f>
        <v>112108</v>
      </c>
      <c r="Q147" s="637">
        <f>+M147</f>
        <v>83542</v>
      </c>
      <c r="R147" s="841">
        <f>+Q148</f>
        <v>67332</v>
      </c>
      <c r="S147" s="867">
        <f ca="1">+R148</f>
        <v>125940</v>
      </c>
      <c r="T147" s="867">
        <f ca="1">+S148</f>
        <v>286503</v>
      </c>
      <c r="U147" s="867">
        <f ca="1">+T148</f>
        <v>247793</v>
      </c>
      <c r="V147" s="637">
        <f>+R147</f>
        <v>67332</v>
      </c>
      <c r="W147" s="867">
        <f ca="1">+V148</f>
        <v>260387</v>
      </c>
      <c r="X147" s="867">
        <f ca="1">+W148</f>
        <v>304909</v>
      </c>
      <c r="Y147" s="867">
        <f ca="1">+X148</f>
        <v>244529</v>
      </c>
      <c r="Z147" s="867">
        <f ca="1">+Y148</f>
        <v>221421</v>
      </c>
      <c r="AA147" s="637">
        <f ca="1">+W147</f>
        <v>260387</v>
      </c>
      <c r="AB147" s="867">
        <f ca="1">+AA148</f>
        <v>147128</v>
      </c>
      <c r="AC147" s="867">
        <f ca="1">+AB148</f>
        <v>210504</v>
      </c>
      <c r="AD147" s="867">
        <f ca="1">+AC148</f>
        <v>119723</v>
      </c>
      <c r="AE147" s="867">
        <f ca="1">+AD148</f>
        <v>137242</v>
      </c>
      <c r="AF147" s="637">
        <f ca="1">+AB147</f>
        <v>147128</v>
      </c>
      <c r="AG147" s="867">
        <f ca="1">+AF148</f>
        <v>190299</v>
      </c>
      <c r="AH147" s="867">
        <f ca="1">+AG148</f>
        <v>242048</v>
      </c>
      <c r="AI147" s="867">
        <f ca="1">+AH148</f>
        <v>237038</v>
      </c>
      <c r="AJ147" s="867">
        <f ca="1">+AI148</f>
        <v>258630</v>
      </c>
      <c r="AK147" s="637">
        <f ca="1">+AG147</f>
        <v>190299</v>
      </c>
      <c r="AL147" s="867">
        <f ca="1">+AK148</f>
        <v>232539</v>
      </c>
      <c r="AM147" s="867">
        <f ca="1">+AL148</f>
        <v>299796</v>
      </c>
      <c r="AN147" s="867">
        <f ca="1">+AM148</f>
        <v>282802</v>
      </c>
      <c r="AO147" s="867">
        <f ca="1">+AN148</f>
        <v>264126</v>
      </c>
      <c r="AP147" s="637">
        <f ca="1">+AL147</f>
        <v>232539</v>
      </c>
      <c r="AQ147" s="867">
        <f ca="1">+AP148</f>
        <v>241335</v>
      </c>
      <c r="AR147" s="867">
        <f ca="1">+AQ148</f>
        <v>339197</v>
      </c>
      <c r="AS147" s="867">
        <f ca="1">+AR148</f>
        <v>347151</v>
      </c>
      <c r="AT147" s="867">
        <f ca="1">+AR148</f>
        <v>347151</v>
      </c>
      <c r="AU147" s="637">
        <f ca="1">+AQ147</f>
        <v>241335</v>
      </c>
      <c r="AV147" s="867">
        <f ca="1">+AT148</f>
        <v>113860</v>
      </c>
      <c r="BK147" s="267"/>
      <c r="BL147" s="267"/>
      <c r="BM147" s="267"/>
      <c r="BN147" s="267"/>
      <c r="BO147" s="267"/>
      <c r="BP147" s="267"/>
      <c r="BQ147" s="267"/>
      <c r="BR147" s="267"/>
      <c r="BS147" s="267"/>
      <c r="BT147" s="267"/>
      <c r="BU147" s="267"/>
      <c r="BV147" s="267"/>
      <c r="BW147" s="267"/>
      <c r="BX147" s="267"/>
      <c r="BY147" s="267"/>
      <c r="BZ147" s="267"/>
      <c r="CA147" s="267"/>
      <c r="CB147" s="267"/>
      <c r="CC147" s="267"/>
      <c r="CD147" s="267"/>
      <c r="CE147" s="267"/>
      <c r="CF147" s="267"/>
      <c r="CG147" s="267"/>
    </row>
    <row r="148" spans="1:85" ht="13.5" customHeight="1" x14ac:dyDescent="0.2">
      <c r="B148" s="854" t="s">
        <v>362</v>
      </c>
      <c r="C148" s="866">
        <f>+C117</f>
        <v>126013</v>
      </c>
      <c r="D148" s="866">
        <f>+D117</f>
        <v>183030</v>
      </c>
      <c r="E148" s="866">
        <f>+E117</f>
        <v>145307</v>
      </c>
      <c r="F148" s="866">
        <f>+F117</f>
        <v>148732</v>
      </c>
      <c r="G148" s="865">
        <f>+F148</f>
        <v>148732</v>
      </c>
      <c r="H148" s="866">
        <f>+H117</f>
        <v>125466</v>
      </c>
      <c r="I148" s="866">
        <f>+I117</f>
        <v>90689</v>
      </c>
      <c r="J148" s="866">
        <f>+J117</f>
        <v>97964</v>
      </c>
      <c r="K148" s="866">
        <f>+K117</f>
        <v>83542</v>
      </c>
      <c r="L148" s="865">
        <f>+K148</f>
        <v>83542</v>
      </c>
      <c r="M148" s="866">
        <f>+M117</f>
        <v>107994</v>
      </c>
      <c r="N148" s="866">
        <f>+N117</f>
        <v>106775</v>
      </c>
      <c r="O148" s="866">
        <f>+O117</f>
        <v>112108</v>
      </c>
      <c r="P148" s="866">
        <f>+P117</f>
        <v>67332</v>
      </c>
      <c r="Q148" s="865">
        <f>+P148</f>
        <v>67332</v>
      </c>
      <c r="R148" s="856">
        <f ca="1">+R117</f>
        <v>125940</v>
      </c>
      <c r="S148" s="866">
        <f ca="1">+S117</f>
        <v>286503</v>
      </c>
      <c r="T148" s="866">
        <f ca="1">+T117</f>
        <v>247793</v>
      </c>
      <c r="U148" s="866">
        <f ca="1">+U117</f>
        <v>260387</v>
      </c>
      <c r="V148" s="865">
        <f ca="1">+U148</f>
        <v>260387</v>
      </c>
      <c r="W148" s="866">
        <f ca="1">+W117</f>
        <v>304909</v>
      </c>
      <c r="X148" s="866">
        <f ca="1">+X117</f>
        <v>244529</v>
      </c>
      <c r="Y148" s="866">
        <f ca="1">+Y117</f>
        <v>221421</v>
      </c>
      <c r="Z148" s="866">
        <f ca="1">+Z117</f>
        <v>147128</v>
      </c>
      <c r="AA148" s="865">
        <f ca="1">+Z148</f>
        <v>147128</v>
      </c>
      <c r="AB148" s="866">
        <f ca="1">+AB117</f>
        <v>210504</v>
      </c>
      <c r="AC148" s="866">
        <f ca="1">+AC117</f>
        <v>119723</v>
      </c>
      <c r="AD148" s="866">
        <f ca="1">+AD117</f>
        <v>137242</v>
      </c>
      <c r="AE148" s="866">
        <f ca="1">+AE117</f>
        <v>190299</v>
      </c>
      <c r="AF148" s="865">
        <f ca="1">+AE148</f>
        <v>190299</v>
      </c>
      <c r="AG148" s="866">
        <f ca="1">+AG117</f>
        <v>242048</v>
      </c>
      <c r="AH148" s="866">
        <f ca="1">+AH117</f>
        <v>237038</v>
      </c>
      <c r="AI148" s="866">
        <f ca="1">+AI117</f>
        <v>258630</v>
      </c>
      <c r="AJ148" s="866">
        <f ca="1">+AJ117</f>
        <v>232539</v>
      </c>
      <c r="AK148" s="865">
        <f ca="1">+AJ148</f>
        <v>232539</v>
      </c>
      <c r="AL148" s="866">
        <f ca="1">+AL117</f>
        <v>299796</v>
      </c>
      <c r="AM148" s="866">
        <f ca="1">+AM117</f>
        <v>282802</v>
      </c>
      <c r="AN148" s="866">
        <f ca="1">+AN117</f>
        <v>264126</v>
      </c>
      <c r="AO148" s="866">
        <f ca="1">+AO117</f>
        <v>241335</v>
      </c>
      <c r="AP148" s="865">
        <f ca="1">+AO148</f>
        <v>241335</v>
      </c>
      <c r="AQ148" s="866">
        <f ca="1">+AQ117</f>
        <v>339197</v>
      </c>
      <c r="AR148" s="866">
        <f ca="1">+AR117</f>
        <v>347151</v>
      </c>
      <c r="AS148" s="866">
        <f ca="1">+AS117</f>
        <v>245664</v>
      </c>
      <c r="AT148" s="866">
        <f ca="1">+AT117</f>
        <v>113860</v>
      </c>
      <c r="AU148" s="865">
        <f ca="1">+AT148</f>
        <v>113860</v>
      </c>
      <c r="AV148" s="866">
        <f ca="1">+AV117</f>
        <v>184189</v>
      </c>
      <c r="BK148" s="267"/>
      <c r="BL148" s="267"/>
      <c r="BM148" s="267"/>
      <c r="BN148" s="267"/>
      <c r="BO148" s="267"/>
      <c r="BP148" s="267"/>
      <c r="BQ148" s="267"/>
      <c r="BR148" s="267"/>
      <c r="BS148" s="267"/>
      <c r="BT148" s="267"/>
      <c r="BU148" s="267"/>
      <c r="BV148" s="267"/>
      <c r="BW148" s="267"/>
      <c r="BX148" s="267"/>
      <c r="BY148" s="267"/>
      <c r="BZ148" s="267"/>
      <c r="CA148" s="267"/>
      <c r="CB148" s="267"/>
      <c r="CC148" s="267"/>
      <c r="CD148" s="267"/>
      <c r="CE148" s="267"/>
      <c r="CF148" s="267"/>
      <c r="CG148" s="267"/>
    </row>
    <row r="149" spans="1:85" ht="13.5" customHeight="1" x14ac:dyDescent="0.2">
      <c r="D149" s="678"/>
      <c r="E149" s="678"/>
      <c r="F149" s="678"/>
      <c r="G149" s="864">
        <f ca="1">+G148-G147-G145</f>
        <v>0</v>
      </c>
      <c r="J149" s="678"/>
      <c r="K149" s="678"/>
      <c r="L149" s="864">
        <f ca="1">+L148-L147-L145</f>
        <v>0</v>
      </c>
      <c r="O149" s="678"/>
      <c r="P149" s="678"/>
      <c r="Q149" s="864">
        <f ca="1">+Q148-Q147-Q145</f>
        <v>0</v>
      </c>
      <c r="R149" s="864"/>
      <c r="S149" s="864"/>
      <c r="T149" s="864"/>
      <c r="U149" s="864"/>
      <c r="V149" s="864">
        <f ca="1">+V148-V147-V145</f>
        <v>0</v>
      </c>
      <c r="W149" s="864"/>
      <c r="X149" s="864"/>
      <c r="Y149" s="864"/>
      <c r="Z149" s="864"/>
      <c r="AA149" s="864">
        <f ca="1">+AA148-AA147-AA145</f>
        <v>0</v>
      </c>
      <c r="AB149" s="864"/>
      <c r="AC149" s="864"/>
      <c r="AD149" s="864"/>
      <c r="AE149" s="864"/>
      <c r="AF149" s="864">
        <f ca="1">+AF148-AF147-AF145</f>
        <v>0</v>
      </c>
      <c r="AG149" s="864"/>
      <c r="AH149" s="864"/>
      <c r="AI149" s="864"/>
      <c r="AJ149" s="864"/>
      <c r="AK149" s="864">
        <f ca="1">+AK148-AK147-AK145</f>
        <v>0</v>
      </c>
      <c r="AL149" s="864"/>
      <c r="AM149" s="864"/>
      <c r="AN149" s="864"/>
      <c r="AO149" s="864"/>
      <c r="AP149" s="864">
        <f ca="1">+AP148-AP147-AP145</f>
        <v>-1.4551915228366852E-11</v>
      </c>
      <c r="AQ149" s="864"/>
      <c r="AR149" s="864"/>
      <c r="AS149" s="864"/>
      <c r="AT149" s="864"/>
      <c r="AU149" s="864"/>
      <c r="AV149" s="864"/>
      <c r="BK149" s="267"/>
      <c r="BL149" s="267"/>
      <c r="BM149" s="267"/>
      <c r="BN149" s="267"/>
      <c r="BO149" s="267"/>
      <c r="BP149" s="267"/>
      <c r="BQ149" s="267"/>
      <c r="BR149" s="267"/>
      <c r="BS149" s="267"/>
      <c r="BT149" s="267"/>
      <c r="BU149" s="267"/>
      <c r="BV149" s="267"/>
      <c r="BW149" s="267"/>
      <c r="BX149" s="267"/>
      <c r="BY149" s="267"/>
      <c r="BZ149" s="267"/>
      <c r="CA149" s="267"/>
      <c r="CB149" s="267"/>
      <c r="CC149" s="267"/>
      <c r="CD149" s="267"/>
      <c r="CE149" s="267"/>
      <c r="CF149" s="267"/>
      <c r="CG149" s="267"/>
    </row>
    <row r="150" spans="1:85" ht="13.5" customHeight="1" x14ac:dyDescent="0.2">
      <c r="B150" s="852" t="s">
        <v>767</v>
      </c>
      <c r="C150" s="851" t="str">
        <f t="shared" ref="C150:AH150" si="177">C5</f>
        <v>1T17</v>
      </c>
      <c r="D150" s="851" t="str">
        <f t="shared" si="177"/>
        <v>2T17</v>
      </c>
      <c r="E150" s="851" t="str">
        <f t="shared" si="177"/>
        <v>3T17</v>
      </c>
      <c r="F150" s="851" t="str">
        <f t="shared" si="177"/>
        <v>4T17</v>
      </c>
      <c r="G150" s="851" t="str">
        <f t="shared" si="177"/>
        <v>2017</v>
      </c>
      <c r="H150" s="851" t="str">
        <f t="shared" si="177"/>
        <v>1T18</v>
      </c>
      <c r="I150" s="851" t="str">
        <f t="shared" si="177"/>
        <v>2T18</v>
      </c>
      <c r="J150" s="851" t="str">
        <f t="shared" si="177"/>
        <v>3T18</v>
      </c>
      <c r="K150" s="851" t="str">
        <f t="shared" si="177"/>
        <v>4T18</v>
      </c>
      <c r="L150" s="851" t="str">
        <f t="shared" si="177"/>
        <v>2018</v>
      </c>
      <c r="M150" s="851" t="str">
        <f t="shared" si="177"/>
        <v>1T19</v>
      </c>
      <c r="N150" s="851" t="str">
        <f t="shared" si="177"/>
        <v>2T19</v>
      </c>
      <c r="O150" s="851" t="str">
        <f t="shared" si="177"/>
        <v>3T19</v>
      </c>
      <c r="P150" s="851" t="str">
        <f t="shared" si="177"/>
        <v>4T19</v>
      </c>
      <c r="Q150" s="851" t="str">
        <f t="shared" si="177"/>
        <v>2019</v>
      </c>
      <c r="R150" s="851" t="str">
        <f t="shared" si="177"/>
        <v>1T20</v>
      </c>
      <c r="S150" s="851" t="str">
        <f t="shared" si="177"/>
        <v>2T20</v>
      </c>
      <c r="T150" s="851" t="str">
        <f t="shared" si="177"/>
        <v>3T20</v>
      </c>
      <c r="U150" s="851" t="str">
        <f t="shared" si="177"/>
        <v>4T20</v>
      </c>
      <c r="V150" s="851" t="str">
        <f t="shared" si="177"/>
        <v>2020</v>
      </c>
      <c r="W150" s="851" t="str">
        <f t="shared" si="177"/>
        <v>1T21</v>
      </c>
      <c r="X150" s="851" t="str">
        <f t="shared" si="177"/>
        <v>2T21</v>
      </c>
      <c r="Y150" s="851" t="str">
        <f t="shared" si="177"/>
        <v>3T21</v>
      </c>
      <c r="Z150" s="851" t="str">
        <f t="shared" si="177"/>
        <v>4T21</v>
      </c>
      <c r="AA150" s="851" t="str">
        <f t="shared" si="177"/>
        <v>2021</v>
      </c>
      <c r="AB150" s="851" t="str">
        <f t="shared" si="177"/>
        <v>1T22</v>
      </c>
      <c r="AC150" s="851" t="str">
        <f t="shared" si="177"/>
        <v>2T22</v>
      </c>
      <c r="AD150" s="851" t="str">
        <f t="shared" si="177"/>
        <v>3T22</v>
      </c>
      <c r="AE150" s="851" t="str">
        <f t="shared" si="177"/>
        <v>4T22</v>
      </c>
      <c r="AF150" s="851" t="str">
        <f t="shared" si="177"/>
        <v>2022</v>
      </c>
      <c r="AG150" s="851" t="str">
        <f t="shared" si="177"/>
        <v>1T23</v>
      </c>
      <c r="AH150" s="851" t="str">
        <f t="shared" si="177"/>
        <v>2T23</v>
      </c>
      <c r="AI150" s="851" t="str">
        <f t="shared" ref="AI150:AN150" si="178">AI5</f>
        <v>3T23</v>
      </c>
      <c r="AJ150" s="851" t="str">
        <f t="shared" si="178"/>
        <v>4T23</v>
      </c>
      <c r="AK150" s="851" t="str">
        <f t="shared" si="178"/>
        <v>2023</v>
      </c>
      <c r="AL150" s="851" t="str">
        <f t="shared" si="178"/>
        <v>1T24</v>
      </c>
      <c r="AM150" s="851" t="str">
        <f t="shared" si="178"/>
        <v>2T24</v>
      </c>
      <c r="AN150" s="851" t="str">
        <f t="shared" si="178"/>
        <v>3T24</v>
      </c>
      <c r="AO150" s="851" t="str">
        <f>AO5</f>
        <v>4T24</v>
      </c>
      <c r="AP150" s="851" t="str">
        <f>AP5</f>
        <v>2024</v>
      </c>
      <c r="AQ150" s="851" t="str">
        <f t="shared" ref="AQ150:AV150" si="179">AQ5</f>
        <v>1T25</v>
      </c>
      <c r="AR150" s="851" t="str">
        <f t="shared" si="179"/>
        <v>2T25</v>
      </c>
      <c r="AS150" s="851" t="str">
        <f t="shared" si="179"/>
        <v>3T25</v>
      </c>
      <c r="AT150" s="851" t="str">
        <f t="shared" si="179"/>
        <v>4T25</v>
      </c>
      <c r="AU150" s="851" t="str">
        <f t="shared" si="179"/>
        <v>2025</v>
      </c>
      <c r="AV150" s="851" t="str">
        <f t="shared" si="179"/>
        <v>1T26</v>
      </c>
      <c r="AX150" s="267" t="s">
        <v>1235</v>
      </c>
      <c r="AY150" s="267" t="s">
        <v>1235</v>
      </c>
      <c r="BK150" s="267"/>
      <c r="BL150" s="267"/>
      <c r="BM150" s="267"/>
      <c r="BN150" s="267"/>
      <c r="BO150" s="267"/>
      <c r="BP150" s="267"/>
      <c r="BQ150" s="267"/>
      <c r="BR150" s="267"/>
      <c r="BS150" s="267"/>
      <c r="BT150" s="267"/>
      <c r="BU150" s="267"/>
      <c r="BV150" s="267"/>
      <c r="BW150" s="267"/>
      <c r="BX150" s="267"/>
      <c r="BY150" s="267"/>
      <c r="BZ150" s="267"/>
      <c r="CA150" s="267"/>
      <c r="CB150" s="267"/>
      <c r="CC150" s="267"/>
      <c r="CD150" s="267"/>
      <c r="CE150" s="267"/>
      <c r="CF150" s="267"/>
      <c r="CG150" s="267"/>
    </row>
    <row r="151" spans="1:85" ht="13.5" customHeight="1" x14ac:dyDescent="0.2">
      <c r="B151" s="850" t="s">
        <v>241</v>
      </c>
      <c r="C151" s="38" t="s">
        <v>160</v>
      </c>
      <c r="D151" s="38" t="s">
        <v>160</v>
      </c>
      <c r="E151" s="38" t="s">
        <v>160</v>
      </c>
      <c r="F151" s="38" t="s">
        <v>160</v>
      </c>
      <c r="G151" s="858" t="s">
        <v>160</v>
      </c>
      <c r="H151" s="841">
        <f ca="1">+SUMIFS(INDIRECT(CONCATENATE("'",$AW151,$AX151,":",$AY151)),INDIRECT(CONCATENATE("'",$AW151,$AX$150,":",$AY$150)),H$92)</f>
        <v>7177</v>
      </c>
      <c r="I151" s="841">
        <f ca="1">+SUMIFS(INDIRECT(CONCATENATE("'",$AW151,$AX151,":",$AY151)),INDIRECT(CONCATENATE("'",$AW151,$AX$150,":",$AY$150)),I$92)</f>
        <v>12681</v>
      </c>
      <c r="J151" s="841">
        <f ca="1">+SUMIFS(INDIRECT(CONCATENATE("'",$AW151,$AX151,":",$AY151)),INDIRECT(CONCATENATE("'",$AW151,$AX$150,":",$AY$150)),J$92)</f>
        <v>14895</v>
      </c>
      <c r="K151" s="841">
        <f ca="1">+SUMIFS(INDIRECT(CONCATENATE("'",$AW151,$AX151,":",$AY151)),INDIRECT(CONCATENATE("'",$AW151,$AX$150,":",$AY$150)),K$92)</f>
        <v>17373</v>
      </c>
      <c r="L151" s="858">
        <f ca="1">+SUM(H151:K151)</f>
        <v>52126</v>
      </c>
      <c r="M151" s="841">
        <f ca="1">+SUMIFS(INDIRECT(CONCATENATE("'",$AW151,$AX151,":",$AY151)),INDIRECT(CONCATENATE("'",$AW151,$AX$150,":",$AY$150)),M$92)</f>
        <v>15688</v>
      </c>
      <c r="N151" s="841">
        <f ca="1">+SUMIFS(INDIRECT(CONCATENATE("'",$AW151,$AX151,":",$AY151)),INDIRECT(CONCATENATE("'",$AW151,$AX$150,":",$AY$150)),N$92)</f>
        <v>16298.599999999999</v>
      </c>
      <c r="O151" s="841">
        <f ca="1">+SUMIFS(INDIRECT(CONCATENATE("'",$AW151,$AX151,":",$AY151)),INDIRECT(CONCATENATE("'",$AW151,$AX$150,":",$AY$150)),O$92)</f>
        <v>19398.511290000002</v>
      </c>
      <c r="P151" s="841">
        <f ca="1">+SUMIFS(INDIRECT(CONCATENATE("'",$AW151,$AX151,":",$AY151)),INDIRECT(CONCATENATE("'",$AW151,$AX$150,":",$AY$150)),P$92)</f>
        <v>20352.888709999999</v>
      </c>
      <c r="Q151" s="858">
        <f ca="1">+SUM(M151:P151)</f>
        <v>71738</v>
      </c>
      <c r="R151" s="841">
        <f ca="1">+SUMIFS(INDIRECT(CONCATENATE("'",$AW151,$AX151,":",$AY151)),INDIRECT(CONCATENATE("'",$AW151,$AX$150,":",$AY$150)),R$92)</f>
        <v>18364</v>
      </c>
      <c r="S151" s="841">
        <f ca="1">+SUMIFS(INDIRECT(CONCATENATE("'",$AW151,$AX151,":",$AY151)),INDIRECT(CONCATENATE("'",$AW151,$AX$150,":",$AY$150)),S$92)</f>
        <v>19256</v>
      </c>
      <c r="T151" s="841">
        <f ca="1">+SUMIFS(INDIRECT(CONCATENATE("'",$AW151,$AX151,":",$AY151)),INDIRECT(CONCATENATE("'",$AW151,$AX$150,":",$AY$150)),T$92)</f>
        <v>19150</v>
      </c>
      <c r="U151" s="841">
        <f ca="1">+SUMIFS(INDIRECT(CONCATENATE("'",$AW151,$AX151,":",$AY151)),INDIRECT(CONCATENATE("'",$AW151,$AX$150,":",$AY$150)),U$92)</f>
        <v>16497</v>
      </c>
      <c r="V151" s="858">
        <f ca="1">+SUM(R151:U151)</f>
        <v>73267</v>
      </c>
      <c r="W151" s="841">
        <f ca="1">+SUMIFS(INDIRECT(CONCATENATE("'",$AW151,$AX151,":",$AY151)),INDIRECT(CONCATENATE("'",$AW151,$AX$150,":",$AY$150)),W$92)</f>
        <v>17226</v>
      </c>
      <c r="X151" s="841">
        <f ca="1">+SUMIFS(INDIRECT(CONCATENATE("'",$AW151,$AX151,":",$AY151)),INDIRECT(CONCATENATE("'",$AW151,$AX$150,":",$AY$150)),X$92)</f>
        <v>23826</v>
      </c>
      <c r="Y151" s="841">
        <f ca="1">+SUMIFS(INDIRECT(CONCATENATE("'",$AW151,$AX151,":",$AY151)),INDIRECT(CONCATENATE("'",$AW151,$AX$150,":",$AY$150)),Y$92)</f>
        <v>23339</v>
      </c>
      <c r="Z151" s="841">
        <f ca="1">+SUMIFS(INDIRECT(CONCATENATE("'",$AW151,$AX151,":",$AY151)),INDIRECT(CONCATENATE("'",$AW151,$AX$150,":",$AY$150)),Z$92)</f>
        <v>26986</v>
      </c>
      <c r="AA151" s="858">
        <f ca="1">+SUM(W151:Z151)</f>
        <v>91377</v>
      </c>
      <c r="AB151" s="841">
        <f ca="1">+SUMIFS(INDIRECT(CONCATENATE("'",$AW151,$AX151,":",$AY151)),INDIRECT(CONCATENATE("'",$AW151,$AX$150,":",$AY$150)),AB$92)</f>
        <v>28405</v>
      </c>
      <c r="AC151" s="841">
        <f ca="1">+SUMIFS(INDIRECT(CONCATENATE("'",$AW151,$AX151,":",$AY151)),INDIRECT(CONCATENATE("'",$AW151,$AX$150,":",$AY$150)),AC$92)</f>
        <v>30037</v>
      </c>
      <c r="AD151" s="841">
        <f ca="1">+SUMIFS(INDIRECT(CONCATENATE("'",$AW151,$AX151,":",$AY151)),INDIRECT(CONCATENATE("'",$AW151,$AX$150,":",$AY$150)),AD$92)</f>
        <v>28510</v>
      </c>
      <c r="AE151" s="841">
        <f ca="1">+SUMIFS(INDIRECT(CONCATENATE("'",$AW151,$AX151,":",$AY151)),INDIRECT(CONCATENATE("'",$AW151,$AX$150,":",$AY$150)),AE$92)</f>
        <v>30684</v>
      </c>
      <c r="AF151" s="858">
        <f ca="1">+SUM(AB151:AE151)</f>
        <v>117636</v>
      </c>
      <c r="AG151" s="841">
        <f ca="1">+SUMIFS(INDIRECT(CONCATENATE("'",$AW151,$AX151,":",$AY151)),INDIRECT(CONCATENATE("'",$AW151,$AX$150,":",$AY$150)),AG$92)</f>
        <v>36776</v>
      </c>
      <c r="AH151" s="841">
        <f ca="1">+SUMIFS(INDIRECT(CONCATENATE("'",$AW151,$AX151,":",$AY151)),INDIRECT(CONCATENATE("'",$AW151,$AX$150,":",$AY$150)),AH$92)</f>
        <v>34967</v>
      </c>
      <c r="AI151" s="841">
        <f ca="1">+SUMIFS(INDIRECT(CONCATENATE("'",$AW151,$AX151,":",$AY151)),INDIRECT(CONCATENATE("'",$AW151,$AX$150,":",$AY$150)),AI$92)</f>
        <v>41135</v>
      </c>
      <c r="AJ151" s="841">
        <f ca="1">+SUMIFS(INDIRECT(CONCATENATE("'",$AW151,$AX151,":",$AY151)),INDIRECT(CONCATENATE("'",$AW151,$AX$150,":",$AY$150)),AJ$92)</f>
        <v>47572</v>
      </c>
      <c r="AK151" s="858">
        <f ca="1">+SUM(AG151:AJ151)</f>
        <v>160450</v>
      </c>
      <c r="AL151" s="841">
        <f ca="1">+SUMIFS(INDIRECT(CONCATENATE("'",$AW151,$AX151,":",$AY151)),INDIRECT(CONCATENATE("'",$AW151,$AX$150,":",$AY$150)),AL$92)</f>
        <v>51826</v>
      </c>
      <c r="AM151" s="841">
        <f ca="1">+SUMIFS(INDIRECT(CONCATENATE("'",$AW151,$AX151,":",$AY151)),INDIRECT(CONCATENATE("'",$AW151,$AX$150,":",$AY$150)),AM$92)</f>
        <v>70532</v>
      </c>
      <c r="AN151" s="841">
        <f ca="1">+SUMIFS(INDIRECT(CONCATENATE("'",$AW151,$AX151,":",$AY151)),INDIRECT(CONCATENATE("'",$AW151,$AX$150,":",$AY$150)),AN$92)</f>
        <v>74528</v>
      </c>
      <c r="AO151" s="841">
        <f ca="1">+SUMIFS(INDIRECT(CONCATENATE("'",$AW151,$AX151,":",$AY151)),INDIRECT(CONCATENATE("'",$AW151,$AX$150,":",$AY$150)),AO$92)</f>
        <v>65337</v>
      </c>
      <c r="AP151" s="858">
        <f ca="1">+SUM(AL151:AO151)</f>
        <v>262223</v>
      </c>
      <c r="AQ151" s="841">
        <f ca="1">+SUMIFS(INDIRECT(CONCATENATE("'",$AW151,$AX151,":",$AY151)),INDIRECT(CONCATENATE("'",$AW151,$AX$150,":",$AY$150)),AQ$92)</f>
        <v>67061</v>
      </c>
      <c r="AR151" s="841">
        <f ca="1">+SUMIFS(INDIRECT(CONCATENATE("'",$AW151,$AX151,":",$AY151)),INDIRECT(CONCATENATE("'",$AW151,$AX$150,":",$AY$150)),AR$92)</f>
        <v>78569</v>
      </c>
      <c r="AS151" s="841">
        <f ca="1">+SUMIFS(INDIRECT(CONCATENATE("'",$AW151,$AX151,":",$AY151)),INDIRECT(CONCATENATE("'",$AW151,$AX$150,":",$AY$150)),AS$92)</f>
        <v>81039</v>
      </c>
      <c r="AT151" s="841">
        <f ca="1">+SUMIFS(INDIRECT(CONCATENATE("'",$AW151,$AX151,":",$AY151)),INDIRECT(CONCATENATE("'",$AW151,$AX$150,":",$AY$150)),AT$92)</f>
        <v>61338</v>
      </c>
      <c r="AU151" s="858">
        <f ca="1">+SUM(AQ151:AT151)</f>
        <v>288007</v>
      </c>
      <c r="AV151" s="841">
        <f ca="1">+SUMIFS(INDIRECT(CONCATENATE("'",$AW151,$AX151,":",$AY151)),INDIRECT(CONCATENATE("'",$AW151,$AX$150,":",$AY$150)),AV$92)</f>
        <v>53306</v>
      </c>
      <c r="AW151" s="267" t="s">
        <v>960</v>
      </c>
      <c r="AX151" s="1148" t="s">
        <v>1236</v>
      </c>
      <c r="AY151" s="1148" t="s">
        <v>1236</v>
      </c>
      <c r="AZ151" s="1148"/>
      <c r="BA151" s="1148" t="s">
        <v>961</v>
      </c>
      <c r="BB151" s="1148" t="s">
        <v>960</v>
      </c>
      <c r="BC151" s="1148"/>
      <c r="BD151" s="1148" t="s">
        <v>961</v>
      </c>
      <c r="BE151" s="1148" t="s">
        <v>960</v>
      </c>
      <c r="BK151" s="267"/>
      <c r="BL151" s="267"/>
      <c r="BM151" s="267"/>
      <c r="BN151" s="267"/>
      <c r="BO151" s="267"/>
      <c r="BP151" s="267"/>
      <c r="BQ151" s="267"/>
      <c r="BR151" s="267"/>
      <c r="BS151" s="267"/>
      <c r="BT151" s="267"/>
      <c r="BU151" s="267"/>
      <c r="BV151" s="267"/>
      <c r="BW151" s="267"/>
      <c r="BX151" s="267"/>
      <c r="BY151" s="267"/>
      <c r="BZ151" s="267"/>
      <c r="CA151" s="267"/>
      <c r="CB151" s="267"/>
      <c r="CC151" s="267"/>
      <c r="CD151" s="267"/>
      <c r="CE151" s="267"/>
      <c r="CF151" s="267"/>
      <c r="CG151" s="267"/>
    </row>
    <row r="152" spans="1:85" s="835" customFormat="1" ht="13.5" customHeight="1" x14ac:dyDescent="0.2">
      <c r="A152" s="840"/>
      <c r="B152" s="845" t="s">
        <v>954</v>
      </c>
      <c r="C152" s="38" t="s">
        <v>160</v>
      </c>
      <c r="D152" s="38" t="s">
        <v>160</v>
      </c>
      <c r="E152" s="38" t="s">
        <v>160</v>
      </c>
      <c r="F152" s="38" t="s">
        <v>160</v>
      </c>
      <c r="G152" s="860" t="s">
        <v>160</v>
      </c>
      <c r="H152" s="859" t="s">
        <v>160</v>
      </c>
      <c r="I152" s="859" t="s">
        <v>160</v>
      </c>
      <c r="J152" s="859" t="s">
        <v>160</v>
      </c>
      <c r="K152" s="859" t="s">
        <v>160</v>
      </c>
      <c r="L152" s="846" t="s">
        <v>160</v>
      </c>
      <c r="M152" s="859" t="s">
        <v>160</v>
      </c>
      <c r="N152" s="859">
        <f ca="1">+N151/I151-1</f>
        <v>0.28527718634177113</v>
      </c>
      <c r="O152" s="859">
        <f ca="1">+O151/J151-1</f>
        <v>0.30235053977844939</v>
      </c>
      <c r="P152" s="859">
        <f ca="1">+P151/K151-1</f>
        <v>0.17152412997179534</v>
      </c>
      <c r="Q152" s="846" t="s">
        <v>160</v>
      </c>
      <c r="R152" s="859">
        <f ca="1">+R151/M151-1</f>
        <v>0.17057623661397248</v>
      </c>
      <c r="S152" s="859">
        <f ca="1">+S151/N151-1</f>
        <v>0.18145116758494595</v>
      </c>
      <c r="T152" s="859">
        <f ca="1">+T151/O151-1</f>
        <v>-1.2810843383023407E-2</v>
      </c>
      <c r="U152" s="859">
        <f ca="1">+U151/P151-1</f>
        <v>-0.18945166776770528</v>
      </c>
      <c r="V152" s="846" t="s">
        <v>160</v>
      </c>
      <c r="W152" s="859">
        <f ca="1">+W151/R151-1</f>
        <v>-6.1969069919407538E-2</v>
      </c>
      <c r="X152" s="859">
        <f ca="1">+X151/S151-1</f>
        <v>0.23732862484420436</v>
      </c>
      <c r="Y152" s="859">
        <f ca="1">+Y151/T151-1</f>
        <v>0.21874673629242825</v>
      </c>
      <c r="Z152" s="859">
        <f ca="1">+Z151/U151-1</f>
        <v>0.63581257198278474</v>
      </c>
      <c r="AA152" s="846">
        <f ca="1">AA151/V151-1</f>
        <v>0.24717812930787386</v>
      </c>
      <c r="AB152" s="859">
        <f ca="1">+AB151/W151-1</f>
        <v>0.64896087309880413</v>
      </c>
      <c r="AC152" s="859">
        <f ca="1">+AC151/X151-1</f>
        <v>0.26068160832703779</v>
      </c>
      <c r="AD152" s="859">
        <f ca="1">+AD151/Y151-1</f>
        <v>0.22156047816958746</v>
      </c>
      <c r="AE152" s="859">
        <f ca="1">+AE151/Z151-1</f>
        <v>0.13703401763877565</v>
      </c>
      <c r="AF152" s="846">
        <f ca="1">AF151/AA151-1</f>
        <v>0.28736990708821697</v>
      </c>
      <c r="AG152" s="859">
        <f ca="1">+AG151/AB151-1</f>
        <v>0.29470163703573315</v>
      </c>
      <c r="AH152" s="859">
        <f ca="1">+AH151/AC151-1</f>
        <v>0.1641309052168991</v>
      </c>
      <c r="AI152" s="859">
        <f ca="1">+AI151/AD151-1</f>
        <v>0.44282707821816913</v>
      </c>
      <c r="AJ152" s="859">
        <f ca="1">+AJ151/AE151-1</f>
        <v>0.55038456524573065</v>
      </c>
      <c r="AK152" s="846">
        <f ca="1">AK151/AF151-1</f>
        <v>0.36395321160189065</v>
      </c>
      <c r="AL152" s="859">
        <f ca="1">+AL151/AG151-1</f>
        <v>0.40923428322819233</v>
      </c>
      <c r="AM152" s="859">
        <f ca="1">+AM151/AH151-1</f>
        <v>1.0171018388766551</v>
      </c>
      <c r="AN152" s="859">
        <f ca="1">+AN151/AI151-1</f>
        <v>0.81179044609213569</v>
      </c>
      <c r="AO152" s="859">
        <f ca="1">+AO151/AJ151-1</f>
        <v>0.37343395274531233</v>
      </c>
      <c r="AP152" s="846">
        <f ca="1">AP151/AK151-1</f>
        <v>0.63429728887503889</v>
      </c>
      <c r="AQ152" s="859">
        <f ca="1">+AQ151/AL151-1</f>
        <v>0.29396441940338836</v>
      </c>
      <c r="AR152" s="859">
        <f ca="1">+AR151/AL151-1</f>
        <v>0.51601512754216028</v>
      </c>
      <c r="AS152" s="859">
        <f ca="1">+AS151/AM151-1</f>
        <v>0.14896784438269162</v>
      </c>
      <c r="AT152" s="859">
        <f ca="1">+AT151/AO151-1</f>
        <v>-6.1205748656963155E-2</v>
      </c>
      <c r="AU152" s="846">
        <f ca="1">AU151/AP151-1</f>
        <v>9.8328521906926536E-2</v>
      </c>
      <c r="AV152" s="859">
        <f ca="1">+AV151/AQ151-1</f>
        <v>-0.20511176391643426</v>
      </c>
      <c r="AW152" s="267"/>
      <c r="AX152" s="836"/>
      <c r="AY152" s="836"/>
      <c r="AZ152" s="836"/>
      <c r="BA152" s="836"/>
      <c r="BB152" s="836"/>
      <c r="BC152" s="836"/>
      <c r="BD152" s="836"/>
      <c r="BE152" s="836"/>
      <c r="BH152" s="836"/>
      <c r="BI152" s="836"/>
      <c r="BJ152" s="836"/>
      <c r="BK152" s="836"/>
      <c r="BL152" s="836"/>
      <c r="BM152" s="836"/>
      <c r="BN152" s="836"/>
      <c r="BO152" s="836"/>
      <c r="BP152" s="836"/>
      <c r="BQ152" s="836"/>
      <c r="BR152" s="836"/>
      <c r="BS152" s="836"/>
      <c r="BT152" s="836"/>
      <c r="BU152" s="836"/>
      <c r="BV152" s="836"/>
      <c r="BW152" s="836"/>
      <c r="BX152" s="836"/>
      <c r="BY152" s="836"/>
      <c r="BZ152" s="836"/>
      <c r="CA152" s="836"/>
      <c r="CB152" s="836"/>
      <c r="CC152" s="836"/>
      <c r="CD152" s="836"/>
      <c r="CE152" s="836"/>
      <c r="CF152" s="836"/>
      <c r="CG152" s="836"/>
    </row>
    <row r="153" spans="1:85" ht="13.5" customHeight="1" x14ac:dyDescent="0.2">
      <c r="B153" s="863" t="s">
        <v>242</v>
      </c>
      <c r="C153" s="38" t="s">
        <v>160</v>
      </c>
      <c r="D153" s="38" t="s">
        <v>160</v>
      </c>
      <c r="E153" s="38" t="s">
        <v>160</v>
      </c>
      <c r="F153" s="38" t="s">
        <v>160</v>
      </c>
      <c r="G153" s="862" t="s">
        <v>160</v>
      </c>
      <c r="H153" s="841">
        <f ca="1">+SUMIFS(INDIRECT(CONCATENATE("'",$AW153,$AX153,":",$AY153)),INDIRECT(CONCATENATE("'",$AW153,$AX$150,":",$AY$150)),H$92)</f>
        <v>-6795</v>
      </c>
      <c r="I153" s="841">
        <f ca="1">+SUMIFS(INDIRECT(CONCATENATE("'",$AW153,$AX153,":",$AY153)),INDIRECT(CONCATENATE("'",$AW153,$AX$150,":",$AY$150)),I$92)</f>
        <v>-11749</v>
      </c>
      <c r="J153" s="841">
        <f ca="1">+SUMIFS(INDIRECT(CONCATENATE("'",$AW153,$AX153,":",$AY153)),INDIRECT(CONCATENATE("'",$AW153,$AX$150,":",$AY$150)),J$92)</f>
        <v>-12648</v>
      </c>
      <c r="K153" s="841">
        <f ca="1">+SUMIFS(INDIRECT(CONCATENATE("'",$AW153,$AX153,":",$AY153)),INDIRECT(CONCATENATE("'",$AW153,$AX$150,":",$AY$150)),K$92)</f>
        <v>-14715</v>
      </c>
      <c r="L153" s="861">
        <f ca="1">+SUM(H153:K153)</f>
        <v>-45907</v>
      </c>
      <c r="M153" s="841">
        <f ca="1">+SUMIFS(INDIRECT(CONCATENATE("'",$AW153,$AX153,":",$AY153)),INDIRECT(CONCATENATE("'",$AW153,$AX$150,":",$AY$150)),M$92)</f>
        <v>-14812</v>
      </c>
      <c r="N153" s="841">
        <f ca="1">+SUMIFS(INDIRECT(CONCATENATE("'",$AW153,$AX153,":",$AY153)),INDIRECT(CONCATENATE("'",$AW153,$AX$150,":",$AY$150)),N$92)</f>
        <v>-14546</v>
      </c>
      <c r="O153" s="841">
        <f ca="1">+SUMIFS(INDIRECT(CONCATENATE("'",$AW153,$AX153,":",$AY153)),INDIRECT(CONCATENATE("'",$AW153,$AX$150,":",$AY$150)),O$92)</f>
        <v>-16155.160750000003</v>
      </c>
      <c r="P153" s="841">
        <f ca="1">+SUMIFS(INDIRECT(CONCATENATE("'",$AW153,$AX153,":",$AY153)),INDIRECT(CONCATENATE("'",$AW153,$AX$150,":",$AY$150)),P$92)</f>
        <v>-11746.839249999997</v>
      </c>
      <c r="Q153" s="861">
        <f ca="1">+SUM(M153:P153)</f>
        <v>-57260</v>
      </c>
      <c r="R153" s="841">
        <f ca="1">+SUMIFS(INDIRECT(CONCATENATE("'",$AW153,$AX153,":",$AY153)),INDIRECT(CONCATENATE("'",$AW153,$AX$150,":",$AY$150)),R$92)</f>
        <v>-14649</v>
      </c>
      <c r="S153" s="841">
        <f ca="1">+SUMIFS(INDIRECT(CONCATENATE("'",$AW153,$AX153,":",$AY153)),INDIRECT(CONCATENATE("'",$AW153,$AX$150,":",$AY$150)),S$92)</f>
        <v>-11342</v>
      </c>
      <c r="T153" s="841">
        <f ca="1">+SUMIFS(INDIRECT(CONCATENATE("'",$AW153,$AX153,":",$AY153)),INDIRECT(CONCATENATE("'",$AW153,$AX$150,":",$AY$150)),T$92)</f>
        <v>-11562</v>
      </c>
      <c r="U153" s="841">
        <f ca="1">+SUMIFS(INDIRECT(CONCATENATE("'",$AW153,$AX153,":",$AY153)),INDIRECT(CONCATENATE("'",$AW153,$AX$150,":",$AY$150)),U$92)</f>
        <v>-14333</v>
      </c>
      <c r="V153" s="861">
        <f ca="1">+SUM(R153:U153)</f>
        <v>-51886</v>
      </c>
      <c r="W153" s="841">
        <f ca="1">+SUMIFS(INDIRECT(CONCATENATE("'",$AW153,$AX153,":",$AY153)),INDIRECT(CONCATENATE("'",$AW153,$AX$150,":",$AY$150)),W$92)</f>
        <v>-13958</v>
      </c>
      <c r="X153" s="841">
        <f ca="1">+SUMIFS(INDIRECT(CONCATENATE("'",$AW153,$AX153,":",$AY153)),INDIRECT(CONCATENATE("'",$AW153,$AX$150,":",$AY$150)),X$92)</f>
        <v>-15910</v>
      </c>
      <c r="Y153" s="841">
        <f ca="1">+SUMIFS(INDIRECT(CONCATENATE("'",$AW153,$AX153,":",$AY153)),INDIRECT(CONCATENATE("'",$AW153,$AX$150,":",$AY$150)),Y$92)</f>
        <v>-16933</v>
      </c>
      <c r="Z153" s="841">
        <f ca="1">+SUMIFS(INDIRECT(CONCATENATE("'",$AW153,$AX153,":",$AY153)),INDIRECT(CONCATENATE("'",$AW153,$AX$150,":",$AY$150)),Z$92)</f>
        <v>-19224</v>
      </c>
      <c r="AA153" s="861">
        <f ca="1">+SUM(W153:Z153)</f>
        <v>-66025</v>
      </c>
      <c r="AB153" s="841">
        <f ca="1">+SUMIFS(INDIRECT(CONCATENATE("'",$AW153,$AX153,":",$AY153)),INDIRECT(CONCATENATE("'",$AW153,$AX$150,":",$AY$150)),AB$92)</f>
        <v>-17789</v>
      </c>
      <c r="AC153" s="841">
        <f ca="1">+SUMIFS(INDIRECT(CONCATENATE("'",$AW153,$AX153,":",$AY153)),INDIRECT(CONCATENATE("'",$AW153,$AX$150,":",$AY$150)),AC$92)</f>
        <v>-19063</v>
      </c>
      <c r="AD153" s="841">
        <f ca="1">+SUMIFS(INDIRECT(CONCATENATE("'",$AW153,$AX153,":",$AY153)),INDIRECT(CONCATENATE("'",$AW153,$AX$150,":",$AY$150)),AD$92)</f>
        <v>-19201</v>
      </c>
      <c r="AE153" s="841">
        <f ca="1">+SUMIFS(INDIRECT(CONCATENATE("'",$AW153,$AX153,":",$AY153)),INDIRECT(CONCATENATE("'",$AW153,$AX$150,":",$AY$150)),AE$92)</f>
        <v>-20665</v>
      </c>
      <c r="AF153" s="861">
        <f ca="1">+SUM(AB153:AE153)</f>
        <v>-76718</v>
      </c>
      <c r="AG153" s="841">
        <f ca="1">+SUMIFS(INDIRECT(CONCATENATE("'",$AW153,$AX153,":",$AY153)),INDIRECT(CONCATENATE("'",$AW153,$AX$150,":",$AY$150)),AG$92)</f>
        <v>-22330</v>
      </c>
      <c r="AH153" s="841">
        <f ca="1">+SUMIFS(INDIRECT(CONCATENATE("'",$AW153,$AX153,":",$AY153)),INDIRECT(CONCATENATE("'",$AW153,$AX$150,":",$AY$150)),AH$92)</f>
        <v>-21422</v>
      </c>
      <c r="AI153" s="841">
        <f ca="1">+SUMIFS(INDIRECT(CONCATENATE("'",$AW153,$AX153,":",$AY153)),INDIRECT(CONCATENATE("'",$AW153,$AX$150,":",$AY$150)),AI$92)</f>
        <v>-22724</v>
      </c>
      <c r="AJ153" s="841">
        <f ca="1">+SUMIFS(INDIRECT(CONCATENATE("'",$AW153,$AX153,":",$AY153)),INDIRECT(CONCATENATE("'",$AW153,$AX$150,":",$AY$150)),AJ$92)</f>
        <v>-32486</v>
      </c>
      <c r="AK153" s="861">
        <f ca="1">+SUM(AG153:AJ153)</f>
        <v>-98962</v>
      </c>
      <c r="AL153" s="841">
        <f ca="1">+SUMIFS(INDIRECT(CONCATENATE("'",$AW153,$AX153,":",$AY153)),INDIRECT(CONCATENATE("'",$AW153,$AX$150,":",$AY$150)),AL$92)</f>
        <v>-29352</v>
      </c>
      <c r="AM153" s="841">
        <f ca="1">+SUMIFS(INDIRECT(CONCATENATE("'",$AW153,$AX153,":",$AY153)),INDIRECT(CONCATENATE("'",$AW153,$AX$150,":",$AY$150)),AM$92)</f>
        <v>-38343</v>
      </c>
      <c r="AN153" s="841">
        <f ca="1">+SUMIFS(INDIRECT(CONCATENATE("'",$AW153,$AX153,":",$AY153)),INDIRECT(CONCATENATE("'",$AW153,$AX$150,":",$AY$150)),AN$92)</f>
        <v>-47138</v>
      </c>
      <c r="AO153" s="841">
        <f ca="1">+SUMIFS(INDIRECT(CONCATENATE("'",$AW153,$AX153,":",$AY153)),INDIRECT(CONCATENATE("'",$AW153,$AX$150,":",$AY$150)),AO$92)</f>
        <v>-42628</v>
      </c>
      <c r="AP153" s="861">
        <f ca="1">+SUM(AL153:AO153)</f>
        <v>-157461</v>
      </c>
      <c r="AQ153" s="841">
        <f ca="1">+SUMIFS(INDIRECT(CONCATENATE("'",$AW153,$AX153,":",$AY153)),INDIRECT(CONCATENATE("'",$AW153,$AX$150,":",$AY$150)),AQ$92)</f>
        <v>-42273</v>
      </c>
      <c r="AR153" s="841">
        <f ca="1">+SUMIFS(INDIRECT(CONCATENATE("'",$AW153,$AX153,":",$AY153)),INDIRECT(CONCATENATE("'",$AW153,$AX$150,":",$AY$150)),AR$92)</f>
        <v>-45875</v>
      </c>
      <c r="AS153" s="841">
        <f ca="1">+SUMIFS(INDIRECT(CONCATENATE("'",$AW153,$AX153,":",$AY153)),INDIRECT(CONCATENATE("'",$AW153,$AX$150,":",$AY$150)),AS$92)</f>
        <v>-52355</v>
      </c>
      <c r="AT153" s="841">
        <f ca="1">+SUMIFS(INDIRECT(CONCATENATE("'",$AW153,$AX153,":",$AY153)),INDIRECT(CONCATENATE("'",$AW153,$AX$150,":",$AY$150)),AT$92)</f>
        <v>-45657</v>
      </c>
      <c r="AU153" s="861">
        <f ca="1">+SUM(AQ153:AT153)</f>
        <v>-186160</v>
      </c>
      <c r="AV153" s="841">
        <f ca="1">+SUMIFS(INDIRECT(CONCATENATE("'",$AW153,$AX153,":",$AY153)),INDIRECT(CONCATENATE("'",$AW153,$AX$150,":",$AY$150)),AV$92)</f>
        <v>-43509</v>
      </c>
      <c r="AW153" s="267" t="s">
        <v>960</v>
      </c>
      <c r="AX153" s="1148" t="s">
        <v>1237</v>
      </c>
      <c r="AY153" s="1148" t="s">
        <v>1237</v>
      </c>
      <c r="AZ153" s="1148"/>
      <c r="BA153" s="1148" t="s">
        <v>961</v>
      </c>
      <c r="BB153" s="1148" t="s">
        <v>960</v>
      </c>
      <c r="BC153" s="1148"/>
      <c r="BD153" s="1148" t="s">
        <v>961</v>
      </c>
      <c r="BE153" s="1148" t="s">
        <v>960</v>
      </c>
      <c r="BK153" s="267"/>
      <c r="BL153" s="267"/>
      <c r="BM153" s="267"/>
      <c r="BN153" s="267"/>
      <c r="BO153" s="267"/>
      <c r="BP153" s="267"/>
      <c r="BQ153" s="267"/>
      <c r="BR153" s="267"/>
      <c r="BS153" s="267"/>
      <c r="BT153" s="267"/>
      <c r="BU153" s="267"/>
      <c r="BV153" s="267"/>
      <c r="BW153" s="267"/>
      <c r="BX153" s="267"/>
      <c r="BY153" s="267"/>
      <c r="BZ153" s="267"/>
      <c r="CA153" s="267"/>
      <c r="CB153" s="267"/>
      <c r="CC153" s="267"/>
      <c r="CD153" s="267"/>
      <c r="CE153" s="267"/>
      <c r="CF153" s="267"/>
      <c r="CG153" s="267"/>
    </row>
    <row r="154" spans="1:85" s="835" customFormat="1" ht="13.5" customHeight="1" x14ac:dyDescent="0.2">
      <c r="A154" s="840"/>
      <c r="B154" s="845" t="s">
        <v>964</v>
      </c>
      <c r="C154" s="38" t="s">
        <v>160</v>
      </c>
      <c r="D154" s="38" t="s">
        <v>160</v>
      </c>
      <c r="E154" s="38" t="s">
        <v>160</v>
      </c>
      <c r="F154" s="38" t="s">
        <v>160</v>
      </c>
      <c r="G154" s="860" t="s">
        <v>160</v>
      </c>
      <c r="H154" s="859">
        <f t="shared" ref="H154:S154" ca="1" si="180">+H153/H151</f>
        <v>-0.94677441828061859</v>
      </c>
      <c r="I154" s="859">
        <f t="shared" ca="1" si="180"/>
        <v>-0.92650421891018053</v>
      </c>
      <c r="J154" s="859">
        <f t="shared" ca="1" si="180"/>
        <v>-0.84914400805639478</v>
      </c>
      <c r="K154" s="859">
        <f t="shared" ca="1" si="180"/>
        <v>-0.84700397168019337</v>
      </c>
      <c r="L154" s="846">
        <f t="shared" ca="1" si="180"/>
        <v>-0.88069293634654489</v>
      </c>
      <c r="M154" s="859">
        <f t="shared" ca="1" si="180"/>
        <v>-0.94416114227434977</v>
      </c>
      <c r="N154" s="859">
        <f t="shared" ca="1" si="180"/>
        <v>-0.89246929184101709</v>
      </c>
      <c r="O154" s="859">
        <f t="shared" ca="1" si="180"/>
        <v>-0.8328041522613151</v>
      </c>
      <c r="P154" s="859">
        <f t="shared" ca="1" si="180"/>
        <v>-0.57715832958043023</v>
      </c>
      <c r="Q154" s="846">
        <f t="shared" ca="1" si="180"/>
        <v>-0.79818227438735401</v>
      </c>
      <c r="R154" s="859">
        <f t="shared" ca="1" si="180"/>
        <v>-0.79770202570246129</v>
      </c>
      <c r="S154" s="859">
        <f t="shared" ca="1" si="180"/>
        <v>-0.58901121728292483</v>
      </c>
      <c r="T154" s="859">
        <f t="shared" ref="T154:Y154" ca="1" si="181">+T153/T151</f>
        <v>-0.60375979112271538</v>
      </c>
      <c r="U154" s="859">
        <f t="shared" ca="1" si="181"/>
        <v>-0.86882463478208161</v>
      </c>
      <c r="V154" s="846">
        <f t="shared" ca="1" si="181"/>
        <v>-0.70817694187014613</v>
      </c>
      <c r="W154" s="859">
        <f t="shared" ca="1" si="181"/>
        <v>-0.8102867758040172</v>
      </c>
      <c r="X154" s="859">
        <f t="shared" ca="1" si="181"/>
        <v>-0.66775791152522457</v>
      </c>
      <c r="Y154" s="859">
        <f t="shared" ca="1" si="181"/>
        <v>-0.72552380136252625</v>
      </c>
      <c r="Z154" s="859">
        <f t="shared" ref="Z154:AF154" ca="1" si="182">+Z153/Z151</f>
        <v>-0.71236937671385159</v>
      </c>
      <c r="AA154" s="846">
        <f t="shared" ca="1" si="182"/>
        <v>-0.72255600424614508</v>
      </c>
      <c r="AB154" s="859">
        <f t="shared" ca="1" si="182"/>
        <v>-0.62626298186938922</v>
      </c>
      <c r="AC154" s="859">
        <f t="shared" ca="1" si="182"/>
        <v>-0.63465059759629794</v>
      </c>
      <c r="AD154" s="859">
        <f t="shared" ca="1" si="182"/>
        <v>-0.673482988425114</v>
      </c>
      <c r="AE154" s="859">
        <f t="shared" ca="1" si="182"/>
        <v>-0.67347803415460827</v>
      </c>
      <c r="AF154" s="846">
        <f t="shared" ca="1" si="182"/>
        <v>-0.65216430344452381</v>
      </c>
      <c r="AG154" s="859">
        <f t="shared" ref="AG154:AM154" ca="1" si="183">+AG153/AG151</f>
        <v>-0.60718947139438761</v>
      </c>
      <c r="AH154" s="859">
        <f t="shared" ca="1" si="183"/>
        <v>-0.61263476992593013</v>
      </c>
      <c r="AI154" s="859">
        <f t="shared" ca="1" si="183"/>
        <v>-0.55242494226327943</v>
      </c>
      <c r="AJ154" s="859">
        <f t="shared" ca="1" si="183"/>
        <v>-0.68288068611788444</v>
      </c>
      <c r="AK154" s="846">
        <f t="shared" ca="1" si="183"/>
        <v>-0.61677781240261764</v>
      </c>
      <c r="AL154" s="859">
        <f t="shared" ca="1" si="183"/>
        <v>-0.56635665496083043</v>
      </c>
      <c r="AM154" s="859">
        <f t="shared" ca="1" si="183"/>
        <v>-0.54362558838541375</v>
      </c>
      <c r="AN154" s="859">
        <f t="shared" ref="AN154:AV154" ca="1" si="184">+AN153/AN151</f>
        <v>-0.63248711893516529</v>
      </c>
      <c r="AO154" s="859">
        <f t="shared" ca="1" si="184"/>
        <v>-0.65243277163016367</v>
      </c>
      <c r="AP154" s="846">
        <f t="shared" ca="1" si="184"/>
        <v>-0.60048508330695627</v>
      </c>
      <c r="AQ154" s="859">
        <f t="shared" ca="1" si="184"/>
        <v>-0.63036638284546909</v>
      </c>
      <c r="AR154" s="859">
        <f t="shared" ca="1" si="184"/>
        <v>-0.58388168361567538</v>
      </c>
      <c r="AS154" s="859">
        <f t="shared" ca="1" si="184"/>
        <v>-0.64604696504152326</v>
      </c>
      <c r="AT154" s="859">
        <f t="shared" ca="1" si="184"/>
        <v>-0.74435097329551014</v>
      </c>
      <c r="AU154" s="846">
        <f t="shared" ca="1" si="184"/>
        <v>-0.646373178429691</v>
      </c>
      <c r="AV154" s="859">
        <f t="shared" ca="1" si="184"/>
        <v>-0.81621205868007352</v>
      </c>
      <c r="AW154" s="836"/>
      <c r="AX154" s="836"/>
      <c r="AY154" s="836"/>
      <c r="AZ154" s="836"/>
      <c r="BA154" s="836"/>
      <c r="BB154" s="836"/>
      <c r="BC154" s="836"/>
      <c r="BD154" s="836"/>
      <c r="BE154" s="836"/>
      <c r="BH154" s="836"/>
      <c r="BI154" s="836"/>
      <c r="BJ154" s="836"/>
      <c r="BK154" s="836"/>
      <c r="BL154" s="836"/>
      <c r="BM154" s="836"/>
      <c r="BN154" s="836"/>
      <c r="BO154" s="836"/>
      <c r="BP154" s="836"/>
      <c r="BQ154" s="836"/>
      <c r="BR154" s="836"/>
      <c r="BS154" s="836"/>
      <c r="BT154" s="836"/>
      <c r="BU154" s="836"/>
      <c r="BV154" s="836"/>
      <c r="BW154" s="836"/>
      <c r="BX154" s="836"/>
      <c r="BY154" s="836"/>
      <c r="BZ154" s="836"/>
      <c r="CA154" s="836"/>
      <c r="CB154" s="836"/>
      <c r="CC154" s="836"/>
      <c r="CD154" s="836"/>
      <c r="CE154" s="836"/>
      <c r="CF154" s="836"/>
      <c r="CG154" s="836"/>
    </row>
    <row r="155" spans="1:85" ht="13.5" customHeight="1" x14ac:dyDescent="0.2">
      <c r="B155" s="863" t="s">
        <v>965</v>
      </c>
      <c r="C155" s="38" t="s">
        <v>160</v>
      </c>
      <c r="D155" s="38" t="s">
        <v>160</v>
      </c>
      <c r="E155" s="38" t="s">
        <v>160</v>
      </c>
      <c r="F155" s="38" t="s">
        <v>160</v>
      </c>
      <c r="G155" s="862" t="s">
        <v>160</v>
      </c>
      <c r="H155" s="841">
        <f ca="1">+SUMIFS(INDIRECT(CONCATENATE("'",$AW155,$AX155,":",$AY155)),INDIRECT(CONCATENATE("'",$AW155,$AX$150,":",$AY$150)),H$92)+SUMIFS(INDIRECT(CONCATENATE("'",$AW155,$AZ155,":",$BA155)),INDIRECT(CONCATENATE("'",$AW155,$AX$150,":",$AY$150)),H$92)+SUMIFS(INDIRECT(CONCATENATE("'",$AW155,$BB155,":",$BC155)),INDIRECT(CONCATENATE("'",$AW155,$AX$150,":",$AY$150)),H$92)</f>
        <v>-1493</v>
      </c>
      <c r="I155" s="841">
        <f ca="1">+SUMIFS(INDIRECT(CONCATENATE("'",$AW155,$AX155,":",$AY155)),INDIRECT(CONCATENATE("'",$AW155,$AX$150,":",$AY$150)),I$92)+SUMIFS(INDIRECT(CONCATENATE("'",$AW155,$AZ155,":",$BA155)),INDIRECT(CONCATENATE("'",$AW155,$AX$150,":",$AY$150)),I$92)+SUMIFS(INDIRECT(CONCATENATE("'",$AW155,$BB155,":",$BC155)),INDIRECT(CONCATENATE("'",$AW155,$AX$150,":",$AY$150)),I$92)</f>
        <v>-1693</v>
      </c>
      <c r="J155" s="841">
        <f ca="1">+SUMIFS(INDIRECT(CONCATENATE("'",$AW155,$AX155,":",$AY155)),INDIRECT(CONCATENATE("'",$AW155,$AX$150,":",$AY$150)),J$92)+SUMIFS(INDIRECT(CONCATENATE("'",$AW155,$AZ155,":",$BA155)),INDIRECT(CONCATENATE("'",$AW155,$AX$150,":",$AY$150)),J$92)+SUMIFS(INDIRECT(CONCATENATE("'",$AW155,$BB155,":",$BC155)),INDIRECT(CONCATENATE("'",$AW155,$AX$150,":",$AY$150)),J$92)</f>
        <v>-1447</v>
      </c>
      <c r="K155" s="841">
        <f ca="1">+SUMIFS(INDIRECT(CONCATENATE("'",$AW155,$AX155,":",$AY155)),INDIRECT(CONCATENATE("'",$AW155,$AX$150,":",$AY$150)),K$92)+SUMIFS(INDIRECT(CONCATENATE("'",$AW155,$AZ155,":",$BA155)),INDIRECT(CONCATENATE("'",$AW155,$AX$150,":",$AY$150)),K$92)+SUMIFS(INDIRECT(CONCATENATE("'",$AW155,$BB155,":",$BC155)),INDIRECT(CONCATENATE("'",$AW155,$AX$150,":",$AY$150)),K$92)</f>
        <v>-1394</v>
      </c>
      <c r="L155" s="861">
        <f ca="1">+SUM(H155:K155)</f>
        <v>-6027</v>
      </c>
      <c r="M155" s="841">
        <f ca="1">+SUMIFS(INDIRECT(CONCATENATE("'",$AW155,$AX155,":",$AY155)),INDIRECT(CONCATENATE("'",$AW155,$AX$150,":",$AY$150)),M$92)+SUMIFS(INDIRECT(CONCATENATE("'",$AW155,$AZ155,":",$BA155)),INDIRECT(CONCATENATE("'",$AW155,$AX$150,":",$AY$150)),M$92)+SUMIFS(INDIRECT(CONCATENATE("'",$AW155,$BB155,":",$BC155)),INDIRECT(CONCATENATE("'",$AW155,$AX$150,":",$AY$150)),M$92)</f>
        <v>-2079</v>
      </c>
      <c r="N155" s="841">
        <f ca="1">+SUMIFS(INDIRECT(CONCATENATE("'",$AW155,$AX155,":",$AY155)),INDIRECT(CONCATENATE("'",$AW155,$AX$150,":",$AY$150)),N$92)+SUMIFS(INDIRECT(CONCATENATE("'",$AW155,$AZ155,":",$BA155)),INDIRECT(CONCATENATE("'",$AW155,$AX$150,":",$AY$150)),N$92)+SUMIFS(INDIRECT(CONCATENATE("'",$AW155,$BB155,":",$BC155)),INDIRECT(CONCATENATE("'",$AW155,$AX$150,":",$AY$150)),N$92)</f>
        <v>-185</v>
      </c>
      <c r="O155" s="841">
        <f ca="1">+SUMIFS(INDIRECT(CONCATENATE("'",$AW155,$AX155,":",$AY155)),INDIRECT(CONCATENATE("'",$AW155,$AX$150,":",$AY$150)),O$92)+SUMIFS(INDIRECT(CONCATENATE("'",$AW155,$AZ155,":",$BA155)),INDIRECT(CONCATENATE("'",$AW155,$AX$150,":",$AY$150)),O$92)+SUMIFS(INDIRECT(CONCATENATE("'",$AW155,$BB155,":",$BC155)),INDIRECT(CONCATENATE("'",$AW155,$AX$150,":",$AY$150)),O$92)</f>
        <v>-718.71884479000073</v>
      </c>
      <c r="P155" s="841">
        <f ca="1">+SUMIFS(INDIRECT(CONCATENATE("'",$AW155,$AX155,":",$AY155)),INDIRECT(CONCATENATE("'",$AW155,$AX$150,":",$AY$150)),P$92)+SUMIFS(INDIRECT(CONCATENATE("'",$AW155,$AZ155,":",$BA155)),INDIRECT(CONCATENATE("'",$AW155,$AX$150,":",$AY$150)),P$92)+SUMIFS(INDIRECT(CONCATENATE("'",$AW155,$BB155,":",$BC155)),INDIRECT(CONCATENATE("'",$AW155,$AX$150,":",$AY$150)),P$92)</f>
        <v>-1475.2811552099993</v>
      </c>
      <c r="Q155" s="861">
        <f ca="1">+SUM(M155:P155)</f>
        <v>-4458</v>
      </c>
      <c r="R155" s="841">
        <f ca="1">+SUMIFS(INDIRECT(CONCATENATE("'",$AW155,$AX155,":",$AY155)),INDIRECT(CONCATENATE("'",$AW155,$AX$150,":",$AY$150)),R$92)+SUMIFS(INDIRECT(CONCATENATE("'",$AW155,$AZ155,":",$BA155)),INDIRECT(CONCATENATE("'",$AW155,$AX$150,":",$AY$150)),R$92)+SUMIFS(INDIRECT(CONCATENATE("'",$AW155,$BB155,":",$BC155)),INDIRECT(CONCATENATE("'",$AW155,$AX$150,":",$AY$150)),R$92)</f>
        <v>719</v>
      </c>
      <c r="S155" s="841">
        <f ca="1">+SUMIFS(INDIRECT(CONCATENATE("'",$AW155,$AX155,":",$AY155)),INDIRECT(CONCATENATE("'",$AW155,$AX$150,":",$AY$150)),S$92)+SUMIFS(INDIRECT(CONCATENATE("'",$AW155,$AZ155,":",$BA155)),INDIRECT(CONCATENATE("'",$AW155,$AX$150,":",$AY$150)),S$92)+SUMIFS(INDIRECT(CONCATENATE("'",$AW155,$BB155,":",$BC155)),INDIRECT(CONCATENATE("'",$AW155,$AX$150,":",$AY$150)),S$92)</f>
        <v>-470</v>
      </c>
      <c r="T155" s="841">
        <f ca="1">+SUMIFS(INDIRECT(CONCATENATE("'",$AW155,$AX155,":",$AY155)),INDIRECT(CONCATENATE("'",$AW155,$AX$150,":",$AY$150)),T$92)+SUMIFS(INDIRECT(CONCATENATE("'",$AW155,$AZ155,":",$BA155)),INDIRECT(CONCATENATE("'",$AW155,$AX$150,":",$AY$150)),T$92)+SUMIFS(INDIRECT(CONCATENATE("'",$AW155,$BB155,":",$BC155)),INDIRECT(CONCATENATE("'",$AW155,$AX$150,":",$AY$150)),T$92)</f>
        <v>-584</v>
      </c>
      <c r="U155" s="841">
        <f ca="1">+SUMIFS(INDIRECT(CONCATENATE("'",$AW155,$AX155,":",$AY155)),INDIRECT(CONCATENATE("'",$AW155,$AX$150,":",$AY$150)),U$92)+SUMIFS(INDIRECT(CONCATENATE("'",$AW155,$AZ155,":",$BA155)),INDIRECT(CONCATENATE("'",$AW155,$AX$150,":",$AY$150)),U$92)+SUMIFS(INDIRECT(CONCATENATE("'",$AW155,$BB155,":",$BC155)),INDIRECT(CONCATENATE("'",$AW155,$AX$150,":",$AY$150)),U$92)</f>
        <v>-2467</v>
      </c>
      <c r="V155" s="861">
        <f ca="1">+SUM(R155:U155)</f>
        <v>-2802</v>
      </c>
      <c r="W155" s="841">
        <f ca="1">+SUMIFS(INDIRECT(CONCATENATE("'",$AW155,$AX155,":",$AY155)),INDIRECT(CONCATENATE("'",$AW155,$AX$150,":",$AY$150)),W$92)+SUMIFS(INDIRECT(CONCATENATE("'",$AW155,$AZ155,":",$BA155)),INDIRECT(CONCATENATE("'",$AW155,$AX$150,":",$AY$150)),W$92)+SUMIFS(INDIRECT(CONCATENATE("'",$AW155,$BB155,":",$BC155)),INDIRECT(CONCATENATE("'",$AW155,$AX$150,":",$AY$150)),W$92)</f>
        <v>-1344</v>
      </c>
      <c r="X155" s="841">
        <f ca="1">+SUMIFS(INDIRECT(CONCATENATE("'",$AW155,$AX155,":",$AY155)),INDIRECT(CONCATENATE("'",$AW155,$AX$150,":",$AY$150)),X$92)+SUMIFS(INDIRECT(CONCATENATE("'",$AW155,$AZ155,":",$BA155)),INDIRECT(CONCATENATE("'",$AW155,$AX$150,":",$AY$150)),X$92)+SUMIFS(INDIRECT(CONCATENATE("'",$AW155,$BB155,":",$BC155)),INDIRECT(CONCATENATE("'",$AW155,$AX$150,":",$AY$150)),X$92)</f>
        <v>-1423</v>
      </c>
      <c r="Y155" s="841">
        <f ca="1">+SUMIFS(INDIRECT(CONCATENATE("'",$AW155,$AX155,":",$AY155)),INDIRECT(CONCATENATE("'",$AW155,$AX$150,":",$AY$150)),Y$92)+SUMIFS(INDIRECT(CONCATENATE("'",$AW155,$AZ155,":",$BA155)),INDIRECT(CONCATENATE("'",$AW155,$AX$150,":",$AY$150)),Y$92)+SUMIFS(INDIRECT(CONCATENATE("'",$AW155,$BB155,":",$BC155)),INDIRECT(CONCATENATE("'",$AW155,$AX$150,":",$AY$150)),Y$92)</f>
        <v>-1306</v>
      </c>
      <c r="Z155" s="841">
        <f ca="1">+SUMIFS(INDIRECT(CONCATENATE("'",$AW155,$AX155,":",$AY155)),INDIRECT(CONCATENATE("'",$AW155,$AX$150,":",$AY$150)),Z$92)+SUMIFS(INDIRECT(CONCATENATE("'",$AW155,$AZ155,":",$BA155)),INDIRECT(CONCATENATE("'",$AW155,$AX$150,":",$AY$150)),Z$92)+SUMIFS(INDIRECT(CONCATENATE("'",$AW155,$BB155,":",$BC155)),INDIRECT(CONCATENATE("'",$AW155,$AX$150,":",$AY$150)),Z$92)</f>
        <v>-2714</v>
      </c>
      <c r="AA155" s="861">
        <f ca="1">+SUM(W155:Z155)</f>
        <v>-6787</v>
      </c>
      <c r="AB155" s="841">
        <f ca="1">+SUMIFS(INDIRECT(CONCATENATE("'",$AW155,$AX155,":",$AY155)),INDIRECT(CONCATENATE("'",$AW155,$AX$150,":",$AY$150)),AB$92)+SUMIFS(INDIRECT(CONCATENATE("'",$AW155,$AZ155,":",$BA155)),INDIRECT(CONCATENATE("'",$AW155,$AX$150,":",$AY$150)),AB$92)+SUMIFS(INDIRECT(CONCATENATE("'",$AW155,$BB155,":",$BC155)),INDIRECT(CONCATENATE("'",$AW155,$AX$150,":",$AY$150)),AB$92)</f>
        <v>-1718</v>
      </c>
      <c r="AC155" s="841">
        <f ca="1">+SUMIFS(INDIRECT(CONCATENATE("'",$AW155,$AX155,":",$AY155)),INDIRECT(CONCATENATE("'",$AW155,$AX$150,":",$AY$150)),AC$92)+SUMIFS(INDIRECT(CONCATENATE("'",$AW155,$AZ155,":",$BA155)),INDIRECT(CONCATENATE("'",$AW155,$AX$150,":",$AY$150)),AC$92)+SUMIFS(INDIRECT(CONCATENATE("'",$AW155,$BB155,":",$BC155)),INDIRECT(CONCATENATE("'",$AW155,$AX$150,":",$AY$150)),AC$92)</f>
        <v>-1947</v>
      </c>
      <c r="AD155" s="841">
        <f ca="1">+SUMIFS(INDIRECT(CONCATENATE("'",$AW155,$AX155,":",$AY155)),INDIRECT(CONCATENATE("'",$AW155,$AX$150,":",$AY$150)),AD$92)+SUMIFS(INDIRECT(CONCATENATE("'",$AW155,$AZ155,":",$BA155)),INDIRECT(CONCATENATE("'",$AW155,$AX$150,":",$AY$150)),AD$92)+SUMIFS(INDIRECT(CONCATENATE("'",$AW155,$BB155,":",$BC155)),INDIRECT(CONCATENATE("'",$AW155,$AX$150,":",$AY$150)),AD$92)</f>
        <v>-2279</v>
      </c>
      <c r="AE155" s="841">
        <f ca="1">+SUMIFS(INDIRECT(CONCATENATE("'",$AW155,$AX155,":",$AY155)),INDIRECT(CONCATENATE("'",$AW155,$AX$150,":",$AY$150)),AE$92)+SUMIFS(INDIRECT(CONCATENATE("'",$AW155,$AZ155,":",$BA155)),INDIRECT(CONCATENATE("'",$AW155,$AX$150,":",$AY$150)),AE$92)+SUMIFS(INDIRECT(CONCATENATE("'",$AW155,$BB155,":",$BC155)),INDIRECT(CONCATENATE("'",$AW155,$AX$150,":",$AY$150)),AE$92)</f>
        <v>-2600</v>
      </c>
      <c r="AF155" s="861">
        <f ca="1">+SUM(AB155:AE155)</f>
        <v>-8544</v>
      </c>
      <c r="AG155" s="841">
        <f ca="1">+SUMIFS(INDIRECT(CONCATENATE("'",$AW155,$AX155,":",$AY155)),INDIRECT(CONCATENATE("'",$AW155,$AX$150,":",$AY$150)),AG$92)+SUMIFS(INDIRECT(CONCATENATE("'",$AW155,$AZ155,":",$BA155)),INDIRECT(CONCATENATE("'",$AW155,$AX$150,":",$AY$150)),AG$92)+SUMIFS(INDIRECT(CONCATENATE("'",$AW155,$BB155,":",$BC155)),INDIRECT(CONCATENATE("'",$AW155,$AX$150,":",$AY$150)),AG$92)</f>
        <v>-2336</v>
      </c>
      <c r="AH155" s="841">
        <f ca="1">+SUMIFS(INDIRECT(CONCATENATE("'",$AW155,$AX155,":",$AY155)),INDIRECT(CONCATENATE("'",$AW155,$AX$150,":",$AY$150)),AH$92)+SUMIFS(INDIRECT(CONCATENATE("'",$AW155,$AZ155,":",$BA155)),INDIRECT(CONCATENATE("'",$AW155,$AX$150,":",$AY$150)),AH$92)+SUMIFS(INDIRECT(CONCATENATE("'",$AW155,$BB155,":",$BC155)),INDIRECT(CONCATENATE("'",$AW155,$AX$150,":",$AY$150)),AH$92)</f>
        <v>-3367</v>
      </c>
      <c r="AI155" s="841">
        <f ca="1">+SUMIFS(INDIRECT(CONCATENATE("'",$AW155,$AX155,":",$AY155)),INDIRECT(CONCATENATE("'",$AW155,$AX$150,":",$AY$150)),AI$92)+SUMIFS(INDIRECT(CONCATENATE("'",$AW155,$AZ155,":",$BA155)),INDIRECT(CONCATENATE("'",$AW155,$AX$150,":",$AY$150)),AI$92)+SUMIFS(INDIRECT(CONCATENATE("'",$AW155,$BB155,":",$BC155)),INDIRECT(CONCATENATE("'",$AW155,$AX$150,":",$AY$150)),AI$92)</f>
        <v>-2772</v>
      </c>
      <c r="AJ155" s="841">
        <f ca="1">+SUMIFS(INDIRECT(CONCATENATE("'",$AW155,$AX155,":",$AY155)),INDIRECT(CONCATENATE("'",$AW155,$AX$150,":",$AY$150)),AJ$92)+SUMIFS(INDIRECT(CONCATENATE("'",$AW155,$AZ155,":",$BA155)),INDIRECT(CONCATENATE("'",$AW155,$AX$150,":",$AY$150)),AJ$92)+SUMIFS(INDIRECT(CONCATENATE("'",$AW155,$BB155,":",$BC155)),INDIRECT(CONCATENATE("'",$AW155,$AX$150,":",$AY$150)),AJ$92)</f>
        <v>-2691</v>
      </c>
      <c r="AK155" s="861">
        <f ca="1">+SUM(AG155:AJ155)</f>
        <v>-11166</v>
      </c>
      <c r="AL155" s="841">
        <f ca="1">+SUMIFS(INDIRECT(CONCATENATE("'",$AW155,$AX155,":",$AY155)),INDIRECT(CONCATENATE("'",$AW155,$AX$150,":",$AY$150)),AL$92)+SUMIFS(INDIRECT(CONCATENATE("'",$AW155,$AZ155,":",$BA155)),INDIRECT(CONCATENATE("'",$AW155,$AX$150,":",$AY$150)),AL$92)+SUMIFS(INDIRECT(CONCATENATE("'",$AW155,$BB155,":",$BC155)),INDIRECT(CONCATENATE("'",$AW155,$AX$150,":",$AY$150)),AL$92)</f>
        <v>-2495</v>
      </c>
      <c r="AM155" s="841">
        <f ca="1">+SUMIFS(INDIRECT(CONCATENATE("'",$AW155,$AX155,":",$AY155)),INDIRECT(CONCATENATE("'",$AW155,$AX$150,":",$AY$150)),AM$92)+SUMIFS(INDIRECT(CONCATENATE("'",$AW155,$AZ155,":",$BA155)),INDIRECT(CONCATENATE("'",$AW155,$AX$150,":",$AY$150)),AM$92)+SUMIFS(INDIRECT(CONCATENATE("'",$AW155,$BB155,":",$BC155)),INDIRECT(CONCATENATE("'",$AW155,$AX$150,":",$AY$150)),AM$92)</f>
        <v>-2982</v>
      </c>
      <c r="AN155" s="841">
        <f ca="1">+SUMIFS(INDIRECT(CONCATENATE("'",$AW155,$AX155,":",$AY155)),INDIRECT(CONCATENATE("'",$AW155,$AX$150,":",$AY$150)),AN$92)+SUMIFS(INDIRECT(CONCATENATE("'",$AW155,$AZ155,":",$BA155)),INDIRECT(CONCATENATE("'",$AW155,$AX$150,":",$AY$150)),AN$92)+SUMIFS(INDIRECT(CONCATENATE("'",$AW155,$BB155,":",$BC155)),INDIRECT(CONCATENATE("'",$AW155,$AX$150,":",$AY$150)),AN$92)</f>
        <v>-3840</v>
      </c>
      <c r="AO155" s="841">
        <f ca="1">+SUMIFS(INDIRECT(CONCATENATE("'",$AW155,$AX155,":",$AY155)),INDIRECT(CONCATENATE("'",$AW155,$AX$150,":",$AY$150)),AO$92)+SUMIFS(INDIRECT(CONCATENATE("'",$AW155,$AZ155,":",$BA155)),INDIRECT(CONCATENATE("'",$AW155,$AX$150,":",$AY$150)),AO$92)+SUMIFS(INDIRECT(CONCATENATE("'",$AW155,$BB155,":",$BC155)),INDIRECT(CONCATENATE("'",$AW155,$AX$150,":",$AY$150)),AO$92)</f>
        <v>-4147</v>
      </c>
      <c r="AP155" s="861">
        <f ca="1">+SUM(AL155:AO155)</f>
        <v>-13464</v>
      </c>
      <c r="AQ155" s="841">
        <f ca="1">+SUMIFS(INDIRECT(CONCATENATE("'",$AW155,$AX155,":",$AY155)),INDIRECT(CONCATENATE("'",$AW155,$AX$150,":",$AY$150)),AQ$92)+SUMIFS(INDIRECT(CONCATENATE("'",$AW155,$AZ155,":",$BA155)),INDIRECT(CONCATENATE("'",$AW155,$AX$150,":",$AY$150)),AQ$92)+SUMIFS(INDIRECT(CONCATENATE("'",$AW155,$BB155,":",$BC155)),INDIRECT(CONCATENATE("'",$AW155,$AX$150,":",$AY$150)),AQ$92)</f>
        <v>-3732</v>
      </c>
      <c r="AR155" s="841">
        <f ca="1">+SUMIFS(INDIRECT(CONCATENATE("'",$AW155,$AX155,":",$AY155)),INDIRECT(CONCATENATE("'",$AW155,$AX$150,":",$AY$150)),AR$92)+SUMIFS(INDIRECT(CONCATENATE("'",$AW155,$AZ155,":",$BA155)),INDIRECT(CONCATENATE("'",$AW155,$AX$150,":",$AY$150)),AR$92)+SUMIFS(INDIRECT(CONCATENATE("'",$AW155,$BB155,":",$BC155)),INDIRECT(CONCATENATE("'",$AW155,$AX$150,":",$AY$150)),AR$92)</f>
        <v>-3852</v>
      </c>
      <c r="AS155" s="841">
        <f ca="1">+SUMIFS(INDIRECT(CONCATENATE("'",$AW155,$AX155,":",$AY155)),INDIRECT(CONCATENATE("'",$AW155,$AX$150,":",$AY$150)),AS$92)+SUMIFS(INDIRECT(CONCATENATE("'",$AW155,$AZ155,":",$BA155)),INDIRECT(CONCATENATE("'",$AW155,$AX$150,":",$AY$150)),AS$92)+SUMIFS(INDIRECT(CONCATENATE("'",$AW155,$BB155,":",$BC155)),INDIRECT(CONCATENATE("'",$AW155,$AX$150,":",$AY$150)),AS$92)</f>
        <v>-4358</v>
      </c>
      <c r="AT155" s="841">
        <f ca="1">+SUMIFS(INDIRECT(CONCATENATE("'",$AW155,$AX155,":",$AY155)),INDIRECT(CONCATENATE("'",$AW155,$AX$150,":",$AY$150)),AT$92)+SUMIFS(INDIRECT(CONCATENATE("'",$AW155,$AZ155,":",$BA155)),INDIRECT(CONCATENATE("'",$AW155,$AX$150,":",$AY$150)),AT$92)+SUMIFS(INDIRECT(CONCATENATE("'",$AW155,$BB155,":",$BC155)),INDIRECT(CONCATENATE("'",$AW155,$AX$150,":",$AY$150)),AT$92)</f>
        <v>-4589</v>
      </c>
      <c r="AU155" s="861">
        <f ca="1">+SUM(AQ155:AT155)</f>
        <v>-16531</v>
      </c>
      <c r="AV155" s="841">
        <f ca="1">+SUMIFS(INDIRECT(CONCATENATE("'",$AW155,$AX155,":",$AY155)),INDIRECT(CONCATENATE("'",$AW155,$AX$150,":",$AY$150)),AV$92)+SUMIFS(INDIRECT(CONCATENATE("'",$AW155,$AZ155,":",$BA155)),INDIRECT(CONCATENATE("'",$AW155,$AX$150,":",$AY$150)),AV$92)+SUMIFS(INDIRECT(CONCATENATE("'",$AW155,$BB155,":",$BC155)),INDIRECT(CONCATENATE("'",$AW155,$AX$150,":",$AY$150)),AV$92)</f>
        <v>-5103</v>
      </c>
      <c r="AW155" s="267" t="s">
        <v>960</v>
      </c>
      <c r="AX155" s="1148" t="s">
        <v>1238</v>
      </c>
      <c r="AY155" s="1148" t="s">
        <v>1238</v>
      </c>
      <c r="AZ155" s="1148" t="s">
        <v>1239</v>
      </c>
      <c r="BA155" s="1148" t="s">
        <v>1239</v>
      </c>
      <c r="BB155" s="1148" t="s">
        <v>1244</v>
      </c>
      <c r="BC155" s="1148" t="s">
        <v>1244</v>
      </c>
      <c r="BD155" s="1148" t="s">
        <v>961</v>
      </c>
      <c r="BE155" s="1148" t="s">
        <v>961</v>
      </c>
      <c r="BF155" s="1148" t="s">
        <v>960</v>
      </c>
      <c r="BK155" s="267"/>
      <c r="BL155" s="267"/>
      <c r="BM155" s="267"/>
      <c r="BN155" s="267"/>
      <c r="BO155" s="267"/>
      <c r="BP155" s="267"/>
      <c r="BQ155" s="267"/>
      <c r="BR155" s="267"/>
      <c r="BS155" s="267"/>
      <c r="BT155" s="267"/>
      <c r="BU155" s="267"/>
      <c r="BV155" s="267"/>
      <c r="BW155" s="267"/>
      <c r="BX155" s="267"/>
      <c r="BY155" s="267"/>
      <c r="BZ155" s="267"/>
      <c r="CA155" s="267"/>
      <c r="CB155" s="267"/>
      <c r="CC155" s="267"/>
      <c r="CD155" s="267"/>
      <c r="CE155" s="267"/>
      <c r="CF155" s="267"/>
      <c r="CG155" s="267"/>
    </row>
    <row r="156" spans="1:85" s="835" customFormat="1" ht="13.5" customHeight="1" x14ac:dyDescent="0.2">
      <c r="A156" s="840"/>
      <c r="B156" s="845" t="s">
        <v>994</v>
      </c>
      <c r="C156" s="38" t="s">
        <v>160</v>
      </c>
      <c r="D156" s="38" t="s">
        <v>160</v>
      </c>
      <c r="E156" s="38" t="s">
        <v>160</v>
      </c>
      <c r="F156" s="38" t="s">
        <v>160</v>
      </c>
      <c r="G156" s="860" t="s">
        <v>160</v>
      </c>
      <c r="H156" s="859">
        <f t="shared" ref="H156:S156" ca="1" si="185">+H155/H151</f>
        <v>-0.20802563745297478</v>
      </c>
      <c r="I156" s="859">
        <f t="shared" ca="1" si="185"/>
        <v>-0.13350682122860974</v>
      </c>
      <c r="J156" s="859">
        <f t="shared" ca="1" si="185"/>
        <v>-9.7146693521315872E-2</v>
      </c>
      <c r="K156" s="859">
        <f t="shared" ca="1" si="185"/>
        <v>-8.0239452023254471E-2</v>
      </c>
      <c r="L156" s="846">
        <f t="shared" ca="1" si="185"/>
        <v>-0.11562368108045888</v>
      </c>
      <c r="M156" s="859">
        <f t="shared" ca="1" si="185"/>
        <v>-0.13252167261601225</v>
      </c>
      <c r="N156" s="859">
        <f t="shared" ca="1" si="185"/>
        <v>-1.1350668155547102E-2</v>
      </c>
      <c r="O156" s="859">
        <f t="shared" ca="1" si="185"/>
        <v>-3.7050206278483995E-2</v>
      </c>
      <c r="P156" s="859">
        <f t="shared" ca="1" si="185"/>
        <v>-7.2485099104637088E-2</v>
      </c>
      <c r="Q156" s="846">
        <f t="shared" ca="1" si="185"/>
        <v>-6.2142797401656028E-2</v>
      </c>
      <c r="R156" s="859">
        <f t="shared" ca="1" si="185"/>
        <v>3.9152690045741671E-2</v>
      </c>
      <c r="S156" s="859">
        <f t="shared" ca="1" si="185"/>
        <v>-2.4407976734524304E-2</v>
      </c>
      <c r="T156" s="859">
        <f t="shared" ref="T156:Y156" ca="1" si="186">+T155/T151</f>
        <v>-3.0496083550913839E-2</v>
      </c>
      <c r="U156" s="859">
        <f t="shared" ca="1" si="186"/>
        <v>-0.14954234103170275</v>
      </c>
      <c r="V156" s="846">
        <f t="shared" ca="1" si="186"/>
        <v>-3.8243684059672156E-2</v>
      </c>
      <c r="W156" s="859">
        <f t="shared" ca="1" si="186"/>
        <v>-7.8021595262974572E-2</v>
      </c>
      <c r="X156" s="859">
        <f t="shared" ca="1" si="186"/>
        <v>-5.9724670527994628E-2</v>
      </c>
      <c r="Y156" s="859">
        <f t="shared" ca="1" si="186"/>
        <v>-5.5957838810574576E-2</v>
      </c>
      <c r="Z156" s="859">
        <f t="shared" ref="Z156:AF156" ca="1" si="187">+Z155/Z151</f>
        <v>-0.10057066627139999</v>
      </c>
      <c r="AA156" s="846">
        <f t="shared" ca="1" si="187"/>
        <v>-7.4274708077524981E-2</v>
      </c>
      <c r="AB156" s="859">
        <f t="shared" ca="1" si="187"/>
        <v>-6.0482309452561167E-2</v>
      </c>
      <c r="AC156" s="859">
        <f t="shared" ca="1" si="187"/>
        <v>-6.4820055265172954E-2</v>
      </c>
      <c r="AD156" s="859">
        <f t="shared" ca="1" si="187"/>
        <v>-7.9936864258155035E-2</v>
      </c>
      <c r="AE156" s="859">
        <f t="shared" ca="1" si="187"/>
        <v>-8.4734715160995955E-2</v>
      </c>
      <c r="AF156" s="846">
        <f t="shared" ca="1" si="187"/>
        <v>-7.2630827297765987E-2</v>
      </c>
      <c r="AG156" s="859">
        <f t="shared" ref="AG156:AM156" ca="1" si="188">+AG155/AG151</f>
        <v>-6.3519686752229715E-2</v>
      </c>
      <c r="AH156" s="859">
        <f t="shared" ca="1" si="188"/>
        <v>-9.6290788457688681E-2</v>
      </c>
      <c r="AI156" s="859">
        <f t="shared" ca="1" si="188"/>
        <v>-6.7387869211134072E-2</v>
      </c>
      <c r="AJ156" s="859">
        <f t="shared" ca="1" si="188"/>
        <v>-5.6566888085428403E-2</v>
      </c>
      <c r="AK156" s="846">
        <f t="shared" ca="1" si="188"/>
        <v>-6.9591773138049234E-2</v>
      </c>
      <c r="AL156" s="859">
        <f t="shared" ca="1" si="188"/>
        <v>-4.8141859298421644E-2</v>
      </c>
      <c r="AM156" s="859">
        <f t="shared" ca="1" si="188"/>
        <v>-4.2278682016673286E-2</v>
      </c>
      <c r="AN156" s="859">
        <f t="shared" ref="AN156:AV156" ca="1" si="189">+AN155/AN151</f>
        <v>-5.1524259338772006E-2</v>
      </c>
      <c r="AO156" s="859">
        <f t="shared" ca="1" si="189"/>
        <v>-6.3470927652019532E-2</v>
      </c>
      <c r="AP156" s="846">
        <f t="shared" ca="1" si="189"/>
        <v>-5.1345610415562327E-2</v>
      </c>
      <c r="AQ156" s="859">
        <f t="shared" ca="1" si="189"/>
        <v>-5.5650825367948582E-2</v>
      </c>
      <c r="AR156" s="859">
        <f t="shared" ca="1" si="189"/>
        <v>-4.9026969924524939E-2</v>
      </c>
      <c r="AS156" s="859">
        <f t="shared" ca="1" si="189"/>
        <v>-5.3776576709979144E-2</v>
      </c>
      <c r="AT156" s="859">
        <f t="shared" ca="1" si="189"/>
        <v>-7.4814959731324793E-2</v>
      </c>
      <c r="AU156" s="846">
        <f t="shared" ca="1" si="189"/>
        <v>-5.7397910467453919E-2</v>
      </c>
      <c r="AV156" s="859">
        <f t="shared" ca="1" si="189"/>
        <v>-9.5730311784789704E-2</v>
      </c>
      <c r="AW156" s="836"/>
      <c r="AX156" s="836"/>
      <c r="AY156" s="836"/>
      <c r="AZ156" s="836"/>
      <c r="BA156" s="836"/>
      <c r="BB156" s="836"/>
      <c r="BC156" s="836"/>
      <c r="BD156" s="836"/>
      <c r="BE156" s="836"/>
      <c r="BH156" s="836"/>
      <c r="BI156" s="836"/>
      <c r="BJ156" s="836"/>
      <c r="BK156" s="836"/>
      <c r="BL156" s="836"/>
      <c r="BM156" s="836"/>
      <c r="BN156" s="836"/>
      <c r="BO156" s="836"/>
      <c r="BP156" s="836"/>
      <c r="BQ156" s="836"/>
      <c r="BR156" s="836"/>
      <c r="BS156" s="836"/>
      <c r="BT156" s="836"/>
      <c r="BU156" s="836"/>
      <c r="BV156" s="836"/>
      <c r="BW156" s="836"/>
      <c r="BX156" s="836"/>
      <c r="BY156" s="836"/>
      <c r="BZ156" s="836"/>
      <c r="CA156" s="836"/>
      <c r="CB156" s="836"/>
      <c r="CC156" s="836"/>
      <c r="CD156" s="836"/>
      <c r="CE156" s="836"/>
      <c r="CF156" s="836"/>
      <c r="CG156" s="836"/>
    </row>
    <row r="157" spans="1:85" ht="13.5" customHeight="1" x14ac:dyDescent="0.2">
      <c r="B157" s="863" t="s">
        <v>15</v>
      </c>
      <c r="C157" s="38" t="s">
        <v>160</v>
      </c>
      <c r="D157" s="38" t="s">
        <v>160</v>
      </c>
      <c r="E157" s="38" t="s">
        <v>160</v>
      </c>
      <c r="F157" s="38" t="s">
        <v>160</v>
      </c>
      <c r="G157" s="862" t="s">
        <v>160</v>
      </c>
      <c r="H157" s="841">
        <f ca="1">+SUMIFS(INDIRECT(CONCATENATE("'",$AW157,$AX157,":",$AY157)),INDIRECT(CONCATENATE("'",$AW157,$AX$150,":",$AY$150)),H$92)</f>
        <v>47</v>
      </c>
      <c r="I157" s="841">
        <f ca="1">+SUMIFS(INDIRECT(CONCATENATE("'",$AW157,$AX157,":",$AY157)),INDIRECT(CONCATENATE("'",$AW157,$AX$150,":",$AY$150)),I$92)</f>
        <v>285</v>
      </c>
      <c r="J157" s="841">
        <f ca="1">+SUMIFS(INDIRECT(CONCATENATE("'",$AW157,$AX157,":",$AY157)),INDIRECT(CONCATENATE("'",$AW157,$AX$150,":",$AY$150)),J$92)</f>
        <v>-270</v>
      </c>
      <c r="K157" s="841">
        <f ca="1">+SUMIFS(INDIRECT(CONCATENATE("'",$AW157,$AX157,":",$AY157)),INDIRECT(CONCATENATE("'",$AW157,$AX$150,":",$AY$150)),K$92)</f>
        <v>148</v>
      </c>
      <c r="L157" s="861">
        <f ca="1">+SUM(H157:K157)</f>
        <v>210</v>
      </c>
      <c r="M157" s="841">
        <f ca="1">+SUMIFS(INDIRECT(CONCATENATE("'",$AW157,$AX157,":",$AY157)),INDIRECT(CONCATENATE("'",$AW157,$AX$150,":",$AY$150)),M$92)</f>
        <v>343</v>
      </c>
      <c r="N157" s="841">
        <f ca="1">+SUMIFS(INDIRECT(CONCATENATE("'",$AW157,$AX157,":",$AY157)),INDIRECT(CONCATENATE("'",$AW157,$AX$150,":",$AY$150)),N$92)</f>
        <v>-522</v>
      </c>
      <c r="O157" s="841">
        <f ca="1">+SUMIFS(INDIRECT(CONCATENATE("'",$AW157,$AX157,":",$AY157)),INDIRECT(CONCATENATE("'",$AW157,$AX$150,":",$AY$150)),O$92)</f>
        <v>-831.94018637140061</v>
      </c>
      <c r="P157" s="841">
        <f ca="1">+SUMIFS(INDIRECT(CONCATENATE("'",$AW157,$AX157,":",$AY157)),INDIRECT(CONCATENATE("'",$AW157,$AX$150,":",$AY$150)),P$92)</f>
        <v>-2371.0598136285994</v>
      </c>
      <c r="Q157" s="861">
        <f ca="1">+SUM(M157:P157)</f>
        <v>-3382</v>
      </c>
      <c r="R157" s="841">
        <f ca="1">+SUMIFS(INDIRECT(CONCATENATE("'",$AW157,$AX157,":",$AY157)),INDIRECT(CONCATENATE("'",$AW157,$AX$150,":",$AY$150)),R$92)</f>
        <v>-1506</v>
      </c>
      <c r="S157" s="841">
        <f ca="1">+SUMIFS(INDIRECT(CONCATENATE("'",$AW157,$AX157,":",$AY157)),INDIRECT(CONCATENATE("'",$AW157,$AX$150,":",$AY$150)),S$92)</f>
        <v>-2490</v>
      </c>
      <c r="T157" s="841">
        <f ca="1">+SUMIFS(INDIRECT(CONCATENATE("'",$AW157,$AX157,":",$AY157)),INDIRECT(CONCATENATE("'",$AW157,$AX$150,":",$AY$150)),T$92)</f>
        <v>-1882</v>
      </c>
      <c r="U157" s="841">
        <f ca="1">+SUMIFS(INDIRECT(CONCATENATE("'",$AW157,$AX157,":",$AY157)),INDIRECT(CONCATENATE("'",$AW157,$AX$150,":",$AY$150)),U$92)</f>
        <v>17</v>
      </c>
      <c r="V157" s="861">
        <f ca="1">+SUM(R157:U157)</f>
        <v>-5861</v>
      </c>
      <c r="W157" s="841">
        <f ca="1">+SUMIFS(INDIRECT(CONCATENATE("'",$AW157,$AX157,":",$AY157)),INDIRECT(CONCATENATE("'",$AW157,$AX$150,":",$AY$150)),W$92)</f>
        <v>-288</v>
      </c>
      <c r="X157" s="841">
        <f ca="1">+SUMIFS(INDIRECT(CONCATENATE("'",$AW157,$AX157,":",$AY157)),INDIRECT(CONCATENATE("'",$AW157,$AX$150,":",$AY$150)),X$92)</f>
        <v>-1703</v>
      </c>
      <c r="Y157" s="841">
        <f ca="1">+SUMIFS(INDIRECT(CONCATENATE("'",$AW157,$AX157,":",$AY157)),INDIRECT(CONCATENATE("'",$AW157,$AX$150,":",$AY$150)),Y$92)</f>
        <v>-1386</v>
      </c>
      <c r="Z157" s="841">
        <f ca="1">+SUMIFS(INDIRECT(CONCATENATE("'",$AW157,$AX157,":",$AY157)),INDIRECT(CONCATENATE("'",$AW157,$AX$150,":",$AY$150)),Z$92)</f>
        <v>-1830</v>
      </c>
      <c r="AA157" s="861">
        <f ca="1">+SUM(W157:Z157)</f>
        <v>-5207</v>
      </c>
      <c r="AB157" s="841">
        <f ca="1">+SUMIFS(INDIRECT(CONCATENATE("'",$AW157,$AX157,":",$AY157)),INDIRECT(CONCATENATE("'",$AW157,$AX$150,":",$AY$150)),AB$92)</f>
        <v>-2924</v>
      </c>
      <c r="AC157" s="841">
        <f ca="1">+SUMIFS(INDIRECT(CONCATENATE("'",$AW157,$AX157,":",$AY157)),INDIRECT(CONCATENATE("'",$AW157,$AX$150,":",$AY$150)),AC$92)</f>
        <v>-3073</v>
      </c>
      <c r="AD157" s="841">
        <f ca="1">+SUMIFS(INDIRECT(CONCATENATE("'",$AW157,$AX157,":",$AY157)),INDIRECT(CONCATENATE("'",$AW157,$AX$150,":",$AY$150)),AD$92)</f>
        <v>-2342</v>
      </c>
      <c r="AE157" s="841">
        <f ca="1">+SUMIFS(INDIRECT(CONCATENATE("'",$AW157,$AX157,":",$AY157)),INDIRECT(CONCATENATE("'",$AW157,$AX$150,":",$AY$150)),AE$92)</f>
        <v>-2466</v>
      </c>
      <c r="AF157" s="861">
        <f ca="1">+SUM(AB157:AE157)</f>
        <v>-10805</v>
      </c>
      <c r="AG157" s="841">
        <f ca="1">+SUMIFS(INDIRECT(CONCATENATE("'",$AW157,$AX157,":",$AY157)),INDIRECT(CONCATENATE("'",$AW157,$AX$150,":",$AY$150)),AG$92)</f>
        <v>-4055</v>
      </c>
      <c r="AH157" s="841">
        <f ca="1">+SUMIFS(INDIRECT(CONCATENATE("'",$AW157,$AX157,":",$AY157)),INDIRECT(CONCATENATE("'",$AW157,$AX$150,":",$AY$150)),AH$92)</f>
        <v>-3542</v>
      </c>
      <c r="AI157" s="841">
        <f ca="1">+SUMIFS(INDIRECT(CONCATENATE("'",$AW157,$AX157,":",$AY157)),INDIRECT(CONCATENATE("'",$AW157,$AX$150,":",$AY$150)),AI$92)</f>
        <v>-5260</v>
      </c>
      <c r="AJ157" s="841">
        <f ca="1">+SUMIFS(INDIRECT(CONCATENATE("'",$AW157,$AX157,":",$AY157)),INDIRECT(CONCATENATE("'",$AW157,$AX$150,":",$AY$150)),AJ$92)</f>
        <v>-3387</v>
      </c>
      <c r="AK157" s="861">
        <f ca="1">+SUM(AG157:AJ157)</f>
        <v>-16244</v>
      </c>
      <c r="AL157" s="841">
        <f ca="1">+SUMIFS(INDIRECT(CONCATENATE("'",$AW157,$AX157,":",$AY157)),INDIRECT(CONCATENATE("'",$AW157,$AX$150,":",$AY$150)),AL$92)</f>
        <v>-6698</v>
      </c>
      <c r="AM157" s="841">
        <f ca="1">+SUMIFS(INDIRECT(CONCATENATE("'",$AW157,$AX157,":",$AY157)),INDIRECT(CONCATENATE("'",$AW157,$AX$150,":",$AY$150)),AM$92)</f>
        <v>-10011</v>
      </c>
      <c r="AN157" s="841">
        <f ca="1">+SUMIFS(INDIRECT(CONCATENATE("'",$AW157,$AX157,":",$AY157)),INDIRECT(CONCATENATE("'",$AW157,$AX$150,":",$AY$150)),AN$92)</f>
        <v>-7933</v>
      </c>
      <c r="AO157" s="841">
        <f ca="1">+SUMIFS(INDIRECT(CONCATENATE("'",$AW157,$AX157,":",$AY157)),INDIRECT(CONCATENATE("'",$AW157,$AX$150,":",$AY$150)),AO$92)</f>
        <v>-6062</v>
      </c>
      <c r="AP157" s="861">
        <f ca="1">+SUM(AL157:AO157)</f>
        <v>-30704</v>
      </c>
      <c r="AQ157" s="841">
        <f ca="1">+SUMIFS(INDIRECT(CONCATENATE("'",$AW157,$AX157,":",$AY157)),INDIRECT(CONCATENATE("'",$AW157,$AX$150,":",$AY$150)),AQ$92)</f>
        <v>-7638</v>
      </c>
      <c r="AR157" s="841">
        <f ca="1">+SUMIFS(INDIRECT(CONCATENATE("'",$AW157,$AX157,":",$AY157)),INDIRECT(CONCATENATE("'",$AW157,$AX$150,":",$AY$150)),AR$92)</f>
        <v>-10182</v>
      </c>
      <c r="AS157" s="841">
        <f ca="1">+SUMIFS(INDIRECT(CONCATENATE("'",$AW157,$AX157,":",$AY157)),INDIRECT(CONCATENATE("'",$AW157,$AX$150,":",$AY$150)),AS$92)</f>
        <v>-8804</v>
      </c>
      <c r="AT157" s="841">
        <f ca="1">+SUMIFS(INDIRECT(CONCATENATE("'",$AW157,$AX157,":",$AY157)),INDIRECT(CONCATENATE("'",$AW157,$AX$150,":",$AY$150)),AT$92)</f>
        <v>-2302</v>
      </c>
      <c r="AU157" s="861">
        <f ca="1">+SUM(AQ157:AT157)</f>
        <v>-28926</v>
      </c>
      <c r="AV157" s="841">
        <f ca="1">+SUMIFS(INDIRECT(CONCATENATE("'",$AW157,$AX157,":",$AY157)),INDIRECT(CONCATENATE("'",$AW157,$AX$150,":",$AY$150)),AV$92)</f>
        <v>-1598</v>
      </c>
      <c r="AW157" s="267" t="s">
        <v>960</v>
      </c>
      <c r="AX157" s="1148" t="s">
        <v>962</v>
      </c>
      <c r="AY157" s="1148" t="s">
        <v>962</v>
      </c>
      <c r="AZ157" s="1148"/>
      <c r="BA157" s="1148" t="s">
        <v>961</v>
      </c>
      <c r="BB157" s="1148" t="s">
        <v>960</v>
      </c>
      <c r="BC157" s="1148"/>
      <c r="BD157" s="1148" t="s">
        <v>961</v>
      </c>
      <c r="BE157" s="1148" t="s">
        <v>960</v>
      </c>
      <c r="BK157" s="267"/>
      <c r="BL157" s="267"/>
      <c r="BM157" s="267"/>
      <c r="BN157" s="267"/>
      <c r="BO157" s="267"/>
      <c r="BP157" s="267"/>
      <c r="BQ157" s="267"/>
      <c r="BR157" s="267"/>
      <c r="BS157" s="267"/>
      <c r="BT157" s="267"/>
      <c r="BU157" s="267"/>
      <c r="BV157" s="267"/>
      <c r="BW157" s="267"/>
      <c r="BX157" s="267"/>
      <c r="BY157" s="267"/>
      <c r="BZ157" s="267"/>
      <c r="CA157" s="267"/>
      <c r="CB157" s="267"/>
      <c r="CC157" s="267"/>
      <c r="CD157" s="267"/>
      <c r="CE157" s="267"/>
      <c r="CF157" s="267"/>
      <c r="CG157" s="267"/>
    </row>
    <row r="158" spans="1:85" s="835" customFormat="1" ht="13.5" customHeight="1" x14ac:dyDescent="0.2">
      <c r="A158" s="840"/>
      <c r="B158" s="845" t="s">
        <v>963</v>
      </c>
      <c r="C158" s="38" t="s">
        <v>160</v>
      </c>
      <c r="D158" s="38" t="s">
        <v>160</v>
      </c>
      <c r="E158" s="38" t="s">
        <v>160</v>
      </c>
      <c r="F158" s="38" t="s">
        <v>160</v>
      </c>
      <c r="G158" s="860" t="s">
        <v>160</v>
      </c>
      <c r="H158" s="859">
        <f t="shared" ref="H158:S158" ca="1" si="190">+H157/SUM(H151,H153,H155)</f>
        <v>-4.2304230423042301E-2</v>
      </c>
      <c r="I158" s="859">
        <f t="shared" ca="1" si="190"/>
        <v>-0.37450722733245728</v>
      </c>
      <c r="J158" s="859">
        <f t="shared" ca="1" si="190"/>
        <v>-0.33750000000000002</v>
      </c>
      <c r="K158" s="859">
        <f t="shared" ca="1" si="190"/>
        <v>0.11708860759493671</v>
      </c>
      <c r="L158" s="846">
        <f t="shared" ca="1" si="190"/>
        <v>1.09375</v>
      </c>
      <c r="M158" s="859">
        <f t="shared" ca="1" si="190"/>
        <v>-0.28512053200332504</v>
      </c>
      <c r="N158" s="859">
        <f t="shared" ca="1" si="190"/>
        <v>-0.33299311048736951</v>
      </c>
      <c r="O158" s="859">
        <f t="shared" ca="1" si="190"/>
        <v>-0.32952932815897323</v>
      </c>
      <c r="P158" s="859">
        <f t="shared" ca="1" si="190"/>
        <v>-0.33251112815373207</v>
      </c>
      <c r="Q158" s="846">
        <f t="shared" ca="1" si="190"/>
        <v>-0.33752495009980038</v>
      </c>
      <c r="R158" s="859">
        <f t="shared" ca="1" si="190"/>
        <v>-0.33964817320703655</v>
      </c>
      <c r="S158" s="859">
        <f t="shared" ca="1" si="190"/>
        <v>-0.33449758194519075</v>
      </c>
      <c r="T158" s="859">
        <f t="shared" ref="T158:Y158" ca="1" si="191">+T157/SUM(T151,T153,T155)</f>
        <v>-0.26870359794403198</v>
      </c>
      <c r="U158" s="859">
        <f t="shared" ca="1" si="191"/>
        <v>-5.6105610561056105E-2</v>
      </c>
      <c r="V158" s="846">
        <f t="shared" ca="1" si="191"/>
        <v>-0.31546369557026749</v>
      </c>
      <c r="W158" s="859">
        <f t="shared" ca="1" si="191"/>
        <v>-0.1496881496881497</v>
      </c>
      <c r="X158" s="859">
        <f t="shared" ca="1" si="191"/>
        <v>-0.26228245803172645</v>
      </c>
      <c r="Y158" s="859">
        <f t="shared" ca="1" si="191"/>
        <v>-0.27176470588235296</v>
      </c>
      <c r="Z158" s="859">
        <f t="shared" ref="Z158:AF158" ca="1" si="192">+Z157/SUM(Z151,Z153,Z155)</f>
        <v>-0.36251980982567356</v>
      </c>
      <c r="AA158" s="846">
        <f t="shared" ca="1" si="192"/>
        <v>-0.2804740102343119</v>
      </c>
      <c r="AB158" s="859">
        <f t="shared" ca="1" si="192"/>
        <v>-0.32861317149921332</v>
      </c>
      <c r="AC158" s="859">
        <f t="shared" ca="1" si="192"/>
        <v>-0.34042317491968538</v>
      </c>
      <c r="AD158" s="859">
        <f t="shared" ca="1" si="192"/>
        <v>-0.33314366998577527</v>
      </c>
      <c r="AE158" s="859">
        <f t="shared" ca="1" si="192"/>
        <v>-0.33238980994743228</v>
      </c>
      <c r="AF158" s="846">
        <f t="shared" ca="1" si="192"/>
        <v>-0.33375548279483536</v>
      </c>
      <c r="AG158" s="859">
        <f t="shared" ref="AG158:AM158" ca="1" si="193">+AG157/SUM(AG151,AG153,AG155)</f>
        <v>-0.33484723369116431</v>
      </c>
      <c r="AH158" s="859">
        <f t="shared" ca="1" si="193"/>
        <v>-0.34800550206327374</v>
      </c>
      <c r="AI158" s="859">
        <f t="shared" ca="1" si="193"/>
        <v>-0.33633864057804208</v>
      </c>
      <c r="AJ158" s="859">
        <f t="shared" ca="1" si="193"/>
        <v>-0.27325534489713593</v>
      </c>
      <c r="AK158" s="846">
        <f t="shared" ca="1" si="193"/>
        <v>-0.32280116052621122</v>
      </c>
      <c r="AL158" s="859">
        <f t="shared" ca="1" si="193"/>
        <v>-0.33525201461534609</v>
      </c>
      <c r="AM158" s="859">
        <f t="shared" ca="1" si="193"/>
        <v>-0.34276029718903001</v>
      </c>
      <c r="AN158" s="859">
        <f t="shared" ref="AN158:AV158" ca="1" si="194">+AN157/SUM(AN151,AN153,AN155)</f>
        <v>-0.33685774946921443</v>
      </c>
      <c r="AO158" s="859">
        <f t="shared" ca="1" si="194"/>
        <v>-0.32658118737205044</v>
      </c>
      <c r="AP158" s="846">
        <f t="shared" ca="1" si="194"/>
        <v>-0.33630528598654952</v>
      </c>
      <c r="AQ158" s="859">
        <f t="shared" ca="1" si="194"/>
        <v>-0.36274696048632221</v>
      </c>
      <c r="AR158" s="859">
        <f t="shared" ca="1" si="194"/>
        <v>-0.35302683586436445</v>
      </c>
      <c r="AS158" s="859">
        <f t="shared" ca="1" si="194"/>
        <v>-0.36191729014223467</v>
      </c>
      <c r="AT158" s="859">
        <f t="shared" ca="1" si="194"/>
        <v>-0.20753696357735305</v>
      </c>
      <c r="AU158" s="846">
        <f t="shared" ca="1" si="194"/>
        <v>-0.33904543110319285</v>
      </c>
      <c r="AV158" s="859">
        <f t="shared" ca="1" si="194"/>
        <v>-0.34043459735832976</v>
      </c>
      <c r="AW158" s="836"/>
      <c r="AX158" s="836"/>
      <c r="AY158" s="836"/>
      <c r="AZ158" s="836"/>
      <c r="BA158" s="836"/>
      <c r="BB158" s="836"/>
      <c r="BC158" s="836"/>
      <c r="BD158" s="836"/>
      <c r="BE158" s="836"/>
      <c r="BH158" s="836"/>
      <c r="BI158" s="836"/>
      <c r="BJ158" s="836"/>
      <c r="BK158" s="836"/>
      <c r="BL158" s="836"/>
      <c r="BM158" s="836"/>
      <c r="BN158" s="836"/>
      <c r="BO158" s="836"/>
      <c r="BP158" s="836"/>
      <c r="BQ158" s="836"/>
      <c r="BR158" s="836"/>
      <c r="BS158" s="836"/>
      <c r="BT158" s="836"/>
      <c r="BU158" s="836"/>
      <c r="BV158" s="836"/>
      <c r="BW158" s="836"/>
      <c r="BX158" s="836"/>
      <c r="BY158" s="836"/>
      <c r="BZ158" s="836"/>
      <c r="CA158" s="836"/>
      <c r="CB158" s="836"/>
      <c r="CC158" s="836"/>
      <c r="CD158" s="836"/>
      <c r="CE158" s="836"/>
      <c r="CF158" s="836"/>
      <c r="CG158" s="836"/>
    </row>
    <row r="159" spans="1:85" ht="13.5" customHeight="1" x14ac:dyDescent="0.2">
      <c r="B159" s="857" t="s">
        <v>246</v>
      </c>
      <c r="C159" s="1179" t="s">
        <v>160</v>
      </c>
      <c r="D159" s="1179" t="s">
        <v>160</v>
      </c>
      <c r="E159" s="1179" t="s">
        <v>160</v>
      </c>
      <c r="F159" s="1179" t="s">
        <v>160</v>
      </c>
      <c r="G159" s="855" t="s">
        <v>160</v>
      </c>
      <c r="H159" s="856">
        <f ca="1">+SUM(H157,H155,H153,H151)</f>
        <v>-1064</v>
      </c>
      <c r="I159" s="856">
        <f ca="1">+SUM(I157,I155,I153,I151)</f>
        <v>-476</v>
      </c>
      <c r="J159" s="856">
        <f ca="1">+SUM(J157,J155,J153,J151)</f>
        <v>530</v>
      </c>
      <c r="K159" s="856">
        <f ca="1">+SUM(K157,K155,K153,K151)</f>
        <v>1412</v>
      </c>
      <c r="L159" s="855">
        <f ca="1">+SUM(H159:K159)</f>
        <v>402</v>
      </c>
      <c r="M159" s="856">
        <f ca="1">+SUM(M157,M155,M153,M151)</f>
        <v>-860</v>
      </c>
      <c r="N159" s="856">
        <f ca="1">+SUM(N157,N155,N153,N151)</f>
        <v>1045.5999999999985</v>
      </c>
      <c r="O159" s="856">
        <f ca="1">+SUM(O157,O155,O153,O151)</f>
        <v>1692.6915088385977</v>
      </c>
      <c r="P159" s="856">
        <f ca="1">+SUM(P157,P155,P153,P151)</f>
        <v>4759.7084911614038</v>
      </c>
      <c r="Q159" s="855">
        <f ca="1">+SUM(M159:P159)</f>
        <v>6638</v>
      </c>
      <c r="R159" s="856">
        <f ca="1">+SUM(R157,R155,R153,R151)</f>
        <v>2928</v>
      </c>
      <c r="S159" s="856">
        <f ca="1">+SUM(S157,S155,S153,S151)</f>
        <v>4954</v>
      </c>
      <c r="T159" s="856">
        <f ca="1">+SUM(T157,T155,T153,T151)</f>
        <v>5122</v>
      </c>
      <c r="U159" s="856">
        <f ca="1">+SUM(U157,U155,U153,U151)</f>
        <v>-286</v>
      </c>
      <c r="V159" s="855">
        <f ca="1">+SUM(R159:U159)</f>
        <v>12718</v>
      </c>
      <c r="W159" s="856">
        <f ca="1">+SUM(W157,W155,W153,W151)</f>
        <v>1636</v>
      </c>
      <c r="X159" s="856">
        <f ca="1">+SUM(X157,X155,X153,X151)</f>
        <v>4790</v>
      </c>
      <c r="Y159" s="856">
        <f ca="1">+SUM(Y157,Y155,Y153,Y151)</f>
        <v>3714</v>
      </c>
      <c r="Z159" s="856">
        <f ca="1">+SUM(Z157,Z155,Z153,Z151)</f>
        <v>3218</v>
      </c>
      <c r="AA159" s="855">
        <f ca="1">+SUM(W159:Z159)</f>
        <v>13358</v>
      </c>
      <c r="AB159" s="856">
        <f ca="1">+SUM(AB157,AB155,AB153,AB151)</f>
        <v>5974</v>
      </c>
      <c r="AC159" s="856">
        <f ca="1">+SUM(AC157,AC155,AC153,AC151)</f>
        <v>5954</v>
      </c>
      <c r="AD159" s="856">
        <f ca="1">+SUM(AD157,AD155,AD153,AD151)</f>
        <v>4688</v>
      </c>
      <c r="AE159" s="856">
        <f ca="1">+SUM(AE157,AE155,AE153,AE151)</f>
        <v>4953</v>
      </c>
      <c r="AF159" s="855">
        <f ca="1">+SUM(AB159:AE159)</f>
        <v>21569</v>
      </c>
      <c r="AG159" s="856">
        <f ca="1">+SUM(AG157,AG155,AG153,AG151)</f>
        <v>8055</v>
      </c>
      <c r="AH159" s="856">
        <f ca="1">+SUM(AH157,AH155,AH153,AH151)</f>
        <v>6636</v>
      </c>
      <c r="AI159" s="856">
        <f ca="1">+SUM(AI157,AI155,AI153,AI151)</f>
        <v>10379</v>
      </c>
      <c r="AJ159" s="856">
        <f ca="1">+SUM(AJ157,AJ155,AJ153,AJ151)</f>
        <v>9008</v>
      </c>
      <c r="AK159" s="855">
        <f ca="1">+SUM(AG159:AJ159)</f>
        <v>34078</v>
      </c>
      <c r="AL159" s="856">
        <f ca="1">+SUM(AL157,AL155,AL153,AL151)</f>
        <v>13281</v>
      </c>
      <c r="AM159" s="856">
        <f ca="1">+SUM(AM157,AM155,AM153,AM151)</f>
        <v>19196</v>
      </c>
      <c r="AN159" s="856">
        <f ca="1">+SUM(AN157,AN155,AN153,AN151)</f>
        <v>15617</v>
      </c>
      <c r="AO159" s="856">
        <f ca="1">+SUM(AO157,AO155,AO153,AO151)</f>
        <v>12500</v>
      </c>
      <c r="AP159" s="855">
        <f ca="1">+SUM(AL159:AO159)</f>
        <v>60594</v>
      </c>
      <c r="AQ159" s="856">
        <f ca="1">+SUM(AQ157,AQ155,AQ153,AQ151)</f>
        <v>13418</v>
      </c>
      <c r="AR159" s="856">
        <f ca="1">+SUM(AR157,AR155,AR153,AR151)</f>
        <v>18660</v>
      </c>
      <c r="AS159" s="856">
        <f ca="1">+SUM(AS157,AS155,AS153,AS151)</f>
        <v>15522</v>
      </c>
      <c r="AT159" s="856">
        <f ca="1">+SUM(AT157,AT155,AT153,AT151)</f>
        <v>8790</v>
      </c>
      <c r="AU159" s="855">
        <f ca="1">+SUM(AQ159:AT159)</f>
        <v>56390</v>
      </c>
      <c r="AV159" s="856">
        <f ca="1">+SUM(AV157,AV155,AV153,AV151)</f>
        <v>3096</v>
      </c>
      <c r="BK159" s="267"/>
      <c r="BL159" s="267"/>
      <c r="BM159" s="267"/>
      <c r="BN159" s="267"/>
      <c r="BO159" s="267"/>
      <c r="BP159" s="267"/>
      <c r="BQ159" s="267"/>
      <c r="BR159" s="267"/>
      <c r="BS159" s="267"/>
      <c r="BT159" s="267"/>
      <c r="BU159" s="267"/>
      <c r="BV159" s="267"/>
      <c r="BW159" s="267"/>
      <c r="BX159" s="267"/>
      <c r="BY159" s="267"/>
      <c r="BZ159" s="267"/>
      <c r="CA159" s="267"/>
      <c r="CB159" s="267"/>
      <c r="CC159" s="267"/>
      <c r="CD159" s="267"/>
      <c r="CE159" s="267"/>
      <c r="CF159" s="267"/>
      <c r="CG159" s="267"/>
    </row>
    <row r="160" spans="1:85" ht="13.5" customHeight="1" x14ac:dyDescent="0.2">
      <c r="BK160" s="267"/>
      <c r="BL160" s="267"/>
      <c r="BM160" s="267"/>
      <c r="BN160" s="267"/>
      <c r="BO160" s="267"/>
      <c r="BP160" s="267"/>
      <c r="BQ160" s="267"/>
      <c r="BR160" s="267"/>
      <c r="BS160" s="267"/>
      <c r="BT160" s="267"/>
      <c r="BU160" s="267"/>
      <c r="BV160" s="267"/>
      <c r="BW160" s="267"/>
      <c r="BX160" s="267"/>
      <c r="BY160" s="267"/>
      <c r="BZ160" s="267"/>
      <c r="CA160" s="267"/>
      <c r="CB160" s="267"/>
      <c r="CC160" s="267"/>
      <c r="CD160" s="267"/>
      <c r="CE160" s="267"/>
      <c r="CF160" s="267"/>
      <c r="CG160" s="267"/>
    </row>
    <row r="161" spans="1:85" ht="13.5" customHeight="1" x14ac:dyDescent="0.2">
      <c r="B161" s="852" t="s">
        <v>959</v>
      </c>
      <c r="C161" s="851" t="str">
        <f t="shared" ref="C161:AK161" si="195">C5</f>
        <v>1T17</v>
      </c>
      <c r="D161" s="851" t="str">
        <f t="shared" si="195"/>
        <v>2T17</v>
      </c>
      <c r="E161" s="851" t="str">
        <f t="shared" si="195"/>
        <v>3T17</v>
      </c>
      <c r="F161" s="851" t="str">
        <f t="shared" si="195"/>
        <v>4T17</v>
      </c>
      <c r="G161" s="851" t="str">
        <f t="shared" si="195"/>
        <v>2017</v>
      </c>
      <c r="H161" s="851" t="str">
        <f t="shared" si="195"/>
        <v>1T18</v>
      </c>
      <c r="I161" s="851" t="str">
        <f t="shared" si="195"/>
        <v>2T18</v>
      </c>
      <c r="J161" s="851" t="str">
        <f t="shared" si="195"/>
        <v>3T18</v>
      </c>
      <c r="K161" s="851" t="str">
        <f t="shared" si="195"/>
        <v>4T18</v>
      </c>
      <c r="L161" s="851" t="str">
        <f t="shared" si="195"/>
        <v>2018</v>
      </c>
      <c r="M161" s="851" t="str">
        <f t="shared" si="195"/>
        <v>1T19</v>
      </c>
      <c r="N161" s="851" t="str">
        <f t="shared" si="195"/>
        <v>2T19</v>
      </c>
      <c r="O161" s="851" t="str">
        <f t="shared" si="195"/>
        <v>3T19</v>
      </c>
      <c r="P161" s="851" t="str">
        <f t="shared" si="195"/>
        <v>4T19</v>
      </c>
      <c r="Q161" s="851" t="str">
        <f t="shared" si="195"/>
        <v>2019</v>
      </c>
      <c r="R161" s="851" t="str">
        <f t="shared" si="195"/>
        <v>1T20</v>
      </c>
      <c r="S161" s="851" t="str">
        <f t="shared" si="195"/>
        <v>2T20</v>
      </c>
      <c r="T161" s="851" t="str">
        <f t="shared" si="195"/>
        <v>3T20</v>
      </c>
      <c r="U161" s="851" t="str">
        <f t="shared" si="195"/>
        <v>4T20</v>
      </c>
      <c r="V161" s="851" t="str">
        <f t="shared" si="195"/>
        <v>2020</v>
      </c>
      <c r="W161" s="851" t="str">
        <f t="shared" si="195"/>
        <v>1T21</v>
      </c>
      <c r="X161" s="851" t="str">
        <f t="shared" si="195"/>
        <v>2T21</v>
      </c>
      <c r="Y161" s="851" t="str">
        <f t="shared" si="195"/>
        <v>3T21</v>
      </c>
      <c r="Z161" s="851" t="str">
        <f t="shared" si="195"/>
        <v>4T21</v>
      </c>
      <c r="AA161" s="851" t="str">
        <f t="shared" si="195"/>
        <v>2021</v>
      </c>
      <c r="AB161" s="851" t="str">
        <f t="shared" si="195"/>
        <v>1T22</v>
      </c>
      <c r="AC161" s="851" t="str">
        <f t="shared" si="195"/>
        <v>2T22</v>
      </c>
      <c r="AD161" s="851" t="str">
        <f t="shared" si="195"/>
        <v>3T22</v>
      </c>
      <c r="AE161" s="851" t="str">
        <f t="shared" si="195"/>
        <v>4T22</v>
      </c>
      <c r="AF161" s="851" t="str">
        <f t="shared" si="195"/>
        <v>2022</v>
      </c>
      <c r="AG161" s="851" t="str">
        <f t="shared" si="195"/>
        <v>1T23</v>
      </c>
      <c r="AH161" s="851" t="str">
        <f t="shared" si="195"/>
        <v>2T23</v>
      </c>
      <c r="AI161" s="851" t="str">
        <f t="shared" si="195"/>
        <v>3T23</v>
      </c>
      <c r="AJ161" s="851" t="str">
        <f t="shared" si="195"/>
        <v>4T23</v>
      </c>
      <c r="AK161" s="851" t="str">
        <f t="shared" si="195"/>
        <v>2023</v>
      </c>
      <c r="AL161" s="851" t="str">
        <f>AL5</f>
        <v>1T24</v>
      </c>
      <c r="AM161" s="851" t="str">
        <f>AM5</f>
        <v>2T24</v>
      </c>
      <c r="AN161" s="851" t="str">
        <f>AN5</f>
        <v>3T24</v>
      </c>
      <c r="AO161" s="851" t="str">
        <f>AO5</f>
        <v>4T24</v>
      </c>
      <c r="AP161" s="851" t="str">
        <f>AP5</f>
        <v>2024</v>
      </c>
      <c r="AQ161" s="851" t="str">
        <f t="shared" ref="AQ161:AV161" si="196">AQ5</f>
        <v>1T25</v>
      </c>
      <c r="AR161" s="851" t="str">
        <f t="shared" si="196"/>
        <v>2T25</v>
      </c>
      <c r="AS161" s="851" t="str">
        <f t="shared" si="196"/>
        <v>3T25</v>
      </c>
      <c r="AT161" s="851" t="str">
        <f t="shared" si="196"/>
        <v>4T25</v>
      </c>
      <c r="AU161" s="851" t="str">
        <f t="shared" si="196"/>
        <v>2025</v>
      </c>
      <c r="AV161" s="851" t="str">
        <f t="shared" si="196"/>
        <v>1T26</v>
      </c>
      <c r="BK161" s="267"/>
      <c r="BL161" s="267"/>
      <c r="BM161" s="267"/>
      <c r="BN161" s="267"/>
      <c r="BO161" s="267"/>
      <c r="BP161" s="267"/>
      <c r="BQ161" s="267"/>
      <c r="BR161" s="267"/>
      <c r="BS161" s="267"/>
      <c r="BT161" s="267"/>
      <c r="BU161" s="267"/>
      <c r="BV161" s="267"/>
      <c r="BW161" s="267"/>
      <c r="BX161" s="267"/>
      <c r="BY161" s="267"/>
      <c r="BZ161" s="267"/>
      <c r="CA161" s="267"/>
      <c r="CB161" s="267"/>
      <c r="CC161" s="267"/>
      <c r="CD161" s="267"/>
      <c r="CE161" s="267"/>
      <c r="CF161" s="267"/>
      <c r="CG161" s="267"/>
    </row>
    <row r="162" spans="1:85" ht="13.5" customHeight="1" x14ac:dyDescent="0.2">
      <c r="B162" s="842" t="s">
        <v>958</v>
      </c>
      <c r="C162" s="841">
        <v>597846</v>
      </c>
      <c r="D162" s="841">
        <v>633657</v>
      </c>
      <c r="E162" s="841">
        <v>702748</v>
      </c>
      <c r="F162" s="841">
        <v>699318</v>
      </c>
      <c r="G162" s="637">
        <f>+SUM(C162:F162)</f>
        <v>2633569</v>
      </c>
      <c r="H162" s="841">
        <v>668934</v>
      </c>
      <c r="I162" s="841">
        <v>701967</v>
      </c>
      <c r="J162" s="841">
        <v>724352</v>
      </c>
      <c r="K162" s="841">
        <v>651695</v>
      </c>
      <c r="L162" s="637">
        <f>+SUM(H162:K162)</f>
        <v>2746948</v>
      </c>
      <c r="M162" s="841">
        <v>666970</v>
      </c>
      <c r="N162" s="841">
        <v>737875</v>
      </c>
      <c r="O162" s="841">
        <v>744430</v>
      </c>
      <c r="P162" s="841">
        <v>654566</v>
      </c>
      <c r="Q162" s="637">
        <f>+SUM(M162:P162)</f>
        <v>2803841</v>
      </c>
      <c r="R162" s="841">
        <v>555215</v>
      </c>
      <c r="S162" s="841">
        <v>130342</v>
      </c>
      <c r="T162" s="841">
        <v>572575</v>
      </c>
      <c r="U162" s="841">
        <v>646582</v>
      </c>
      <c r="V162" s="637">
        <f>+SUM(R162:U162)</f>
        <v>1904714</v>
      </c>
      <c r="W162" s="841">
        <v>559515</v>
      </c>
      <c r="X162" s="841">
        <v>504509</v>
      </c>
      <c r="Y162" s="841">
        <v>455752</v>
      </c>
      <c r="Z162" s="841">
        <v>550786</v>
      </c>
      <c r="AA162" s="637">
        <f>+SUM(W162:Z162)</f>
        <v>2070562</v>
      </c>
      <c r="AB162" s="841">
        <v>456053</v>
      </c>
      <c r="AC162" s="841">
        <v>550533</v>
      </c>
      <c r="AD162" s="841">
        <v>609277</v>
      </c>
      <c r="AE162" s="841">
        <v>560316</v>
      </c>
      <c r="AF162" s="637">
        <f>+SUM(AB162:AE162)</f>
        <v>2176179</v>
      </c>
      <c r="AG162" s="841">
        <v>507507</v>
      </c>
      <c r="AH162" s="841">
        <v>567749</v>
      </c>
      <c r="AI162" s="841">
        <v>588451</v>
      </c>
      <c r="AJ162" s="841">
        <v>538420</v>
      </c>
      <c r="AK162" s="637">
        <f>+SUM(AG162:AJ162)</f>
        <v>2202127</v>
      </c>
      <c r="AL162" s="841">
        <v>502182</v>
      </c>
      <c r="AM162" s="841">
        <v>556640</v>
      </c>
      <c r="AN162" s="841">
        <v>691574</v>
      </c>
      <c r="AO162" s="841">
        <v>630198</v>
      </c>
      <c r="AP162" s="637">
        <f>+SUM(AL162:AO162)</f>
        <v>2380594</v>
      </c>
      <c r="AQ162" s="841">
        <v>559918</v>
      </c>
      <c r="AR162" s="841">
        <v>619609</v>
      </c>
      <c r="AS162" s="841">
        <v>690563</v>
      </c>
      <c r="AT162" s="841">
        <v>621657</v>
      </c>
      <c r="AU162" s="637">
        <f>+SUM(AQ162:AT162)</f>
        <v>2491747</v>
      </c>
      <c r="AV162" s="841">
        <v>601329</v>
      </c>
      <c r="AW162" s="1146"/>
      <c r="AX162" s="1146">
        <v>20</v>
      </c>
      <c r="BK162" s="267"/>
      <c r="BL162" s="267"/>
      <c r="BM162" s="267"/>
      <c r="BN162" s="267"/>
      <c r="BO162" s="267"/>
      <c r="BP162" s="267"/>
      <c r="BQ162" s="267"/>
      <c r="BR162" s="267"/>
      <c r="BS162" s="267"/>
      <c r="BT162" s="267"/>
      <c r="BU162" s="267"/>
      <c r="BV162" s="267"/>
      <c r="BW162" s="267"/>
      <c r="BX162" s="267"/>
      <c r="BY162" s="267"/>
      <c r="BZ162" s="267"/>
      <c r="CA162" s="267"/>
      <c r="CB162" s="267"/>
      <c r="CC162" s="267"/>
      <c r="CD162" s="267"/>
      <c r="CE162" s="267"/>
      <c r="CF162" s="267"/>
      <c r="CG162" s="267"/>
    </row>
    <row r="163" spans="1:85" s="835" customFormat="1" ht="13.5" customHeight="1" x14ac:dyDescent="0.2">
      <c r="A163" s="840"/>
      <c r="B163" s="845" t="s">
        <v>954</v>
      </c>
      <c r="C163" s="844" t="s">
        <v>160</v>
      </c>
      <c r="D163" s="844" t="s">
        <v>160</v>
      </c>
      <c r="E163" s="844" t="s">
        <v>160</v>
      </c>
      <c r="F163" s="844" t="s">
        <v>160</v>
      </c>
      <c r="G163" s="843" t="s">
        <v>160</v>
      </c>
      <c r="H163" s="844">
        <f>H162/C162-1</f>
        <v>0.11890687568370439</v>
      </c>
      <c r="I163" s="844">
        <f>I162/D162-1</f>
        <v>0.10780280183127466</v>
      </c>
      <c r="J163" s="844">
        <f>J162/E162-1</f>
        <v>3.0742172158440884E-2</v>
      </c>
      <c r="K163" s="844">
        <f>K162/F162-1</f>
        <v>-6.8099205225662707E-2</v>
      </c>
      <c r="L163" s="843">
        <f>+L162/G162-1</f>
        <v>4.3051463622179709E-2</v>
      </c>
      <c r="M163" s="844">
        <f>M162/H162-1</f>
        <v>-2.9360146142968224E-3</v>
      </c>
      <c r="N163" s="844">
        <f>N162/I162-1</f>
        <v>5.1153401798090137E-2</v>
      </c>
      <c r="O163" s="844">
        <f>O162/J162-1</f>
        <v>2.7718567768156843E-2</v>
      </c>
      <c r="P163" s="844">
        <f>P162/K162-1</f>
        <v>4.4054350578108803E-3</v>
      </c>
      <c r="Q163" s="843">
        <f>+Q162/L162-1</f>
        <v>2.0711349468573781E-2</v>
      </c>
      <c r="R163" s="844">
        <f>R162/M162-1</f>
        <v>-0.16755626190083517</v>
      </c>
      <c r="S163" s="844">
        <f>S162/N162-1</f>
        <v>-0.82335490428595626</v>
      </c>
      <c r="T163" s="844">
        <f>T162/O162-1</f>
        <v>-0.23085447926601566</v>
      </c>
      <c r="U163" s="844">
        <f>U162/P162-1</f>
        <v>-1.2197394915104076E-2</v>
      </c>
      <c r="V163" s="843">
        <f>+V162/Q162-1</f>
        <v>-0.32067688574352116</v>
      </c>
      <c r="W163" s="844">
        <f>W162/R162-1</f>
        <v>7.7447475302361291E-3</v>
      </c>
      <c r="X163" s="844">
        <f>X162/S162-1</f>
        <v>2.8706556597259518</v>
      </c>
      <c r="Y163" s="844">
        <f>Y162/T162-1</f>
        <v>-0.2040309129808322</v>
      </c>
      <c r="Z163" s="844">
        <f>Z162/U162-1</f>
        <v>-0.14815754227615363</v>
      </c>
      <c r="AA163" s="843">
        <f>+AA162/V162-1</f>
        <v>8.7072389870605171E-2</v>
      </c>
      <c r="AB163" s="844">
        <f>AB162/W162-1</f>
        <v>-0.18491371991814343</v>
      </c>
      <c r="AC163" s="844">
        <f>AC162/X162-1</f>
        <v>9.122532997429178E-2</v>
      </c>
      <c r="AD163" s="844">
        <f>AD162/Y162-1</f>
        <v>0.33686083659534138</v>
      </c>
      <c r="AE163" s="844">
        <f>AE162/Z162-1</f>
        <v>1.7302545816342496E-2</v>
      </c>
      <c r="AF163" s="843">
        <f>+AF162/AA162-1</f>
        <v>5.1008856532670732E-2</v>
      </c>
      <c r="AG163" s="844">
        <f>AG162/AB162-1</f>
        <v>0.11282460591203214</v>
      </c>
      <c r="AH163" s="844">
        <f>AH162/AC162-1</f>
        <v>3.127151324262134E-2</v>
      </c>
      <c r="AI163" s="844">
        <f>AI162/AD162-1</f>
        <v>-3.4181497085890356E-2</v>
      </c>
      <c r="AJ163" s="844">
        <f>AJ162/AE162-1</f>
        <v>-3.9077948871708124E-2</v>
      </c>
      <c r="AK163" s="843">
        <f>+AK162/AF162-1</f>
        <v>1.1923651501094312E-2</v>
      </c>
      <c r="AL163" s="844">
        <f>AL162/AG162-1</f>
        <v>-1.0492466113767862E-2</v>
      </c>
      <c r="AM163" s="844">
        <f>AM162/AH162-1</f>
        <v>-1.9566745163795973E-2</v>
      </c>
      <c r="AN163" s="844">
        <f>AN162/AI162-1</f>
        <v>0.17524483771800892</v>
      </c>
      <c r="AO163" s="844">
        <f>AO162/AJ162-1</f>
        <v>0.17045800676052147</v>
      </c>
      <c r="AP163" s="843">
        <f>+AP162/AK162-1</f>
        <v>8.1043009780997988E-2</v>
      </c>
      <c r="AQ163" s="844">
        <f>AQ162/AL162-1</f>
        <v>0.1149702697428423</v>
      </c>
      <c r="AR163" s="844">
        <f>AR162/AM162-1</f>
        <v>0.11312338315607939</v>
      </c>
      <c r="AS163" s="844">
        <f>AS162/AN162-1</f>
        <v>-1.4618826040307953E-3</v>
      </c>
      <c r="AT163" s="844">
        <f>AT162/AO162-1</f>
        <v>-1.3552883379509328E-2</v>
      </c>
      <c r="AU163" s="843">
        <f>+AU162/AP162-1</f>
        <v>4.6691287972665751E-2</v>
      </c>
      <c r="AV163" s="844">
        <f>AV162/AQ162-1</f>
        <v>7.3959044002871899E-2</v>
      </c>
      <c r="AW163" s="964">
        <v>13</v>
      </c>
      <c r="AX163" s="964"/>
      <c r="AY163" s="836"/>
      <c r="AZ163" s="836"/>
      <c r="BA163" s="836"/>
      <c r="BB163" s="836"/>
      <c r="BC163" s="836"/>
      <c r="BD163" s="836"/>
      <c r="BE163" s="836"/>
      <c r="BH163" s="836"/>
      <c r="BI163" s="836"/>
      <c r="BJ163" s="836"/>
      <c r="BK163" s="836"/>
      <c r="BL163" s="836"/>
      <c r="BM163" s="836"/>
      <c r="BN163" s="836"/>
      <c r="BO163" s="836"/>
      <c r="BP163" s="836"/>
      <c r="BQ163" s="836"/>
      <c r="BR163" s="836"/>
      <c r="BS163" s="836"/>
      <c r="BT163" s="836"/>
      <c r="BU163" s="836"/>
      <c r="BV163" s="836"/>
      <c r="BW163" s="836"/>
      <c r="BX163" s="836"/>
      <c r="BY163" s="836"/>
      <c r="BZ163" s="836"/>
      <c r="CA163" s="836"/>
      <c r="CB163" s="836"/>
      <c r="CC163" s="836"/>
      <c r="CD163" s="836"/>
      <c r="CE163" s="836"/>
      <c r="CF163" s="836"/>
      <c r="CG163" s="836"/>
    </row>
    <row r="164" spans="1:85" ht="13.5" customHeight="1" x14ac:dyDescent="0.2">
      <c r="B164" s="842" t="s">
        <v>957</v>
      </c>
      <c r="C164" s="841">
        <v>51686</v>
      </c>
      <c r="D164" s="841">
        <v>58769</v>
      </c>
      <c r="E164" s="841">
        <v>64108</v>
      </c>
      <c r="F164" s="841">
        <v>67762</v>
      </c>
      <c r="G164" s="637">
        <f>+SUM(C164:F164)</f>
        <v>242325</v>
      </c>
      <c r="H164" s="841">
        <v>63509</v>
      </c>
      <c r="I164" s="841">
        <v>78841</v>
      </c>
      <c r="J164" s="841">
        <v>83606</v>
      </c>
      <c r="K164" s="841">
        <v>82610</v>
      </c>
      <c r="L164" s="637">
        <f>+SUM(H164:K164)</f>
        <v>308566</v>
      </c>
      <c r="M164" s="841">
        <v>68113</v>
      </c>
      <c r="N164" s="841">
        <v>73690</v>
      </c>
      <c r="O164" s="841">
        <v>75436</v>
      </c>
      <c r="P164" s="841">
        <v>77303</v>
      </c>
      <c r="Q164" s="637">
        <f>+SUM(M164:P164)</f>
        <v>294542</v>
      </c>
      <c r="R164" s="841">
        <v>59648</v>
      </c>
      <c r="S164" s="841">
        <v>34439</v>
      </c>
      <c r="T164" s="841">
        <v>54807</v>
      </c>
      <c r="U164" s="841">
        <v>58789</v>
      </c>
      <c r="V164" s="637">
        <f>+SUM(R164:U164)</f>
        <v>207683</v>
      </c>
      <c r="W164" s="841">
        <v>45886</v>
      </c>
      <c r="X164" s="841">
        <v>59453</v>
      </c>
      <c r="Y164" s="841">
        <v>67681</v>
      </c>
      <c r="Z164" s="841">
        <v>74901</v>
      </c>
      <c r="AA164" s="637">
        <f>+SUM(W164:Z164)</f>
        <v>247921</v>
      </c>
      <c r="AB164" s="841">
        <v>49921</v>
      </c>
      <c r="AC164" s="841">
        <v>67253</v>
      </c>
      <c r="AD164" s="841">
        <v>70029</v>
      </c>
      <c r="AE164" s="841">
        <v>79755</v>
      </c>
      <c r="AF164" s="637">
        <f>+SUM(AB164:AE164)</f>
        <v>266958</v>
      </c>
      <c r="AG164" s="841">
        <v>63203</v>
      </c>
      <c r="AH164" s="841">
        <v>75993</v>
      </c>
      <c r="AI164" s="841">
        <v>91712</v>
      </c>
      <c r="AJ164" s="841">
        <v>113124</v>
      </c>
      <c r="AK164" s="637">
        <f>+SUM(AG164:AJ164)</f>
        <v>344032</v>
      </c>
      <c r="AL164" s="841">
        <v>88726</v>
      </c>
      <c r="AM164" s="841">
        <v>105749</v>
      </c>
      <c r="AN164" s="841">
        <v>122493</v>
      </c>
      <c r="AO164" s="841">
        <v>142405</v>
      </c>
      <c r="AP164" s="637">
        <f>+SUM(AL164:AO164)</f>
        <v>459373</v>
      </c>
      <c r="AQ164" s="841">
        <v>111288</v>
      </c>
      <c r="AR164" s="841">
        <v>113998</v>
      </c>
      <c r="AS164" s="841">
        <v>125904</v>
      </c>
      <c r="AT164" s="841">
        <v>140712</v>
      </c>
      <c r="AU164" s="637">
        <f>+SUM(AQ164:AT164)</f>
        <v>491902</v>
      </c>
      <c r="AV164" s="841">
        <v>118189</v>
      </c>
      <c r="AW164" s="1146"/>
      <c r="AX164" s="1146">
        <v>21</v>
      </c>
      <c r="BK164" s="267"/>
      <c r="BL164" s="267"/>
      <c r="BM164" s="267"/>
      <c r="BN164" s="267"/>
      <c r="BO164" s="267"/>
      <c r="BP164" s="267"/>
      <c r="BQ164" s="267"/>
      <c r="BR164" s="267"/>
      <c r="BS164" s="267"/>
      <c r="BT164" s="267"/>
      <c r="BU164" s="267"/>
      <c r="BV164" s="267"/>
      <c r="BW164" s="267"/>
      <c r="BX164" s="267"/>
      <c r="BY164" s="267"/>
      <c r="BZ164" s="267"/>
      <c r="CA164" s="267"/>
      <c r="CB164" s="267"/>
      <c r="CC164" s="267"/>
      <c r="CD164" s="267"/>
      <c r="CE164" s="267"/>
      <c r="CF164" s="267"/>
      <c r="CG164" s="267"/>
    </row>
    <row r="165" spans="1:85" s="835" customFormat="1" ht="13.5" customHeight="1" x14ac:dyDescent="0.2">
      <c r="A165" s="840"/>
      <c r="B165" s="839" t="s">
        <v>954</v>
      </c>
      <c r="C165" s="838" t="s">
        <v>160</v>
      </c>
      <c r="D165" s="838" t="s">
        <v>160</v>
      </c>
      <c r="E165" s="838" t="s">
        <v>160</v>
      </c>
      <c r="F165" s="838" t="s">
        <v>160</v>
      </c>
      <c r="G165" s="837" t="s">
        <v>160</v>
      </c>
      <c r="H165" s="838">
        <f>H164/C164-1</f>
        <v>0.22874666253917897</v>
      </c>
      <c r="I165" s="838">
        <f>I164/D164-1</f>
        <v>0.34154060814374931</v>
      </c>
      <c r="J165" s="838">
        <f>J164/E164-1</f>
        <v>0.30414300867286448</v>
      </c>
      <c r="K165" s="838">
        <f>K164/F164-1</f>
        <v>0.21911986068888178</v>
      </c>
      <c r="L165" s="837">
        <f>+L164/G164-1</f>
        <v>0.27335603012483234</v>
      </c>
      <c r="M165" s="838">
        <f>M164/H164-1</f>
        <v>7.2493662315577412E-2</v>
      </c>
      <c r="N165" s="838">
        <f>N164/I164-1</f>
        <v>-6.5334026711989956E-2</v>
      </c>
      <c r="O165" s="838">
        <f>O164/J164-1</f>
        <v>-9.772025931153272E-2</v>
      </c>
      <c r="P165" s="838">
        <f>P164/K164-1</f>
        <v>-6.4241617237622561E-2</v>
      </c>
      <c r="Q165" s="837">
        <f>+Q164/L164-1</f>
        <v>-4.5448947712969034E-2</v>
      </c>
      <c r="R165" s="838">
        <f>R164/M164-1</f>
        <v>-0.12427877204057958</v>
      </c>
      <c r="S165" s="838">
        <f>S164/N164-1</f>
        <v>-0.53265029176279</v>
      </c>
      <c r="T165" s="838">
        <f>T164/O164-1</f>
        <v>-0.27346359828198741</v>
      </c>
      <c r="U165" s="838">
        <f>U164/P164-1</f>
        <v>-0.23949911387656364</v>
      </c>
      <c r="V165" s="837">
        <f>+V164/Q164-1</f>
        <v>-0.29489512531319817</v>
      </c>
      <c r="W165" s="838">
        <f>W164/R164-1</f>
        <v>-0.23072022532188841</v>
      </c>
      <c r="X165" s="838">
        <f>X164/S164-1</f>
        <v>0.72632770986381723</v>
      </c>
      <c r="Y165" s="838">
        <f>Y164/T164-1</f>
        <v>0.23489700220774723</v>
      </c>
      <c r="Z165" s="838">
        <f>Z164/U164-1</f>
        <v>0.27406487608226038</v>
      </c>
      <c r="AA165" s="837">
        <f>+AA164/V164-1</f>
        <v>0.19374720126346401</v>
      </c>
      <c r="AB165" s="838">
        <f>AB164/W164-1</f>
        <v>8.7935317961905568E-2</v>
      </c>
      <c r="AC165" s="838">
        <f>AC164/X164-1</f>
        <v>0.13119607084587837</v>
      </c>
      <c r="AD165" s="838">
        <f>AD164/Y164-1</f>
        <v>3.4692158803800277E-2</v>
      </c>
      <c r="AE165" s="838">
        <f>AE164/Z164-1</f>
        <v>6.4805543317178582E-2</v>
      </c>
      <c r="AF165" s="837">
        <f>+AF164/AA164-1</f>
        <v>7.6786557008079237E-2</v>
      </c>
      <c r="AG165" s="838">
        <f>AG164/AB164-1</f>
        <v>0.26606037539312122</v>
      </c>
      <c r="AH165" s="838">
        <f>AH164/AC164-1</f>
        <v>0.12995702793927411</v>
      </c>
      <c r="AI165" s="838">
        <f>AI164/AD164-1</f>
        <v>0.30962886804038336</v>
      </c>
      <c r="AJ165" s="838">
        <f>AJ164/AE164-1</f>
        <v>0.41839383110776751</v>
      </c>
      <c r="AK165" s="837">
        <f>+AK164/AF164-1</f>
        <v>0.28871208205035992</v>
      </c>
      <c r="AL165" s="838">
        <f>AL164/AG164-1</f>
        <v>0.40382576776418833</v>
      </c>
      <c r="AM165" s="838">
        <f>AM164/AH164-1</f>
        <v>0.39156238074559502</v>
      </c>
      <c r="AN165" s="838">
        <f>AN164/AI164-1</f>
        <v>0.33562674459176556</v>
      </c>
      <c r="AO165" s="838">
        <f>AO164/AJ164-1</f>
        <v>0.25883985714790847</v>
      </c>
      <c r="AP165" s="837">
        <f>+AP164/AK164-1</f>
        <v>0.33526241744953955</v>
      </c>
      <c r="AQ165" s="838">
        <f>AQ164/AL164-1</f>
        <v>0.25428848364628176</v>
      </c>
      <c r="AR165" s="838">
        <f>AR164/AM164-1</f>
        <v>7.8005465772726046E-2</v>
      </c>
      <c r="AS165" s="838">
        <f>AS164/AN164-1</f>
        <v>2.784648918713728E-2</v>
      </c>
      <c r="AT165" s="838">
        <f>AT164/AO164-1</f>
        <v>-1.1888627506056682E-2</v>
      </c>
      <c r="AU165" s="837">
        <f>+AU164/AP164-1</f>
        <v>7.0811736867425923E-2</v>
      </c>
      <c r="AV165" s="838">
        <f>AV164/AQ164-1</f>
        <v>6.2010279634821419E-2</v>
      </c>
      <c r="AW165" s="964">
        <v>14</v>
      </c>
      <c r="AX165" s="964"/>
      <c r="AY165" s="836"/>
      <c r="AZ165" s="836"/>
      <c r="BA165" s="836"/>
      <c r="BB165" s="836"/>
      <c r="BC165" s="836"/>
      <c r="BD165" s="836"/>
      <c r="BE165" s="836"/>
      <c r="BH165" s="836"/>
      <c r="BI165" s="836"/>
      <c r="BJ165" s="836"/>
      <c r="BK165" s="836"/>
      <c r="BL165" s="836"/>
      <c r="BM165" s="836"/>
      <c r="BN165" s="836"/>
      <c r="BO165" s="836"/>
      <c r="BP165" s="836"/>
      <c r="BQ165" s="836"/>
      <c r="BR165" s="836"/>
      <c r="BS165" s="836"/>
      <c r="BT165" s="836"/>
      <c r="BU165" s="836"/>
      <c r="BV165" s="836"/>
      <c r="BW165" s="836"/>
      <c r="BX165" s="836"/>
      <c r="BY165" s="836"/>
      <c r="BZ165" s="836"/>
      <c r="CA165" s="836"/>
      <c r="CB165" s="836"/>
      <c r="CC165" s="836"/>
      <c r="CD165" s="836"/>
      <c r="CE165" s="836"/>
      <c r="CF165" s="836"/>
      <c r="CG165" s="836"/>
    </row>
    <row r="166" spans="1:85" ht="14.25" customHeight="1" x14ac:dyDescent="0.2">
      <c r="BK166" s="267"/>
      <c r="BL166" s="267"/>
      <c r="BM166" s="267"/>
      <c r="BN166" s="267"/>
      <c r="BO166" s="267"/>
      <c r="BP166" s="267"/>
      <c r="BQ166" s="267"/>
      <c r="BR166" s="267"/>
      <c r="BS166" s="267"/>
      <c r="BT166" s="267"/>
      <c r="BU166" s="267"/>
      <c r="BV166" s="267"/>
      <c r="BW166" s="267"/>
      <c r="BX166" s="267"/>
      <c r="BY166" s="267"/>
      <c r="BZ166" s="267"/>
      <c r="CA166" s="267"/>
      <c r="CB166" s="267"/>
      <c r="CC166" s="267"/>
      <c r="CD166" s="267"/>
      <c r="CE166" s="267"/>
      <c r="CF166" s="267"/>
      <c r="CG166" s="267"/>
    </row>
    <row r="167" spans="1:85" ht="14.25" customHeight="1" x14ac:dyDescent="0.2">
      <c r="C167" s="267" t="s">
        <v>644</v>
      </c>
      <c r="D167" s="267" t="s">
        <v>645</v>
      </c>
      <c r="E167" s="267" t="s">
        <v>646</v>
      </c>
      <c r="F167" s="267" t="s">
        <v>678</v>
      </c>
      <c r="G167" s="267" t="s">
        <v>745</v>
      </c>
      <c r="H167" s="267" t="s">
        <v>741</v>
      </c>
      <c r="I167" s="267" t="s">
        <v>757</v>
      </c>
      <c r="J167" s="267" t="s">
        <v>770</v>
      </c>
      <c r="K167" s="267" t="s">
        <v>790</v>
      </c>
      <c r="L167" s="267" t="s">
        <v>1009</v>
      </c>
      <c r="M167" s="267" t="s">
        <v>806</v>
      </c>
      <c r="N167" s="267" t="s">
        <v>846</v>
      </c>
      <c r="O167" s="267" t="s">
        <v>847</v>
      </c>
      <c r="P167" s="267" t="s">
        <v>848</v>
      </c>
      <c r="Q167" s="267" t="s">
        <v>1008</v>
      </c>
      <c r="R167" s="267" t="s">
        <v>917</v>
      </c>
      <c r="S167" s="267" t="s">
        <v>946</v>
      </c>
      <c r="T167" s="267" t="s">
        <v>947</v>
      </c>
      <c r="U167" s="267" t="s">
        <v>915</v>
      </c>
      <c r="V167" s="267" t="s">
        <v>1057</v>
      </c>
      <c r="W167" s="267" t="s">
        <v>1051</v>
      </c>
      <c r="X167" s="267" t="s">
        <v>1052</v>
      </c>
      <c r="Y167" s="267" t="s">
        <v>1053</v>
      </c>
      <c r="Z167" s="267" t="s">
        <v>1054</v>
      </c>
      <c r="AA167" s="267" t="s">
        <v>1111</v>
      </c>
      <c r="AB167" s="267" t="s">
        <v>1113</v>
      </c>
      <c r="AC167" s="267" t="s">
        <v>1120</v>
      </c>
      <c r="AD167" s="267" t="s">
        <v>1122</v>
      </c>
      <c r="AE167" s="267" t="s">
        <v>1124</v>
      </c>
      <c r="AF167" s="267" t="s">
        <v>1157</v>
      </c>
      <c r="AG167" s="267" t="s">
        <v>1163</v>
      </c>
      <c r="AH167" s="267" t="s">
        <v>1163</v>
      </c>
      <c r="AI167" s="267" t="s">
        <v>1163</v>
      </c>
      <c r="AJ167" s="267" t="s">
        <v>1163</v>
      </c>
      <c r="AK167" s="267" t="s">
        <v>1157</v>
      </c>
      <c r="AL167" s="267" t="s">
        <v>1163</v>
      </c>
      <c r="AM167" s="267"/>
      <c r="AN167" s="267"/>
      <c r="AO167" s="267"/>
      <c r="AP167" s="267" t="s">
        <v>1157</v>
      </c>
      <c r="AQ167" s="267"/>
      <c r="AR167" s="267"/>
      <c r="AS167" s="267"/>
      <c r="AT167" s="267"/>
      <c r="AU167" s="267"/>
      <c r="AV167" s="267"/>
      <c r="BK167" s="267"/>
      <c r="BL167" s="267"/>
      <c r="BM167" s="267"/>
      <c r="BN167" s="267"/>
      <c r="BO167" s="267"/>
      <c r="BP167" s="267"/>
      <c r="BQ167" s="267"/>
      <c r="BR167" s="267"/>
      <c r="BS167" s="267"/>
      <c r="BT167" s="267"/>
      <c r="BU167" s="267"/>
      <c r="BV167" s="267"/>
      <c r="BW167" s="267"/>
      <c r="BX167" s="267"/>
      <c r="BY167" s="267"/>
      <c r="BZ167" s="267"/>
      <c r="CA167" s="267"/>
      <c r="CB167" s="267"/>
      <c r="CC167" s="267"/>
      <c r="CD167" s="267"/>
      <c r="CE167" s="267"/>
      <c r="CF167" s="267"/>
      <c r="CG167" s="267"/>
    </row>
    <row r="168" spans="1:85" ht="14.25" customHeight="1" x14ac:dyDescent="0.2">
      <c r="BK168" s="267"/>
      <c r="BL168" s="267"/>
      <c r="BM168" s="267"/>
      <c r="BN168" s="267"/>
      <c r="BO168" s="267"/>
      <c r="BP168" s="267"/>
      <c r="BQ168" s="267"/>
      <c r="BR168" s="267"/>
      <c r="BS168" s="267"/>
      <c r="BT168" s="267"/>
      <c r="BU168" s="267"/>
      <c r="BV168" s="267"/>
      <c r="BW168" s="267"/>
      <c r="BX168" s="267"/>
      <c r="BY168" s="267"/>
      <c r="BZ168" s="267"/>
      <c r="CA168" s="267"/>
      <c r="CB168" s="267"/>
      <c r="CC168" s="267"/>
      <c r="CD168" s="267"/>
      <c r="CE168" s="267"/>
      <c r="CF168" s="267"/>
      <c r="CG168" s="267"/>
    </row>
    <row r="169" spans="1:85" ht="14.25" customHeight="1" x14ac:dyDescent="0.2">
      <c r="BK169" s="267"/>
      <c r="BL169" s="267"/>
      <c r="BM169" s="267"/>
      <c r="BN169" s="267"/>
      <c r="BO169" s="267"/>
      <c r="BP169" s="267"/>
      <c r="BQ169" s="267"/>
      <c r="BR169" s="267"/>
      <c r="BS169" s="267"/>
      <c r="BT169" s="267"/>
      <c r="BU169" s="267"/>
      <c r="BV169" s="267"/>
      <c r="BW169" s="267"/>
      <c r="BX169" s="267"/>
      <c r="BY169" s="267"/>
      <c r="BZ169" s="267"/>
      <c r="CA169" s="267"/>
      <c r="CB169" s="267"/>
      <c r="CC169" s="267"/>
      <c r="CD169" s="267"/>
      <c r="CE169" s="267"/>
      <c r="CF169" s="267"/>
      <c r="CG169" s="267"/>
    </row>
    <row r="170" spans="1:85" ht="14.25" customHeight="1" x14ac:dyDescent="0.2">
      <c r="BK170" s="267"/>
      <c r="BL170" s="267"/>
      <c r="BM170" s="267"/>
      <c r="BN170" s="267"/>
      <c r="BO170" s="267"/>
      <c r="BP170" s="267"/>
      <c r="BQ170" s="267"/>
      <c r="BR170" s="267"/>
      <c r="BS170" s="267"/>
      <c r="BT170" s="267"/>
      <c r="BU170" s="267"/>
      <c r="BV170" s="267"/>
      <c r="BW170" s="267"/>
      <c r="BX170" s="267"/>
      <c r="BY170" s="267"/>
      <c r="BZ170" s="267"/>
      <c r="CA170" s="267"/>
      <c r="CB170" s="267"/>
      <c r="CC170" s="267"/>
      <c r="CD170" s="267"/>
      <c r="CE170" s="267"/>
      <c r="CF170" s="267"/>
      <c r="CG170" s="267"/>
    </row>
    <row r="171" spans="1:85" ht="14.25" customHeight="1" x14ac:dyDescent="0.2">
      <c r="BK171" s="267"/>
      <c r="BL171" s="267"/>
      <c r="BM171" s="267"/>
      <c r="BN171" s="267"/>
      <c r="BO171" s="267"/>
      <c r="BP171" s="267"/>
      <c r="BQ171" s="267"/>
      <c r="BR171" s="267"/>
      <c r="BS171" s="267"/>
      <c r="BT171" s="267"/>
      <c r="BU171" s="267"/>
      <c r="BV171" s="267"/>
      <c r="BW171" s="267"/>
      <c r="BX171" s="267"/>
      <c r="BY171" s="267"/>
      <c r="BZ171" s="267"/>
      <c r="CA171" s="267"/>
      <c r="CB171" s="267"/>
      <c r="CC171" s="267"/>
      <c r="CD171" s="267"/>
      <c r="CE171" s="267"/>
      <c r="CF171" s="267"/>
      <c r="CG171" s="267"/>
    </row>
    <row r="172" spans="1:85" ht="14.25" customHeight="1" x14ac:dyDescent="0.2">
      <c r="BK172" s="267"/>
      <c r="BL172" s="267"/>
      <c r="BM172" s="267"/>
      <c r="BN172" s="267"/>
      <c r="BO172" s="267"/>
      <c r="BP172" s="267"/>
      <c r="BQ172" s="267"/>
      <c r="BR172" s="267"/>
      <c r="BS172" s="267"/>
      <c r="BT172" s="267"/>
      <c r="BU172" s="267"/>
      <c r="BV172" s="267"/>
      <c r="BW172" s="267"/>
      <c r="BX172" s="267"/>
      <c r="BY172" s="267"/>
      <c r="BZ172" s="267"/>
      <c r="CA172" s="267"/>
      <c r="CB172" s="267"/>
      <c r="CC172" s="267"/>
      <c r="CD172" s="267"/>
      <c r="CE172" s="267"/>
      <c r="CF172" s="267"/>
      <c r="CG172" s="267"/>
    </row>
    <row r="173" spans="1:85" ht="14.25" customHeight="1" x14ac:dyDescent="0.2">
      <c r="BK173" s="267"/>
      <c r="BL173" s="267"/>
      <c r="BM173" s="267"/>
      <c r="BN173" s="267"/>
      <c r="BO173" s="267"/>
      <c r="BP173" s="267"/>
      <c r="BQ173" s="267"/>
      <c r="BR173" s="267"/>
      <c r="BS173" s="267"/>
      <c r="BT173" s="267"/>
      <c r="BU173" s="267"/>
      <c r="BV173" s="267"/>
      <c r="BW173" s="267"/>
      <c r="BX173" s="267"/>
      <c r="BY173" s="267"/>
      <c r="BZ173" s="267"/>
      <c r="CA173" s="267"/>
      <c r="CB173" s="267"/>
      <c r="CC173" s="267"/>
      <c r="CD173" s="267"/>
      <c r="CE173" s="267"/>
      <c r="CF173" s="267"/>
      <c r="CG173" s="267"/>
    </row>
    <row r="174" spans="1:85" ht="14.25" customHeight="1" x14ac:dyDescent="0.2">
      <c r="BK174" s="267"/>
      <c r="BL174" s="267"/>
      <c r="BM174" s="267"/>
      <c r="BN174" s="267"/>
      <c r="BO174" s="267"/>
      <c r="BP174" s="267"/>
      <c r="BQ174" s="267"/>
      <c r="BR174" s="267"/>
      <c r="BS174" s="267"/>
      <c r="BT174" s="267"/>
      <c r="BU174" s="267"/>
      <c r="BV174" s="267"/>
      <c r="BW174" s="267"/>
      <c r="BX174" s="267"/>
      <c r="BY174" s="267"/>
      <c r="BZ174" s="267"/>
      <c r="CA174" s="267"/>
      <c r="CB174" s="267"/>
      <c r="CC174" s="267"/>
      <c r="CD174" s="267"/>
      <c r="CE174" s="267"/>
      <c r="CF174" s="267"/>
      <c r="CG174" s="267"/>
    </row>
    <row r="175" spans="1:85" ht="14.25" customHeight="1" x14ac:dyDescent="0.2">
      <c r="BK175" s="267"/>
      <c r="BL175" s="267"/>
      <c r="BM175" s="267"/>
      <c r="BN175" s="267"/>
      <c r="BO175" s="267"/>
      <c r="BP175" s="267"/>
      <c r="BQ175" s="267"/>
      <c r="BR175" s="267"/>
      <c r="BS175" s="267"/>
      <c r="BT175" s="267"/>
      <c r="BU175" s="267"/>
      <c r="BV175" s="267"/>
      <c r="BW175" s="267"/>
      <c r="BX175" s="267"/>
      <c r="BY175" s="267"/>
      <c r="BZ175" s="267"/>
      <c r="CA175" s="267"/>
      <c r="CB175" s="267"/>
      <c r="CC175" s="267"/>
      <c r="CD175" s="267"/>
      <c r="CE175" s="267"/>
      <c r="CF175" s="267"/>
      <c r="CG175" s="267"/>
    </row>
    <row r="176" spans="1:85" ht="14.25" customHeight="1" x14ac:dyDescent="0.2">
      <c r="BK176" s="267"/>
      <c r="BL176" s="267"/>
      <c r="BM176" s="267"/>
      <c r="BN176" s="267"/>
      <c r="BO176" s="267"/>
      <c r="BP176" s="267"/>
      <c r="BQ176" s="267"/>
      <c r="BR176" s="267"/>
      <c r="BS176" s="267"/>
      <c r="BT176" s="267"/>
      <c r="BU176" s="267"/>
      <c r="BV176" s="267"/>
      <c r="BW176" s="267"/>
      <c r="BX176" s="267"/>
      <c r="BY176" s="267"/>
      <c r="BZ176" s="267"/>
      <c r="CA176" s="267"/>
      <c r="CB176" s="267"/>
      <c r="CC176" s="267"/>
      <c r="CD176" s="267"/>
      <c r="CE176" s="267"/>
      <c r="CF176" s="267"/>
      <c r="CG176" s="267"/>
    </row>
    <row r="177" spans="63:85" ht="14.25" customHeight="1" x14ac:dyDescent="0.2">
      <c r="BK177" s="267"/>
      <c r="BL177" s="267"/>
      <c r="BM177" s="267"/>
      <c r="BN177" s="267"/>
      <c r="BO177" s="267"/>
      <c r="BP177" s="267"/>
      <c r="BQ177" s="267"/>
      <c r="BR177" s="267"/>
      <c r="BS177" s="267"/>
      <c r="BT177" s="267"/>
      <c r="BU177" s="267"/>
      <c r="BV177" s="267"/>
      <c r="BW177" s="267"/>
      <c r="BX177" s="267"/>
      <c r="BY177" s="267"/>
      <c r="BZ177" s="267"/>
      <c r="CA177" s="267"/>
      <c r="CB177" s="267"/>
      <c r="CC177" s="267"/>
      <c r="CD177" s="267"/>
      <c r="CE177" s="267"/>
      <c r="CF177" s="267"/>
      <c r="CG177" s="267"/>
    </row>
    <row r="178" spans="63:85" ht="14.25" customHeight="1" x14ac:dyDescent="0.2">
      <c r="BK178" s="267"/>
      <c r="BL178" s="267"/>
      <c r="BM178" s="267"/>
      <c r="BN178" s="267"/>
      <c r="BO178" s="267"/>
      <c r="BP178" s="267"/>
      <c r="BQ178" s="267"/>
      <c r="BR178" s="267"/>
      <c r="BS178" s="267"/>
      <c r="BT178" s="267"/>
      <c r="BU178" s="267"/>
      <c r="BV178" s="267"/>
      <c r="BW178" s="267"/>
      <c r="BX178" s="267"/>
      <c r="BY178" s="267"/>
      <c r="BZ178" s="267"/>
      <c r="CA178" s="267"/>
      <c r="CB178" s="267"/>
      <c r="CC178" s="267"/>
      <c r="CD178" s="267"/>
      <c r="CE178" s="267"/>
      <c r="CF178" s="267"/>
      <c r="CG178" s="267"/>
    </row>
    <row r="179" spans="63:85" ht="14.25" customHeight="1" x14ac:dyDescent="0.2">
      <c r="BK179" s="267"/>
      <c r="BL179" s="267"/>
      <c r="BM179" s="267"/>
      <c r="BN179" s="267"/>
      <c r="BO179" s="267"/>
      <c r="BP179" s="267"/>
      <c r="BQ179" s="267"/>
      <c r="BR179" s="267"/>
      <c r="BS179" s="267"/>
      <c r="BT179" s="267"/>
      <c r="BU179" s="267"/>
      <c r="BV179" s="267"/>
      <c r="BW179" s="267"/>
      <c r="BX179" s="267"/>
      <c r="BY179" s="267"/>
      <c r="BZ179" s="267"/>
      <c r="CA179" s="267"/>
      <c r="CB179" s="267"/>
      <c r="CC179" s="267"/>
      <c r="CD179" s="267"/>
      <c r="CE179" s="267"/>
      <c r="CF179" s="267"/>
      <c r="CG179" s="267"/>
    </row>
    <row r="180" spans="63:85" ht="14.25" customHeight="1" x14ac:dyDescent="0.2">
      <c r="BK180" s="267"/>
      <c r="BL180" s="267"/>
      <c r="BM180" s="267"/>
      <c r="BN180" s="267"/>
      <c r="BO180" s="267"/>
      <c r="BP180" s="267"/>
      <c r="BQ180" s="267"/>
      <c r="BR180" s="267"/>
      <c r="BS180" s="267"/>
      <c r="BT180" s="267"/>
      <c r="BU180" s="267"/>
      <c r="BV180" s="267"/>
      <c r="BW180" s="267"/>
      <c r="BX180" s="267"/>
      <c r="BY180" s="267"/>
      <c r="BZ180" s="267"/>
      <c r="CA180" s="267"/>
      <c r="CB180" s="267"/>
      <c r="CC180" s="267"/>
      <c r="CD180" s="267"/>
      <c r="CE180" s="267"/>
      <c r="CF180" s="267"/>
      <c r="CG180" s="267"/>
    </row>
    <row r="181" spans="63:85" ht="14.25" customHeight="1" x14ac:dyDescent="0.2">
      <c r="BK181" s="267"/>
      <c r="BL181" s="267"/>
      <c r="BM181" s="267"/>
      <c r="BN181" s="267"/>
      <c r="BO181" s="267"/>
      <c r="BP181" s="267"/>
      <c r="BQ181" s="267"/>
      <c r="BR181" s="267"/>
      <c r="BS181" s="267"/>
      <c r="BT181" s="267"/>
      <c r="BU181" s="267"/>
      <c r="BV181" s="267"/>
      <c r="BW181" s="267"/>
      <c r="BX181" s="267"/>
      <c r="BY181" s="267"/>
      <c r="BZ181" s="267"/>
      <c r="CA181" s="267"/>
      <c r="CB181" s="267"/>
      <c r="CC181" s="267"/>
      <c r="CD181" s="267"/>
      <c r="CE181" s="267"/>
      <c r="CF181" s="267"/>
      <c r="CG181" s="267"/>
    </row>
    <row r="182" spans="63:85" ht="14.25" customHeight="1" x14ac:dyDescent="0.2">
      <c r="BK182" s="267"/>
      <c r="BL182" s="267"/>
      <c r="BM182" s="267"/>
      <c r="BN182" s="267"/>
      <c r="BO182" s="267"/>
      <c r="BP182" s="267"/>
      <c r="BQ182" s="267"/>
      <c r="BR182" s="267"/>
      <c r="BS182" s="267"/>
      <c r="BT182" s="267"/>
      <c r="BU182" s="267"/>
      <c r="BV182" s="267"/>
      <c r="BW182" s="267"/>
      <c r="BX182" s="267"/>
      <c r="BY182" s="267"/>
      <c r="BZ182" s="267"/>
      <c r="CA182" s="267"/>
      <c r="CB182" s="267"/>
      <c r="CC182" s="267"/>
      <c r="CD182" s="267"/>
      <c r="CE182" s="267"/>
      <c r="CF182" s="267"/>
      <c r="CG182" s="267"/>
    </row>
    <row r="183" spans="63:85" ht="14.25" customHeight="1" x14ac:dyDescent="0.2">
      <c r="BK183" s="267"/>
      <c r="BL183" s="267"/>
      <c r="BM183" s="267"/>
      <c r="BN183" s="267"/>
      <c r="BO183" s="267"/>
      <c r="BP183" s="267"/>
      <c r="BQ183" s="267"/>
      <c r="BR183" s="267"/>
      <c r="BS183" s="267"/>
      <c r="BT183" s="267"/>
      <c r="BU183" s="267"/>
      <c r="BV183" s="267"/>
      <c r="BW183" s="267"/>
      <c r="BX183" s="267"/>
      <c r="BY183" s="267"/>
      <c r="BZ183" s="267"/>
      <c r="CA183" s="267"/>
      <c r="CB183" s="267"/>
      <c r="CC183" s="267"/>
      <c r="CD183" s="267"/>
      <c r="CE183" s="267"/>
      <c r="CF183" s="267"/>
      <c r="CG183" s="267"/>
    </row>
    <row r="184" spans="63:85" ht="14.25" customHeight="1" x14ac:dyDescent="0.2">
      <c r="BK184" s="267"/>
      <c r="BL184" s="267"/>
      <c r="BM184" s="267"/>
      <c r="BN184" s="267"/>
      <c r="BO184" s="267"/>
      <c r="BP184" s="267"/>
      <c r="BQ184" s="267"/>
      <c r="BR184" s="267"/>
      <c r="BS184" s="267"/>
      <c r="BT184" s="267"/>
      <c r="BU184" s="267"/>
      <c r="BV184" s="267"/>
      <c r="BW184" s="267"/>
      <c r="BX184" s="267"/>
      <c r="BY184" s="267"/>
      <c r="BZ184" s="267"/>
      <c r="CA184" s="267"/>
      <c r="CB184" s="267"/>
      <c r="CC184" s="267"/>
      <c r="CD184" s="267"/>
      <c r="CE184" s="267"/>
      <c r="CF184" s="267"/>
      <c r="CG184" s="267"/>
    </row>
    <row r="185" spans="63:85" ht="14.25" customHeight="1" x14ac:dyDescent="0.2">
      <c r="BK185" s="267"/>
      <c r="BL185" s="267"/>
      <c r="BM185" s="267"/>
      <c r="BN185" s="267"/>
      <c r="BO185" s="267"/>
      <c r="BP185" s="267"/>
      <c r="BQ185" s="267"/>
      <c r="BR185" s="267"/>
      <c r="BS185" s="267"/>
      <c r="BT185" s="267"/>
      <c r="BU185" s="267"/>
      <c r="BV185" s="267"/>
      <c r="BW185" s="267"/>
      <c r="BX185" s="267"/>
      <c r="BY185" s="267"/>
      <c r="BZ185" s="267"/>
      <c r="CA185" s="267"/>
      <c r="CB185" s="267"/>
      <c r="CC185" s="267"/>
      <c r="CD185" s="267"/>
      <c r="CE185" s="267"/>
      <c r="CF185" s="267"/>
      <c r="CG185" s="267"/>
    </row>
    <row r="186" spans="63:85" ht="14.25" customHeight="1" x14ac:dyDescent="0.2">
      <c r="BK186" s="267"/>
      <c r="BL186" s="267"/>
      <c r="BM186" s="267"/>
      <c r="BN186" s="267"/>
      <c r="BO186" s="267"/>
      <c r="BP186" s="267"/>
      <c r="BQ186" s="267"/>
      <c r="BR186" s="267"/>
      <c r="BS186" s="267"/>
      <c r="BT186" s="267"/>
      <c r="BU186" s="267"/>
      <c r="BV186" s="267"/>
      <c r="BW186" s="267"/>
      <c r="BX186" s="267"/>
      <c r="BY186" s="267"/>
      <c r="BZ186" s="267"/>
      <c r="CA186" s="267"/>
      <c r="CB186" s="267"/>
      <c r="CC186" s="267"/>
      <c r="CD186" s="267"/>
      <c r="CE186" s="267"/>
      <c r="CF186" s="267"/>
      <c r="CG186" s="267"/>
    </row>
    <row r="187" spans="63:85" ht="14.25" customHeight="1" x14ac:dyDescent="0.2">
      <c r="BK187" s="267"/>
      <c r="BL187" s="267"/>
      <c r="BM187" s="267"/>
      <c r="BN187" s="267"/>
      <c r="BO187" s="267"/>
      <c r="BP187" s="267"/>
      <c r="BQ187" s="267"/>
      <c r="BR187" s="267"/>
      <c r="BS187" s="267"/>
      <c r="BT187" s="267"/>
      <c r="BU187" s="267"/>
      <c r="BV187" s="267"/>
      <c r="BW187" s="267"/>
      <c r="BX187" s="267"/>
      <c r="BY187" s="267"/>
      <c r="BZ187" s="267"/>
      <c r="CA187" s="267"/>
      <c r="CB187" s="267"/>
      <c r="CC187" s="267"/>
      <c r="CD187" s="267"/>
      <c r="CE187" s="267"/>
      <c r="CF187" s="267"/>
      <c r="CG187" s="267"/>
    </row>
    <row r="188" spans="63:85" ht="14.25" customHeight="1" x14ac:dyDescent="0.2">
      <c r="BK188" s="267"/>
      <c r="BL188" s="267"/>
      <c r="BM188" s="267"/>
      <c r="BN188" s="267"/>
      <c r="BO188" s="267"/>
      <c r="BP188" s="267"/>
      <c r="BQ188" s="267"/>
      <c r="BR188" s="267"/>
      <c r="BS188" s="267"/>
      <c r="BT188" s="267"/>
      <c r="BU188" s="267"/>
      <c r="BV188" s="267"/>
      <c r="BW188" s="267"/>
      <c r="BX188" s="267"/>
      <c r="BY188" s="267"/>
      <c r="BZ188" s="267"/>
      <c r="CA188" s="267"/>
      <c r="CB188" s="267"/>
      <c r="CC188" s="267"/>
      <c r="CD188" s="267"/>
      <c r="CE188" s="267"/>
      <c r="CF188" s="267"/>
      <c r="CG188" s="267"/>
    </row>
    <row r="189" spans="63:85" ht="14.25" customHeight="1" x14ac:dyDescent="0.2">
      <c r="BK189" s="267"/>
      <c r="BL189" s="267"/>
      <c r="BM189" s="267"/>
      <c r="BN189" s="267"/>
      <c r="BO189" s="267"/>
      <c r="BP189" s="267"/>
      <c r="BQ189" s="267"/>
      <c r="BR189" s="267"/>
      <c r="BS189" s="267"/>
      <c r="BT189" s="267"/>
      <c r="BU189" s="267"/>
      <c r="BV189" s="267"/>
      <c r="BW189" s="267"/>
      <c r="BX189" s="267"/>
      <c r="BY189" s="267"/>
      <c r="BZ189" s="267"/>
      <c r="CA189" s="267"/>
      <c r="CB189" s="267"/>
      <c r="CC189" s="267"/>
      <c r="CD189" s="267"/>
      <c r="CE189" s="267"/>
      <c r="CF189" s="267"/>
      <c r="CG189" s="267"/>
    </row>
    <row r="190" spans="63:85" ht="14.25" customHeight="1" x14ac:dyDescent="0.2">
      <c r="BK190" s="267"/>
      <c r="BL190" s="267"/>
      <c r="BM190" s="267"/>
      <c r="BN190" s="267"/>
      <c r="BO190" s="267"/>
      <c r="BP190" s="267"/>
      <c r="BQ190" s="267"/>
      <c r="BR190" s="267"/>
      <c r="BS190" s="267"/>
      <c r="BT190" s="267"/>
      <c r="BU190" s="267"/>
      <c r="BV190" s="267"/>
      <c r="BW190" s="267"/>
      <c r="BX190" s="267"/>
      <c r="BY190" s="267"/>
      <c r="BZ190" s="267"/>
      <c r="CA190" s="267"/>
      <c r="CB190" s="267"/>
      <c r="CC190" s="267"/>
      <c r="CD190" s="267"/>
      <c r="CE190" s="267"/>
      <c r="CF190" s="267"/>
      <c r="CG190" s="267"/>
    </row>
    <row r="191" spans="63:85" ht="14.25" customHeight="1" x14ac:dyDescent="0.2">
      <c r="BK191" s="267"/>
      <c r="BL191" s="267"/>
      <c r="BM191" s="267"/>
      <c r="BN191" s="267"/>
      <c r="BO191" s="267"/>
      <c r="BP191" s="267"/>
      <c r="BQ191" s="267"/>
      <c r="BR191" s="267"/>
      <c r="BS191" s="267"/>
      <c r="BT191" s="267"/>
      <c r="BU191" s="267"/>
      <c r="BV191" s="267"/>
      <c r="BW191" s="267"/>
      <c r="BX191" s="267"/>
      <c r="BY191" s="267"/>
      <c r="BZ191" s="267"/>
      <c r="CA191" s="267"/>
      <c r="CB191" s="267"/>
      <c r="CC191" s="267"/>
      <c r="CD191" s="267"/>
      <c r="CE191" s="267"/>
      <c r="CF191" s="267"/>
      <c r="CG191" s="267"/>
    </row>
    <row r="192" spans="63:85" ht="14.25" customHeight="1" x14ac:dyDescent="0.2">
      <c r="BK192" s="267"/>
      <c r="BL192" s="267"/>
      <c r="BM192" s="267"/>
      <c r="BN192" s="267"/>
      <c r="BO192" s="267"/>
      <c r="BP192" s="267"/>
      <c r="BQ192" s="267"/>
      <c r="BR192" s="267"/>
      <c r="BS192" s="267"/>
      <c r="BT192" s="267"/>
      <c r="BU192" s="267"/>
      <c r="BV192" s="267"/>
      <c r="BW192" s="267"/>
      <c r="BX192" s="267"/>
      <c r="BY192" s="267"/>
      <c r="BZ192" s="267"/>
      <c r="CA192" s="267"/>
      <c r="CB192" s="267"/>
      <c r="CC192" s="267"/>
      <c r="CD192" s="267"/>
      <c r="CE192" s="267"/>
      <c r="CF192" s="267"/>
      <c r="CG192" s="267"/>
    </row>
    <row r="193" spans="63:85" ht="14.25" customHeight="1" x14ac:dyDescent="0.2">
      <c r="BK193" s="267"/>
      <c r="BL193" s="267"/>
      <c r="BM193" s="267"/>
      <c r="BN193" s="267"/>
      <c r="BO193" s="267"/>
      <c r="BP193" s="267"/>
      <c r="BQ193" s="267"/>
      <c r="BR193" s="267"/>
      <c r="BS193" s="267"/>
      <c r="BT193" s="267"/>
      <c r="BU193" s="267"/>
      <c r="BV193" s="267"/>
      <c r="BW193" s="267"/>
      <c r="BX193" s="267"/>
      <c r="BY193" s="267"/>
      <c r="BZ193" s="267"/>
      <c r="CA193" s="267"/>
      <c r="CB193" s="267"/>
      <c r="CC193" s="267"/>
      <c r="CD193" s="267"/>
      <c r="CE193" s="267"/>
      <c r="CF193" s="267"/>
      <c r="CG193" s="267"/>
    </row>
    <row r="194" spans="63:85" ht="14.25" customHeight="1" x14ac:dyDescent="0.2">
      <c r="BK194" s="267"/>
      <c r="BL194" s="267"/>
      <c r="BM194" s="267"/>
      <c r="BN194" s="267"/>
      <c r="BO194" s="267"/>
      <c r="BP194" s="267"/>
      <c r="BQ194" s="267"/>
      <c r="BR194" s="267"/>
      <c r="BS194" s="267"/>
      <c r="BT194" s="267"/>
      <c r="BU194" s="267"/>
      <c r="BV194" s="267"/>
      <c r="BW194" s="267"/>
      <c r="BX194" s="267"/>
      <c r="BY194" s="267"/>
      <c r="BZ194" s="267"/>
      <c r="CA194" s="267"/>
      <c r="CB194" s="267"/>
      <c r="CC194" s="267"/>
      <c r="CD194" s="267"/>
      <c r="CE194" s="267"/>
      <c r="CF194" s="267"/>
      <c r="CG194" s="267"/>
    </row>
    <row r="195" spans="63:85" ht="14.25" customHeight="1" x14ac:dyDescent="0.2">
      <c r="BK195" s="267"/>
      <c r="BL195" s="267"/>
      <c r="BM195" s="267"/>
      <c r="BN195" s="267"/>
      <c r="BO195" s="267"/>
      <c r="BP195" s="267"/>
      <c r="BQ195" s="267"/>
      <c r="BR195" s="267"/>
      <c r="BS195" s="267"/>
      <c r="BT195" s="267"/>
      <c r="BU195" s="267"/>
      <c r="BV195" s="267"/>
      <c r="BW195" s="267"/>
      <c r="BX195" s="267"/>
      <c r="BY195" s="267"/>
      <c r="BZ195" s="267"/>
      <c r="CA195" s="267"/>
      <c r="CB195" s="267"/>
      <c r="CC195" s="267"/>
      <c r="CD195" s="267"/>
      <c r="CE195" s="267"/>
      <c r="CF195" s="267"/>
      <c r="CG195" s="267"/>
    </row>
  </sheetData>
  <pageMargins left="0.78740157480314965" right="0.78740157480314965" top="0.98425196850393704" bottom="0.98425196850393704" header="0.51181102362204722" footer="0.51181102362204722"/>
  <pageSetup paperSize="9" scale="90" orientation="portrait"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24">
    <pageSetUpPr autoPageBreaks="0"/>
  </sheetPr>
  <dimension ref="B1:AZ18"/>
  <sheetViews>
    <sheetView showGridLines="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2.75" x14ac:dyDescent="0.2"/>
  <cols>
    <col min="1" max="1" width="1.42578125" customWidth="1"/>
    <col min="2" max="2" width="29.140625" bestFit="1" customWidth="1"/>
    <col min="3" max="52" width="10.85546875" customWidth="1"/>
  </cols>
  <sheetData>
    <row r="1" spans="2:52" s="544" customFormat="1" ht="7.5" customHeight="1" x14ac:dyDescent="0.2"/>
    <row r="2" spans="2:52" s="544" customFormat="1" x14ac:dyDescent="0.2"/>
    <row r="3" spans="2:52" x14ac:dyDescent="0.2">
      <c r="B3" s="40"/>
      <c r="C3" s="40"/>
      <c r="D3" s="40"/>
      <c r="E3" s="40"/>
      <c r="G3" s="147"/>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c r="AV3" s="328"/>
      <c r="AW3" s="328"/>
      <c r="AX3" s="328"/>
      <c r="AY3" s="328"/>
      <c r="AZ3" s="328"/>
    </row>
    <row r="4" spans="2:52" x14ac:dyDescent="0.2">
      <c r="B4" s="40"/>
      <c r="C4" s="1235" t="s">
        <v>1426</v>
      </c>
      <c r="D4" s="1236"/>
      <c r="E4" s="224" t="s">
        <v>1427</v>
      </c>
      <c r="G4" s="147"/>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row>
    <row r="5" spans="2:52" x14ac:dyDescent="0.2">
      <c r="B5" s="140" t="s">
        <v>96</v>
      </c>
      <c r="C5" s="246" t="s">
        <v>0</v>
      </c>
      <c r="D5" s="246" t="s">
        <v>45</v>
      </c>
      <c r="E5" s="246" t="s">
        <v>55</v>
      </c>
      <c r="F5" s="246" t="s">
        <v>71</v>
      </c>
      <c r="G5" s="246" t="s">
        <v>77</v>
      </c>
      <c r="H5" s="246" t="s">
        <v>87</v>
      </c>
      <c r="I5" s="246" t="s">
        <v>88</v>
      </c>
      <c r="J5" s="246" t="s">
        <v>378</v>
      </c>
      <c r="K5" s="246" t="s">
        <v>406</v>
      </c>
      <c r="L5" s="246" t="s">
        <v>467</v>
      </c>
      <c r="M5" s="246" t="s">
        <v>501</v>
      </c>
      <c r="N5" s="246" t="s">
        <v>511</v>
      </c>
      <c r="O5" s="246" t="s">
        <v>538</v>
      </c>
      <c r="P5" s="246" t="s">
        <v>567</v>
      </c>
      <c r="Q5" s="246" t="s">
        <v>575</v>
      </c>
      <c r="R5" s="246" t="s">
        <v>595</v>
      </c>
      <c r="S5" s="246" t="s">
        <v>596</v>
      </c>
      <c r="T5" s="246" t="s">
        <v>623</v>
      </c>
      <c r="U5" s="246" t="s">
        <v>624</v>
      </c>
      <c r="V5" s="246" t="s">
        <v>625</v>
      </c>
      <c r="W5" s="246" t="s">
        <v>626</v>
      </c>
      <c r="X5" s="246" t="s">
        <v>798</v>
      </c>
      <c r="Y5" s="246" t="s">
        <v>799</v>
      </c>
      <c r="Z5" s="246" t="s">
        <v>800</v>
      </c>
      <c r="AA5" s="246" t="s">
        <v>801</v>
      </c>
      <c r="AB5" s="246" t="s">
        <v>913</v>
      </c>
      <c r="AC5" s="246" t="s">
        <v>914</v>
      </c>
      <c r="AD5" s="246" t="s">
        <v>923</v>
      </c>
      <c r="AE5" s="246" t="s">
        <v>924</v>
      </c>
      <c r="AF5" s="246" t="s">
        <v>1049</v>
      </c>
      <c r="AG5" s="246" t="s">
        <v>1023</v>
      </c>
      <c r="AH5" s="246" t="s">
        <v>1024</v>
      </c>
      <c r="AI5" s="246" t="s">
        <v>1050</v>
      </c>
      <c r="AJ5" s="246" t="s">
        <v>1114</v>
      </c>
      <c r="AK5" s="246" t="s">
        <v>1119</v>
      </c>
      <c r="AL5" s="246" t="s">
        <v>1121</v>
      </c>
      <c r="AM5" s="246" t="s">
        <v>1123</v>
      </c>
      <c r="AN5" s="246" t="s">
        <v>1176</v>
      </c>
      <c r="AO5" s="246" t="s">
        <v>1177</v>
      </c>
      <c r="AP5" s="246" t="s">
        <v>1179</v>
      </c>
      <c r="AQ5" s="246" t="s">
        <v>1181</v>
      </c>
      <c r="AR5" s="246" t="s">
        <v>1243</v>
      </c>
      <c r="AS5" s="246" t="s">
        <v>1250</v>
      </c>
      <c r="AT5" s="246" t="s">
        <v>1251</v>
      </c>
      <c r="AU5" s="246" t="s">
        <v>1252</v>
      </c>
      <c r="AV5" s="246" t="s">
        <v>1311</v>
      </c>
      <c r="AW5" s="246" t="s">
        <v>1313</v>
      </c>
      <c r="AX5" s="246" t="s">
        <v>1315</v>
      </c>
      <c r="AY5" s="246" t="s">
        <v>1317</v>
      </c>
      <c r="AZ5" s="246" t="s">
        <v>1344</v>
      </c>
    </row>
    <row r="6" spans="2:52" x14ac:dyDescent="0.2">
      <c r="B6" s="129" t="s">
        <v>183</v>
      </c>
      <c r="C6" s="118">
        <v>21689</v>
      </c>
      <c r="D6" s="118">
        <v>16938</v>
      </c>
      <c r="E6" s="160">
        <v>15054</v>
      </c>
      <c r="F6" s="118">
        <v>16233</v>
      </c>
      <c r="G6" s="118">
        <v>19480</v>
      </c>
      <c r="H6" s="118">
        <v>9902</v>
      </c>
      <c r="I6" s="118">
        <v>8527</v>
      </c>
      <c r="J6" s="118">
        <v>10395</v>
      </c>
      <c r="K6" s="118">
        <v>12134</v>
      </c>
      <c r="L6" s="118">
        <v>8434</v>
      </c>
      <c r="M6" s="118">
        <v>318</v>
      </c>
      <c r="N6" s="118">
        <v>510</v>
      </c>
      <c r="O6" s="118">
        <v>987</v>
      </c>
      <c r="P6" s="118">
        <v>259</v>
      </c>
      <c r="Q6" s="118">
        <v>380</v>
      </c>
      <c r="R6" s="118">
        <v>276</v>
      </c>
      <c r="S6" s="118">
        <v>426</v>
      </c>
      <c r="T6" s="118">
        <v>402</v>
      </c>
      <c r="U6" s="118">
        <v>425</v>
      </c>
      <c r="V6" s="118">
        <v>1239</v>
      </c>
      <c r="W6" s="118">
        <v>1336</v>
      </c>
      <c r="X6" s="118">
        <v>1019</v>
      </c>
      <c r="Y6" s="118">
        <v>1348</v>
      </c>
      <c r="Z6" s="118">
        <v>931</v>
      </c>
      <c r="AA6" s="118">
        <v>1369</v>
      </c>
      <c r="AB6" s="118">
        <v>944</v>
      </c>
      <c r="AC6" s="118">
        <v>640</v>
      </c>
      <c r="AD6" s="118">
        <v>695</v>
      </c>
      <c r="AE6" s="118">
        <v>1838</v>
      </c>
      <c r="AF6" s="118">
        <v>1460</v>
      </c>
      <c r="AG6" s="118">
        <v>980</v>
      </c>
      <c r="AH6" s="118">
        <v>1254</v>
      </c>
      <c r="AI6" s="118">
        <v>1186</v>
      </c>
      <c r="AJ6" s="118">
        <v>3178</v>
      </c>
      <c r="AK6" s="118">
        <v>7293</v>
      </c>
      <c r="AL6" s="118">
        <v>1885</v>
      </c>
      <c r="AM6" s="118">
        <v>1564</v>
      </c>
      <c r="AN6" s="118">
        <v>739</v>
      </c>
      <c r="AO6" s="118">
        <v>751</v>
      </c>
      <c r="AP6" s="118">
        <v>636</v>
      </c>
      <c r="AQ6" s="118">
        <v>1836</v>
      </c>
      <c r="AR6" s="118">
        <v>976</v>
      </c>
      <c r="AS6" s="118">
        <v>812</v>
      </c>
      <c r="AT6" s="118">
        <v>5859</v>
      </c>
      <c r="AU6" s="118">
        <v>1851</v>
      </c>
      <c r="AV6" s="118">
        <v>552</v>
      </c>
      <c r="AW6" s="118">
        <v>802</v>
      </c>
      <c r="AX6" s="118">
        <v>994</v>
      </c>
      <c r="AY6" s="118">
        <v>1749</v>
      </c>
      <c r="AZ6" s="118">
        <v>448</v>
      </c>
    </row>
    <row r="7" spans="2:52" x14ac:dyDescent="0.2">
      <c r="B7" s="129" t="s">
        <v>17</v>
      </c>
      <c r="C7" s="118">
        <v>182759</v>
      </c>
      <c r="D7" s="118">
        <v>204536</v>
      </c>
      <c r="E7" s="160">
        <v>164828</v>
      </c>
      <c r="F7" s="118">
        <v>169860</v>
      </c>
      <c r="G7" s="118">
        <v>208377</v>
      </c>
      <c r="H7" s="118">
        <v>297058</v>
      </c>
      <c r="I7" s="118">
        <v>122978</v>
      </c>
      <c r="J7" s="118">
        <v>196356</v>
      </c>
      <c r="K7" s="118">
        <v>202125</v>
      </c>
      <c r="L7" s="118">
        <v>224259</v>
      </c>
      <c r="M7" s="118">
        <v>218898</v>
      </c>
      <c r="N7" s="118">
        <v>241408</v>
      </c>
      <c r="O7" s="118">
        <v>191871</v>
      </c>
      <c r="P7" s="118">
        <v>125754</v>
      </c>
      <c r="Q7" s="118">
        <v>182650</v>
      </c>
      <c r="R7" s="118">
        <v>145031</v>
      </c>
      <c r="S7" s="118">
        <v>148306</v>
      </c>
      <c r="T7" s="118">
        <v>125064</v>
      </c>
      <c r="U7" s="118">
        <v>90264</v>
      </c>
      <c r="V7" s="118">
        <v>96725</v>
      </c>
      <c r="W7" s="118">
        <v>82206</v>
      </c>
      <c r="X7" s="118">
        <v>106975</v>
      </c>
      <c r="Y7" s="118">
        <v>105427</v>
      </c>
      <c r="Z7" s="118">
        <v>111177</v>
      </c>
      <c r="AA7" s="118">
        <v>65963</v>
      </c>
      <c r="AB7" s="118">
        <v>124996</v>
      </c>
      <c r="AC7" s="118">
        <v>285863</v>
      </c>
      <c r="AD7" s="118">
        <v>247098</v>
      </c>
      <c r="AE7" s="118">
        <v>258549</v>
      </c>
      <c r="AF7" s="118">
        <v>303449</v>
      </c>
      <c r="AG7" s="118">
        <v>243549</v>
      </c>
      <c r="AH7" s="118">
        <v>220167</v>
      </c>
      <c r="AI7" s="118">
        <v>145942</v>
      </c>
      <c r="AJ7" s="118">
        <v>207326</v>
      </c>
      <c r="AK7" s="118">
        <v>112430</v>
      </c>
      <c r="AL7" s="118">
        <v>135357</v>
      </c>
      <c r="AM7" s="118">
        <v>188735</v>
      </c>
      <c r="AN7" s="118">
        <v>241309</v>
      </c>
      <c r="AO7" s="118">
        <v>236287</v>
      </c>
      <c r="AP7" s="118">
        <v>257994</v>
      </c>
      <c r="AQ7" s="118">
        <v>230703</v>
      </c>
      <c r="AR7" s="118">
        <v>298820</v>
      </c>
      <c r="AS7" s="118">
        <v>281990</v>
      </c>
      <c r="AT7" s="118">
        <v>258267</v>
      </c>
      <c r="AU7" s="118">
        <v>239484</v>
      </c>
      <c r="AV7" s="118">
        <v>338645</v>
      </c>
      <c r="AW7" s="118">
        <v>346349</v>
      </c>
      <c r="AX7" s="118">
        <v>244670</v>
      </c>
      <c r="AY7" s="118">
        <v>112111</v>
      </c>
      <c r="AZ7" s="118">
        <v>183741</v>
      </c>
    </row>
    <row r="8" spans="2:52" x14ac:dyDescent="0.2">
      <c r="B8" s="126" t="s">
        <v>75</v>
      </c>
      <c r="C8" s="120">
        <f>SUM(C6:C7)</f>
        <v>204448</v>
      </c>
      <c r="D8" s="120">
        <f t="shared" ref="D8:I8" si="0">SUM(D6:D7)</f>
        <v>221474</v>
      </c>
      <c r="E8" s="162">
        <f t="shared" si="0"/>
        <v>179882</v>
      </c>
      <c r="F8" s="120">
        <f t="shared" si="0"/>
        <v>186093</v>
      </c>
      <c r="G8" s="120">
        <f t="shared" si="0"/>
        <v>227857</v>
      </c>
      <c r="H8" s="120">
        <f t="shared" si="0"/>
        <v>306960</v>
      </c>
      <c r="I8" s="120">
        <f t="shared" si="0"/>
        <v>131505</v>
      </c>
      <c r="J8" s="120">
        <f t="shared" ref="J8:Q8" si="1">SUM(J6:J7)</f>
        <v>206751</v>
      </c>
      <c r="K8" s="120">
        <f t="shared" si="1"/>
        <v>214259</v>
      </c>
      <c r="L8" s="120">
        <f t="shared" si="1"/>
        <v>232693</v>
      </c>
      <c r="M8" s="120">
        <f t="shared" si="1"/>
        <v>219216</v>
      </c>
      <c r="N8" s="120">
        <f t="shared" si="1"/>
        <v>241918</v>
      </c>
      <c r="O8" s="120">
        <f t="shared" si="1"/>
        <v>192858</v>
      </c>
      <c r="P8" s="120">
        <f t="shared" si="1"/>
        <v>126013</v>
      </c>
      <c r="Q8" s="120">
        <f t="shared" si="1"/>
        <v>183030</v>
      </c>
      <c r="R8" s="120">
        <f t="shared" ref="R8:Y8" si="2">SUM(R6:R7)</f>
        <v>145307</v>
      </c>
      <c r="S8" s="120">
        <f t="shared" si="2"/>
        <v>148732</v>
      </c>
      <c r="T8" s="120">
        <f t="shared" si="2"/>
        <v>125466</v>
      </c>
      <c r="U8" s="120">
        <f t="shared" si="2"/>
        <v>90689</v>
      </c>
      <c r="V8" s="120">
        <f t="shared" si="2"/>
        <v>97964</v>
      </c>
      <c r="W8" s="120">
        <f t="shared" si="2"/>
        <v>83542</v>
      </c>
      <c r="X8" s="120">
        <f t="shared" si="2"/>
        <v>107994</v>
      </c>
      <c r="Y8" s="120">
        <f t="shared" si="2"/>
        <v>106775</v>
      </c>
      <c r="Z8" s="120">
        <f t="shared" ref="Z8:AE8" si="3">SUM(Z6:Z7)</f>
        <v>112108</v>
      </c>
      <c r="AA8" s="120">
        <f t="shared" si="3"/>
        <v>67332</v>
      </c>
      <c r="AB8" s="120">
        <f t="shared" si="3"/>
        <v>125940</v>
      </c>
      <c r="AC8" s="120">
        <f t="shared" si="3"/>
        <v>286503</v>
      </c>
      <c r="AD8" s="120">
        <f t="shared" si="3"/>
        <v>247793</v>
      </c>
      <c r="AE8" s="120">
        <f t="shared" si="3"/>
        <v>260387</v>
      </c>
      <c r="AF8" s="120">
        <f t="shared" ref="AF8:AK8" si="4">SUM(AF6:AF7)</f>
        <v>304909</v>
      </c>
      <c r="AG8" s="120">
        <f t="shared" si="4"/>
        <v>244529</v>
      </c>
      <c r="AH8" s="120">
        <f t="shared" si="4"/>
        <v>221421</v>
      </c>
      <c r="AI8" s="120">
        <f t="shared" si="4"/>
        <v>147128</v>
      </c>
      <c r="AJ8" s="120">
        <f t="shared" si="4"/>
        <v>210504</v>
      </c>
      <c r="AK8" s="120">
        <f t="shared" si="4"/>
        <v>119723</v>
      </c>
      <c r="AL8" s="120">
        <f t="shared" ref="AL8:AS8" si="5">SUM(AL6:AL7)</f>
        <v>137242</v>
      </c>
      <c r="AM8" s="120">
        <f t="shared" si="5"/>
        <v>190299</v>
      </c>
      <c r="AN8" s="120">
        <f t="shared" si="5"/>
        <v>242048</v>
      </c>
      <c r="AO8" s="120">
        <f t="shared" si="5"/>
        <v>237038</v>
      </c>
      <c r="AP8" s="120">
        <f t="shared" si="5"/>
        <v>258630</v>
      </c>
      <c r="AQ8" s="120">
        <f t="shared" si="5"/>
        <v>232539</v>
      </c>
      <c r="AR8" s="120">
        <f t="shared" si="5"/>
        <v>299796</v>
      </c>
      <c r="AS8" s="120">
        <f t="shared" si="5"/>
        <v>282802</v>
      </c>
      <c r="AT8" s="120">
        <f t="shared" ref="AT8:AY8" si="6">SUM(AT6:AT7)</f>
        <v>264126</v>
      </c>
      <c r="AU8" s="120">
        <f t="shared" si="6"/>
        <v>241335</v>
      </c>
      <c r="AV8" s="120">
        <f t="shared" si="6"/>
        <v>339197</v>
      </c>
      <c r="AW8" s="120">
        <f t="shared" si="6"/>
        <v>347151</v>
      </c>
      <c r="AX8" s="120">
        <f t="shared" si="6"/>
        <v>245664</v>
      </c>
      <c r="AY8" s="120">
        <f t="shared" si="6"/>
        <v>113860</v>
      </c>
      <c r="AZ8" s="120">
        <f>SUM(AZ6:AZ7)</f>
        <v>184189</v>
      </c>
    </row>
    <row r="9" spans="2:52" x14ac:dyDescent="0.2">
      <c r="C9" s="148">
        <f>+C8-BP!R7</f>
        <v>0</v>
      </c>
      <c r="D9" s="148">
        <f>+D8-BP!S7</f>
        <v>0</v>
      </c>
      <c r="E9" s="148">
        <f>+E8-BP!T7</f>
        <v>0</v>
      </c>
      <c r="F9" s="148">
        <f>+F8-BP!U7</f>
        <v>0</v>
      </c>
      <c r="G9" s="148">
        <f>+G8-BP!V7</f>
        <v>0</v>
      </c>
      <c r="H9" s="148">
        <f>+H8-BP!W7</f>
        <v>0</v>
      </c>
      <c r="I9" s="148">
        <f>+I8-BP!X7</f>
        <v>0</v>
      </c>
      <c r="J9" s="148">
        <f>+J8-BP!Y7</f>
        <v>0</v>
      </c>
      <c r="K9" s="148">
        <f>+K8-BP!Z7-BP!Z19</f>
        <v>0</v>
      </c>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row>
    <row r="10" spans="2:52" x14ac:dyDescent="0.2">
      <c r="B10" s="143" t="s">
        <v>97</v>
      </c>
      <c r="C10" s="246" t="str">
        <f>C5</f>
        <v>4T13</v>
      </c>
      <c r="D10" s="246" t="str">
        <f t="shared" ref="D10:R10" si="7">D5</f>
        <v>1T14</v>
      </c>
      <c r="E10" s="246" t="str">
        <f t="shared" si="7"/>
        <v>2T14</v>
      </c>
      <c r="F10" s="246" t="str">
        <f t="shared" si="7"/>
        <v>3T14</v>
      </c>
      <c r="G10" s="246" t="str">
        <f t="shared" si="7"/>
        <v>4T14</v>
      </c>
      <c r="H10" s="246" t="str">
        <f t="shared" si="7"/>
        <v>1T15</v>
      </c>
      <c r="I10" s="246" t="str">
        <f t="shared" si="7"/>
        <v>2T15</v>
      </c>
      <c r="J10" s="246" t="str">
        <f t="shared" si="7"/>
        <v>3T15</v>
      </c>
      <c r="K10" s="246" t="str">
        <f t="shared" si="7"/>
        <v>4T15</v>
      </c>
      <c r="L10" s="246" t="str">
        <f t="shared" si="7"/>
        <v>1T16</v>
      </c>
      <c r="M10" s="246" t="str">
        <f t="shared" si="7"/>
        <v>2T16</v>
      </c>
      <c r="N10" s="246" t="str">
        <f t="shared" si="7"/>
        <v>3T16</v>
      </c>
      <c r="O10" s="246" t="str">
        <f t="shared" si="7"/>
        <v>4T16</v>
      </c>
      <c r="P10" s="246" t="str">
        <f t="shared" si="7"/>
        <v>1T17</v>
      </c>
      <c r="Q10" s="246" t="str">
        <f t="shared" si="7"/>
        <v>2T17</v>
      </c>
      <c r="R10" s="246" t="str">
        <f t="shared" si="7"/>
        <v>3T17</v>
      </c>
      <c r="S10" s="246" t="str">
        <f t="shared" ref="S10:AB10" si="8">S5</f>
        <v>4T17</v>
      </c>
      <c r="T10" s="246" t="str">
        <f t="shared" si="8"/>
        <v>1T18</v>
      </c>
      <c r="U10" s="246" t="str">
        <f t="shared" si="8"/>
        <v>2T18</v>
      </c>
      <c r="V10" s="246" t="str">
        <f t="shared" si="8"/>
        <v>3T18</v>
      </c>
      <c r="W10" s="246" t="str">
        <f t="shared" si="8"/>
        <v>4T18</v>
      </c>
      <c r="X10" s="246" t="str">
        <f t="shared" si="8"/>
        <v>1T19</v>
      </c>
      <c r="Y10" s="246" t="str">
        <f t="shared" si="8"/>
        <v>2T19</v>
      </c>
      <c r="Z10" s="246" t="str">
        <f t="shared" si="8"/>
        <v>3T19</v>
      </c>
      <c r="AA10" s="246" t="str">
        <f t="shared" si="8"/>
        <v>4T19</v>
      </c>
      <c r="AB10" s="246" t="str">
        <f t="shared" si="8"/>
        <v>1T20</v>
      </c>
      <c r="AC10" s="246" t="str">
        <f t="shared" ref="AC10:AK10" si="9">AC5</f>
        <v>2T20</v>
      </c>
      <c r="AD10" s="246" t="str">
        <f t="shared" si="9"/>
        <v>3T20</v>
      </c>
      <c r="AE10" s="246" t="str">
        <f t="shared" si="9"/>
        <v>4T20</v>
      </c>
      <c r="AF10" s="246" t="str">
        <f t="shared" si="9"/>
        <v>1T21</v>
      </c>
      <c r="AG10" s="246" t="str">
        <f t="shared" si="9"/>
        <v>2T21</v>
      </c>
      <c r="AH10" s="246" t="str">
        <f t="shared" si="9"/>
        <v>3T21</v>
      </c>
      <c r="AI10" s="246" t="str">
        <f t="shared" si="9"/>
        <v>4T21</v>
      </c>
      <c r="AJ10" s="246" t="str">
        <f t="shared" si="9"/>
        <v>1T22</v>
      </c>
      <c r="AK10" s="246" t="str">
        <f t="shared" si="9"/>
        <v>2T22</v>
      </c>
      <c r="AL10" s="246" t="str">
        <f t="shared" ref="AL10:AS10" si="10">AL5</f>
        <v>3T22</v>
      </c>
      <c r="AM10" s="246" t="str">
        <f t="shared" si="10"/>
        <v>4T22</v>
      </c>
      <c r="AN10" s="246" t="str">
        <f t="shared" si="10"/>
        <v>1T23</v>
      </c>
      <c r="AO10" s="246" t="str">
        <f t="shared" si="10"/>
        <v>2T23</v>
      </c>
      <c r="AP10" s="246" t="str">
        <f t="shared" si="10"/>
        <v>3T23</v>
      </c>
      <c r="AQ10" s="246" t="str">
        <f t="shared" si="10"/>
        <v>4T23</v>
      </c>
      <c r="AR10" s="246" t="str">
        <f t="shared" si="10"/>
        <v>1T24</v>
      </c>
      <c r="AS10" s="246" t="str">
        <f t="shared" si="10"/>
        <v>2T24</v>
      </c>
      <c r="AT10" s="246" t="str">
        <f t="shared" ref="AT10:AY10" si="11">AT5</f>
        <v>3T24</v>
      </c>
      <c r="AU10" s="246" t="str">
        <f t="shared" si="11"/>
        <v>4T24</v>
      </c>
      <c r="AV10" s="246" t="str">
        <f t="shared" si="11"/>
        <v>1T25</v>
      </c>
      <c r="AW10" s="246" t="str">
        <f t="shared" si="11"/>
        <v>2T25</v>
      </c>
      <c r="AX10" s="246" t="str">
        <f t="shared" si="11"/>
        <v>3T25</v>
      </c>
      <c r="AY10" s="246" t="str">
        <f t="shared" si="11"/>
        <v>4T25</v>
      </c>
      <c r="AZ10" s="246" t="str">
        <f>AZ5</f>
        <v>1T26</v>
      </c>
    </row>
    <row r="11" spans="2:52" x14ac:dyDescent="0.2">
      <c r="B11" s="129" t="s">
        <v>183</v>
      </c>
      <c r="C11" s="118">
        <v>20465</v>
      </c>
      <c r="D11" s="118">
        <v>13853</v>
      </c>
      <c r="E11" s="160">
        <v>14550</v>
      </c>
      <c r="F11" s="118">
        <v>13979</v>
      </c>
      <c r="G11" s="118">
        <v>18476</v>
      </c>
      <c r="H11" s="118">
        <v>9573</v>
      </c>
      <c r="I11" s="118">
        <v>8366</v>
      </c>
      <c r="J11" s="118">
        <v>10293</v>
      </c>
      <c r="K11" s="118">
        <v>11898</v>
      </c>
      <c r="L11" s="118">
        <v>8345</v>
      </c>
      <c r="M11" s="118">
        <v>206</v>
      </c>
      <c r="N11" s="118">
        <v>417</v>
      </c>
      <c r="O11" s="118">
        <v>425</v>
      </c>
      <c r="P11" s="118">
        <v>183</v>
      </c>
      <c r="Q11" s="118">
        <v>365</v>
      </c>
      <c r="R11" s="118">
        <v>258</v>
      </c>
      <c r="S11" s="118">
        <v>406</v>
      </c>
      <c r="T11" s="118">
        <v>390</v>
      </c>
      <c r="U11" s="118">
        <v>396</v>
      </c>
      <c r="V11" s="118">
        <v>862</v>
      </c>
      <c r="W11" s="118">
        <v>1313</v>
      </c>
      <c r="X11" s="118">
        <v>780</v>
      </c>
      <c r="Y11" s="118">
        <v>803</v>
      </c>
      <c r="Z11" s="118">
        <v>514</v>
      </c>
      <c r="AA11" s="118">
        <v>1070</v>
      </c>
      <c r="AB11" s="118">
        <v>607</v>
      </c>
      <c r="AC11" s="118">
        <v>512</v>
      </c>
      <c r="AD11" s="118">
        <v>635</v>
      </c>
      <c r="AE11" s="118">
        <v>1319</v>
      </c>
      <c r="AF11" s="118">
        <v>1028</v>
      </c>
      <c r="AG11" s="118">
        <v>670</v>
      </c>
      <c r="AH11" s="118">
        <v>910</v>
      </c>
      <c r="AI11" s="118">
        <v>659</v>
      </c>
      <c r="AJ11" s="118">
        <v>2957</v>
      </c>
      <c r="AK11" s="118">
        <v>7017</v>
      </c>
      <c r="AL11" s="118">
        <v>1368</v>
      </c>
      <c r="AM11" s="118">
        <v>1078</v>
      </c>
      <c r="AN11" s="118">
        <v>390</v>
      </c>
      <c r="AO11" s="118">
        <v>516</v>
      </c>
      <c r="AP11" s="118">
        <v>484</v>
      </c>
      <c r="AQ11" s="118">
        <v>1631</v>
      </c>
      <c r="AR11" s="118">
        <v>657</v>
      </c>
      <c r="AS11" s="118">
        <v>727</v>
      </c>
      <c r="AT11" s="118">
        <v>5788</v>
      </c>
      <c r="AU11" s="118">
        <v>1781</v>
      </c>
      <c r="AV11" s="118">
        <v>502</v>
      </c>
      <c r="AW11" s="118">
        <v>601</v>
      </c>
      <c r="AX11" s="118">
        <v>502</v>
      </c>
      <c r="AY11" s="118">
        <v>1594</v>
      </c>
      <c r="AZ11" s="118">
        <v>342</v>
      </c>
    </row>
    <row r="12" spans="2:52" x14ac:dyDescent="0.2">
      <c r="B12" s="129" t="s">
        <v>17</v>
      </c>
      <c r="C12" s="118">
        <v>140667</v>
      </c>
      <c r="D12" s="118">
        <v>186237</v>
      </c>
      <c r="E12" s="160">
        <v>149248</v>
      </c>
      <c r="F12" s="118">
        <v>149240</v>
      </c>
      <c r="G12" s="118">
        <v>116450</v>
      </c>
      <c r="H12" s="118">
        <v>202065</v>
      </c>
      <c r="I12" s="118">
        <v>37750</v>
      </c>
      <c r="J12" s="118">
        <v>116283</v>
      </c>
      <c r="K12" s="118">
        <v>116681</v>
      </c>
      <c r="L12" s="118">
        <v>118663</v>
      </c>
      <c r="M12" s="118">
        <v>121639</v>
      </c>
      <c r="N12" s="118">
        <v>139829</v>
      </c>
      <c r="O12" s="118">
        <v>92977</v>
      </c>
      <c r="P12" s="118">
        <v>33205</v>
      </c>
      <c r="Q12" s="118">
        <v>90998</v>
      </c>
      <c r="R12" s="118">
        <v>46705</v>
      </c>
      <c r="S12" s="118">
        <v>46128</v>
      </c>
      <c r="T12" s="118">
        <v>24424</v>
      </c>
      <c r="U12" s="118">
        <v>55253</v>
      </c>
      <c r="V12" s="118">
        <v>85462</v>
      </c>
      <c r="W12" s="118">
        <v>74400</v>
      </c>
      <c r="X12" s="118">
        <v>97619</v>
      </c>
      <c r="Y12" s="118">
        <v>91731</v>
      </c>
      <c r="Z12" s="118">
        <v>93363</v>
      </c>
      <c r="AA12" s="118">
        <v>35694</v>
      </c>
      <c r="AB12" s="118">
        <v>84659</v>
      </c>
      <c r="AC12" s="118">
        <v>242830</v>
      </c>
      <c r="AD12" s="118">
        <v>184150</v>
      </c>
      <c r="AE12" s="118">
        <v>210044</v>
      </c>
      <c r="AF12" s="118">
        <v>244408</v>
      </c>
      <c r="AG12" s="118">
        <v>198379</v>
      </c>
      <c r="AH12" s="118">
        <v>168681</v>
      </c>
      <c r="AI12" s="118">
        <v>99276</v>
      </c>
      <c r="AJ12" s="118">
        <v>126563</v>
      </c>
      <c r="AK12" s="118">
        <v>55115</v>
      </c>
      <c r="AL12" s="118">
        <v>83535</v>
      </c>
      <c r="AM12" s="118">
        <v>129953</v>
      </c>
      <c r="AN12" s="118">
        <v>178116</v>
      </c>
      <c r="AO12" s="118">
        <v>160578</v>
      </c>
      <c r="AP12" s="118">
        <v>181599</v>
      </c>
      <c r="AQ12" s="118">
        <v>139811</v>
      </c>
      <c r="AR12" s="118">
        <v>203377</v>
      </c>
      <c r="AS12" s="118">
        <v>214399</v>
      </c>
      <c r="AT12" s="118">
        <v>184283</v>
      </c>
      <c r="AU12" s="118">
        <v>157032</v>
      </c>
      <c r="AV12" s="118">
        <v>257222</v>
      </c>
      <c r="AW12" s="118">
        <v>275494</v>
      </c>
      <c r="AX12" s="118">
        <v>183649</v>
      </c>
      <c r="AY12" s="118">
        <v>68035</v>
      </c>
      <c r="AZ12" s="118">
        <v>109910</v>
      </c>
    </row>
    <row r="13" spans="2:52" x14ac:dyDescent="0.2">
      <c r="B13" s="126" t="s">
        <v>75</v>
      </c>
      <c r="C13" s="120">
        <f t="shared" ref="C13:L13" si="12">SUM(C11:C12)</f>
        <v>161132</v>
      </c>
      <c r="D13" s="120">
        <f t="shared" si="12"/>
        <v>200090</v>
      </c>
      <c r="E13" s="162">
        <f t="shared" si="12"/>
        <v>163798</v>
      </c>
      <c r="F13" s="120">
        <f t="shared" si="12"/>
        <v>163219</v>
      </c>
      <c r="G13" s="120">
        <f t="shared" si="12"/>
        <v>134926</v>
      </c>
      <c r="H13" s="120">
        <f t="shared" si="12"/>
        <v>211638</v>
      </c>
      <c r="I13" s="120">
        <f t="shared" si="12"/>
        <v>46116</v>
      </c>
      <c r="J13" s="120">
        <f t="shared" si="12"/>
        <v>126576</v>
      </c>
      <c r="K13" s="120">
        <f t="shared" si="12"/>
        <v>128579</v>
      </c>
      <c r="L13" s="120">
        <f t="shared" si="12"/>
        <v>127008</v>
      </c>
      <c r="M13" s="120">
        <f t="shared" ref="M13:Y13" si="13">SUM(M11:M12)</f>
        <v>121845</v>
      </c>
      <c r="N13" s="120">
        <f t="shared" si="13"/>
        <v>140246</v>
      </c>
      <c r="O13" s="120">
        <f t="shared" si="13"/>
        <v>93402</v>
      </c>
      <c r="P13" s="120">
        <f t="shared" si="13"/>
        <v>33388</v>
      </c>
      <c r="Q13" s="120">
        <f t="shared" si="13"/>
        <v>91363</v>
      </c>
      <c r="R13" s="120">
        <f t="shared" si="13"/>
        <v>46963</v>
      </c>
      <c r="S13" s="120">
        <f t="shared" si="13"/>
        <v>46534</v>
      </c>
      <c r="T13" s="120">
        <f t="shared" si="13"/>
        <v>24814</v>
      </c>
      <c r="U13" s="120">
        <f t="shared" si="13"/>
        <v>55649</v>
      </c>
      <c r="V13" s="120">
        <f t="shared" si="13"/>
        <v>86324</v>
      </c>
      <c r="W13" s="120">
        <f t="shared" si="13"/>
        <v>75713</v>
      </c>
      <c r="X13" s="120">
        <f t="shared" si="13"/>
        <v>98399</v>
      </c>
      <c r="Y13" s="120">
        <f t="shared" si="13"/>
        <v>92534</v>
      </c>
      <c r="Z13" s="120">
        <f t="shared" ref="Z13:AE13" si="14">SUM(Z11:Z12)</f>
        <v>93877</v>
      </c>
      <c r="AA13" s="120">
        <f t="shared" si="14"/>
        <v>36764</v>
      </c>
      <c r="AB13" s="120">
        <f t="shared" si="14"/>
        <v>85266</v>
      </c>
      <c r="AC13" s="120">
        <f t="shared" si="14"/>
        <v>243342</v>
      </c>
      <c r="AD13" s="120">
        <f t="shared" si="14"/>
        <v>184785</v>
      </c>
      <c r="AE13" s="120">
        <f t="shared" si="14"/>
        <v>211363</v>
      </c>
      <c r="AF13" s="120">
        <f t="shared" ref="AF13:AK13" si="15">SUM(AF11:AF12)</f>
        <v>245436</v>
      </c>
      <c r="AG13" s="120">
        <f t="shared" si="15"/>
        <v>199049</v>
      </c>
      <c r="AH13" s="120">
        <f t="shared" si="15"/>
        <v>169591</v>
      </c>
      <c r="AI13" s="120">
        <f t="shared" si="15"/>
        <v>99935</v>
      </c>
      <c r="AJ13" s="120">
        <f t="shared" si="15"/>
        <v>129520</v>
      </c>
      <c r="AK13" s="120">
        <f t="shared" si="15"/>
        <v>62132</v>
      </c>
      <c r="AL13" s="120">
        <f t="shared" ref="AL13:AS13" si="16">SUM(AL11:AL12)</f>
        <v>84903</v>
      </c>
      <c r="AM13" s="120">
        <f t="shared" si="16"/>
        <v>131031</v>
      </c>
      <c r="AN13" s="120">
        <f t="shared" si="16"/>
        <v>178506</v>
      </c>
      <c r="AO13" s="120">
        <f t="shared" si="16"/>
        <v>161094</v>
      </c>
      <c r="AP13" s="120">
        <f t="shared" si="16"/>
        <v>182083</v>
      </c>
      <c r="AQ13" s="120">
        <f t="shared" si="16"/>
        <v>141442</v>
      </c>
      <c r="AR13" s="120">
        <f t="shared" si="16"/>
        <v>204034</v>
      </c>
      <c r="AS13" s="120">
        <f t="shared" si="16"/>
        <v>215126</v>
      </c>
      <c r="AT13" s="120">
        <f t="shared" ref="AT13:AY13" si="17">SUM(AT11:AT12)</f>
        <v>190071</v>
      </c>
      <c r="AU13" s="120">
        <f t="shared" si="17"/>
        <v>158813</v>
      </c>
      <c r="AV13" s="120">
        <f t="shared" si="17"/>
        <v>257724</v>
      </c>
      <c r="AW13" s="120">
        <f t="shared" si="17"/>
        <v>276095</v>
      </c>
      <c r="AX13" s="120">
        <f t="shared" si="17"/>
        <v>184151</v>
      </c>
      <c r="AY13" s="120">
        <f t="shared" si="17"/>
        <v>69629</v>
      </c>
      <c r="AZ13" s="120">
        <f>SUM(AZ11:AZ12)</f>
        <v>110252</v>
      </c>
    </row>
    <row r="14" spans="2:52" x14ac:dyDescent="0.2">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row>
    <row r="15" spans="2:52" x14ac:dyDescent="0.2">
      <c r="B15" s="143" t="s">
        <v>98</v>
      </c>
      <c r="C15" s="246" t="str">
        <f>C5</f>
        <v>4T13</v>
      </c>
      <c r="D15" s="246" t="str">
        <f t="shared" ref="D15:R15" si="18">D5</f>
        <v>1T14</v>
      </c>
      <c r="E15" s="246" t="str">
        <f t="shared" si="18"/>
        <v>2T14</v>
      </c>
      <c r="F15" s="246" t="str">
        <f t="shared" si="18"/>
        <v>3T14</v>
      </c>
      <c r="G15" s="246" t="str">
        <f t="shared" si="18"/>
        <v>4T14</v>
      </c>
      <c r="H15" s="246" t="str">
        <f t="shared" si="18"/>
        <v>1T15</v>
      </c>
      <c r="I15" s="246" t="str">
        <f t="shared" si="18"/>
        <v>2T15</v>
      </c>
      <c r="J15" s="246" t="str">
        <f t="shared" si="18"/>
        <v>3T15</v>
      </c>
      <c r="K15" s="246" t="str">
        <f t="shared" si="18"/>
        <v>4T15</v>
      </c>
      <c r="L15" s="246" t="str">
        <f t="shared" si="18"/>
        <v>1T16</v>
      </c>
      <c r="M15" s="246" t="str">
        <f t="shared" si="18"/>
        <v>2T16</v>
      </c>
      <c r="N15" s="246" t="str">
        <f t="shared" si="18"/>
        <v>3T16</v>
      </c>
      <c r="O15" s="246" t="str">
        <f t="shared" si="18"/>
        <v>4T16</v>
      </c>
      <c r="P15" s="246" t="str">
        <f t="shared" si="18"/>
        <v>1T17</v>
      </c>
      <c r="Q15" s="246" t="str">
        <f t="shared" si="18"/>
        <v>2T17</v>
      </c>
      <c r="R15" s="246" t="str">
        <f t="shared" si="18"/>
        <v>3T17</v>
      </c>
      <c r="S15" s="246" t="str">
        <f t="shared" ref="S15:AB15" si="19">S5</f>
        <v>4T17</v>
      </c>
      <c r="T15" s="246" t="str">
        <f t="shared" si="19"/>
        <v>1T18</v>
      </c>
      <c r="U15" s="246" t="str">
        <f t="shared" si="19"/>
        <v>2T18</v>
      </c>
      <c r="V15" s="246" t="str">
        <f t="shared" si="19"/>
        <v>3T18</v>
      </c>
      <c r="W15" s="246" t="str">
        <f t="shared" si="19"/>
        <v>4T18</v>
      </c>
      <c r="X15" s="246" t="str">
        <f t="shared" si="19"/>
        <v>1T19</v>
      </c>
      <c r="Y15" s="246" t="str">
        <f t="shared" si="19"/>
        <v>2T19</v>
      </c>
      <c r="Z15" s="246" t="str">
        <f t="shared" si="19"/>
        <v>3T19</v>
      </c>
      <c r="AA15" s="246" t="str">
        <f t="shared" si="19"/>
        <v>4T19</v>
      </c>
      <c r="AB15" s="246" t="str">
        <f t="shared" si="19"/>
        <v>1T20</v>
      </c>
      <c r="AC15" s="246" t="str">
        <f t="shared" ref="AC15:AI15" si="20">AC5</f>
        <v>2T20</v>
      </c>
      <c r="AD15" s="246" t="str">
        <f t="shared" si="20"/>
        <v>3T20</v>
      </c>
      <c r="AE15" s="246" t="str">
        <f t="shared" si="20"/>
        <v>4T20</v>
      </c>
      <c r="AF15" s="246" t="str">
        <f t="shared" si="20"/>
        <v>1T21</v>
      </c>
      <c r="AG15" s="246" t="str">
        <f t="shared" si="20"/>
        <v>2T21</v>
      </c>
      <c r="AH15" s="246" t="str">
        <f t="shared" si="20"/>
        <v>3T21</v>
      </c>
      <c r="AI15" s="246" t="str">
        <f t="shared" si="20"/>
        <v>4T21</v>
      </c>
      <c r="AJ15" s="246" t="str">
        <f t="shared" ref="AJ15:AO15" si="21">AJ5</f>
        <v>1T22</v>
      </c>
      <c r="AK15" s="246" t="str">
        <f t="shared" si="21"/>
        <v>2T22</v>
      </c>
      <c r="AL15" s="246" t="str">
        <f t="shared" si="21"/>
        <v>3T22</v>
      </c>
      <c r="AM15" s="246" t="str">
        <f t="shared" si="21"/>
        <v>4T22</v>
      </c>
      <c r="AN15" s="246" t="str">
        <f t="shared" si="21"/>
        <v>1T23</v>
      </c>
      <c r="AO15" s="246" t="str">
        <f t="shared" si="21"/>
        <v>2T23</v>
      </c>
      <c r="AP15" s="246" t="str">
        <f t="shared" ref="AP15:AW15" si="22">AP5</f>
        <v>3T23</v>
      </c>
      <c r="AQ15" s="246" t="str">
        <f t="shared" si="22"/>
        <v>4T23</v>
      </c>
      <c r="AR15" s="246" t="str">
        <f t="shared" si="22"/>
        <v>1T24</v>
      </c>
      <c r="AS15" s="246" t="str">
        <f t="shared" si="22"/>
        <v>2T24</v>
      </c>
      <c r="AT15" s="246" t="str">
        <f t="shared" si="22"/>
        <v>3T24</v>
      </c>
      <c r="AU15" s="246" t="str">
        <f t="shared" si="22"/>
        <v>4T24</v>
      </c>
      <c r="AV15" s="246" t="str">
        <f t="shared" si="22"/>
        <v>1T25</v>
      </c>
      <c r="AW15" s="246" t="str">
        <f t="shared" si="22"/>
        <v>2T25</v>
      </c>
      <c r="AX15" s="246" t="str">
        <f>AX5</f>
        <v>3T25</v>
      </c>
      <c r="AY15" s="246" t="str">
        <f>AY5</f>
        <v>4T25</v>
      </c>
      <c r="AZ15" s="246" t="str">
        <f>AZ5</f>
        <v>1T26</v>
      </c>
    </row>
    <row r="16" spans="2:52" x14ac:dyDescent="0.2">
      <c r="B16" s="129" t="s">
        <v>183</v>
      </c>
      <c r="C16" s="118">
        <f t="shared" ref="C16:J17" si="23">+C6-C11</f>
        <v>1224</v>
      </c>
      <c r="D16" s="118">
        <f t="shared" si="23"/>
        <v>3085</v>
      </c>
      <c r="E16" s="160">
        <f t="shared" si="23"/>
        <v>504</v>
      </c>
      <c r="F16" s="118">
        <f t="shared" si="23"/>
        <v>2254</v>
      </c>
      <c r="G16" s="118">
        <f t="shared" si="23"/>
        <v>1004</v>
      </c>
      <c r="H16" s="118">
        <f t="shared" si="23"/>
        <v>329</v>
      </c>
      <c r="I16" s="118">
        <f t="shared" si="23"/>
        <v>161</v>
      </c>
      <c r="J16" s="118">
        <f t="shared" si="23"/>
        <v>102</v>
      </c>
      <c r="K16" s="118">
        <f t="shared" ref="K16:M17" si="24">+K6-K11</f>
        <v>236</v>
      </c>
      <c r="L16" s="118">
        <f t="shared" si="24"/>
        <v>89</v>
      </c>
      <c r="M16" s="118">
        <f t="shared" si="24"/>
        <v>112</v>
      </c>
      <c r="N16" s="118">
        <f>+N6-N11</f>
        <v>93</v>
      </c>
      <c r="O16" s="118">
        <f>+O6-O11</f>
        <v>562</v>
      </c>
      <c r="P16" s="118">
        <v>76</v>
      </c>
      <c r="Q16" s="118">
        <v>15</v>
      </c>
      <c r="R16" s="118">
        <f>+R6-R11</f>
        <v>18</v>
      </c>
      <c r="S16" s="118">
        <f>+S6-S11</f>
        <v>20</v>
      </c>
      <c r="T16" s="118">
        <f t="shared" ref="T16:AA16" si="25">+T6-T11</f>
        <v>12</v>
      </c>
      <c r="U16" s="118">
        <f t="shared" si="25"/>
        <v>29</v>
      </c>
      <c r="V16" s="118">
        <f t="shared" si="25"/>
        <v>377</v>
      </c>
      <c r="W16" s="118">
        <f t="shared" si="25"/>
        <v>23</v>
      </c>
      <c r="X16" s="118">
        <f t="shared" si="25"/>
        <v>239</v>
      </c>
      <c r="Y16" s="118">
        <f t="shared" si="25"/>
        <v>545</v>
      </c>
      <c r="Z16" s="118">
        <f t="shared" si="25"/>
        <v>417</v>
      </c>
      <c r="AA16" s="118">
        <f t="shared" si="25"/>
        <v>299</v>
      </c>
      <c r="AB16" s="118">
        <v>337</v>
      </c>
      <c r="AC16" s="118">
        <v>128</v>
      </c>
      <c r="AD16" s="118">
        <v>60</v>
      </c>
      <c r="AE16" s="118">
        <v>519</v>
      </c>
      <c r="AF16" s="118">
        <v>432</v>
      </c>
      <c r="AG16" s="118">
        <v>310</v>
      </c>
      <c r="AH16" s="118">
        <v>344</v>
      </c>
      <c r="AI16" s="118">
        <f t="shared" ref="AI16:AK17" si="26">+AI6-AI11</f>
        <v>527</v>
      </c>
      <c r="AJ16" s="118">
        <f t="shared" si="26"/>
        <v>221</v>
      </c>
      <c r="AK16" s="118">
        <f t="shared" si="26"/>
        <v>276</v>
      </c>
      <c r="AL16" s="118">
        <f t="shared" ref="AL16:AR17" si="27">+AL6-AL11</f>
        <v>517</v>
      </c>
      <c r="AM16" s="118">
        <f t="shared" si="27"/>
        <v>486</v>
      </c>
      <c r="AN16" s="118">
        <f t="shared" si="27"/>
        <v>349</v>
      </c>
      <c r="AO16" s="118">
        <f t="shared" si="27"/>
        <v>235</v>
      </c>
      <c r="AP16" s="118">
        <f t="shared" si="27"/>
        <v>152</v>
      </c>
      <c r="AQ16" s="118">
        <f t="shared" si="27"/>
        <v>205</v>
      </c>
      <c r="AR16" s="118">
        <f t="shared" si="27"/>
        <v>319</v>
      </c>
      <c r="AS16" s="118">
        <v>85</v>
      </c>
      <c r="AT16" s="118">
        <f>+AT6-AT11</f>
        <v>71</v>
      </c>
      <c r="AU16" s="118">
        <v>70</v>
      </c>
      <c r="AV16" s="118">
        <v>50</v>
      </c>
      <c r="AW16" s="118">
        <f>+AW6-AW11</f>
        <v>201</v>
      </c>
      <c r="AX16" s="118">
        <v>492</v>
      </c>
      <c r="AY16" s="118">
        <v>155</v>
      </c>
      <c r="AZ16" s="118">
        <f>+AZ6-AZ11</f>
        <v>106</v>
      </c>
    </row>
    <row r="17" spans="2:52" x14ac:dyDescent="0.2">
      <c r="B17" s="129" t="s">
        <v>17</v>
      </c>
      <c r="C17" s="118">
        <f t="shared" si="23"/>
        <v>42092</v>
      </c>
      <c r="D17" s="118">
        <f t="shared" si="23"/>
        <v>18299</v>
      </c>
      <c r="E17" s="160">
        <f t="shared" si="23"/>
        <v>15580</v>
      </c>
      <c r="F17" s="118">
        <f t="shared" si="23"/>
        <v>20620</v>
      </c>
      <c r="G17" s="118">
        <f t="shared" si="23"/>
        <v>91927</v>
      </c>
      <c r="H17" s="118">
        <f t="shared" si="23"/>
        <v>94993</v>
      </c>
      <c r="I17" s="118">
        <f t="shared" si="23"/>
        <v>85228</v>
      </c>
      <c r="J17" s="118">
        <f t="shared" si="23"/>
        <v>80073</v>
      </c>
      <c r="K17" s="118">
        <f t="shared" si="24"/>
        <v>85444</v>
      </c>
      <c r="L17" s="118">
        <f t="shared" si="24"/>
        <v>105596</v>
      </c>
      <c r="M17" s="118">
        <f t="shared" si="24"/>
        <v>97259</v>
      </c>
      <c r="N17" s="118">
        <f>+N7-N12</f>
        <v>101579</v>
      </c>
      <c r="O17" s="118">
        <f>+O7-O12</f>
        <v>98894</v>
      </c>
      <c r="P17" s="118">
        <v>92549</v>
      </c>
      <c r="Q17" s="118">
        <v>91652</v>
      </c>
      <c r="R17" s="118">
        <f>+R7-R12</f>
        <v>98326</v>
      </c>
      <c r="S17" s="118">
        <f>+S7-S12</f>
        <v>102178</v>
      </c>
      <c r="T17" s="118">
        <f t="shared" ref="T17:AA17" si="28">+T7-T12</f>
        <v>100640</v>
      </c>
      <c r="U17" s="118">
        <f t="shared" si="28"/>
        <v>35011</v>
      </c>
      <c r="V17" s="118">
        <f t="shared" si="28"/>
        <v>11263</v>
      </c>
      <c r="W17" s="118">
        <f t="shared" si="28"/>
        <v>7806</v>
      </c>
      <c r="X17" s="118">
        <f t="shared" si="28"/>
        <v>9356</v>
      </c>
      <c r="Y17" s="118">
        <f t="shared" si="28"/>
        <v>13696</v>
      </c>
      <c r="Z17" s="118">
        <f t="shared" si="28"/>
        <v>17814</v>
      </c>
      <c r="AA17" s="118">
        <f t="shared" si="28"/>
        <v>30269</v>
      </c>
      <c r="AB17" s="118">
        <v>40337</v>
      </c>
      <c r="AC17" s="118">
        <v>43033</v>
      </c>
      <c r="AD17" s="118">
        <v>62948</v>
      </c>
      <c r="AE17" s="118">
        <v>48505</v>
      </c>
      <c r="AF17" s="118">
        <v>59041</v>
      </c>
      <c r="AG17" s="118">
        <v>45170</v>
      </c>
      <c r="AH17" s="118">
        <v>51486</v>
      </c>
      <c r="AI17" s="118">
        <f t="shared" si="26"/>
        <v>46666</v>
      </c>
      <c r="AJ17" s="118">
        <f t="shared" si="26"/>
        <v>80763</v>
      </c>
      <c r="AK17" s="118">
        <f t="shared" si="26"/>
        <v>57315</v>
      </c>
      <c r="AL17" s="118">
        <f t="shared" si="27"/>
        <v>51822</v>
      </c>
      <c r="AM17" s="118">
        <f t="shared" si="27"/>
        <v>58782</v>
      </c>
      <c r="AN17" s="118">
        <f t="shared" si="27"/>
        <v>63193</v>
      </c>
      <c r="AO17" s="118">
        <f t="shared" si="27"/>
        <v>75709</v>
      </c>
      <c r="AP17" s="118">
        <f t="shared" si="27"/>
        <v>76395</v>
      </c>
      <c r="AQ17" s="118">
        <f t="shared" si="27"/>
        <v>90892</v>
      </c>
      <c r="AR17" s="118">
        <f t="shared" si="27"/>
        <v>95443</v>
      </c>
      <c r="AS17" s="118">
        <v>67591</v>
      </c>
      <c r="AT17" s="118">
        <f>+AT7-AT12</f>
        <v>73984</v>
      </c>
      <c r="AU17" s="118">
        <v>82452</v>
      </c>
      <c r="AV17" s="118">
        <v>81423</v>
      </c>
      <c r="AW17" s="118">
        <f>+AW7-AW12</f>
        <v>70855</v>
      </c>
      <c r="AX17" s="118">
        <v>61021</v>
      </c>
      <c r="AY17" s="118">
        <v>44076</v>
      </c>
      <c r="AZ17" s="118">
        <f>+AZ7-AZ12</f>
        <v>73831</v>
      </c>
    </row>
    <row r="18" spans="2:52" x14ac:dyDescent="0.2">
      <c r="B18" s="126" t="s">
        <v>75</v>
      </c>
      <c r="C18" s="120">
        <f t="shared" ref="C18:K18" si="29">SUM(C16:C17)</f>
        <v>43316</v>
      </c>
      <c r="D18" s="120">
        <f t="shared" si="29"/>
        <v>21384</v>
      </c>
      <c r="E18" s="162">
        <f t="shared" si="29"/>
        <v>16084</v>
      </c>
      <c r="F18" s="120">
        <f t="shared" si="29"/>
        <v>22874</v>
      </c>
      <c r="G18" s="120">
        <f t="shared" si="29"/>
        <v>92931</v>
      </c>
      <c r="H18" s="120">
        <f t="shared" si="29"/>
        <v>95322</v>
      </c>
      <c r="I18" s="120">
        <f t="shared" si="29"/>
        <v>85389</v>
      </c>
      <c r="J18" s="120">
        <f t="shared" si="29"/>
        <v>80175</v>
      </c>
      <c r="K18" s="120">
        <f t="shared" si="29"/>
        <v>85680</v>
      </c>
      <c r="L18" s="120">
        <f t="shared" ref="L18:Y18" si="30">SUM(L16:L17)</f>
        <v>105685</v>
      </c>
      <c r="M18" s="120">
        <f t="shared" si="30"/>
        <v>97371</v>
      </c>
      <c r="N18" s="120">
        <f t="shared" si="30"/>
        <v>101672</v>
      </c>
      <c r="O18" s="120">
        <f t="shared" si="30"/>
        <v>99456</v>
      </c>
      <c r="P18" s="120">
        <f t="shared" si="30"/>
        <v>92625</v>
      </c>
      <c r="Q18" s="120">
        <f t="shared" si="30"/>
        <v>91667</v>
      </c>
      <c r="R18" s="120">
        <f t="shared" si="30"/>
        <v>98344</v>
      </c>
      <c r="S18" s="120">
        <f t="shared" si="30"/>
        <v>102198</v>
      </c>
      <c r="T18" s="120">
        <f t="shared" si="30"/>
        <v>100652</v>
      </c>
      <c r="U18" s="120">
        <f t="shared" si="30"/>
        <v>35040</v>
      </c>
      <c r="V18" s="120">
        <v>11640</v>
      </c>
      <c r="W18" s="120">
        <f t="shared" si="30"/>
        <v>7829</v>
      </c>
      <c r="X18" s="120">
        <f t="shared" si="30"/>
        <v>9595</v>
      </c>
      <c r="Y18" s="120">
        <f t="shared" si="30"/>
        <v>14241</v>
      </c>
      <c r="Z18" s="120">
        <f t="shared" ref="Z18:AE18" si="31">SUM(Z16:Z17)</f>
        <v>18231</v>
      </c>
      <c r="AA18" s="120">
        <f t="shared" si="31"/>
        <v>30568</v>
      </c>
      <c r="AB18" s="120">
        <f t="shared" si="31"/>
        <v>40674</v>
      </c>
      <c r="AC18" s="120">
        <f t="shared" si="31"/>
        <v>43161</v>
      </c>
      <c r="AD18" s="120">
        <f t="shared" si="31"/>
        <v>63008</v>
      </c>
      <c r="AE18" s="120">
        <f t="shared" si="31"/>
        <v>49024</v>
      </c>
      <c r="AF18" s="120">
        <f t="shared" ref="AF18:AK18" si="32">SUM(AF16:AF17)</f>
        <v>59473</v>
      </c>
      <c r="AG18" s="120">
        <f t="shared" si="32"/>
        <v>45480</v>
      </c>
      <c r="AH18" s="120">
        <f t="shared" si="32"/>
        <v>51830</v>
      </c>
      <c r="AI18" s="120">
        <f t="shared" si="32"/>
        <v>47193</v>
      </c>
      <c r="AJ18" s="120">
        <f t="shared" si="32"/>
        <v>80984</v>
      </c>
      <c r="AK18" s="120">
        <f t="shared" si="32"/>
        <v>57591</v>
      </c>
      <c r="AL18" s="120">
        <f t="shared" ref="AL18:AS18" si="33">SUM(AL16:AL17)</f>
        <v>52339</v>
      </c>
      <c r="AM18" s="120">
        <f t="shared" si="33"/>
        <v>59268</v>
      </c>
      <c r="AN18" s="120">
        <f t="shared" si="33"/>
        <v>63542</v>
      </c>
      <c r="AO18" s="120">
        <f t="shared" si="33"/>
        <v>75944</v>
      </c>
      <c r="AP18" s="120">
        <f t="shared" si="33"/>
        <v>76547</v>
      </c>
      <c r="AQ18" s="120">
        <f t="shared" si="33"/>
        <v>91097</v>
      </c>
      <c r="AR18" s="120">
        <f t="shared" si="33"/>
        <v>95762</v>
      </c>
      <c r="AS18" s="120">
        <f t="shared" si="33"/>
        <v>67676</v>
      </c>
      <c r="AT18" s="120">
        <f t="shared" ref="AT18:AY18" si="34">SUM(AT16:AT17)</f>
        <v>74055</v>
      </c>
      <c r="AU18" s="120">
        <f t="shared" si="34"/>
        <v>82522</v>
      </c>
      <c r="AV18" s="120">
        <f t="shared" si="34"/>
        <v>81473</v>
      </c>
      <c r="AW18" s="120">
        <f t="shared" si="34"/>
        <v>71056</v>
      </c>
      <c r="AX18" s="120">
        <f t="shared" si="34"/>
        <v>61513</v>
      </c>
      <c r="AY18" s="120">
        <f t="shared" si="34"/>
        <v>44231</v>
      </c>
      <c r="AZ18" s="120">
        <f>SUM(AZ16:AZ17)</f>
        <v>73937</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25">
    <pageSetUpPr autoPageBreaks="0"/>
  </sheetPr>
  <dimension ref="B1:AZ25"/>
  <sheetViews>
    <sheetView showGridLines="0" zoomScaleNormal="10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2.75" x14ac:dyDescent="0.2"/>
  <cols>
    <col min="1" max="1" width="1.42578125" customWidth="1"/>
    <col min="2" max="2" width="53.140625" customWidth="1"/>
    <col min="3" max="3" width="11" customWidth="1"/>
    <col min="4" max="4" width="11.42578125" customWidth="1"/>
    <col min="5" max="52" width="10.85546875" customWidth="1"/>
  </cols>
  <sheetData>
    <row r="1" spans="2:52" s="544" customFormat="1" ht="7.5" customHeight="1" x14ac:dyDescent="0.2"/>
    <row r="2" spans="2:52" s="544" customFormat="1" x14ac:dyDescent="0.2"/>
    <row r="3" spans="2:52" x14ac:dyDescent="0.2">
      <c r="B3" s="41"/>
      <c r="D3" s="49"/>
      <c r="E3" s="49"/>
      <c r="F3" s="49"/>
      <c r="G3" s="49"/>
      <c r="H3" s="46"/>
      <c r="I3" s="55"/>
      <c r="J3" s="55"/>
      <c r="K3" s="55"/>
      <c r="L3" s="55"/>
      <c r="M3" s="55"/>
      <c r="N3" s="55"/>
      <c r="O3" s="55"/>
      <c r="P3" s="55"/>
      <c r="Q3" s="55"/>
      <c r="R3" s="55"/>
      <c r="S3" s="55"/>
      <c r="T3" s="55"/>
      <c r="U3" s="55"/>
      <c r="V3" s="55"/>
      <c r="W3" s="55"/>
      <c r="X3" s="792"/>
      <c r="Y3" s="792"/>
      <c r="Z3" s="792"/>
      <c r="AA3" s="792"/>
      <c r="AB3" s="792"/>
      <c r="AC3" s="792"/>
      <c r="AD3" s="792"/>
      <c r="AE3" s="792"/>
      <c r="AF3" s="792"/>
      <c r="AG3" s="553"/>
      <c r="AH3" s="553"/>
      <c r="AI3" s="553"/>
      <c r="AJ3" s="553"/>
      <c r="AK3" s="553"/>
      <c r="AL3" s="553"/>
      <c r="AM3" s="553"/>
      <c r="AN3" s="553"/>
      <c r="AO3" s="553"/>
      <c r="AP3" s="553"/>
      <c r="AQ3" s="553"/>
      <c r="AR3" s="553"/>
      <c r="AS3" s="553"/>
      <c r="AT3" s="553"/>
      <c r="AU3" s="553"/>
      <c r="AV3" s="553"/>
      <c r="AW3" s="553"/>
      <c r="AX3" s="553"/>
      <c r="AY3" s="553"/>
      <c r="AZ3" s="553"/>
    </row>
    <row r="4" spans="2:52" x14ac:dyDescent="0.2">
      <c r="B4" s="41"/>
      <c r="C4" s="1235" t="s">
        <v>1426</v>
      </c>
      <c r="D4" s="1236"/>
      <c r="E4" s="224" t="s">
        <v>1427</v>
      </c>
      <c r="G4" s="49"/>
      <c r="H4" s="46"/>
      <c r="I4" s="55"/>
      <c r="J4" s="55"/>
      <c r="K4" s="55"/>
      <c r="L4" s="55"/>
      <c r="M4" s="55"/>
      <c r="N4" s="55"/>
      <c r="O4" s="55"/>
      <c r="P4" s="55"/>
      <c r="Q4" s="55"/>
      <c r="R4" s="55"/>
      <c r="S4" s="55"/>
      <c r="T4" s="55"/>
      <c r="U4" s="55"/>
      <c r="V4" s="55"/>
      <c r="W4" s="55"/>
      <c r="X4" s="55"/>
      <c r="Y4" s="55"/>
      <c r="Z4" s="55"/>
      <c r="AA4" s="55"/>
      <c r="AB4" s="55"/>
      <c r="AC4" s="55"/>
      <c r="AD4" s="55"/>
      <c r="AE4" s="55"/>
      <c r="AF4" s="55"/>
      <c r="AG4" s="55"/>
      <c r="AH4" s="792"/>
      <c r="AI4" s="792"/>
      <c r="AJ4" s="792"/>
      <c r="AK4" s="792"/>
      <c r="AL4" s="792"/>
      <c r="AM4" s="792"/>
      <c r="AN4" s="792"/>
      <c r="AO4" s="792"/>
      <c r="AP4" s="792"/>
      <c r="AQ4" s="792"/>
      <c r="AR4" s="792"/>
      <c r="AS4" s="792"/>
      <c r="AT4" s="792"/>
      <c r="AU4" s="792"/>
      <c r="AV4" s="792"/>
      <c r="AW4" s="792"/>
      <c r="AX4" s="792"/>
      <c r="AY4" s="792"/>
      <c r="AZ4" s="792"/>
    </row>
    <row r="5" spans="2:52" x14ac:dyDescent="0.2">
      <c r="B5" s="143" t="s">
        <v>96</v>
      </c>
      <c r="C5" s="246" t="s">
        <v>0</v>
      </c>
      <c r="D5" s="246" t="s">
        <v>45</v>
      </c>
      <c r="E5" s="246" t="s">
        <v>55</v>
      </c>
      <c r="F5" s="246" t="s">
        <v>71</v>
      </c>
      <c r="G5" s="246" t="s">
        <v>77</v>
      </c>
      <c r="H5" s="246" t="s">
        <v>87</v>
      </c>
      <c r="I5" s="246" t="s">
        <v>88</v>
      </c>
      <c r="J5" s="246" t="s">
        <v>378</v>
      </c>
      <c r="K5" s="246" t="s">
        <v>406</v>
      </c>
      <c r="L5" s="246" t="s">
        <v>467</v>
      </c>
      <c r="M5" s="246" t="s">
        <v>501</v>
      </c>
      <c r="N5" s="246" t="s">
        <v>511</v>
      </c>
      <c r="O5" s="246" t="s">
        <v>538</v>
      </c>
      <c r="P5" s="246" t="s">
        <v>567</v>
      </c>
      <c r="Q5" s="246" t="s">
        <v>575</v>
      </c>
      <c r="R5" s="246" t="s">
        <v>595</v>
      </c>
      <c r="S5" s="246" t="s">
        <v>596</v>
      </c>
      <c r="T5" s="246" t="s">
        <v>623</v>
      </c>
      <c r="U5" s="246" t="s">
        <v>624</v>
      </c>
      <c r="V5" s="246" t="s">
        <v>625</v>
      </c>
      <c r="W5" s="246" t="s">
        <v>626</v>
      </c>
      <c r="X5" s="246" t="s">
        <v>798</v>
      </c>
      <c r="Y5" s="246" t="s">
        <v>799</v>
      </c>
      <c r="Z5" s="246" t="s">
        <v>800</v>
      </c>
      <c r="AA5" s="246" t="s">
        <v>801</v>
      </c>
      <c r="AB5" s="246" t="s">
        <v>913</v>
      </c>
      <c r="AC5" s="246" t="s">
        <v>914</v>
      </c>
      <c r="AD5" s="246" t="s">
        <v>923</v>
      </c>
      <c r="AE5" s="246" t="s">
        <v>924</v>
      </c>
      <c r="AF5" s="246" t="s">
        <v>1049</v>
      </c>
      <c r="AG5" s="246" t="s">
        <v>1023</v>
      </c>
      <c r="AH5" s="246" t="s">
        <v>1024</v>
      </c>
      <c r="AI5" s="246" t="s">
        <v>1050</v>
      </c>
      <c r="AJ5" s="246" t="s">
        <v>1114</v>
      </c>
      <c r="AK5" s="246" t="s">
        <v>1119</v>
      </c>
      <c r="AL5" s="246" t="s">
        <v>1121</v>
      </c>
      <c r="AM5" s="246" t="s">
        <v>1123</v>
      </c>
      <c r="AN5" s="246" t="s">
        <v>1176</v>
      </c>
      <c r="AO5" s="246" t="s">
        <v>1177</v>
      </c>
      <c r="AP5" s="246" t="s">
        <v>1179</v>
      </c>
      <c r="AQ5" s="246" t="s">
        <v>1181</v>
      </c>
      <c r="AR5" s="246" t="s">
        <v>1243</v>
      </c>
      <c r="AS5" s="246" t="s">
        <v>1250</v>
      </c>
      <c r="AT5" s="246" t="s">
        <v>1251</v>
      </c>
      <c r="AU5" s="246" t="s">
        <v>1252</v>
      </c>
      <c r="AV5" s="246" t="s">
        <v>1311</v>
      </c>
      <c r="AW5" s="246" t="s">
        <v>1313</v>
      </c>
      <c r="AX5" s="246" t="s">
        <v>1315</v>
      </c>
      <c r="AY5" s="246" t="s">
        <v>1317</v>
      </c>
      <c r="AZ5" s="246" t="s">
        <v>1344</v>
      </c>
    </row>
    <row r="6" spans="2:52" x14ac:dyDescent="0.2">
      <c r="B6" s="129" t="s">
        <v>364</v>
      </c>
      <c r="C6" s="118">
        <v>345150</v>
      </c>
      <c r="D6" s="118">
        <v>308741</v>
      </c>
      <c r="E6" s="160">
        <v>265009</v>
      </c>
      <c r="F6" s="118">
        <v>277689</v>
      </c>
      <c r="G6" s="118">
        <v>269609</v>
      </c>
      <c r="H6" s="118">
        <v>214854</v>
      </c>
      <c r="I6" s="118">
        <v>237139</v>
      </c>
      <c r="J6" s="118">
        <v>198733</v>
      </c>
      <c r="K6" s="118">
        <v>204805</v>
      </c>
      <c r="L6" s="118">
        <v>147084</v>
      </c>
      <c r="M6" s="118">
        <v>156469</v>
      </c>
      <c r="N6" s="118">
        <v>143754</v>
      </c>
      <c r="O6" s="118">
        <v>172327</v>
      </c>
      <c r="P6" s="118">
        <v>134371</v>
      </c>
      <c r="Q6" s="118">
        <v>141460</v>
      </c>
      <c r="R6" s="118">
        <v>155573</v>
      </c>
      <c r="S6" s="118">
        <v>173148</v>
      </c>
      <c r="T6" s="118">
        <v>151361</v>
      </c>
      <c r="U6" s="118">
        <v>176788</v>
      </c>
      <c r="V6" s="118">
        <v>191669</v>
      </c>
      <c r="W6" s="118">
        <v>229165</v>
      </c>
      <c r="X6" s="118">
        <v>205619</v>
      </c>
      <c r="Y6" s="118">
        <v>216793</v>
      </c>
      <c r="Z6" s="118">
        <v>223820</v>
      </c>
      <c r="AA6" s="118">
        <v>261395</v>
      </c>
      <c r="AB6" s="118">
        <v>208594</v>
      </c>
      <c r="AC6" s="118">
        <v>127655</v>
      </c>
      <c r="AD6" s="118">
        <v>200039</v>
      </c>
      <c r="AE6" s="118">
        <v>212426</v>
      </c>
      <c r="AF6" s="118">
        <v>169555</v>
      </c>
      <c r="AG6" s="118">
        <v>197561</v>
      </c>
      <c r="AH6" s="118">
        <v>197204</v>
      </c>
      <c r="AI6" s="118">
        <v>303600</v>
      </c>
      <c r="AJ6" s="118">
        <v>224723</v>
      </c>
      <c r="AK6" s="118">
        <v>267534</v>
      </c>
      <c r="AL6" s="118">
        <v>290106</v>
      </c>
      <c r="AM6" s="118">
        <v>315085</v>
      </c>
      <c r="AN6" s="118">
        <v>261254</v>
      </c>
      <c r="AO6" s="118">
        <v>265658</v>
      </c>
      <c r="AP6" s="118">
        <v>282517</v>
      </c>
      <c r="AQ6" s="118">
        <v>347303</v>
      </c>
      <c r="AR6" s="118">
        <v>296007</v>
      </c>
      <c r="AS6" s="118">
        <v>344894</v>
      </c>
      <c r="AT6" s="118">
        <v>397895</v>
      </c>
      <c r="AU6" s="118">
        <v>430532</v>
      </c>
      <c r="AV6" s="118">
        <v>325399</v>
      </c>
      <c r="AW6" s="118">
        <v>361839</v>
      </c>
      <c r="AX6" s="118">
        <v>416089</v>
      </c>
      <c r="AY6" s="118">
        <v>437647</v>
      </c>
      <c r="AZ6" s="118">
        <v>408535</v>
      </c>
    </row>
    <row r="7" spans="2:52" x14ac:dyDescent="0.2">
      <c r="B7" s="126" t="s">
        <v>185</v>
      </c>
      <c r="C7" s="120">
        <f t="shared" ref="C7:Q7" si="0">SUM(C6:C6)</f>
        <v>345150</v>
      </c>
      <c r="D7" s="120">
        <f t="shared" si="0"/>
        <v>308741</v>
      </c>
      <c r="E7" s="162">
        <f t="shared" si="0"/>
        <v>265009</v>
      </c>
      <c r="F7" s="120">
        <f t="shared" si="0"/>
        <v>277689</v>
      </c>
      <c r="G7" s="120">
        <f t="shared" si="0"/>
        <v>269609</v>
      </c>
      <c r="H7" s="120">
        <f t="shared" si="0"/>
        <v>214854</v>
      </c>
      <c r="I7" s="120">
        <f t="shared" si="0"/>
        <v>237139</v>
      </c>
      <c r="J7" s="120">
        <f t="shared" si="0"/>
        <v>198733</v>
      </c>
      <c r="K7" s="120">
        <f t="shared" si="0"/>
        <v>204805</v>
      </c>
      <c r="L7" s="120">
        <f t="shared" si="0"/>
        <v>147084</v>
      </c>
      <c r="M7" s="120">
        <f t="shared" si="0"/>
        <v>156469</v>
      </c>
      <c r="N7" s="120">
        <f t="shared" si="0"/>
        <v>143754</v>
      </c>
      <c r="O7" s="120">
        <f t="shared" si="0"/>
        <v>172327</v>
      </c>
      <c r="P7" s="120">
        <f t="shared" si="0"/>
        <v>134371</v>
      </c>
      <c r="Q7" s="120">
        <f t="shared" si="0"/>
        <v>141460</v>
      </c>
      <c r="R7" s="120">
        <f t="shared" ref="R7:AA7" si="1">SUM(R6:R6)</f>
        <v>155573</v>
      </c>
      <c r="S7" s="120">
        <f t="shared" si="1"/>
        <v>173148</v>
      </c>
      <c r="T7" s="120">
        <f t="shared" si="1"/>
        <v>151361</v>
      </c>
      <c r="U7" s="120">
        <f t="shared" si="1"/>
        <v>176788</v>
      </c>
      <c r="V7" s="120">
        <f t="shared" si="1"/>
        <v>191669</v>
      </c>
      <c r="W7" s="120">
        <f t="shared" si="1"/>
        <v>229165</v>
      </c>
      <c r="X7" s="120">
        <f t="shared" si="1"/>
        <v>205619</v>
      </c>
      <c r="Y7" s="120">
        <f t="shared" si="1"/>
        <v>216793</v>
      </c>
      <c r="Z7" s="120">
        <f t="shared" si="1"/>
        <v>223820</v>
      </c>
      <c r="AA7" s="120">
        <f t="shared" si="1"/>
        <v>261395</v>
      </c>
      <c r="AB7" s="120">
        <f t="shared" ref="AB7:AK7" si="2">SUM(AB6:AB6)</f>
        <v>208594</v>
      </c>
      <c r="AC7" s="120">
        <f t="shared" si="2"/>
        <v>127655</v>
      </c>
      <c r="AD7" s="120">
        <f t="shared" si="2"/>
        <v>200039</v>
      </c>
      <c r="AE7" s="120">
        <f t="shared" si="2"/>
        <v>212426</v>
      </c>
      <c r="AF7" s="120">
        <f t="shared" si="2"/>
        <v>169555</v>
      </c>
      <c r="AG7" s="120">
        <f t="shared" si="2"/>
        <v>197561</v>
      </c>
      <c r="AH7" s="120">
        <f t="shared" si="2"/>
        <v>197204</v>
      </c>
      <c r="AI7" s="120">
        <f>SUM(AI6:AI6)</f>
        <v>303600</v>
      </c>
      <c r="AJ7" s="120">
        <f>SUM(AJ6:AJ6)</f>
        <v>224723</v>
      </c>
      <c r="AK7" s="120">
        <f t="shared" si="2"/>
        <v>267534</v>
      </c>
      <c r="AL7" s="120">
        <f t="shared" ref="AL7:AS7" si="3">SUM(AL6:AL6)</f>
        <v>290106</v>
      </c>
      <c r="AM7" s="120">
        <f t="shared" si="3"/>
        <v>315085</v>
      </c>
      <c r="AN7" s="120">
        <f t="shared" si="3"/>
        <v>261254</v>
      </c>
      <c r="AO7" s="120">
        <f t="shared" si="3"/>
        <v>265658</v>
      </c>
      <c r="AP7" s="120">
        <f t="shared" si="3"/>
        <v>282517</v>
      </c>
      <c r="AQ7" s="120">
        <f t="shared" si="3"/>
        <v>347303</v>
      </c>
      <c r="AR7" s="120">
        <f t="shared" si="3"/>
        <v>296007</v>
      </c>
      <c r="AS7" s="120">
        <f t="shared" si="3"/>
        <v>344894</v>
      </c>
      <c r="AT7" s="120">
        <f t="shared" ref="AT7:AY7" si="4">SUM(AT6:AT6)</f>
        <v>397895</v>
      </c>
      <c r="AU7" s="120">
        <f t="shared" si="4"/>
        <v>430532</v>
      </c>
      <c r="AV7" s="120">
        <f t="shared" si="4"/>
        <v>325399</v>
      </c>
      <c r="AW7" s="120">
        <f t="shared" si="4"/>
        <v>361839</v>
      </c>
      <c r="AX7" s="120">
        <f t="shared" si="4"/>
        <v>416089</v>
      </c>
      <c r="AY7" s="120">
        <f t="shared" si="4"/>
        <v>437647</v>
      </c>
      <c r="AZ7" s="120">
        <f>SUM(AZ6:AZ6)</f>
        <v>408535</v>
      </c>
    </row>
    <row r="8" spans="2:52" x14ac:dyDescent="0.2">
      <c r="B8" s="129" t="s">
        <v>1320</v>
      </c>
      <c r="C8" s="118" t="s">
        <v>160</v>
      </c>
      <c r="D8" s="118" t="s">
        <v>160</v>
      </c>
      <c r="E8" s="160" t="s">
        <v>160</v>
      </c>
      <c r="F8" s="118" t="s">
        <v>160</v>
      </c>
      <c r="G8" s="118" t="s">
        <v>160</v>
      </c>
      <c r="H8" s="118" t="s">
        <v>160</v>
      </c>
      <c r="I8" s="118" t="s">
        <v>160</v>
      </c>
      <c r="J8" s="118" t="s">
        <v>160</v>
      </c>
      <c r="K8" s="118" t="s">
        <v>160</v>
      </c>
      <c r="L8" s="118" t="s">
        <v>160</v>
      </c>
      <c r="M8" s="118" t="s">
        <v>160</v>
      </c>
      <c r="N8" s="118" t="s">
        <v>160</v>
      </c>
      <c r="O8" s="118" t="s">
        <v>160</v>
      </c>
      <c r="P8" s="118" t="s">
        <v>160</v>
      </c>
      <c r="Q8" s="118" t="s">
        <v>160</v>
      </c>
      <c r="R8" s="118" t="s">
        <v>160</v>
      </c>
      <c r="S8" s="118" t="s">
        <v>160</v>
      </c>
      <c r="T8" s="118" t="s">
        <v>160</v>
      </c>
      <c r="U8" s="118" t="s">
        <v>160</v>
      </c>
      <c r="V8" s="118" t="s">
        <v>160</v>
      </c>
      <c r="W8" s="118" t="s">
        <v>160</v>
      </c>
      <c r="X8" s="118" t="s">
        <v>160</v>
      </c>
      <c r="Y8" s="118" t="s">
        <v>160</v>
      </c>
      <c r="Z8" s="118" t="s">
        <v>160</v>
      </c>
      <c r="AA8" s="118" t="s">
        <v>160</v>
      </c>
      <c r="AB8" s="118" t="s">
        <v>160</v>
      </c>
      <c r="AC8" s="118" t="s">
        <v>160</v>
      </c>
      <c r="AD8" s="118" t="s">
        <v>160</v>
      </c>
      <c r="AE8" s="118" t="s">
        <v>160</v>
      </c>
      <c r="AF8" s="118" t="s">
        <v>160</v>
      </c>
      <c r="AG8" s="118" t="s">
        <v>160</v>
      </c>
      <c r="AH8" s="118" t="s">
        <v>160</v>
      </c>
      <c r="AI8" s="118" t="s">
        <v>160</v>
      </c>
      <c r="AJ8" s="118" t="s">
        <v>160</v>
      </c>
      <c r="AK8" s="118" t="s">
        <v>160</v>
      </c>
      <c r="AL8" s="118" t="s">
        <v>160</v>
      </c>
      <c r="AM8" s="118" t="s">
        <v>160</v>
      </c>
      <c r="AN8" s="118" t="s">
        <v>160</v>
      </c>
      <c r="AO8" s="118" t="s">
        <v>160</v>
      </c>
      <c r="AP8" s="118" t="s">
        <v>160</v>
      </c>
      <c r="AQ8" s="118" t="s">
        <v>160</v>
      </c>
      <c r="AR8" s="118" t="s">
        <v>160</v>
      </c>
      <c r="AS8" s="118" t="s">
        <v>160</v>
      </c>
      <c r="AT8" s="118" t="s">
        <v>160</v>
      </c>
      <c r="AU8" s="118">
        <v>10789</v>
      </c>
      <c r="AV8" s="118">
        <v>7116</v>
      </c>
      <c r="AW8" s="118">
        <v>7777</v>
      </c>
      <c r="AX8" s="118">
        <v>6498</v>
      </c>
      <c r="AY8" s="118">
        <v>8035</v>
      </c>
      <c r="AZ8" s="118">
        <v>8169</v>
      </c>
    </row>
    <row r="9" spans="2:52" x14ac:dyDescent="0.2">
      <c r="B9" s="129" t="s">
        <v>491</v>
      </c>
      <c r="C9" s="118">
        <v>-6725</v>
      </c>
      <c r="D9" s="118">
        <v>-7202</v>
      </c>
      <c r="E9" s="160">
        <v>-4719</v>
      </c>
      <c r="F9" s="118">
        <v>-15659</v>
      </c>
      <c r="G9" s="118">
        <v>-16005</v>
      </c>
      <c r="H9" s="118">
        <v>-15545</v>
      </c>
      <c r="I9" s="118">
        <v>-15271</v>
      </c>
      <c r="J9" s="118">
        <v>-16393</v>
      </c>
      <c r="K9" s="118">
        <v>-17205</v>
      </c>
      <c r="L9" s="118">
        <v>-17833</v>
      </c>
      <c r="M9" s="118">
        <v>-17741</v>
      </c>
      <c r="N9" s="118">
        <v>-17317</v>
      </c>
      <c r="O9" s="118">
        <v>-18072</v>
      </c>
      <c r="P9" s="118">
        <v>-18241</v>
      </c>
      <c r="Q9" s="118">
        <v>-18221</v>
      </c>
      <c r="R9" s="118">
        <v>-18140</v>
      </c>
      <c r="S9" s="261">
        <v>-1968</v>
      </c>
      <c r="T9" s="118">
        <v>-1905</v>
      </c>
      <c r="U9" s="118">
        <v>-904</v>
      </c>
      <c r="V9" s="118">
        <v>-1187</v>
      </c>
      <c r="W9" s="118">
        <v>-2938</v>
      </c>
      <c r="X9" s="118">
        <v>-3014</v>
      </c>
      <c r="Y9" s="118">
        <v>-915</v>
      </c>
      <c r="Z9" s="118">
        <v>-1047</v>
      </c>
      <c r="AA9" s="118">
        <v>-222</v>
      </c>
      <c r="AB9" s="118">
        <v>-142</v>
      </c>
      <c r="AC9" s="118">
        <v>-211</v>
      </c>
      <c r="AD9" s="118">
        <v>-322</v>
      </c>
      <c r="AE9" s="118">
        <v>-288</v>
      </c>
      <c r="AF9" s="118">
        <v>-435</v>
      </c>
      <c r="AG9" s="118">
        <v>-473</v>
      </c>
      <c r="AH9" s="118">
        <v>-768</v>
      </c>
      <c r="AI9" s="118">
        <v>-931</v>
      </c>
      <c r="AJ9" s="118">
        <v>-1027</v>
      </c>
      <c r="AK9" s="118">
        <v>-1074</v>
      </c>
      <c r="AL9" s="118">
        <v>-1019</v>
      </c>
      <c r="AM9" s="118">
        <v>-1032</v>
      </c>
      <c r="AN9" s="118">
        <v>-1321</v>
      </c>
      <c r="AO9" s="118">
        <v>-1613</v>
      </c>
      <c r="AP9" s="118">
        <v>-1762</v>
      </c>
      <c r="AQ9" s="118">
        <v>-1798</v>
      </c>
      <c r="AR9" s="118">
        <v>-1817</v>
      </c>
      <c r="AS9" s="118">
        <v>-1952</v>
      </c>
      <c r="AT9" s="118">
        <v>-2556</v>
      </c>
      <c r="AU9" s="118">
        <v>-3387</v>
      </c>
      <c r="AV9" s="118">
        <v>-4113</v>
      </c>
      <c r="AW9" s="118">
        <v>-3464</v>
      </c>
      <c r="AX9" s="118">
        <v>-2791</v>
      </c>
      <c r="AY9" s="118">
        <v>-2523</v>
      </c>
      <c r="AZ9" s="118">
        <v>-3486</v>
      </c>
    </row>
    <row r="10" spans="2:52" x14ac:dyDescent="0.2">
      <c r="B10" s="126" t="s">
        <v>184</v>
      </c>
      <c r="C10" s="120">
        <f t="shared" ref="C10:AW10" si="5">SUM(C7:C9)</f>
        <v>338425</v>
      </c>
      <c r="D10" s="120">
        <f t="shared" si="5"/>
        <v>301539</v>
      </c>
      <c r="E10" s="162">
        <f t="shared" si="5"/>
        <v>260290</v>
      </c>
      <c r="F10" s="120">
        <f t="shared" si="5"/>
        <v>262030</v>
      </c>
      <c r="G10" s="120">
        <f t="shared" si="5"/>
        <v>253604</v>
      </c>
      <c r="H10" s="120">
        <f t="shared" si="5"/>
        <v>199309</v>
      </c>
      <c r="I10" s="120">
        <f t="shared" si="5"/>
        <v>221868</v>
      </c>
      <c r="J10" s="120">
        <f t="shared" si="5"/>
        <v>182340</v>
      </c>
      <c r="K10" s="120">
        <f t="shared" si="5"/>
        <v>187600</v>
      </c>
      <c r="L10" s="120">
        <f t="shared" si="5"/>
        <v>129251</v>
      </c>
      <c r="M10" s="120">
        <f t="shared" si="5"/>
        <v>138728</v>
      </c>
      <c r="N10" s="120">
        <f t="shared" si="5"/>
        <v>126437</v>
      </c>
      <c r="O10" s="120">
        <f t="shared" si="5"/>
        <v>154255</v>
      </c>
      <c r="P10" s="120">
        <f t="shared" si="5"/>
        <v>116130</v>
      </c>
      <c r="Q10" s="120">
        <f t="shared" si="5"/>
        <v>123239</v>
      </c>
      <c r="R10" s="120">
        <f t="shared" si="5"/>
        <v>137433</v>
      </c>
      <c r="S10" s="120">
        <f t="shared" si="5"/>
        <v>171180</v>
      </c>
      <c r="T10" s="120">
        <f t="shared" si="5"/>
        <v>149456</v>
      </c>
      <c r="U10" s="120">
        <f t="shared" si="5"/>
        <v>175884</v>
      </c>
      <c r="V10" s="120">
        <f t="shared" si="5"/>
        <v>190482</v>
      </c>
      <c r="W10" s="120">
        <f t="shared" si="5"/>
        <v>226227</v>
      </c>
      <c r="X10" s="120">
        <f t="shared" si="5"/>
        <v>202605</v>
      </c>
      <c r="Y10" s="120">
        <f t="shared" si="5"/>
        <v>215878</v>
      </c>
      <c r="Z10" s="120">
        <f t="shared" si="5"/>
        <v>222773</v>
      </c>
      <c r="AA10" s="120">
        <f t="shared" si="5"/>
        <v>261173</v>
      </c>
      <c r="AB10" s="120">
        <f t="shared" si="5"/>
        <v>208452</v>
      </c>
      <c r="AC10" s="120">
        <f t="shared" si="5"/>
        <v>127444</v>
      </c>
      <c r="AD10" s="120">
        <f t="shared" si="5"/>
        <v>199717</v>
      </c>
      <c r="AE10" s="120">
        <f t="shared" si="5"/>
        <v>212138</v>
      </c>
      <c r="AF10" s="120">
        <f t="shared" si="5"/>
        <v>169120</v>
      </c>
      <c r="AG10" s="120">
        <f t="shared" si="5"/>
        <v>197088</v>
      </c>
      <c r="AH10" s="120">
        <f t="shared" si="5"/>
        <v>196436</v>
      </c>
      <c r="AI10" s="120">
        <f t="shared" si="5"/>
        <v>302669</v>
      </c>
      <c r="AJ10" s="120">
        <f t="shared" si="5"/>
        <v>223696</v>
      </c>
      <c r="AK10" s="120">
        <f t="shared" si="5"/>
        <v>266460</v>
      </c>
      <c r="AL10" s="120">
        <f t="shared" si="5"/>
        <v>289087</v>
      </c>
      <c r="AM10" s="120">
        <f t="shared" si="5"/>
        <v>314053</v>
      </c>
      <c r="AN10" s="120">
        <f t="shared" si="5"/>
        <v>259933</v>
      </c>
      <c r="AO10" s="120">
        <f t="shared" si="5"/>
        <v>264045</v>
      </c>
      <c r="AP10" s="120">
        <f t="shared" si="5"/>
        <v>280755</v>
      </c>
      <c r="AQ10" s="120">
        <f t="shared" si="5"/>
        <v>345505</v>
      </c>
      <c r="AR10" s="120">
        <f t="shared" si="5"/>
        <v>294190</v>
      </c>
      <c r="AS10" s="120">
        <f>SUM(AS7:AS9)</f>
        <v>342942</v>
      </c>
      <c r="AT10" s="120">
        <f t="shared" si="5"/>
        <v>395339</v>
      </c>
      <c r="AU10" s="120">
        <f t="shared" si="5"/>
        <v>437934</v>
      </c>
      <c r="AV10" s="120">
        <f>SUM(AV7:AV9)</f>
        <v>328402</v>
      </c>
      <c r="AW10" s="120">
        <f t="shared" si="5"/>
        <v>366152</v>
      </c>
      <c r="AX10" s="120">
        <f>SUM(AX7:AX9)</f>
        <v>419796</v>
      </c>
      <c r="AY10" s="120">
        <f>SUM(AY7:AY9)</f>
        <v>443159</v>
      </c>
      <c r="AZ10" s="120">
        <f>SUM(AZ7:AZ9)</f>
        <v>413218</v>
      </c>
    </row>
    <row r="11" spans="2:52" s="257" customFormat="1" x14ac:dyDescent="0.2">
      <c r="B11" s="254" t="s">
        <v>535</v>
      </c>
      <c r="C11" s="258">
        <f>C10/(DRE!O6/90)</f>
        <v>53.264519175279361</v>
      </c>
      <c r="D11" s="258">
        <f>D10/(DRE!P6/90)</f>
        <v>57.289653731103819</v>
      </c>
      <c r="E11" s="259">
        <f>E10/(DRE!Q6/90)</f>
        <v>46.45261460913224</v>
      </c>
      <c r="F11" s="258">
        <f>F10/(DRE!R6/90)</f>
        <v>48.776487378098594</v>
      </c>
      <c r="G11" s="258">
        <f>G10/(DRE!S6/90)</f>
        <v>46.311248724249111</v>
      </c>
      <c r="H11" s="258">
        <f>H10/(DRE!T6/90)</f>
        <v>50.832461934759877</v>
      </c>
      <c r="I11" s="258">
        <f>I10/(DRE!U6/90)</f>
        <v>58.358331092692396</v>
      </c>
      <c r="J11" s="258">
        <f>J10/(DRE!V6/90)</f>
        <v>47.823680693430958</v>
      </c>
      <c r="K11" s="258">
        <f>K10/(DRE!W6/90)</f>
        <v>47.713316679253914</v>
      </c>
      <c r="L11" s="258">
        <f>L10/(DRE!X6/90)</f>
        <v>46.336666535887467</v>
      </c>
      <c r="M11" s="258">
        <f>M10/(DRE!Y6/90)</f>
        <v>44.110378040067964</v>
      </c>
      <c r="N11" s="258">
        <f>N10/(DRE!Z6/90)</f>
        <v>38.894306878741482</v>
      </c>
      <c r="O11" s="258">
        <f>O10/(DRE!AA6/90)</f>
        <v>44.275026198992798</v>
      </c>
      <c r="P11" s="258">
        <f>P10/(DRE!AB6/90)</f>
        <v>39.719237402548863</v>
      </c>
      <c r="Q11" s="258">
        <f>Q10/(DRE!AC6/90)</f>
        <v>35.014730035534399</v>
      </c>
      <c r="R11" s="258">
        <f>R10/(DRE!AD6/90)</f>
        <v>34.780388227402035</v>
      </c>
      <c r="S11" s="258">
        <f>S10/(DRE!AE6/90)</f>
        <v>39.037343944115563</v>
      </c>
      <c r="T11" s="258">
        <f>T10/(DRE!AF6/90)</f>
        <v>41.663506875971962</v>
      </c>
      <c r="U11" s="258">
        <f>U10/(DRE!AG6/90)</f>
        <v>43.922375863127726</v>
      </c>
      <c r="V11" s="258">
        <f>V10/(DRE!AH6/90)</f>
        <v>41.225349933842544</v>
      </c>
      <c r="W11" s="258">
        <f>W10/(DRE!AI6/90)</f>
        <v>46.313049769519438</v>
      </c>
      <c r="X11" s="258">
        <f>X10/(DRE!AJ6/90)</f>
        <v>49.646939808097962</v>
      </c>
      <c r="Y11" s="258">
        <f>Y10/(DRE!AK6/90)</f>
        <v>47.815763249532246</v>
      </c>
      <c r="Z11" s="258">
        <f>Z10/(DRE!AL6/90)</f>
        <v>48.213560576659368</v>
      </c>
      <c r="AA11" s="258">
        <f>AA10/(DRE!AM6/90)</f>
        <v>50.675232910702135</v>
      </c>
      <c r="AB11" s="258">
        <f>AB10/(DRE!AN6/90)</f>
        <v>54.307420809725244</v>
      </c>
      <c r="AC11" s="258">
        <f>AC10/(DRE!AO6/90)</f>
        <v>71.568658460625841</v>
      </c>
      <c r="AD11" s="258">
        <f>AD10/(DRE!AP6/90)</f>
        <v>50.163895693743683</v>
      </c>
      <c r="AE11" s="258">
        <f>AE10/(DRE!AQ6/90)</f>
        <v>49.36897007920826</v>
      </c>
      <c r="AF11" s="258">
        <f>AF10/(DRE!AR6/90)</f>
        <v>52.347476219140027</v>
      </c>
      <c r="AG11" s="258">
        <f>AG10/(DRE!AS6/90)</f>
        <v>60.187450597363473</v>
      </c>
      <c r="AH11" s="258">
        <f>AH10/(DRE!AT6/90)</f>
        <v>61.114199538102213</v>
      </c>
      <c r="AI11" s="258">
        <f>AI10/(DRE!AU6/90)</f>
        <v>71.782561682617512</v>
      </c>
      <c r="AJ11" s="258">
        <v>67.482475285711402</v>
      </c>
      <c r="AK11" s="258">
        <f>AK10/(DRE!AW6/90)</f>
        <v>63.808961158789771</v>
      </c>
      <c r="AL11" s="258">
        <f>AL10/(DRE!AX6/90)</f>
        <v>50.874665931595509</v>
      </c>
      <c r="AM11" s="258">
        <f>AM10/(DRE!AY6/90)</f>
        <v>55.826079891574423</v>
      </c>
      <c r="AN11" s="258">
        <f>AN10/(DRE!AZ6/90)</f>
        <v>56.070215665586787</v>
      </c>
      <c r="AO11" s="258">
        <f>AO10/(DRE!BA6/90)</f>
        <v>51.983792337188738</v>
      </c>
      <c r="AP11" s="258">
        <f>AP10/(DRE!BB6/90)</f>
        <v>47.576690603690487</v>
      </c>
      <c r="AQ11" s="258">
        <f>AQ10/(DRE!BC6/90)</f>
        <v>54.941851530098845</v>
      </c>
      <c r="AR11" s="258">
        <f>AR10/(DRE!BD6/90)</f>
        <v>54.791267344803188</v>
      </c>
      <c r="AS11" s="258">
        <f>AS10/(DRE!BE6/90)</f>
        <v>52.770403894665691</v>
      </c>
      <c r="AT11" s="258">
        <f>AT10/(DRE!BF6/90)</f>
        <v>47.646607614023388</v>
      </c>
      <c r="AU11" s="258">
        <f>AU10/(DRE!BG6/90)</f>
        <v>51.164407216993304</v>
      </c>
      <c r="AV11" s="258">
        <f>AV10/(DRE!BH6/90)</f>
        <v>54.216612160742947</v>
      </c>
      <c r="AW11" s="258">
        <f>AW10/(DRE!BI6/90)</f>
        <v>48.770676288977057</v>
      </c>
      <c r="AX11" s="258">
        <f>AX10/(DRE!BJ6/90)</f>
        <v>48.041871943473204</v>
      </c>
      <c r="AY11" s="258">
        <f>AY10/(DRE!BK6/90)</f>
        <v>52.153208861689272</v>
      </c>
      <c r="AZ11" s="258">
        <f>AZ10/(DRE!BL6/90)</f>
        <v>57.21172078421079</v>
      </c>
    </row>
    <row r="12" spans="2:52" x14ac:dyDescent="0.2">
      <c r="B12" s="149"/>
      <c r="C12" s="150">
        <f>+C10-BP!R8</f>
        <v>0</v>
      </c>
      <c r="D12" s="150">
        <f>+D10-BP!S8</f>
        <v>0</v>
      </c>
      <c r="E12" s="150">
        <f>+E10-BP!T8</f>
        <v>0</v>
      </c>
      <c r="F12" s="150">
        <f>+F10-BP!U8-BP!U26</f>
        <v>0</v>
      </c>
      <c r="G12" s="150">
        <f>+G10-BP!V8</f>
        <v>0</v>
      </c>
      <c r="H12" s="150">
        <f>+H10-BP!W8</f>
        <v>0</v>
      </c>
      <c r="I12" s="150">
        <f>+I10-BP!X8</f>
        <v>0</v>
      </c>
      <c r="J12" s="150">
        <f>+J10-BP!Y8</f>
        <v>0</v>
      </c>
      <c r="K12" s="150">
        <f>+K10-BP!Z8</f>
        <v>0</v>
      </c>
      <c r="L12" s="150">
        <f>+L10-BP!AA8</f>
        <v>0</v>
      </c>
      <c r="M12" s="150">
        <f>+M10-BP!AB8</f>
        <v>0</v>
      </c>
      <c r="N12" s="150">
        <f>+N10-BP!AC8</f>
        <v>0</v>
      </c>
      <c r="O12" s="150">
        <f>+O10-BP!AD8</f>
        <v>0</v>
      </c>
      <c r="P12" s="150">
        <f>+P10-BP!AE8</f>
        <v>0</v>
      </c>
      <c r="Q12" s="150">
        <f>+Q10-BP!AF8</f>
        <v>0</v>
      </c>
      <c r="R12" s="150">
        <f>+R10-BP!AG8</f>
        <v>0</v>
      </c>
      <c r="S12" s="150">
        <f>+S10-BP!AH8</f>
        <v>0</v>
      </c>
      <c r="T12" s="150">
        <f>+T10-BP!AI8</f>
        <v>0</v>
      </c>
      <c r="U12" s="150">
        <f>+U10-BP!AJ8</f>
        <v>0</v>
      </c>
      <c r="V12" s="150">
        <v>0</v>
      </c>
      <c r="W12" s="150">
        <v>0</v>
      </c>
      <c r="X12" s="150">
        <v>0</v>
      </c>
      <c r="Y12" s="150"/>
      <c r="Z12" s="150"/>
      <c r="AA12" s="150">
        <v>0</v>
      </c>
      <c r="AB12" s="150">
        <v>0</v>
      </c>
      <c r="AC12" s="150">
        <v>0</v>
      </c>
      <c r="AD12" s="150">
        <v>0</v>
      </c>
      <c r="AE12" s="150">
        <v>0</v>
      </c>
      <c r="AF12" s="150">
        <v>0</v>
      </c>
      <c r="AG12" s="150">
        <v>0</v>
      </c>
      <c r="AH12" s="150">
        <v>0</v>
      </c>
      <c r="AI12" s="150"/>
      <c r="AJ12" s="150">
        <v>0</v>
      </c>
      <c r="AK12" s="150">
        <v>0</v>
      </c>
      <c r="AL12" s="150">
        <v>0</v>
      </c>
      <c r="AM12" s="150">
        <v>0</v>
      </c>
      <c r="AN12" s="150">
        <v>0</v>
      </c>
      <c r="AO12" s="150">
        <v>0</v>
      </c>
      <c r="AP12" s="150">
        <v>0</v>
      </c>
      <c r="AQ12" s="150">
        <v>0</v>
      </c>
      <c r="AR12" s="150">
        <v>0</v>
      </c>
      <c r="AS12" s="150">
        <v>0</v>
      </c>
      <c r="AT12" s="150">
        <v>0</v>
      </c>
      <c r="AU12" s="150"/>
      <c r="AV12" s="150"/>
      <c r="AW12" s="150">
        <v>0</v>
      </c>
      <c r="AX12" s="150">
        <v>0</v>
      </c>
      <c r="AY12" s="150">
        <v>0</v>
      </c>
      <c r="AZ12" s="150">
        <v>0</v>
      </c>
    </row>
    <row r="13" spans="2:52" x14ac:dyDescent="0.2">
      <c r="B13" s="143" t="s">
        <v>97</v>
      </c>
      <c r="C13" s="246" t="str">
        <f t="shared" ref="C13:AW13" si="6">C5</f>
        <v>4T13</v>
      </c>
      <c r="D13" s="246" t="str">
        <f t="shared" si="6"/>
        <v>1T14</v>
      </c>
      <c r="E13" s="246" t="str">
        <f t="shared" si="6"/>
        <v>2T14</v>
      </c>
      <c r="F13" s="246" t="str">
        <f t="shared" si="6"/>
        <v>3T14</v>
      </c>
      <c r="G13" s="246" t="str">
        <f t="shared" si="6"/>
        <v>4T14</v>
      </c>
      <c r="H13" s="246" t="str">
        <f t="shared" si="6"/>
        <v>1T15</v>
      </c>
      <c r="I13" s="246" t="str">
        <f t="shared" si="6"/>
        <v>2T15</v>
      </c>
      <c r="J13" s="246" t="str">
        <f t="shared" si="6"/>
        <v>3T15</v>
      </c>
      <c r="K13" s="246" t="str">
        <f t="shared" si="6"/>
        <v>4T15</v>
      </c>
      <c r="L13" s="246" t="str">
        <f t="shared" si="6"/>
        <v>1T16</v>
      </c>
      <c r="M13" s="246" t="str">
        <f t="shared" si="6"/>
        <v>2T16</v>
      </c>
      <c r="N13" s="246" t="str">
        <f t="shared" si="6"/>
        <v>3T16</v>
      </c>
      <c r="O13" s="246" t="str">
        <f t="shared" si="6"/>
        <v>4T16</v>
      </c>
      <c r="P13" s="246" t="str">
        <f t="shared" si="6"/>
        <v>1T17</v>
      </c>
      <c r="Q13" s="246" t="str">
        <f t="shared" si="6"/>
        <v>2T17</v>
      </c>
      <c r="R13" s="246" t="str">
        <f t="shared" si="6"/>
        <v>3T17</v>
      </c>
      <c r="S13" s="246" t="str">
        <f t="shared" si="6"/>
        <v>4T17</v>
      </c>
      <c r="T13" s="246" t="str">
        <f t="shared" si="6"/>
        <v>1T18</v>
      </c>
      <c r="U13" s="246" t="str">
        <f t="shared" si="6"/>
        <v>2T18</v>
      </c>
      <c r="V13" s="246" t="str">
        <f t="shared" si="6"/>
        <v>3T18</v>
      </c>
      <c r="W13" s="246" t="str">
        <f t="shared" si="6"/>
        <v>4T18</v>
      </c>
      <c r="X13" s="246" t="str">
        <f t="shared" si="6"/>
        <v>1T19</v>
      </c>
      <c r="Y13" s="246" t="str">
        <f t="shared" si="6"/>
        <v>2T19</v>
      </c>
      <c r="Z13" s="246" t="str">
        <f t="shared" si="6"/>
        <v>3T19</v>
      </c>
      <c r="AA13" s="246" t="str">
        <f t="shared" si="6"/>
        <v>4T19</v>
      </c>
      <c r="AB13" s="246" t="str">
        <f t="shared" si="6"/>
        <v>1T20</v>
      </c>
      <c r="AC13" s="246" t="str">
        <f t="shared" si="6"/>
        <v>2T20</v>
      </c>
      <c r="AD13" s="246" t="str">
        <f t="shared" si="6"/>
        <v>3T20</v>
      </c>
      <c r="AE13" s="246" t="str">
        <f t="shared" si="6"/>
        <v>4T20</v>
      </c>
      <c r="AF13" s="246" t="str">
        <f t="shared" si="6"/>
        <v>1T21</v>
      </c>
      <c r="AG13" s="246" t="str">
        <f t="shared" si="6"/>
        <v>2T21</v>
      </c>
      <c r="AH13" s="246" t="str">
        <f t="shared" si="6"/>
        <v>3T21</v>
      </c>
      <c r="AI13" s="246" t="str">
        <f t="shared" si="6"/>
        <v>4T21</v>
      </c>
      <c r="AJ13" s="246" t="str">
        <f t="shared" si="6"/>
        <v>1T22</v>
      </c>
      <c r="AK13" s="246" t="str">
        <f t="shared" si="6"/>
        <v>2T22</v>
      </c>
      <c r="AL13" s="246" t="str">
        <f t="shared" si="6"/>
        <v>3T22</v>
      </c>
      <c r="AM13" s="246" t="str">
        <f t="shared" si="6"/>
        <v>4T22</v>
      </c>
      <c r="AN13" s="246" t="str">
        <f t="shared" si="6"/>
        <v>1T23</v>
      </c>
      <c r="AO13" s="246" t="str">
        <f t="shared" si="6"/>
        <v>2T23</v>
      </c>
      <c r="AP13" s="246" t="str">
        <f t="shared" si="6"/>
        <v>3T23</v>
      </c>
      <c r="AQ13" s="246" t="str">
        <f t="shared" si="6"/>
        <v>4T23</v>
      </c>
      <c r="AR13" s="246" t="str">
        <f t="shared" si="6"/>
        <v>1T24</v>
      </c>
      <c r="AS13" s="246" t="str">
        <f t="shared" si="6"/>
        <v>2T24</v>
      </c>
      <c r="AT13" s="246" t="str">
        <f t="shared" si="6"/>
        <v>3T24</v>
      </c>
      <c r="AU13" s="246" t="str">
        <f t="shared" si="6"/>
        <v>4T24</v>
      </c>
      <c r="AV13" s="246" t="str">
        <f t="shared" si="6"/>
        <v>1T25</v>
      </c>
      <c r="AW13" s="246" t="str">
        <f t="shared" si="6"/>
        <v>2T25</v>
      </c>
      <c r="AX13" s="246" t="str">
        <f>AX5</f>
        <v>3T25</v>
      </c>
      <c r="AY13" s="246" t="str">
        <f>AY5</f>
        <v>4T25</v>
      </c>
      <c r="AZ13" s="246" t="str">
        <f>AZ5</f>
        <v>1T26</v>
      </c>
    </row>
    <row r="14" spans="2:52" x14ac:dyDescent="0.2">
      <c r="B14" s="129" t="s">
        <v>364</v>
      </c>
      <c r="C14" s="118">
        <v>207766</v>
      </c>
      <c r="D14" s="118">
        <v>171790</v>
      </c>
      <c r="E14" s="160">
        <v>190607</v>
      </c>
      <c r="F14" s="118">
        <v>209969</v>
      </c>
      <c r="G14" s="118">
        <v>224339</v>
      </c>
      <c r="H14" s="118">
        <v>175404</v>
      </c>
      <c r="I14" s="118">
        <v>188896</v>
      </c>
      <c r="J14" s="118">
        <v>147386</v>
      </c>
      <c r="K14" s="118">
        <v>156121</v>
      </c>
      <c r="L14" s="118">
        <v>116865</v>
      </c>
      <c r="M14" s="118">
        <v>123475</v>
      </c>
      <c r="N14" s="118">
        <v>114780</v>
      </c>
      <c r="O14" s="118">
        <v>140973</v>
      </c>
      <c r="P14" s="118">
        <v>107485</v>
      </c>
      <c r="Q14" s="118">
        <v>113929</v>
      </c>
      <c r="R14" s="118">
        <v>129023</v>
      </c>
      <c r="S14" s="118">
        <v>146163</v>
      </c>
      <c r="T14" s="118">
        <v>127469</v>
      </c>
      <c r="U14" s="118">
        <v>152846</v>
      </c>
      <c r="V14" s="118">
        <v>163315</v>
      </c>
      <c r="W14" s="118">
        <v>195622</v>
      </c>
      <c r="X14" s="118">
        <v>171213</v>
      </c>
      <c r="Y14" s="118">
        <v>181060</v>
      </c>
      <c r="Z14" s="118">
        <v>184129</v>
      </c>
      <c r="AA14" s="118">
        <v>220639</v>
      </c>
      <c r="AB14" s="118">
        <v>167760</v>
      </c>
      <c r="AC14" s="118">
        <v>78450</v>
      </c>
      <c r="AD14" s="118">
        <v>160873</v>
      </c>
      <c r="AE14" s="118">
        <v>176348</v>
      </c>
      <c r="AF14" s="118">
        <v>142264</v>
      </c>
      <c r="AG14" s="118">
        <v>147023</v>
      </c>
      <c r="AH14" s="118">
        <v>132850</v>
      </c>
      <c r="AI14" s="118">
        <v>217645</v>
      </c>
      <c r="AJ14" s="118">
        <v>149507</v>
      </c>
      <c r="AK14" s="118">
        <v>204452</v>
      </c>
      <c r="AL14" s="118">
        <v>243845</v>
      </c>
      <c r="AM14" s="118">
        <v>269179</v>
      </c>
      <c r="AN14" s="118">
        <v>207164</v>
      </c>
      <c r="AO14" s="118">
        <v>214788</v>
      </c>
      <c r="AP14" s="118">
        <v>229736</v>
      </c>
      <c r="AQ14" s="118">
        <v>294342</v>
      </c>
      <c r="AR14" s="118">
        <v>231773</v>
      </c>
      <c r="AS14" s="118">
        <v>292725</v>
      </c>
      <c r="AT14" s="118">
        <v>345747</v>
      </c>
      <c r="AU14" s="118">
        <v>386285</v>
      </c>
      <c r="AV14" s="118">
        <v>271022</v>
      </c>
      <c r="AW14" s="118">
        <v>300136</v>
      </c>
      <c r="AX14" s="118">
        <v>358148</v>
      </c>
      <c r="AY14" s="118">
        <v>373583</v>
      </c>
      <c r="AZ14" s="118">
        <v>338972</v>
      </c>
    </row>
    <row r="15" spans="2:52" x14ac:dyDescent="0.2">
      <c r="B15" s="126" t="s">
        <v>185</v>
      </c>
      <c r="C15" s="120">
        <f t="shared" ref="C15:L15" si="7">SUM(C14:C14)</f>
        <v>207766</v>
      </c>
      <c r="D15" s="120">
        <f t="shared" si="7"/>
        <v>171790</v>
      </c>
      <c r="E15" s="162">
        <f t="shared" si="7"/>
        <v>190607</v>
      </c>
      <c r="F15" s="120">
        <f t="shared" si="7"/>
        <v>209969</v>
      </c>
      <c r="G15" s="120">
        <f t="shared" si="7"/>
        <v>224339</v>
      </c>
      <c r="H15" s="120">
        <f t="shared" si="7"/>
        <v>175404</v>
      </c>
      <c r="I15" s="120">
        <f t="shared" si="7"/>
        <v>188896</v>
      </c>
      <c r="J15" s="120">
        <f t="shared" si="7"/>
        <v>147386</v>
      </c>
      <c r="K15" s="120">
        <f t="shared" si="7"/>
        <v>156121</v>
      </c>
      <c r="L15" s="120">
        <f t="shared" si="7"/>
        <v>116865</v>
      </c>
      <c r="M15" s="120">
        <f t="shared" ref="M15:AA15" si="8">SUM(M14:M14)</f>
        <v>123475</v>
      </c>
      <c r="N15" s="120">
        <f t="shared" si="8"/>
        <v>114780</v>
      </c>
      <c r="O15" s="120">
        <f t="shared" si="8"/>
        <v>140973</v>
      </c>
      <c r="P15" s="120">
        <f t="shared" si="8"/>
        <v>107485</v>
      </c>
      <c r="Q15" s="120">
        <f t="shared" si="8"/>
        <v>113929</v>
      </c>
      <c r="R15" s="120">
        <f t="shared" si="8"/>
        <v>129023</v>
      </c>
      <c r="S15" s="120">
        <f t="shared" si="8"/>
        <v>146163</v>
      </c>
      <c r="T15" s="120">
        <f t="shared" si="8"/>
        <v>127469</v>
      </c>
      <c r="U15" s="120">
        <f t="shared" si="8"/>
        <v>152846</v>
      </c>
      <c r="V15" s="120">
        <f t="shared" si="8"/>
        <v>163315</v>
      </c>
      <c r="W15" s="120">
        <f t="shared" si="8"/>
        <v>195622</v>
      </c>
      <c r="X15" s="120">
        <f t="shared" si="8"/>
        <v>171213</v>
      </c>
      <c r="Y15" s="120">
        <f t="shared" si="8"/>
        <v>181060</v>
      </c>
      <c r="Z15" s="120">
        <f t="shared" si="8"/>
        <v>184129</v>
      </c>
      <c r="AA15" s="120">
        <f t="shared" si="8"/>
        <v>220639</v>
      </c>
      <c r="AB15" s="120">
        <f t="shared" ref="AB15:AH15" si="9">SUM(AB14:AB14)</f>
        <v>167760</v>
      </c>
      <c r="AC15" s="120">
        <f t="shared" si="9"/>
        <v>78450</v>
      </c>
      <c r="AD15" s="120">
        <f t="shared" si="9"/>
        <v>160873</v>
      </c>
      <c r="AE15" s="120">
        <f t="shared" si="9"/>
        <v>176348</v>
      </c>
      <c r="AF15" s="120">
        <f t="shared" si="9"/>
        <v>142264</v>
      </c>
      <c r="AG15" s="120">
        <f t="shared" si="9"/>
        <v>147023</v>
      </c>
      <c r="AH15" s="120">
        <f t="shared" si="9"/>
        <v>132850</v>
      </c>
      <c r="AI15" s="120">
        <f t="shared" ref="AI15:AN15" si="10">SUM(AI14:AI14)</f>
        <v>217645</v>
      </c>
      <c r="AJ15" s="120">
        <f t="shared" si="10"/>
        <v>149507</v>
      </c>
      <c r="AK15" s="120">
        <f t="shared" si="10"/>
        <v>204452</v>
      </c>
      <c r="AL15" s="120">
        <f t="shared" si="10"/>
        <v>243845</v>
      </c>
      <c r="AM15" s="120">
        <f t="shared" si="10"/>
        <v>269179</v>
      </c>
      <c r="AN15" s="120">
        <f t="shared" si="10"/>
        <v>207164</v>
      </c>
      <c r="AO15" s="120">
        <f t="shared" ref="AO15:AW15" si="11">SUM(AO14:AO14)</f>
        <v>214788</v>
      </c>
      <c r="AP15" s="120">
        <f t="shared" si="11"/>
        <v>229736</v>
      </c>
      <c r="AQ15" s="120">
        <f t="shared" si="11"/>
        <v>294342</v>
      </c>
      <c r="AR15" s="120">
        <f t="shared" si="11"/>
        <v>231773</v>
      </c>
      <c r="AS15" s="120">
        <f t="shared" si="11"/>
        <v>292725</v>
      </c>
      <c r="AT15" s="120">
        <f t="shared" si="11"/>
        <v>345747</v>
      </c>
      <c r="AU15" s="120">
        <f t="shared" si="11"/>
        <v>386285</v>
      </c>
      <c r="AV15" s="120">
        <f t="shared" si="11"/>
        <v>271022</v>
      </c>
      <c r="AW15" s="120">
        <f t="shared" si="11"/>
        <v>300136</v>
      </c>
      <c r="AX15" s="120">
        <f>SUM(AX14:AX14)</f>
        <v>358148</v>
      </c>
      <c r="AY15" s="120">
        <f>SUM(AY14:AY14)</f>
        <v>373583</v>
      </c>
      <c r="AZ15" s="120">
        <f>SUM(AZ14:AZ14)</f>
        <v>338972</v>
      </c>
    </row>
    <row r="16" spans="2:52" x14ac:dyDescent="0.2">
      <c r="B16" s="129" t="s">
        <v>1320</v>
      </c>
      <c r="C16" s="118" t="s">
        <v>160</v>
      </c>
      <c r="D16" s="118" t="s">
        <v>160</v>
      </c>
      <c r="E16" s="160" t="s">
        <v>160</v>
      </c>
      <c r="F16" s="118" t="s">
        <v>160</v>
      </c>
      <c r="G16" s="118" t="s">
        <v>160</v>
      </c>
      <c r="H16" s="118" t="s">
        <v>160</v>
      </c>
      <c r="I16" s="118" t="s">
        <v>160</v>
      </c>
      <c r="J16" s="118" t="s">
        <v>160</v>
      </c>
      <c r="K16" s="118" t="s">
        <v>160</v>
      </c>
      <c r="L16" s="118" t="s">
        <v>160</v>
      </c>
      <c r="M16" s="118" t="s">
        <v>160</v>
      </c>
      <c r="N16" s="118" t="s">
        <v>160</v>
      </c>
      <c r="O16" s="118" t="s">
        <v>160</v>
      </c>
      <c r="P16" s="118" t="s">
        <v>160</v>
      </c>
      <c r="Q16" s="118" t="s">
        <v>160</v>
      </c>
      <c r="R16" s="118" t="s">
        <v>160</v>
      </c>
      <c r="S16" s="118" t="s">
        <v>160</v>
      </c>
      <c r="T16" s="118" t="s">
        <v>160</v>
      </c>
      <c r="U16" s="118" t="s">
        <v>160</v>
      </c>
      <c r="V16" s="118" t="s">
        <v>160</v>
      </c>
      <c r="W16" s="118" t="s">
        <v>160</v>
      </c>
      <c r="X16" s="118" t="s">
        <v>160</v>
      </c>
      <c r="Y16" s="118" t="s">
        <v>160</v>
      </c>
      <c r="Z16" s="118" t="s">
        <v>160</v>
      </c>
      <c r="AA16" s="118" t="s">
        <v>160</v>
      </c>
      <c r="AB16" s="118" t="s">
        <v>160</v>
      </c>
      <c r="AC16" s="118" t="s">
        <v>160</v>
      </c>
      <c r="AD16" s="118" t="s">
        <v>160</v>
      </c>
      <c r="AE16" s="118" t="s">
        <v>160</v>
      </c>
      <c r="AF16" s="118" t="s">
        <v>160</v>
      </c>
      <c r="AG16" s="118" t="s">
        <v>160</v>
      </c>
      <c r="AH16" s="118" t="s">
        <v>160</v>
      </c>
      <c r="AI16" s="118" t="s">
        <v>160</v>
      </c>
      <c r="AJ16" s="118" t="s">
        <v>160</v>
      </c>
      <c r="AK16" s="118" t="s">
        <v>160</v>
      </c>
      <c r="AL16" s="118" t="s">
        <v>160</v>
      </c>
      <c r="AM16" s="118" t="s">
        <v>160</v>
      </c>
      <c r="AN16" s="118" t="s">
        <v>160</v>
      </c>
      <c r="AO16" s="118" t="s">
        <v>160</v>
      </c>
      <c r="AP16" s="118" t="s">
        <v>160</v>
      </c>
      <c r="AQ16" s="118" t="s">
        <v>160</v>
      </c>
      <c r="AR16" s="118" t="s">
        <v>160</v>
      </c>
      <c r="AS16" s="118" t="s">
        <v>160</v>
      </c>
      <c r="AT16" s="118" t="s">
        <v>160</v>
      </c>
      <c r="AU16" s="118">
        <v>10789</v>
      </c>
      <c r="AV16" s="118">
        <v>7116</v>
      </c>
      <c r="AW16" s="118">
        <v>7777</v>
      </c>
      <c r="AX16" s="118">
        <v>6498</v>
      </c>
      <c r="AY16" s="118">
        <v>8035</v>
      </c>
      <c r="AZ16" s="118">
        <v>8169</v>
      </c>
    </row>
    <row r="17" spans="2:52" x14ac:dyDescent="0.2">
      <c r="B17" s="129" t="s">
        <v>491</v>
      </c>
      <c r="C17" s="118">
        <v>-2247</v>
      </c>
      <c r="D17" s="118">
        <v>-2569</v>
      </c>
      <c r="E17" s="160">
        <v>-3238</v>
      </c>
      <c r="F17" s="118">
        <v>-14101</v>
      </c>
      <c r="G17" s="118">
        <v>-13089</v>
      </c>
      <c r="H17" s="118">
        <v>-12875</v>
      </c>
      <c r="I17" s="118">
        <v>-11410</v>
      </c>
      <c r="J17" s="118">
        <v>-11715</v>
      </c>
      <c r="K17" s="118">
        <v>-12450</v>
      </c>
      <c r="L17" s="118">
        <v>-12515</v>
      </c>
      <c r="M17" s="118">
        <v>-12406</v>
      </c>
      <c r="N17" s="118">
        <v>-12405</v>
      </c>
      <c r="O17" s="118">
        <v>-12372</v>
      </c>
      <c r="P17" s="118">
        <v>-12376</v>
      </c>
      <c r="Q17" s="118">
        <v>-12380</v>
      </c>
      <c r="R17" s="118">
        <v>-12313</v>
      </c>
      <c r="S17" s="118">
        <v>-111</v>
      </c>
      <c r="T17" s="118">
        <v>-168</v>
      </c>
      <c r="U17" s="118">
        <v>-59</v>
      </c>
      <c r="V17" s="118">
        <v>-64</v>
      </c>
      <c r="W17" s="118">
        <v>-79</v>
      </c>
      <c r="X17" s="118">
        <v>-158</v>
      </c>
      <c r="Y17" s="118">
        <v>-78</v>
      </c>
      <c r="Z17" s="118">
        <v>-164</v>
      </c>
      <c r="AA17" s="118">
        <v>-175</v>
      </c>
      <c r="AB17" s="118">
        <v>-96</v>
      </c>
      <c r="AC17" s="118">
        <v>-158</v>
      </c>
      <c r="AD17" s="118">
        <v>-275</v>
      </c>
      <c r="AE17" s="118">
        <v>-242</v>
      </c>
      <c r="AF17" s="118">
        <v>-333</v>
      </c>
      <c r="AG17" s="118">
        <v>-370</v>
      </c>
      <c r="AH17" s="118">
        <v>-490</v>
      </c>
      <c r="AI17" s="118">
        <v>-2504</v>
      </c>
      <c r="AJ17" s="118">
        <v>-911</v>
      </c>
      <c r="AK17" s="118">
        <v>-929</v>
      </c>
      <c r="AL17" s="118">
        <v>-858</v>
      </c>
      <c r="AM17" s="118">
        <v>-797</v>
      </c>
      <c r="AN17" s="118">
        <v>-769</v>
      </c>
      <c r="AO17" s="118">
        <v>-1092</v>
      </c>
      <c r="AP17" s="118">
        <v>-1059</v>
      </c>
      <c r="AQ17" s="118">
        <v>-1048</v>
      </c>
      <c r="AR17" s="118">
        <v>-1125</v>
      </c>
      <c r="AS17" s="118">
        <v>-1270</v>
      </c>
      <c r="AT17" s="118">
        <v>-1887</v>
      </c>
      <c r="AU17" s="118">
        <v>-2974</v>
      </c>
      <c r="AV17" s="118">
        <v>-3651</v>
      </c>
      <c r="AW17" s="118">
        <v>-2800</v>
      </c>
      <c r="AX17" s="118">
        <v>-2486</v>
      </c>
      <c r="AY17" s="118">
        <v>-2019</v>
      </c>
      <c r="AZ17" s="118">
        <v>-2504</v>
      </c>
    </row>
    <row r="18" spans="2:52" x14ac:dyDescent="0.2">
      <c r="B18" s="126" t="s">
        <v>184</v>
      </c>
      <c r="C18" s="120">
        <f t="shared" ref="C18:L18" si="12">SUM(C15:C17)</f>
        <v>205519</v>
      </c>
      <c r="D18" s="120">
        <f t="shared" si="12"/>
        <v>169221</v>
      </c>
      <c r="E18" s="162">
        <f t="shared" si="12"/>
        <v>187369</v>
      </c>
      <c r="F18" s="120">
        <f t="shared" si="12"/>
        <v>195868</v>
      </c>
      <c r="G18" s="120">
        <f t="shared" si="12"/>
        <v>211250</v>
      </c>
      <c r="H18" s="120">
        <f t="shared" si="12"/>
        <v>162529</v>
      </c>
      <c r="I18" s="120">
        <f t="shared" si="12"/>
        <v>177486</v>
      </c>
      <c r="J18" s="120">
        <f t="shared" si="12"/>
        <v>135671</v>
      </c>
      <c r="K18" s="120">
        <f t="shared" si="12"/>
        <v>143671</v>
      </c>
      <c r="L18" s="120">
        <f t="shared" si="12"/>
        <v>104350</v>
      </c>
      <c r="M18" s="120">
        <f t="shared" ref="M18:AA18" si="13">SUM(M15:M17)</f>
        <v>111069</v>
      </c>
      <c r="N18" s="120">
        <f t="shared" si="13"/>
        <v>102375</v>
      </c>
      <c r="O18" s="120">
        <f t="shared" si="13"/>
        <v>128601</v>
      </c>
      <c r="P18" s="120">
        <f t="shared" si="13"/>
        <v>95109</v>
      </c>
      <c r="Q18" s="120">
        <f t="shared" si="13"/>
        <v>101549</v>
      </c>
      <c r="R18" s="120">
        <f t="shared" si="13"/>
        <v>116710</v>
      </c>
      <c r="S18" s="120">
        <f t="shared" si="13"/>
        <v>146052</v>
      </c>
      <c r="T18" s="120">
        <f t="shared" si="13"/>
        <v>127301</v>
      </c>
      <c r="U18" s="120">
        <f t="shared" si="13"/>
        <v>152787</v>
      </c>
      <c r="V18" s="120">
        <f t="shared" si="13"/>
        <v>163251</v>
      </c>
      <c r="W18" s="120">
        <f t="shared" si="13"/>
        <v>195543</v>
      </c>
      <c r="X18" s="120">
        <f t="shared" si="13"/>
        <v>171055</v>
      </c>
      <c r="Y18" s="120">
        <f t="shared" si="13"/>
        <v>180982</v>
      </c>
      <c r="Z18" s="120">
        <f t="shared" si="13"/>
        <v>183965</v>
      </c>
      <c r="AA18" s="120">
        <f t="shared" si="13"/>
        <v>220464</v>
      </c>
      <c r="AB18" s="120">
        <f t="shared" ref="AB18:AH18" si="14">SUM(AB15:AB17)</f>
        <v>167664</v>
      </c>
      <c r="AC18" s="120">
        <f t="shared" si="14"/>
        <v>78292</v>
      </c>
      <c r="AD18" s="120">
        <f t="shared" si="14"/>
        <v>160598</v>
      </c>
      <c r="AE18" s="120">
        <f t="shared" si="14"/>
        <v>176106</v>
      </c>
      <c r="AF18" s="120">
        <f t="shared" si="14"/>
        <v>141931</v>
      </c>
      <c r="AG18" s="120">
        <f t="shared" si="14"/>
        <v>146653</v>
      </c>
      <c r="AH18" s="120">
        <f t="shared" si="14"/>
        <v>132360</v>
      </c>
      <c r="AI18" s="120">
        <f t="shared" ref="AI18:AN18" si="15">SUM(AI15:AI17)</f>
        <v>215141</v>
      </c>
      <c r="AJ18" s="120">
        <f t="shared" si="15"/>
        <v>148596</v>
      </c>
      <c r="AK18" s="120">
        <f t="shared" si="15"/>
        <v>203523</v>
      </c>
      <c r="AL18" s="120">
        <f t="shared" si="15"/>
        <v>242987</v>
      </c>
      <c r="AM18" s="120">
        <f t="shared" si="15"/>
        <v>268382</v>
      </c>
      <c r="AN18" s="120">
        <f t="shared" si="15"/>
        <v>206395</v>
      </c>
      <c r="AO18" s="120">
        <f t="shared" ref="AO18:AW18" si="16">SUM(AO15:AO17)</f>
        <v>213696</v>
      </c>
      <c r="AP18" s="120">
        <f t="shared" si="16"/>
        <v>228677</v>
      </c>
      <c r="AQ18" s="120">
        <f t="shared" si="16"/>
        <v>293294</v>
      </c>
      <c r="AR18" s="120">
        <f t="shared" si="16"/>
        <v>230648</v>
      </c>
      <c r="AS18" s="120">
        <f t="shared" si="16"/>
        <v>291455</v>
      </c>
      <c r="AT18" s="120">
        <f t="shared" si="16"/>
        <v>343860</v>
      </c>
      <c r="AU18" s="120">
        <f t="shared" si="16"/>
        <v>394100</v>
      </c>
      <c r="AV18" s="120">
        <f t="shared" si="16"/>
        <v>274487</v>
      </c>
      <c r="AW18" s="120">
        <f t="shared" si="16"/>
        <v>305113</v>
      </c>
      <c r="AX18" s="120">
        <f>SUM(AX15:AX17)</f>
        <v>362160</v>
      </c>
      <c r="AY18" s="120">
        <f>SUM(AY15:AY17)</f>
        <v>379599</v>
      </c>
      <c r="AZ18" s="120">
        <f>SUM(AZ15:AZ17)</f>
        <v>344637</v>
      </c>
    </row>
    <row r="19" spans="2:52" x14ac:dyDescent="0.2">
      <c r="B19" s="147"/>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row>
    <row r="20" spans="2:52" x14ac:dyDescent="0.2">
      <c r="B20" s="143" t="s">
        <v>98</v>
      </c>
      <c r="C20" s="246" t="str">
        <f t="shared" ref="C20:U20" si="17">C5</f>
        <v>4T13</v>
      </c>
      <c r="D20" s="246" t="str">
        <f t="shared" si="17"/>
        <v>1T14</v>
      </c>
      <c r="E20" s="246" t="str">
        <f t="shared" si="17"/>
        <v>2T14</v>
      </c>
      <c r="F20" s="246" t="str">
        <f t="shared" si="17"/>
        <v>3T14</v>
      </c>
      <c r="G20" s="246" t="str">
        <f t="shared" si="17"/>
        <v>4T14</v>
      </c>
      <c r="H20" s="246" t="str">
        <f t="shared" si="17"/>
        <v>1T15</v>
      </c>
      <c r="I20" s="246" t="str">
        <f t="shared" si="17"/>
        <v>2T15</v>
      </c>
      <c r="J20" s="246" t="str">
        <f t="shared" si="17"/>
        <v>3T15</v>
      </c>
      <c r="K20" s="246" t="str">
        <f t="shared" si="17"/>
        <v>4T15</v>
      </c>
      <c r="L20" s="246" t="str">
        <f t="shared" si="17"/>
        <v>1T16</v>
      </c>
      <c r="M20" s="246" t="str">
        <f t="shared" si="17"/>
        <v>2T16</v>
      </c>
      <c r="N20" s="246" t="str">
        <f t="shared" si="17"/>
        <v>3T16</v>
      </c>
      <c r="O20" s="246" t="str">
        <f t="shared" si="17"/>
        <v>4T16</v>
      </c>
      <c r="P20" s="246" t="str">
        <f t="shared" si="17"/>
        <v>1T17</v>
      </c>
      <c r="Q20" s="246" t="str">
        <f t="shared" si="17"/>
        <v>2T17</v>
      </c>
      <c r="R20" s="246" t="str">
        <f t="shared" si="17"/>
        <v>3T17</v>
      </c>
      <c r="S20" s="246" t="str">
        <f t="shared" si="17"/>
        <v>4T17</v>
      </c>
      <c r="T20" s="246" t="str">
        <f t="shared" si="17"/>
        <v>1T18</v>
      </c>
      <c r="U20" s="246" t="str">
        <f t="shared" si="17"/>
        <v>2T18</v>
      </c>
      <c r="V20" s="246" t="s">
        <v>626</v>
      </c>
      <c r="W20" s="246" t="str">
        <f t="shared" ref="W20:AW20" si="18">W5</f>
        <v>4T18</v>
      </c>
      <c r="X20" s="246" t="str">
        <f t="shared" si="18"/>
        <v>1T19</v>
      </c>
      <c r="Y20" s="246" t="str">
        <f t="shared" si="18"/>
        <v>2T19</v>
      </c>
      <c r="Z20" s="246" t="str">
        <f t="shared" si="18"/>
        <v>3T19</v>
      </c>
      <c r="AA20" s="246" t="str">
        <f t="shared" si="18"/>
        <v>4T19</v>
      </c>
      <c r="AB20" s="246" t="str">
        <f t="shared" si="18"/>
        <v>1T20</v>
      </c>
      <c r="AC20" s="246" t="str">
        <f t="shared" si="18"/>
        <v>2T20</v>
      </c>
      <c r="AD20" s="246" t="str">
        <f t="shared" si="18"/>
        <v>3T20</v>
      </c>
      <c r="AE20" s="246" t="str">
        <f t="shared" si="18"/>
        <v>4T20</v>
      </c>
      <c r="AF20" s="246" t="str">
        <f t="shared" si="18"/>
        <v>1T21</v>
      </c>
      <c r="AG20" s="246" t="str">
        <f t="shared" si="18"/>
        <v>2T21</v>
      </c>
      <c r="AH20" s="246" t="str">
        <f t="shared" si="18"/>
        <v>3T21</v>
      </c>
      <c r="AI20" s="246" t="str">
        <f t="shared" si="18"/>
        <v>4T21</v>
      </c>
      <c r="AJ20" s="246" t="str">
        <f t="shared" si="18"/>
        <v>1T22</v>
      </c>
      <c r="AK20" s="246" t="str">
        <f t="shared" si="18"/>
        <v>2T22</v>
      </c>
      <c r="AL20" s="246" t="str">
        <f t="shared" si="18"/>
        <v>3T22</v>
      </c>
      <c r="AM20" s="246" t="str">
        <f t="shared" si="18"/>
        <v>4T22</v>
      </c>
      <c r="AN20" s="246" t="str">
        <f t="shared" si="18"/>
        <v>1T23</v>
      </c>
      <c r="AO20" s="246" t="str">
        <f t="shared" si="18"/>
        <v>2T23</v>
      </c>
      <c r="AP20" s="246" t="str">
        <f t="shared" si="18"/>
        <v>3T23</v>
      </c>
      <c r="AQ20" s="246" t="str">
        <f t="shared" si="18"/>
        <v>4T23</v>
      </c>
      <c r="AR20" s="246" t="str">
        <f t="shared" si="18"/>
        <v>1T24</v>
      </c>
      <c r="AS20" s="246" t="str">
        <f t="shared" si="18"/>
        <v>2T24</v>
      </c>
      <c r="AT20" s="246" t="str">
        <f t="shared" si="18"/>
        <v>3T24</v>
      </c>
      <c r="AU20" s="246" t="str">
        <f t="shared" si="18"/>
        <v>4T24</v>
      </c>
      <c r="AV20" s="246" t="str">
        <f t="shared" si="18"/>
        <v>1T25</v>
      </c>
      <c r="AW20" s="246" t="str">
        <f t="shared" si="18"/>
        <v>2T25</v>
      </c>
      <c r="AX20" s="246" t="str">
        <f>AX5</f>
        <v>3T25</v>
      </c>
      <c r="AY20" s="246" t="str">
        <f>AY5</f>
        <v>4T25</v>
      </c>
      <c r="AZ20" s="246" t="str">
        <f>AZ5</f>
        <v>1T26</v>
      </c>
    </row>
    <row r="21" spans="2:52" x14ac:dyDescent="0.2">
      <c r="B21" s="129" t="s">
        <v>364</v>
      </c>
      <c r="C21" s="118">
        <f t="shared" ref="C21:N21" si="19">+C6-C14</f>
        <v>137384</v>
      </c>
      <c r="D21" s="118">
        <f t="shared" si="19"/>
        <v>136951</v>
      </c>
      <c r="E21" s="160">
        <f t="shared" si="19"/>
        <v>74402</v>
      </c>
      <c r="F21" s="118">
        <f t="shared" si="19"/>
        <v>67720</v>
      </c>
      <c r="G21" s="118">
        <f t="shared" si="19"/>
        <v>45270</v>
      </c>
      <c r="H21" s="118">
        <f t="shared" si="19"/>
        <v>39450</v>
      </c>
      <c r="I21" s="118">
        <f t="shared" si="19"/>
        <v>48243</v>
      </c>
      <c r="J21" s="118">
        <f t="shared" si="19"/>
        <v>51347</v>
      </c>
      <c r="K21" s="118">
        <f t="shared" si="19"/>
        <v>48684</v>
      </c>
      <c r="L21" s="118">
        <f t="shared" si="19"/>
        <v>30219</v>
      </c>
      <c r="M21" s="118">
        <f t="shared" si="19"/>
        <v>32994</v>
      </c>
      <c r="N21" s="118">
        <f t="shared" si="19"/>
        <v>28974</v>
      </c>
      <c r="O21" s="118">
        <v>31354</v>
      </c>
      <c r="P21" s="118">
        <v>26886</v>
      </c>
      <c r="Q21" s="118">
        <v>27531</v>
      </c>
      <c r="R21" s="118">
        <v>26550</v>
      </c>
      <c r="S21" s="118">
        <f>+S6-S14</f>
        <v>26985</v>
      </c>
      <c r="T21" s="118">
        <f>+T6-T14</f>
        <v>23892</v>
      </c>
      <c r="U21" s="118">
        <f>+U6-U14</f>
        <v>23942</v>
      </c>
      <c r="V21" s="118">
        <f>+V6-V14</f>
        <v>28354</v>
      </c>
      <c r="W21" s="118">
        <v>33543</v>
      </c>
      <c r="X21" s="118">
        <v>34406</v>
      </c>
      <c r="Y21" s="118">
        <v>35733</v>
      </c>
      <c r="Z21" s="118">
        <v>39691</v>
      </c>
      <c r="AA21" s="118">
        <v>40756</v>
      </c>
      <c r="AB21" s="118">
        <f t="shared" ref="AB21:AI21" si="20">+AB6-AB14</f>
        <v>40834</v>
      </c>
      <c r="AC21" s="118">
        <f t="shared" si="20"/>
        <v>49205</v>
      </c>
      <c r="AD21" s="118">
        <f t="shared" si="20"/>
        <v>39166</v>
      </c>
      <c r="AE21" s="118">
        <f t="shared" si="20"/>
        <v>36078</v>
      </c>
      <c r="AF21" s="118">
        <f t="shared" si="20"/>
        <v>27291</v>
      </c>
      <c r="AG21" s="118">
        <f t="shared" si="20"/>
        <v>50538</v>
      </c>
      <c r="AH21" s="118">
        <f t="shared" si="20"/>
        <v>64354</v>
      </c>
      <c r="AI21" s="118">
        <f t="shared" si="20"/>
        <v>85955</v>
      </c>
      <c r="AJ21" s="118">
        <v>75216</v>
      </c>
      <c r="AK21" s="118">
        <v>63082</v>
      </c>
      <c r="AL21" s="118">
        <f t="shared" ref="AL21:AT21" si="21">+AL6-AL14</f>
        <v>46261</v>
      </c>
      <c r="AM21" s="118">
        <f t="shared" si="21"/>
        <v>45906</v>
      </c>
      <c r="AN21" s="118">
        <f t="shared" si="21"/>
        <v>54090</v>
      </c>
      <c r="AO21" s="118">
        <f t="shared" si="21"/>
        <v>50870</v>
      </c>
      <c r="AP21" s="118">
        <f t="shared" si="21"/>
        <v>52781</v>
      </c>
      <c r="AQ21" s="118">
        <f t="shared" si="21"/>
        <v>52961</v>
      </c>
      <c r="AR21" s="118">
        <f t="shared" si="21"/>
        <v>64234</v>
      </c>
      <c r="AS21" s="118">
        <v>52169</v>
      </c>
      <c r="AT21" s="118">
        <f t="shared" si="21"/>
        <v>52148</v>
      </c>
      <c r="AU21" s="118">
        <v>44247</v>
      </c>
      <c r="AV21" s="118">
        <v>54377</v>
      </c>
      <c r="AW21" s="118">
        <v>61703</v>
      </c>
      <c r="AX21" s="118">
        <v>57941</v>
      </c>
      <c r="AY21" s="118">
        <v>64064</v>
      </c>
      <c r="AZ21" s="118">
        <f>+AZ6-AZ14</f>
        <v>69563</v>
      </c>
    </row>
    <row r="22" spans="2:52" x14ac:dyDescent="0.2">
      <c r="B22" s="126" t="s">
        <v>185</v>
      </c>
      <c r="C22" s="120">
        <f t="shared" ref="C22:K22" si="22">SUM(C21:C21)</f>
        <v>137384</v>
      </c>
      <c r="D22" s="120">
        <f t="shared" si="22"/>
        <v>136951</v>
      </c>
      <c r="E22" s="162">
        <f t="shared" si="22"/>
        <v>74402</v>
      </c>
      <c r="F22" s="120">
        <f t="shared" si="22"/>
        <v>67720</v>
      </c>
      <c r="G22" s="120">
        <f t="shared" si="22"/>
        <v>45270</v>
      </c>
      <c r="H22" s="120">
        <f t="shared" si="22"/>
        <v>39450</v>
      </c>
      <c r="I22" s="120">
        <f t="shared" si="22"/>
        <v>48243</v>
      </c>
      <c r="J22" s="120">
        <f t="shared" si="22"/>
        <v>51347</v>
      </c>
      <c r="K22" s="120">
        <f t="shared" si="22"/>
        <v>48684</v>
      </c>
      <c r="L22" s="120">
        <f t="shared" ref="L22:Y22" si="23">SUM(L21:L21)</f>
        <v>30219</v>
      </c>
      <c r="M22" s="120">
        <f t="shared" si="23"/>
        <v>32994</v>
      </c>
      <c r="N22" s="120">
        <f t="shared" si="23"/>
        <v>28974</v>
      </c>
      <c r="O22" s="120">
        <f t="shared" si="23"/>
        <v>31354</v>
      </c>
      <c r="P22" s="120">
        <f t="shared" si="23"/>
        <v>26886</v>
      </c>
      <c r="Q22" s="120">
        <f t="shared" si="23"/>
        <v>27531</v>
      </c>
      <c r="R22" s="120">
        <f t="shared" si="23"/>
        <v>26550</v>
      </c>
      <c r="S22" s="120">
        <f t="shared" si="23"/>
        <v>26985</v>
      </c>
      <c r="T22" s="120">
        <f t="shared" si="23"/>
        <v>23892</v>
      </c>
      <c r="U22" s="120">
        <f t="shared" si="23"/>
        <v>23942</v>
      </c>
      <c r="V22" s="120">
        <f t="shared" si="23"/>
        <v>28354</v>
      </c>
      <c r="W22" s="120">
        <f t="shared" si="23"/>
        <v>33543</v>
      </c>
      <c r="X22" s="120">
        <f t="shared" si="23"/>
        <v>34406</v>
      </c>
      <c r="Y22" s="120">
        <f t="shared" si="23"/>
        <v>35733</v>
      </c>
      <c r="Z22" s="120">
        <f t="shared" ref="Z22:AE22" si="24">SUM(Z21:Z21)</f>
        <v>39691</v>
      </c>
      <c r="AA22" s="120">
        <f t="shared" si="24"/>
        <v>40756</v>
      </c>
      <c r="AB22" s="120">
        <f t="shared" si="24"/>
        <v>40834</v>
      </c>
      <c r="AC22" s="120">
        <f t="shared" si="24"/>
        <v>49205</v>
      </c>
      <c r="AD22" s="120">
        <f t="shared" si="24"/>
        <v>39166</v>
      </c>
      <c r="AE22" s="120">
        <f t="shared" si="24"/>
        <v>36078</v>
      </c>
      <c r="AF22" s="120">
        <f t="shared" ref="AF22:AK22" si="25">SUM(AF21:AF21)</f>
        <v>27291</v>
      </c>
      <c r="AG22" s="120">
        <f t="shared" si="25"/>
        <v>50538</v>
      </c>
      <c r="AH22" s="120">
        <f t="shared" si="25"/>
        <v>64354</v>
      </c>
      <c r="AI22" s="120">
        <f t="shared" si="25"/>
        <v>85955</v>
      </c>
      <c r="AJ22" s="120">
        <f t="shared" si="25"/>
        <v>75216</v>
      </c>
      <c r="AK22" s="120">
        <f t="shared" si="25"/>
        <v>63082</v>
      </c>
      <c r="AL22" s="120">
        <f t="shared" ref="AL22:AS22" si="26">SUM(AL21:AL21)</f>
        <v>46261</v>
      </c>
      <c r="AM22" s="120">
        <f t="shared" si="26"/>
        <v>45906</v>
      </c>
      <c r="AN22" s="120">
        <f t="shared" si="26"/>
        <v>54090</v>
      </c>
      <c r="AO22" s="120">
        <f t="shared" si="26"/>
        <v>50870</v>
      </c>
      <c r="AP22" s="120">
        <f t="shared" si="26"/>
        <v>52781</v>
      </c>
      <c r="AQ22" s="120">
        <f t="shared" si="26"/>
        <v>52961</v>
      </c>
      <c r="AR22" s="120">
        <f t="shared" si="26"/>
        <v>64234</v>
      </c>
      <c r="AS22" s="120">
        <f t="shared" si="26"/>
        <v>52169</v>
      </c>
      <c r="AT22" s="120">
        <f t="shared" ref="AT22:AZ22" si="27">SUM(AT21:AT21)</f>
        <v>52148</v>
      </c>
      <c r="AU22" s="120">
        <f t="shared" si="27"/>
        <v>44247</v>
      </c>
      <c r="AV22" s="120">
        <f t="shared" si="27"/>
        <v>54377</v>
      </c>
      <c r="AW22" s="120">
        <f t="shared" si="27"/>
        <v>61703</v>
      </c>
      <c r="AX22" s="120">
        <f t="shared" si="27"/>
        <v>57941</v>
      </c>
      <c r="AY22" s="120">
        <f t="shared" si="27"/>
        <v>64064</v>
      </c>
      <c r="AZ22" s="120">
        <f t="shared" si="27"/>
        <v>69563</v>
      </c>
    </row>
    <row r="23" spans="2:52" x14ac:dyDescent="0.2">
      <c r="B23" s="129" t="s">
        <v>1320</v>
      </c>
      <c r="C23" s="118" t="s">
        <v>160</v>
      </c>
      <c r="D23" s="118" t="s">
        <v>160</v>
      </c>
      <c r="E23" s="160" t="s">
        <v>160</v>
      </c>
      <c r="F23" s="118" t="s">
        <v>160</v>
      </c>
      <c r="G23" s="118" t="s">
        <v>160</v>
      </c>
      <c r="H23" s="118" t="s">
        <v>160</v>
      </c>
      <c r="I23" s="118" t="s">
        <v>160</v>
      </c>
      <c r="J23" s="118" t="s">
        <v>160</v>
      </c>
      <c r="K23" s="118" t="s">
        <v>160</v>
      </c>
      <c r="L23" s="118" t="s">
        <v>160</v>
      </c>
      <c r="M23" s="118" t="s">
        <v>160</v>
      </c>
      <c r="N23" s="118" t="s">
        <v>160</v>
      </c>
      <c r="O23" s="118" t="s">
        <v>160</v>
      </c>
      <c r="P23" s="118" t="s">
        <v>160</v>
      </c>
      <c r="Q23" s="118" t="s">
        <v>160</v>
      </c>
      <c r="R23" s="118" t="s">
        <v>160</v>
      </c>
      <c r="S23" s="118" t="s">
        <v>160</v>
      </c>
      <c r="T23" s="118" t="s">
        <v>160</v>
      </c>
      <c r="U23" s="118" t="s">
        <v>160</v>
      </c>
      <c r="V23" s="118" t="s">
        <v>160</v>
      </c>
      <c r="W23" s="118" t="s">
        <v>160</v>
      </c>
      <c r="X23" s="118" t="s">
        <v>160</v>
      </c>
      <c r="Y23" s="118" t="s">
        <v>160</v>
      </c>
      <c r="Z23" s="118" t="s">
        <v>160</v>
      </c>
      <c r="AA23" s="118" t="s">
        <v>160</v>
      </c>
      <c r="AB23" s="118" t="s">
        <v>160</v>
      </c>
      <c r="AC23" s="118" t="s">
        <v>160</v>
      </c>
      <c r="AD23" s="118" t="s">
        <v>160</v>
      </c>
      <c r="AE23" s="118" t="s">
        <v>160</v>
      </c>
      <c r="AF23" s="118" t="s">
        <v>160</v>
      </c>
      <c r="AG23" s="118" t="s">
        <v>160</v>
      </c>
      <c r="AH23" s="118" t="s">
        <v>160</v>
      </c>
      <c r="AI23" s="118" t="s">
        <v>160</v>
      </c>
      <c r="AJ23" s="118" t="s">
        <v>160</v>
      </c>
      <c r="AK23" s="118" t="s">
        <v>160</v>
      </c>
      <c r="AL23" s="118" t="s">
        <v>160</v>
      </c>
      <c r="AM23" s="118" t="s">
        <v>160</v>
      </c>
      <c r="AN23" s="118" t="s">
        <v>160</v>
      </c>
      <c r="AO23" s="118" t="s">
        <v>160</v>
      </c>
      <c r="AP23" s="118" t="s">
        <v>160</v>
      </c>
      <c r="AQ23" s="118" t="s">
        <v>160</v>
      </c>
      <c r="AR23" s="118" t="s">
        <v>160</v>
      </c>
      <c r="AS23" s="118" t="s">
        <v>160</v>
      </c>
      <c r="AT23" s="118" t="s">
        <v>160</v>
      </c>
      <c r="AU23" s="118">
        <f t="shared" ref="AU23:AZ23" si="28">+AU8-AU16</f>
        <v>0</v>
      </c>
      <c r="AV23" s="118">
        <f t="shared" si="28"/>
        <v>0</v>
      </c>
      <c r="AW23" s="118">
        <f t="shared" si="28"/>
        <v>0</v>
      </c>
      <c r="AX23" s="118">
        <f t="shared" si="28"/>
        <v>0</v>
      </c>
      <c r="AY23" s="118">
        <f t="shared" si="28"/>
        <v>0</v>
      </c>
      <c r="AZ23" s="118">
        <f t="shared" si="28"/>
        <v>0</v>
      </c>
    </row>
    <row r="24" spans="2:52" x14ac:dyDescent="0.2">
      <c r="B24" s="129" t="s">
        <v>491</v>
      </c>
      <c r="C24" s="118">
        <f t="shared" ref="C24:K24" si="29">+C9-C17</f>
        <v>-4478</v>
      </c>
      <c r="D24" s="118">
        <f t="shared" si="29"/>
        <v>-4633</v>
      </c>
      <c r="E24" s="160">
        <f t="shared" si="29"/>
        <v>-1481</v>
      </c>
      <c r="F24" s="118">
        <f t="shared" si="29"/>
        <v>-1558</v>
      </c>
      <c r="G24" s="118">
        <f t="shared" si="29"/>
        <v>-2916</v>
      </c>
      <c r="H24" s="118">
        <f t="shared" si="29"/>
        <v>-2670</v>
      </c>
      <c r="I24" s="118">
        <f t="shared" si="29"/>
        <v>-3861</v>
      </c>
      <c r="J24" s="118">
        <f t="shared" si="29"/>
        <v>-4678</v>
      </c>
      <c r="K24" s="118">
        <f t="shared" si="29"/>
        <v>-4755</v>
      </c>
      <c r="L24" s="118">
        <f>+L9-L17</f>
        <v>-5318</v>
      </c>
      <c r="M24" s="118">
        <f>+M9-M17</f>
        <v>-5335</v>
      </c>
      <c r="N24" s="118">
        <f>+N9-N17</f>
        <v>-4912</v>
      </c>
      <c r="O24" s="118">
        <v>-5700</v>
      </c>
      <c r="P24" s="118">
        <v>-5865</v>
      </c>
      <c r="Q24" s="118">
        <v>-5841</v>
      </c>
      <c r="R24" s="118">
        <v>-5827</v>
      </c>
      <c r="S24" s="118">
        <f>+S9-S17</f>
        <v>-1857</v>
      </c>
      <c r="T24" s="118">
        <f>+T9-T17</f>
        <v>-1737</v>
      </c>
      <c r="U24" s="118">
        <f>+U9-U17</f>
        <v>-845</v>
      </c>
      <c r="V24" s="118">
        <f>+V9-V17</f>
        <v>-1123</v>
      </c>
      <c r="W24" s="118">
        <v>-2859</v>
      </c>
      <c r="X24" s="118">
        <v>-2856</v>
      </c>
      <c r="Y24" s="118">
        <v>-837</v>
      </c>
      <c r="Z24" s="118">
        <v>-883</v>
      </c>
      <c r="AA24" s="118">
        <v>-47</v>
      </c>
      <c r="AB24" s="118">
        <f t="shared" ref="AB24:AG24" si="30">+AB9-AB17</f>
        <v>-46</v>
      </c>
      <c r="AC24" s="118">
        <f t="shared" si="30"/>
        <v>-53</v>
      </c>
      <c r="AD24" s="118">
        <f t="shared" si="30"/>
        <v>-47</v>
      </c>
      <c r="AE24" s="118">
        <f t="shared" si="30"/>
        <v>-46</v>
      </c>
      <c r="AF24" s="118">
        <f t="shared" si="30"/>
        <v>-102</v>
      </c>
      <c r="AG24" s="118">
        <f t="shared" si="30"/>
        <v>-103</v>
      </c>
      <c r="AH24" s="118">
        <f>+AH9-AH17</f>
        <v>-278</v>
      </c>
      <c r="AI24" s="118">
        <f>+AI9-AI17</f>
        <v>1573</v>
      </c>
      <c r="AJ24" s="118">
        <v>-116</v>
      </c>
      <c r="AK24" s="118">
        <v>-145</v>
      </c>
      <c r="AL24" s="118">
        <f t="shared" ref="AL24:AQ24" si="31">+AL9-AL17</f>
        <v>-161</v>
      </c>
      <c r="AM24" s="118">
        <f t="shared" si="31"/>
        <v>-235</v>
      </c>
      <c r="AN24" s="118">
        <f t="shared" si="31"/>
        <v>-552</v>
      </c>
      <c r="AO24" s="118">
        <f t="shared" si="31"/>
        <v>-521</v>
      </c>
      <c r="AP24" s="118">
        <f t="shared" si="31"/>
        <v>-703</v>
      </c>
      <c r="AQ24" s="118">
        <f t="shared" si="31"/>
        <v>-750</v>
      </c>
      <c r="AR24" s="118">
        <f>+AR9-AR17</f>
        <v>-692</v>
      </c>
      <c r="AS24" s="118">
        <v>-682</v>
      </c>
      <c r="AT24" s="118">
        <f>+AT9-AT17</f>
        <v>-669</v>
      </c>
      <c r="AU24" s="118">
        <v>-413</v>
      </c>
      <c r="AV24" s="118">
        <v>-462</v>
      </c>
      <c r="AW24" s="118">
        <v>-664</v>
      </c>
      <c r="AX24" s="118">
        <v>-305</v>
      </c>
      <c r="AY24" s="118">
        <f>+AY9-AY17</f>
        <v>-504</v>
      </c>
      <c r="AZ24" s="118">
        <f>+AZ9-AZ17</f>
        <v>-982</v>
      </c>
    </row>
    <row r="25" spans="2:52" x14ac:dyDescent="0.2">
      <c r="B25" s="126" t="s">
        <v>184</v>
      </c>
      <c r="C25" s="120">
        <f t="shared" ref="C25:K25" si="32">SUM(C22:C24)</f>
        <v>132906</v>
      </c>
      <c r="D25" s="120">
        <f t="shared" si="32"/>
        <v>132318</v>
      </c>
      <c r="E25" s="162">
        <f t="shared" si="32"/>
        <v>72921</v>
      </c>
      <c r="F25" s="120">
        <f t="shared" si="32"/>
        <v>66162</v>
      </c>
      <c r="G25" s="120">
        <f t="shared" si="32"/>
        <v>42354</v>
      </c>
      <c r="H25" s="120">
        <f t="shared" si="32"/>
        <v>36780</v>
      </c>
      <c r="I25" s="120">
        <f t="shared" si="32"/>
        <v>44382</v>
      </c>
      <c r="J25" s="120">
        <f t="shared" si="32"/>
        <v>46669</v>
      </c>
      <c r="K25" s="120">
        <f t="shared" si="32"/>
        <v>43929</v>
      </c>
      <c r="L25" s="120">
        <f t="shared" ref="L25:Y25" si="33">SUM(L22:L24)</f>
        <v>24901</v>
      </c>
      <c r="M25" s="120">
        <f t="shared" si="33"/>
        <v>27659</v>
      </c>
      <c r="N25" s="120">
        <f t="shared" si="33"/>
        <v>24062</v>
      </c>
      <c r="O25" s="120">
        <f t="shared" si="33"/>
        <v>25654</v>
      </c>
      <c r="P25" s="120">
        <f t="shared" si="33"/>
        <v>21021</v>
      </c>
      <c r="Q25" s="120">
        <f t="shared" si="33"/>
        <v>21690</v>
      </c>
      <c r="R25" s="120">
        <f t="shared" si="33"/>
        <v>20723</v>
      </c>
      <c r="S25" s="120">
        <f t="shared" si="33"/>
        <v>25128</v>
      </c>
      <c r="T25" s="120">
        <f t="shared" si="33"/>
        <v>22155</v>
      </c>
      <c r="U25" s="120">
        <f t="shared" si="33"/>
        <v>23097</v>
      </c>
      <c r="V25" s="120">
        <f t="shared" si="33"/>
        <v>27231</v>
      </c>
      <c r="W25" s="120">
        <f t="shared" si="33"/>
        <v>30684</v>
      </c>
      <c r="X25" s="120">
        <f t="shared" si="33"/>
        <v>31550</v>
      </c>
      <c r="Y25" s="120">
        <f t="shared" si="33"/>
        <v>34896</v>
      </c>
      <c r="Z25" s="120">
        <f t="shared" ref="Z25:AE25" si="34">SUM(Z22:Z24)</f>
        <v>38808</v>
      </c>
      <c r="AA25" s="120">
        <f t="shared" si="34"/>
        <v>40709</v>
      </c>
      <c r="AB25" s="120">
        <f t="shared" si="34"/>
        <v>40788</v>
      </c>
      <c r="AC25" s="120">
        <f t="shared" si="34"/>
        <v>49152</v>
      </c>
      <c r="AD25" s="120">
        <f t="shared" si="34"/>
        <v>39119</v>
      </c>
      <c r="AE25" s="120">
        <f t="shared" si="34"/>
        <v>36032</v>
      </c>
      <c r="AF25" s="120">
        <f t="shared" ref="AF25:AK25" si="35">SUM(AF22:AF24)</f>
        <v>27189</v>
      </c>
      <c r="AG25" s="120">
        <f t="shared" si="35"/>
        <v>50435</v>
      </c>
      <c r="AH25" s="120">
        <f t="shared" si="35"/>
        <v>64076</v>
      </c>
      <c r="AI25" s="120">
        <f t="shared" si="35"/>
        <v>87528</v>
      </c>
      <c r="AJ25" s="120">
        <f t="shared" si="35"/>
        <v>75100</v>
      </c>
      <c r="AK25" s="120">
        <f t="shared" si="35"/>
        <v>62937</v>
      </c>
      <c r="AL25" s="120">
        <f t="shared" ref="AL25:AS25" si="36">SUM(AL22:AL24)</f>
        <v>46100</v>
      </c>
      <c r="AM25" s="120">
        <f t="shared" si="36"/>
        <v>45671</v>
      </c>
      <c r="AN25" s="120">
        <f t="shared" si="36"/>
        <v>53538</v>
      </c>
      <c r="AO25" s="120">
        <f t="shared" si="36"/>
        <v>50349</v>
      </c>
      <c r="AP25" s="120">
        <f t="shared" si="36"/>
        <v>52078</v>
      </c>
      <c r="AQ25" s="120">
        <f t="shared" si="36"/>
        <v>52211</v>
      </c>
      <c r="AR25" s="120">
        <f t="shared" si="36"/>
        <v>63542</v>
      </c>
      <c r="AS25" s="120">
        <f t="shared" si="36"/>
        <v>51487</v>
      </c>
      <c r="AT25" s="120">
        <f t="shared" ref="AT25:AZ25" si="37">SUM(AT22:AT24)</f>
        <v>51479</v>
      </c>
      <c r="AU25" s="120">
        <f t="shared" si="37"/>
        <v>43834</v>
      </c>
      <c r="AV25" s="120">
        <f t="shared" si="37"/>
        <v>53915</v>
      </c>
      <c r="AW25" s="120">
        <f t="shared" si="37"/>
        <v>61039</v>
      </c>
      <c r="AX25" s="120">
        <f t="shared" si="37"/>
        <v>57636</v>
      </c>
      <c r="AY25" s="120">
        <f t="shared" si="37"/>
        <v>63560</v>
      </c>
      <c r="AZ25" s="120">
        <f t="shared" si="37"/>
        <v>68581</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26">
    <pageSetUpPr autoPageBreaks="0"/>
  </sheetPr>
  <dimension ref="A1:AY164"/>
  <sheetViews>
    <sheetView showGridLines="0" zoomScaleNormal="10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ColWidth="9.140625" defaultRowHeight="14.25" x14ac:dyDescent="0.2"/>
  <cols>
    <col min="1" max="1" width="1.42578125" style="25" customWidth="1"/>
    <col min="2" max="2" width="46.85546875" style="25" customWidth="1"/>
    <col min="3" max="21" width="10.85546875" style="25" customWidth="1"/>
    <col min="22" max="51" width="9.140625" style="25"/>
    <col min="52" max="52" width="13.42578125" style="25" bestFit="1" customWidth="1"/>
    <col min="53" max="53" width="16.140625" style="25" bestFit="1" customWidth="1"/>
    <col min="54" max="16384" width="9.140625" style="25"/>
  </cols>
  <sheetData>
    <row r="1" spans="2:51" s="549" customFormat="1" x14ac:dyDescent="0.2"/>
    <row r="2" spans="2:51" s="549" customFormat="1" ht="12.75" customHeight="1" x14ac:dyDescent="0.2">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544"/>
      <c r="AR2" s="544"/>
      <c r="AS2" s="544"/>
      <c r="AT2" s="544"/>
      <c r="AU2" s="544"/>
      <c r="AV2" s="544"/>
      <c r="AW2" s="544"/>
      <c r="AX2" s="544"/>
      <c r="AY2" s="544"/>
    </row>
    <row r="3" spans="2:51" ht="12.75" customHeight="1" x14ac:dyDescent="0.2">
      <c r="V3" s="353"/>
      <c r="W3" s="353"/>
      <c r="X3" s="353"/>
      <c r="Y3" s="353"/>
      <c r="Z3" s="353"/>
      <c r="AA3" s="353"/>
      <c r="AB3" s="353"/>
      <c r="AC3" s="353"/>
      <c r="AD3" s="353"/>
      <c r="AE3" s="353"/>
      <c r="AF3" s="353"/>
      <c r="AG3" s="549"/>
      <c r="AH3" s="549"/>
      <c r="AI3" s="549"/>
      <c r="AJ3" s="549"/>
      <c r="AK3" s="549"/>
      <c r="AL3" s="549"/>
      <c r="AM3" s="549"/>
      <c r="AN3" s="549"/>
      <c r="AO3" s="353"/>
      <c r="AP3" s="353"/>
      <c r="AQ3" s="353"/>
      <c r="AR3" s="353"/>
      <c r="AS3" s="353"/>
      <c r="AT3" s="353"/>
      <c r="AU3" s="353"/>
      <c r="AV3" s="353"/>
      <c r="AW3" s="353"/>
      <c r="AX3" s="353"/>
      <c r="AY3" s="353"/>
    </row>
    <row r="4" spans="2:51" ht="12.75" customHeight="1" x14ac:dyDescent="0.2">
      <c r="B4" s="1235" t="s">
        <v>1426</v>
      </c>
      <c r="C4" s="1236"/>
      <c r="D4" s="224" t="s">
        <v>1427</v>
      </c>
      <c r="R4" s="731"/>
      <c r="AG4" s="549"/>
      <c r="AH4" s="549"/>
      <c r="AI4" s="549"/>
      <c r="AJ4" s="549"/>
      <c r="AK4" s="549"/>
      <c r="AL4" s="549"/>
      <c r="AM4" s="549"/>
      <c r="AN4" s="549"/>
      <c r="AO4" s="549"/>
      <c r="AP4" s="549"/>
      <c r="AQ4" s="549"/>
      <c r="AR4" s="549"/>
      <c r="AS4" s="549"/>
      <c r="AT4" s="549"/>
      <c r="AU4" s="549"/>
      <c r="AV4" s="549"/>
      <c r="AW4" s="549"/>
      <c r="AX4" s="549"/>
      <c r="AY4" s="549"/>
    </row>
    <row r="5" spans="2:51" ht="15" customHeight="1" x14ac:dyDescent="0.2">
      <c r="B5" s="151" t="s">
        <v>104</v>
      </c>
      <c r="C5" s="246" t="s">
        <v>45</v>
      </c>
      <c r="D5" s="115" t="s">
        <v>55</v>
      </c>
      <c r="E5" s="115" t="s">
        <v>71</v>
      </c>
      <c r="F5" s="115" t="s">
        <v>77</v>
      </c>
      <c r="G5" s="115" t="s">
        <v>87</v>
      </c>
      <c r="H5" s="115" t="s">
        <v>88</v>
      </c>
      <c r="I5" s="115" t="s">
        <v>378</v>
      </c>
      <c r="J5" s="115" t="s">
        <v>406</v>
      </c>
      <c r="K5" s="115" t="s">
        <v>467</v>
      </c>
      <c r="L5" s="115" t="s">
        <v>501</v>
      </c>
      <c r="M5" s="246" t="s">
        <v>511</v>
      </c>
      <c r="N5" s="115" t="s">
        <v>538</v>
      </c>
      <c r="O5" s="115" t="s">
        <v>567</v>
      </c>
      <c r="P5" s="115" t="s">
        <v>575</v>
      </c>
      <c r="Q5" s="115" t="s">
        <v>595</v>
      </c>
      <c r="R5" s="115" t="s">
        <v>596</v>
      </c>
      <c r="S5" s="115" t="s">
        <v>623</v>
      </c>
      <c r="T5" s="115" t="s">
        <v>624</v>
      </c>
      <c r="U5" s="115" t="s">
        <v>625</v>
      </c>
      <c r="V5" s="115" t="s">
        <v>626</v>
      </c>
      <c r="W5" s="115" t="s">
        <v>798</v>
      </c>
      <c r="X5" s="115" t="s">
        <v>799</v>
      </c>
      <c r="Y5" s="115" t="s">
        <v>800</v>
      </c>
      <c r="Z5" s="115" t="s">
        <v>801</v>
      </c>
      <c r="AA5" s="115" t="s">
        <v>913</v>
      </c>
      <c r="AB5" s="115" t="s">
        <v>914</v>
      </c>
      <c r="AC5" s="115" t="s">
        <v>923</v>
      </c>
      <c r="AD5" s="115" t="s">
        <v>924</v>
      </c>
      <c r="AE5" s="115" t="s">
        <v>1049</v>
      </c>
      <c r="AF5" s="115" t="s">
        <v>1023</v>
      </c>
      <c r="AG5" s="115" t="s">
        <v>1024</v>
      </c>
      <c r="AH5" s="115" t="s">
        <v>1050</v>
      </c>
      <c r="AI5" s="115" t="s">
        <v>1114</v>
      </c>
      <c r="AJ5" s="115" t="s">
        <v>1119</v>
      </c>
      <c r="AK5" s="115" t="s">
        <v>1121</v>
      </c>
      <c r="AL5" s="115" t="s">
        <v>1123</v>
      </c>
      <c r="AM5" s="115" t="s">
        <v>1176</v>
      </c>
      <c r="AN5" s="115" t="s">
        <v>1177</v>
      </c>
      <c r="AO5" s="115" t="s">
        <v>1179</v>
      </c>
      <c r="AP5" s="115" t="s">
        <v>1181</v>
      </c>
      <c r="AQ5" s="115" t="s">
        <v>1243</v>
      </c>
      <c r="AR5" s="115" t="s">
        <v>1250</v>
      </c>
      <c r="AS5" s="115" t="s">
        <v>1251</v>
      </c>
      <c r="AT5" s="115" t="s">
        <v>1252</v>
      </c>
      <c r="AU5" s="115" t="s">
        <v>1311</v>
      </c>
      <c r="AV5" s="115" t="s">
        <v>1313</v>
      </c>
      <c r="AW5" s="115" t="s">
        <v>1315</v>
      </c>
      <c r="AX5" s="115" t="s">
        <v>1317</v>
      </c>
      <c r="AY5" s="115" t="s">
        <v>1344</v>
      </c>
    </row>
    <row r="6" spans="2:51" ht="15" customHeight="1" x14ac:dyDescent="0.2">
      <c r="B6" s="129" t="s">
        <v>90</v>
      </c>
      <c r="C6" s="118">
        <v>173730</v>
      </c>
      <c r="D6" s="160">
        <v>161866</v>
      </c>
      <c r="E6" s="118">
        <v>173202</v>
      </c>
      <c r="F6" s="118">
        <v>206623</v>
      </c>
      <c r="G6" s="118">
        <v>167489</v>
      </c>
      <c r="H6" s="118">
        <v>181124</v>
      </c>
      <c r="I6" s="118">
        <v>150939</v>
      </c>
      <c r="J6" s="118">
        <v>154757</v>
      </c>
      <c r="K6" s="118">
        <v>104024</v>
      </c>
      <c r="L6" s="118">
        <v>118649</v>
      </c>
      <c r="M6" s="118">
        <v>100053</v>
      </c>
      <c r="N6" s="118">
        <v>123619</v>
      </c>
      <c r="O6" s="118">
        <v>106424</v>
      </c>
      <c r="P6" s="118">
        <v>110371</v>
      </c>
      <c r="Q6" s="118">
        <v>124648</v>
      </c>
      <c r="R6" s="118">
        <v>151858</v>
      </c>
      <c r="S6" s="118">
        <v>137800</v>
      </c>
      <c r="T6" s="118">
        <v>157754</v>
      </c>
      <c r="U6" s="118">
        <v>172523</v>
      </c>
      <c r="V6" s="118">
        <v>205673</v>
      </c>
      <c r="W6" s="118">
        <v>192788</v>
      </c>
      <c r="X6" s="118">
        <v>191572</v>
      </c>
      <c r="Y6" s="118">
        <v>211851</v>
      </c>
      <c r="Z6" s="118">
        <v>244762</v>
      </c>
      <c r="AA6" s="118">
        <v>193383</v>
      </c>
      <c r="AB6" s="118">
        <v>115233</v>
      </c>
      <c r="AC6" s="118">
        <v>190266</v>
      </c>
      <c r="AD6" s="118">
        <v>191425</v>
      </c>
      <c r="AE6" s="118">
        <v>161991</v>
      </c>
      <c r="AF6" s="118">
        <v>158939</v>
      </c>
      <c r="AG6" s="118">
        <v>147375</v>
      </c>
      <c r="AH6" s="118">
        <v>215870</v>
      </c>
      <c r="AI6" s="118">
        <v>210531</v>
      </c>
      <c r="AJ6" s="118">
        <v>241527</v>
      </c>
      <c r="AK6" s="118">
        <v>253231</v>
      </c>
      <c r="AL6" s="118">
        <v>265027</v>
      </c>
      <c r="AM6" s="118">
        <v>232795</v>
      </c>
      <c r="AN6" s="118">
        <v>235293</v>
      </c>
      <c r="AO6" s="118">
        <v>258459</v>
      </c>
      <c r="AP6" s="118">
        <v>294626</v>
      </c>
      <c r="AQ6" s="118">
        <v>256295</v>
      </c>
      <c r="AR6" s="118">
        <v>315497</v>
      </c>
      <c r="AS6" s="118">
        <v>359886</v>
      </c>
      <c r="AT6" s="118">
        <v>385992</v>
      </c>
      <c r="AU6" s="118">
        <v>287617</v>
      </c>
      <c r="AV6" s="118">
        <v>325541</v>
      </c>
      <c r="AW6" s="118">
        <v>382798</v>
      </c>
      <c r="AX6" s="118">
        <v>385870</v>
      </c>
      <c r="AY6" s="118">
        <v>382623</v>
      </c>
    </row>
    <row r="7" spans="2:51" ht="15" customHeight="1" x14ac:dyDescent="0.2">
      <c r="B7" s="129" t="s">
        <v>91</v>
      </c>
      <c r="C7" s="118">
        <v>47608</v>
      </c>
      <c r="D7" s="160">
        <v>40403</v>
      </c>
      <c r="E7" s="118">
        <v>40665</v>
      </c>
      <c r="F7" s="118">
        <v>21215</v>
      </c>
      <c r="G7" s="118">
        <v>12166</v>
      </c>
      <c r="H7" s="118">
        <v>15793</v>
      </c>
      <c r="I7" s="118">
        <v>16187</v>
      </c>
      <c r="J7" s="118">
        <v>20298</v>
      </c>
      <c r="K7" s="118">
        <v>9063</v>
      </c>
      <c r="L7" s="118">
        <v>7443</v>
      </c>
      <c r="M7" s="118">
        <v>12701</v>
      </c>
      <c r="N7" s="118">
        <v>10975</v>
      </c>
      <c r="O7" s="118">
        <v>3189</v>
      </c>
      <c r="P7" s="118">
        <v>8654</v>
      </c>
      <c r="Q7" s="118">
        <v>10220</v>
      </c>
      <c r="R7" s="118">
        <v>17252</v>
      </c>
      <c r="S7" s="118">
        <v>10430</v>
      </c>
      <c r="T7" s="118">
        <v>7529</v>
      </c>
      <c r="U7" s="118">
        <v>8175</v>
      </c>
      <c r="V7" s="118">
        <v>19440</v>
      </c>
      <c r="W7" s="118">
        <v>8506</v>
      </c>
      <c r="X7" s="118">
        <v>22994</v>
      </c>
      <c r="Y7" s="118">
        <v>8652</v>
      </c>
      <c r="Z7" s="118">
        <v>14770</v>
      </c>
      <c r="AA7" s="118">
        <v>11355</v>
      </c>
      <c r="AB7" s="118">
        <v>6534</v>
      </c>
      <c r="AC7" s="118">
        <v>7067</v>
      </c>
      <c r="AD7" s="118">
        <v>16341</v>
      </c>
      <c r="AE7" s="118">
        <v>3926</v>
      </c>
      <c r="AF7" s="118">
        <v>23948</v>
      </c>
      <c r="AG7" s="118">
        <v>12518</v>
      </c>
      <c r="AH7" s="118">
        <v>28486</v>
      </c>
      <c r="AI7" s="118">
        <v>5543</v>
      </c>
      <c r="AJ7" s="118">
        <v>15453</v>
      </c>
      <c r="AK7" s="118">
        <v>16489</v>
      </c>
      <c r="AL7" s="118">
        <v>30917</v>
      </c>
      <c r="AM7" s="118">
        <v>10337</v>
      </c>
      <c r="AN7" s="118">
        <v>17452</v>
      </c>
      <c r="AO7" s="118">
        <v>11155</v>
      </c>
      <c r="AP7" s="118">
        <v>36678</v>
      </c>
      <c r="AQ7" s="118">
        <v>17120</v>
      </c>
      <c r="AR7" s="118">
        <v>14726</v>
      </c>
      <c r="AS7" s="118">
        <v>14256</v>
      </c>
      <c r="AT7" s="118">
        <v>37970</v>
      </c>
      <c r="AU7" s="118">
        <v>19300</v>
      </c>
      <c r="AV7" s="118">
        <v>24012</v>
      </c>
      <c r="AW7" s="118">
        <v>26394</v>
      </c>
      <c r="AX7" s="118">
        <v>40445</v>
      </c>
      <c r="AY7" s="118">
        <v>11340</v>
      </c>
    </row>
    <row r="8" spans="2:51" ht="15" customHeight="1" x14ac:dyDescent="0.2">
      <c r="B8" s="129" t="s">
        <v>92</v>
      </c>
      <c r="C8" s="118">
        <v>25317</v>
      </c>
      <c r="D8" s="160">
        <v>17017</v>
      </c>
      <c r="E8" s="118">
        <v>13498</v>
      </c>
      <c r="F8" s="118">
        <v>9121</v>
      </c>
      <c r="G8" s="118">
        <v>8612</v>
      </c>
      <c r="H8" s="118">
        <v>16164</v>
      </c>
      <c r="I8" s="118">
        <v>7579</v>
      </c>
      <c r="J8" s="118">
        <v>6927</v>
      </c>
      <c r="K8" s="118">
        <v>10935</v>
      </c>
      <c r="L8" s="118">
        <v>8177</v>
      </c>
      <c r="M8" s="118">
        <v>8988</v>
      </c>
      <c r="N8" s="118">
        <v>7423</v>
      </c>
      <c r="O8" s="118">
        <v>5350</v>
      </c>
      <c r="P8" s="118">
        <v>557</v>
      </c>
      <c r="Q8" s="118">
        <v>683</v>
      </c>
      <c r="R8" s="118">
        <v>812</v>
      </c>
      <c r="S8" s="118">
        <v>592</v>
      </c>
      <c r="T8" s="118">
        <v>9729</v>
      </c>
      <c r="U8" s="118">
        <v>8140</v>
      </c>
      <c r="V8" s="118">
        <v>452</v>
      </c>
      <c r="W8" s="118">
        <v>802</v>
      </c>
      <c r="X8" s="118">
        <v>560</v>
      </c>
      <c r="Y8" s="118">
        <v>1071</v>
      </c>
      <c r="Z8" s="118">
        <v>988</v>
      </c>
      <c r="AA8" s="118">
        <v>2368</v>
      </c>
      <c r="AB8" s="118">
        <v>2601</v>
      </c>
      <c r="AC8" s="118">
        <v>935</v>
      </c>
      <c r="AD8" s="118">
        <v>2721</v>
      </c>
      <c r="AE8" s="118">
        <v>1571</v>
      </c>
      <c r="AF8" s="118">
        <v>11825</v>
      </c>
      <c r="AG8" s="118">
        <v>16718</v>
      </c>
      <c r="AH8" s="118">
        <v>16161</v>
      </c>
      <c r="AI8" s="118">
        <v>3723</v>
      </c>
      <c r="AJ8" s="118">
        <v>4458</v>
      </c>
      <c r="AK8" s="118">
        <v>12835</v>
      </c>
      <c r="AL8" s="118">
        <v>9350</v>
      </c>
      <c r="AM8" s="118">
        <v>6381</v>
      </c>
      <c r="AN8" s="118">
        <v>4616</v>
      </c>
      <c r="AO8" s="118">
        <v>4419</v>
      </c>
      <c r="AP8" s="118">
        <v>5710</v>
      </c>
      <c r="AQ8" s="118">
        <v>11195</v>
      </c>
      <c r="AR8" s="118">
        <v>6236</v>
      </c>
      <c r="AS8" s="118">
        <v>10401</v>
      </c>
      <c r="AT8" s="118">
        <v>8556</v>
      </c>
      <c r="AU8" s="118">
        <v>10914</v>
      </c>
      <c r="AV8" s="118">
        <v>6679</v>
      </c>
      <c r="AW8" s="118">
        <v>6248</v>
      </c>
      <c r="AX8" s="118">
        <v>12466</v>
      </c>
      <c r="AY8" s="118">
        <v>9505</v>
      </c>
    </row>
    <row r="9" spans="2:51" ht="15" customHeight="1" x14ac:dyDescent="0.2">
      <c r="B9" s="129" t="s">
        <v>93</v>
      </c>
      <c r="C9" s="118">
        <v>21251</v>
      </c>
      <c r="D9" s="160">
        <v>12459</v>
      </c>
      <c r="E9" s="118">
        <v>7889</v>
      </c>
      <c r="F9" s="118">
        <v>11964</v>
      </c>
      <c r="G9" s="118">
        <v>2353</v>
      </c>
      <c r="H9" s="118">
        <v>2905</v>
      </c>
      <c r="I9" s="118">
        <v>3177</v>
      </c>
      <c r="J9" s="118">
        <v>2602</v>
      </c>
      <c r="K9" s="118">
        <v>2436</v>
      </c>
      <c r="L9" s="118">
        <v>2975</v>
      </c>
      <c r="M9" s="118">
        <v>1824</v>
      </c>
      <c r="N9" s="118">
        <v>9487</v>
      </c>
      <c r="O9" s="118">
        <v>465</v>
      </c>
      <c r="P9" s="118">
        <v>2854</v>
      </c>
      <c r="Q9" s="118">
        <v>505</v>
      </c>
      <c r="R9" s="118">
        <v>600</v>
      </c>
      <c r="S9" s="118">
        <v>140</v>
      </c>
      <c r="T9" s="118">
        <v>381</v>
      </c>
      <c r="U9" s="118">
        <v>1419</v>
      </c>
      <c r="V9" s="118">
        <v>838</v>
      </c>
      <c r="W9" s="118">
        <v>218</v>
      </c>
      <c r="X9" s="118">
        <v>428</v>
      </c>
      <c r="Y9" s="118">
        <v>795</v>
      </c>
      <c r="Z9" s="118">
        <v>113</v>
      </c>
      <c r="AA9" s="118">
        <v>826</v>
      </c>
      <c r="AB9" s="118">
        <v>2168</v>
      </c>
      <c r="AC9" s="118">
        <v>794</v>
      </c>
      <c r="AD9" s="118">
        <v>748</v>
      </c>
      <c r="AE9" s="118">
        <v>941</v>
      </c>
      <c r="AF9" s="118">
        <v>1566</v>
      </c>
      <c r="AG9" s="118">
        <v>18629</v>
      </c>
      <c r="AH9" s="118">
        <v>23055</v>
      </c>
      <c r="AI9" s="118">
        <v>1961</v>
      </c>
      <c r="AJ9" s="118">
        <v>2574</v>
      </c>
      <c r="AK9" s="118">
        <v>3809</v>
      </c>
      <c r="AL9" s="118">
        <v>4633</v>
      </c>
      <c r="AM9" s="118">
        <v>6846</v>
      </c>
      <c r="AN9" s="118">
        <v>2664</v>
      </c>
      <c r="AO9" s="118">
        <v>2981</v>
      </c>
      <c r="AP9" s="118">
        <v>3559</v>
      </c>
      <c r="AQ9" s="118">
        <v>5931</v>
      </c>
      <c r="AR9" s="118">
        <v>3124</v>
      </c>
      <c r="AS9" s="118">
        <v>6620</v>
      </c>
      <c r="AT9" s="118">
        <v>4207</v>
      </c>
      <c r="AU9" s="118">
        <v>9069</v>
      </c>
      <c r="AV9" s="118">
        <v>7638</v>
      </c>
      <c r="AW9" s="118">
        <v>1597</v>
      </c>
      <c r="AX9" s="118">
        <v>3007</v>
      </c>
      <c r="AY9" s="118">
        <v>7087</v>
      </c>
    </row>
    <row r="10" spans="2:51" ht="15" customHeight="1" x14ac:dyDescent="0.2">
      <c r="B10" s="129" t="s">
        <v>95</v>
      </c>
      <c r="C10" s="118">
        <v>40835</v>
      </c>
      <c r="D10" s="160">
        <v>33264</v>
      </c>
      <c r="E10" s="118">
        <v>42435</v>
      </c>
      <c r="F10" s="118">
        <v>20686</v>
      </c>
      <c r="G10" s="118">
        <v>24234</v>
      </c>
      <c r="H10" s="118">
        <v>21153</v>
      </c>
      <c r="I10" s="118">
        <v>20851</v>
      </c>
      <c r="J10" s="118">
        <v>20221</v>
      </c>
      <c r="K10" s="118">
        <v>20626</v>
      </c>
      <c r="L10" s="118">
        <v>19225</v>
      </c>
      <c r="M10" s="118">
        <v>20188</v>
      </c>
      <c r="N10" s="118">
        <v>20823</v>
      </c>
      <c r="O10" s="118">
        <v>18943</v>
      </c>
      <c r="P10" s="118">
        <v>19024</v>
      </c>
      <c r="Q10" s="118">
        <v>19517</v>
      </c>
      <c r="R10" s="261">
        <v>2626</v>
      </c>
      <c r="S10" s="118">
        <v>2399</v>
      </c>
      <c r="T10" s="118">
        <v>1395</v>
      </c>
      <c r="U10" s="118">
        <v>1412</v>
      </c>
      <c r="V10" s="118">
        <v>2762</v>
      </c>
      <c r="W10" s="118">
        <v>3305</v>
      </c>
      <c r="X10" s="118">
        <v>1239</v>
      </c>
      <c r="Y10" s="118">
        <v>1451</v>
      </c>
      <c r="Z10" s="118">
        <v>762</v>
      </c>
      <c r="AA10" s="118">
        <v>662</v>
      </c>
      <c r="AB10" s="118">
        <v>1119</v>
      </c>
      <c r="AC10" s="118">
        <v>977</v>
      </c>
      <c r="AD10" s="118">
        <v>1191</v>
      </c>
      <c r="AE10" s="118">
        <v>1126</v>
      </c>
      <c r="AF10" s="118">
        <v>1283</v>
      </c>
      <c r="AG10" s="118">
        <v>1964</v>
      </c>
      <c r="AH10" s="118">
        <v>20028</v>
      </c>
      <c r="AI10" s="118">
        <v>2965</v>
      </c>
      <c r="AJ10" s="118">
        <v>3522</v>
      </c>
      <c r="AK10" s="118">
        <v>3742</v>
      </c>
      <c r="AL10" s="118">
        <v>5158</v>
      </c>
      <c r="AM10" s="118">
        <v>4895</v>
      </c>
      <c r="AN10" s="118">
        <v>5633</v>
      </c>
      <c r="AO10" s="118">
        <v>5503</v>
      </c>
      <c r="AP10" s="118">
        <v>6730</v>
      </c>
      <c r="AQ10" s="118">
        <v>5466</v>
      </c>
      <c r="AR10" s="118">
        <v>5311</v>
      </c>
      <c r="AS10" s="118">
        <v>6732</v>
      </c>
      <c r="AT10" s="118">
        <v>4596</v>
      </c>
      <c r="AU10" s="118">
        <v>5615</v>
      </c>
      <c r="AV10" s="118">
        <v>5746</v>
      </c>
      <c r="AW10" s="118">
        <v>5550</v>
      </c>
      <c r="AX10" s="118">
        <v>3894</v>
      </c>
      <c r="AY10" s="118">
        <v>6149</v>
      </c>
    </row>
    <row r="11" spans="2:51" s="253" customFormat="1" ht="15" customHeight="1" x14ac:dyDescent="0.2">
      <c r="B11" s="254" t="s">
        <v>1154</v>
      </c>
      <c r="C11" s="255">
        <f t="shared" ref="C11:AJ11" si="0">C10/C12</f>
        <v>0.13226296475038948</v>
      </c>
      <c r="D11" s="256">
        <f t="shared" si="0"/>
        <v>0.12552026534947869</v>
      </c>
      <c r="E11" s="255">
        <f t="shared" si="0"/>
        <v>0.15281483962274342</v>
      </c>
      <c r="F11" s="255">
        <f t="shared" si="0"/>
        <v>7.6725925321484076E-2</v>
      </c>
      <c r="G11" s="255">
        <f t="shared" si="0"/>
        <v>0.11279287330000838</v>
      </c>
      <c r="H11" s="255">
        <f t="shared" si="0"/>
        <v>8.9200848447534994E-2</v>
      </c>
      <c r="I11" s="255">
        <f t="shared" si="0"/>
        <v>0.10491966608464623</v>
      </c>
      <c r="J11" s="255">
        <f t="shared" si="0"/>
        <v>9.8732941090305407E-2</v>
      </c>
      <c r="K11" s="255">
        <f t="shared" si="0"/>
        <v>0.14023279214598461</v>
      </c>
      <c r="L11" s="255">
        <f t="shared" si="0"/>
        <v>0.12286778850762771</v>
      </c>
      <c r="M11" s="255">
        <f t="shared" si="0"/>
        <v>0.1404343531310433</v>
      </c>
      <c r="N11" s="255">
        <f t="shared" si="0"/>
        <v>0.1208342279503502</v>
      </c>
      <c r="O11" s="255">
        <f t="shared" si="0"/>
        <v>0.14097535926650839</v>
      </c>
      <c r="P11" s="255">
        <f t="shared" si="0"/>
        <v>0.1344832461473208</v>
      </c>
      <c r="Q11" s="255">
        <f t="shared" si="0"/>
        <v>0.12545235998534451</v>
      </c>
      <c r="R11" s="255">
        <f t="shared" si="0"/>
        <v>1.5166216184997805E-2</v>
      </c>
      <c r="S11" s="255">
        <f t="shared" si="0"/>
        <v>1.5849525307047391E-2</v>
      </c>
      <c r="T11" s="255">
        <f t="shared" si="0"/>
        <v>7.8908070683530555E-3</v>
      </c>
      <c r="U11" s="255">
        <f t="shared" si="0"/>
        <v>7.3668668381428404E-3</v>
      </c>
      <c r="V11" s="255">
        <f t="shared" si="0"/>
        <v>1.2052451290554841E-2</v>
      </c>
      <c r="W11" s="255">
        <f t="shared" si="0"/>
        <v>1.6073417339837272E-2</v>
      </c>
      <c r="X11" s="255">
        <f t="shared" si="0"/>
        <v>5.7151291785251367E-3</v>
      </c>
      <c r="Y11" s="255">
        <f t="shared" si="0"/>
        <v>6.4828880350281479E-3</v>
      </c>
      <c r="Z11" s="255">
        <f t="shared" si="0"/>
        <v>2.9151284454561103E-3</v>
      </c>
      <c r="AA11" s="255">
        <f t="shared" si="0"/>
        <v>3.1736291552010125E-3</v>
      </c>
      <c r="AB11" s="255">
        <f t="shared" si="0"/>
        <v>8.7658141083388815E-3</v>
      </c>
      <c r="AC11" s="255">
        <f t="shared" si="0"/>
        <v>4.88404761071591E-3</v>
      </c>
      <c r="AD11" s="255">
        <f t="shared" si="0"/>
        <v>5.6066583186615577E-3</v>
      </c>
      <c r="AE11" s="255">
        <f t="shared" si="0"/>
        <v>6.6409129780897053E-3</v>
      </c>
      <c r="AF11" s="255">
        <f t="shared" si="0"/>
        <v>6.4941967291115149E-3</v>
      </c>
      <c r="AG11" s="255">
        <f t="shared" si="0"/>
        <v>9.9592300359019094E-3</v>
      </c>
      <c r="AH11" s="255">
        <f t="shared" si="0"/>
        <v>6.5968379446640316E-2</v>
      </c>
      <c r="AI11" s="255">
        <f t="shared" si="0"/>
        <v>1.3194021083734197E-2</v>
      </c>
      <c r="AJ11" s="255">
        <f t="shared" si="0"/>
        <v>1.3164681872210635E-2</v>
      </c>
      <c r="AK11" s="255">
        <v>1.2898733566351609E-2</v>
      </c>
      <c r="AL11" s="255">
        <f t="shared" ref="AL11:AT11" si="1">AL10/AL12</f>
        <v>1.6370185822873192E-2</v>
      </c>
      <c r="AM11" s="255">
        <f t="shared" si="1"/>
        <v>1.8736555229776387E-2</v>
      </c>
      <c r="AN11" s="255">
        <f t="shared" si="1"/>
        <v>2.1203953955837958E-2</v>
      </c>
      <c r="AO11" s="255">
        <f t="shared" si="1"/>
        <v>1.9478473861749914E-2</v>
      </c>
      <c r="AP11" s="255">
        <f t="shared" si="1"/>
        <v>1.937789192722205E-2</v>
      </c>
      <c r="AQ11" s="255">
        <f t="shared" si="1"/>
        <v>1.8465779525484196E-2</v>
      </c>
      <c r="AR11" s="255">
        <f t="shared" si="1"/>
        <v>1.5398934165279767E-2</v>
      </c>
      <c r="AS11" s="255">
        <f t="shared" si="1"/>
        <v>1.6919036429208712E-2</v>
      </c>
      <c r="AT11" s="255">
        <f t="shared" si="1"/>
        <v>1.0414188311909019E-2</v>
      </c>
      <c r="AU11" s="255">
        <v>1.6886456250093981E-2</v>
      </c>
      <c r="AV11" s="255">
        <v>1.5545863815419246E-2</v>
      </c>
      <c r="AW11" s="255">
        <v>1.3133390284130842E-2</v>
      </c>
      <c r="AX11" s="255">
        <v>8.7371713463859878E-3</v>
      </c>
      <c r="AY11" s="255">
        <f>AY10/AY12</f>
        <v>1.4756277837505759E-2</v>
      </c>
    </row>
    <row r="12" spans="2:51" ht="15" customHeight="1" x14ac:dyDescent="0.2">
      <c r="B12" s="126" t="s">
        <v>94</v>
      </c>
      <c r="C12" s="120">
        <f t="shared" ref="C12:M12" si="2">SUM(C6:C10)</f>
        <v>308741</v>
      </c>
      <c r="D12" s="162">
        <f t="shared" si="2"/>
        <v>265009</v>
      </c>
      <c r="E12" s="120">
        <f t="shared" si="2"/>
        <v>277689</v>
      </c>
      <c r="F12" s="120">
        <f t="shared" si="2"/>
        <v>269609</v>
      </c>
      <c r="G12" s="120">
        <f t="shared" si="2"/>
        <v>214854</v>
      </c>
      <c r="H12" s="120">
        <f t="shared" si="2"/>
        <v>237139</v>
      </c>
      <c r="I12" s="120">
        <f t="shared" si="2"/>
        <v>198733</v>
      </c>
      <c r="J12" s="120">
        <f t="shared" si="2"/>
        <v>204805</v>
      </c>
      <c r="K12" s="120">
        <f t="shared" si="2"/>
        <v>147084</v>
      </c>
      <c r="L12" s="120">
        <f t="shared" si="2"/>
        <v>156469</v>
      </c>
      <c r="M12" s="120">
        <f t="shared" si="2"/>
        <v>143754</v>
      </c>
      <c r="N12" s="120">
        <f t="shared" ref="N12:U12" si="3">SUM(N6:N10)</f>
        <v>172327</v>
      </c>
      <c r="O12" s="120">
        <f t="shared" si="3"/>
        <v>134371</v>
      </c>
      <c r="P12" s="120">
        <f t="shared" si="3"/>
        <v>141460</v>
      </c>
      <c r="Q12" s="120">
        <f t="shared" si="3"/>
        <v>155573</v>
      </c>
      <c r="R12" s="120">
        <f t="shared" si="3"/>
        <v>173148</v>
      </c>
      <c r="S12" s="120">
        <f t="shared" si="3"/>
        <v>151361</v>
      </c>
      <c r="T12" s="120">
        <f t="shared" si="3"/>
        <v>176788</v>
      </c>
      <c r="U12" s="120">
        <f t="shared" si="3"/>
        <v>191669</v>
      </c>
      <c r="V12" s="120">
        <f t="shared" ref="V12:AA12" si="4">SUM(V6:V10)</f>
        <v>229165</v>
      </c>
      <c r="W12" s="120">
        <f t="shared" si="4"/>
        <v>205619</v>
      </c>
      <c r="X12" s="120">
        <f t="shared" si="4"/>
        <v>216793</v>
      </c>
      <c r="Y12" s="120">
        <f t="shared" si="4"/>
        <v>223820</v>
      </c>
      <c r="Z12" s="120">
        <f t="shared" si="4"/>
        <v>261395</v>
      </c>
      <c r="AA12" s="120">
        <f t="shared" si="4"/>
        <v>208594</v>
      </c>
      <c r="AB12" s="120">
        <f t="shared" ref="AB12:AJ12" si="5">SUM(AB6:AB10)</f>
        <v>127655</v>
      </c>
      <c r="AC12" s="120">
        <f t="shared" si="5"/>
        <v>200039</v>
      </c>
      <c r="AD12" s="120">
        <f t="shared" si="5"/>
        <v>212426</v>
      </c>
      <c r="AE12" s="120">
        <f t="shared" si="5"/>
        <v>169555</v>
      </c>
      <c r="AF12" s="120">
        <f t="shared" si="5"/>
        <v>197561</v>
      </c>
      <c r="AG12" s="120">
        <f t="shared" si="5"/>
        <v>197204</v>
      </c>
      <c r="AH12" s="120">
        <f t="shared" si="5"/>
        <v>303600</v>
      </c>
      <c r="AI12" s="120">
        <f t="shared" si="5"/>
        <v>224723</v>
      </c>
      <c r="AJ12" s="120">
        <f t="shared" si="5"/>
        <v>267534</v>
      </c>
      <c r="AK12" s="120">
        <f t="shared" ref="AK12:AQ12" si="6">SUM(AK6:AK10)</f>
        <v>290106</v>
      </c>
      <c r="AL12" s="120">
        <f t="shared" si="6"/>
        <v>315085</v>
      </c>
      <c r="AM12" s="120">
        <f t="shared" si="6"/>
        <v>261254</v>
      </c>
      <c r="AN12" s="120">
        <f t="shared" si="6"/>
        <v>265658</v>
      </c>
      <c r="AO12" s="120">
        <f t="shared" si="6"/>
        <v>282517</v>
      </c>
      <c r="AP12" s="120">
        <f t="shared" si="6"/>
        <v>347303</v>
      </c>
      <c r="AQ12" s="120">
        <f t="shared" si="6"/>
        <v>296007</v>
      </c>
      <c r="AR12" s="120">
        <f t="shared" ref="AR12:AY12" si="7">SUM(AR6:AR10)</f>
        <v>344894</v>
      </c>
      <c r="AS12" s="120">
        <f t="shared" si="7"/>
        <v>397895</v>
      </c>
      <c r="AT12" s="120">
        <f t="shared" si="7"/>
        <v>441321</v>
      </c>
      <c r="AU12" s="120">
        <f t="shared" si="7"/>
        <v>332515</v>
      </c>
      <c r="AV12" s="120">
        <f t="shared" si="7"/>
        <v>369616</v>
      </c>
      <c r="AW12" s="120">
        <f t="shared" si="7"/>
        <v>422587</v>
      </c>
      <c r="AX12" s="120">
        <f t="shared" si="7"/>
        <v>445682</v>
      </c>
      <c r="AY12" s="120">
        <f t="shared" si="7"/>
        <v>416704</v>
      </c>
    </row>
    <row r="13" spans="2:51" ht="15" customHeight="1" x14ac:dyDescent="0.2">
      <c r="C13" s="150">
        <f>+C12-'Contas a Receber'!D7</f>
        <v>0</v>
      </c>
      <c r="D13" s="150">
        <f>+D12-'Contas a Receber'!E7</f>
        <v>0</v>
      </c>
      <c r="E13" s="150">
        <f>+E12-'Contas a Receber'!F7</f>
        <v>0</v>
      </c>
      <c r="F13" s="150">
        <f>+F12-'Contas a Receber'!G7</f>
        <v>0</v>
      </c>
      <c r="G13" s="150">
        <f>+G12-'Contas a Receber'!H7</f>
        <v>0</v>
      </c>
      <c r="H13" s="150">
        <f>+H12-'Contas a Receber'!I7</f>
        <v>0</v>
      </c>
      <c r="I13" s="150">
        <f>+I12-'Contas a Receber'!J7</f>
        <v>0</v>
      </c>
      <c r="J13" s="150">
        <f>+J12-'Contas a Receber'!K7</f>
        <v>0</v>
      </c>
      <c r="K13" s="150"/>
      <c r="L13" s="150"/>
      <c r="M13" s="150"/>
      <c r="N13" s="150"/>
      <c r="O13" s="150"/>
      <c r="P13" s="150"/>
      <c r="Q13" s="150"/>
      <c r="R13" s="150"/>
      <c r="S13" s="150">
        <f>BP!AI8-'Contas a Receber Mov PDD'!T12-S12</f>
        <v>0</v>
      </c>
      <c r="T13" s="150">
        <f>BP!AJ8-'Contas a Receber Mov PDD'!U12-T12</f>
        <v>0</v>
      </c>
      <c r="U13" s="150">
        <f>BP!AK8-'Contas a Receber Mov PDD'!V12-U12</f>
        <v>0</v>
      </c>
      <c r="V13" s="150">
        <f>BP!AL8-'Contas a Receber Mov PDD'!W12-V12</f>
        <v>0</v>
      </c>
      <c r="W13" s="150">
        <f>BP!AM8-'Contas a Receber Mov PDD'!X12-W12</f>
        <v>0</v>
      </c>
      <c r="X13" s="150">
        <f>BP!AN8-'Contas a Receber Mov PDD'!Y12-X12</f>
        <v>0</v>
      </c>
      <c r="Y13" s="150">
        <f>BP!AO8-'Contas a Receber Mov PDD'!Z12-Y12</f>
        <v>0</v>
      </c>
      <c r="Z13" s="150">
        <f>BP!AP8-'Contas a Receber Mov PDD'!AA12-Z12</f>
        <v>0</v>
      </c>
      <c r="AA13" s="150">
        <f>BP!AQ8-'Contas a Receber Mov PDD'!AB12-AA12</f>
        <v>0</v>
      </c>
      <c r="AB13" s="150">
        <f>BP!AR8-'Contas a Receber Mov PDD'!AC12-AB12</f>
        <v>0</v>
      </c>
      <c r="AC13" s="150">
        <f>BP!AS8-'Contas a Receber Mov PDD'!AD12-AC12</f>
        <v>0</v>
      </c>
      <c r="AD13" s="150">
        <f>BP!AT8-'Contas a Receber Mov PDD'!AE12-AD12</f>
        <v>0</v>
      </c>
      <c r="AE13" s="150">
        <f>BP!AU8-'Contas a Receber Mov PDD'!AF12-AE12</f>
        <v>0</v>
      </c>
      <c r="AF13" s="150">
        <f>BP!AV8-'Contas a Receber Mov PDD'!AG12-AF12</f>
        <v>0</v>
      </c>
      <c r="AG13" s="150">
        <f>BP!AW8-'Contas a Receber Mov PDD'!AH12-AG12</f>
        <v>0</v>
      </c>
      <c r="AH13" s="150"/>
      <c r="AI13" s="150">
        <v>0</v>
      </c>
      <c r="AJ13" s="150">
        <f>BP!AZ8-'Contas a Receber Mov PDD'!AK12-AJ12</f>
        <v>0</v>
      </c>
      <c r="AK13" s="150">
        <f>BP!BA8-'Contas a Receber Mov PDD'!AL12-AK12</f>
        <v>0</v>
      </c>
      <c r="AL13" s="150">
        <f>BP!BB8-'Contas a Receber Mov PDD'!AM12-AL12</f>
        <v>0</v>
      </c>
      <c r="AM13" s="150">
        <f>BP!BC8-'Contas a Receber Mov PDD'!AN12-AM12</f>
        <v>0</v>
      </c>
      <c r="AN13" s="150">
        <f>BP!BD8-'Contas a Receber Mov PDD'!AO12-AN12</f>
        <v>0</v>
      </c>
      <c r="AO13" s="150">
        <f>BP!BE8-'Contas a Receber Mov PDD'!AP12-AO12</f>
        <v>0</v>
      </c>
      <c r="AP13" s="150">
        <f>BP!BF8-'Contas a Receber Mov PDD'!AQ12-AP12</f>
        <v>0</v>
      </c>
      <c r="AQ13" s="150">
        <f>BP!BG8-'Contas a Receber Mov PDD'!AR12-AQ12</f>
        <v>0</v>
      </c>
      <c r="AR13" s="150">
        <f>BP!BH8-'Contas a Receber Mov PDD'!AS12-AR12</f>
        <v>0</v>
      </c>
      <c r="AS13" s="150">
        <f>BP!BI8-'Contas a Receber Mov PDD'!AT12-AS12</f>
        <v>0</v>
      </c>
      <c r="AT13" s="150">
        <f>BP!BJ8-'Contas a Receber Mov PDD'!AU12-AT12</f>
        <v>0</v>
      </c>
      <c r="AU13" s="150">
        <f>BP!BK8-'Contas a Receber Mov PDD'!AV12-AU12</f>
        <v>0</v>
      </c>
      <c r="AV13" s="150">
        <f>BP!BL8-'Contas a Receber Mov PDD'!AW12-AV12</f>
        <v>0</v>
      </c>
      <c r="AW13" s="150">
        <f>BP!BM8-'Contas a Receber Mov PDD'!AX12-AW12</f>
        <v>0</v>
      </c>
      <c r="AX13" s="150">
        <f>BP!BN8-'Contas a Receber Mov PDD'!AY12-AX12</f>
        <v>0</v>
      </c>
      <c r="AY13" s="150">
        <f>BP!BO8-'Contas a Receber Mov PDD'!AZ12-AY12</f>
        <v>0</v>
      </c>
    </row>
    <row r="14" spans="2:51" ht="15" customHeight="1" x14ac:dyDescent="0.2">
      <c r="B14" s="151" t="s">
        <v>113</v>
      </c>
      <c r="C14" s="115" t="str">
        <f>C5</f>
        <v>1T14</v>
      </c>
      <c r="D14" s="115" t="str">
        <f t="shared" ref="D14:Q14" si="8">D5</f>
        <v>2T14</v>
      </c>
      <c r="E14" s="115" t="str">
        <f t="shared" si="8"/>
        <v>3T14</v>
      </c>
      <c r="F14" s="115" t="str">
        <f t="shared" si="8"/>
        <v>4T14</v>
      </c>
      <c r="G14" s="115" t="str">
        <f t="shared" si="8"/>
        <v>1T15</v>
      </c>
      <c r="H14" s="115" t="str">
        <f t="shared" si="8"/>
        <v>2T15</v>
      </c>
      <c r="I14" s="115" t="str">
        <f t="shared" si="8"/>
        <v>3T15</v>
      </c>
      <c r="J14" s="115" t="str">
        <f t="shared" si="8"/>
        <v>4T15</v>
      </c>
      <c r="K14" s="115" t="str">
        <f t="shared" si="8"/>
        <v>1T16</v>
      </c>
      <c r="L14" s="115" t="str">
        <f t="shared" si="8"/>
        <v>2T16</v>
      </c>
      <c r="M14" s="115" t="str">
        <f t="shared" si="8"/>
        <v>3T16</v>
      </c>
      <c r="N14" s="115" t="str">
        <f t="shared" si="8"/>
        <v>4T16</v>
      </c>
      <c r="O14" s="115" t="str">
        <f t="shared" si="8"/>
        <v>1T17</v>
      </c>
      <c r="P14" s="115" t="str">
        <f t="shared" si="8"/>
        <v>2T17</v>
      </c>
      <c r="Q14" s="115" t="str">
        <f t="shared" si="8"/>
        <v>3T17</v>
      </c>
      <c r="R14" s="115" t="str">
        <f t="shared" ref="R14:W14" si="9">R5</f>
        <v>4T17</v>
      </c>
      <c r="S14" s="115" t="str">
        <f t="shared" si="9"/>
        <v>1T18</v>
      </c>
      <c r="T14" s="115" t="str">
        <f t="shared" si="9"/>
        <v>2T18</v>
      </c>
      <c r="U14" s="115" t="str">
        <f t="shared" si="9"/>
        <v>3T18</v>
      </c>
      <c r="V14" s="115" t="str">
        <f t="shared" si="9"/>
        <v>4T18</v>
      </c>
      <c r="W14" s="115" t="str">
        <f t="shared" si="9"/>
        <v>1T19</v>
      </c>
      <c r="X14" s="115" t="str">
        <f t="shared" ref="X14:AC14" si="10">X5</f>
        <v>2T19</v>
      </c>
      <c r="Y14" s="115" t="str">
        <f t="shared" si="10"/>
        <v>3T19</v>
      </c>
      <c r="Z14" s="115" t="str">
        <f t="shared" si="10"/>
        <v>4T19</v>
      </c>
      <c r="AA14" s="115" t="str">
        <f t="shared" si="10"/>
        <v>1T20</v>
      </c>
      <c r="AB14" s="115" t="str">
        <f t="shared" si="10"/>
        <v>2T20</v>
      </c>
      <c r="AC14" s="115" t="str">
        <f t="shared" si="10"/>
        <v>3T20</v>
      </c>
      <c r="AD14" s="115" t="str">
        <f t="shared" ref="AD14:AJ14" si="11">AD5</f>
        <v>4T20</v>
      </c>
      <c r="AE14" s="115" t="str">
        <f t="shared" si="11"/>
        <v>1T21</v>
      </c>
      <c r="AF14" s="115" t="str">
        <f t="shared" si="11"/>
        <v>2T21</v>
      </c>
      <c r="AG14" s="115" t="str">
        <f t="shared" si="11"/>
        <v>3T21</v>
      </c>
      <c r="AH14" s="115" t="str">
        <f t="shared" si="11"/>
        <v>4T21</v>
      </c>
      <c r="AI14" s="115" t="str">
        <f t="shared" si="11"/>
        <v>1T22</v>
      </c>
      <c r="AJ14" s="115" t="str">
        <f t="shared" si="11"/>
        <v>2T22</v>
      </c>
      <c r="AK14" s="115" t="str">
        <f t="shared" ref="AK14:AU14" si="12">AK5</f>
        <v>3T22</v>
      </c>
      <c r="AL14" s="115" t="str">
        <f t="shared" si="12"/>
        <v>4T22</v>
      </c>
      <c r="AM14" s="115" t="str">
        <f t="shared" si="12"/>
        <v>1T23</v>
      </c>
      <c r="AN14" s="115" t="str">
        <f t="shared" si="12"/>
        <v>2T23</v>
      </c>
      <c r="AO14" s="115" t="str">
        <f t="shared" si="12"/>
        <v>3T23</v>
      </c>
      <c r="AP14" s="115" t="str">
        <f t="shared" si="12"/>
        <v>4T23</v>
      </c>
      <c r="AQ14" s="115" t="str">
        <f t="shared" si="12"/>
        <v>1T24</v>
      </c>
      <c r="AR14" s="115" t="str">
        <f t="shared" si="12"/>
        <v>2T24</v>
      </c>
      <c r="AS14" s="115" t="str">
        <f t="shared" si="12"/>
        <v>3T24</v>
      </c>
      <c r="AT14" s="115" t="str">
        <f t="shared" si="12"/>
        <v>4T24</v>
      </c>
      <c r="AU14" s="115" t="str">
        <f t="shared" si="12"/>
        <v>1T25</v>
      </c>
      <c r="AV14" s="115" t="str">
        <f>AV5</f>
        <v>2T25</v>
      </c>
      <c r="AW14" s="115" t="str">
        <f>AW5</f>
        <v>3T25</v>
      </c>
      <c r="AX14" s="115" t="str">
        <f>AX5</f>
        <v>4T25</v>
      </c>
      <c r="AY14" s="115" t="str">
        <f>AY5</f>
        <v>1T26</v>
      </c>
    </row>
    <row r="15" spans="2:51" ht="15" customHeight="1" x14ac:dyDescent="0.2">
      <c r="B15" s="129" t="s">
        <v>90</v>
      </c>
      <c r="C15" s="118">
        <v>118676</v>
      </c>
      <c r="D15" s="160">
        <v>134771</v>
      </c>
      <c r="E15" s="118">
        <v>140500</v>
      </c>
      <c r="F15" s="118">
        <v>185518</v>
      </c>
      <c r="G15" s="118">
        <v>136501</v>
      </c>
      <c r="H15" s="118">
        <v>141430</v>
      </c>
      <c r="I15" s="118">
        <v>109707</v>
      </c>
      <c r="J15" s="118">
        <v>115042</v>
      </c>
      <c r="K15" s="118">
        <v>81853</v>
      </c>
      <c r="L15" s="118">
        <v>93660</v>
      </c>
      <c r="M15" s="118">
        <v>77744</v>
      </c>
      <c r="N15" s="118">
        <v>98645</v>
      </c>
      <c r="O15" s="118">
        <v>86248</v>
      </c>
      <c r="P15" s="118">
        <v>89627</v>
      </c>
      <c r="Q15" s="118">
        <v>104361</v>
      </c>
      <c r="R15" s="118">
        <v>127318</v>
      </c>
      <c r="S15" s="118">
        <v>116122</v>
      </c>
      <c r="T15" s="118">
        <v>135954</v>
      </c>
      <c r="U15" s="118">
        <v>147412</v>
      </c>
      <c r="V15" s="118">
        <v>175971</v>
      </c>
      <c r="W15" s="118">
        <v>161738</v>
      </c>
      <c r="X15" s="118">
        <v>158893</v>
      </c>
      <c r="Y15" s="118">
        <v>175213</v>
      </c>
      <c r="Z15" s="118">
        <v>205527</v>
      </c>
      <c r="AA15" s="118">
        <v>153113</v>
      </c>
      <c r="AB15" s="118">
        <v>69202</v>
      </c>
      <c r="AC15" s="118">
        <v>152048</v>
      </c>
      <c r="AD15" s="118">
        <v>159326</v>
      </c>
      <c r="AE15" s="118">
        <v>136074</v>
      </c>
      <c r="AF15" s="118">
        <v>127419</v>
      </c>
      <c r="AG15" s="118">
        <v>120955</v>
      </c>
      <c r="AH15" s="118">
        <v>187064</v>
      </c>
      <c r="AI15" s="118">
        <v>137281</v>
      </c>
      <c r="AJ15" s="118">
        <v>183426</v>
      </c>
      <c r="AK15" s="118">
        <v>212905</v>
      </c>
      <c r="AL15" s="118">
        <v>228633</v>
      </c>
      <c r="AM15" s="118">
        <v>184518</v>
      </c>
      <c r="AN15" s="118">
        <v>191432</v>
      </c>
      <c r="AO15" s="118">
        <v>210981</v>
      </c>
      <c r="AP15" s="118">
        <v>248722</v>
      </c>
      <c r="AQ15" s="118">
        <v>197874</v>
      </c>
      <c r="AR15" s="118">
        <v>266955</v>
      </c>
      <c r="AS15" s="118">
        <v>312670</v>
      </c>
      <c r="AT15" s="118">
        <v>345309</v>
      </c>
      <c r="AU15" s="118">
        <v>239475</v>
      </c>
      <c r="AV15" s="118">
        <v>270819</v>
      </c>
      <c r="AW15" s="118">
        <v>333626</v>
      </c>
      <c r="AX15" s="118">
        <v>331946</v>
      </c>
      <c r="AY15" s="118">
        <v>320480</v>
      </c>
    </row>
    <row r="16" spans="2:51" ht="15" customHeight="1" x14ac:dyDescent="0.2">
      <c r="B16" s="129" t="s">
        <v>91</v>
      </c>
      <c r="C16" s="118">
        <v>24884</v>
      </c>
      <c r="D16" s="160">
        <v>30692</v>
      </c>
      <c r="E16" s="118">
        <v>37970</v>
      </c>
      <c r="F16" s="118">
        <v>19725</v>
      </c>
      <c r="G16" s="118">
        <v>11341</v>
      </c>
      <c r="H16" s="118">
        <v>13473</v>
      </c>
      <c r="I16" s="118">
        <v>13408</v>
      </c>
      <c r="J16" s="118">
        <v>19036</v>
      </c>
      <c r="K16" s="118">
        <v>7990</v>
      </c>
      <c r="L16" s="118">
        <v>5328</v>
      </c>
      <c r="M16" s="118">
        <v>12037</v>
      </c>
      <c r="N16" s="118">
        <v>10595</v>
      </c>
      <c r="O16" s="118">
        <v>2546</v>
      </c>
      <c r="P16" s="118">
        <v>7860</v>
      </c>
      <c r="Q16" s="118">
        <v>9899</v>
      </c>
      <c r="R16" s="118">
        <v>16729</v>
      </c>
      <c r="S16" s="118">
        <v>9912</v>
      </c>
      <c r="T16" s="118">
        <v>6974</v>
      </c>
      <c r="U16" s="118">
        <v>8059</v>
      </c>
      <c r="V16" s="118">
        <v>18512</v>
      </c>
      <c r="W16" s="118">
        <v>8142</v>
      </c>
      <c r="X16" s="118">
        <v>20855</v>
      </c>
      <c r="Y16" s="118">
        <v>6629</v>
      </c>
      <c r="Z16" s="118">
        <v>13585</v>
      </c>
      <c r="AA16" s="118">
        <v>11177</v>
      </c>
      <c r="AB16" s="118">
        <v>4059</v>
      </c>
      <c r="AC16" s="118">
        <v>6791</v>
      </c>
      <c r="AD16" s="118">
        <v>13665</v>
      </c>
      <c r="AE16" s="118">
        <v>3097</v>
      </c>
      <c r="AF16" s="118">
        <v>15572</v>
      </c>
      <c r="AG16" s="118">
        <v>6363</v>
      </c>
      <c r="AH16" s="118">
        <v>21753</v>
      </c>
      <c r="AI16" s="118">
        <v>4378</v>
      </c>
      <c r="AJ16" s="118">
        <v>11789</v>
      </c>
      <c r="AK16" s="118">
        <v>13517</v>
      </c>
      <c r="AL16" s="118">
        <v>23641</v>
      </c>
      <c r="AM16" s="118">
        <v>7141</v>
      </c>
      <c r="AN16" s="118">
        <v>13542</v>
      </c>
      <c r="AO16" s="118">
        <v>8419</v>
      </c>
      <c r="AP16" s="118">
        <v>32213</v>
      </c>
      <c r="AQ16" s="118">
        <v>14313</v>
      </c>
      <c r="AR16" s="118">
        <v>13591</v>
      </c>
      <c r="AS16" s="118">
        <v>11006</v>
      </c>
      <c r="AT16" s="118">
        <v>36607</v>
      </c>
      <c r="AU16" s="118">
        <v>15560</v>
      </c>
      <c r="AV16" s="118">
        <v>19099</v>
      </c>
      <c r="AW16" s="118">
        <v>19875</v>
      </c>
      <c r="AX16" s="118">
        <v>34256</v>
      </c>
      <c r="AY16" s="118">
        <v>9093</v>
      </c>
    </row>
    <row r="17" spans="1:51" ht="15" customHeight="1" x14ac:dyDescent="0.2">
      <c r="B17" s="129" t="s">
        <v>92</v>
      </c>
      <c r="C17" s="118">
        <v>8614</v>
      </c>
      <c r="D17" s="160">
        <v>9936</v>
      </c>
      <c r="E17" s="118">
        <v>7837</v>
      </c>
      <c r="F17" s="118">
        <v>8490</v>
      </c>
      <c r="G17" s="118">
        <v>7676</v>
      </c>
      <c r="H17" s="118">
        <v>15862</v>
      </c>
      <c r="I17" s="118">
        <v>6402</v>
      </c>
      <c r="J17" s="118">
        <v>6062</v>
      </c>
      <c r="K17" s="118">
        <v>10412</v>
      </c>
      <c r="L17" s="118">
        <v>8105</v>
      </c>
      <c r="M17" s="118">
        <v>8764</v>
      </c>
      <c r="N17" s="118">
        <v>7326</v>
      </c>
      <c r="O17" s="118">
        <v>5155</v>
      </c>
      <c r="P17" s="118">
        <v>433</v>
      </c>
      <c r="Q17" s="118">
        <v>657</v>
      </c>
      <c r="R17" s="118">
        <v>758</v>
      </c>
      <c r="S17" s="118">
        <v>541</v>
      </c>
      <c r="T17" s="118">
        <v>9154</v>
      </c>
      <c r="U17" s="118">
        <v>7374</v>
      </c>
      <c r="V17" s="118">
        <v>419</v>
      </c>
      <c r="W17" s="118">
        <v>671</v>
      </c>
      <c r="X17" s="118">
        <v>555</v>
      </c>
      <c r="Y17" s="118">
        <v>924</v>
      </c>
      <c r="Z17" s="118">
        <v>699</v>
      </c>
      <c r="AA17" s="118">
        <v>2142</v>
      </c>
      <c r="AB17" s="118">
        <v>2075</v>
      </c>
      <c r="AC17" s="118">
        <v>647</v>
      </c>
      <c r="AD17" s="118">
        <v>1977</v>
      </c>
      <c r="AE17" s="118">
        <v>1382</v>
      </c>
      <c r="AF17" s="118">
        <v>1701</v>
      </c>
      <c r="AG17" s="118">
        <v>2159</v>
      </c>
      <c r="AH17" s="118">
        <v>3758</v>
      </c>
      <c r="AI17" s="118">
        <v>3236</v>
      </c>
      <c r="AJ17" s="118">
        <v>3603</v>
      </c>
      <c r="AK17" s="118">
        <v>10625</v>
      </c>
      <c r="AL17" s="118">
        <v>8149</v>
      </c>
      <c r="AM17" s="118">
        <v>4890</v>
      </c>
      <c r="AN17" s="118">
        <v>3605</v>
      </c>
      <c r="AO17" s="118">
        <v>3795</v>
      </c>
      <c r="AP17" s="118">
        <v>5092</v>
      </c>
      <c r="AQ17" s="118">
        <v>10042</v>
      </c>
      <c r="AR17" s="118">
        <v>5073</v>
      </c>
      <c r="AS17" s="118">
        <v>9949</v>
      </c>
      <c r="AT17" s="118">
        <v>7367</v>
      </c>
      <c r="AU17" s="118">
        <v>9931</v>
      </c>
      <c r="AV17" s="118">
        <v>5917</v>
      </c>
      <c r="AW17" s="118">
        <v>4905</v>
      </c>
      <c r="AX17" s="118">
        <v>10264</v>
      </c>
      <c r="AY17" s="118">
        <v>7825</v>
      </c>
    </row>
    <row r="18" spans="1:51" ht="15" customHeight="1" x14ac:dyDescent="0.2">
      <c r="B18" s="129" t="s">
        <v>93</v>
      </c>
      <c r="C18" s="118">
        <v>8502</v>
      </c>
      <c r="D18" s="160">
        <v>3547</v>
      </c>
      <c r="E18" s="118">
        <v>4600</v>
      </c>
      <c r="F18" s="118">
        <v>7361</v>
      </c>
      <c r="G18" s="118">
        <v>2104</v>
      </c>
      <c r="H18" s="118">
        <v>2599</v>
      </c>
      <c r="I18" s="118">
        <v>2856</v>
      </c>
      <c r="J18" s="118">
        <v>1619</v>
      </c>
      <c r="K18" s="118">
        <v>2365</v>
      </c>
      <c r="L18" s="118">
        <v>2820</v>
      </c>
      <c r="M18" s="118">
        <v>1762</v>
      </c>
      <c r="N18" s="118">
        <v>9284</v>
      </c>
      <c r="O18" s="118">
        <v>457</v>
      </c>
      <c r="P18" s="118">
        <v>2827</v>
      </c>
      <c r="Q18" s="118">
        <v>416</v>
      </c>
      <c r="R18" s="118">
        <v>589</v>
      </c>
      <c r="S18" s="118">
        <v>123</v>
      </c>
      <c r="T18" s="118">
        <v>215</v>
      </c>
      <c r="U18" s="118">
        <v>180</v>
      </c>
      <c r="V18" s="118">
        <v>293</v>
      </c>
      <c r="W18" s="118">
        <v>213</v>
      </c>
      <c r="X18" s="118">
        <v>355</v>
      </c>
      <c r="Y18" s="118">
        <v>795</v>
      </c>
      <c r="Z18" s="118">
        <v>113</v>
      </c>
      <c r="AA18" s="118">
        <v>713</v>
      </c>
      <c r="AB18" s="118">
        <v>2051</v>
      </c>
      <c r="AC18" s="118">
        <v>490</v>
      </c>
      <c r="AD18" s="118">
        <v>500</v>
      </c>
      <c r="AE18" s="118">
        <v>697</v>
      </c>
      <c r="AF18" s="118">
        <v>1179</v>
      </c>
      <c r="AG18" s="118">
        <v>1758</v>
      </c>
      <c r="AH18" s="118">
        <v>2525</v>
      </c>
      <c r="AI18" s="118">
        <v>1832</v>
      </c>
      <c r="AJ18" s="118">
        <v>2319</v>
      </c>
      <c r="AK18" s="118">
        <v>3366</v>
      </c>
      <c r="AL18" s="118">
        <v>4175</v>
      </c>
      <c r="AM18" s="118">
        <v>6437</v>
      </c>
      <c r="AN18" s="118">
        <v>1420</v>
      </c>
      <c r="AO18" s="118">
        <v>2146</v>
      </c>
      <c r="AP18" s="118">
        <v>3011</v>
      </c>
      <c r="AQ18" s="118">
        <v>5395</v>
      </c>
      <c r="AR18" s="118">
        <v>2785</v>
      </c>
      <c r="AS18" s="118">
        <v>6053</v>
      </c>
      <c r="AT18" s="118">
        <v>3728</v>
      </c>
      <c r="AU18" s="118">
        <v>8343</v>
      </c>
      <c r="AV18" s="118">
        <v>7111</v>
      </c>
      <c r="AW18" s="118">
        <v>1085</v>
      </c>
      <c r="AX18" s="118">
        <v>1970</v>
      </c>
      <c r="AY18" s="118">
        <v>5122</v>
      </c>
    </row>
    <row r="19" spans="1:51" ht="15" customHeight="1" x14ac:dyDescent="0.2">
      <c r="B19" s="129" t="s">
        <v>95</v>
      </c>
      <c r="C19" s="118">
        <v>11114</v>
      </c>
      <c r="D19" s="160">
        <v>11661</v>
      </c>
      <c r="E19" s="118">
        <v>19062</v>
      </c>
      <c r="F19" s="118">
        <v>14406</v>
      </c>
      <c r="G19" s="118">
        <v>17782</v>
      </c>
      <c r="H19" s="118">
        <v>15532</v>
      </c>
      <c r="I19" s="118">
        <v>15013</v>
      </c>
      <c r="J19" s="118">
        <v>14362</v>
      </c>
      <c r="K19" s="118">
        <v>14245</v>
      </c>
      <c r="L19" s="118">
        <v>13562</v>
      </c>
      <c r="M19" s="118">
        <v>14473</v>
      </c>
      <c r="N19" s="118">
        <v>15123</v>
      </c>
      <c r="O19" s="118">
        <v>13079</v>
      </c>
      <c r="P19" s="118">
        <v>13182</v>
      </c>
      <c r="Q19" s="118">
        <v>13690</v>
      </c>
      <c r="R19" s="118">
        <v>769</v>
      </c>
      <c r="S19" s="118">
        <v>771</v>
      </c>
      <c r="T19" s="118">
        <v>549</v>
      </c>
      <c r="U19" s="118">
        <v>290</v>
      </c>
      <c r="V19" s="118">
        <v>427</v>
      </c>
      <c r="W19" s="118">
        <v>449</v>
      </c>
      <c r="X19" s="118">
        <v>402</v>
      </c>
      <c r="Y19" s="118">
        <v>568</v>
      </c>
      <c r="Z19" s="118">
        <v>715</v>
      </c>
      <c r="AA19" s="118">
        <v>615</v>
      </c>
      <c r="AB19" s="118">
        <v>1063</v>
      </c>
      <c r="AC19" s="118">
        <v>897</v>
      </c>
      <c r="AD19" s="118">
        <v>880</v>
      </c>
      <c r="AE19" s="118">
        <v>1014</v>
      </c>
      <c r="AF19" s="118">
        <v>1152</v>
      </c>
      <c r="AG19" s="118">
        <v>1615</v>
      </c>
      <c r="AH19" s="118">
        <v>2545</v>
      </c>
      <c r="AI19" s="118">
        <v>2780</v>
      </c>
      <c r="AJ19" s="118">
        <v>3315</v>
      </c>
      <c r="AK19" s="118">
        <v>3432</v>
      </c>
      <c r="AL19" s="118">
        <v>4581</v>
      </c>
      <c r="AM19" s="118">
        <v>4178</v>
      </c>
      <c r="AN19" s="118">
        <v>4789</v>
      </c>
      <c r="AO19" s="118">
        <v>4395</v>
      </c>
      <c r="AP19" s="118">
        <v>5304</v>
      </c>
      <c r="AQ19" s="118">
        <v>4149</v>
      </c>
      <c r="AR19" s="118">
        <v>4321</v>
      </c>
      <c r="AS19" s="118">
        <v>6069</v>
      </c>
      <c r="AT19" s="118">
        <v>4063</v>
      </c>
      <c r="AU19" s="118">
        <v>4829</v>
      </c>
      <c r="AV19" s="118">
        <v>4967</v>
      </c>
      <c r="AW19" s="118">
        <v>5155</v>
      </c>
      <c r="AX19" s="118">
        <v>3182</v>
      </c>
      <c r="AY19" s="118">
        <v>4621</v>
      </c>
    </row>
    <row r="20" spans="1:51" s="253" customFormat="1" ht="15" customHeight="1" x14ac:dyDescent="0.2">
      <c r="A20" s="253" t="s">
        <v>534</v>
      </c>
      <c r="B20" s="254" t="s">
        <v>1154</v>
      </c>
      <c r="C20" s="255">
        <f t="shared" ref="C20:AJ20" si="13">C19/C21</f>
        <v>6.469526747773445E-2</v>
      </c>
      <c r="D20" s="256">
        <f t="shared" si="13"/>
        <v>6.1178235846532397E-2</v>
      </c>
      <c r="E20" s="255">
        <f t="shared" si="13"/>
        <v>9.0784830141592332E-2</v>
      </c>
      <c r="F20" s="255">
        <f t="shared" si="13"/>
        <v>6.1171974522292991E-2</v>
      </c>
      <c r="G20" s="255">
        <f t="shared" si="13"/>
        <v>0.10137739162162779</v>
      </c>
      <c r="H20" s="255">
        <f t="shared" si="13"/>
        <v>8.2225139759444343E-2</v>
      </c>
      <c r="I20" s="255">
        <f t="shared" si="13"/>
        <v>0.10186177791649138</v>
      </c>
      <c r="J20" s="255">
        <f t="shared" si="13"/>
        <v>9.1992749213750877E-2</v>
      </c>
      <c r="K20" s="255">
        <f t="shared" si="13"/>
        <v>0.12189278227014076</v>
      </c>
      <c r="L20" s="255">
        <f t="shared" si="13"/>
        <v>0.10983599919011945</v>
      </c>
      <c r="M20" s="255">
        <f t="shared" si="13"/>
        <v>0.12609339606203171</v>
      </c>
      <c r="N20" s="255">
        <f t="shared" si="13"/>
        <v>0.10727586133514928</v>
      </c>
      <c r="O20" s="255">
        <f t="shared" si="13"/>
        <v>0.12168209517607108</v>
      </c>
      <c r="P20" s="255">
        <f t="shared" si="13"/>
        <v>0.11570363998630726</v>
      </c>
      <c r="Q20" s="255">
        <f t="shared" si="13"/>
        <v>0.10610511304186075</v>
      </c>
      <c r="R20" s="255">
        <f t="shared" si="13"/>
        <v>5.2612494270095718E-3</v>
      </c>
      <c r="S20" s="255">
        <f t="shared" si="13"/>
        <v>6.0485294463751968E-3</v>
      </c>
      <c r="T20" s="255">
        <f t="shared" si="13"/>
        <v>3.5918506208863824E-3</v>
      </c>
      <c r="U20" s="255">
        <f t="shared" si="13"/>
        <v>1.7757095184153322E-3</v>
      </c>
      <c r="V20" s="255">
        <f t="shared" si="13"/>
        <v>2.1827810777928862E-3</v>
      </c>
      <c r="W20" s="255">
        <f t="shared" si="13"/>
        <v>2.622464415669371E-3</v>
      </c>
      <c r="X20" s="255">
        <f t="shared" si="13"/>
        <v>2.2202584778526456E-3</v>
      </c>
      <c r="Y20" s="255">
        <f t="shared" si="13"/>
        <v>3.0847938130332537E-3</v>
      </c>
      <c r="Z20" s="255">
        <f t="shared" si="13"/>
        <v>3.2405875661147849E-3</v>
      </c>
      <c r="AA20" s="255">
        <f t="shared" si="13"/>
        <v>3.6659513590844065E-3</v>
      </c>
      <c r="AB20" s="255">
        <f t="shared" si="13"/>
        <v>1.3550031867431485E-2</v>
      </c>
      <c r="AC20" s="255">
        <f t="shared" si="13"/>
        <v>5.5758268945068469E-3</v>
      </c>
      <c r="AD20" s="255">
        <f t="shared" si="13"/>
        <v>4.9901331458252996E-3</v>
      </c>
      <c r="AE20" s="255">
        <f t="shared" si="13"/>
        <v>7.127593769330259E-3</v>
      </c>
      <c r="AF20" s="255">
        <f t="shared" si="13"/>
        <v>7.8355087299266102E-3</v>
      </c>
      <c r="AG20" s="255">
        <f t="shared" si="13"/>
        <v>1.2156567557395559E-2</v>
      </c>
      <c r="AH20" s="255">
        <f t="shared" si="13"/>
        <v>1.169335385604999E-2</v>
      </c>
      <c r="AI20" s="255">
        <f t="shared" si="13"/>
        <v>1.859444708274529E-2</v>
      </c>
      <c r="AJ20" s="255">
        <f t="shared" si="13"/>
        <v>1.6214074697239449E-2</v>
      </c>
      <c r="AK20" s="255">
        <v>1.4074514548176096E-2</v>
      </c>
      <c r="AL20" s="255">
        <f t="shared" ref="AL20:AQ20" si="14">AL19/AL21</f>
        <v>1.7018415255276229E-2</v>
      </c>
      <c r="AM20" s="255">
        <f t="shared" si="14"/>
        <v>2.0167596686683015E-2</v>
      </c>
      <c r="AN20" s="255">
        <f t="shared" si="14"/>
        <v>2.2296403895934597E-2</v>
      </c>
      <c r="AO20" s="255">
        <f t="shared" si="14"/>
        <v>1.9130654316258662E-2</v>
      </c>
      <c r="AP20" s="255">
        <f t="shared" si="14"/>
        <v>1.801985445502171E-2</v>
      </c>
      <c r="AQ20" s="255">
        <f t="shared" si="14"/>
        <v>1.7901136025335135E-2</v>
      </c>
      <c r="AR20" s="255">
        <f>AR19/AR21</f>
        <v>1.476129473054915E-2</v>
      </c>
      <c r="AS20" s="255">
        <f>AS19/AS21</f>
        <v>1.7553297642495812E-2</v>
      </c>
      <c r="AT20" s="255">
        <f>AT19/AT21</f>
        <v>1.0232349637599038E-2</v>
      </c>
      <c r="AU20" s="255">
        <v>1.7361885107392734E-2</v>
      </c>
      <c r="AV20" s="255">
        <v>1.6131179911208684E-2</v>
      </c>
      <c r="AW20" s="255">
        <v>1.4136998623322345E-2</v>
      </c>
      <c r="AX20" s="255">
        <v>8.3381811130502238E-3</v>
      </c>
      <c r="AY20" s="255">
        <f>AY19/AY21</f>
        <v>1.3311593848032932E-2</v>
      </c>
    </row>
    <row r="21" spans="1:51" ht="15" customHeight="1" x14ac:dyDescent="0.2">
      <c r="B21" s="126" t="s">
        <v>94</v>
      </c>
      <c r="C21" s="120">
        <f t="shared" ref="C21:K21" si="15">SUM(C15:C19)</f>
        <v>171790</v>
      </c>
      <c r="D21" s="162">
        <f t="shared" si="15"/>
        <v>190607</v>
      </c>
      <c r="E21" s="120">
        <f t="shared" si="15"/>
        <v>209969</v>
      </c>
      <c r="F21" s="120">
        <f t="shared" si="15"/>
        <v>235500</v>
      </c>
      <c r="G21" s="120">
        <f t="shared" si="15"/>
        <v>175404</v>
      </c>
      <c r="H21" s="120">
        <f t="shared" si="15"/>
        <v>188896</v>
      </c>
      <c r="I21" s="120">
        <f t="shared" si="15"/>
        <v>147386</v>
      </c>
      <c r="J21" s="120">
        <f t="shared" si="15"/>
        <v>156121</v>
      </c>
      <c r="K21" s="120">
        <f t="shared" si="15"/>
        <v>116865</v>
      </c>
      <c r="L21" s="120">
        <f t="shared" ref="L21:U21" si="16">SUM(L15:L19)</f>
        <v>123475</v>
      </c>
      <c r="M21" s="120">
        <f t="shared" si="16"/>
        <v>114780</v>
      </c>
      <c r="N21" s="120">
        <f t="shared" si="16"/>
        <v>140973</v>
      </c>
      <c r="O21" s="120">
        <f t="shared" si="16"/>
        <v>107485</v>
      </c>
      <c r="P21" s="120">
        <f t="shared" si="16"/>
        <v>113929</v>
      </c>
      <c r="Q21" s="120">
        <f t="shared" si="16"/>
        <v>129023</v>
      </c>
      <c r="R21" s="120">
        <f t="shared" si="16"/>
        <v>146163</v>
      </c>
      <c r="S21" s="120">
        <f t="shared" si="16"/>
        <v>127469</v>
      </c>
      <c r="T21" s="120">
        <f t="shared" si="16"/>
        <v>152846</v>
      </c>
      <c r="U21" s="120">
        <f t="shared" si="16"/>
        <v>163315</v>
      </c>
      <c r="V21" s="120">
        <f t="shared" ref="V21:AA21" si="17">SUM(V15:V19)</f>
        <v>195622</v>
      </c>
      <c r="W21" s="120">
        <f t="shared" si="17"/>
        <v>171213</v>
      </c>
      <c r="X21" s="120">
        <f t="shared" si="17"/>
        <v>181060</v>
      </c>
      <c r="Y21" s="120">
        <f t="shared" si="17"/>
        <v>184129</v>
      </c>
      <c r="Z21" s="120">
        <f t="shared" si="17"/>
        <v>220639</v>
      </c>
      <c r="AA21" s="120">
        <f t="shared" si="17"/>
        <v>167760</v>
      </c>
      <c r="AB21" s="120">
        <f t="shared" ref="AB21:AJ21" si="18">SUM(AB15:AB19)</f>
        <v>78450</v>
      </c>
      <c r="AC21" s="120">
        <f t="shared" si="18"/>
        <v>160873</v>
      </c>
      <c r="AD21" s="120">
        <f t="shared" si="18"/>
        <v>176348</v>
      </c>
      <c r="AE21" s="120">
        <f t="shared" si="18"/>
        <v>142264</v>
      </c>
      <c r="AF21" s="120">
        <f t="shared" si="18"/>
        <v>147023</v>
      </c>
      <c r="AG21" s="120">
        <f t="shared" si="18"/>
        <v>132850</v>
      </c>
      <c r="AH21" s="120">
        <f t="shared" si="18"/>
        <v>217645</v>
      </c>
      <c r="AI21" s="120">
        <f t="shared" si="18"/>
        <v>149507</v>
      </c>
      <c r="AJ21" s="120">
        <f t="shared" si="18"/>
        <v>204452</v>
      </c>
      <c r="AK21" s="120">
        <f t="shared" ref="AK21:AQ21" si="19">SUM(AK15:AK19)</f>
        <v>243845</v>
      </c>
      <c r="AL21" s="120">
        <f t="shared" si="19"/>
        <v>269179</v>
      </c>
      <c r="AM21" s="120">
        <f t="shared" si="19"/>
        <v>207164</v>
      </c>
      <c r="AN21" s="120">
        <f t="shared" si="19"/>
        <v>214788</v>
      </c>
      <c r="AO21" s="120">
        <f t="shared" si="19"/>
        <v>229736</v>
      </c>
      <c r="AP21" s="120">
        <f t="shared" si="19"/>
        <v>294342</v>
      </c>
      <c r="AQ21" s="120">
        <f t="shared" si="19"/>
        <v>231773</v>
      </c>
      <c r="AR21" s="120">
        <f>SUM(AR15:AR19)</f>
        <v>292725</v>
      </c>
      <c r="AS21" s="120">
        <f t="shared" ref="AS21:AX21" si="20">SUM(AS15:AS19)</f>
        <v>345747</v>
      </c>
      <c r="AT21" s="120">
        <f t="shared" si="20"/>
        <v>397074</v>
      </c>
      <c r="AU21" s="120">
        <f t="shared" si="20"/>
        <v>278138</v>
      </c>
      <c r="AV21" s="120">
        <f t="shared" si="20"/>
        <v>307913</v>
      </c>
      <c r="AW21" s="120">
        <f t="shared" si="20"/>
        <v>364646</v>
      </c>
      <c r="AX21" s="120">
        <f t="shared" si="20"/>
        <v>381618</v>
      </c>
      <c r="AY21" s="120">
        <f>SUM(AY15:AY19)</f>
        <v>347141</v>
      </c>
    </row>
    <row r="22" spans="1:51" ht="15" customHeight="1" x14ac:dyDescent="0.2">
      <c r="C22" s="51"/>
      <c r="D22" s="51"/>
      <c r="E22" s="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row>
    <row r="23" spans="1:51" ht="15" customHeight="1" x14ac:dyDescent="0.2">
      <c r="B23" s="151" t="s">
        <v>114</v>
      </c>
      <c r="C23" s="115" t="str">
        <f>C5</f>
        <v>1T14</v>
      </c>
      <c r="D23" s="115" t="str">
        <f t="shared" ref="D23:Q23" si="21">D5</f>
        <v>2T14</v>
      </c>
      <c r="E23" s="115" t="str">
        <f t="shared" si="21"/>
        <v>3T14</v>
      </c>
      <c r="F23" s="115" t="str">
        <f t="shared" si="21"/>
        <v>4T14</v>
      </c>
      <c r="G23" s="115" t="str">
        <f t="shared" si="21"/>
        <v>1T15</v>
      </c>
      <c r="H23" s="115" t="str">
        <f t="shared" si="21"/>
        <v>2T15</v>
      </c>
      <c r="I23" s="115" t="str">
        <f t="shared" si="21"/>
        <v>3T15</v>
      </c>
      <c r="J23" s="115" t="str">
        <f t="shared" si="21"/>
        <v>4T15</v>
      </c>
      <c r="K23" s="115" t="str">
        <f t="shared" si="21"/>
        <v>1T16</v>
      </c>
      <c r="L23" s="115" t="str">
        <f t="shared" si="21"/>
        <v>2T16</v>
      </c>
      <c r="M23" s="115" t="str">
        <f t="shared" si="21"/>
        <v>3T16</v>
      </c>
      <c r="N23" s="115" t="str">
        <f t="shared" si="21"/>
        <v>4T16</v>
      </c>
      <c r="O23" s="115" t="str">
        <f t="shared" si="21"/>
        <v>1T17</v>
      </c>
      <c r="P23" s="115" t="str">
        <f t="shared" si="21"/>
        <v>2T17</v>
      </c>
      <c r="Q23" s="115" t="str">
        <f t="shared" si="21"/>
        <v>3T17</v>
      </c>
      <c r="R23" s="115" t="str">
        <f t="shared" ref="R23:W23" si="22">R5</f>
        <v>4T17</v>
      </c>
      <c r="S23" s="115" t="str">
        <f t="shared" si="22"/>
        <v>1T18</v>
      </c>
      <c r="T23" s="115" t="str">
        <f t="shared" si="22"/>
        <v>2T18</v>
      </c>
      <c r="U23" s="115" t="str">
        <f t="shared" si="22"/>
        <v>3T18</v>
      </c>
      <c r="V23" s="115" t="str">
        <f t="shared" si="22"/>
        <v>4T18</v>
      </c>
      <c r="W23" s="115" t="str">
        <f t="shared" si="22"/>
        <v>1T19</v>
      </c>
      <c r="X23" s="115" t="str">
        <f t="shared" ref="X23:AC23" si="23">X5</f>
        <v>2T19</v>
      </c>
      <c r="Y23" s="115" t="str">
        <f t="shared" si="23"/>
        <v>3T19</v>
      </c>
      <c r="Z23" s="115" t="str">
        <f t="shared" si="23"/>
        <v>4T19</v>
      </c>
      <c r="AA23" s="115" t="str">
        <f t="shared" si="23"/>
        <v>1T20</v>
      </c>
      <c r="AB23" s="115" t="str">
        <f t="shared" si="23"/>
        <v>2T20</v>
      </c>
      <c r="AC23" s="115" t="str">
        <f t="shared" si="23"/>
        <v>3T20</v>
      </c>
      <c r="AD23" s="115" t="str">
        <f t="shared" ref="AD23:AJ23" si="24">AD5</f>
        <v>4T20</v>
      </c>
      <c r="AE23" s="115" t="str">
        <f t="shared" si="24"/>
        <v>1T21</v>
      </c>
      <c r="AF23" s="115" t="str">
        <f t="shared" si="24"/>
        <v>2T21</v>
      </c>
      <c r="AG23" s="115" t="str">
        <f t="shared" si="24"/>
        <v>3T21</v>
      </c>
      <c r="AH23" s="115" t="str">
        <f t="shared" si="24"/>
        <v>4T21</v>
      </c>
      <c r="AI23" s="115" t="str">
        <f t="shared" si="24"/>
        <v>1T22</v>
      </c>
      <c r="AJ23" s="115" t="str">
        <f t="shared" si="24"/>
        <v>2T22</v>
      </c>
      <c r="AK23" s="115" t="str">
        <f t="shared" ref="AK23:AU23" si="25">AK5</f>
        <v>3T22</v>
      </c>
      <c r="AL23" s="115" t="str">
        <f t="shared" si="25"/>
        <v>4T22</v>
      </c>
      <c r="AM23" s="115" t="str">
        <f t="shared" si="25"/>
        <v>1T23</v>
      </c>
      <c r="AN23" s="115" t="str">
        <f t="shared" si="25"/>
        <v>2T23</v>
      </c>
      <c r="AO23" s="115" t="str">
        <f t="shared" si="25"/>
        <v>3T23</v>
      </c>
      <c r="AP23" s="115" t="str">
        <f t="shared" si="25"/>
        <v>4T23</v>
      </c>
      <c r="AQ23" s="115" t="str">
        <f t="shared" si="25"/>
        <v>1T24</v>
      </c>
      <c r="AR23" s="115" t="str">
        <f t="shared" si="25"/>
        <v>2T24</v>
      </c>
      <c r="AS23" s="115" t="str">
        <f t="shared" si="25"/>
        <v>3T24</v>
      </c>
      <c r="AT23" s="115" t="str">
        <f t="shared" si="25"/>
        <v>4T24</v>
      </c>
      <c r="AU23" s="115" t="str">
        <f t="shared" si="25"/>
        <v>1T25</v>
      </c>
      <c r="AV23" s="115" t="str">
        <f>AV5</f>
        <v>2T25</v>
      </c>
      <c r="AW23" s="115" t="str">
        <f>AW5</f>
        <v>3T25</v>
      </c>
      <c r="AX23" s="115" t="str">
        <f>AX5</f>
        <v>4T25</v>
      </c>
      <c r="AY23" s="115" t="str">
        <f>AY5</f>
        <v>1T26</v>
      </c>
    </row>
    <row r="24" spans="1:51" ht="15" customHeight="1" x14ac:dyDescent="0.2">
      <c r="B24" s="129" t="s">
        <v>90</v>
      </c>
      <c r="C24" s="118">
        <f t="shared" ref="C24:N24" si="26">+C6-C15</f>
        <v>55054</v>
      </c>
      <c r="D24" s="160">
        <f t="shared" si="26"/>
        <v>27095</v>
      </c>
      <c r="E24" s="118">
        <f t="shared" si="26"/>
        <v>32702</v>
      </c>
      <c r="F24" s="118">
        <f t="shared" si="26"/>
        <v>21105</v>
      </c>
      <c r="G24" s="118">
        <f t="shared" si="26"/>
        <v>30988</v>
      </c>
      <c r="H24" s="118">
        <f t="shared" si="26"/>
        <v>39694</v>
      </c>
      <c r="I24" s="118">
        <f t="shared" si="26"/>
        <v>41232</v>
      </c>
      <c r="J24" s="118">
        <f t="shared" si="26"/>
        <v>39715</v>
      </c>
      <c r="K24" s="118">
        <f t="shared" si="26"/>
        <v>22171</v>
      </c>
      <c r="L24" s="118">
        <f t="shared" si="26"/>
        <v>24989</v>
      </c>
      <c r="M24" s="118">
        <f t="shared" si="26"/>
        <v>22309</v>
      </c>
      <c r="N24" s="118">
        <f t="shared" si="26"/>
        <v>24974</v>
      </c>
      <c r="O24" s="118">
        <f t="shared" ref="O24:P28" si="27">+O6-O15</f>
        <v>20176</v>
      </c>
      <c r="P24" s="118">
        <f t="shared" si="27"/>
        <v>20744</v>
      </c>
      <c r="Q24" s="118">
        <v>20287</v>
      </c>
      <c r="R24" s="118">
        <f t="shared" ref="R24:S28" si="28">+R6-R15</f>
        <v>24540</v>
      </c>
      <c r="S24" s="118">
        <f t="shared" si="28"/>
        <v>21678</v>
      </c>
      <c r="T24" s="118">
        <f t="shared" ref="T24:AA24" si="29">+T6-T15</f>
        <v>21800</v>
      </c>
      <c r="U24" s="118">
        <f t="shared" si="29"/>
        <v>25111</v>
      </c>
      <c r="V24" s="118">
        <f t="shared" si="29"/>
        <v>29702</v>
      </c>
      <c r="W24" s="118">
        <f t="shared" si="29"/>
        <v>31050</v>
      </c>
      <c r="X24" s="118">
        <f t="shared" si="29"/>
        <v>32679</v>
      </c>
      <c r="Y24" s="118">
        <f t="shared" si="29"/>
        <v>36638</v>
      </c>
      <c r="Z24" s="118">
        <f t="shared" si="29"/>
        <v>39235</v>
      </c>
      <c r="AA24" s="118">
        <f t="shared" si="29"/>
        <v>40270</v>
      </c>
      <c r="AB24" s="118">
        <f t="shared" ref="AB24:AC28" si="30">+AB6-AB15</f>
        <v>46031</v>
      </c>
      <c r="AC24" s="118">
        <f t="shared" si="30"/>
        <v>38218</v>
      </c>
      <c r="AD24" s="118">
        <f t="shared" ref="AD24:AE28" si="31">+AD6-AD15</f>
        <v>32099</v>
      </c>
      <c r="AE24" s="118">
        <f t="shared" si="31"/>
        <v>25917</v>
      </c>
      <c r="AF24" s="118">
        <f t="shared" ref="AF24:AJ28" si="32">+AF6-AF15</f>
        <v>31520</v>
      </c>
      <c r="AG24" s="118">
        <f t="shared" si="32"/>
        <v>26420</v>
      </c>
      <c r="AH24" s="118">
        <f t="shared" si="32"/>
        <v>28806</v>
      </c>
      <c r="AI24" s="118">
        <v>73250</v>
      </c>
      <c r="AJ24" s="118">
        <f t="shared" si="32"/>
        <v>58101</v>
      </c>
      <c r="AK24" s="118">
        <f t="shared" ref="AK24:AQ28" si="33">+AK6-AK15</f>
        <v>40326</v>
      </c>
      <c r="AL24" s="118">
        <f t="shared" si="33"/>
        <v>36394</v>
      </c>
      <c r="AM24" s="118">
        <f t="shared" si="33"/>
        <v>48277</v>
      </c>
      <c r="AN24" s="118">
        <f t="shared" si="33"/>
        <v>43861</v>
      </c>
      <c r="AO24" s="118">
        <f t="shared" si="33"/>
        <v>47478</v>
      </c>
      <c r="AP24" s="118">
        <f t="shared" si="33"/>
        <v>45904</v>
      </c>
      <c r="AQ24" s="118">
        <f t="shared" si="33"/>
        <v>58421</v>
      </c>
      <c r="AR24" s="118">
        <v>48542</v>
      </c>
      <c r="AS24" s="118">
        <f t="shared" ref="AS24:AV28" si="34">+AS6-AS15</f>
        <v>47216</v>
      </c>
      <c r="AT24" s="118">
        <v>40683</v>
      </c>
      <c r="AU24" s="118">
        <v>48142</v>
      </c>
      <c r="AV24" s="118">
        <f t="shared" si="34"/>
        <v>54722</v>
      </c>
      <c r="AW24" s="118">
        <v>49172</v>
      </c>
      <c r="AX24" s="118">
        <v>53924</v>
      </c>
      <c r="AY24" s="118">
        <f>+AY6-AY15</f>
        <v>62143</v>
      </c>
    </row>
    <row r="25" spans="1:51" ht="15" customHeight="1" x14ac:dyDescent="0.2">
      <c r="B25" s="129" t="s">
        <v>91</v>
      </c>
      <c r="C25" s="118">
        <f t="shared" ref="C25:N25" si="35">+C7-C16</f>
        <v>22724</v>
      </c>
      <c r="D25" s="160">
        <f t="shared" si="35"/>
        <v>9711</v>
      </c>
      <c r="E25" s="118">
        <f t="shared" si="35"/>
        <v>2695</v>
      </c>
      <c r="F25" s="118">
        <f t="shared" si="35"/>
        <v>1490</v>
      </c>
      <c r="G25" s="118">
        <f t="shared" si="35"/>
        <v>825</v>
      </c>
      <c r="H25" s="118">
        <f t="shared" si="35"/>
        <v>2320</v>
      </c>
      <c r="I25" s="118">
        <f t="shared" si="35"/>
        <v>2779</v>
      </c>
      <c r="J25" s="118">
        <f t="shared" si="35"/>
        <v>1262</v>
      </c>
      <c r="K25" s="118">
        <f t="shared" si="35"/>
        <v>1073</v>
      </c>
      <c r="L25" s="118">
        <f t="shared" si="35"/>
        <v>2115</v>
      </c>
      <c r="M25" s="118">
        <f t="shared" si="35"/>
        <v>664</v>
      </c>
      <c r="N25" s="118">
        <f t="shared" si="35"/>
        <v>380</v>
      </c>
      <c r="O25" s="118">
        <f t="shared" si="27"/>
        <v>643</v>
      </c>
      <c r="P25" s="118">
        <f t="shared" si="27"/>
        <v>794</v>
      </c>
      <c r="Q25" s="118">
        <v>321</v>
      </c>
      <c r="R25" s="118">
        <f t="shared" si="28"/>
        <v>523</v>
      </c>
      <c r="S25" s="118">
        <f t="shared" si="28"/>
        <v>518</v>
      </c>
      <c r="T25" s="118">
        <f t="shared" ref="T25:AA25" si="36">+T7-T16</f>
        <v>555</v>
      </c>
      <c r="U25" s="118">
        <f t="shared" si="36"/>
        <v>116</v>
      </c>
      <c r="V25" s="118">
        <f t="shared" si="36"/>
        <v>928</v>
      </c>
      <c r="W25" s="118">
        <f t="shared" si="36"/>
        <v>364</v>
      </c>
      <c r="X25" s="118">
        <f t="shared" si="36"/>
        <v>2139</v>
      </c>
      <c r="Y25" s="118">
        <f t="shared" si="36"/>
        <v>2023</v>
      </c>
      <c r="Z25" s="118">
        <f t="shared" si="36"/>
        <v>1185</v>
      </c>
      <c r="AA25" s="118">
        <f t="shared" si="36"/>
        <v>178</v>
      </c>
      <c r="AB25" s="118">
        <f t="shared" si="30"/>
        <v>2475</v>
      </c>
      <c r="AC25" s="118">
        <f t="shared" si="30"/>
        <v>276</v>
      </c>
      <c r="AD25" s="118">
        <f t="shared" si="31"/>
        <v>2676</v>
      </c>
      <c r="AE25" s="118">
        <f t="shared" si="31"/>
        <v>829</v>
      </c>
      <c r="AF25" s="118">
        <f t="shared" si="32"/>
        <v>8376</v>
      </c>
      <c r="AG25" s="118">
        <f t="shared" si="32"/>
        <v>6155</v>
      </c>
      <c r="AH25" s="118">
        <f t="shared" si="32"/>
        <v>6733</v>
      </c>
      <c r="AI25" s="118">
        <v>1165</v>
      </c>
      <c r="AJ25" s="118">
        <f t="shared" si="32"/>
        <v>3664</v>
      </c>
      <c r="AK25" s="118">
        <f t="shared" si="33"/>
        <v>2972</v>
      </c>
      <c r="AL25" s="118">
        <f t="shared" si="33"/>
        <v>7276</v>
      </c>
      <c r="AM25" s="118">
        <f t="shared" si="33"/>
        <v>3196</v>
      </c>
      <c r="AN25" s="118">
        <f t="shared" si="33"/>
        <v>3910</v>
      </c>
      <c r="AO25" s="118">
        <f t="shared" si="33"/>
        <v>2736</v>
      </c>
      <c r="AP25" s="118">
        <f t="shared" si="33"/>
        <v>4465</v>
      </c>
      <c r="AQ25" s="118">
        <f t="shared" si="33"/>
        <v>2807</v>
      </c>
      <c r="AR25" s="118">
        <v>1135</v>
      </c>
      <c r="AS25" s="118">
        <f t="shared" si="34"/>
        <v>3250</v>
      </c>
      <c r="AT25" s="118">
        <v>1363</v>
      </c>
      <c r="AU25" s="118">
        <v>3740</v>
      </c>
      <c r="AV25" s="118">
        <f t="shared" si="34"/>
        <v>4913</v>
      </c>
      <c r="AW25" s="118">
        <v>6519</v>
      </c>
      <c r="AX25" s="118">
        <v>6189</v>
      </c>
      <c r="AY25" s="118">
        <f>+AY7-AY16</f>
        <v>2247</v>
      </c>
    </row>
    <row r="26" spans="1:51" ht="15" customHeight="1" x14ac:dyDescent="0.2">
      <c r="B26" s="129" t="s">
        <v>92</v>
      </c>
      <c r="C26" s="118">
        <f t="shared" ref="C26:N26" si="37">+C8-C17</f>
        <v>16703</v>
      </c>
      <c r="D26" s="160">
        <f t="shared" si="37"/>
        <v>7081</v>
      </c>
      <c r="E26" s="118">
        <f t="shared" si="37"/>
        <v>5661</v>
      </c>
      <c r="F26" s="118">
        <f t="shared" si="37"/>
        <v>631</v>
      </c>
      <c r="G26" s="118">
        <f t="shared" si="37"/>
        <v>936</v>
      </c>
      <c r="H26" s="118">
        <f t="shared" si="37"/>
        <v>302</v>
      </c>
      <c r="I26" s="118">
        <f t="shared" si="37"/>
        <v>1177</v>
      </c>
      <c r="J26" s="118">
        <f t="shared" si="37"/>
        <v>865</v>
      </c>
      <c r="K26" s="118">
        <f t="shared" si="37"/>
        <v>523</v>
      </c>
      <c r="L26" s="118">
        <f t="shared" si="37"/>
        <v>72</v>
      </c>
      <c r="M26" s="118">
        <f t="shared" si="37"/>
        <v>224</v>
      </c>
      <c r="N26" s="118">
        <f t="shared" si="37"/>
        <v>97</v>
      </c>
      <c r="O26" s="118">
        <f t="shared" si="27"/>
        <v>195</v>
      </c>
      <c r="P26" s="118">
        <f t="shared" si="27"/>
        <v>124</v>
      </c>
      <c r="Q26" s="118">
        <v>26</v>
      </c>
      <c r="R26" s="118">
        <f t="shared" si="28"/>
        <v>54</v>
      </c>
      <c r="S26" s="118">
        <f t="shared" si="28"/>
        <v>51</v>
      </c>
      <c r="T26" s="118">
        <f t="shared" ref="T26:AA26" si="38">+T8-T17</f>
        <v>575</v>
      </c>
      <c r="U26" s="118">
        <f t="shared" si="38"/>
        <v>766</v>
      </c>
      <c r="V26" s="118">
        <f t="shared" si="38"/>
        <v>33</v>
      </c>
      <c r="W26" s="118">
        <f t="shared" si="38"/>
        <v>131</v>
      </c>
      <c r="X26" s="118">
        <f t="shared" si="38"/>
        <v>5</v>
      </c>
      <c r="Y26" s="118">
        <f t="shared" si="38"/>
        <v>147</v>
      </c>
      <c r="Z26" s="118">
        <f t="shared" si="38"/>
        <v>289</v>
      </c>
      <c r="AA26" s="118">
        <f t="shared" si="38"/>
        <v>226</v>
      </c>
      <c r="AB26" s="118">
        <f t="shared" si="30"/>
        <v>526</v>
      </c>
      <c r="AC26" s="118">
        <f t="shared" si="30"/>
        <v>288</v>
      </c>
      <c r="AD26" s="118">
        <f t="shared" si="31"/>
        <v>744</v>
      </c>
      <c r="AE26" s="118">
        <f t="shared" si="31"/>
        <v>189</v>
      </c>
      <c r="AF26" s="118">
        <f t="shared" si="32"/>
        <v>10124</v>
      </c>
      <c r="AG26" s="118">
        <f t="shared" si="32"/>
        <v>14559</v>
      </c>
      <c r="AH26" s="118">
        <f t="shared" si="32"/>
        <v>12403</v>
      </c>
      <c r="AI26" s="118">
        <v>487</v>
      </c>
      <c r="AJ26" s="118">
        <f t="shared" si="32"/>
        <v>855</v>
      </c>
      <c r="AK26" s="118">
        <f t="shared" si="33"/>
        <v>2210</v>
      </c>
      <c r="AL26" s="118">
        <f t="shared" si="33"/>
        <v>1201</v>
      </c>
      <c r="AM26" s="118">
        <f t="shared" si="33"/>
        <v>1491</v>
      </c>
      <c r="AN26" s="118">
        <f t="shared" si="33"/>
        <v>1011</v>
      </c>
      <c r="AO26" s="118">
        <f t="shared" si="33"/>
        <v>624</v>
      </c>
      <c r="AP26" s="118">
        <f t="shared" si="33"/>
        <v>618</v>
      </c>
      <c r="AQ26" s="118">
        <f t="shared" si="33"/>
        <v>1153</v>
      </c>
      <c r="AR26" s="118">
        <v>1163</v>
      </c>
      <c r="AS26" s="118">
        <f t="shared" si="34"/>
        <v>452</v>
      </c>
      <c r="AT26" s="118">
        <v>1189</v>
      </c>
      <c r="AU26" s="118">
        <v>983</v>
      </c>
      <c r="AV26" s="118">
        <f t="shared" si="34"/>
        <v>762</v>
      </c>
      <c r="AW26" s="118">
        <v>1343</v>
      </c>
      <c r="AX26" s="118">
        <v>2202</v>
      </c>
      <c r="AY26" s="118">
        <f>+AY8-AY17</f>
        <v>1680</v>
      </c>
    </row>
    <row r="27" spans="1:51" ht="15" customHeight="1" x14ac:dyDescent="0.2">
      <c r="B27" s="129" t="s">
        <v>93</v>
      </c>
      <c r="C27" s="118">
        <f t="shared" ref="C27:N27" si="39">+C9-C18</f>
        <v>12749</v>
      </c>
      <c r="D27" s="160">
        <f t="shared" si="39"/>
        <v>8912</v>
      </c>
      <c r="E27" s="118">
        <f t="shared" si="39"/>
        <v>3289</v>
      </c>
      <c r="F27" s="118">
        <f t="shared" si="39"/>
        <v>4603</v>
      </c>
      <c r="G27" s="118">
        <f t="shared" si="39"/>
        <v>249</v>
      </c>
      <c r="H27" s="118">
        <f t="shared" si="39"/>
        <v>306</v>
      </c>
      <c r="I27" s="118">
        <f t="shared" si="39"/>
        <v>321</v>
      </c>
      <c r="J27" s="118">
        <f t="shared" si="39"/>
        <v>983</v>
      </c>
      <c r="K27" s="118">
        <f t="shared" si="39"/>
        <v>71</v>
      </c>
      <c r="L27" s="118">
        <f t="shared" si="39"/>
        <v>155</v>
      </c>
      <c r="M27" s="118">
        <f t="shared" si="39"/>
        <v>62</v>
      </c>
      <c r="N27" s="118">
        <f t="shared" si="39"/>
        <v>203</v>
      </c>
      <c r="O27" s="118">
        <f t="shared" si="27"/>
        <v>8</v>
      </c>
      <c r="P27" s="118">
        <f t="shared" si="27"/>
        <v>27</v>
      </c>
      <c r="Q27" s="118">
        <v>89</v>
      </c>
      <c r="R27" s="118">
        <f t="shared" si="28"/>
        <v>11</v>
      </c>
      <c r="S27" s="118">
        <f t="shared" si="28"/>
        <v>17</v>
      </c>
      <c r="T27" s="118">
        <f t="shared" ref="T27:AA27" si="40">+T9-T18</f>
        <v>166</v>
      </c>
      <c r="U27" s="118">
        <f t="shared" si="40"/>
        <v>1239</v>
      </c>
      <c r="V27" s="118">
        <f t="shared" si="40"/>
        <v>545</v>
      </c>
      <c r="W27" s="118">
        <f t="shared" si="40"/>
        <v>5</v>
      </c>
      <c r="X27" s="118">
        <f t="shared" si="40"/>
        <v>73</v>
      </c>
      <c r="Y27" s="118">
        <f t="shared" si="40"/>
        <v>0</v>
      </c>
      <c r="Z27" s="118">
        <f t="shared" si="40"/>
        <v>0</v>
      </c>
      <c r="AA27" s="118">
        <f t="shared" si="40"/>
        <v>113</v>
      </c>
      <c r="AB27" s="118">
        <f t="shared" si="30"/>
        <v>117</v>
      </c>
      <c r="AC27" s="118">
        <f t="shared" si="30"/>
        <v>304</v>
      </c>
      <c r="AD27" s="118">
        <f t="shared" si="31"/>
        <v>248</v>
      </c>
      <c r="AE27" s="118">
        <f t="shared" si="31"/>
        <v>244</v>
      </c>
      <c r="AF27" s="118">
        <f t="shared" si="32"/>
        <v>387</v>
      </c>
      <c r="AG27" s="118">
        <f t="shared" si="32"/>
        <v>16871</v>
      </c>
      <c r="AH27" s="118">
        <f t="shared" si="32"/>
        <v>20530</v>
      </c>
      <c r="AI27" s="118">
        <v>129</v>
      </c>
      <c r="AJ27" s="118">
        <f t="shared" si="32"/>
        <v>255</v>
      </c>
      <c r="AK27" s="118">
        <f t="shared" si="33"/>
        <v>443</v>
      </c>
      <c r="AL27" s="118">
        <f t="shared" si="33"/>
        <v>458</v>
      </c>
      <c r="AM27" s="118">
        <f t="shared" si="33"/>
        <v>409</v>
      </c>
      <c r="AN27" s="118">
        <f t="shared" si="33"/>
        <v>1244</v>
      </c>
      <c r="AO27" s="118">
        <f t="shared" si="33"/>
        <v>835</v>
      </c>
      <c r="AP27" s="118">
        <f t="shared" si="33"/>
        <v>548</v>
      </c>
      <c r="AQ27" s="118">
        <f t="shared" si="33"/>
        <v>536</v>
      </c>
      <c r="AR27" s="118">
        <v>339</v>
      </c>
      <c r="AS27" s="118">
        <f t="shared" si="34"/>
        <v>567</v>
      </c>
      <c r="AT27" s="118">
        <v>479</v>
      </c>
      <c r="AU27" s="118">
        <v>726</v>
      </c>
      <c r="AV27" s="118">
        <f t="shared" si="34"/>
        <v>527</v>
      </c>
      <c r="AW27" s="118">
        <v>512</v>
      </c>
      <c r="AX27" s="118">
        <v>1037</v>
      </c>
      <c r="AY27" s="118">
        <f>+AY9-AY18</f>
        <v>1965</v>
      </c>
    </row>
    <row r="28" spans="1:51" ht="15" customHeight="1" x14ac:dyDescent="0.2">
      <c r="B28" s="129" t="s">
        <v>95</v>
      </c>
      <c r="C28" s="118">
        <f t="shared" ref="C28:N28" si="41">+C10-C19</f>
        <v>29721</v>
      </c>
      <c r="D28" s="160">
        <f t="shared" si="41"/>
        <v>21603</v>
      </c>
      <c r="E28" s="118">
        <f t="shared" si="41"/>
        <v>23373</v>
      </c>
      <c r="F28" s="118">
        <f t="shared" si="41"/>
        <v>6280</v>
      </c>
      <c r="G28" s="118">
        <f t="shared" si="41"/>
        <v>6452</v>
      </c>
      <c r="H28" s="118">
        <f t="shared" si="41"/>
        <v>5621</v>
      </c>
      <c r="I28" s="118">
        <f t="shared" si="41"/>
        <v>5838</v>
      </c>
      <c r="J28" s="118">
        <f t="shared" si="41"/>
        <v>5859</v>
      </c>
      <c r="K28" s="118">
        <f t="shared" si="41"/>
        <v>6381</v>
      </c>
      <c r="L28" s="118">
        <f t="shared" si="41"/>
        <v>5663</v>
      </c>
      <c r="M28" s="118">
        <f t="shared" si="41"/>
        <v>5715</v>
      </c>
      <c r="N28" s="118">
        <f t="shared" si="41"/>
        <v>5700</v>
      </c>
      <c r="O28" s="118">
        <f t="shared" si="27"/>
        <v>5864</v>
      </c>
      <c r="P28" s="118">
        <f t="shared" si="27"/>
        <v>5842</v>
      </c>
      <c r="Q28" s="118">
        <v>5827</v>
      </c>
      <c r="R28" s="118">
        <f t="shared" si="28"/>
        <v>1857</v>
      </c>
      <c r="S28" s="118">
        <f t="shared" si="28"/>
        <v>1628</v>
      </c>
      <c r="T28" s="118">
        <f t="shared" ref="T28:AA28" si="42">+T10-T19</f>
        <v>846</v>
      </c>
      <c r="U28" s="118">
        <f t="shared" si="42"/>
        <v>1122</v>
      </c>
      <c r="V28" s="118">
        <f t="shared" si="42"/>
        <v>2335</v>
      </c>
      <c r="W28" s="118">
        <f t="shared" si="42"/>
        <v>2856</v>
      </c>
      <c r="X28" s="118">
        <f t="shared" si="42"/>
        <v>837</v>
      </c>
      <c r="Y28" s="118">
        <f t="shared" si="42"/>
        <v>883</v>
      </c>
      <c r="Z28" s="118">
        <f t="shared" si="42"/>
        <v>47</v>
      </c>
      <c r="AA28" s="118">
        <f t="shared" si="42"/>
        <v>47</v>
      </c>
      <c r="AB28" s="118">
        <f t="shared" si="30"/>
        <v>56</v>
      </c>
      <c r="AC28" s="118">
        <f t="shared" si="30"/>
        <v>80</v>
      </c>
      <c r="AD28" s="118">
        <f t="shared" si="31"/>
        <v>311</v>
      </c>
      <c r="AE28" s="118">
        <f t="shared" si="31"/>
        <v>112</v>
      </c>
      <c r="AF28" s="118">
        <f t="shared" si="32"/>
        <v>131</v>
      </c>
      <c r="AG28" s="118">
        <f t="shared" si="32"/>
        <v>349</v>
      </c>
      <c r="AH28" s="118">
        <f t="shared" si="32"/>
        <v>17483</v>
      </c>
      <c r="AI28" s="118">
        <v>185</v>
      </c>
      <c r="AJ28" s="118">
        <f t="shared" si="32"/>
        <v>207</v>
      </c>
      <c r="AK28" s="118">
        <f t="shared" si="33"/>
        <v>310</v>
      </c>
      <c r="AL28" s="118">
        <f t="shared" si="33"/>
        <v>577</v>
      </c>
      <c r="AM28" s="118">
        <f t="shared" si="33"/>
        <v>717</v>
      </c>
      <c r="AN28" s="118">
        <f t="shared" si="33"/>
        <v>844</v>
      </c>
      <c r="AO28" s="118">
        <f t="shared" si="33"/>
        <v>1108</v>
      </c>
      <c r="AP28" s="118">
        <f t="shared" si="33"/>
        <v>1426</v>
      </c>
      <c r="AQ28" s="118">
        <f t="shared" si="33"/>
        <v>1317</v>
      </c>
      <c r="AR28" s="118">
        <v>990</v>
      </c>
      <c r="AS28" s="118">
        <f t="shared" si="34"/>
        <v>663</v>
      </c>
      <c r="AT28" s="118">
        <v>533</v>
      </c>
      <c r="AU28" s="118">
        <v>786</v>
      </c>
      <c r="AV28" s="118">
        <f t="shared" si="34"/>
        <v>779</v>
      </c>
      <c r="AW28" s="118">
        <v>395</v>
      </c>
      <c r="AX28" s="118">
        <v>712</v>
      </c>
      <c r="AY28" s="118">
        <f>+AY10-AY19</f>
        <v>1528</v>
      </c>
    </row>
    <row r="29" spans="1:51" s="253" customFormat="1" ht="15" customHeight="1" x14ac:dyDescent="0.2">
      <c r="B29" s="254" t="s">
        <v>1154</v>
      </c>
      <c r="C29" s="255">
        <f t="shared" ref="C29:AK29" si="43">C28/C30</f>
        <v>0.2170192258545027</v>
      </c>
      <c r="D29" s="256">
        <f t="shared" si="43"/>
        <v>0.29035509798123704</v>
      </c>
      <c r="E29" s="255">
        <f t="shared" si="43"/>
        <v>0.3451417601890136</v>
      </c>
      <c r="F29" s="255">
        <f t="shared" si="43"/>
        <v>0.18411562930604825</v>
      </c>
      <c r="G29" s="255">
        <f t="shared" si="43"/>
        <v>0.16354879594423322</v>
      </c>
      <c r="H29" s="255">
        <f t="shared" si="43"/>
        <v>0.11651431295732023</v>
      </c>
      <c r="I29" s="255">
        <f t="shared" si="43"/>
        <v>0.11369700274602217</v>
      </c>
      <c r="J29" s="255">
        <f t="shared" si="43"/>
        <v>0.12034754744885383</v>
      </c>
      <c r="K29" s="255">
        <f t="shared" si="43"/>
        <v>0.21115854263873721</v>
      </c>
      <c r="L29" s="255">
        <f t="shared" si="43"/>
        <v>0.17163726738194823</v>
      </c>
      <c r="M29" s="255">
        <f t="shared" si="43"/>
        <v>0.19724580658521432</v>
      </c>
      <c r="N29" s="255">
        <f t="shared" si="43"/>
        <v>0.18179498628564139</v>
      </c>
      <c r="O29" s="255">
        <f t="shared" si="43"/>
        <v>0.21810607751246003</v>
      </c>
      <c r="P29" s="255">
        <f t="shared" si="43"/>
        <v>0.21219715956558061</v>
      </c>
      <c r="Q29" s="255">
        <f t="shared" si="43"/>
        <v>0.21947269303201505</v>
      </c>
      <c r="R29" s="255">
        <f t="shared" si="43"/>
        <v>6.8816008893829911E-2</v>
      </c>
      <c r="S29" s="255">
        <f t="shared" si="43"/>
        <v>6.8139963167587483E-2</v>
      </c>
      <c r="T29" s="255">
        <f t="shared" si="43"/>
        <v>3.5335393868515579E-2</v>
      </c>
      <c r="U29" s="255">
        <f t="shared" si="43"/>
        <v>3.9571136347605278E-2</v>
      </c>
      <c r="V29" s="255">
        <f t="shared" si="43"/>
        <v>6.9612139641653997E-2</v>
      </c>
      <c r="W29" s="255">
        <f t="shared" si="43"/>
        <v>8.300877753880137E-2</v>
      </c>
      <c r="X29" s="255">
        <f t="shared" si="43"/>
        <v>2.3423725967592981E-2</v>
      </c>
      <c r="Y29" s="255">
        <f t="shared" si="43"/>
        <v>2.2246856970093976E-2</v>
      </c>
      <c r="Z29" s="255">
        <f t="shared" si="43"/>
        <v>1.1532044361566396E-3</v>
      </c>
      <c r="AA29" s="255">
        <f t="shared" si="43"/>
        <v>1.151001616300142E-3</v>
      </c>
      <c r="AB29" s="255">
        <f t="shared" si="43"/>
        <v>1.1380957219794736E-3</v>
      </c>
      <c r="AC29" s="255">
        <f t="shared" si="43"/>
        <v>2.0425879589439822E-3</v>
      </c>
      <c r="AD29" s="255">
        <f t="shared" si="43"/>
        <v>8.6202117634015182E-3</v>
      </c>
      <c r="AE29" s="255">
        <f t="shared" si="43"/>
        <v>4.1039170422483605E-3</v>
      </c>
      <c r="AF29" s="255">
        <f t="shared" si="43"/>
        <v>2.592108908148324E-3</v>
      </c>
      <c r="AG29" s="255">
        <f t="shared" si="43"/>
        <v>5.4231283214718588E-3</v>
      </c>
      <c r="AH29" s="255">
        <f t="shared" si="43"/>
        <v>0.20339712640335059</v>
      </c>
      <c r="AI29" s="255">
        <f t="shared" si="43"/>
        <v>2.4595830674324611E-3</v>
      </c>
      <c r="AJ29" s="255">
        <f t="shared" si="43"/>
        <v>3.2814432009130971E-3</v>
      </c>
      <c r="AK29" s="255">
        <f t="shared" si="43"/>
        <v>6.7011089254447589E-3</v>
      </c>
      <c r="AL29" s="255">
        <f t="shared" ref="AL29:AQ29" si="44">AL28/AL30</f>
        <v>1.2569163072365268E-2</v>
      </c>
      <c r="AM29" s="255">
        <f t="shared" si="44"/>
        <v>1.3255684969495286E-2</v>
      </c>
      <c r="AN29" s="255">
        <f t="shared" si="44"/>
        <v>1.6591311185374484E-2</v>
      </c>
      <c r="AO29" s="255">
        <f t="shared" si="44"/>
        <v>2.0992402569106308E-2</v>
      </c>
      <c r="AP29" s="255">
        <f t="shared" si="44"/>
        <v>2.6925473461603823E-2</v>
      </c>
      <c r="AQ29" s="255">
        <f t="shared" si="44"/>
        <v>2.0503160320079709E-2</v>
      </c>
      <c r="AR29" s="255">
        <f>AR28/AR30</f>
        <v>1.8976786980774023E-2</v>
      </c>
      <c r="AS29" s="255">
        <f>AS28/AS30</f>
        <v>1.2713814527882181E-2</v>
      </c>
      <c r="AT29" s="255">
        <v>1.204601441905666E-2</v>
      </c>
      <c r="AU29" s="255">
        <v>1.4454640748846019E-2</v>
      </c>
      <c r="AV29" s="255">
        <f>AV28/AV30</f>
        <v>1.2624993922499717E-2</v>
      </c>
      <c r="AW29" s="255">
        <v>6.8172796465369948E-3</v>
      </c>
      <c r="AX29" s="255">
        <v>1.1113886113886114E-2</v>
      </c>
      <c r="AY29" s="255">
        <f>AY28/AY30</f>
        <v>2.1965700156692494E-2</v>
      </c>
    </row>
    <row r="30" spans="1:51" ht="15" customHeight="1" x14ac:dyDescent="0.2">
      <c r="B30" s="126" t="s">
        <v>94</v>
      </c>
      <c r="C30" s="120">
        <f t="shared" ref="C30:J30" si="45">SUM(C24:C28)</f>
        <v>136951</v>
      </c>
      <c r="D30" s="162">
        <f t="shared" si="45"/>
        <v>74402</v>
      </c>
      <c r="E30" s="120">
        <f t="shared" si="45"/>
        <v>67720</v>
      </c>
      <c r="F30" s="120">
        <f t="shared" si="45"/>
        <v>34109</v>
      </c>
      <c r="G30" s="120">
        <f t="shared" si="45"/>
        <v>39450</v>
      </c>
      <c r="H30" s="120">
        <f t="shared" si="45"/>
        <v>48243</v>
      </c>
      <c r="I30" s="120">
        <f t="shared" si="45"/>
        <v>51347</v>
      </c>
      <c r="J30" s="120">
        <f t="shared" si="45"/>
        <v>48684</v>
      </c>
      <c r="K30" s="120">
        <f t="shared" ref="K30:U30" si="46">SUM(K24:K28)</f>
        <v>30219</v>
      </c>
      <c r="L30" s="120">
        <f t="shared" si="46"/>
        <v>32994</v>
      </c>
      <c r="M30" s="120">
        <f t="shared" si="46"/>
        <v>28974</v>
      </c>
      <c r="N30" s="120">
        <f t="shared" si="46"/>
        <v>31354</v>
      </c>
      <c r="O30" s="120">
        <f t="shared" si="46"/>
        <v>26886</v>
      </c>
      <c r="P30" s="120">
        <f t="shared" si="46"/>
        <v>27531</v>
      </c>
      <c r="Q30" s="120">
        <f t="shared" si="46"/>
        <v>26550</v>
      </c>
      <c r="R30" s="120">
        <f t="shared" si="46"/>
        <v>26985</v>
      </c>
      <c r="S30" s="120">
        <f t="shared" si="46"/>
        <v>23892</v>
      </c>
      <c r="T30" s="120">
        <f t="shared" si="46"/>
        <v>23942</v>
      </c>
      <c r="U30" s="120">
        <f t="shared" si="46"/>
        <v>28354</v>
      </c>
      <c r="V30" s="120">
        <f t="shared" ref="V30:AA30" si="47">SUM(V24:V28)</f>
        <v>33543</v>
      </c>
      <c r="W30" s="120">
        <f t="shared" si="47"/>
        <v>34406</v>
      </c>
      <c r="X30" s="120">
        <f t="shared" si="47"/>
        <v>35733</v>
      </c>
      <c r="Y30" s="120">
        <f t="shared" si="47"/>
        <v>39691</v>
      </c>
      <c r="Z30" s="120">
        <f t="shared" si="47"/>
        <v>40756</v>
      </c>
      <c r="AA30" s="120">
        <f t="shared" si="47"/>
        <v>40834</v>
      </c>
      <c r="AB30" s="120">
        <f t="shared" ref="AB30:AJ30" si="48">SUM(AB24:AB28)</f>
        <v>49205</v>
      </c>
      <c r="AC30" s="120">
        <f t="shared" si="48"/>
        <v>39166</v>
      </c>
      <c r="AD30" s="120">
        <f t="shared" si="48"/>
        <v>36078</v>
      </c>
      <c r="AE30" s="120">
        <f t="shared" si="48"/>
        <v>27291</v>
      </c>
      <c r="AF30" s="120">
        <f t="shared" si="48"/>
        <v>50538</v>
      </c>
      <c r="AG30" s="120">
        <f t="shared" si="48"/>
        <v>64354</v>
      </c>
      <c r="AH30" s="120">
        <f t="shared" si="48"/>
        <v>85955</v>
      </c>
      <c r="AI30" s="120">
        <f t="shared" si="48"/>
        <v>75216</v>
      </c>
      <c r="AJ30" s="120">
        <f t="shared" si="48"/>
        <v>63082</v>
      </c>
      <c r="AK30" s="120">
        <f t="shared" ref="AK30:AQ30" si="49">SUM(AK24:AK28)</f>
        <v>46261</v>
      </c>
      <c r="AL30" s="120">
        <f t="shared" si="49"/>
        <v>45906</v>
      </c>
      <c r="AM30" s="120">
        <f t="shared" si="49"/>
        <v>54090</v>
      </c>
      <c r="AN30" s="120">
        <f t="shared" si="49"/>
        <v>50870</v>
      </c>
      <c r="AO30" s="120">
        <f t="shared" si="49"/>
        <v>52781</v>
      </c>
      <c r="AP30" s="120">
        <f t="shared" si="49"/>
        <v>52961</v>
      </c>
      <c r="AQ30" s="120">
        <f t="shared" si="49"/>
        <v>64234</v>
      </c>
      <c r="AR30" s="120">
        <f t="shared" ref="AR30:AY30" si="50">SUM(AR24:AR28)</f>
        <v>52169</v>
      </c>
      <c r="AS30" s="120">
        <f t="shared" si="50"/>
        <v>52148</v>
      </c>
      <c r="AT30" s="120">
        <f t="shared" si="50"/>
        <v>44247</v>
      </c>
      <c r="AU30" s="120">
        <f t="shared" si="50"/>
        <v>54377</v>
      </c>
      <c r="AV30" s="120">
        <f t="shared" si="50"/>
        <v>61703</v>
      </c>
      <c r="AW30" s="120">
        <f t="shared" si="50"/>
        <v>57941</v>
      </c>
      <c r="AX30" s="120">
        <f t="shared" si="50"/>
        <v>64064</v>
      </c>
      <c r="AY30" s="120">
        <f t="shared" si="50"/>
        <v>69563</v>
      </c>
    </row>
    <row r="31" spans="1:51" x14ac:dyDescent="0.2">
      <c r="B31" s="28"/>
      <c r="C31" s="28"/>
      <c r="D31" s="28"/>
      <c r="E31" s="28"/>
      <c r="F31" s="28"/>
      <c r="G31" s="28"/>
      <c r="H31" s="28"/>
    </row>
    <row r="32" spans="1:51" x14ac:dyDescent="0.2">
      <c r="B32"/>
      <c r="C32"/>
      <c r="D32"/>
      <c r="E32"/>
      <c r="F32"/>
      <c r="G32"/>
      <c r="H32"/>
    </row>
    <row r="33" spans="1:21" x14ac:dyDescent="0.2">
      <c r="B33"/>
      <c r="C33"/>
      <c r="D33"/>
      <c r="E33"/>
      <c r="F33"/>
      <c r="G33"/>
      <c r="H33"/>
    </row>
    <row r="34" spans="1:21" x14ac:dyDescent="0.2">
      <c r="B34"/>
      <c r="C34"/>
      <c r="D34"/>
      <c r="E34"/>
      <c r="F34"/>
      <c r="G34"/>
      <c r="H34"/>
    </row>
    <row r="35" spans="1:21" ht="14.25" customHeight="1" x14ac:dyDescent="0.2">
      <c r="A35"/>
      <c r="B35"/>
      <c r="C35"/>
      <c r="D35"/>
      <c r="E35"/>
      <c r="F35"/>
      <c r="G35"/>
      <c r="H35"/>
      <c r="I35"/>
      <c r="J35"/>
      <c r="K35"/>
      <c r="L35"/>
      <c r="M35"/>
      <c r="N35"/>
      <c r="O35"/>
      <c r="P35"/>
      <c r="Q35"/>
      <c r="R35"/>
      <c r="S35"/>
      <c r="T35"/>
      <c r="U35"/>
    </row>
    <row r="36" spans="1:21" ht="14.25" customHeight="1" x14ac:dyDescent="0.2">
      <c r="A36"/>
      <c r="B36"/>
      <c r="C36"/>
      <c r="D36"/>
      <c r="E36"/>
      <c r="F36"/>
      <c r="G36"/>
      <c r="H36"/>
      <c r="I36"/>
      <c r="J36"/>
      <c r="K36"/>
      <c r="L36"/>
      <c r="M36"/>
      <c r="N36"/>
      <c r="O36"/>
      <c r="P36"/>
      <c r="Q36"/>
      <c r="R36"/>
      <c r="S36"/>
      <c r="T36"/>
      <c r="U36"/>
    </row>
    <row r="37" spans="1:21" ht="14.25" customHeight="1" x14ac:dyDescent="0.2">
      <c r="A37"/>
      <c r="B37"/>
      <c r="C37"/>
      <c r="D37"/>
      <c r="E37"/>
      <c r="F37"/>
      <c r="G37"/>
      <c r="H37"/>
      <c r="I37"/>
      <c r="J37"/>
      <c r="K37"/>
      <c r="L37"/>
      <c r="M37"/>
      <c r="N37"/>
      <c r="O37"/>
      <c r="P37"/>
      <c r="Q37"/>
      <c r="R37"/>
      <c r="S37"/>
      <c r="T37"/>
      <c r="U37"/>
    </row>
    <row r="38" spans="1:21" ht="14.25" customHeight="1" x14ac:dyDescent="0.2">
      <c r="A38"/>
      <c r="B38"/>
      <c r="C38"/>
      <c r="D38"/>
      <c r="E38"/>
      <c r="F38"/>
      <c r="G38"/>
      <c r="H38"/>
      <c r="I38"/>
      <c r="J38"/>
      <c r="K38"/>
      <c r="L38"/>
      <c r="M38"/>
      <c r="N38"/>
      <c r="O38"/>
      <c r="P38"/>
      <c r="Q38"/>
      <c r="R38"/>
      <c r="S38"/>
      <c r="T38"/>
      <c r="U38"/>
    </row>
    <row r="39" spans="1:21" ht="14.25" customHeight="1" x14ac:dyDescent="0.2">
      <c r="A39"/>
      <c r="B39"/>
      <c r="C39"/>
      <c r="D39"/>
      <c r="E39"/>
      <c r="F39"/>
      <c r="G39"/>
      <c r="H39"/>
      <c r="I39"/>
      <c r="J39"/>
      <c r="K39"/>
      <c r="L39"/>
      <c r="M39"/>
      <c r="N39"/>
      <c r="O39"/>
      <c r="P39"/>
      <c r="Q39"/>
      <c r="R39"/>
      <c r="S39"/>
      <c r="T39"/>
      <c r="U39"/>
    </row>
    <row r="40" spans="1:21" ht="14.25" customHeight="1" x14ac:dyDescent="0.2">
      <c r="A40"/>
      <c r="B40"/>
      <c r="C40"/>
      <c r="D40"/>
      <c r="E40"/>
      <c r="F40"/>
      <c r="G40"/>
      <c r="H40"/>
      <c r="I40"/>
      <c r="J40"/>
      <c r="K40"/>
      <c r="L40"/>
      <c r="M40"/>
      <c r="N40"/>
      <c r="O40"/>
      <c r="P40"/>
      <c r="Q40"/>
      <c r="R40"/>
      <c r="S40"/>
      <c r="T40"/>
      <c r="U40"/>
    </row>
    <row r="41" spans="1:21" ht="14.25" customHeight="1" x14ac:dyDescent="0.2">
      <c r="A41"/>
      <c r="B41"/>
      <c r="C41"/>
      <c r="D41"/>
      <c r="E41"/>
      <c r="F41"/>
      <c r="G41"/>
      <c r="H41"/>
      <c r="I41"/>
      <c r="J41"/>
      <c r="K41"/>
      <c r="L41"/>
      <c r="M41"/>
      <c r="N41"/>
      <c r="O41"/>
      <c r="P41"/>
      <c r="Q41"/>
      <c r="R41"/>
      <c r="S41"/>
      <c r="T41"/>
      <c r="U41"/>
    </row>
    <row r="42" spans="1:21" ht="24" customHeight="1" x14ac:dyDescent="0.2">
      <c r="A42"/>
      <c r="B42"/>
      <c r="C42"/>
      <c r="D42"/>
      <c r="E42"/>
      <c r="F42"/>
      <c r="G42"/>
      <c r="H42"/>
      <c r="I42"/>
      <c r="J42"/>
      <c r="K42"/>
      <c r="L42"/>
      <c r="M42"/>
      <c r="N42"/>
      <c r="O42"/>
      <c r="P42"/>
      <c r="Q42"/>
      <c r="R42"/>
      <c r="S42"/>
      <c r="T42"/>
      <c r="U42"/>
    </row>
    <row r="43" spans="1:21" ht="15" customHeight="1" x14ac:dyDescent="0.2">
      <c r="A43"/>
      <c r="B43"/>
      <c r="C43"/>
      <c r="D43"/>
      <c r="E43"/>
      <c r="F43"/>
      <c r="G43"/>
      <c r="H43"/>
      <c r="I43"/>
      <c r="J43"/>
      <c r="K43"/>
      <c r="L43"/>
      <c r="M43"/>
      <c r="N43"/>
      <c r="O43"/>
      <c r="P43"/>
      <c r="Q43"/>
      <c r="R43"/>
      <c r="S43"/>
      <c r="T43"/>
      <c r="U43"/>
    </row>
    <row r="44" spans="1:21" ht="24.75" customHeight="1" x14ac:dyDescent="0.2">
      <c r="A44"/>
      <c r="B44"/>
      <c r="C44"/>
      <c r="D44"/>
      <c r="E44"/>
      <c r="F44"/>
      <c r="G44"/>
      <c r="H44"/>
      <c r="I44"/>
      <c r="J44"/>
      <c r="K44"/>
      <c r="L44"/>
      <c r="M44"/>
      <c r="N44"/>
      <c r="O44"/>
      <c r="P44"/>
      <c r="Q44"/>
      <c r="R44"/>
      <c r="S44"/>
      <c r="T44"/>
      <c r="U44"/>
    </row>
    <row r="45" spans="1:21" ht="14.25" customHeight="1" x14ac:dyDescent="0.2">
      <c r="A45"/>
      <c r="B45"/>
      <c r="C45"/>
      <c r="D45"/>
      <c r="E45"/>
      <c r="F45"/>
      <c r="G45"/>
      <c r="H45"/>
      <c r="I45"/>
      <c r="J45"/>
      <c r="K45"/>
      <c r="L45"/>
      <c r="M45"/>
      <c r="N45"/>
      <c r="O45"/>
      <c r="P45"/>
      <c r="Q45"/>
      <c r="R45"/>
      <c r="S45"/>
      <c r="T45"/>
      <c r="U45"/>
    </row>
    <row r="46" spans="1:21" ht="14.25" customHeight="1" x14ac:dyDescent="0.2">
      <c r="A46"/>
      <c r="B46"/>
      <c r="C46"/>
      <c r="D46"/>
      <c r="E46"/>
      <c r="F46"/>
      <c r="G46"/>
      <c r="H46"/>
      <c r="I46"/>
      <c r="J46"/>
      <c r="K46"/>
      <c r="L46"/>
      <c r="M46"/>
      <c r="N46"/>
      <c r="O46"/>
      <c r="P46"/>
      <c r="Q46"/>
      <c r="R46"/>
      <c r="S46"/>
      <c r="T46"/>
      <c r="U46"/>
    </row>
    <row r="47" spans="1:21" ht="14.25" customHeight="1" x14ac:dyDescent="0.2">
      <c r="A47"/>
      <c r="I47"/>
      <c r="J47"/>
      <c r="K47"/>
      <c r="L47"/>
      <c r="M47"/>
      <c r="N47"/>
      <c r="O47"/>
      <c r="P47"/>
      <c r="Q47"/>
      <c r="R47"/>
      <c r="S47"/>
      <c r="T47"/>
      <c r="U47"/>
    </row>
    <row r="48" spans="1:21" ht="14.25" customHeight="1" x14ac:dyDescent="0.2">
      <c r="A48"/>
      <c r="I48"/>
      <c r="J48"/>
      <c r="K48"/>
      <c r="L48"/>
      <c r="M48"/>
      <c r="N48"/>
      <c r="O48"/>
      <c r="P48"/>
      <c r="Q48"/>
      <c r="R48"/>
      <c r="S48"/>
      <c r="T48"/>
      <c r="U48"/>
    </row>
    <row r="49" spans="1:21" ht="14.25" customHeight="1" x14ac:dyDescent="0.2">
      <c r="A49"/>
      <c r="I49"/>
      <c r="J49"/>
      <c r="K49"/>
      <c r="L49"/>
      <c r="M49"/>
      <c r="N49"/>
      <c r="O49"/>
      <c r="P49"/>
      <c r="Q49"/>
      <c r="R49"/>
      <c r="S49"/>
      <c r="T49"/>
      <c r="U49"/>
    </row>
    <row r="50" spans="1:21" ht="14.25" customHeight="1" x14ac:dyDescent="0.2"/>
    <row r="77" ht="15" customHeight="1" x14ac:dyDescent="0.2"/>
    <row r="81" ht="14.25" customHeight="1" x14ac:dyDescent="0.2"/>
    <row r="104" ht="15" customHeight="1" x14ac:dyDescent="0.2"/>
    <row r="108" ht="20.25" customHeight="1" x14ac:dyDescent="0.2"/>
    <row r="134" ht="15" customHeight="1" x14ac:dyDescent="0.2"/>
    <row r="147" spans="2:8" x14ac:dyDescent="0.2">
      <c r="B147" s="36"/>
      <c r="C147" s="36"/>
      <c r="D147" s="36"/>
      <c r="E147" s="36"/>
      <c r="F147" s="36"/>
      <c r="G147" s="36"/>
      <c r="H147" s="36"/>
    </row>
    <row r="156" spans="2:8" s="36" customFormat="1" ht="26.25" customHeight="1" x14ac:dyDescent="0.2">
      <c r="B156" s="25"/>
      <c r="C156" s="25"/>
      <c r="D156" s="25"/>
      <c r="E156" s="25"/>
      <c r="F156" s="25"/>
      <c r="G156" s="25"/>
      <c r="H156" s="25"/>
    </row>
    <row r="157" spans="2:8" ht="14.25" customHeight="1" x14ac:dyDescent="0.2"/>
    <row r="164" ht="14.25" customHeight="1" x14ac:dyDescent="0.2"/>
  </sheetData>
  <mergeCells count="1">
    <mergeCell ref="B4:C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7">
    <pageSetUpPr autoPageBreaks="0"/>
  </sheetPr>
  <dimension ref="B1:AZ30"/>
  <sheetViews>
    <sheetView showGridLines="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2.75" outlineLevelRow="1" x14ac:dyDescent="0.2"/>
  <cols>
    <col min="1" max="1" width="1.42578125" customWidth="1"/>
    <col min="2" max="2" width="42.42578125" customWidth="1"/>
    <col min="3" max="22" width="10.85546875" customWidth="1"/>
  </cols>
  <sheetData>
    <row r="1" spans="2:52" s="544" customFormat="1" ht="7.5" customHeight="1" x14ac:dyDescent="0.2"/>
    <row r="2" spans="2:52" s="544" customFormat="1" x14ac:dyDescent="0.2">
      <c r="B2" s="579"/>
    </row>
    <row r="3" spans="2:52" x14ac:dyDescent="0.2">
      <c r="B3" s="53"/>
      <c r="E3" s="55"/>
      <c r="G3" s="54"/>
      <c r="H3" s="55"/>
      <c r="I3" s="55"/>
      <c r="W3" s="544"/>
      <c r="X3" s="544"/>
      <c r="Y3" s="544"/>
      <c r="Z3" s="544"/>
      <c r="AA3" s="544"/>
      <c r="AB3" s="544"/>
      <c r="AC3" s="544"/>
      <c r="AD3" s="544"/>
      <c r="AE3" s="544"/>
      <c r="AF3" s="544"/>
      <c r="AG3" s="544"/>
      <c r="AH3" s="544"/>
      <c r="AI3" s="544"/>
      <c r="AJ3" s="544"/>
      <c r="AK3" s="544"/>
      <c r="AL3" s="544"/>
      <c r="AM3" s="544"/>
      <c r="AN3" s="544"/>
      <c r="AO3" s="544"/>
      <c r="AP3" s="328"/>
      <c r="AQ3" s="328"/>
      <c r="AR3" s="328"/>
      <c r="AS3" s="328"/>
      <c r="AT3" s="328"/>
      <c r="AU3" s="328"/>
      <c r="AV3" s="328"/>
      <c r="AW3" s="328"/>
      <c r="AX3" s="328"/>
      <c r="AY3" s="328"/>
      <c r="AZ3" s="328"/>
    </row>
    <row r="4" spans="2:52" x14ac:dyDescent="0.2">
      <c r="B4" s="53"/>
      <c r="C4" s="1235" t="s">
        <v>1426</v>
      </c>
      <c r="D4" s="1236"/>
      <c r="E4" s="224" t="s">
        <v>1427</v>
      </c>
      <c r="G4" s="54"/>
      <c r="H4" s="55"/>
      <c r="I4" s="55"/>
      <c r="W4" s="544"/>
      <c r="X4" s="544"/>
      <c r="Y4" s="544"/>
      <c r="Z4" s="544"/>
      <c r="AA4" s="544"/>
      <c r="AB4" s="544"/>
      <c r="AC4" s="544"/>
      <c r="AD4" s="544"/>
      <c r="AE4" s="544"/>
      <c r="AF4" s="544"/>
      <c r="AG4" s="544"/>
      <c r="AH4" s="1021"/>
      <c r="AI4" s="1021"/>
      <c r="AJ4" s="1021"/>
      <c r="AK4" s="1021"/>
      <c r="AL4" s="1021"/>
      <c r="AM4" s="1021"/>
      <c r="AN4" s="1021"/>
      <c r="AO4" s="1021"/>
      <c r="AP4" s="1021"/>
      <c r="AQ4" s="1021"/>
      <c r="AR4" s="1021"/>
      <c r="AS4" s="1021"/>
      <c r="AT4" s="1021"/>
      <c r="AU4" s="1021"/>
      <c r="AV4" s="1021"/>
      <c r="AW4" s="1021"/>
      <c r="AX4" s="1021"/>
      <c r="AY4" s="1021"/>
      <c r="AZ4" s="1021"/>
    </row>
    <row r="5" spans="2:52" x14ac:dyDescent="0.2">
      <c r="B5" s="151" t="s">
        <v>96</v>
      </c>
      <c r="C5" s="246" t="s">
        <v>0</v>
      </c>
      <c r="D5" s="246" t="s">
        <v>45</v>
      </c>
      <c r="E5" s="246" t="s">
        <v>55</v>
      </c>
      <c r="F5" s="246" t="s">
        <v>71</v>
      </c>
      <c r="G5" s="246" t="s">
        <v>77</v>
      </c>
      <c r="H5" s="246" t="s">
        <v>87</v>
      </c>
      <c r="I5" s="246" t="s">
        <v>88</v>
      </c>
      <c r="J5" s="246" t="s">
        <v>378</v>
      </c>
      <c r="K5" s="246" t="s">
        <v>406</v>
      </c>
      <c r="L5" s="246" t="s">
        <v>467</v>
      </c>
      <c r="M5" s="246" t="s">
        <v>501</v>
      </c>
      <c r="N5" s="246" t="s">
        <v>511</v>
      </c>
      <c r="O5" s="246" t="s">
        <v>538</v>
      </c>
      <c r="P5" s="246" t="s">
        <v>567</v>
      </c>
      <c r="Q5" s="246" t="s">
        <v>575</v>
      </c>
      <c r="R5" s="246" t="s">
        <v>595</v>
      </c>
      <c r="S5" s="246" t="s">
        <v>596</v>
      </c>
      <c r="T5" s="246" t="s">
        <v>623</v>
      </c>
      <c r="U5" s="246" t="s">
        <v>624</v>
      </c>
      <c r="V5" s="246" t="s">
        <v>625</v>
      </c>
      <c r="W5" s="246" t="s">
        <v>626</v>
      </c>
      <c r="X5" s="246" t="s">
        <v>798</v>
      </c>
      <c r="Y5" s="246" t="s">
        <v>799</v>
      </c>
      <c r="Z5" s="246" t="s">
        <v>800</v>
      </c>
      <c r="AA5" s="246" t="s">
        <v>801</v>
      </c>
      <c r="AB5" s="246" t="s">
        <v>913</v>
      </c>
      <c r="AC5" s="246" t="s">
        <v>914</v>
      </c>
      <c r="AD5" s="246" t="s">
        <v>923</v>
      </c>
      <c r="AE5" s="246" t="s">
        <v>924</v>
      </c>
      <c r="AF5" s="246" t="s">
        <v>1049</v>
      </c>
      <c r="AG5" s="246" t="s">
        <v>1023</v>
      </c>
      <c r="AH5" s="246" t="s">
        <v>1024</v>
      </c>
      <c r="AI5" s="246" t="s">
        <v>1050</v>
      </c>
      <c r="AJ5" s="246" t="s">
        <v>1114</v>
      </c>
      <c r="AK5" s="246" t="s">
        <v>1119</v>
      </c>
      <c r="AL5" s="246" t="s">
        <v>1121</v>
      </c>
      <c r="AM5" s="246" t="s">
        <v>1123</v>
      </c>
      <c r="AN5" s="246" t="s">
        <v>1176</v>
      </c>
      <c r="AO5" s="246" t="s">
        <v>1177</v>
      </c>
      <c r="AP5" s="246" t="s">
        <v>1179</v>
      </c>
      <c r="AQ5" s="246" t="s">
        <v>1181</v>
      </c>
      <c r="AR5" s="246" t="s">
        <v>1243</v>
      </c>
      <c r="AS5" s="246" t="s">
        <v>1250</v>
      </c>
      <c r="AT5" s="246" t="s">
        <v>1251</v>
      </c>
      <c r="AU5" s="246" t="s">
        <v>1252</v>
      </c>
      <c r="AV5" s="246" t="s">
        <v>1311</v>
      </c>
      <c r="AW5" s="246" t="s">
        <v>1313</v>
      </c>
      <c r="AX5" s="246" t="s">
        <v>1315</v>
      </c>
      <c r="AY5" s="246" t="s">
        <v>1317</v>
      </c>
      <c r="AZ5" s="246" t="s">
        <v>1344</v>
      </c>
    </row>
    <row r="6" spans="2:52" x14ac:dyDescent="0.2">
      <c r="B6" s="126" t="s">
        <v>188</v>
      </c>
      <c r="C6" s="120">
        <v>-8621</v>
      </c>
      <c r="D6" s="120">
        <f>+C12</f>
        <v>-6725</v>
      </c>
      <c r="E6" s="162">
        <f t="shared" ref="E6:J6" si="0">+D12</f>
        <v>-7202</v>
      </c>
      <c r="F6" s="120">
        <f t="shared" si="0"/>
        <v>-4719</v>
      </c>
      <c r="G6" s="120">
        <f t="shared" si="0"/>
        <v>-15659</v>
      </c>
      <c r="H6" s="120">
        <f t="shared" si="0"/>
        <v>-16005</v>
      </c>
      <c r="I6" s="120">
        <f t="shared" si="0"/>
        <v>-15545</v>
      </c>
      <c r="J6" s="120">
        <f t="shared" si="0"/>
        <v>-15271</v>
      </c>
      <c r="K6" s="120">
        <f>+J12</f>
        <v>-16393</v>
      </c>
      <c r="L6" s="120">
        <f>+K12</f>
        <v>-17205</v>
      </c>
      <c r="M6" s="120">
        <f>+L12</f>
        <v>-17833</v>
      </c>
      <c r="N6" s="120">
        <f>+M12</f>
        <v>-17741</v>
      </c>
      <c r="O6" s="120">
        <v>-17317</v>
      </c>
      <c r="P6" s="120">
        <v>-18072</v>
      </c>
      <c r="Q6" s="120">
        <v>-18241</v>
      </c>
      <c r="R6" s="120">
        <f>Q12</f>
        <v>-18221</v>
      </c>
      <c r="S6" s="120">
        <f>R12</f>
        <v>-18140</v>
      </c>
      <c r="T6" s="120">
        <v>-1968</v>
      </c>
      <c r="U6" s="120">
        <v>-1905</v>
      </c>
      <c r="V6" s="120">
        <v>-904</v>
      </c>
      <c r="W6" s="120">
        <f>V12</f>
        <v>-1187</v>
      </c>
      <c r="X6" s="120">
        <f>W12</f>
        <v>-2938</v>
      </c>
      <c r="Y6" s="120">
        <f>X12</f>
        <v>-3014</v>
      </c>
      <c r="Z6" s="120">
        <v>-915</v>
      </c>
      <c r="AA6" s="120">
        <v>-1047</v>
      </c>
      <c r="AB6" s="120">
        <f t="shared" ref="AB6:AH6" si="1">AA12</f>
        <v>-222</v>
      </c>
      <c r="AC6" s="120">
        <f t="shared" si="1"/>
        <v>-142</v>
      </c>
      <c r="AD6" s="120">
        <f t="shared" si="1"/>
        <v>-211</v>
      </c>
      <c r="AE6" s="120">
        <f t="shared" si="1"/>
        <v>-322</v>
      </c>
      <c r="AF6" s="120">
        <f t="shared" si="1"/>
        <v>-288</v>
      </c>
      <c r="AG6" s="120">
        <f t="shared" si="1"/>
        <v>-435</v>
      </c>
      <c r="AH6" s="120">
        <f t="shared" si="1"/>
        <v>-473</v>
      </c>
      <c r="AI6" s="120">
        <f>AH12</f>
        <v>-768</v>
      </c>
      <c r="AJ6" s="120">
        <f>AI12</f>
        <v>-931</v>
      </c>
      <c r="AK6" s="120">
        <f>AJ12</f>
        <v>-1027</v>
      </c>
      <c r="AL6" s="120">
        <v>-1074</v>
      </c>
      <c r="AM6" s="120">
        <f t="shared" ref="AM6:AR6" si="2">AL12</f>
        <v>-1019</v>
      </c>
      <c r="AN6" s="120">
        <f t="shared" si="2"/>
        <v>-1032</v>
      </c>
      <c r="AO6" s="120">
        <f t="shared" si="2"/>
        <v>-1321</v>
      </c>
      <c r="AP6" s="120">
        <f t="shared" si="2"/>
        <v>-1613</v>
      </c>
      <c r="AQ6" s="120">
        <f t="shared" si="2"/>
        <v>-1762</v>
      </c>
      <c r="AR6" s="120">
        <f t="shared" si="2"/>
        <v>-1798</v>
      </c>
      <c r="AS6" s="120">
        <f t="shared" ref="AS6:AZ6" si="3">AR12</f>
        <v>-1817</v>
      </c>
      <c r="AT6" s="120">
        <f t="shared" si="3"/>
        <v>-1952</v>
      </c>
      <c r="AU6" s="120">
        <f t="shared" si="3"/>
        <v>-2556</v>
      </c>
      <c r="AV6" s="120">
        <f t="shared" si="3"/>
        <v>-3387</v>
      </c>
      <c r="AW6" s="120">
        <f t="shared" si="3"/>
        <v>-4113</v>
      </c>
      <c r="AX6" s="120">
        <f t="shared" si="3"/>
        <v>-3464</v>
      </c>
      <c r="AY6" s="120">
        <f t="shared" si="3"/>
        <v>-2791</v>
      </c>
      <c r="AZ6" s="120">
        <f t="shared" si="3"/>
        <v>-2523</v>
      </c>
    </row>
    <row r="7" spans="2:52" x14ac:dyDescent="0.2">
      <c r="B7" s="129" t="s">
        <v>189</v>
      </c>
      <c r="C7" s="118">
        <v>-4671</v>
      </c>
      <c r="D7" s="118">
        <v>-477</v>
      </c>
      <c r="E7" s="160">
        <v>-1591</v>
      </c>
      <c r="F7" s="118">
        <v>-10940</v>
      </c>
      <c r="G7" s="118">
        <v>-4114</v>
      </c>
      <c r="H7" s="118">
        <v>-183</v>
      </c>
      <c r="I7" s="118">
        <v>-1584</v>
      </c>
      <c r="J7" s="118">
        <v>-1346</v>
      </c>
      <c r="K7" s="118">
        <v>-1195</v>
      </c>
      <c r="L7" s="118">
        <v>-722</v>
      </c>
      <c r="M7" s="118">
        <v>-966</v>
      </c>
      <c r="N7" s="118">
        <v>-69</v>
      </c>
      <c r="O7" s="118">
        <v>-791</v>
      </c>
      <c r="P7" s="118">
        <v>-204</v>
      </c>
      <c r="Q7" s="118">
        <v>-11</v>
      </c>
      <c r="R7" s="118">
        <v>-5</v>
      </c>
      <c r="S7" s="118">
        <v>-46</v>
      </c>
      <c r="T7" s="118">
        <v>-129</v>
      </c>
      <c r="U7" s="118">
        <v>-13</v>
      </c>
      <c r="V7" s="118">
        <v>-310</v>
      </c>
      <c r="W7" s="118">
        <v>-1786</v>
      </c>
      <c r="X7" s="118">
        <v>-106</v>
      </c>
      <c r="Y7" s="118">
        <f>-136-X7</f>
        <v>-30</v>
      </c>
      <c r="Z7" s="118">
        <v>-155</v>
      </c>
      <c r="AA7" s="118">
        <v>-111</v>
      </c>
      <c r="AB7" s="118">
        <v>-10</v>
      </c>
      <c r="AC7" s="118">
        <v>-227</v>
      </c>
      <c r="AD7" s="118">
        <v>-448</v>
      </c>
      <c r="AE7" s="118">
        <v>-146</v>
      </c>
      <c r="AF7" s="118">
        <v>-184</v>
      </c>
      <c r="AG7" s="118">
        <v>-305</v>
      </c>
      <c r="AH7" s="118">
        <v>-454</v>
      </c>
      <c r="AI7" s="118">
        <v>-533</v>
      </c>
      <c r="AJ7" s="118">
        <v>-409</v>
      </c>
      <c r="AK7" s="118">
        <v>-296</v>
      </c>
      <c r="AL7" s="118">
        <v>-509</v>
      </c>
      <c r="AM7" s="118">
        <v>-366</v>
      </c>
      <c r="AN7" s="118">
        <v>-585</v>
      </c>
      <c r="AO7" s="118">
        <v>-575</v>
      </c>
      <c r="AP7" s="118">
        <v>-539</v>
      </c>
      <c r="AQ7" s="118">
        <v>-635</v>
      </c>
      <c r="AR7" s="118">
        <v>-566</v>
      </c>
      <c r="AS7" s="118">
        <v>-912</v>
      </c>
      <c r="AT7" s="118">
        <v>-1531</v>
      </c>
      <c r="AU7" s="118">
        <v>-2154</v>
      </c>
      <c r="AV7" s="118">
        <v>-1383</v>
      </c>
      <c r="AW7" s="118">
        <v>-1559</v>
      </c>
      <c r="AX7" s="118">
        <v>-708</v>
      </c>
      <c r="AY7" s="118">
        <v>-644</v>
      </c>
      <c r="AZ7" s="118">
        <v>-1567</v>
      </c>
    </row>
    <row r="8" spans="2:52" x14ac:dyDescent="0.2">
      <c r="B8" s="129" t="s">
        <v>190</v>
      </c>
      <c r="C8" s="118">
        <v>6567</v>
      </c>
      <c r="D8" s="118">
        <v>0</v>
      </c>
      <c r="E8" s="160">
        <v>0</v>
      </c>
      <c r="F8" s="118">
        <v>0</v>
      </c>
      <c r="G8" s="118">
        <v>3768</v>
      </c>
      <c r="H8" s="118">
        <v>643</v>
      </c>
      <c r="I8" s="118">
        <v>1858</v>
      </c>
      <c r="J8" s="118">
        <v>224</v>
      </c>
      <c r="K8" s="118">
        <v>383</v>
      </c>
      <c r="L8" s="118">
        <v>94</v>
      </c>
      <c r="M8" s="118">
        <v>1058</v>
      </c>
      <c r="N8" s="118">
        <v>493</v>
      </c>
      <c r="O8" s="118">
        <v>36</v>
      </c>
      <c r="P8" s="118">
        <v>35</v>
      </c>
      <c r="Q8" s="118">
        <v>31</v>
      </c>
      <c r="R8" s="118">
        <v>86</v>
      </c>
      <c r="S8" s="118">
        <v>21</v>
      </c>
      <c r="T8" s="118">
        <v>66</v>
      </c>
      <c r="U8" s="118">
        <v>1014</v>
      </c>
      <c r="V8" s="118">
        <v>27</v>
      </c>
      <c r="W8" s="118">
        <v>35</v>
      </c>
      <c r="X8" s="118">
        <v>30</v>
      </c>
      <c r="Y8" s="118">
        <f>1552-X8</f>
        <v>1522</v>
      </c>
      <c r="Z8" s="118">
        <v>23</v>
      </c>
      <c r="AA8" s="118">
        <v>936</v>
      </c>
      <c r="AB8" s="118">
        <v>90</v>
      </c>
      <c r="AC8" s="118">
        <v>158</v>
      </c>
      <c r="AD8" s="118">
        <v>337</v>
      </c>
      <c r="AE8" s="118">
        <v>180</v>
      </c>
      <c r="AF8" s="118">
        <v>37</v>
      </c>
      <c r="AG8" s="118">
        <v>267</v>
      </c>
      <c r="AH8" s="118">
        <v>159</v>
      </c>
      <c r="AI8" s="118">
        <v>370</v>
      </c>
      <c r="AJ8" s="118">
        <v>313</v>
      </c>
      <c r="AK8" s="118">
        <v>249</v>
      </c>
      <c r="AL8" s="118">
        <v>564</v>
      </c>
      <c r="AM8" s="118">
        <v>353</v>
      </c>
      <c r="AN8" s="118">
        <v>296</v>
      </c>
      <c r="AO8" s="118">
        <v>283</v>
      </c>
      <c r="AP8" s="118">
        <v>390</v>
      </c>
      <c r="AQ8" s="118">
        <v>599</v>
      </c>
      <c r="AR8" s="118">
        <v>547</v>
      </c>
      <c r="AS8" s="118">
        <v>777</v>
      </c>
      <c r="AT8" s="118">
        <v>927</v>
      </c>
      <c r="AU8" s="118">
        <v>1261</v>
      </c>
      <c r="AV8" s="118">
        <v>657</v>
      </c>
      <c r="AW8" s="118">
        <v>2208</v>
      </c>
      <c r="AX8" s="118">
        <v>1381</v>
      </c>
      <c r="AY8" s="118">
        <v>912</v>
      </c>
      <c r="AZ8" s="118">
        <v>604</v>
      </c>
    </row>
    <row r="9" spans="2:52" x14ac:dyDescent="0.2">
      <c r="B9" s="129" t="s">
        <v>192</v>
      </c>
      <c r="C9" s="118">
        <v>0</v>
      </c>
      <c r="D9" s="118">
        <v>0</v>
      </c>
      <c r="E9" s="160">
        <v>4074</v>
      </c>
      <c r="F9" s="118">
        <v>0</v>
      </c>
      <c r="G9" s="118">
        <v>0</v>
      </c>
      <c r="H9" s="118">
        <v>0</v>
      </c>
      <c r="I9" s="118">
        <v>0</v>
      </c>
      <c r="J9" s="118">
        <v>0</v>
      </c>
      <c r="K9" s="118">
        <v>0</v>
      </c>
      <c r="L9" s="118">
        <v>0</v>
      </c>
      <c r="M9" s="118">
        <v>0</v>
      </c>
      <c r="N9" s="118">
        <v>0</v>
      </c>
      <c r="O9" s="118">
        <v>0</v>
      </c>
      <c r="P9" s="118">
        <v>0</v>
      </c>
      <c r="Q9" s="118">
        <v>0</v>
      </c>
      <c r="R9" s="118">
        <v>0</v>
      </c>
      <c r="S9" s="118">
        <v>0</v>
      </c>
      <c r="T9" s="118">
        <v>126</v>
      </c>
      <c r="U9" s="118">
        <v>0</v>
      </c>
      <c r="V9" s="118">
        <v>0</v>
      </c>
      <c r="W9" s="118">
        <v>0</v>
      </c>
      <c r="X9" s="118">
        <v>0</v>
      </c>
      <c r="Y9" s="118">
        <v>0</v>
      </c>
      <c r="Z9" s="118">
        <v>0</v>
      </c>
      <c r="AA9" s="118">
        <v>0</v>
      </c>
      <c r="AB9" s="118">
        <v>0</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v>0</v>
      </c>
      <c r="AY9" s="118">
        <v>0</v>
      </c>
      <c r="AZ9" s="118">
        <v>0</v>
      </c>
    </row>
    <row r="10" spans="2:52" x14ac:dyDescent="0.2">
      <c r="B10" s="129" t="s">
        <v>49</v>
      </c>
      <c r="C10" s="118">
        <v>0</v>
      </c>
      <c r="D10" s="118">
        <v>0</v>
      </c>
      <c r="E10" s="160">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607</v>
      </c>
      <c r="Z10" s="118">
        <v>0</v>
      </c>
      <c r="AA10" s="118">
        <v>0</v>
      </c>
      <c r="AB10" s="118">
        <v>0</v>
      </c>
      <c r="AC10" s="118">
        <v>0</v>
      </c>
      <c r="AD10" s="118">
        <v>0</v>
      </c>
      <c r="AE10" s="118">
        <v>0</v>
      </c>
      <c r="AF10" s="118">
        <v>0</v>
      </c>
      <c r="AG10" s="118">
        <v>0</v>
      </c>
      <c r="AH10" s="118">
        <v>0</v>
      </c>
      <c r="AI10" s="118">
        <v>0</v>
      </c>
      <c r="AJ10" s="118">
        <v>0</v>
      </c>
      <c r="AK10" s="118">
        <v>0</v>
      </c>
      <c r="AL10" s="118">
        <v>0</v>
      </c>
      <c r="AM10" s="118">
        <v>0</v>
      </c>
      <c r="AN10" s="118">
        <v>0</v>
      </c>
      <c r="AO10" s="118">
        <v>0</v>
      </c>
      <c r="AP10" s="118">
        <v>0</v>
      </c>
      <c r="AQ10" s="118">
        <v>0</v>
      </c>
      <c r="AR10" s="118">
        <v>0</v>
      </c>
      <c r="AS10" s="118">
        <v>0</v>
      </c>
      <c r="AT10" s="118">
        <v>0</v>
      </c>
      <c r="AU10" s="118">
        <v>62</v>
      </c>
      <c r="AV10" s="118">
        <v>0</v>
      </c>
      <c r="AW10" s="118">
        <v>0</v>
      </c>
      <c r="AX10" s="118">
        <v>0</v>
      </c>
      <c r="AY10" s="118">
        <v>0</v>
      </c>
      <c r="AZ10" s="118">
        <v>0</v>
      </c>
    </row>
    <row r="11" spans="2:52" s="232" customFormat="1" hidden="1" outlineLevel="1" x14ac:dyDescent="0.2">
      <c r="B11" s="249" t="s">
        <v>256</v>
      </c>
      <c r="C11" s="218">
        <v>0</v>
      </c>
      <c r="D11" s="218">
        <v>0</v>
      </c>
      <c r="E11" s="219">
        <v>0</v>
      </c>
      <c r="F11" s="218">
        <v>0</v>
      </c>
      <c r="G11" s="218">
        <v>0</v>
      </c>
      <c r="H11" s="218">
        <v>0</v>
      </c>
      <c r="I11" s="218">
        <v>0</v>
      </c>
      <c r="J11" s="218">
        <v>0</v>
      </c>
      <c r="K11" s="218">
        <v>0</v>
      </c>
      <c r="L11" s="218">
        <v>0</v>
      </c>
      <c r="M11" s="218">
        <v>0</v>
      </c>
      <c r="N11" s="218">
        <v>0</v>
      </c>
      <c r="O11" s="218">
        <v>0</v>
      </c>
      <c r="P11" s="218">
        <v>0</v>
      </c>
      <c r="Q11" s="218">
        <v>0</v>
      </c>
      <c r="R11" s="218">
        <v>0</v>
      </c>
      <c r="S11" s="218">
        <v>16197</v>
      </c>
      <c r="T11" s="218">
        <v>0</v>
      </c>
      <c r="U11" s="218">
        <v>0</v>
      </c>
      <c r="V11" s="218">
        <v>0</v>
      </c>
      <c r="W11" s="218">
        <v>0</v>
      </c>
      <c r="X11" s="218">
        <v>0</v>
      </c>
      <c r="Y11" s="118">
        <v>0</v>
      </c>
      <c r="Z11" s="218">
        <v>0</v>
      </c>
      <c r="AA11" s="218">
        <v>0</v>
      </c>
      <c r="AB11" s="218">
        <v>0</v>
      </c>
      <c r="AC11" s="218">
        <v>0</v>
      </c>
      <c r="AD11" s="218">
        <v>0</v>
      </c>
      <c r="AE11" s="218">
        <v>0</v>
      </c>
      <c r="AF11" s="218">
        <v>0</v>
      </c>
      <c r="AG11" s="218">
        <v>0</v>
      </c>
      <c r="AH11" s="218">
        <v>0</v>
      </c>
      <c r="AI11" s="218">
        <v>0</v>
      </c>
      <c r="AJ11" s="218">
        <v>0</v>
      </c>
      <c r="AK11" s="218">
        <v>0</v>
      </c>
      <c r="AL11" s="218">
        <v>0</v>
      </c>
      <c r="AM11" s="118">
        <v>0</v>
      </c>
      <c r="AN11" s="118">
        <v>0</v>
      </c>
      <c r="AO11" s="118">
        <v>0</v>
      </c>
      <c r="AP11" s="118">
        <v>0</v>
      </c>
      <c r="AQ11" s="118">
        <v>0</v>
      </c>
      <c r="AR11" s="118">
        <v>0</v>
      </c>
      <c r="AS11" s="118">
        <v>0</v>
      </c>
      <c r="AT11" s="118">
        <v>0</v>
      </c>
      <c r="AU11" s="118"/>
      <c r="AV11" s="118">
        <v>0</v>
      </c>
      <c r="AW11" s="118">
        <v>0</v>
      </c>
      <c r="AX11" s="118">
        <v>0</v>
      </c>
      <c r="AY11" s="118">
        <v>0</v>
      </c>
      <c r="AZ11" s="118">
        <v>0</v>
      </c>
    </row>
    <row r="12" spans="2:52" collapsed="1" x14ac:dyDescent="0.2">
      <c r="B12" s="126" t="s">
        <v>191</v>
      </c>
      <c r="C12" s="120">
        <f t="shared" ref="C12:J12" si="4">SUM(C6:C9)</f>
        <v>-6725</v>
      </c>
      <c r="D12" s="120">
        <f t="shared" si="4"/>
        <v>-7202</v>
      </c>
      <c r="E12" s="162">
        <f t="shared" si="4"/>
        <v>-4719</v>
      </c>
      <c r="F12" s="120">
        <f t="shared" si="4"/>
        <v>-15659</v>
      </c>
      <c r="G12" s="120">
        <f t="shared" si="4"/>
        <v>-16005</v>
      </c>
      <c r="H12" s="120">
        <f t="shared" si="4"/>
        <v>-15545</v>
      </c>
      <c r="I12" s="120">
        <f t="shared" si="4"/>
        <v>-15271</v>
      </c>
      <c r="J12" s="120">
        <f t="shared" si="4"/>
        <v>-16393</v>
      </c>
      <c r="K12" s="120">
        <v>-17205</v>
      </c>
      <c r="L12" s="120">
        <f t="shared" ref="L12:X12" si="5">SUM(L6:L9)</f>
        <v>-17833</v>
      </c>
      <c r="M12" s="120">
        <f t="shared" si="5"/>
        <v>-17741</v>
      </c>
      <c r="N12" s="120">
        <f t="shared" si="5"/>
        <v>-17317</v>
      </c>
      <c r="O12" s="120">
        <f t="shared" si="5"/>
        <v>-18072</v>
      </c>
      <c r="P12" s="120">
        <f t="shared" si="5"/>
        <v>-18241</v>
      </c>
      <c r="Q12" s="120">
        <f t="shared" si="5"/>
        <v>-18221</v>
      </c>
      <c r="R12" s="120">
        <f t="shared" si="5"/>
        <v>-18140</v>
      </c>
      <c r="S12" s="120">
        <f>SUM(S6:S11)</f>
        <v>-1968</v>
      </c>
      <c r="T12" s="120">
        <f t="shared" si="5"/>
        <v>-1905</v>
      </c>
      <c r="U12" s="120">
        <f t="shared" si="5"/>
        <v>-904</v>
      </c>
      <c r="V12" s="120">
        <f t="shared" si="5"/>
        <v>-1187</v>
      </c>
      <c r="W12" s="120">
        <f t="shared" si="5"/>
        <v>-2938</v>
      </c>
      <c r="X12" s="120">
        <f t="shared" si="5"/>
        <v>-3014</v>
      </c>
      <c r="Y12" s="120">
        <f t="shared" ref="Y12:AD12" si="6">SUM(Y6:Y11)</f>
        <v>-915</v>
      </c>
      <c r="Z12" s="120">
        <f t="shared" si="6"/>
        <v>-1047</v>
      </c>
      <c r="AA12" s="120">
        <f t="shared" si="6"/>
        <v>-222</v>
      </c>
      <c r="AB12" s="120">
        <f t="shared" si="6"/>
        <v>-142</v>
      </c>
      <c r="AC12" s="120">
        <f t="shared" si="6"/>
        <v>-211</v>
      </c>
      <c r="AD12" s="120">
        <f t="shared" si="6"/>
        <v>-322</v>
      </c>
      <c r="AE12" s="120">
        <f t="shared" ref="AE12:AK12" si="7">SUM(AE6:AE11)</f>
        <v>-288</v>
      </c>
      <c r="AF12" s="120">
        <f t="shared" si="7"/>
        <v>-435</v>
      </c>
      <c r="AG12" s="120">
        <f t="shared" si="7"/>
        <v>-473</v>
      </c>
      <c r="AH12" s="120">
        <f t="shared" si="7"/>
        <v>-768</v>
      </c>
      <c r="AI12" s="120">
        <f t="shared" si="7"/>
        <v>-931</v>
      </c>
      <c r="AJ12" s="120">
        <f>SUM(AJ6:AJ11)</f>
        <v>-1027</v>
      </c>
      <c r="AK12" s="120">
        <f t="shared" si="7"/>
        <v>-1074</v>
      </c>
      <c r="AL12" s="120">
        <v>-1019</v>
      </c>
      <c r="AM12" s="120">
        <f t="shared" ref="AM12:AW12" si="8">SUM(AM6:AM11)</f>
        <v>-1032</v>
      </c>
      <c r="AN12" s="120">
        <f t="shared" si="8"/>
        <v>-1321</v>
      </c>
      <c r="AO12" s="120">
        <f t="shared" si="8"/>
        <v>-1613</v>
      </c>
      <c r="AP12" s="120">
        <f t="shared" si="8"/>
        <v>-1762</v>
      </c>
      <c r="AQ12" s="120">
        <f t="shared" si="8"/>
        <v>-1798</v>
      </c>
      <c r="AR12" s="120">
        <f t="shared" si="8"/>
        <v>-1817</v>
      </c>
      <c r="AS12" s="120">
        <f t="shared" si="8"/>
        <v>-1952</v>
      </c>
      <c r="AT12" s="120">
        <f t="shared" si="8"/>
        <v>-2556</v>
      </c>
      <c r="AU12" s="120">
        <f t="shared" si="8"/>
        <v>-3387</v>
      </c>
      <c r="AV12" s="120">
        <f t="shared" si="8"/>
        <v>-4113</v>
      </c>
      <c r="AW12" s="120">
        <f t="shared" si="8"/>
        <v>-3464</v>
      </c>
      <c r="AX12" s="120">
        <f>SUM(AX6:AX11)</f>
        <v>-2791</v>
      </c>
      <c r="AY12" s="120">
        <f>SUM(AY6:AY11)</f>
        <v>-2523</v>
      </c>
      <c r="AZ12" s="120">
        <f>SUM(AZ6:AZ11)</f>
        <v>-3486</v>
      </c>
    </row>
    <row r="13" spans="2:52" x14ac:dyDescent="0.2">
      <c r="B13" s="153"/>
      <c r="C13" s="154">
        <f>+C12-'Contas a Receber'!C9</f>
        <v>0</v>
      </c>
      <c r="D13" s="154">
        <f>+D12-'Contas a Receber'!D9</f>
        <v>0</v>
      </c>
      <c r="E13" s="154">
        <f>+E12-'Contas a Receber'!E9</f>
        <v>0</v>
      </c>
      <c r="F13" s="154">
        <f>+F12-'Contas a Receber'!F9</f>
        <v>0</v>
      </c>
      <c r="G13" s="154">
        <f>+G12-'Contas a Receber'!G9</f>
        <v>0</v>
      </c>
      <c r="H13" s="154">
        <f>+H12-'Contas a Receber'!H9</f>
        <v>0</v>
      </c>
      <c r="I13" s="154">
        <f>+I12-'Contas a Receber'!I9</f>
        <v>0</v>
      </c>
      <c r="J13" s="154">
        <f>+J12-'Contas a Receber'!J9</f>
        <v>0</v>
      </c>
      <c r="K13" s="154">
        <f>+K12-'Contas a Receber'!K9</f>
        <v>0</v>
      </c>
      <c r="L13" s="154">
        <f>+L12-'Contas a Receber'!L9</f>
        <v>0</v>
      </c>
      <c r="M13" s="154">
        <f>+M12-'Contas a Receber'!M9</f>
        <v>0</v>
      </c>
      <c r="N13" s="154">
        <f>+N12-'Contas a Receber'!N9</f>
        <v>0</v>
      </c>
      <c r="O13" s="154">
        <v>0</v>
      </c>
      <c r="P13" s="154">
        <v>0</v>
      </c>
      <c r="Q13" s="154">
        <v>0</v>
      </c>
      <c r="R13" s="154">
        <f>+'Contas a Receber'!R9-R12</f>
        <v>0</v>
      </c>
      <c r="S13" s="154">
        <f>+'Contas a Receber'!S9-S12</f>
        <v>0</v>
      </c>
      <c r="T13" s="154">
        <v>0</v>
      </c>
      <c r="U13" s="154">
        <f>+'Contas a Receber'!U9-U12</f>
        <v>0</v>
      </c>
      <c r="V13" s="154">
        <f>+'Contas a Receber'!V9-V12</f>
        <v>0</v>
      </c>
      <c r="W13" s="154">
        <f>+'Contas a Receber'!W9-W12</f>
        <v>0</v>
      </c>
      <c r="X13" s="154">
        <f>+'Contas a Receber'!X9-X12</f>
        <v>0</v>
      </c>
      <c r="Y13" s="154">
        <f>+'Contas a Receber'!Y9-Y12</f>
        <v>0</v>
      </c>
      <c r="Z13" s="154">
        <f>+'Contas a Receber'!Z9-Z12</f>
        <v>0</v>
      </c>
      <c r="AA13" s="154">
        <v>0</v>
      </c>
      <c r="AB13" s="154">
        <f>+'Contas a Receber'!AB9-AB12</f>
        <v>0</v>
      </c>
      <c r="AC13" s="154">
        <f>+'Contas a Receber'!AC9-AC12</f>
        <v>0</v>
      </c>
      <c r="AD13" s="154">
        <f>+'Contas a Receber'!AD9-AD12</f>
        <v>0</v>
      </c>
      <c r="AE13" s="154">
        <f>+'Contas a Receber'!AE9-AE12</f>
        <v>0</v>
      </c>
      <c r="AF13" s="154">
        <f>+'Contas a Receber'!AF9-AF12</f>
        <v>0</v>
      </c>
      <c r="AG13" s="154">
        <f>+'Contas a Receber'!AG9-AG12</f>
        <v>0</v>
      </c>
      <c r="AH13" s="154">
        <f>+'Contas a Receber'!AH9-AH12</f>
        <v>0</v>
      </c>
      <c r="AI13" s="154">
        <f>+'Contas a Receber'!AI9-AI12</f>
        <v>0</v>
      </c>
      <c r="AJ13" s="154">
        <v>0</v>
      </c>
      <c r="AK13" s="154">
        <f>+'Contas a Receber'!AK9-AK12</f>
        <v>0</v>
      </c>
      <c r="AL13" s="154">
        <v>0</v>
      </c>
      <c r="AM13" s="154">
        <f>+'Contas a Receber'!AM9-AM12</f>
        <v>0</v>
      </c>
      <c r="AN13" s="154">
        <f>+'Contas a Receber'!AN9-AN12</f>
        <v>0</v>
      </c>
      <c r="AO13" s="154">
        <f>+'Contas a Receber'!AO9-AO12</f>
        <v>0</v>
      </c>
      <c r="AP13" s="154">
        <f>+'Contas a Receber'!AP9-AP12</f>
        <v>0</v>
      </c>
      <c r="AQ13" s="154">
        <f>+'Contas a Receber'!AQ9-AQ12</f>
        <v>0</v>
      </c>
      <c r="AR13" s="154">
        <f>+'Contas a Receber'!AR9-AR12</f>
        <v>0</v>
      </c>
      <c r="AS13" s="154">
        <f>+'Contas a Receber'!AS9-AS12</f>
        <v>0</v>
      </c>
      <c r="AT13" s="154">
        <f>+'Contas a Receber'!AT9-AT12</f>
        <v>0</v>
      </c>
      <c r="AU13" s="154">
        <f>+'Contas a Receber'!AU9-AU12</f>
        <v>0</v>
      </c>
      <c r="AV13" s="154">
        <f>+'Contas a Receber'!AV9-AV12</f>
        <v>0</v>
      </c>
      <c r="AW13" s="154">
        <f>+'Contas a Receber'!AW9-AW12</f>
        <v>0</v>
      </c>
      <c r="AX13" s="154">
        <f>+'Contas a Receber'!AX9-AX12</f>
        <v>0</v>
      </c>
      <c r="AY13" s="154">
        <f>+'Contas a Receber'!AY9-AY12</f>
        <v>0</v>
      </c>
      <c r="AZ13" s="154">
        <f>+'Contas a Receber'!AZ9-AZ12</f>
        <v>0</v>
      </c>
    </row>
    <row r="14" spans="2:52" x14ac:dyDescent="0.2">
      <c r="B14" s="151" t="s">
        <v>97</v>
      </c>
      <c r="C14" s="115" t="str">
        <f t="shared" ref="C14:S14" si="9">C5</f>
        <v>4T13</v>
      </c>
      <c r="D14" s="115" t="str">
        <f t="shared" si="9"/>
        <v>1T14</v>
      </c>
      <c r="E14" s="115" t="str">
        <f t="shared" si="9"/>
        <v>2T14</v>
      </c>
      <c r="F14" s="115" t="str">
        <f t="shared" si="9"/>
        <v>3T14</v>
      </c>
      <c r="G14" s="115" t="str">
        <f t="shared" si="9"/>
        <v>4T14</v>
      </c>
      <c r="H14" s="115" t="str">
        <f t="shared" si="9"/>
        <v>1T15</v>
      </c>
      <c r="I14" s="115" t="str">
        <f t="shared" si="9"/>
        <v>2T15</v>
      </c>
      <c r="J14" s="115" t="str">
        <f t="shared" si="9"/>
        <v>3T15</v>
      </c>
      <c r="K14" s="115" t="str">
        <f t="shared" si="9"/>
        <v>4T15</v>
      </c>
      <c r="L14" s="115" t="str">
        <f t="shared" si="9"/>
        <v>1T16</v>
      </c>
      <c r="M14" s="115" t="str">
        <f t="shared" si="9"/>
        <v>2T16</v>
      </c>
      <c r="N14" s="115" t="str">
        <f t="shared" si="9"/>
        <v>3T16</v>
      </c>
      <c r="O14" s="115" t="str">
        <f t="shared" si="9"/>
        <v>4T16</v>
      </c>
      <c r="P14" s="115" t="str">
        <f t="shared" si="9"/>
        <v>1T17</v>
      </c>
      <c r="Q14" s="115" t="str">
        <f t="shared" si="9"/>
        <v>2T17</v>
      </c>
      <c r="R14" s="115" t="str">
        <f t="shared" si="9"/>
        <v>3T17</v>
      </c>
      <c r="S14" s="115" t="str">
        <f t="shared" si="9"/>
        <v>4T17</v>
      </c>
      <c r="T14" s="115" t="s">
        <v>623</v>
      </c>
      <c r="U14" s="115" t="str">
        <f t="shared" ref="U14:AB14" si="10">U5</f>
        <v>2T18</v>
      </c>
      <c r="V14" s="115" t="str">
        <f t="shared" si="10"/>
        <v>3T18</v>
      </c>
      <c r="W14" s="115" t="str">
        <f t="shared" si="10"/>
        <v>4T18</v>
      </c>
      <c r="X14" s="115" t="str">
        <f t="shared" si="10"/>
        <v>1T19</v>
      </c>
      <c r="Y14" s="115" t="str">
        <f t="shared" si="10"/>
        <v>2T19</v>
      </c>
      <c r="Z14" s="115" t="str">
        <f t="shared" si="10"/>
        <v>3T19</v>
      </c>
      <c r="AA14" s="115" t="str">
        <f t="shared" si="10"/>
        <v>4T19</v>
      </c>
      <c r="AB14" s="115" t="str">
        <f t="shared" si="10"/>
        <v>1T20</v>
      </c>
      <c r="AC14" s="115" t="str">
        <f t="shared" ref="AC14:AK14" si="11">AC5</f>
        <v>2T20</v>
      </c>
      <c r="AD14" s="115" t="str">
        <f t="shared" si="11"/>
        <v>3T20</v>
      </c>
      <c r="AE14" s="115" t="str">
        <f t="shared" si="11"/>
        <v>4T20</v>
      </c>
      <c r="AF14" s="115" t="str">
        <f t="shared" si="11"/>
        <v>1T21</v>
      </c>
      <c r="AG14" s="115" t="str">
        <f t="shared" si="11"/>
        <v>2T21</v>
      </c>
      <c r="AH14" s="115" t="str">
        <f t="shared" si="11"/>
        <v>3T21</v>
      </c>
      <c r="AI14" s="115" t="str">
        <f t="shared" si="11"/>
        <v>4T21</v>
      </c>
      <c r="AJ14" s="115" t="str">
        <f t="shared" si="11"/>
        <v>1T22</v>
      </c>
      <c r="AK14" s="115" t="str">
        <f t="shared" si="11"/>
        <v>2T22</v>
      </c>
      <c r="AL14" s="115" t="s">
        <v>1121</v>
      </c>
      <c r="AM14" s="115" t="str">
        <f t="shared" ref="AM14:AR14" si="12">AM5</f>
        <v>4T22</v>
      </c>
      <c r="AN14" s="115" t="str">
        <f t="shared" si="12"/>
        <v>1T23</v>
      </c>
      <c r="AO14" s="115" t="str">
        <f t="shared" si="12"/>
        <v>2T23</v>
      </c>
      <c r="AP14" s="115" t="str">
        <f t="shared" si="12"/>
        <v>3T23</v>
      </c>
      <c r="AQ14" s="115" t="str">
        <f t="shared" si="12"/>
        <v>4T23</v>
      </c>
      <c r="AR14" s="115" t="str">
        <f t="shared" si="12"/>
        <v>1T24</v>
      </c>
      <c r="AS14" s="115" t="str">
        <f>AS5</f>
        <v>2T24</v>
      </c>
      <c r="AT14" s="115" t="str">
        <f t="shared" ref="AT14:AY14" si="13">AT5</f>
        <v>3T24</v>
      </c>
      <c r="AU14" s="115" t="str">
        <f t="shared" si="13"/>
        <v>4T24</v>
      </c>
      <c r="AV14" s="115" t="str">
        <f t="shared" si="13"/>
        <v>1T25</v>
      </c>
      <c r="AW14" s="115" t="str">
        <f t="shared" si="13"/>
        <v>2T25</v>
      </c>
      <c r="AX14" s="115" t="str">
        <f t="shared" si="13"/>
        <v>3T25</v>
      </c>
      <c r="AY14" s="115" t="str">
        <f t="shared" si="13"/>
        <v>4T25</v>
      </c>
      <c r="AZ14" s="115" t="str">
        <f>AZ5</f>
        <v>1T26</v>
      </c>
    </row>
    <row r="15" spans="2:52" x14ac:dyDescent="0.2">
      <c r="B15" s="126" t="s">
        <v>188</v>
      </c>
      <c r="C15" s="120">
        <v>-849</v>
      </c>
      <c r="D15" s="120">
        <f>C21</f>
        <v>-2247</v>
      </c>
      <c r="E15" s="162">
        <f t="shared" ref="E15:J15" si="14">D21</f>
        <v>-2569</v>
      </c>
      <c r="F15" s="120">
        <f t="shared" si="14"/>
        <v>-3238</v>
      </c>
      <c r="G15" s="120">
        <f t="shared" si="14"/>
        <v>-14101</v>
      </c>
      <c r="H15" s="120">
        <f t="shared" si="14"/>
        <v>-13089</v>
      </c>
      <c r="I15" s="120">
        <f t="shared" si="14"/>
        <v>-12875</v>
      </c>
      <c r="J15" s="120">
        <f t="shared" si="14"/>
        <v>-11410</v>
      </c>
      <c r="K15" s="120">
        <f>+J21</f>
        <v>-11715</v>
      </c>
      <c r="L15" s="120">
        <f>+K21</f>
        <v>-12450</v>
      </c>
      <c r="M15" s="120">
        <f>+L21</f>
        <v>-12515</v>
      </c>
      <c r="N15" s="120">
        <f>+M21</f>
        <v>-12406</v>
      </c>
      <c r="O15" s="120">
        <v>-12405</v>
      </c>
      <c r="P15" s="120">
        <v>-12372</v>
      </c>
      <c r="Q15" s="120">
        <v>-12376</v>
      </c>
      <c r="R15" s="120">
        <f>+Q21</f>
        <v>-12380</v>
      </c>
      <c r="S15" s="120">
        <f>+R21</f>
        <v>-12313</v>
      </c>
      <c r="T15" s="120">
        <v>-111</v>
      </c>
      <c r="U15" s="120">
        <v>-168</v>
      </c>
      <c r="V15" s="120">
        <v>-59</v>
      </c>
      <c r="W15" s="120">
        <f>+V21</f>
        <v>-64</v>
      </c>
      <c r="X15" s="120">
        <f>+W21</f>
        <v>-79</v>
      </c>
      <c r="Y15" s="120">
        <f>+X21</f>
        <v>-158</v>
      </c>
      <c r="Z15" s="120">
        <v>-79</v>
      </c>
      <c r="AA15" s="120">
        <v>-165</v>
      </c>
      <c r="AB15" s="120">
        <f t="shared" ref="AB15:AG15" si="15">AA21</f>
        <v>-175</v>
      </c>
      <c r="AC15" s="120">
        <f t="shared" si="15"/>
        <v>-96</v>
      </c>
      <c r="AD15" s="120">
        <f t="shared" si="15"/>
        <v>-158</v>
      </c>
      <c r="AE15" s="120">
        <f t="shared" si="15"/>
        <v>-275</v>
      </c>
      <c r="AF15" s="120">
        <f t="shared" si="15"/>
        <v>-242</v>
      </c>
      <c r="AG15" s="120">
        <f t="shared" si="15"/>
        <v>-333</v>
      </c>
      <c r="AH15" s="120">
        <f>AG21</f>
        <v>-370</v>
      </c>
      <c r="AI15" s="120">
        <f>AH21</f>
        <v>-490</v>
      </c>
      <c r="AJ15" s="120">
        <f t="shared" ref="AJ15:AR15" si="16">AI21</f>
        <v>-835</v>
      </c>
      <c r="AK15" s="120">
        <f t="shared" si="16"/>
        <v>-911</v>
      </c>
      <c r="AL15" s="120">
        <v>-929</v>
      </c>
      <c r="AM15" s="120">
        <f t="shared" si="16"/>
        <v>-858</v>
      </c>
      <c r="AN15" s="120">
        <f t="shared" si="16"/>
        <v>-797</v>
      </c>
      <c r="AO15" s="120">
        <f t="shared" si="16"/>
        <v>-769</v>
      </c>
      <c r="AP15" s="120">
        <f t="shared" si="16"/>
        <v>-2117</v>
      </c>
      <c r="AQ15" s="120">
        <f t="shared" si="16"/>
        <v>-1059</v>
      </c>
      <c r="AR15" s="120">
        <f t="shared" si="16"/>
        <v>-1048</v>
      </c>
      <c r="AS15" s="120">
        <f>AR21</f>
        <v>-1125</v>
      </c>
      <c r="AT15" s="120">
        <f t="shared" ref="AT15:AZ15" si="17">AS21</f>
        <v>-1270</v>
      </c>
      <c r="AU15" s="120">
        <f t="shared" si="17"/>
        <v>-1887</v>
      </c>
      <c r="AV15" s="120">
        <f t="shared" si="17"/>
        <v>-2974</v>
      </c>
      <c r="AW15" s="120">
        <f t="shared" si="17"/>
        <v>-3651</v>
      </c>
      <c r="AX15" s="120">
        <f t="shared" si="17"/>
        <v>-2800</v>
      </c>
      <c r="AY15" s="120">
        <f t="shared" si="17"/>
        <v>-2486</v>
      </c>
      <c r="AZ15" s="120">
        <f t="shared" si="17"/>
        <v>-2019</v>
      </c>
    </row>
    <row r="16" spans="2:52" x14ac:dyDescent="0.2">
      <c r="B16" s="129" t="s">
        <v>189</v>
      </c>
      <c r="C16" s="118">
        <v>-2250</v>
      </c>
      <c r="D16" s="118">
        <v>-322</v>
      </c>
      <c r="E16" s="160">
        <v>-669</v>
      </c>
      <c r="F16" s="118">
        <v>-10863</v>
      </c>
      <c r="G16" s="118">
        <v>-1689</v>
      </c>
      <c r="H16" s="118">
        <v>-174</v>
      </c>
      <c r="I16" s="118">
        <v>-51</v>
      </c>
      <c r="J16" s="118">
        <v>-446</v>
      </c>
      <c r="K16" s="118">
        <v>-1119</v>
      </c>
      <c r="L16" s="118">
        <v>-141</v>
      </c>
      <c r="M16" s="118">
        <v>-786</v>
      </c>
      <c r="N16" s="118">
        <v>-1</v>
      </c>
      <c r="O16" s="118">
        <v>-1</v>
      </c>
      <c r="P16" s="118">
        <v>-4</v>
      </c>
      <c r="Q16" s="118">
        <v>-4</v>
      </c>
      <c r="R16" s="118">
        <v>0</v>
      </c>
      <c r="S16" s="118">
        <v>-36</v>
      </c>
      <c r="T16" s="118">
        <v>-117</v>
      </c>
      <c r="U16" s="118">
        <v>-4</v>
      </c>
      <c r="V16" s="118">
        <v>-7</v>
      </c>
      <c r="W16" s="118">
        <v>-34</v>
      </c>
      <c r="X16" s="118">
        <v>-96</v>
      </c>
      <c r="Y16" s="118">
        <f>-121-X16</f>
        <v>-25</v>
      </c>
      <c r="Z16" s="118">
        <v>-108</v>
      </c>
      <c r="AA16" s="118">
        <v>-110</v>
      </c>
      <c r="AB16" s="118">
        <v>-10</v>
      </c>
      <c r="AC16" s="118">
        <v>-220</v>
      </c>
      <c r="AD16" s="118">
        <v>-447</v>
      </c>
      <c r="AE16" s="118">
        <v>-147</v>
      </c>
      <c r="AF16" s="118">
        <v>-127</v>
      </c>
      <c r="AG16" s="118">
        <v>-195</v>
      </c>
      <c r="AH16" s="118">
        <v>-228</v>
      </c>
      <c r="AI16" s="118">
        <v>-492</v>
      </c>
      <c r="AJ16" s="118">
        <v>-367</v>
      </c>
      <c r="AK16" s="118">
        <v>-242</v>
      </c>
      <c r="AL16" s="118">
        <v>-444</v>
      </c>
      <c r="AM16" s="118">
        <v>-267</v>
      </c>
      <c r="AN16" s="118">
        <v>-238</v>
      </c>
      <c r="AO16" s="118">
        <v>-422</v>
      </c>
      <c r="AP16" s="118">
        <v>-250</v>
      </c>
      <c r="AQ16" s="118">
        <v>-293</v>
      </c>
      <c r="AR16" s="118">
        <v>-266</v>
      </c>
      <c r="AS16" s="118">
        <v>-530</v>
      </c>
      <c r="AT16" s="118">
        <v>-1083</v>
      </c>
      <c r="AU16" s="118">
        <v>-2019</v>
      </c>
      <c r="AV16" s="118">
        <v>-1287</v>
      </c>
      <c r="AW16" s="118">
        <v>-1285</v>
      </c>
      <c r="AX16" s="118">
        <v>-481</v>
      </c>
      <c r="AY16" s="118">
        <v>-383</v>
      </c>
      <c r="AZ16" s="118">
        <v>-927</v>
      </c>
    </row>
    <row r="17" spans="2:52" x14ac:dyDescent="0.2">
      <c r="B17" s="129" t="s">
        <v>190</v>
      </c>
      <c r="C17" s="118">
        <v>852</v>
      </c>
      <c r="D17" s="118">
        <v>0</v>
      </c>
      <c r="E17" s="160">
        <v>0</v>
      </c>
      <c r="F17" s="118">
        <v>0</v>
      </c>
      <c r="G17" s="118">
        <v>2701</v>
      </c>
      <c r="H17" s="118">
        <v>388</v>
      </c>
      <c r="I17" s="118">
        <v>1516</v>
      </c>
      <c r="J17" s="118">
        <v>141</v>
      </c>
      <c r="K17" s="118">
        <v>384</v>
      </c>
      <c r="L17" s="118">
        <v>76</v>
      </c>
      <c r="M17" s="118">
        <v>895</v>
      </c>
      <c r="N17" s="118">
        <v>2</v>
      </c>
      <c r="O17" s="118">
        <v>34</v>
      </c>
      <c r="P17" s="118">
        <v>0</v>
      </c>
      <c r="Q17" s="118">
        <v>0</v>
      </c>
      <c r="R17" s="118">
        <v>67</v>
      </c>
      <c r="S17" s="118">
        <v>0</v>
      </c>
      <c r="T17" s="118">
        <v>60</v>
      </c>
      <c r="U17" s="118">
        <v>113</v>
      </c>
      <c r="V17" s="118">
        <v>2</v>
      </c>
      <c r="W17" s="118">
        <v>19</v>
      </c>
      <c r="X17" s="118">
        <v>17</v>
      </c>
      <c r="Y17" s="118">
        <f>122-X17</f>
        <v>105</v>
      </c>
      <c r="Z17" s="118">
        <v>22</v>
      </c>
      <c r="AA17" s="118">
        <v>100</v>
      </c>
      <c r="AB17" s="118">
        <v>89</v>
      </c>
      <c r="AC17" s="118">
        <v>158</v>
      </c>
      <c r="AD17" s="118">
        <v>330</v>
      </c>
      <c r="AE17" s="118">
        <v>180</v>
      </c>
      <c r="AF17" s="118">
        <v>36</v>
      </c>
      <c r="AG17" s="118">
        <v>158</v>
      </c>
      <c r="AH17" s="118">
        <v>108</v>
      </c>
      <c r="AI17" s="118">
        <v>147</v>
      </c>
      <c r="AJ17" s="118">
        <v>291</v>
      </c>
      <c r="AK17" s="118">
        <v>224</v>
      </c>
      <c r="AL17" s="118">
        <v>515</v>
      </c>
      <c r="AM17" s="118">
        <v>328</v>
      </c>
      <c r="AN17" s="118">
        <v>266</v>
      </c>
      <c r="AO17" s="118">
        <v>-926</v>
      </c>
      <c r="AP17" s="118">
        <v>1308</v>
      </c>
      <c r="AQ17" s="118">
        <v>304</v>
      </c>
      <c r="AR17" s="118">
        <v>189</v>
      </c>
      <c r="AS17" s="118">
        <v>385</v>
      </c>
      <c r="AT17" s="118">
        <v>466</v>
      </c>
      <c r="AU17" s="118">
        <v>923</v>
      </c>
      <c r="AV17" s="118">
        <v>610</v>
      </c>
      <c r="AW17" s="118">
        <v>2136</v>
      </c>
      <c r="AX17" s="118">
        <v>795</v>
      </c>
      <c r="AY17" s="118">
        <v>850</v>
      </c>
      <c r="AZ17" s="118">
        <v>442</v>
      </c>
    </row>
    <row r="18" spans="2:52" x14ac:dyDescent="0.2">
      <c r="B18" s="129" t="s">
        <v>192</v>
      </c>
      <c r="C18" s="118">
        <v>0</v>
      </c>
      <c r="D18" s="118">
        <v>0</v>
      </c>
      <c r="E18" s="160">
        <v>0</v>
      </c>
      <c r="F18" s="118">
        <v>0</v>
      </c>
      <c r="G18" s="118">
        <v>0</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0</v>
      </c>
      <c r="AB18" s="118">
        <v>0</v>
      </c>
      <c r="AC18" s="118">
        <v>0</v>
      </c>
      <c r="AD18" s="118">
        <v>0</v>
      </c>
      <c r="AE18" s="118">
        <v>0</v>
      </c>
      <c r="AF18" s="118">
        <v>0</v>
      </c>
      <c r="AG18" s="118">
        <v>0</v>
      </c>
      <c r="AH18" s="118">
        <v>0</v>
      </c>
      <c r="AI18" s="118">
        <v>0</v>
      </c>
      <c r="AJ18" s="118">
        <v>0</v>
      </c>
      <c r="AK18" s="118">
        <v>0</v>
      </c>
      <c r="AL18" s="118">
        <v>0</v>
      </c>
      <c r="AM18" s="118">
        <v>0</v>
      </c>
      <c r="AN18" s="118">
        <v>0</v>
      </c>
      <c r="AO18" s="118">
        <v>0</v>
      </c>
      <c r="AP18" s="118">
        <v>0</v>
      </c>
      <c r="AQ18" s="118">
        <v>0</v>
      </c>
      <c r="AR18" s="118">
        <v>0</v>
      </c>
      <c r="AS18" s="118">
        <v>0</v>
      </c>
      <c r="AT18" s="118">
        <v>0</v>
      </c>
      <c r="AU18" s="118">
        <v>0</v>
      </c>
      <c r="AV18" s="118">
        <v>0</v>
      </c>
      <c r="AW18" s="118">
        <v>0</v>
      </c>
      <c r="AX18" s="118">
        <v>0</v>
      </c>
      <c r="AY18" s="118">
        <v>0</v>
      </c>
      <c r="AZ18" s="118">
        <v>0</v>
      </c>
    </row>
    <row r="19" spans="2:52" x14ac:dyDescent="0.2">
      <c r="B19" s="129" t="s">
        <v>49</v>
      </c>
      <c r="C19" s="118">
        <v>0</v>
      </c>
      <c r="D19" s="118">
        <v>0</v>
      </c>
      <c r="E19" s="160">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18">
        <v>0</v>
      </c>
      <c r="AD19" s="118">
        <v>0</v>
      </c>
      <c r="AE19" s="118">
        <v>0</v>
      </c>
      <c r="AF19" s="118">
        <v>0</v>
      </c>
      <c r="AG19" s="118">
        <v>0</v>
      </c>
      <c r="AH19" s="118">
        <v>0</v>
      </c>
      <c r="AI19" s="118">
        <v>0</v>
      </c>
      <c r="AJ19" s="118">
        <v>0</v>
      </c>
      <c r="AK19" s="118">
        <v>0</v>
      </c>
      <c r="AL19" s="118">
        <v>0</v>
      </c>
      <c r="AM19" s="118">
        <v>0</v>
      </c>
      <c r="AN19" s="118">
        <v>0</v>
      </c>
      <c r="AO19" s="118">
        <v>0</v>
      </c>
      <c r="AP19" s="118">
        <v>0</v>
      </c>
      <c r="AQ19" s="118">
        <v>0</v>
      </c>
      <c r="AR19" s="118">
        <v>0</v>
      </c>
      <c r="AS19" s="118">
        <v>0</v>
      </c>
      <c r="AT19" s="118">
        <v>0</v>
      </c>
      <c r="AU19" s="118">
        <v>9</v>
      </c>
      <c r="AV19" s="118">
        <v>0</v>
      </c>
      <c r="AW19" s="118">
        <v>0</v>
      </c>
      <c r="AX19" s="118">
        <v>0</v>
      </c>
      <c r="AY19" s="118">
        <v>0</v>
      </c>
      <c r="AZ19" s="118">
        <v>0</v>
      </c>
    </row>
    <row r="20" spans="2:52" s="232" customFormat="1" hidden="1" outlineLevel="1" x14ac:dyDescent="0.2">
      <c r="B20" s="249" t="s">
        <v>256</v>
      </c>
      <c r="C20" s="218">
        <v>0</v>
      </c>
      <c r="D20" s="218">
        <v>0</v>
      </c>
      <c r="E20" s="219">
        <v>0</v>
      </c>
      <c r="F20" s="218">
        <v>0</v>
      </c>
      <c r="G20" s="218">
        <v>0</v>
      </c>
      <c r="H20" s="218">
        <v>0</v>
      </c>
      <c r="I20" s="218">
        <v>0</v>
      </c>
      <c r="J20" s="218">
        <v>0</v>
      </c>
      <c r="K20" s="218">
        <v>0</v>
      </c>
      <c r="L20" s="218">
        <v>0</v>
      </c>
      <c r="M20" s="218">
        <v>0</v>
      </c>
      <c r="N20" s="218">
        <v>0</v>
      </c>
      <c r="O20" s="218">
        <v>0</v>
      </c>
      <c r="P20" s="218">
        <v>0</v>
      </c>
      <c r="Q20" s="218">
        <v>0</v>
      </c>
      <c r="R20" s="218">
        <v>0</v>
      </c>
      <c r="S20" s="218">
        <v>12238</v>
      </c>
      <c r="T20" s="218">
        <v>0</v>
      </c>
      <c r="U20" s="218">
        <v>0</v>
      </c>
      <c r="V20" s="218">
        <v>0</v>
      </c>
      <c r="W20" s="218">
        <v>0</v>
      </c>
      <c r="X20" s="218">
        <v>0</v>
      </c>
      <c r="Y20" s="218">
        <v>0</v>
      </c>
      <c r="Z20" s="218">
        <v>0</v>
      </c>
      <c r="AA20" s="218">
        <v>0</v>
      </c>
      <c r="AB20" s="218">
        <v>0</v>
      </c>
      <c r="AC20" s="218">
        <v>0</v>
      </c>
      <c r="AD20" s="218">
        <v>0</v>
      </c>
      <c r="AE20" s="218">
        <v>0</v>
      </c>
      <c r="AF20" s="218">
        <v>0</v>
      </c>
      <c r="AG20" s="218">
        <v>0</v>
      </c>
      <c r="AH20" s="218">
        <v>0</v>
      </c>
      <c r="AI20" s="218">
        <v>0</v>
      </c>
      <c r="AJ20" s="218">
        <v>0</v>
      </c>
      <c r="AK20" s="218">
        <v>0</v>
      </c>
      <c r="AL20" s="218">
        <v>0</v>
      </c>
      <c r="AM20" s="218">
        <v>0</v>
      </c>
      <c r="AN20" s="218">
        <v>0</v>
      </c>
      <c r="AO20" s="218">
        <v>0</v>
      </c>
      <c r="AP20" s="218">
        <v>0</v>
      </c>
      <c r="AQ20" s="218">
        <v>0</v>
      </c>
      <c r="AR20" s="218">
        <v>0</v>
      </c>
      <c r="AS20" s="218">
        <v>0</v>
      </c>
      <c r="AT20" s="218">
        <v>0</v>
      </c>
      <c r="AU20" s="218">
        <v>0</v>
      </c>
      <c r="AV20" s="218"/>
      <c r="AW20" s="218">
        <v>0</v>
      </c>
      <c r="AX20" s="218">
        <v>0</v>
      </c>
      <c r="AY20" s="218">
        <v>0</v>
      </c>
      <c r="AZ20" s="218">
        <v>0</v>
      </c>
    </row>
    <row r="21" spans="2:52" collapsed="1" x14ac:dyDescent="0.2">
      <c r="B21" s="126" t="s">
        <v>191</v>
      </c>
      <c r="C21" s="120">
        <f t="shared" ref="C21:X21" si="18">SUM(C15:C17)</f>
        <v>-2247</v>
      </c>
      <c r="D21" s="120">
        <f t="shared" si="18"/>
        <v>-2569</v>
      </c>
      <c r="E21" s="162">
        <f t="shared" si="18"/>
        <v>-3238</v>
      </c>
      <c r="F21" s="120">
        <f t="shared" si="18"/>
        <v>-14101</v>
      </c>
      <c r="G21" s="120">
        <f t="shared" si="18"/>
        <v>-13089</v>
      </c>
      <c r="H21" s="120">
        <f t="shared" si="18"/>
        <v>-12875</v>
      </c>
      <c r="I21" s="120">
        <f t="shared" si="18"/>
        <v>-11410</v>
      </c>
      <c r="J21" s="120">
        <f t="shared" si="18"/>
        <v>-11715</v>
      </c>
      <c r="K21" s="120">
        <f t="shared" si="18"/>
        <v>-12450</v>
      </c>
      <c r="L21" s="120">
        <f t="shared" si="18"/>
        <v>-12515</v>
      </c>
      <c r="M21" s="120">
        <f t="shared" si="18"/>
        <v>-12406</v>
      </c>
      <c r="N21" s="120">
        <f t="shared" si="18"/>
        <v>-12405</v>
      </c>
      <c r="O21" s="120">
        <f t="shared" si="18"/>
        <v>-12372</v>
      </c>
      <c r="P21" s="120">
        <f t="shared" si="18"/>
        <v>-12376</v>
      </c>
      <c r="Q21" s="120">
        <f t="shared" si="18"/>
        <v>-12380</v>
      </c>
      <c r="R21" s="120">
        <f t="shared" si="18"/>
        <v>-12313</v>
      </c>
      <c r="S21" s="120">
        <f>SUM(S15:S20)</f>
        <v>-111</v>
      </c>
      <c r="T21" s="120">
        <f t="shared" si="18"/>
        <v>-168</v>
      </c>
      <c r="U21" s="120">
        <f t="shared" si="18"/>
        <v>-59</v>
      </c>
      <c r="V21" s="120">
        <f t="shared" si="18"/>
        <v>-64</v>
      </c>
      <c r="W21" s="120">
        <f t="shared" si="18"/>
        <v>-79</v>
      </c>
      <c r="X21" s="120">
        <f t="shared" si="18"/>
        <v>-158</v>
      </c>
      <c r="Y21" s="120">
        <f t="shared" ref="Y21:AD21" si="19">SUM(Y15:Y17)</f>
        <v>-78</v>
      </c>
      <c r="Z21" s="120">
        <f t="shared" si="19"/>
        <v>-165</v>
      </c>
      <c r="AA21" s="120">
        <f t="shared" si="19"/>
        <v>-175</v>
      </c>
      <c r="AB21" s="120">
        <f t="shared" si="19"/>
        <v>-96</v>
      </c>
      <c r="AC21" s="120">
        <f t="shared" si="19"/>
        <v>-158</v>
      </c>
      <c r="AD21" s="120">
        <f t="shared" si="19"/>
        <v>-275</v>
      </c>
      <c r="AE21" s="120">
        <f t="shared" ref="AE21:AK21" si="20">SUM(AE15:AE17)</f>
        <v>-242</v>
      </c>
      <c r="AF21" s="120">
        <f t="shared" si="20"/>
        <v>-333</v>
      </c>
      <c r="AG21" s="120">
        <f t="shared" si="20"/>
        <v>-370</v>
      </c>
      <c r="AH21" s="120">
        <f t="shared" si="20"/>
        <v>-490</v>
      </c>
      <c r="AI21" s="120">
        <f t="shared" si="20"/>
        <v>-835</v>
      </c>
      <c r="AJ21" s="120">
        <f t="shared" si="20"/>
        <v>-911</v>
      </c>
      <c r="AK21" s="120">
        <f t="shared" si="20"/>
        <v>-929</v>
      </c>
      <c r="AL21" s="120">
        <v>-858</v>
      </c>
      <c r="AM21" s="120">
        <f t="shared" ref="AM21:AW21" si="21">SUM(AM15:AM17)</f>
        <v>-797</v>
      </c>
      <c r="AN21" s="120">
        <f t="shared" si="21"/>
        <v>-769</v>
      </c>
      <c r="AO21" s="120">
        <f t="shared" si="21"/>
        <v>-2117</v>
      </c>
      <c r="AP21" s="120">
        <f t="shared" si="21"/>
        <v>-1059</v>
      </c>
      <c r="AQ21" s="120">
        <f t="shared" si="21"/>
        <v>-1048</v>
      </c>
      <c r="AR21" s="120">
        <f>SUM(AR15:AR17)</f>
        <v>-1125</v>
      </c>
      <c r="AS21" s="120">
        <f>SUM(AS15:AS17)</f>
        <v>-1270</v>
      </c>
      <c r="AT21" s="120">
        <f>SUM(AT15:AT17)</f>
        <v>-1887</v>
      </c>
      <c r="AU21" s="120">
        <f>SUM(AU15:AU19)</f>
        <v>-2974</v>
      </c>
      <c r="AV21" s="120">
        <f t="shared" si="21"/>
        <v>-3651</v>
      </c>
      <c r="AW21" s="120">
        <f t="shared" si="21"/>
        <v>-2800</v>
      </c>
      <c r="AX21" s="120">
        <f>SUM(AX15:AX17)</f>
        <v>-2486</v>
      </c>
      <c r="AY21" s="120">
        <f>SUM(AY15:AY17)</f>
        <v>-2019</v>
      </c>
      <c r="AZ21" s="120">
        <f>SUM(AZ15:AZ17)</f>
        <v>-2504</v>
      </c>
    </row>
    <row r="22" spans="2:52" x14ac:dyDescent="0.2">
      <c r="B22" s="56"/>
      <c r="C22" s="57"/>
      <c r="D22" s="57">
        <v>0</v>
      </c>
      <c r="E22" s="57">
        <v>0</v>
      </c>
      <c r="F22" s="57">
        <v>0</v>
      </c>
      <c r="G22" s="57"/>
      <c r="H22" s="57">
        <v>0</v>
      </c>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row>
    <row r="23" spans="2:52" x14ac:dyDescent="0.2">
      <c r="B23" s="151" t="s">
        <v>98</v>
      </c>
      <c r="C23" s="115" t="str">
        <f t="shared" ref="C23:S23" si="22">C5</f>
        <v>4T13</v>
      </c>
      <c r="D23" s="115" t="str">
        <f t="shared" si="22"/>
        <v>1T14</v>
      </c>
      <c r="E23" s="115" t="str">
        <f t="shared" si="22"/>
        <v>2T14</v>
      </c>
      <c r="F23" s="115" t="str">
        <f t="shared" si="22"/>
        <v>3T14</v>
      </c>
      <c r="G23" s="115" t="str">
        <f t="shared" si="22"/>
        <v>4T14</v>
      </c>
      <c r="H23" s="115" t="str">
        <f t="shared" si="22"/>
        <v>1T15</v>
      </c>
      <c r="I23" s="115" t="str">
        <f t="shared" si="22"/>
        <v>2T15</v>
      </c>
      <c r="J23" s="115" t="str">
        <f t="shared" si="22"/>
        <v>3T15</v>
      </c>
      <c r="K23" s="115" t="str">
        <f t="shared" si="22"/>
        <v>4T15</v>
      </c>
      <c r="L23" s="115" t="str">
        <f t="shared" si="22"/>
        <v>1T16</v>
      </c>
      <c r="M23" s="115" t="str">
        <f t="shared" si="22"/>
        <v>2T16</v>
      </c>
      <c r="N23" s="115" t="str">
        <f t="shared" si="22"/>
        <v>3T16</v>
      </c>
      <c r="O23" s="115" t="str">
        <f t="shared" si="22"/>
        <v>4T16</v>
      </c>
      <c r="P23" s="115" t="str">
        <f t="shared" si="22"/>
        <v>1T17</v>
      </c>
      <c r="Q23" s="115" t="str">
        <f t="shared" si="22"/>
        <v>2T17</v>
      </c>
      <c r="R23" s="115" t="str">
        <f t="shared" si="22"/>
        <v>3T17</v>
      </c>
      <c r="S23" s="115" t="str">
        <f t="shared" si="22"/>
        <v>4T17</v>
      </c>
      <c r="T23" s="115" t="s">
        <v>623</v>
      </c>
      <c r="U23" s="115" t="str">
        <f t="shared" ref="U23:AB23" si="23">U5</f>
        <v>2T18</v>
      </c>
      <c r="V23" s="115" t="str">
        <f t="shared" si="23"/>
        <v>3T18</v>
      </c>
      <c r="W23" s="115" t="str">
        <f t="shared" si="23"/>
        <v>4T18</v>
      </c>
      <c r="X23" s="115" t="str">
        <f t="shared" si="23"/>
        <v>1T19</v>
      </c>
      <c r="Y23" s="115" t="str">
        <f t="shared" si="23"/>
        <v>2T19</v>
      </c>
      <c r="Z23" s="115" t="str">
        <f t="shared" si="23"/>
        <v>3T19</v>
      </c>
      <c r="AA23" s="115" t="str">
        <f t="shared" si="23"/>
        <v>4T19</v>
      </c>
      <c r="AB23" s="115" t="str">
        <f t="shared" si="23"/>
        <v>1T20</v>
      </c>
      <c r="AC23" s="115" t="str">
        <f t="shared" ref="AC23:AJ23" si="24">AC5</f>
        <v>2T20</v>
      </c>
      <c r="AD23" s="115" t="str">
        <f t="shared" si="24"/>
        <v>3T20</v>
      </c>
      <c r="AE23" s="115" t="str">
        <f t="shared" si="24"/>
        <v>4T20</v>
      </c>
      <c r="AF23" s="115" t="str">
        <f t="shared" si="24"/>
        <v>1T21</v>
      </c>
      <c r="AG23" s="115" t="str">
        <f t="shared" si="24"/>
        <v>2T21</v>
      </c>
      <c r="AH23" s="115" t="str">
        <f t="shared" si="24"/>
        <v>3T21</v>
      </c>
      <c r="AI23" s="115" t="str">
        <f t="shared" si="24"/>
        <v>4T21</v>
      </c>
      <c r="AJ23" s="115" t="str">
        <f t="shared" si="24"/>
        <v>1T22</v>
      </c>
      <c r="AK23" s="115" t="str">
        <f>AK5</f>
        <v>2T22</v>
      </c>
      <c r="AL23" s="115" t="s">
        <v>1121</v>
      </c>
      <c r="AM23" s="115" t="str">
        <f t="shared" ref="AM23:AR23" si="25">AM5</f>
        <v>4T22</v>
      </c>
      <c r="AN23" s="115" t="str">
        <f t="shared" si="25"/>
        <v>1T23</v>
      </c>
      <c r="AO23" s="115" t="str">
        <f t="shared" si="25"/>
        <v>2T23</v>
      </c>
      <c r="AP23" s="115" t="str">
        <f t="shared" si="25"/>
        <v>3T23</v>
      </c>
      <c r="AQ23" s="115" t="str">
        <f t="shared" si="25"/>
        <v>4T23</v>
      </c>
      <c r="AR23" s="115" t="str">
        <f t="shared" si="25"/>
        <v>1T24</v>
      </c>
      <c r="AS23" s="115" t="str">
        <f>AS5</f>
        <v>2T24</v>
      </c>
      <c r="AT23" s="115" t="str">
        <f t="shared" ref="AT23:AY23" si="26">AT5</f>
        <v>3T24</v>
      </c>
      <c r="AU23" s="115" t="str">
        <f t="shared" si="26"/>
        <v>4T24</v>
      </c>
      <c r="AV23" s="115" t="str">
        <f t="shared" si="26"/>
        <v>1T25</v>
      </c>
      <c r="AW23" s="115" t="str">
        <f t="shared" si="26"/>
        <v>2T25</v>
      </c>
      <c r="AX23" s="115" t="str">
        <f t="shared" si="26"/>
        <v>3T25</v>
      </c>
      <c r="AY23" s="115" t="str">
        <f t="shared" si="26"/>
        <v>4T25</v>
      </c>
      <c r="AZ23" s="115" t="str">
        <f>AZ5</f>
        <v>1T26</v>
      </c>
    </row>
    <row r="24" spans="2:52" x14ac:dyDescent="0.2">
      <c r="B24" s="126" t="s">
        <v>188</v>
      </c>
      <c r="C24" s="120">
        <f t="shared" ref="C24:N24" si="27">+C6-C15</f>
        <v>-7772</v>
      </c>
      <c r="D24" s="120">
        <f t="shared" si="27"/>
        <v>-4478</v>
      </c>
      <c r="E24" s="162">
        <f t="shared" si="27"/>
        <v>-4633</v>
      </c>
      <c r="F24" s="120">
        <f t="shared" si="27"/>
        <v>-1481</v>
      </c>
      <c r="G24" s="120">
        <f t="shared" si="27"/>
        <v>-1558</v>
      </c>
      <c r="H24" s="120">
        <f t="shared" si="27"/>
        <v>-2916</v>
      </c>
      <c r="I24" s="120">
        <f t="shared" si="27"/>
        <v>-2670</v>
      </c>
      <c r="J24" s="120">
        <f t="shared" si="27"/>
        <v>-3861</v>
      </c>
      <c r="K24" s="120">
        <f t="shared" si="27"/>
        <v>-4678</v>
      </c>
      <c r="L24" s="120">
        <f t="shared" si="27"/>
        <v>-4755</v>
      </c>
      <c r="M24" s="120">
        <f t="shared" si="27"/>
        <v>-5318</v>
      </c>
      <c r="N24" s="120">
        <f t="shared" si="27"/>
        <v>-5335</v>
      </c>
      <c r="O24" s="120">
        <v>-4912</v>
      </c>
      <c r="P24" s="120">
        <v>-5700</v>
      </c>
      <c r="Q24" s="120">
        <v>-5865</v>
      </c>
      <c r="R24" s="120">
        <f>+R6-R15</f>
        <v>-5841</v>
      </c>
      <c r="S24" s="120">
        <f>+S6-S15</f>
        <v>-5827</v>
      </c>
      <c r="T24" s="120">
        <v>-1857</v>
      </c>
      <c r="U24" s="120">
        <v>-1737</v>
      </c>
      <c r="V24" s="120">
        <v>-845</v>
      </c>
      <c r="W24" s="120">
        <f t="shared" ref="W24:AB24" si="28">+W6-W15</f>
        <v>-1123</v>
      </c>
      <c r="X24" s="120">
        <f t="shared" si="28"/>
        <v>-2859</v>
      </c>
      <c r="Y24" s="120">
        <f t="shared" si="28"/>
        <v>-2856</v>
      </c>
      <c r="Z24" s="120">
        <f t="shared" si="28"/>
        <v>-836</v>
      </c>
      <c r="AA24" s="120">
        <f t="shared" si="28"/>
        <v>-882</v>
      </c>
      <c r="AB24" s="120">
        <f t="shared" si="28"/>
        <v>-47</v>
      </c>
      <c r="AC24" s="120">
        <f t="shared" ref="AC24:AD29" si="29">+AC6-AC15</f>
        <v>-46</v>
      </c>
      <c r="AD24" s="120">
        <f t="shared" si="29"/>
        <v>-53</v>
      </c>
      <c r="AE24" s="120">
        <f t="shared" ref="AE24:AF29" si="30">+AE6-AE15</f>
        <v>-47</v>
      </c>
      <c r="AF24" s="120">
        <f t="shared" si="30"/>
        <v>-46</v>
      </c>
      <c r="AG24" s="120">
        <f t="shared" ref="AG24:AI29" si="31">+AG6-AG15</f>
        <v>-102</v>
      </c>
      <c r="AH24" s="120">
        <f t="shared" si="31"/>
        <v>-103</v>
      </c>
      <c r="AI24" s="120">
        <f t="shared" si="31"/>
        <v>-278</v>
      </c>
      <c r="AJ24" s="120">
        <v>-519</v>
      </c>
      <c r="AK24" s="120">
        <f t="shared" ref="AK24:AK29" si="32">+AK6-AK15</f>
        <v>-116</v>
      </c>
      <c r="AL24" s="120">
        <v>-145</v>
      </c>
      <c r="AM24" s="120">
        <f t="shared" ref="AM24:AR29" si="33">+AM6-AM15</f>
        <v>-161</v>
      </c>
      <c r="AN24" s="120">
        <f t="shared" si="33"/>
        <v>-235</v>
      </c>
      <c r="AO24" s="120">
        <f t="shared" si="33"/>
        <v>-552</v>
      </c>
      <c r="AP24" s="120">
        <f t="shared" si="33"/>
        <v>504</v>
      </c>
      <c r="AQ24" s="120">
        <f t="shared" si="33"/>
        <v>-703</v>
      </c>
      <c r="AR24" s="120">
        <f t="shared" si="33"/>
        <v>-750</v>
      </c>
      <c r="AS24" s="120">
        <f t="shared" ref="AS24:AZ24" si="34">+AS6-AS15</f>
        <v>-692</v>
      </c>
      <c r="AT24" s="120">
        <f t="shared" si="34"/>
        <v>-682</v>
      </c>
      <c r="AU24" s="120">
        <f t="shared" si="34"/>
        <v>-669</v>
      </c>
      <c r="AV24" s="120">
        <f t="shared" si="34"/>
        <v>-413</v>
      </c>
      <c r="AW24" s="120">
        <f t="shared" si="34"/>
        <v>-462</v>
      </c>
      <c r="AX24" s="120">
        <f t="shared" si="34"/>
        <v>-664</v>
      </c>
      <c r="AY24" s="120">
        <f t="shared" si="34"/>
        <v>-305</v>
      </c>
      <c r="AZ24" s="120">
        <f t="shared" si="34"/>
        <v>-504</v>
      </c>
    </row>
    <row r="25" spans="2:52" x14ac:dyDescent="0.2">
      <c r="B25" s="129" t="s">
        <v>189</v>
      </c>
      <c r="C25" s="118">
        <f t="shared" ref="C25:W29" si="35">+C7-C16</f>
        <v>-2421</v>
      </c>
      <c r="D25" s="118">
        <f t="shared" si="35"/>
        <v>-155</v>
      </c>
      <c r="E25" s="160">
        <f>+E7-E16</f>
        <v>-922</v>
      </c>
      <c r="F25" s="118">
        <f t="shared" si="35"/>
        <v>-77</v>
      </c>
      <c r="G25" s="118">
        <f t="shared" si="35"/>
        <v>-2425</v>
      </c>
      <c r="H25" s="118">
        <f t="shared" si="35"/>
        <v>-9</v>
      </c>
      <c r="I25" s="118">
        <f t="shared" si="35"/>
        <v>-1533</v>
      </c>
      <c r="J25" s="118">
        <f t="shared" si="35"/>
        <v>-900</v>
      </c>
      <c r="K25" s="118">
        <f t="shared" si="35"/>
        <v>-76</v>
      </c>
      <c r="L25" s="118">
        <f t="shared" si="35"/>
        <v>-581</v>
      </c>
      <c r="M25" s="118">
        <f t="shared" si="35"/>
        <v>-180</v>
      </c>
      <c r="N25" s="118">
        <f t="shared" si="35"/>
        <v>-68</v>
      </c>
      <c r="O25" s="118">
        <f t="shared" si="35"/>
        <v>-790</v>
      </c>
      <c r="P25" s="118">
        <f t="shared" si="35"/>
        <v>-200</v>
      </c>
      <c r="Q25" s="118">
        <f t="shared" si="35"/>
        <v>-7</v>
      </c>
      <c r="R25" s="118">
        <f t="shared" si="35"/>
        <v>-5</v>
      </c>
      <c r="S25" s="118">
        <f t="shared" si="35"/>
        <v>-10</v>
      </c>
      <c r="T25" s="118">
        <f t="shared" si="35"/>
        <v>-12</v>
      </c>
      <c r="U25" s="118">
        <f t="shared" si="35"/>
        <v>-9</v>
      </c>
      <c r="V25" s="118">
        <f t="shared" si="35"/>
        <v>-303</v>
      </c>
      <c r="W25" s="118">
        <f t="shared" si="35"/>
        <v>-1752</v>
      </c>
      <c r="X25" s="118">
        <f t="shared" ref="X25:Y29" si="36">+X7-X16</f>
        <v>-10</v>
      </c>
      <c r="Y25" s="118">
        <f t="shared" si="36"/>
        <v>-5</v>
      </c>
      <c r="Z25" s="118">
        <f t="shared" ref="Z25:AB29" si="37">+Z7-Z16</f>
        <v>-47</v>
      </c>
      <c r="AA25" s="118">
        <f t="shared" si="37"/>
        <v>-1</v>
      </c>
      <c r="AB25" s="118">
        <f t="shared" si="37"/>
        <v>0</v>
      </c>
      <c r="AC25" s="118">
        <f t="shared" si="29"/>
        <v>-7</v>
      </c>
      <c r="AD25" s="118">
        <f t="shared" si="29"/>
        <v>-1</v>
      </c>
      <c r="AE25" s="118">
        <f t="shared" si="30"/>
        <v>1</v>
      </c>
      <c r="AF25" s="118">
        <f t="shared" si="30"/>
        <v>-57</v>
      </c>
      <c r="AG25" s="118">
        <f t="shared" si="31"/>
        <v>-110</v>
      </c>
      <c r="AH25" s="118">
        <f t="shared" si="31"/>
        <v>-226</v>
      </c>
      <c r="AI25" s="118">
        <f>+AI7-AI16</f>
        <v>-41</v>
      </c>
      <c r="AJ25" s="118">
        <v>-42</v>
      </c>
      <c r="AK25" s="118">
        <f t="shared" si="32"/>
        <v>-54</v>
      </c>
      <c r="AL25" s="118">
        <v>-65</v>
      </c>
      <c r="AM25" s="118">
        <f t="shared" si="33"/>
        <v>-99</v>
      </c>
      <c r="AN25" s="118">
        <f t="shared" si="33"/>
        <v>-347</v>
      </c>
      <c r="AO25" s="118">
        <f t="shared" si="33"/>
        <v>-153</v>
      </c>
      <c r="AP25" s="118">
        <f t="shared" si="33"/>
        <v>-289</v>
      </c>
      <c r="AQ25" s="118">
        <f t="shared" si="33"/>
        <v>-342</v>
      </c>
      <c r="AR25" s="118">
        <f t="shared" si="33"/>
        <v>-300</v>
      </c>
      <c r="AS25" s="118">
        <f t="shared" ref="AS25:AU29" si="38">+AS7-AS16</f>
        <v>-382</v>
      </c>
      <c r="AT25" s="118">
        <f t="shared" si="38"/>
        <v>-448</v>
      </c>
      <c r="AU25" s="118">
        <f t="shared" si="38"/>
        <v>-135</v>
      </c>
      <c r="AV25" s="118">
        <v>-96</v>
      </c>
      <c r="AW25" s="118">
        <v>-274</v>
      </c>
      <c r="AX25" s="118">
        <v>-227</v>
      </c>
      <c r="AY25" s="118">
        <f t="shared" ref="AY25:AZ29" si="39">+AY7-AY16</f>
        <v>-261</v>
      </c>
      <c r="AZ25" s="118">
        <f t="shared" si="39"/>
        <v>-640</v>
      </c>
    </row>
    <row r="26" spans="2:52" x14ac:dyDescent="0.2">
      <c r="B26" s="129" t="s">
        <v>190</v>
      </c>
      <c r="C26" s="118">
        <f t="shared" si="35"/>
        <v>5715</v>
      </c>
      <c r="D26" s="118">
        <f t="shared" si="35"/>
        <v>0</v>
      </c>
      <c r="E26" s="160">
        <f t="shared" si="35"/>
        <v>0</v>
      </c>
      <c r="F26" s="118">
        <f t="shared" si="35"/>
        <v>0</v>
      </c>
      <c r="G26" s="118">
        <f t="shared" si="35"/>
        <v>1067</v>
      </c>
      <c r="H26" s="118">
        <f t="shared" si="35"/>
        <v>255</v>
      </c>
      <c r="I26" s="118">
        <f t="shared" si="35"/>
        <v>342</v>
      </c>
      <c r="J26" s="118">
        <f t="shared" si="35"/>
        <v>83</v>
      </c>
      <c r="K26" s="118">
        <f t="shared" si="35"/>
        <v>-1</v>
      </c>
      <c r="L26" s="118">
        <f t="shared" si="35"/>
        <v>18</v>
      </c>
      <c r="M26" s="118">
        <f t="shared" si="35"/>
        <v>163</v>
      </c>
      <c r="N26" s="118">
        <f t="shared" si="35"/>
        <v>491</v>
      </c>
      <c r="O26" s="118">
        <f t="shared" si="35"/>
        <v>2</v>
      </c>
      <c r="P26" s="118">
        <f t="shared" si="35"/>
        <v>35</v>
      </c>
      <c r="Q26" s="118">
        <f t="shared" si="35"/>
        <v>31</v>
      </c>
      <c r="R26" s="118">
        <f t="shared" si="35"/>
        <v>19</v>
      </c>
      <c r="S26" s="118">
        <f t="shared" si="35"/>
        <v>21</v>
      </c>
      <c r="T26" s="118">
        <f t="shared" si="35"/>
        <v>6</v>
      </c>
      <c r="U26" s="118">
        <f t="shared" si="35"/>
        <v>901</v>
      </c>
      <c r="V26" s="118">
        <f t="shared" si="35"/>
        <v>25</v>
      </c>
      <c r="W26" s="118">
        <f>+W8-W17</f>
        <v>16</v>
      </c>
      <c r="X26" s="118">
        <f t="shared" si="36"/>
        <v>13</v>
      </c>
      <c r="Y26" s="118">
        <f t="shared" si="36"/>
        <v>1417</v>
      </c>
      <c r="Z26" s="118">
        <f t="shared" si="37"/>
        <v>1</v>
      </c>
      <c r="AA26" s="118">
        <f t="shared" si="37"/>
        <v>836</v>
      </c>
      <c r="AB26" s="118">
        <f t="shared" si="37"/>
        <v>1</v>
      </c>
      <c r="AC26" s="118">
        <f t="shared" si="29"/>
        <v>0</v>
      </c>
      <c r="AD26" s="118">
        <f t="shared" si="29"/>
        <v>7</v>
      </c>
      <c r="AE26" s="118">
        <f t="shared" si="30"/>
        <v>0</v>
      </c>
      <c r="AF26" s="118">
        <f t="shared" si="30"/>
        <v>1</v>
      </c>
      <c r="AG26" s="118">
        <f t="shared" si="31"/>
        <v>109</v>
      </c>
      <c r="AH26" s="118">
        <f t="shared" si="31"/>
        <v>51</v>
      </c>
      <c r="AI26" s="118">
        <f>+AI8-AI17</f>
        <v>223</v>
      </c>
      <c r="AJ26" s="118">
        <v>22</v>
      </c>
      <c r="AK26" s="118">
        <f t="shared" si="32"/>
        <v>25</v>
      </c>
      <c r="AL26" s="118">
        <v>49</v>
      </c>
      <c r="AM26" s="118">
        <f t="shared" si="33"/>
        <v>25</v>
      </c>
      <c r="AN26" s="118">
        <f t="shared" si="33"/>
        <v>30</v>
      </c>
      <c r="AO26" s="118">
        <f t="shared" si="33"/>
        <v>1209</v>
      </c>
      <c r="AP26" s="118">
        <f t="shared" si="33"/>
        <v>-918</v>
      </c>
      <c r="AQ26" s="118">
        <f t="shared" si="33"/>
        <v>295</v>
      </c>
      <c r="AR26" s="118">
        <f t="shared" si="33"/>
        <v>358</v>
      </c>
      <c r="AS26" s="118">
        <f t="shared" si="38"/>
        <v>392</v>
      </c>
      <c r="AT26" s="118">
        <f t="shared" si="38"/>
        <v>461</v>
      </c>
      <c r="AU26" s="118">
        <f t="shared" si="38"/>
        <v>338</v>
      </c>
      <c r="AV26" s="118">
        <v>47</v>
      </c>
      <c r="AW26" s="118">
        <v>72</v>
      </c>
      <c r="AX26" s="118">
        <v>586</v>
      </c>
      <c r="AY26" s="118">
        <f t="shared" si="39"/>
        <v>62</v>
      </c>
      <c r="AZ26" s="118">
        <f t="shared" si="39"/>
        <v>162</v>
      </c>
    </row>
    <row r="27" spans="2:52" x14ac:dyDescent="0.2">
      <c r="B27" s="129" t="s">
        <v>192</v>
      </c>
      <c r="C27" s="118">
        <f t="shared" si="35"/>
        <v>0</v>
      </c>
      <c r="D27" s="118">
        <f t="shared" si="35"/>
        <v>0</v>
      </c>
      <c r="E27" s="160">
        <f t="shared" si="35"/>
        <v>4074</v>
      </c>
      <c r="F27" s="118">
        <f t="shared" si="35"/>
        <v>0</v>
      </c>
      <c r="G27" s="118">
        <f t="shared" si="35"/>
        <v>0</v>
      </c>
      <c r="H27" s="118">
        <f t="shared" si="35"/>
        <v>0</v>
      </c>
      <c r="I27" s="118">
        <f t="shared" si="35"/>
        <v>0</v>
      </c>
      <c r="J27" s="118">
        <f t="shared" si="35"/>
        <v>0</v>
      </c>
      <c r="K27" s="118">
        <f t="shared" si="35"/>
        <v>0</v>
      </c>
      <c r="L27" s="118">
        <f t="shared" si="35"/>
        <v>0</v>
      </c>
      <c r="M27" s="118">
        <f t="shared" si="35"/>
        <v>0</v>
      </c>
      <c r="N27" s="118">
        <f t="shared" si="35"/>
        <v>0</v>
      </c>
      <c r="O27" s="118">
        <f t="shared" si="35"/>
        <v>0</v>
      </c>
      <c r="P27" s="118">
        <f t="shared" si="35"/>
        <v>0</v>
      </c>
      <c r="Q27" s="118">
        <f t="shared" si="35"/>
        <v>0</v>
      </c>
      <c r="R27" s="118">
        <f t="shared" si="35"/>
        <v>0</v>
      </c>
      <c r="S27" s="118">
        <f t="shared" si="35"/>
        <v>0</v>
      </c>
      <c r="T27" s="118">
        <f t="shared" si="35"/>
        <v>126</v>
      </c>
      <c r="U27" s="118">
        <f t="shared" si="35"/>
        <v>0</v>
      </c>
      <c r="V27" s="118">
        <f t="shared" si="35"/>
        <v>0</v>
      </c>
      <c r="W27" s="118">
        <f>+W9-W18</f>
        <v>0</v>
      </c>
      <c r="X27" s="118">
        <f t="shared" si="36"/>
        <v>0</v>
      </c>
      <c r="Y27" s="118">
        <f t="shared" si="36"/>
        <v>0</v>
      </c>
      <c r="Z27" s="118">
        <f t="shared" si="37"/>
        <v>0</v>
      </c>
      <c r="AA27" s="118">
        <f t="shared" si="37"/>
        <v>0</v>
      </c>
      <c r="AB27" s="118">
        <f t="shared" si="37"/>
        <v>0</v>
      </c>
      <c r="AC27" s="118">
        <f t="shared" si="29"/>
        <v>0</v>
      </c>
      <c r="AD27" s="118">
        <f t="shared" si="29"/>
        <v>0</v>
      </c>
      <c r="AE27" s="118">
        <f t="shared" si="30"/>
        <v>0</v>
      </c>
      <c r="AF27" s="118">
        <f t="shared" si="30"/>
        <v>0</v>
      </c>
      <c r="AG27" s="118">
        <f t="shared" si="31"/>
        <v>0</v>
      </c>
      <c r="AH27" s="118">
        <f t="shared" si="31"/>
        <v>0</v>
      </c>
      <c r="AI27" s="118">
        <f>+AI9-AI18</f>
        <v>0</v>
      </c>
      <c r="AJ27" s="118">
        <v>0</v>
      </c>
      <c r="AK27" s="118">
        <f t="shared" si="32"/>
        <v>0</v>
      </c>
      <c r="AL27" s="118">
        <v>0</v>
      </c>
      <c r="AM27" s="118">
        <f t="shared" si="33"/>
        <v>0</v>
      </c>
      <c r="AN27" s="118">
        <f t="shared" si="33"/>
        <v>0</v>
      </c>
      <c r="AO27" s="118">
        <f t="shared" si="33"/>
        <v>0</v>
      </c>
      <c r="AP27" s="118">
        <f t="shared" si="33"/>
        <v>0</v>
      </c>
      <c r="AQ27" s="118">
        <f t="shared" si="33"/>
        <v>0</v>
      </c>
      <c r="AR27" s="118">
        <f t="shared" si="33"/>
        <v>0</v>
      </c>
      <c r="AS27" s="118">
        <f t="shared" si="38"/>
        <v>0</v>
      </c>
      <c r="AT27" s="118">
        <f t="shared" si="38"/>
        <v>0</v>
      </c>
      <c r="AU27" s="118">
        <f t="shared" si="38"/>
        <v>0</v>
      </c>
      <c r="AV27" s="118">
        <v>0</v>
      </c>
      <c r="AW27" s="118">
        <v>0</v>
      </c>
      <c r="AX27" s="118">
        <v>0</v>
      </c>
      <c r="AY27" s="118">
        <f t="shared" si="39"/>
        <v>0</v>
      </c>
      <c r="AZ27" s="118">
        <f t="shared" si="39"/>
        <v>0</v>
      </c>
    </row>
    <row r="28" spans="2:52" x14ac:dyDescent="0.2">
      <c r="B28" s="129" t="s">
        <v>49</v>
      </c>
      <c r="C28" s="118">
        <f t="shared" si="35"/>
        <v>0</v>
      </c>
      <c r="D28" s="118">
        <f t="shared" si="35"/>
        <v>0</v>
      </c>
      <c r="E28" s="160">
        <f t="shared" si="35"/>
        <v>0</v>
      </c>
      <c r="F28" s="118">
        <f t="shared" si="35"/>
        <v>0</v>
      </c>
      <c r="G28" s="118">
        <f t="shared" si="35"/>
        <v>0</v>
      </c>
      <c r="H28" s="118">
        <f t="shared" si="35"/>
        <v>0</v>
      </c>
      <c r="I28" s="118">
        <f t="shared" si="35"/>
        <v>0</v>
      </c>
      <c r="J28" s="118">
        <f t="shared" si="35"/>
        <v>0</v>
      </c>
      <c r="K28" s="118">
        <f t="shared" si="35"/>
        <v>0</v>
      </c>
      <c r="L28" s="118">
        <f t="shared" si="35"/>
        <v>0</v>
      </c>
      <c r="M28" s="118">
        <f t="shared" si="35"/>
        <v>0</v>
      </c>
      <c r="N28" s="118">
        <f t="shared" si="35"/>
        <v>0</v>
      </c>
      <c r="O28" s="118">
        <f t="shared" si="35"/>
        <v>0</v>
      </c>
      <c r="P28" s="118">
        <f t="shared" si="35"/>
        <v>0</v>
      </c>
      <c r="Q28" s="118">
        <f t="shared" si="35"/>
        <v>0</v>
      </c>
      <c r="R28" s="118">
        <f t="shared" si="35"/>
        <v>0</v>
      </c>
      <c r="S28" s="118">
        <f t="shared" si="35"/>
        <v>0</v>
      </c>
      <c r="T28" s="118">
        <f t="shared" si="35"/>
        <v>0</v>
      </c>
      <c r="U28" s="118">
        <f t="shared" si="35"/>
        <v>0</v>
      </c>
      <c r="V28" s="118">
        <f t="shared" si="35"/>
        <v>0</v>
      </c>
      <c r="W28" s="118">
        <f>+W10-W19</f>
        <v>0</v>
      </c>
      <c r="X28" s="118">
        <f t="shared" si="36"/>
        <v>0</v>
      </c>
      <c r="Y28" s="118">
        <f t="shared" si="36"/>
        <v>607</v>
      </c>
      <c r="Z28" s="118">
        <f t="shared" si="37"/>
        <v>0</v>
      </c>
      <c r="AA28" s="118">
        <f t="shared" si="37"/>
        <v>0</v>
      </c>
      <c r="AB28" s="118">
        <f t="shared" si="37"/>
        <v>0</v>
      </c>
      <c r="AC28" s="118">
        <f t="shared" si="29"/>
        <v>0</v>
      </c>
      <c r="AD28" s="118">
        <f t="shared" si="29"/>
        <v>0</v>
      </c>
      <c r="AE28" s="118">
        <f t="shared" si="30"/>
        <v>0</v>
      </c>
      <c r="AF28" s="118">
        <f t="shared" si="30"/>
        <v>0</v>
      </c>
      <c r="AG28" s="118">
        <f t="shared" si="31"/>
        <v>0</v>
      </c>
      <c r="AH28" s="118">
        <f t="shared" si="31"/>
        <v>0</v>
      </c>
      <c r="AI28" s="118">
        <f>+AI10-AI19</f>
        <v>0</v>
      </c>
      <c r="AJ28" s="118">
        <v>0</v>
      </c>
      <c r="AK28" s="118">
        <f t="shared" si="32"/>
        <v>0</v>
      </c>
      <c r="AL28" s="118">
        <v>0</v>
      </c>
      <c r="AM28" s="118">
        <f t="shared" si="33"/>
        <v>0</v>
      </c>
      <c r="AN28" s="118">
        <f t="shared" si="33"/>
        <v>0</v>
      </c>
      <c r="AO28" s="118">
        <f t="shared" si="33"/>
        <v>0</v>
      </c>
      <c r="AP28" s="118">
        <f t="shared" si="33"/>
        <v>0</v>
      </c>
      <c r="AQ28" s="118">
        <f t="shared" si="33"/>
        <v>0</v>
      </c>
      <c r="AR28" s="118">
        <f t="shared" si="33"/>
        <v>0</v>
      </c>
      <c r="AS28" s="118">
        <f t="shared" si="38"/>
        <v>0</v>
      </c>
      <c r="AT28" s="118">
        <f t="shared" si="38"/>
        <v>0</v>
      </c>
      <c r="AU28" s="118">
        <f t="shared" si="38"/>
        <v>53</v>
      </c>
      <c r="AV28" s="118">
        <v>0</v>
      </c>
      <c r="AW28" s="118">
        <v>0</v>
      </c>
      <c r="AX28" s="118">
        <v>0</v>
      </c>
      <c r="AY28" s="118">
        <f t="shared" si="39"/>
        <v>0</v>
      </c>
      <c r="AZ28" s="118">
        <f t="shared" si="39"/>
        <v>0</v>
      </c>
    </row>
    <row r="29" spans="2:52" s="232" customFormat="1" hidden="1" outlineLevel="1" x14ac:dyDescent="0.2">
      <c r="B29" s="249" t="s">
        <v>256</v>
      </c>
      <c r="C29" s="218">
        <f t="shared" si="35"/>
        <v>0</v>
      </c>
      <c r="D29" s="218">
        <f t="shared" si="35"/>
        <v>0</v>
      </c>
      <c r="E29" s="219">
        <f t="shared" si="35"/>
        <v>0</v>
      </c>
      <c r="F29" s="218">
        <f t="shared" si="35"/>
        <v>0</v>
      </c>
      <c r="G29" s="218">
        <f t="shared" si="35"/>
        <v>0</v>
      </c>
      <c r="H29" s="218">
        <f t="shared" si="35"/>
        <v>0</v>
      </c>
      <c r="I29" s="218">
        <f t="shared" si="35"/>
        <v>0</v>
      </c>
      <c r="J29" s="218">
        <f t="shared" si="35"/>
        <v>0</v>
      </c>
      <c r="K29" s="218">
        <f t="shared" si="35"/>
        <v>0</v>
      </c>
      <c r="L29" s="218">
        <f t="shared" si="35"/>
        <v>0</v>
      </c>
      <c r="M29" s="218">
        <f t="shared" si="35"/>
        <v>0</v>
      </c>
      <c r="N29" s="218">
        <f t="shared" si="35"/>
        <v>0</v>
      </c>
      <c r="O29" s="218">
        <f t="shared" si="35"/>
        <v>0</v>
      </c>
      <c r="P29" s="218">
        <f t="shared" si="35"/>
        <v>0</v>
      </c>
      <c r="Q29" s="218">
        <f t="shared" si="35"/>
        <v>0</v>
      </c>
      <c r="R29" s="218">
        <f t="shared" si="35"/>
        <v>0</v>
      </c>
      <c r="S29" s="218">
        <f t="shared" si="35"/>
        <v>3959</v>
      </c>
      <c r="T29" s="218">
        <f t="shared" si="35"/>
        <v>0</v>
      </c>
      <c r="U29" s="218">
        <f t="shared" si="35"/>
        <v>0</v>
      </c>
      <c r="V29" s="218">
        <f t="shared" si="35"/>
        <v>0</v>
      </c>
      <c r="W29" s="218">
        <f t="shared" si="35"/>
        <v>0</v>
      </c>
      <c r="X29" s="218">
        <f t="shared" si="36"/>
        <v>0</v>
      </c>
      <c r="Y29" s="218">
        <f t="shared" si="36"/>
        <v>0</v>
      </c>
      <c r="Z29" s="218">
        <f t="shared" si="37"/>
        <v>0</v>
      </c>
      <c r="AA29" s="218">
        <f t="shared" si="37"/>
        <v>0</v>
      </c>
      <c r="AB29" s="218">
        <f t="shared" si="37"/>
        <v>0</v>
      </c>
      <c r="AC29" s="218">
        <f t="shared" si="29"/>
        <v>0</v>
      </c>
      <c r="AD29" s="218">
        <f t="shared" si="29"/>
        <v>0</v>
      </c>
      <c r="AE29" s="218">
        <f t="shared" si="30"/>
        <v>0</v>
      </c>
      <c r="AF29" s="218">
        <f t="shared" si="30"/>
        <v>0</v>
      </c>
      <c r="AG29" s="218">
        <f t="shared" si="31"/>
        <v>0</v>
      </c>
      <c r="AH29" s="218">
        <f t="shared" si="31"/>
        <v>0</v>
      </c>
      <c r="AI29" s="218">
        <f>+AI11-AI20</f>
        <v>0</v>
      </c>
      <c r="AJ29" s="218">
        <v>0</v>
      </c>
      <c r="AK29" s="218">
        <f t="shared" si="32"/>
        <v>0</v>
      </c>
      <c r="AL29" s="218">
        <v>0</v>
      </c>
      <c r="AM29" s="218">
        <f t="shared" si="33"/>
        <v>0</v>
      </c>
      <c r="AN29" s="218">
        <f t="shared" si="33"/>
        <v>0</v>
      </c>
      <c r="AO29" s="218">
        <f t="shared" si="33"/>
        <v>0</v>
      </c>
      <c r="AP29" s="218">
        <f t="shared" si="33"/>
        <v>0</v>
      </c>
      <c r="AQ29" s="218">
        <f t="shared" si="33"/>
        <v>0</v>
      </c>
      <c r="AR29" s="218">
        <f t="shared" si="33"/>
        <v>0</v>
      </c>
      <c r="AS29" s="218">
        <f t="shared" si="38"/>
        <v>0</v>
      </c>
      <c r="AT29" s="218">
        <f t="shared" si="38"/>
        <v>0</v>
      </c>
      <c r="AU29" s="218">
        <f t="shared" si="38"/>
        <v>0</v>
      </c>
      <c r="AV29" s="218"/>
      <c r="AW29" s="218">
        <f>+AW11-AW20</f>
        <v>0</v>
      </c>
      <c r="AX29" s="218">
        <f>+AX11-AX20</f>
        <v>0</v>
      </c>
      <c r="AY29" s="218">
        <f t="shared" si="39"/>
        <v>0</v>
      </c>
      <c r="AZ29" s="218">
        <f t="shared" si="39"/>
        <v>0</v>
      </c>
    </row>
    <row r="30" spans="2:52" collapsed="1" x14ac:dyDescent="0.2">
      <c r="B30" s="126" t="s">
        <v>191</v>
      </c>
      <c r="C30" s="120">
        <f t="shared" ref="C30:K30" si="40">SUM(C24:C26)</f>
        <v>-4478</v>
      </c>
      <c r="D30" s="120">
        <f t="shared" si="40"/>
        <v>-4633</v>
      </c>
      <c r="E30" s="162">
        <f t="shared" si="40"/>
        <v>-5555</v>
      </c>
      <c r="F30" s="120">
        <f t="shared" si="40"/>
        <v>-1558</v>
      </c>
      <c r="G30" s="120">
        <f t="shared" si="40"/>
        <v>-2916</v>
      </c>
      <c r="H30" s="120">
        <f t="shared" si="40"/>
        <v>-2670</v>
      </c>
      <c r="I30" s="120">
        <f t="shared" si="40"/>
        <v>-3861</v>
      </c>
      <c r="J30" s="120">
        <f t="shared" si="40"/>
        <v>-4678</v>
      </c>
      <c r="K30" s="120">
        <f t="shared" si="40"/>
        <v>-4755</v>
      </c>
      <c r="L30" s="120">
        <f t="shared" ref="L30:X30" si="41">SUM(L24:L26)</f>
        <v>-5318</v>
      </c>
      <c r="M30" s="120">
        <f t="shared" si="41"/>
        <v>-5335</v>
      </c>
      <c r="N30" s="120">
        <f t="shared" si="41"/>
        <v>-4912</v>
      </c>
      <c r="O30" s="120">
        <f t="shared" si="41"/>
        <v>-5700</v>
      </c>
      <c r="P30" s="120">
        <f t="shared" si="41"/>
        <v>-5865</v>
      </c>
      <c r="Q30" s="120">
        <f t="shared" si="41"/>
        <v>-5841</v>
      </c>
      <c r="R30" s="120">
        <f t="shared" si="41"/>
        <v>-5827</v>
      </c>
      <c r="S30" s="120">
        <f>SUM(S24:S29)</f>
        <v>-1857</v>
      </c>
      <c r="T30" s="120">
        <f t="shared" si="41"/>
        <v>-1863</v>
      </c>
      <c r="U30" s="120">
        <f t="shared" si="41"/>
        <v>-845</v>
      </c>
      <c r="V30" s="120">
        <f t="shared" si="41"/>
        <v>-1123</v>
      </c>
      <c r="W30" s="120">
        <f t="shared" si="41"/>
        <v>-2859</v>
      </c>
      <c r="X30" s="120">
        <f t="shared" si="41"/>
        <v>-2856</v>
      </c>
      <c r="Y30" s="120">
        <f>SUM(Y24:Y28)</f>
        <v>-837</v>
      </c>
      <c r="Z30" s="120">
        <f>SUM(Z24:Z28)</f>
        <v>-882</v>
      </c>
      <c r="AA30" s="120">
        <f>SUM(AA24:AA28)</f>
        <v>-47</v>
      </c>
      <c r="AB30" s="120">
        <f t="shared" ref="AB30:AJ30" si="42">SUM(AB24:AB26)</f>
        <v>-46</v>
      </c>
      <c r="AC30" s="120">
        <f t="shared" si="42"/>
        <v>-53</v>
      </c>
      <c r="AD30" s="120">
        <f t="shared" si="42"/>
        <v>-47</v>
      </c>
      <c r="AE30" s="120">
        <f t="shared" si="42"/>
        <v>-46</v>
      </c>
      <c r="AF30" s="120">
        <f t="shared" si="42"/>
        <v>-102</v>
      </c>
      <c r="AG30" s="120">
        <f t="shared" si="42"/>
        <v>-103</v>
      </c>
      <c r="AH30" s="120">
        <f>SUM(AH24:AH26)</f>
        <v>-278</v>
      </c>
      <c r="AI30" s="120">
        <f t="shared" si="42"/>
        <v>-96</v>
      </c>
      <c r="AJ30" s="120">
        <f t="shared" si="42"/>
        <v>-539</v>
      </c>
      <c r="AK30" s="120">
        <f>SUM(AK24:AK26)</f>
        <v>-145</v>
      </c>
      <c r="AL30" s="120">
        <v>-161</v>
      </c>
      <c r="AM30" s="120">
        <f t="shared" ref="AM30:AS30" si="43">SUM(AM24:AM26)</f>
        <v>-235</v>
      </c>
      <c r="AN30" s="120">
        <f t="shared" si="43"/>
        <v>-552</v>
      </c>
      <c r="AO30" s="120">
        <f t="shared" si="43"/>
        <v>504</v>
      </c>
      <c r="AP30" s="120">
        <f t="shared" si="43"/>
        <v>-703</v>
      </c>
      <c r="AQ30" s="120">
        <f t="shared" si="43"/>
        <v>-750</v>
      </c>
      <c r="AR30" s="120">
        <f t="shared" si="43"/>
        <v>-692</v>
      </c>
      <c r="AS30" s="120">
        <f t="shared" si="43"/>
        <v>-682</v>
      </c>
      <c r="AT30" s="120">
        <f>SUM(AT24:AT26)</f>
        <v>-669</v>
      </c>
      <c r="AU30" s="120">
        <f t="shared" ref="AU30:AZ30" si="44">SUM(AU24:AU28)</f>
        <v>-413</v>
      </c>
      <c r="AV30" s="120">
        <f t="shared" si="44"/>
        <v>-462</v>
      </c>
      <c r="AW30" s="120">
        <f t="shared" si="44"/>
        <v>-664</v>
      </c>
      <c r="AX30" s="120">
        <f t="shared" si="44"/>
        <v>-305</v>
      </c>
      <c r="AY30" s="120">
        <f t="shared" si="44"/>
        <v>-504</v>
      </c>
      <c r="AZ30" s="120">
        <f t="shared" si="44"/>
        <v>-982</v>
      </c>
    </row>
  </sheetData>
  <mergeCells count="1">
    <mergeCell ref="C4:D4"/>
  </mergeCells>
  <pageMargins left="0.511811024" right="0.511811024" top="0.78740157499999996" bottom="0.78740157499999996" header="0.31496062000000002" footer="0.31496062000000002"/>
  <pageSetup paperSize="9" orientation="portrait" horizontalDpi="300"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8">
    <pageSetUpPr autoPageBreaks="0"/>
  </sheetPr>
  <dimension ref="B1:AZ51"/>
  <sheetViews>
    <sheetView showGridLines="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2.75" outlineLevelRow="1" x14ac:dyDescent="0.2"/>
  <cols>
    <col min="1" max="1" width="1.42578125" customWidth="1"/>
    <col min="2" max="2" width="33.42578125" bestFit="1" customWidth="1"/>
    <col min="3" max="22" width="10.85546875" customWidth="1"/>
  </cols>
  <sheetData>
    <row r="1" spans="2:52" s="544" customFormat="1" ht="7.5" customHeight="1" x14ac:dyDescent="0.2">
      <c r="C1" s="550"/>
      <c r="D1" s="550"/>
      <c r="E1" s="550"/>
      <c r="F1" s="550"/>
    </row>
    <row r="2" spans="2:52" s="544" customFormat="1" ht="12.75" customHeight="1" x14ac:dyDescent="0.2"/>
    <row r="3" spans="2:52" ht="12.75" customHeight="1" x14ac:dyDescent="0.2">
      <c r="C3" s="28"/>
      <c r="D3" s="28"/>
      <c r="E3" s="28"/>
      <c r="F3" s="28"/>
      <c r="X3" s="328"/>
      <c r="Y3" s="328"/>
      <c r="Z3" s="328"/>
      <c r="AA3" s="328"/>
      <c r="AB3" s="328"/>
      <c r="AC3" s="328"/>
      <c r="AD3" s="328"/>
      <c r="AE3" s="328"/>
      <c r="AF3" s="328"/>
      <c r="AG3" s="328"/>
      <c r="AH3" s="1022"/>
      <c r="AI3" s="1022"/>
      <c r="AJ3" s="1022"/>
      <c r="AK3" s="1022"/>
      <c r="AL3" s="1022"/>
      <c r="AM3" s="1022"/>
      <c r="AN3" s="1022"/>
      <c r="AO3" s="1022"/>
      <c r="AP3" s="328"/>
      <c r="AQ3" s="328"/>
      <c r="AR3" s="328"/>
      <c r="AS3" s="328"/>
      <c r="AT3" s="328"/>
      <c r="AU3" s="328"/>
      <c r="AV3" s="328"/>
      <c r="AW3" s="328"/>
      <c r="AX3" s="328"/>
      <c r="AY3" s="328"/>
      <c r="AZ3" s="328"/>
    </row>
    <row r="4" spans="2:52" ht="12.75" customHeight="1" x14ac:dyDescent="0.2">
      <c r="C4" s="1235" t="s">
        <v>1426</v>
      </c>
      <c r="D4" s="1236"/>
      <c r="E4" s="224" t="s">
        <v>1427</v>
      </c>
      <c r="F4" s="28"/>
    </row>
    <row r="5" spans="2:52" x14ac:dyDescent="0.2">
      <c r="B5" s="151" t="s">
        <v>96</v>
      </c>
      <c r="C5" s="246">
        <v>2013</v>
      </c>
      <c r="D5" s="246" t="s">
        <v>45</v>
      </c>
      <c r="E5" s="246" t="s">
        <v>55</v>
      </c>
      <c r="F5" s="246" t="s">
        <v>71</v>
      </c>
      <c r="G5" s="246" t="s">
        <v>77</v>
      </c>
      <c r="H5" s="246" t="s">
        <v>87</v>
      </c>
      <c r="I5" s="246" t="s">
        <v>88</v>
      </c>
      <c r="J5" s="246" t="s">
        <v>378</v>
      </c>
      <c r="K5" s="246" t="s">
        <v>406</v>
      </c>
      <c r="L5" s="246" t="s">
        <v>467</v>
      </c>
      <c r="M5" s="246" t="s">
        <v>501</v>
      </c>
      <c r="N5" s="246" t="s">
        <v>511</v>
      </c>
      <c r="O5" s="246" t="s">
        <v>538</v>
      </c>
      <c r="P5" s="246" t="s">
        <v>567</v>
      </c>
      <c r="Q5" s="246" t="s">
        <v>575</v>
      </c>
      <c r="R5" s="246" t="s">
        <v>595</v>
      </c>
      <c r="S5" s="246" t="s">
        <v>596</v>
      </c>
      <c r="T5" s="246" t="s">
        <v>623</v>
      </c>
      <c r="U5" s="246" t="s">
        <v>624</v>
      </c>
      <c r="V5" s="246" t="s">
        <v>625</v>
      </c>
      <c r="W5" s="246" t="s">
        <v>626</v>
      </c>
      <c r="X5" s="246" t="s">
        <v>798</v>
      </c>
      <c r="Y5" s="246" t="s">
        <v>799</v>
      </c>
      <c r="Z5" s="246" t="s">
        <v>800</v>
      </c>
      <c r="AA5" s="246" t="s">
        <v>801</v>
      </c>
      <c r="AB5" s="246" t="s">
        <v>913</v>
      </c>
      <c r="AC5" s="246" t="s">
        <v>914</v>
      </c>
      <c r="AD5" s="246" t="s">
        <v>923</v>
      </c>
      <c r="AE5" s="246" t="s">
        <v>924</v>
      </c>
      <c r="AF5" s="246" t="s">
        <v>1049</v>
      </c>
      <c r="AG5" s="246" t="s">
        <v>1023</v>
      </c>
      <c r="AH5" s="246" t="s">
        <v>1024</v>
      </c>
      <c r="AI5" s="246" t="s">
        <v>1050</v>
      </c>
      <c r="AJ5" s="246" t="s">
        <v>1114</v>
      </c>
      <c r="AK5" s="246" t="s">
        <v>1119</v>
      </c>
      <c r="AL5" s="246" t="s">
        <v>1121</v>
      </c>
      <c r="AM5" s="246" t="s">
        <v>1123</v>
      </c>
      <c r="AN5" s="246" t="s">
        <v>1176</v>
      </c>
      <c r="AO5" s="246" t="s">
        <v>1177</v>
      </c>
      <c r="AP5" s="246" t="s">
        <v>1179</v>
      </c>
      <c r="AQ5" s="246" t="s">
        <v>1181</v>
      </c>
      <c r="AR5" s="246" t="s">
        <v>1243</v>
      </c>
      <c r="AS5" s="246" t="s">
        <v>1250</v>
      </c>
      <c r="AT5" s="246" t="s">
        <v>1251</v>
      </c>
      <c r="AU5" s="246" t="s">
        <v>1252</v>
      </c>
      <c r="AV5" s="246" t="s">
        <v>1311</v>
      </c>
      <c r="AW5" s="246" t="s">
        <v>1313</v>
      </c>
      <c r="AX5" s="246" t="s">
        <v>1315</v>
      </c>
      <c r="AY5" s="246" t="s">
        <v>1317</v>
      </c>
      <c r="AZ5" s="246" t="s">
        <v>1344</v>
      </c>
    </row>
    <row r="6" spans="2:52" x14ac:dyDescent="0.2">
      <c r="B6" s="129" t="s">
        <v>761</v>
      </c>
      <c r="C6" s="118">
        <v>0</v>
      </c>
      <c r="D6" s="118">
        <v>0</v>
      </c>
      <c r="E6" s="160">
        <v>0</v>
      </c>
      <c r="F6" s="118">
        <v>0</v>
      </c>
      <c r="G6" s="118">
        <v>0</v>
      </c>
      <c r="H6" s="118">
        <v>0</v>
      </c>
      <c r="I6" s="118">
        <v>0</v>
      </c>
      <c r="J6" s="118">
        <v>0</v>
      </c>
      <c r="K6" s="118">
        <v>0</v>
      </c>
      <c r="L6" s="118">
        <v>0</v>
      </c>
      <c r="M6" s="118">
        <v>0</v>
      </c>
      <c r="N6" s="118">
        <v>0</v>
      </c>
      <c r="O6" s="118">
        <v>0</v>
      </c>
      <c r="P6" s="118">
        <v>0</v>
      </c>
      <c r="Q6" s="118">
        <v>0</v>
      </c>
      <c r="R6" s="118">
        <v>0</v>
      </c>
      <c r="S6" s="118">
        <v>0</v>
      </c>
      <c r="T6" s="118">
        <v>4333</v>
      </c>
      <c r="U6" s="118">
        <v>4299</v>
      </c>
      <c r="V6" s="118">
        <v>4951</v>
      </c>
      <c r="W6" s="118">
        <v>5970</v>
      </c>
      <c r="X6" s="118">
        <v>5994</v>
      </c>
      <c r="Y6" s="118">
        <v>6465</v>
      </c>
      <c r="Z6" s="261">
        <v>1814</v>
      </c>
      <c r="AA6" s="118">
        <v>1832</v>
      </c>
      <c r="AB6" s="118">
        <v>1850</v>
      </c>
      <c r="AC6" s="118">
        <v>1866</v>
      </c>
      <c r="AD6" s="118">
        <v>2290</v>
      </c>
      <c r="AE6" s="118">
        <v>2314</v>
      </c>
      <c r="AF6" s="118">
        <v>2343</v>
      </c>
      <c r="AG6" s="118">
        <v>1971</v>
      </c>
      <c r="AH6" s="118">
        <v>2002</v>
      </c>
      <c r="AI6" s="118">
        <v>1461</v>
      </c>
      <c r="AJ6" s="118">
        <v>1461</v>
      </c>
      <c r="AK6" s="118">
        <v>1460</v>
      </c>
      <c r="AL6" s="118">
        <v>1461</v>
      </c>
      <c r="AM6" s="118">
        <v>1485</v>
      </c>
      <c r="AN6" s="118">
        <v>1487</v>
      </c>
      <c r="AO6" s="118">
        <v>1018</v>
      </c>
      <c r="AP6" s="118">
        <v>1510</v>
      </c>
      <c r="AQ6" s="118">
        <v>1018</v>
      </c>
      <c r="AR6" s="118">
        <v>1018</v>
      </c>
      <c r="AS6" s="118">
        <v>1018</v>
      </c>
      <c r="AT6" s="118">
        <v>1018</v>
      </c>
      <c r="AU6" s="118">
        <v>1088</v>
      </c>
      <c r="AV6" s="118">
        <v>1088</v>
      </c>
      <c r="AW6" s="118">
        <v>1088</v>
      </c>
      <c r="AX6" s="118">
        <v>1088</v>
      </c>
      <c r="AY6" s="118">
        <v>1088</v>
      </c>
      <c r="AZ6" s="118">
        <v>1088</v>
      </c>
    </row>
    <row r="7" spans="2:52" x14ac:dyDescent="0.2">
      <c r="B7" s="129" t="s">
        <v>196</v>
      </c>
      <c r="C7" s="118">
        <v>4880</v>
      </c>
      <c r="D7" s="118">
        <v>3302</v>
      </c>
      <c r="E7" s="160">
        <v>2769</v>
      </c>
      <c r="F7" s="118">
        <v>2995</v>
      </c>
      <c r="G7" s="118">
        <v>4909</v>
      </c>
      <c r="H7" s="118">
        <v>6039</v>
      </c>
      <c r="I7" s="118">
        <v>7594</v>
      </c>
      <c r="J7" s="118">
        <v>5323</v>
      </c>
      <c r="K7" s="118">
        <v>6692</v>
      </c>
      <c r="L7" s="118">
        <v>6526</v>
      </c>
      <c r="M7" s="118">
        <v>4313</v>
      </c>
      <c r="N7" s="118">
        <v>4060</v>
      </c>
      <c r="O7" s="118">
        <v>2628</v>
      </c>
      <c r="P7" s="118">
        <v>3761</v>
      </c>
      <c r="Q7" s="118">
        <v>3315</v>
      </c>
      <c r="R7" s="118">
        <v>3681</v>
      </c>
      <c r="S7" s="118">
        <v>2811</v>
      </c>
      <c r="T7" s="118">
        <v>3435</v>
      </c>
      <c r="U7" s="118">
        <v>3271</v>
      </c>
      <c r="V7" s="118">
        <v>3855</v>
      </c>
      <c r="W7" s="118">
        <v>4330</v>
      </c>
      <c r="X7" s="118">
        <v>4136</v>
      </c>
      <c r="Y7" s="118">
        <v>3604</v>
      </c>
      <c r="Z7" s="118">
        <v>4090</v>
      </c>
      <c r="AA7" s="118">
        <v>3719</v>
      </c>
      <c r="AB7" s="118">
        <v>6194</v>
      </c>
      <c r="AC7" s="118">
        <v>8412</v>
      </c>
      <c r="AD7" s="118">
        <v>8074</v>
      </c>
      <c r="AE7" s="118">
        <v>7690</v>
      </c>
      <c r="AF7" s="118">
        <v>6809</v>
      </c>
      <c r="AG7" s="118">
        <v>5861</v>
      </c>
      <c r="AH7" s="118">
        <v>6031</v>
      </c>
      <c r="AI7" s="118">
        <v>7485</v>
      </c>
      <c r="AJ7" s="118">
        <v>6541</v>
      </c>
      <c r="AK7" s="118">
        <v>7175</v>
      </c>
      <c r="AL7" s="118">
        <v>18688</v>
      </c>
      <c r="AM7" s="118">
        <v>13370</v>
      </c>
      <c r="AN7" s="118">
        <v>11205</v>
      </c>
      <c r="AO7" s="118">
        <v>11262</v>
      </c>
      <c r="AP7" s="118">
        <v>12647</v>
      </c>
      <c r="AQ7" s="118">
        <v>13570</v>
      </c>
      <c r="AR7" s="118">
        <v>9430</v>
      </c>
      <c r="AS7" s="118">
        <v>11097</v>
      </c>
      <c r="AT7" s="118">
        <v>14429</v>
      </c>
      <c r="AU7" s="118">
        <v>16101</v>
      </c>
      <c r="AV7" s="118">
        <v>15376</v>
      </c>
      <c r="AW7" s="118">
        <v>13755</v>
      </c>
      <c r="AX7" s="118">
        <v>30843</v>
      </c>
      <c r="AY7" s="118">
        <v>28081</v>
      </c>
      <c r="AZ7" s="118">
        <v>19874</v>
      </c>
    </row>
    <row r="8" spans="2:52" x14ac:dyDescent="0.2">
      <c r="B8" s="129" t="s">
        <v>195</v>
      </c>
      <c r="C8" s="118">
        <v>3336</v>
      </c>
      <c r="D8" s="118">
        <v>296</v>
      </c>
      <c r="E8" s="160">
        <v>542</v>
      </c>
      <c r="F8" s="118">
        <v>2020</v>
      </c>
      <c r="G8" s="118">
        <v>2409</v>
      </c>
      <c r="H8" s="118">
        <v>819</v>
      </c>
      <c r="I8" s="118">
        <v>935</v>
      </c>
      <c r="J8" s="118">
        <v>1990</v>
      </c>
      <c r="K8" s="118">
        <v>2092</v>
      </c>
      <c r="L8" s="118">
        <v>384</v>
      </c>
      <c r="M8" s="118">
        <v>814</v>
      </c>
      <c r="N8" s="118">
        <v>899</v>
      </c>
      <c r="O8" s="118">
        <v>1036</v>
      </c>
      <c r="P8" s="118">
        <v>828</v>
      </c>
      <c r="Q8" s="118">
        <v>1049</v>
      </c>
      <c r="R8" s="118">
        <v>1232</v>
      </c>
      <c r="S8" s="118">
        <v>1356</v>
      </c>
      <c r="T8" s="118">
        <v>1540</v>
      </c>
      <c r="U8" s="118">
        <v>1733</v>
      </c>
      <c r="V8" s="118">
        <v>2083</v>
      </c>
      <c r="W8" s="118">
        <v>2368</v>
      </c>
      <c r="X8" s="118">
        <v>1975</v>
      </c>
      <c r="Y8" s="118">
        <v>1894</v>
      </c>
      <c r="Z8" s="118">
        <v>2114</v>
      </c>
      <c r="AA8" s="118">
        <v>2031</v>
      </c>
      <c r="AB8" s="118">
        <v>1966</v>
      </c>
      <c r="AC8" s="118">
        <v>900</v>
      </c>
      <c r="AD8" s="118">
        <v>772</v>
      </c>
      <c r="AE8" s="118">
        <v>470</v>
      </c>
      <c r="AF8" s="118">
        <v>898</v>
      </c>
      <c r="AG8" s="118">
        <v>770</v>
      </c>
      <c r="AH8" s="118">
        <v>977</v>
      </c>
      <c r="AI8" s="118">
        <v>1069</v>
      </c>
      <c r="AJ8" s="118">
        <v>898</v>
      </c>
      <c r="AK8" s="118">
        <v>1003</v>
      </c>
      <c r="AL8" s="118">
        <v>1086</v>
      </c>
      <c r="AM8" s="118">
        <v>1042</v>
      </c>
      <c r="AN8" s="118">
        <v>847</v>
      </c>
      <c r="AO8" s="118">
        <v>1551</v>
      </c>
      <c r="AP8" s="118">
        <v>1368</v>
      </c>
      <c r="AQ8" s="118">
        <v>894</v>
      </c>
      <c r="AR8" s="118">
        <v>1147</v>
      </c>
      <c r="AS8" s="118">
        <v>1493</v>
      </c>
      <c r="AT8" s="118">
        <v>1436</v>
      </c>
      <c r="AU8" s="118">
        <v>681</v>
      </c>
      <c r="AV8" s="118">
        <v>1257</v>
      </c>
      <c r="AW8" s="118">
        <v>1853</v>
      </c>
      <c r="AX8" s="118">
        <v>1737</v>
      </c>
      <c r="AY8" s="118">
        <v>1677</v>
      </c>
      <c r="AZ8" s="118">
        <v>1422</v>
      </c>
    </row>
    <row r="9" spans="2:52" x14ac:dyDescent="0.2">
      <c r="B9" s="129" t="s">
        <v>199</v>
      </c>
      <c r="C9" s="118">
        <v>0</v>
      </c>
      <c r="D9" s="118">
        <v>0</v>
      </c>
      <c r="E9" s="160">
        <v>0</v>
      </c>
      <c r="F9" s="118">
        <v>0</v>
      </c>
      <c r="G9" s="118">
        <v>13371</v>
      </c>
      <c r="H9" s="118">
        <v>13371</v>
      </c>
      <c r="I9" s="118">
        <v>13371</v>
      </c>
      <c r="J9" s="118">
        <v>13371</v>
      </c>
      <c r="K9" s="118">
        <v>13371</v>
      </c>
      <c r="L9" s="118">
        <v>13371</v>
      </c>
      <c r="M9" s="118">
        <v>13371</v>
      </c>
      <c r="N9" s="118">
        <v>13371</v>
      </c>
      <c r="O9" s="118">
        <v>13371</v>
      </c>
      <c r="P9" s="118">
        <v>13371</v>
      </c>
      <c r="Q9" s="118">
        <v>13371</v>
      </c>
      <c r="R9" s="118">
        <v>7638</v>
      </c>
      <c r="S9" s="261">
        <v>1907</v>
      </c>
      <c r="T9" s="118">
        <v>1907</v>
      </c>
      <c r="U9" s="118">
        <v>1907</v>
      </c>
      <c r="V9" s="118">
        <v>1907</v>
      </c>
      <c r="W9" s="118">
        <v>0</v>
      </c>
      <c r="X9" s="118">
        <v>0</v>
      </c>
      <c r="Y9" s="118">
        <v>0</v>
      </c>
      <c r="Z9" s="118">
        <v>0</v>
      </c>
      <c r="AA9" s="118">
        <v>0</v>
      </c>
      <c r="AB9" s="118">
        <v>0</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t="s">
        <v>160</v>
      </c>
      <c r="AY9" s="118" t="s">
        <v>160</v>
      </c>
      <c r="AZ9" s="118" t="s">
        <v>160</v>
      </c>
    </row>
    <row r="10" spans="2:52" x14ac:dyDescent="0.2">
      <c r="B10" s="129" t="s">
        <v>197</v>
      </c>
      <c r="C10" s="118">
        <v>6324</v>
      </c>
      <c r="D10" s="118">
        <v>0</v>
      </c>
      <c r="E10" s="160">
        <v>456</v>
      </c>
      <c r="F10" s="118">
        <v>583</v>
      </c>
      <c r="G10" s="118">
        <v>369</v>
      </c>
      <c r="H10" s="118">
        <v>505</v>
      </c>
      <c r="I10" s="118">
        <v>926</v>
      </c>
      <c r="J10" s="118">
        <v>211</v>
      </c>
      <c r="K10" s="118">
        <v>212</v>
      </c>
      <c r="L10" s="118">
        <v>48</v>
      </c>
      <c r="M10" s="118">
        <v>46</v>
      </c>
      <c r="N10" s="118">
        <v>45</v>
      </c>
      <c r="O10" s="118">
        <v>0</v>
      </c>
      <c r="P10" s="118">
        <v>0</v>
      </c>
      <c r="Q10" s="118">
        <v>0</v>
      </c>
      <c r="R10" s="118">
        <v>0</v>
      </c>
      <c r="S10" s="118">
        <v>298</v>
      </c>
      <c r="T10" s="118">
        <v>0</v>
      </c>
      <c r="U10" s="118">
        <v>96</v>
      </c>
      <c r="V10" s="118">
        <v>96</v>
      </c>
      <c r="W10" s="118">
        <v>0</v>
      </c>
      <c r="X10" s="118">
        <v>106</v>
      </c>
      <c r="Y10" s="118">
        <v>0</v>
      </c>
      <c r="Z10" s="118">
        <v>0</v>
      </c>
      <c r="AA10" s="118">
        <v>39</v>
      </c>
      <c r="AB10" s="118">
        <v>0</v>
      </c>
      <c r="AC10" s="118">
        <v>0</v>
      </c>
      <c r="AD10" s="118">
        <v>0</v>
      </c>
      <c r="AE10" s="118">
        <v>0</v>
      </c>
      <c r="AF10" s="118">
        <v>0</v>
      </c>
      <c r="AG10" s="118">
        <v>0</v>
      </c>
      <c r="AH10" s="118">
        <v>3</v>
      </c>
      <c r="AI10" s="118">
        <v>3</v>
      </c>
      <c r="AJ10" s="118">
        <v>1</v>
      </c>
      <c r="AK10" s="118">
        <v>1</v>
      </c>
      <c r="AL10" s="118">
        <v>1</v>
      </c>
      <c r="AM10" s="118">
        <v>1</v>
      </c>
      <c r="AN10" s="118">
        <v>1</v>
      </c>
      <c r="AO10" s="118">
        <v>1</v>
      </c>
      <c r="AP10" s="118">
        <v>0</v>
      </c>
      <c r="AQ10" s="118">
        <v>0</v>
      </c>
      <c r="AR10" s="118">
        <v>0</v>
      </c>
      <c r="AS10" s="118">
        <v>0</v>
      </c>
      <c r="AT10" s="118">
        <v>0</v>
      </c>
      <c r="AU10" s="118">
        <v>0</v>
      </c>
      <c r="AV10" s="118">
        <v>0</v>
      </c>
      <c r="AW10" s="118">
        <v>0</v>
      </c>
      <c r="AX10" s="118" t="s">
        <v>160</v>
      </c>
      <c r="AY10" s="118">
        <v>0</v>
      </c>
      <c r="AZ10" s="118">
        <v>0</v>
      </c>
    </row>
    <row r="11" spans="2:52" x14ac:dyDescent="0.2">
      <c r="B11" s="129" t="s">
        <v>194</v>
      </c>
      <c r="C11" s="118">
        <v>1295</v>
      </c>
      <c r="D11" s="118">
        <v>1647</v>
      </c>
      <c r="E11" s="160">
        <v>3266</v>
      </c>
      <c r="F11" s="118">
        <v>3952</v>
      </c>
      <c r="G11" s="118">
        <v>4028</v>
      </c>
      <c r="H11" s="118">
        <v>4441</v>
      </c>
      <c r="I11" s="118">
        <v>4360</v>
      </c>
      <c r="J11" s="118">
        <v>4542</v>
      </c>
      <c r="K11" s="118">
        <v>4582</v>
      </c>
      <c r="L11" s="118">
        <v>4170</v>
      </c>
      <c r="M11" s="118">
        <v>2072</v>
      </c>
      <c r="N11" s="118">
        <v>1975</v>
      </c>
      <c r="O11" s="118">
        <v>1932</v>
      </c>
      <c r="P11" s="118">
        <v>2024</v>
      </c>
      <c r="Q11" s="118">
        <v>1835</v>
      </c>
      <c r="R11" s="118">
        <v>1854</v>
      </c>
      <c r="S11" s="118">
        <v>61</v>
      </c>
      <c r="T11" s="118">
        <v>22</v>
      </c>
      <c r="U11" s="118">
        <v>18</v>
      </c>
      <c r="V11" s="118">
        <v>17</v>
      </c>
      <c r="W11" s="118">
        <v>77</v>
      </c>
      <c r="X11" s="118">
        <v>0</v>
      </c>
      <c r="Y11" s="118">
        <v>47</v>
      </c>
      <c r="Z11" s="118">
        <v>18</v>
      </c>
      <c r="AA11" s="118">
        <v>105</v>
      </c>
      <c r="AB11" s="118">
        <v>24</v>
      </c>
      <c r="AC11" s="118">
        <v>0</v>
      </c>
      <c r="AD11" s="118">
        <v>49</v>
      </c>
      <c r="AE11" s="118">
        <v>8</v>
      </c>
      <c r="AF11" s="118">
        <v>48</v>
      </c>
      <c r="AG11" s="118">
        <v>62</v>
      </c>
      <c r="AH11" s="118">
        <v>45</v>
      </c>
      <c r="AI11" s="118">
        <v>94</v>
      </c>
      <c r="AJ11" s="118">
        <v>47</v>
      </c>
      <c r="AK11" s="118">
        <v>50</v>
      </c>
      <c r="AL11" s="118">
        <v>64</v>
      </c>
      <c r="AM11" s="118">
        <v>392</v>
      </c>
      <c r="AN11" s="118">
        <v>395</v>
      </c>
      <c r="AO11" s="118">
        <v>393</v>
      </c>
      <c r="AP11" s="118">
        <v>0</v>
      </c>
      <c r="AQ11" s="118">
        <v>0</v>
      </c>
      <c r="AR11" s="118">
        <v>0</v>
      </c>
      <c r="AS11" s="118">
        <v>0</v>
      </c>
      <c r="AT11" s="118">
        <v>0</v>
      </c>
      <c r="AU11" s="118">
        <v>0</v>
      </c>
      <c r="AV11" s="118">
        <v>0</v>
      </c>
      <c r="AW11" s="118">
        <v>0</v>
      </c>
      <c r="AX11" s="118" t="s">
        <v>160</v>
      </c>
      <c r="AY11" s="118">
        <v>0</v>
      </c>
      <c r="AZ11" s="118">
        <v>0</v>
      </c>
    </row>
    <row r="12" spans="2:52" x14ac:dyDescent="0.2">
      <c r="B12" s="129" t="s">
        <v>200</v>
      </c>
      <c r="C12" s="118">
        <v>3876</v>
      </c>
      <c r="D12" s="118">
        <v>6246</v>
      </c>
      <c r="E12" s="160">
        <v>3231</v>
      </c>
      <c r="F12" s="118">
        <v>3825</v>
      </c>
      <c r="G12" s="118">
        <v>7745</v>
      </c>
      <c r="H12" s="118">
        <v>5520</v>
      </c>
      <c r="I12" s="118">
        <v>4383</v>
      </c>
      <c r="J12" s="118">
        <v>3683</v>
      </c>
      <c r="K12" s="118">
        <v>990</v>
      </c>
      <c r="L12" s="118">
        <v>741</v>
      </c>
      <c r="M12" s="118">
        <v>344</v>
      </c>
      <c r="N12" s="118">
        <v>344</v>
      </c>
      <c r="O12" s="118">
        <v>36</v>
      </c>
      <c r="P12" s="118">
        <v>0</v>
      </c>
      <c r="Q12" s="118">
        <v>6</v>
      </c>
      <c r="R12" s="118">
        <v>11</v>
      </c>
      <c r="S12" s="118">
        <v>2</v>
      </c>
      <c r="T12" s="118">
        <v>0</v>
      </c>
      <c r="U12" s="118">
        <v>0</v>
      </c>
      <c r="V12" s="118">
        <v>0</v>
      </c>
      <c r="W12" s="118">
        <v>700</v>
      </c>
      <c r="X12" s="118">
        <v>700</v>
      </c>
      <c r="Y12" s="118">
        <v>700</v>
      </c>
      <c r="Z12" s="118">
        <v>3</v>
      </c>
      <c r="AA12" s="118">
        <v>793</v>
      </c>
      <c r="AB12" s="118">
        <v>413</v>
      </c>
      <c r="AC12" s="118">
        <v>114</v>
      </c>
      <c r="AD12" s="118">
        <v>106</v>
      </c>
      <c r="AE12" s="118">
        <v>98</v>
      </c>
      <c r="AF12" s="118">
        <v>1749</v>
      </c>
      <c r="AG12" s="118">
        <v>143</v>
      </c>
      <c r="AH12" s="118">
        <v>224</v>
      </c>
      <c r="AI12" s="118">
        <v>240</v>
      </c>
      <c r="AJ12" s="118">
        <v>83</v>
      </c>
      <c r="AK12" s="118">
        <v>713</v>
      </c>
      <c r="AL12" s="118">
        <v>441</v>
      </c>
      <c r="AM12" s="118">
        <v>464</v>
      </c>
      <c r="AN12" s="118">
        <v>1044</v>
      </c>
      <c r="AO12" s="118">
        <v>241</v>
      </c>
      <c r="AP12" s="118">
        <v>1073</v>
      </c>
      <c r="AQ12" s="118">
        <v>631</v>
      </c>
      <c r="AR12" s="118">
        <v>599</v>
      </c>
      <c r="AS12" s="118">
        <v>883</v>
      </c>
      <c r="AT12" s="118">
        <v>1420</v>
      </c>
      <c r="AU12" s="118">
        <v>1750</v>
      </c>
      <c r="AV12" s="118">
        <v>1048</v>
      </c>
      <c r="AW12" s="118">
        <v>734</v>
      </c>
      <c r="AX12" s="118">
        <v>2659</v>
      </c>
      <c r="AY12" s="118">
        <v>2556</v>
      </c>
      <c r="AZ12" s="118">
        <v>4963</v>
      </c>
    </row>
    <row r="13" spans="2:52" s="232" customFormat="1" hidden="1" outlineLevel="1" x14ac:dyDescent="0.2">
      <c r="B13" s="249" t="s">
        <v>584</v>
      </c>
      <c r="C13" s="218">
        <v>4899</v>
      </c>
      <c r="D13" s="218">
        <v>5646</v>
      </c>
      <c r="E13" s="219">
        <v>6116</v>
      </c>
      <c r="F13" s="218">
        <v>3768</v>
      </c>
      <c r="G13" s="218">
        <v>4334</v>
      </c>
      <c r="H13" s="218">
        <v>4574</v>
      </c>
      <c r="I13" s="218">
        <v>4803</v>
      </c>
      <c r="J13" s="218">
        <v>4965</v>
      </c>
      <c r="K13" s="218">
        <v>5094</v>
      </c>
      <c r="L13" s="218">
        <v>5179</v>
      </c>
      <c r="M13" s="218">
        <v>5365</v>
      </c>
      <c r="N13" s="218">
        <v>5413</v>
      </c>
      <c r="O13" s="218">
        <v>5416</v>
      </c>
      <c r="P13" s="218">
        <v>5471</v>
      </c>
      <c r="Q13" s="218">
        <v>3704</v>
      </c>
      <c r="R13" s="218">
        <v>0</v>
      </c>
      <c r="S13" s="218">
        <v>0</v>
      </c>
      <c r="T13" s="218">
        <v>0</v>
      </c>
      <c r="U13" s="218">
        <v>0</v>
      </c>
      <c r="V13" s="218">
        <v>0</v>
      </c>
      <c r="W13" s="218">
        <v>0</v>
      </c>
      <c r="X13" s="218">
        <v>0</v>
      </c>
      <c r="Y13" s="218"/>
      <c r="Z13" s="218">
        <v>0</v>
      </c>
      <c r="AA13" s="218">
        <v>0</v>
      </c>
      <c r="AB13" s="218">
        <v>0</v>
      </c>
      <c r="AC13" s="218">
        <v>0</v>
      </c>
      <c r="AD13" s="218">
        <v>0</v>
      </c>
      <c r="AE13" s="218">
        <v>0</v>
      </c>
      <c r="AF13" s="218">
        <v>0</v>
      </c>
      <c r="AG13" s="218">
        <v>0</v>
      </c>
      <c r="AH13" s="218">
        <v>0</v>
      </c>
      <c r="AI13" s="218"/>
      <c r="AJ13" s="218">
        <v>0</v>
      </c>
      <c r="AK13" s="218">
        <v>0</v>
      </c>
      <c r="AL13" s="218">
        <v>0</v>
      </c>
      <c r="AM13" s="218">
        <v>0</v>
      </c>
      <c r="AN13" s="218">
        <v>0</v>
      </c>
      <c r="AO13" s="218">
        <v>0</v>
      </c>
      <c r="AP13" s="218">
        <v>0</v>
      </c>
      <c r="AQ13" s="218">
        <v>0</v>
      </c>
      <c r="AR13" s="218">
        <v>0</v>
      </c>
      <c r="AS13" s="218"/>
      <c r="AT13" s="218">
        <v>0</v>
      </c>
      <c r="AU13" s="218"/>
      <c r="AV13" s="218"/>
      <c r="AW13" s="218">
        <v>0</v>
      </c>
      <c r="AX13" s="218">
        <v>0</v>
      </c>
      <c r="AY13" s="218">
        <v>0</v>
      </c>
      <c r="AZ13" s="218">
        <v>0</v>
      </c>
    </row>
    <row r="14" spans="2:52" s="232" customFormat="1" hidden="1" outlineLevel="1" x14ac:dyDescent="0.2">
      <c r="B14" s="249" t="s">
        <v>198</v>
      </c>
      <c r="C14" s="218">
        <v>4600</v>
      </c>
      <c r="D14" s="218">
        <v>5293</v>
      </c>
      <c r="E14" s="219">
        <v>4302</v>
      </c>
      <c r="F14" s="218">
        <v>2359</v>
      </c>
      <c r="G14" s="218">
        <v>1501</v>
      </c>
      <c r="H14" s="218">
        <v>277</v>
      </c>
      <c r="I14" s="218">
        <v>201</v>
      </c>
      <c r="J14" s="218">
        <v>112</v>
      </c>
      <c r="K14" s="218">
        <v>76</v>
      </c>
      <c r="L14" s="218">
        <v>76</v>
      </c>
      <c r="M14" s="218">
        <v>0</v>
      </c>
      <c r="N14" s="218">
        <v>0</v>
      </c>
      <c r="O14" s="218">
        <v>0</v>
      </c>
      <c r="P14" s="218">
        <v>0</v>
      </c>
      <c r="Q14" s="218">
        <v>0</v>
      </c>
      <c r="R14" s="218">
        <v>0</v>
      </c>
      <c r="S14" s="218">
        <v>0</v>
      </c>
      <c r="T14" s="218">
        <v>0</v>
      </c>
      <c r="U14" s="218">
        <v>0</v>
      </c>
      <c r="V14" s="218">
        <v>0</v>
      </c>
      <c r="W14" s="218">
        <v>0</v>
      </c>
      <c r="X14" s="218">
        <v>0</v>
      </c>
      <c r="Y14" s="218"/>
      <c r="Z14" s="118">
        <v>0</v>
      </c>
      <c r="AA14" s="118">
        <v>0</v>
      </c>
      <c r="AB14" s="118">
        <v>0</v>
      </c>
      <c r="AC14" s="118">
        <v>0</v>
      </c>
      <c r="AD14" s="118">
        <v>0</v>
      </c>
      <c r="AE14" s="118">
        <v>0</v>
      </c>
      <c r="AF14" s="118">
        <v>0</v>
      </c>
      <c r="AG14" s="118">
        <v>0</v>
      </c>
      <c r="AH14" s="118">
        <v>0</v>
      </c>
      <c r="AI14" s="118"/>
      <c r="AJ14" s="118">
        <v>0</v>
      </c>
      <c r="AK14" s="118">
        <v>0</v>
      </c>
      <c r="AL14" s="118">
        <v>0</v>
      </c>
      <c r="AM14" s="118">
        <v>0</v>
      </c>
      <c r="AN14" s="118">
        <v>0</v>
      </c>
      <c r="AO14" s="118">
        <v>0</v>
      </c>
      <c r="AP14" s="118">
        <v>0</v>
      </c>
      <c r="AQ14" s="118">
        <v>0</v>
      </c>
      <c r="AR14" s="118">
        <v>0</v>
      </c>
      <c r="AS14" s="118"/>
      <c r="AT14" s="118">
        <v>0</v>
      </c>
      <c r="AU14" s="118"/>
      <c r="AV14" s="118"/>
      <c r="AW14" s="118">
        <v>0</v>
      </c>
      <c r="AX14" s="118">
        <v>0</v>
      </c>
      <c r="AY14" s="118">
        <v>0</v>
      </c>
      <c r="AZ14" s="118">
        <v>0</v>
      </c>
    </row>
    <row r="15" spans="2:52" s="232" customFormat="1" hidden="1" outlineLevel="1" x14ac:dyDescent="0.2">
      <c r="B15" s="249" t="s">
        <v>193</v>
      </c>
      <c r="C15" s="218">
        <v>0</v>
      </c>
      <c r="D15" s="218">
        <v>0</v>
      </c>
      <c r="E15" s="219">
        <v>0</v>
      </c>
      <c r="F15" s="218">
        <v>115282</v>
      </c>
      <c r="G15" s="218">
        <v>78979</v>
      </c>
      <c r="H15" s="218">
        <v>40605</v>
      </c>
      <c r="I15" s="218">
        <v>41811</v>
      </c>
      <c r="J15" s="218">
        <v>0</v>
      </c>
      <c r="K15" s="218">
        <v>0</v>
      </c>
      <c r="L15" s="218">
        <v>0</v>
      </c>
      <c r="M15" s="218">
        <v>0</v>
      </c>
      <c r="N15" s="218">
        <v>0</v>
      </c>
      <c r="O15" s="218">
        <v>0</v>
      </c>
      <c r="P15" s="218">
        <v>0</v>
      </c>
      <c r="Q15" s="218">
        <v>0</v>
      </c>
      <c r="R15" s="218">
        <v>0</v>
      </c>
      <c r="S15" s="218">
        <v>0</v>
      </c>
      <c r="T15" s="218">
        <v>0</v>
      </c>
      <c r="U15" s="218">
        <v>0</v>
      </c>
      <c r="V15" s="218">
        <v>0</v>
      </c>
      <c r="W15" s="218">
        <v>0</v>
      </c>
      <c r="X15" s="218">
        <v>0</v>
      </c>
      <c r="Y15" s="218"/>
      <c r="Z15" s="118">
        <v>0</v>
      </c>
      <c r="AA15" s="118">
        <v>0</v>
      </c>
      <c r="AB15" s="118">
        <v>0</v>
      </c>
      <c r="AC15" s="118">
        <v>0</v>
      </c>
      <c r="AD15" s="118">
        <v>0</v>
      </c>
      <c r="AE15" s="118">
        <v>0</v>
      </c>
      <c r="AF15" s="118">
        <v>0</v>
      </c>
      <c r="AG15" s="118">
        <v>0</v>
      </c>
      <c r="AH15" s="118">
        <v>0</v>
      </c>
      <c r="AI15" s="118"/>
      <c r="AJ15" s="118">
        <v>0</v>
      </c>
      <c r="AK15" s="118">
        <v>0</v>
      </c>
      <c r="AL15" s="118">
        <v>0</v>
      </c>
      <c r="AM15" s="118">
        <v>0</v>
      </c>
      <c r="AN15" s="118">
        <v>0</v>
      </c>
      <c r="AO15" s="118">
        <v>0</v>
      </c>
      <c r="AP15" s="118">
        <v>0</v>
      </c>
      <c r="AQ15" s="118">
        <v>0</v>
      </c>
      <c r="AR15" s="118">
        <v>0</v>
      </c>
      <c r="AS15" s="118"/>
      <c r="AT15" s="118">
        <v>0</v>
      </c>
      <c r="AU15" s="118"/>
      <c r="AV15" s="118"/>
      <c r="AW15" s="118">
        <v>0</v>
      </c>
      <c r="AX15" s="118">
        <v>0</v>
      </c>
      <c r="AY15" s="118">
        <v>0</v>
      </c>
      <c r="AZ15" s="118">
        <v>0</v>
      </c>
    </row>
    <row r="16" spans="2:52" collapsed="1" x14ac:dyDescent="0.2">
      <c r="B16" s="126"/>
      <c r="C16" s="120">
        <f t="shared" ref="C16:AA16" si="0">SUM(C6:C15)</f>
        <v>29210</v>
      </c>
      <c r="D16" s="120">
        <f t="shared" si="0"/>
        <v>22430</v>
      </c>
      <c r="E16" s="162">
        <f t="shared" si="0"/>
        <v>20682</v>
      </c>
      <c r="F16" s="120">
        <f t="shared" si="0"/>
        <v>134784</v>
      </c>
      <c r="G16" s="120">
        <f t="shared" si="0"/>
        <v>117645</v>
      </c>
      <c r="H16" s="120">
        <f t="shared" si="0"/>
        <v>76151</v>
      </c>
      <c r="I16" s="120">
        <f t="shared" si="0"/>
        <v>78384</v>
      </c>
      <c r="J16" s="120">
        <f t="shared" si="0"/>
        <v>34197</v>
      </c>
      <c r="K16" s="120">
        <f t="shared" si="0"/>
        <v>33109</v>
      </c>
      <c r="L16" s="120">
        <f t="shared" si="0"/>
        <v>30495</v>
      </c>
      <c r="M16" s="120">
        <f t="shared" si="0"/>
        <v>26325</v>
      </c>
      <c r="N16" s="120">
        <f t="shared" si="0"/>
        <v>26107</v>
      </c>
      <c r="O16" s="120">
        <f t="shared" si="0"/>
        <v>24419</v>
      </c>
      <c r="P16" s="120">
        <f t="shared" si="0"/>
        <v>25455</v>
      </c>
      <c r="Q16" s="120">
        <f t="shared" si="0"/>
        <v>23280</v>
      </c>
      <c r="R16" s="120">
        <f t="shared" si="0"/>
        <v>14416</v>
      </c>
      <c r="S16" s="120">
        <f t="shared" si="0"/>
        <v>6435</v>
      </c>
      <c r="T16" s="120">
        <f t="shared" si="0"/>
        <v>11237</v>
      </c>
      <c r="U16" s="120">
        <f t="shared" si="0"/>
        <v>11324</v>
      </c>
      <c r="V16" s="120">
        <f t="shared" si="0"/>
        <v>12909</v>
      </c>
      <c r="W16" s="120">
        <f t="shared" si="0"/>
        <v>13445</v>
      </c>
      <c r="X16" s="120">
        <f t="shared" si="0"/>
        <v>12911</v>
      </c>
      <c r="Y16" s="120">
        <f t="shared" si="0"/>
        <v>12710</v>
      </c>
      <c r="Z16" s="120">
        <f t="shared" si="0"/>
        <v>8039</v>
      </c>
      <c r="AA16" s="120">
        <f t="shared" si="0"/>
        <v>8519</v>
      </c>
      <c r="AB16" s="120">
        <f t="shared" ref="AB16:AK16" si="1">SUM(AB6:AB15)</f>
        <v>10447</v>
      </c>
      <c r="AC16" s="120">
        <f t="shared" si="1"/>
        <v>11292</v>
      </c>
      <c r="AD16" s="120">
        <f t="shared" si="1"/>
        <v>11291</v>
      </c>
      <c r="AE16" s="120">
        <f t="shared" si="1"/>
        <v>10580</v>
      </c>
      <c r="AF16" s="120">
        <f t="shared" si="1"/>
        <v>11847</v>
      </c>
      <c r="AG16" s="120">
        <f t="shared" si="1"/>
        <v>8807</v>
      </c>
      <c r="AH16" s="120">
        <f t="shared" si="1"/>
        <v>9282</v>
      </c>
      <c r="AI16" s="120">
        <f t="shared" si="1"/>
        <v>10352</v>
      </c>
      <c r="AJ16" s="120">
        <f t="shared" si="1"/>
        <v>9031</v>
      </c>
      <c r="AK16" s="120">
        <f t="shared" si="1"/>
        <v>10402</v>
      </c>
      <c r="AL16" s="120">
        <f t="shared" ref="AL16:AS16" si="2">SUM(AL6:AL15)</f>
        <v>21741</v>
      </c>
      <c r="AM16" s="120">
        <f t="shared" si="2"/>
        <v>16754</v>
      </c>
      <c r="AN16" s="120">
        <f t="shared" si="2"/>
        <v>14979</v>
      </c>
      <c r="AO16" s="120">
        <f t="shared" si="2"/>
        <v>14466</v>
      </c>
      <c r="AP16" s="120">
        <f t="shared" si="2"/>
        <v>16598</v>
      </c>
      <c r="AQ16" s="120">
        <f t="shared" si="2"/>
        <v>16113</v>
      </c>
      <c r="AR16" s="120">
        <f t="shared" si="2"/>
        <v>12194</v>
      </c>
      <c r="AS16" s="120">
        <f t="shared" si="2"/>
        <v>14491</v>
      </c>
      <c r="AT16" s="120">
        <f t="shared" ref="AT16:AY16" si="3">SUM(AT6:AT15)</f>
        <v>18303</v>
      </c>
      <c r="AU16" s="120">
        <f t="shared" si="3"/>
        <v>19620</v>
      </c>
      <c r="AV16" s="120">
        <f t="shared" si="3"/>
        <v>18769</v>
      </c>
      <c r="AW16" s="120">
        <f t="shared" si="3"/>
        <v>17430</v>
      </c>
      <c r="AX16" s="120">
        <f t="shared" si="3"/>
        <v>36327</v>
      </c>
      <c r="AY16" s="120">
        <f t="shared" si="3"/>
        <v>33402</v>
      </c>
      <c r="AZ16" s="120">
        <f>SUM(AZ6:AZ15)</f>
        <v>27347</v>
      </c>
    </row>
    <row r="17" spans="2:52" x14ac:dyDescent="0.2">
      <c r="B17" s="129" t="s">
        <v>201</v>
      </c>
      <c r="C17" s="118">
        <f>+C16</f>
        <v>29210</v>
      </c>
      <c r="D17" s="118">
        <v>22430</v>
      </c>
      <c r="E17" s="160">
        <v>20682</v>
      </c>
      <c r="F17" s="118">
        <f>+F16</f>
        <v>134784</v>
      </c>
      <c r="G17" s="118">
        <v>104274</v>
      </c>
      <c r="H17" s="118">
        <v>62780</v>
      </c>
      <c r="I17" s="118">
        <v>65013</v>
      </c>
      <c r="J17" s="118">
        <v>20826</v>
      </c>
      <c r="K17" s="118">
        <v>19738</v>
      </c>
      <c r="L17" s="118">
        <v>17124</v>
      </c>
      <c r="M17" s="118">
        <v>12954</v>
      </c>
      <c r="N17" s="118">
        <v>12736</v>
      </c>
      <c r="O17" s="118">
        <v>11048</v>
      </c>
      <c r="P17" s="118">
        <v>10452</v>
      </c>
      <c r="Q17" s="118">
        <v>8277</v>
      </c>
      <c r="R17" s="118">
        <v>5144</v>
      </c>
      <c r="S17" s="118">
        <v>4528</v>
      </c>
      <c r="T17" s="118">
        <v>4997</v>
      </c>
      <c r="U17" s="118">
        <v>5118</v>
      </c>
      <c r="V17" s="118">
        <v>6055</v>
      </c>
      <c r="W17" s="118">
        <v>6775</v>
      </c>
      <c r="X17" s="118">
        <v>6217</v>
      </c>
      <c r="Y17" s="118">
        <v>5545</v>
      </c>
      <c r="Z17" s="118">
        <v>6225</v>
      </c>
      <c r="AA17" s="118">
        <v>6687</v>
      </c>
      <c r="AB17" s="118">
        <v>8597</v>
      </c>
      <c r="AC17" s="118">
        <v>9426</v>
      </c>
      <c r="AD17" s="118">
        <v>9001</v>
      </c>
      <c r="AE17" s="118">
        <v>8266</v>
      </c>
      <c r="AF17" s="118">
        <v>9503</v>
      </c>
      <c r="AG17" s="118">
        <v>6835</v>
      </c>
      <c r="AH17" s="118">
        <v>7280</v>
      </c>
      <c r="AI17" s="118">
        <v>8891</v>
      </c>
      <c r="AJ17" s="118">
        <v>7570</v>
      </c>
      <c r="AK17" s="118">
        <v>8940</v>
      </c>
      <c r="AL17" s="118">
        <v>20280</v>
      </c>
      <c r="AM17" s="118">
        <v>15269</v>
      </c>
      <c r="AN17" s="118">
        <v>13492</v>
      </c>
      <c r="AO17" s="118">
        <v>13448</v>
      </c>
      <c r="AP17" s="118">
        <v>15088</v>
      </c>
      <c r="AQ17" s="118">
        <v>14485</v>
      </c>
      <c r="AR17" s="118">
        <v>10566</v>
      </c>
      <c r="AS17" s="118">
        <v>12863</v>
      </c>
      <c r="AT17" s="118">
        <v>16675</v>
      </c>
      <c r="AU17" s="118">
        <v>17922</v>
      </c>
      <c r="AV17" s="118">
        <v>17071</v>
      </c>
      <c r="AW17" s="118">
        <v>15732</v>
      </c>
      <c r="AX17" s="118">
        <v>34629</v>
      </c>
      <c r="AY17" s="118">
        <v>31704</v>
      </c>
      <c r="AZ17" s="118">
        <v>25649</v>
      </c>
    </row>
    <row r="18" spans="2:52" x14ac:dyDescent="0.2">
      <c r="B18" s="129" t="s">
        <v>187</v>
      </c>
      <c r="C18" s="118">
        <v>0</v>
      </c>
      <c r="D18" s="118">
        <v>0</v>
      </c>
      <c r="E18" s="160">
        <v>0</v>
      </c>
      <c r="F18" s="118">
        <v>13371</v>
      </c>
      <c r="G18" s="118">
        <v>13371</v>
      </c>
      <c r="H18" s="118">
        <v>13371</v>
      </c>
      <c r="I18" s="118">
        <v>13371</v>
      </c>
      <c r="J18" s="118">
        <v>13371</v>
      </c>
      <c r="K18" s="118">
        <v>13371</v>
      </c>
      <c r="L18" s="118">
        <v>13371</v>
      </c>
      <c r="M18" s="118">
        <v>13371</v>
      </c>
      <c r="N18" s="118">
        <v>13371</v>
      </c>
      <c r="O18" s="118">
        <v>13371</v>
      </c>
      <c r="P18" s="118">
        <v>15003</v>
      </c>
      <c r="Q18" s="118">
        <v>15004</v>
      </c>
      <c r="R18" s="118">
        <v>9272</v>
      </c>
      <c r="S18" s="118">
        <v>1907</v>
      </c>
      <c r="T18" s="118">
        <v>6240</v>
      </c>
      <c r="U18" s="118">
        <v>6206</v>
      </c>
      <c r="V18" s="118">
        <v>6857</v>
      </c>
      <c r="W18" s="118">
        <v>6670</v>
      </c>
      <c r="X18" s="118">
        <v>6694</v>
      </c>
      <c r="Y18" s="118">
        <v>7165</v>
      </c>
      <c r="Z18" s="118">
        <v>1814</v>
      </c>
      <c r="AA18" s="118">
        <v>1832</v>
      </c>
      <c r="AB18" s="118">
        <v>1850</v>
      </c>
      <c r="AC18" s="118">
        <v>1866</v>
      </c>
      <c r="AD18" s="118">
        <v>2290</v>
      </c>
      <c r="AE18" s="118">
        <v>2314</v>
      </c>
      <c r="AF18" s="118">
        <v>2344</v>
      </c>
      <c r="AG18" s="118">
        <v>1972</v>
      </c>
      <c r="AH18" s="118">
        <v>2002</v>
      </c>
      <c r="AI18" s="118">
        <v>1461</v>
      </c>
      <c r="AJ18" s="118">
        <v>1461</v>
      </c>
      <c r="AK18" s="118">
        <v>1462</v>
      </c>
      <c r="AL18" s="118">
        <v>1461</v>
      </c>
      <c r="AM18" s="118">
        <v>1485</v>
      </c>
      <c r="AN18" s="118">
        <v>1487</v>
      </c>
      <c r="AO18" s="118">
        <v>1018</v>
      </c>
      <c r="AP18" s="118">
        <v>1510</v>
      </c>
      <c r="AQ18" s="118">
        <v>1628</v>
      </c>
      <c r="AR18" s="118">
        <v>1628</v>
      </c>
      <c r="AS18" s="118">
        <v>1628</v>
      </c>
      <c r="AT18" s="118">
        <v>1628</v>
      </c>
      <c r="AU18" s="118">
        <v>1698</v>
      </c>
      <c r="AV18" s="118">
        <v>1698</v>
      </c>
      <c r="AW18" s="118">
        <v>1698</v>
      </c>
      <c r="AX18" s="118">
        <v>1698</v>
      </c>
      <c r="AY18" s="118">
        <v>1698</v>
      </c>
      <c r="AZ18" s="118">
        <v>1698</v>
      </c>
    </row>
    <row r="19" spans="2:52" x14ac:dyDescent="0.2">
      <c r="B19" s="126"/>
      <c r="C19" s="120">
        <f t="shared" ref="C19:L19" si="4">SUM(C17:C18)</f>
        <v>29210</v>
      </c>
      <c r="D19" s="120">
        <f t="shared" si="4"/>
        <v>22430</v>
      </c>
      <c r="E19" s="162">
        <f t="shared" si="4"/>
        <v>20682</v>
      </c>
      <c r="F19" s="120">
        <f t="shared" si="4"/>
        <v>148155</v>
      </c>
      <c r="G19" s="120">
        <f t="shared" si="4"/>
        <v>117645</v>
      </c>
      <c r="H19" s="120">
        <f t="shared" si="4"/>
        <v>76151</v>
      </c>
      <c r="I19" s="120">
        <f t="shared" si="4"/>
        <v>78384</v>
      </c>
      <c r="J19" s="120">
        <f t="shared" si="4"/>
        <v>34197</v>
      </c>
      <c r="K19" s="120">
        <f t="shared" si="4"/>
        <v>33109</v>
      </c>
      <c r="L19" s="120">
        <f t="shared" si="4"/>
        <v>30495</v>
      </c>
      <c r="M19" s="120">
        <f t="shared" ref="M19:S19" si="5">SUM(M17:M18)</f>
        <v>26325</v>
      </c>
      <c r="N19" s="120">
        <f t="shared" si="5"/>
        <v>26107</v>
      </c>
      <c r="O19" s="120">
        <f t="shared" si="5"/>
        <v>24419</v>
      </c>
      <c r="P19" s="120">
        <f t="shared" si="5"/>
        <v>25455</v>
      </c>
      <c r="Q19" s="120">
        <f t="shared" si="5"/>
        <v>23281</v>
      </c>
      <c r="R19" s="120">
        <f t="shared" si="5"/>
        <v>14416</v>
      </c>
      <c r="S19" s="120">
        <f t="shared" si="5"/>
        <v>6435</v>
      </c>
      <c r="T19" s="120">
        <f t="shared" ref="T19:AA19" si="6">SUM(T17:T18)</f>
        <v>11237</v>
      </c>
      <c r="U19" s="120">
        <f t="shared" si="6"/>
        <v>11324</v>
      </c>
      <c r="V19" s="120">
        <f t="shared" si="6"/>
        <v>12912</v>
      </c>
      <c r="W19" s="120">
        <f t="shared" si="6"/>
        <v>13445</v>
      </c>
      <c r="X19" s="120">
        <f t="shared" si="6"/>
        <v>12911</v>
      </c>
      <c r="Y19" s="120">
        <f t="shared" si="6"/>
        <v>12710</v>
      </c>
      <c r="Z19" s="120">
        <f t="shared" si="6"/>
        <v>8039</v>
      </c>
      <c r="AA19" s="120">
        <f t="shared" si="6"/>
        <v>8519</v>
      </c>
      <c r="AB19" s="120">
        <f t="shared" ref="AB19:AK19" si="7">SUM(AB17:AB18)</f>
        <v>10447</v>
      </c>
      <c r="AC19" s="120">
        <f t="shared" si="7"/>
        <v>11292</v>
      </c>
      <c r="AD19" s="120">
        <f t="shared" si="7"/>
        <v>11291</v>
      </c>
      <c r="AE19" s="120">
        <f t="shared" si="7"/>
        <v>10580</v>
      </c>
      <c r="AF19" s="120">
        <f t="shared" si="7"/>
        <v>11847</v>
      </c>
      <c r="AG19" s="120">
        <f t="shared" si="7"/>
        <v>8807</v>
      </c>
      <c r="AH19" s="120">
        <f t="shared" si="7"/>
        <v>9282</v>
      </c>
      <c r="AI19" s="120">
        <f t="shared" si="7"/>
        <v>10352</v>
      </c>
      <c r="AJ19" s="120">
        <f t="shared" si="7"/>
        <v>9031</v>
      </c>
      <c r="AK19" s="120">
        <f t="shared" si="7"/>
        <v>10402</v>
      </c>
      <c r="AL19" s="120">
        <f t="shared" ref="AL19:AS19" si="8">SUM(AL17:AL18)</f>
        <v>21741</v>
      </c>
      <c r="AM19" s="120">
        <f t="shared" si="8"/>
        <v>16754</v>
      </c>
      <c r="AN19" s="120">
        <f t="shared" si="8"/>
        <v>14979</v>
      </c>
      <c r="AO19" s="120">
        <f t="shared" si="8"/>
        <v>14466</v>
      </c>
      <c r="AP19" s="120">
        <f t="shared" si="8"/>
        <v>16598</v>
      </c>
      <c r="AQ19" s="120">
        <f t="shared" si="8"/>
        <v>16113</v>
      </c>
      <c r="AR19" s="120">
        <f t="shared" si="8"/>
        <v>12194</v>
      </c>
      <c r="AS19" s="120">
        <f t="shared" si="8"/>
        <v>14491</v>
      </c>
      <c r="AT19" s="120">
        <f t="shared" ref="AT19:AY19" si="9">SUM(AT17:AT18)</f>
        <v>18303</v>
      </c>
      <c r="AU19" s="120">
        <f t="shared" si="9"/>
        <v>19620</v>
      </c>
      <c r="AV19" s="120">
        <f t="shared" si="9"/>
        <v>18769</v>
      </c>
      <c r="AW19" s="120">
        <f t="shared" si="9"/>
        <v>17430</v>
      </c>
      <c r="AX19" s="120">
        <f t="shared" si="9"/>
        <v>36327</v>
      </c>
      <c r="AY19" s="120">
        <f t="shared" si="9"/>
        <v>33402</v>
      </c>
      <c r="AZ19" s="120">
        <f>SUM(AZ17:AZ18)</f>
        <v>27347</v>
      </c>
    </row>
    <row r="20" spans="2:52" x14ac:dyDescent="0.2">
      <c r="B20" s="591"/>
      <c r="C20" s="592">
        <f>+C19-BP!R13-BP!R26</f>
        <v>0</v>
      </c>
      <c r="D20" s="592">
        <f>+D19-BP!S13-BP!S26</f>
        <v>0</v>
      </c>
      <c r="E20" s="592">
        <f>+E19-BP!T13-BP!T26</f>
        <v>0</v>
      </c>
      <c r="F20" s="593">
        <f>+F19-BP!U13-BP!U26</f>
        <v>0</v>
      </c>
      <c r="G20" s="593">
        <f>+G19-BP!V13-BP!V26</f>
        <v>0</v>
      </c>
      <c r="H20" s="593">
        <f>+H19-BP!W13-BP!W26</f>
        <v>0</v>
      </c>
      <c r="I20" s="593">
        <f>+I19-BP!X13-BP!X26</f>
        <v>0</v>
      </c>
      <c r="J20" s="593">
        <f>+J19-BP!Y13-BP!Y26</f>
        <v>0</v>
      </c>
      <c r="K20" s="593">
        <f>+K19-BP!Z13-BP!Z26</f>
        <v>0</v>
      </c>
      <c r="L20" s="593">
        <f>+L19-BP!AA13-BP!AA26</f>
        <v>0</v>
      </c>
      <c r="M20" s="593">
        <f>+M19-BP!AB13-BP!AB26</f>
        <v>0</v>
      </c>
      <c r="N20" s="593">
        <f>+N19-BP!AC13-BP!AC26</f>
        <v>0</v>
      </c>
      <c r="O20" s="593">
        <f>+O19-BP!AD13-BP!AD26</f>
        <v>0</v>
      </c>
      <c r="P20" s="593">
        <f>+P19-BP!AE13-BP!AE26</f>
        <v>0</v>
      </c>
      <c r="Q20" s="593">
        <f>+Q19-BP!AF13-BP!AF26</f>
        <v>0</v>
      </c>
      <c r="R20" s="961">
        <f>BP!AG13+BP!AG26-R19</f>
        <v>0</v>
      </c>
      <c r="S20" s="961">
        <f>BP!AH13+BP!AH26-S19</f>
        <v>0</v>
      </c>
      <c r="T20" s="961">
        <f>BP!AI13+BP!AI26-T19</f>
        <v>0</v>
      </c>
      <c r="U20" s="961">
        <f>BP!AJ13+BP!AJ26-U19</f>
        <v>0</v>
      </c>
      <c r="V20" s="961">
        <f>BP!AK13+BP!AK26-V19</f>
        <v>0</v>
      </c>
      <c r="W20" s="961">
        <f>BP!AL13+BP!AL26-W19</f>
        <v>0</v>
      </c>
      <c r="X20" s="961">
        <f>BP!AM13+BP!AM26-X19</f>
        <v>0</v>
      </c>
      <c r="Y20" s="961">
        <f>BP!AN13+BP!AN26-Y19</f>
        <v>0</v>
      </c>
      <c r="Z20" s="961">
        <f>BP!AO13+BP!AO26-Z19</f>
        <v>0</v>
      </c>
      <c r="AA20" s="961">
        <f>BP!AP13+BP!AP26-AA19</f>
        <v>0</v>
      </c>
      <c r="AB20" s="961">
        <f>BP!AQ13+BP!AQ26-AB19</f>
        <v>0</v>
      </c>
      <c r="AC20" s="961">
        <f>BP!AR13+BP!AR26-AC19</f>
        <v>0</v>
      </c>
      <c r="AD20" s="961">
        <f>BP!AS13+BP!AS26-AD19</f>
        <v>0</v>
      </c>
      <c r="AE20" s="961">
        <f>BP!AT13+BP!AT26-AE19</f>
        <v>0</v>
      </c>
      <c r="AF20" s="961">
        <f>BP!AU13+BP!AU26-AF19</f>
        <v>0</v>
      </c>
      <c r="AG20" s="961">
        <f>BP!AV13+BP!AV26-AG19</f>
        <v>0</v>
      </c>
      <c r="AH20" s="961">
        <f>BP!AW13+BP!AW26-AH19</f>
        <v>0</v>
      </c>
      <c r="AI20" s="961">
        <f>BP!AX13+BP!AX26-AI19</f>
        <v>0</v>
      </c>
      <c r="AJ20" s="961">
        <f>BP!AY13+BP!AY26-AJ19</f>
        <v>0</v>
      </c>
      <c r="AK20" s="961">
        <f>BP!AZ13+BP!AZ26-AK19</f>
        <v>0</v>
      </c>
      <c r="AL20" s="961">
        <f>BP!BA13+BP!BA26-AL19</f>
        <v>0</v>
      </c>
      <c r="AM20" s="961">
        <f>BP!BB13+BP!BB26-AM19</f>
        <v>0</v>
      </c>
      <c r="AN20" s="961">
        <f>BP!BC13+BP!BC26-AN19</f>
        <v>0</v>
      </c>
      <c r="AO20" s="961">
        <f>BP!BD13+BP!BD26-AO19</f>
        <v>0</v>
      </c>
      <c r="AP20" s="961">
        <f>BP!BE13+BP!BE26-AP19</f>
        <v>0</v>
      </c>
      <c r="AQ20" s="961">
        <f>BP!BF13+BP!BF26-AQ19</f>
        <v>0</v>
      </c>
      <c r="AR20" s="961">
        <f>BP!BG13+BP!BG26-AR19</f>
        <v>0</v>
      </c>
      <c r="AS20" s="961"/>
      <c r="AT20" s="961"/>
      <c r="AU20" s="961"/>
      <c r="AV20" s="961"/>
      <c r="AW20" s="961"/>
      <c r="AX20" s="961">
        <f>BP!BM13+BP!BM26-AX19</f>
        <v>0</v>
      </c>
      <c r="AY20" s="961">
        <f>BP!BN13+BP!BN26-AY19</f>
        <v>0</v>
      </c>
      <c r="AZ20" s="961">
        <f>BP!BO13+BP!BO26-AZ19</f>
        <v>0</v>
      </c>
    </row>
    <row r="21" spans="2:52" x14ac:dyDescent="0.2">
      <c r="B21" s="151" t="s">
        <v>97</v>
      </c>
      <c r="C21" s="115">
        <f t="shared" ref="C21:AA21" si="10">C5</f>
        <v>2013</v>
      </c>
      <c r="D21" s="115" t="str">
        <f t="shared" si="10"/>
        <v>1T14</v>
      </c>
      <c r="E21" s="115" t="str">
        <f t="shared" si="10"/>
        <v>2T14</v>
      </c>
      <c r="F21" s="115" t="str">
        <f t="shared" si="10"/>
        <v>3T14</v>
      </c>
      <c r="G21" s="115" t="str">
        <f t="shared" si="10"/>
        <v>4T14</v>
      </c>
      <c r="H21" s="115" t="str">
        <f t="shared" si="10"/>
        <v>1T15</v>
      </c>
      <c r="I21" s="115" t="str">
        <f t="shared" si="10"/>
        <v>2T15</v>
      </c>
      <c r="J21" s="115" t="str">
        <f t="shared" si="10"/>
        <v>3T15</v>
      </c>
      <c r="K21" s="115" t="str">
        <f t="shared" si="10"/>
        <v>4T15</v>
      </c>
      <c r="L21" s="115" t="str">
        <f t="shared" si="10"/>
        <v>1T16</v>
      </c>
      <c r="M21" s="115" t="str">
        <f t="shared" si="10"/>
        <v>2T16</v>
      </c>
      <c r="N21" s="115" t="str">
        <f t="shared" si="10"/>
        <v>3T16</v>
      </c>
      <c r="O21" s="115" t="str">
        <f t="shared" si="10"/>
        <v>4T16</v>
      </c>
      <c r="P21" s="115" t="str">
        <f t="shared" si="10"/>
        <v>1T17</v>
      </c>
      <c r="Q21" s="115" t="str">
        <f t="shared" si="10"/>
        <v>2T17</v>
      </c>
      <c r="R21" s="115" t="str">
        <f t="shared" si="10"/>
        <v>3T17</v>
      </c>
      <c r="S21" s="115" t="str">
        <f t="shared" si="10"/>
        <v>4T17</v>
      </c>
      <c r="T21" s="115" t="str">
        <f t="shared" si="10"/>
        <v>1T18</v>
      </c>
      <c r="U21" s="115" t="str">
        <f t="shared" si="10"/>
        <v>2T18</v>
      </c>
      <c r="V21" s="115" t="str">
        <f t="shared" si="10"/>
        <v>3T18</v>
      </c>
      <c r="W21" s="115" t="str">
        <f t="shared" si="10"/>
        <v>4T18</v>
      </c>
      <c r="X21" s="115" t="str">
        <f t="shared" si="10"/>
        <v>1T19</v>
      </c>
      <c r="Y21" s="115" t="str">
        <f t="shared" si="10"/>
        <v>2T19</v>
      </c>
      <c r="Z21" s="115" t="str">
        <f t="shared" si="10"/>
        <v>3T19</v>
      </c>
      <c r="AA21" s="115" t="str">
        <f t="shared" si="10"/>
        <v>4T19</v>
      </c>
      <c r="AB21" s="115" t="str">
        <f t="shared" ref="AB21:AK21" si="11">AB5</f>
        <v>1T20</v>
      </c>
      <c r="AC21" s="115" t="str">
        <f t="shared" si="11"/>
        <v>2T20</v>
      </c>
      <c r="AD21" s="115" t="str">
        <f t="shared" si="11"/>
        <v>3T20</v>
      </c>
      <c r="AE21" s="115" t="str">
        <f t="shared" si="11"/>
        <v>4T20</v>
      </c>
      <c r="AF21" s="115" t="str">
        <f t="shared" si="11"/>
        <v>1T21</v>
      </c>
      <c r="AG21" s="115" t="str">
        <f t="shared" si="11"/>
        <v>2T21</v>
      </c>
      <c r="AH21" s="115" t="str">
        <f t="shared" si="11"/>
        <v>3T21</v>
      </c>
      <c r="AI21" s="115" t="str">
        <f t="shared" si="11"/>
        <v>4T21</v>
      </c>
      <c r="AJ21" s="115" t="str">
        <f>AJ5</f>
        <v>1T22</v>
      </c>
      <c r="AK21" s="115" t="str">
        <f t="shared" si="11"/>
        <v>2T22</v>
      </c>
      <c r="AL21" s="115" t="str">
        <f t="shared" ref="AL21:AS21" si="12">AL5</f>
        <v>3T22</v>
      </c>
      <c r="AM21" s="115" t="str">
        <f t="shared" si="12"/>
        <v>4T22</v>
      </c>
      <c r="AN21" s="115" t="str">
        <f t="shared" si="12"/>
        <v>1T23</v>
      </c>
      <c r="AO21" s="115" t="str">
        <f t="shared" si="12"/>
        <v>2T23</v>
      </c>
      <c r="AP21" s="115" t="str">
        <f t="shared" si="12"/>
        <v>3T23</v>
      </c>
      <c r="AQ21" s="115" t="str">
        <f t="shared" si="12"/>
        <v>4T23</v>
      </c>
      <c r="AR21" s="115" t="str">
        <f t="shared" si="12"/>
        <v>1T24</v>
      </c>
      <c r="AS21" s="115" t="str">
        <f t="shared" si="12"/>
        <v>2T24</v>
      </c>
      <c r="AT21" s="115" t="str">
        <f t="shared" ref="AT21:AY21" si="13">AT5</f>
        <v>3T24</v>
      </c>
      <c r="AU21" s="115" t="str">
        <f t="shared" si="13"/>
        <v>4T24</v>
      </c>
      <c r="AV21" s="115" t="str">
        <f t="shared" si="13"/>
        <v>1T25</v>
      </c>
      <c r="AW21" s="115" t="str">
        <f t="shared" si="13"/>
        <v>2T25</v>
      </c>
      <c r="AX21" s="115" t="str">
        <f t="shared" si="13"/>
        <v>3T25</v>
      </c>
      <c r="AY21" s="115" t="str">
        <f t="shared" si="13"/>
        <v>4T25</v>
      </c>
      <c r="AZ21" s="115" t="str">
        <f>AZ5</f>
        <v>1T26</v>
      </c>
    </row>
    <row r="22" spans="2:52" x14ac:dyDescent="0.2">
      <c r="B22" s="129" t="s">
        <v>761</v>
      </c>
      <c r="C22" s="118">
        <v>0</v>
      </c>
      <c r="D22" s="118">
        <v>0</v>
      </c>
      <c r="E22" s="160">
        <v>0</v>
      </c>
      <c r="F22" s="118">
        <v>0</v>
      </c>
      <c r="G22" s="118">
        <v>0</v>
      </c>
      <c r="H22" s="118">
        <v>0</v>
      </c>
      <c r="I22" s="118">
        <v>0</v>
      </c>
      <c r="J22" s="118">
        <v>0</v>
      </c>
      <c r="K22" s="118">
        <v>0</v>
      </c>
      <c r="L22" s="118">
        <v>0</v>
      </c>
      <c r="M22" s="118">
        <v>0</v>
      </c>
      <c r="N22" s="118">
        <v>0</v>
      </c>
      <c r="O22" s="118">
        <v>0</v>
      </c>
      <c r="P22" s="118">
        <v>0</v>
      </c>
      <c r="Q22" s="118">
        <v>0</v>
      </c>
      <c r="R22" s="118">
        <v>0</v>
      </c>
      <c r="S22" s="118">
        <v>0</v>
      </c>
      <c r="T22" s="118">
        <v>0</v>
      </c>
      <c r="U22" s="118">
        <v>426</v>
      </c>
      <c r="V22" s="118">
        <v>451</v>
      </c>
      <c r="W22" s="118">
        <v>465</v>
      </c>
      <c r="X22" s="118">
        <v>482</v>
      </c>
      <c r="Y22" s="118">
        <v>502</v>
      </c>
      <c r="Z22" s="118">
        <v>510</v>
      </c>
      <c r="AA22" s="118">
        <v>527</v>
      </c>
      <c r="AB22" s="118">
        <v>546</v>
      </c>
      <c r="AC22" s="118">
        <v>562</v>
      </c>
      <c r="AD22" s="118">
        <v>985</v>
      </c>
      <c r="AE22" s="118">
        <v>1010</v>
      </c>
      <c r="AF22" s="118">
        <v>1039</v>
      </c>
      <c r="AG22" s="118">
        <v>667</v>
      </c>
      <c r="AH22" s="118">
        <v>698</v>
      </c>
      <c r="AI22" s="118">
        <v>0</v>
      </c>
      <c r="AJ22" s="118">
        <v>0</v>
      </c>
      <c r="AK22" s="118">
        <v>0</v>
      </c>
      <c r="AL22" s="118">
        <v>0</v>
      </c>
      <c r="AM22" s="118">
        <v>25</v>
      </c>
      <c r="AN22" s="118">
        <v>26</v>
      </c>
      <c r="AO22" s="118">
        <v>6</v>
      </c>
      <c r="AP22" s="118">
        <v>497</v>
      </c>
      <c r="AQ22" s="118">
        <v>6</v>
      </c>
      <c r="AR22" s="118">
        <v>6</v>
      </c>
      <c r="AS22" s="118">
        <v>421</v>
      </c>
      <c r="AT22" s="118">
        <v>421</v>
      </c>
      <c r="AU22" s="118">
        <v>421</v>
      </c>
      <c r="AV22" s="118">
        <v>421</v>
      </c>
      <c r="AW22" s="118">
        <v>421</v>
      </c>
      <c r="AX22" s="118">
        <v>421</v>
      </c>
      <c r="AY22" s="118">
        <v>421</v>
      </c>
      <c r="AZ22" s="118">
        <v>421</v>
      </c>
    </row>
    <row r="23" spans="2:52" x14ac:dyDescent="0.2">
      <c r="B23" s="129" t="s">
        <v>196</v>
      </c>
      <c r="C23" s="118">
        <v>2928</v>
      </c>
      <c r="D23" s="118">
        <v>2505</v>
      </c>
      <c r="E23" s="160">
        <v>2493</v>
      </c>
      <c r="F23" s="118">
        <v>2780</v>
      </c>
      <c r="G23" s="118">
        <v>4486</v>
      </c>
      <c r="H23" s="118">
        <v>5623</v>
      </c>
      <c r="I23" s="118">
        <v>6970</v>
      </c>
      <c r="J23" s="118">
        <v>4862</v>
      </c>
      <c r="K23" s="118">
        <v>5101</v>
      </c>
      <c r="L23" s="118">
        <v>4809</v>
      </c>
      <c r="M23" s="118">
        <v>2203</v>
      </c>
      <c r="N23" s="118">
        <v>2077</v>
      </c>
      <c r="O23" s="118">
        <v>2145</v>
      </c>
      <c r="P23" s="118">
        <v>2417</v>
      </c>
      <c r="Q23" s="118">
        <v>2759</v>
      </c>
      <c r="R23" s="118">
        <v>3162</v>
      </c>
      <c r="S23" s="118">
        <v>2359</v>
      </c>
      <c r="T23" s="118">
        <v>2492</v>
      </c>
      <c r="U23" s="118">
        <v>2134</v>
      </c>
      <c r="V23" s="118">
        <v>2446</v>
      </c>
      <c r="W23" s="118">
        <v>3072</v>
      </c>
      <c r="X23" s="118">
        <v>2180</v>
      </c>
      <c r="Y23" s="118">
        <v>2345</v>
      </c>
      <c r="Z23" s="118">
        <v>2130</v>
      </c>
      <c r="AA23" s="118">
        <v>2099</v>
      </c>
      <c r="AB23" s="118">
        <v>5018</v>
      </c>
      <c r="AC23" s="118">
        <v>5757</v>
      </c>
      <c r="AD23" s="118">
        <v>4668</v>
      </c>
      <c r="AE23" s="118">
        <v>4491</v>
      </c>
      <c r="AF23" s="118">
        <v>3602</v>
      </c>
      <c r="AG23" s="118">
        <v>4867</v>
      </c>
      <c r="AH23" s="118">
        <v>4302</v>
      </c>
      <c r="AI23" s="118">
        <v>6198</v>
      </c>
      <c r="AJ23" s="118">
        <v>4522</v>
      </c>
      <c r="AK23" s="118">
        <v>4482</v>
      </c>
      <c r="AL23" s="118">
        <v>11373</v>
      </c>
      <c r="AM23" s="118">
        <v>7530</v>
      </c>
      <c r="AN23" s="118">
        <v>7300</v>
      </c>
      <c r="AO23" s="118">
        <v>7714</v>
      </c>
      <c r="AP23" s="118">
        <v>8883</v>
      </c>
      <c r="AQ23" s="118">
        <v>10735</v>
      </c>
      <c r="AR23" s="118">
        <v>6757</v>
      </c>
      <c r="AS23" s="118">
        <v>8044</v>
      </c>
      <c r="AT23" s="118">
        <v>12223</v>
      </c>
      <c r="AU23" s="118">
        <v>13551</v>
      </c>
      <c r="AV23" s="118">
        <v>13150</v>
      </c>
      <c r="AW23" s="118">
        <v>11272</v>
      </c>
      <c r="AX23" s="118">
        <v>18552</v>
      </c>
      <c r="AY23" s="118">
        <v>24565</v>
      </c>
      <c r="AZ23" s="118">
        <v>17368</v>
      </c>
    </row>
    <row r="24" spans="2:52" x14ac:dyDescent="0.2">
      <c r="B24" s="129" t="s">
        <v>195</v>
      </c>
      <c r="C24" s="118">
        <v>2513</v>
      </c>
      <c r="D24" s="118">
        <v>53</v>
      </c>
      <c r="E24" s="160">
        <v>393</v>
      </c>
      <c r="F24" s="118">
        <v>1608</v>
      </c>
      <c r="G24" s="118">
        <v>1887</v>
      </c>
      <c r="H24" s="118">
        <v>694</v>
      </c>
      <c r="I24" s="118">
        <v>822</v>
      </c>
      <c r="J24" s="118">
        <v>1597</v>
      </c>
      <c r="K24" s="118">
        <v>1669</v>
      </c>
      <c r="L24" s="118">
        <v>293</v>
      </c>
      <c r="M24" s="118">
        <v>631</v>
      </c>
      <c r="N24" s="118">
        <v>734</v>
      </c>
      <c r="O24" s="118">
        <v>894</v>
      </c>
      <c r="P24" s="118">
        <v>712</v>
      </c>
      <c r="Q24" s="118">
        <v>846</v>
      </c>
      <c r="R24" s="118">
        <v>1008</v>
      </c>
      <c r="S24" s="118">
        <v>1194</v>
      </c>
      <c r="T24" s="118">
        <v>1469</v>
      </c>
      <c r="U24" s="118">
        <v>1578</v>
      </c>
      <c r="V24" s="118">
        <v>1952</v>
      </c>
      <c r="W24" s="118">
        <v>2180</v>
      </c>
      <c r="X24" s="118">
        <v>1828</v>
      </c>
      <c r="Y24" s="118">
        <v>1714</v>
      </c>
      <c r="Z24" s="118">
        <v>1896</v>
      </c>
      <c r="AA24" s="118">
        <v>1831</v>
      </c>
      <c r="AB24" s="118">
        <v>1823</v>
      </c>
      <c r="AC24" s="118">
        <v>782</v>
      </c>
      <c r="AD24" s="118">
        <v>706</v>
      </c>
      <c r="AE24" s="118">
        <v>511</v>
      </c>
      <c r="AF24" s="118">
        <v>764</v>
      </c>
      <c r="AG24" s="118">
        <v>625</v>
      </c>
      <c r="AH24" s="118">
        <v>860</v>
      </c>
      <c r="AI24" s="118">
        <v>963</v>
      </c>
      <c r="AJ24" s="118">
        <v>819</v>
      </c>
      <c r="AK24" s="118">
        <v>923</v>
      </c>
      <c r="AL24" s="118">
        <v>991</v>
      </c>
      <c r="AM24" s="118">
        <v>950</v>
      </c>
      <c r="AN24" s="118">
        <v>794</v>
      </c>
      <c r="AO24" s="118">
        <v>1424</v>
      </c>
      <c r="AP24" s="118">
        <v>1263</v>
      </c>
      <c r="AQ24" s="118">
        <v>776</v>
      </c>
      <c r="AR24" s="118">
        <v>1006</v>
      </c>
      <c r="AS24" s="118">
        <v>1350</v>
      </c>
      <c r="AT24" s="118">
        <v>1274</v>
      </c>
      <c r="AU24" s="118">
        <v>564</v>
      </c>
      <c r="AV24" s="118">
        <v>1125</v>
      </c>
      <c r="AW24" s="118">
        <v>1723</v>
      </c>
      <c r="AX24" s="118">
        <v>1509</v>
      </c>
      <c r="AY24" s="118">
        <v>1545</v>
      </c>
      <c r="AZ24" s="118">
        <v>1259</v>
      </c>
    </row>
    <row r="25" spans="2:52" x14ac:dyDescent="0.2">
      <c r="B25" s="129" t="s">
        <v>197</v>
      </c>
      <c r="C25" s="118">
        <v>0</v>
      </c>
      <c r="D25" s="118">
        <v>0</v>
      </c>
      <c r="E25" s="160">
        <v>456</v>
      </c>
      <c r="F25" s="118">
        <v>583</v>
      </c>
      <c r="G25" s="118">
        <v>369</v>
      </c>
      <c r="H25" s="118">
        <v>505</v>
      </c>
      <c r="I25" s="118">
        <v>779</v>
      </c>
      <c r="J25" s="118">
        <v>211</v>
      </c>
      <c r="K25" s="118">
        <v>42</v>
      </c>
      <c r="L25" s="118">
        <v>0</v>
      </c>
      <c r="M25" s="118">
        <v>0</v>
      </c>
      <c r="N25" s="118">
        <v>17</v>
      </c>
      <c r="O25" s="118">
        <v>0</v>
      </c>
      <c r="P25" s="118">
        <v>0</v>
      </c>
      <c r="Q25" s="118">
        <v>0</v>
      </c>
      <c r="R25" s="118">
        <v>0</v>
      </c>
      <c r="S25" s="118">
        <v>0</v>
      </c>
      <c r="T25" s="118">
        <v>0</v>
      </c>
      <c r="U25" s="118">
        <v>0</v>
      </c>
      <c r="V25" s="118">
        <v>0</v>
      </c>
      <c r="W25" s="118">
        <v>0</v>
      </c>
      <c r="X25" s="118">
        <v>106</v>
      </c>
      <c r="Y25" s="118">
        <v>0</v>
      </c>
      <c r="Z25" s="118">
        <v>0</v>
      </c>
      <c r="AA25" s="118">
        <v>39</v>
      </c>
      <c r="AB25" s="118">
        <v>0</v>
      </c>
      <c r="AC25" s="118">
        <v>0</v>
      </c>
      <c r="AD25" s="118">
        <v>0</v>
      </c>
      <c r="AE25" s="118">
        <v>0</v>
      </c>
      <c r="AF25" s="118">
        <v>0</v>
      </c>
      <c r="AG25" s="118">
        <v>0</v>
      </c>
      <c r="AH25" s="118">
        <v>3</v>
      </c>
      <c r="AI25" s="118">
        <v>3</v>
      </c>
      <c r="AJ25" s="118">
        <v>1</v>
      </c>
      <c r="AK25" s="118">
        <v>1</v>
      </c>
      <c r="AL25" s="118">
        <v>1</v>
      </c>
      <c r="AM25" s="118">
        <v>1</v>
      </c>
      <c r="AN25" s="118">
        <v>1</v>
      </c>
      <c r="AO25" s="118">
        <v>1</v>
      </c>
      <c r="AP25" s="118">
        <v>0</v>
      </c>
      <c r="AQ25" s="118">
        <v>0</v>
      </c>
      <c r="AR25" s="118">
        <v>0</v>
      </c>
      <c r="AS25" s="118">
        <v>0</v>
      </c>
      <c r="AT25" s="118">
        <v>0</v>
      </c>
      <c r="AU25" s="118">
        <v>0</v>
      </c>
      <c r="AV25" s="118">
        <v>0</v>
      </c>
      <c r="AW25" s="118">
        <v>0</v>
      </c>
      <c r="AX25" s="118" t="s">
        <v>160</v>
      </c>
      <c r="AY25" s="118">
        <v>0</v>
      </c>
      <c r="AZ25" s="118">
        <v>0</v>
      </c>
    </row>
    <row r="26" spans="2:52" x14ac:dyDescent="0.2">
      <c r="B26" s="129" t="s">
        <v>194</v>
      </c>
      <c r="C26" s="118">
        <v>148</v>
      </c>
      <c r="D26" s="118">
        <v>184</v>
      </c>
      <c r="E26" s="160">
        <v>0</v>
      </c>
      <c r="F26" s="118">
        <v>59</v>
      </c>
      <c r="G26" s="118">
        <v>187</v>
      </c>
      <c r="H26" s="118">
        <v>221</v>
      </c>
      <c r="I26" s="118">
        <v>140</v>
      </c>
      <c r="J26" s="118">
        <v>108</v>
      </c>
      <c r="K26" s="118">
        <v>148</v>
      </c>
      <c r="L26" s="118">
        <v>100</v>
      </c>
      <c r="M26" s="118">
        <v>99</v>
      </c>
      <c r="N26" s="118">
        <v>127</v>
      </c>
      <c r="O26" s="118">
        <v>111</v>
      </c>
      <c r="P26" s="118">
        <v>203</v>
      </c>
      <c r="Q26" s="118">
        <v>25</v>
      </c>
      <c r="R26" s="118">
        <v>58</v>
      </c>
      <c r="S26" s="118">
        <v>55</v>
      </c>
      <c r="T26" s="118">
        <v>433</v>
      </c>
      <c r="U26" s="118">
        <v>12</v>
      </c>
      <c r="V26" s="118">
        <v>17</v>
      </c>
      <c r="W26" s="118">
        <v>77</v>
      </c>
      <c r="X26" s="118">
        <v>0</v>
      </c>
      <c r="Y26" s="118">
        <v>1</v>
      </c>
      <c r="Z26" s="118">
        <v>18</v>
      </c>
      <c r="AA26" s="118">
        <v>4</v>
      </c>
      <c r="AB26" s="118">
        <v>24</v>
      </c>
      <c r="AC26" s="118">
        <v>0</v>
      </c>
      <c r="AD26" s="118">
        <v>11</v>
      </c>
      <c r="AE26" s="118">
        <v>2</v>
      </c>
      <c r="AF26" s="118">
        <v>0</v>
      </c>
      <c r="AG26" s="118">
        <v>39</v>
      </c>
      <c r="AH26" s="118">
        <v>10</v>
      </c>
      <c r="AI26" s="118">
        <v>56</v>
      </c>
      <c r="AJ26" s="118">
        <v>29</v>
      </c>
      <c r="AK26" s="118">
        <v>12</v>
      </c>
      <c r="AL26" s="118">
        <v>0</v>
      </c>
      <c r="AM26" s="118">
        <v>59</v>
      </c>
      <c r="AN26" s="118">
        <v>69</v>
      </c>
      <c r="AO26" s="118">
        <v>88</v>
      </c>
      <c r="AP26" s="118">
        <v>0</v>
      </c>
      <c r="AQ26" s="118">
        <v>0</v>
      </c>
      <c r="AR26" s="118">
        <v>0</v>
      </c>
      <c r="AS26" s="118">
        <v>0</v>
      </c>
      <c r="AT26" s="118">
        <v>0</v>
      </c>
      <c r="AU26" s="118">
        <v>0</v>
      </c>
      <c r="AV26" s="118">
        <v>0</v>
      </c>
      <c r="AW26" s="118">
        <v>0</v>
      </c>
      <c r="AX26" s="118" t="s">
        <v>160</v>
      </c>
      <c r="AY26" s="118">
        <v>0</v>
      </c>
      <c r="AZ26" s="118">
        <v>0</v>
      </c>
    </row>
    <row r="27" spans="2:52" x14ac:dyDescent="0.2">
      <c r="B27" s="129" t="s">
        <v>200</v>
      </c>
      <c r="C27" s="118">
        <v>2858</v>
      </c>
      <c r="D27" s="118">
        <v>2024</v>
      </c>
      <c r="E27" s="160">
        <v>2013</v>
      </c>
      <c r="F27" s="118">
        <v>2229</v>
      </c>
      <c r="G27" s="118">
        <v>6605</v>
      </c>
      <c r="H27" s="118">
        <v>4476</v>
      </c>
      <c r="I27" s="118">
        <v>3179</v>
      </c>
      <c r="J27" s="118">
        <v>2554</v>
      </c>
      <c r="K27" s="118">
        <v>974</v>
      </c>
      <c r="L27" s="118">
        <v>741</v>
      </c>
      <c r="M27" s="118">
        <v>346</v>
      </c>
      <c r="N27" s="118">
        <v>344</v>
      </c>
      <c r="O27" s="118">
        <v>36</v>
      </c>
      <c r="P27" s="118">
        <v>0</v>
      </c>
      <c r="Q27" s="118">
        <v>6</v>
      </c>
      <c r="R27" s="118">
        <v>9</v>
      </c>
      <c r="S27" s="118">
        <v>0</v>
      </c>
      <c r="T27" s="118">
        <v>0</v>
      </c>
      <c r="U27" s="118">
        <v>0</v>
      </c>
      <c r="V27" s="118">
        <v>4</v>
      </c>
      <c r="W27" s="118">
        <v>0</v>
      </c>
      <c r="X27" s="118">
        <v>0</v>
      </c>
      <c r="Y27" s="118">
        <v>0</v>
      </c>
      <c r="Z27" s="118">
        <v>3</v>
      </c>
      <c r="AA27" s="118">
        <v>640</v>
      </c>
      <c r="AB27" s="118">
        <v>384</v>
      </c>
      <c r="AC27" s="118">
        <v>113</v>
      </c>
      <c r="AD27" s="118">
        <v>105</v>
      </c>
      <c r="AE27" s="118">
        <v>97</v>
      </c>
      <c r="AF27" s="118">
        <v>1747</v>
      </c>
      <c r="AG27" s="118">
        <v>142</v>
      </c>
      <c r="AH27" s="118">
        <v>224</v>
      </c>
      <c r="AI27" s="118">
        <v>240</v>
      </c>
      <c r="AJ27" s="118">
        <v>82</v>
      </c>
      <c r="AK27" s="118">
        <v>480</v>
      </c>
      <c r="AL27" s="118">
        <v>179</v>
      </c>
      <c r="AM27" s="118">
        <v>513</v>
      </c>
      <c r="AN27" s="118">
        <v>1042</v>
      </c>
      <c r="AO27" s="118">
        <v>305</v>
      </c>
      <c r="AP27" s="118">
        <v>975</v>
      </c>
      <c r="AQ27" s="118">
        <v>620</v>
      </c>
      <c r="AR27" s="118">
        <v>527</v>
      </c>
      <c r="AS27" s="118">
        <v>857</v>
      </c>
      <c r="AT27" s="118">
        <v>1231</v>
      </c>
      <c r="AU27" s="118">
        <v>1401</v>
      </c>
      <c r="AV27" s="118">
        <v>575</v>
      </c>
      <c r="AW27" s="118">
        <v>243</v>
      </c>
      <c r="AX27" s="118">
        <v>2236</v>
      </c>
      <c r="AY27" s="118">
        <v>2459</v>
      </c>
      <c r="AZ27" s="118">
        <v>4924</v>
      </c>
    </row>
    <row r="28" spans="2:52" s="232" customFormat="1" hidden="1" outlineLevel="1" x14ac:dyDescent="0.2">
      <c r="B28" s="249" t="s">
        <v>584</v>
      </c>
      <c r="C28" s="218">
        <v>0</v>
      </c>
      <c r="D28" s="218">
        <v>0</v>
      </c>
      <c r="E28" s="219">
        <v>0</v>
      </c>
      <c r="F28" s="218">
        <v>0</v>
      </c>
      <c r="G28" s="218">
        <v>0</v>
      </c>
      <c r="H28" s="218">
        <v>0</v>
      </c>
      <c r="I28" s="218">
        <v>0</v>
      </c>
      <c r="J28" s="218">
        <v>0</v>
      </c>
      <c r="K28" s="218">
        <v>0</v>
      </c>
      <c r="L28" s="218">
        <v>0</v>
      </c>
      <c r="M28" s="218">
        <v>0</v>
      </c>
      <c r="N28" s="218">
        <v>0</v>
      </c>
      <c r="O28" s="218">
        <v>0</v>
      </c>
      <c r="P28" s="218">
        <v>0</v>
      </c>
      <c r="Q28" s="218">
        <v>0</v>
      </c>
      <c r="R28" s="218">
        <v>0</v>
      </c>
      <c r="S28" s="218">
        <v>0</v>
      </c>
      <c r="T28" s="218">
        <v>0</v>
      </c>
      <c r="U28" s="218">
        <v>0</v>
      </c>
      <c r="V28" s="218">
        <v>0</v>
      </c>
      <c r="W28" s="218">
        <v>0</v>
      </c>
      <c r="X28" s="218">
        <v>0</v>
      </c>
      <c r="Y28" s="218"/>
      <c r="Z28" s="218">
        <v>0</v>
      </c>
      <c r="AA28" s="218">
        <v>0</v>
      </c>
      <c r="AB28" s="218">
        <v>0</v>
      </c>
      <c r="AC28" s="218">
        <v>0</v>
      </c>
      <c r="AD28" s="218">
        <v>0</v>
      </c>
      <c r="AE28" s="218">
        <v>0</v>
      </c>
      <c r="AF28" s="218">
        <v>0</v>
      </c>
      <c r="AG28" s="218">
        <v>0</v>
      </c>
      <c r="AH28" s="218">
        <v>0</v>
      </c>
      <c r="AI28" s="218">
        <v>0</v>
      </c>
      <c r="AJ28" s="218">
        <v>0</v>
      </c>
      <c r="AK28" s="218">
        <v>0</v>
      </c>
      <c r="AL28" s="218">
        <v>0</v>
      </c>
      <c r="AM28" s="218">
        <v>0</v>
      </c>
      <c r="AN28" s="218">
        <v>0</v>
      </c>
      <c r="AO28" s="218">
        <v>0</v>
      </c>
      <c r="AP28" s="218">
        <v>0</v>
      </c>
      <c r="AQ28" s="218">
        <v>0</v>
      </c>
      <c r="AR28" s="218">
        <v>0</v>
      </c>
      <c r="AS28" s="218"/>
      <c r="AT28" s="218">
        <v>0</v>
      </c>
      <c r="AU28" s="218"/>
      <c r="AV28" s="218"/>
      <c r="AW28" s="218">
        <v>0</v>
      </c>
      <c r="AX28" s="218">
        <v>0</v>
      </c>
      <c r="AY28" s="218">
        <v>0</v>
      </c>
      <c r="AZ28" s="218">
        <v>0</v>
      </c>
    </row>
    <row r="29" spans="2:52" s="232" customFormat="1" hidden="1" outlineLevel="1" x14ac:dyDescent="0.2">
      <c r="B29" s="249" t="s">
        <v>198</v>
      </c>
      <c r="C29" s="218">
        <v>0</v>
      </c>
      <c r="D29" s="218">
        <v>0</v>
      </c>
      <c r="E29" s="219">
        <v>0</v>
      </c>
      <c r="F29" s="218">
        <v>0</v>
      </c>
      <c r="G29" s="218">
        <v>0</v>
      </c>
      <c r="H29" s="218">
        <v>0</v>
      </c>
      <c r="I29" s="218">
        <v>0</v>
      </c>
      <c r="J29" s="218">
        <v>0</v>
      </c>
      <c r="K29" s="218">
        <v>0</v>
      </c>
      <c r="L29" s="218">
        <v>0</v>
      </c>
      <c r="M29" s="218">
        <v>0</v>
      </c>
      <c r="N29" s="218">
        <v>0</v>
      </c>
      <c r="O29" s="218">
        <v>0</v>
      </c>
      <c r="P29" s="218">
        <v>0</v>
      </c>
      <c r="Q29" s="218">
        <v>0</v>
      </c>
      <c r="R29" s="218">
        <v>0</v>
      </c>
      <c r="S29" s="218">
        <v>0</v>
      </c>
      <c r="T29" s="218">
        <v>0</v>
      </c>
      <c r="U29" s="218">
        <v>0</v>
      </c>
      <c r="V29" s="218">
        <v>0</v>
      </c>
      <c r="W29" s="218">
        <v>0</v>
      </c>
      <c r="X29" s="218">
        <v>0</v>
      </c>
      <c r="Y29" s="218"/>
      <c r="Z29" s="218">
        <v>0</v>
      </c>
      <c r="AA29" s="218">
        <v>0</v>
      </c>
      <c r="AB29" s="218">
        <v>0</v>
      </c>
      <c r="AC29" s="218">
        <v>0</v>
      </c>
      <c r="AD29" s="218">
        <v>0</v>
      </c>
      <c r="AE29" s="218">
        <v>0</v>
      </c>
      <c r="AF29" s="218">
        <v>0</v>
      </c>
      <c r="AG29" s="218">
        <v>0</v>
      </c>
      <c r="AH29" s="218">
        <v>0</v>
      </c>
      <c r="AI29" s="218">
        <v>0</v>
      </c>
      <c r="AJ29" s="218">
        <v>0</v>
      </c>
      <c r="AK29" s="218">
        <v>0</v>
      </c>
      <c r="AL29" s="218">
        <v>0</v>
      </c>
      <c r="AM29" s="218">
        <v>0</v>
      </c>
      <c r="AN29" s="218">
        <v>0</v>
      </c>
      <c r="AO29" s="218">
        <v>0</v>
      </c>
      <c r="AP29" s="218">
        <v>0</v>
      </c>
      <c r="AQ29" s="218">
        <v>0</v>
      </c>
      <c r="AR29" s="218">
        <v>0</v>
      </c>
      <c r="AS29" s="218"/>
      <c r="AT29" s="218">
        <v>0</v>
      </c>
      <c r="AU29" s="218"/>
      <c r="AV29" s="218"/>
      <c r="AW29" s="218">
        <v>0</v>
      </c>
      <c r="AX29" s="218">
        <v>0</v>
      </c>
      <c r="AY29" s="218">
        <v>0</v>
      </c>
      <c r="AZ29" s="218">
        <v>0</v>
      </c>
    </row>
    <row r="30" spans="2:52" s="232" customFormat="1" hidden="1" outlineLevel="1" x14ac:dyDescent="0.2">
      <c r="B30" s="249" t="s">
        <v>199</v>
      </c>
      <c r="C30" s="218">
        <v>0</v>
      </c>
      <c r="D30" s="218">
        <v>0</v>
      </c>
      <c r="E30" s="219">
        <v>0</v>
      </c>
      <c r="F30" s="218">
        <v>0</v>
      </c>
      <c r="G30" s="218">
        <v>0</v>
      </c>
      <c r="H30" s="218">
        <v>0</v>
      </c>
      <c r="I30" s="218">
        <v>0</v>
      </c>
      <c r="J30" s="218">
        <v>0</v>
      </c>
      <c r="K30" s="218">
        <v>0</v>
      </c>
      <c r="L30" s="218">
        <v>0</v>
      </c>
      <c r="M30" s="218">
        <v>0</v>
      </c>
      <c r="N30" s="218">
        <v>0</v>
      </c>
      <c r="O30" s="218">
        <v>0</v>
      </c>
      <c r="P30" s="218">
        <v>0</v>
      </c>
      <c r="Q30" s="218">
        <v>0</v>
      </c>
      <c r="R30" s="218">
        <v>0</v>
      </c>
      <c r="S30" s="218">
        <v>0</v>
      </c>
      <c r="T30" s="218">
        <v>0</v>
      </c>
      <c r="U30" s="218">
        <v>0</v>
      </c>
      <c r="V30" s="218">
        <v>0</v>
      </c>
      <c r="W30" s="218">
        <v>0</v>
      </c>
      <c r="X30" s="218">
        <v>0</v>
      </c>
      <c r="Y30" s="218"/>
      <c r="Z30" s="218">
        <v>0</v>
      </c>
      <c r="AA30" s="218">
        <v>0</v>
      </c>
      <c r="AB30" s="218">
        <v>0</v>
      </c>
      <c r="AC30" s="218">
        <v>0</v>
      </c>
      <c r="AD30" s="218">
        <v>0</v>
      </c>
      <c r="AE30" s="218">
        <v>0</v>
      </c>
      <c r="AF30" s="218">
        <v>0</v>
      </c>
      <c r="AG30" s="218">
        <v>0</v>
      </c>
      <c r="AH30" s="218">
        <v>0</v>
      </c>
      <c r="AI30" s="218">
        <v>0</v>
      </c>
      <c r="AJ30" s="218">
        <v>0</v>
      </c>
      <c r="AK30" s="218">
        <v>0</v>
      </c>
      <c r="AL30" s="218">
        <v>0</v>
      </c>
      <c r="AM30" s="218">
        <v>0</v>
      </c>
      <c r="AN30" s="218">
        <v>0</v>
      </c>
      <c r="AO30" s="218">
        <v>0</v>
      </c>
      <c r="AP30" s="218">
        <v>0</v>
      </c>
      <c r="AQ30" s="218">
        <v>0</v>
      </c>
      <c r="AR30" s="218">
        <v>0</v>
      </c>
      <c r="AS30" s="218"/>
      <c r="AT30" s="218">
        <v>0</v>
      </c>
      <c r="AU30" s="218"/>
      <c r="AV30" s="218"/>
      <c r="AW30" s="218">
        <v>0</v>
      </c>
      <c r="AX30" s="218">
        <v>0</v>
      </c>
      <c r="AY30" s="218">
        <v>0</v>
      </c>
      <c r="AZ30" s="218">
        <v>0</v>
      </c>
    </row>
    <row r="31" spans="2:52" s="232" customFormat="1" hidden="1" outlineLevel="1" x14ac:dyDescent="0.2">
      <c r="B31" s="249" t="s">
        <v>193</v>
      </c>
      <c r="C31" s="218">
        <v>0</v>
      </c>
      <c r="D31" s="218">
        <v>0</v>
      </c>
      <c r="E31" s="219">
        <v>0</v>
      </c>
      <c r="F31" s="218">
        <v>115282</v>
      </c>
      <c r="G31" s="218">
        <v>78979</v>
      </c>
      <c r="H31" s="218">
        <v>40605</v>
      </c>
      <c r="I31" s="218">
        <v>41811</v>
      </c>
      <c r="J31" s="218">
        <v>0</v>
      </c>
      <c r="K31" s="218">
        <v>0</v>
      </c>
      <c r="L31" s="218">
        <v>0</v>
      </c>
      <c r="M31" s="218">
        <v>0</v>
      </c>
      <c r="N31" s="218">
        <v>0</v>
      </c>
      <c r="O31" s="218">
        <v>0</v>
      </c>
      <c r="P31" s="218">
        <v>0</v>
      </c>
      <c r="Q31" s="218">
        <v>0</v>
      </c>
      <c r="R31" s="218">
        <v>0</v>
      </c>
      <c r="S31" s="218">
        <v>0</v>
      </c>
      <c r="T31" s="218">
        <v>0</v>
      </c>
      <c r="U31" s="218">
        <v>0</v>
      </c>
      <c r="V31" s="218">
        <v>0</v>
      </c>
      <c r="W31" s="218">
        <v>0</v>
      </c>
      <c r="X31" s="218">
        <v>0</v>
      </c>
      <c r="Y31" s="218"/>
      <c r="Z31" s="218">
        <v>0</v>
      </c>
      <c r="AA31" s="218">
        <v>0</v>
      </c>
      <c r="AB31" s="218">
        <v>0</v>
      </c>
      <c r="AC31" s="218">
        <v>0</v>
      </c>
      <c r="AD31" s="218">
        <v>0</v>
      </c>
      <c r="AE31" s="218">
        <v>0</v>
      </c>
      <c r="AF31" s="218">
        <v>0</v>
      </c>
      <c r="AG31" s="218">
        <v>0</v>
      </c>
      <c r="AH31" s="218">
        <v>0</v>
      </c>
      <c r="AI31" s="218">
        <v>0</v>
      </c>
      <c r="AJ31" s="218">
        <v>0</v>
      </c>
      <c r="AK31" s="218">
        <v>0</v>
      </c>
      <c r="AL31" s="218">
        <v>0</v>
      </c>
      <c r="AM31" s="218">
        <v>0</v>
      </c>
      <c r="AN31" s="218">
        <v>0</v>
      </c>
      <c r="AO31" s="218">
        <v>0</v>
      </c>
      <c r="AP31" s="218">
        <v>0</v>
      </c>
      <c r="AQ31" s="218">
        <v>0</v>
      </c>
      <c r="AR31" s="218">
        <v>0</v>
      </c>
      <c r="AS31" s="218"/>
      <c r="AT31" s="218">
        <v>0</v>
      </c>
      <c r="AU31" s="218"/>
      <c r="AV31" s="218"/>
      <c r="AW31" s="218">
        <v>0</v>
      </c>
      <c r="AX31" s="218">
        <v>0</v>
      </c>
      <c r="AY31" s="218">
        <v>0</v>
      </c>
      <c r="AZ31" s="218">
        <v>0</v>
      </c>
    </row>
    <row r="32" spans="2:52" collapsed="1" x14ac:dyDescent="0.2">
      <c r="B32" s="126"/>
      <c r="C32" s="120">
        <f t="shared" ref="C32:AA32" si="14">SUM(C22:C31)</f>
        <v>8447</v>
      </c>
      <c r="D32" s="120">
        <f t="shared" si="14"/>
        <v>4766</v>
      </c>
      <c r="E32" s="162">
        <f t="shared" si="14"/>
        <v>5355</v>
      </c>
      <c r="F32" s="120">
        <f t="shared" si="14"/>
        <v>122541</v>
      </c>
      <c r="G32" s="120">
        <f t="shared" si="14"/>
        <v>92513</v>
      </c>
      <c r="H32" s="120">
        <f t="shared" si="14"/>
        <v>52124</v>
      </c>
      <c r="I32" s="120">
        <f t="shared" si="14"/>
        <v>53701</v>
      </c>
      <c r="J32" s="120">
        <f t="shared" si="14"/>
        <v>9332</v>
      </c>
      <c r="K32" s="120">
        <f t="shared" si="14"/>
        <v>7934</v>
      </c>
      <c r="L32" s="120">
        <f t="shared" si="14"/>
        <v>5943</v>
      </c>
      <c r="M32" s="120">
        <f t="shared" si="14"/>
        <v>3279</v>
      </c>
      <c r="N32" s="120">
        <f t="shared" si="14"/>
        <v>3299</v>
      </c>
      <c r="O32" s="120">
        <f t="shared" si="14"/>
        <v>3186</v>
      </c>
      <c r="P32" s="120">
        <f t="shared" si="14"/>
        <v>3332</v>
      </c>
      <c r="Q32" s="120">
        <f t="shared" si="14"/>
        <v>3636</v>
      </c>
      <c r="R32" s="120">
        <f t="shared" si="14"/>
        <v>4237</v>
      </c>
      <c r="S32" s="120">
        <f t="shared" si="14"/>
        <v>3608</v>
      </c>
      <c r="T32" s="120">
        <f t="shared" si="14"/>
        <v>4394</v>
      </c>
      <c r="U32" s="120">
        <f t="shared" si="14"/>
        <v>4150</v>
      </c>
      <c r="V32" s="120">
        <f t="shared" si="14"/>
        <v>4870</v>
      </c>
      <c r="W32" s="120">
        <f t="shared" si="14"/>
        <v>5794</v>
      </c>
      <c r="X32" s="120">
        <f t="shared" si="14"/>
        <v>4596</v>
      </c>
      <c r="Y32" s="120">
        <f t="shared" si="14"/>
        <v>4562</v>
      </c>
      <c r="Z32" s="120">
        <f t="shared" si="14"/>
        <v>4557</v>
      </c>
      <c r="AA32" s="120">
        <f t="shared" si="14"/>
        <v>5140</v>
      </c>
      <c r="AB32" s="120">
        <f t="shared" ref="AB32:AK32" si="15">SUM(AB22:AB31)</f>
        <v>7795</v>
      </c>
      <c r="AC32" s="120">
        <f t="shared" si="15"/>
        <v>7214</v>
      </c>
      <c r="AD32" s="120">
        <f t="shared" si="15"/>
        <v>6475</v>
      </c>
      <c r="AE32" s="120">
        <f t="shared" si="15"/>
        <v>6111</v>
      </c>
      <c r="AF32" s="120">
        <f t="shared" si="15"/>
        <v>7152</v>
      </c>
      <c r="AG32" s="120">
        <f t="shared" si="15"/>
        <v>6340</v>
      </c>
      <c r="AH32" s="120">
        <f t="shared" si="15"/>
        <v>6097</v>
      </c>
      <c r="AI32" s="120">
        <f t="shared" si="15"/>
        <v>7460</v>
      </c>
      <c r="AJ32" s="120">
        <f t="shared" si="15"/>
        <v>5453</v>
      </c>
      <c r="AK32" s="120">
        <f t="shared" si="15"/>
        <v>5898</v>
      </c>
      <c r="AL32" s="120">
        <f t="shared" ref="AL32:AS32" si="16">SUM(AL22:AL31)</f>
        <v>12544</v>
      </c>
      <c r="AM32" s="120">
        <f t="shared" si="16"/>
        <v>9078</v>
      </c>
      <c r="AN32" s="120">
        <f t="shared" si="16"/>
        <v>9232</v>
      </c>
      <c r="AO32" s="120">
        <f t="shared" si="16"/>
        <v>9538</v>
      </c>
      <c r="AP32" s="120">
        <f t="shared" si="16"/>
        <v>11618</v>
      </c>
      <c r="AQ32" s="120">
        <f t="shared" si="16"/>
        <v>12137</v>
      </c>
      <c r="AR32" s="120">
        <f t="shared" si="16"/>
        <v>8296</v>
      </c>
      <c r="AS32" s="120">
        <f t="shared" si="16"/>
        <v>10672</v>
      </c>
      <c r="AT32" s="120">
        <f t="shared" ref="AT32:AY32" si="17">SUM(AT22:AT31)</f>
        <v>15149</v>
      </c>
      <c r="AU32" s="120">
        <f t="shared" si="17"/>
        <v>15937</v>
      </c>
      <c r="AV32" s="120">
        <f t="shared" si="17"/>
        <v>15271</v>
      </c>
      <c r="AW32" s="120">
        <f t="shared" si="17"/>
        <v>13659</v>
      </c>
      <c r="AX32" s="120">
        <f t="shared" si="17"/>
        <v>22718</v>
      </c>
      <c r="AY32" s="120">
        <f t="shared" si="17"/>
        <v>28990</v>
      </c>
      <c r="AZ32" s="120">
        <f>SUM(AZ22:AZ31)</f>
        <v>23972</v>
      </c>
    </row>
    <row r="33" spans="2:52" x14ac:dyDescent="0.2">
      <c r="B33" s="129" t="s">
        <v>201</v>
      </c>
      <c r="C33" s="118">
        <v>0</v>
      </c>
      <c r="D33" s="118">
        <v>4766</v>
      </c>
      <c r="E33" s="160">
        <v>5355</v>
      </c>
      <c r="F33" s="118">
        <v>0</v>
      </c>
      <c r="G33" s="118">
        <v>92513</v>
      </c>
      <c r="H33" s="118">
        <v>52124</v>
      </c>
      <c r="I33" s="118">
        <v>53701</v>
      </c>
      <c r="J33" s="118">
        <v>9332</v>
      </c>
      <c r="K33" s="118">
        <v>7934</v>
      </c>
      <c r="L33" s="118">
        <v>5943</v>
      </c>
      <c r="M33" s="118">
        <v>3279</v>
      </c>
      <c r="N33" s="118">
        <v>3299</v>
      </c>
      <c r="O33" s="118">
        <v>3299</v>
      </c>
      <c r="P33" s="118">
        <v>3299</v>
      </c>
      <c r="Q33" s="118">
        <v>3636</v>
      </c>
      <c r="R33" s="118">
        <v>4237</v>
      </c>
      <c r="S33" s="118">
        <v>3608</v>
      </c>
      <c r="T33" s="118">
        <v>3977</v>
      </c>
      <c r="U33" s="118">
        <v>3724</v>
      </c>
      <c r="V33" s="118">
        <v>4419</v>
      </c>
      <c r="W33" s="118">
        <v>5329</v>
      </c>
      <c r="X33" s="118">
        <v>4115</v>
      </c>
      <c r="Y33" s="118">
        <v>4061</v>
      </c>
      <c r="Z33" s="118">
        <v>4047</v>
      </c>
      <c r="AA33" s="118">
        <v>4613</v>
      </c>
      <c r="AB33" s="118">
        <v>7249</v>
      </c>
      <c r="AC33" s="118">
        <v>6652</v>
      </c>
      <c r="AD33" s="118">
        <v>5490</v>
      </c>
      <c r="AE33" s="118">
        <v>5101</v>
      </c>
      <c r="AF33" s="118">
        <v>6113</v>
      </c>
      <c r="AG33" s="118">
        <v>5673</v>
      </c>
      <c r="AH33" s="118">
        <v>5399</v>
      </c>
      <c r="AI33" s="118">
        <v>7460</v>
      </c>
      <c r="AJ33" s="118">
        <v>5453</v>
      </c>
      <c r="AK33" s="118">
        <v>5898</v>
      </c>
      <c r="AL33" s="118">
        <v>12544</v>
      </c>
      <c r="AM33" s="118">
        <v>9053</v>
      </c>
      <c r="AN33" s="118">
        <v>9206</v>
      </c>
      <c r="AO33" s="118">
        <v>9532</v>
      </c>
      <c r="AP33" s="118">
        <v>11121</v>
      </c>
      <c r="AQ33" s="118">
        <v>11521</v>
      </c>
      <c r="AR33" s="118">
        <v>7680</v>
      </c>
      <c r="AS33" s="118">
        <v>9641</v>
      </c>
      <c r="AT33" s="118">
        <v>14118</v>
      </c>
      <c r="AU33" s="118">
        <v>14906</v>
      </c>
      <c r="AV33" s="118">
        <v>14240</v>
      </c>
      <c r="AW33" s="118">
        <v>12628</v>
      </c>
      <c r="AX33" s="118">
        <v>21687</v>
      </c>
      <c r="AY33" s="118">
        <v>27959</v>
      </c>
      <c r="AZ33" s="118">
        <v>22941</v>
      </c>
    </row>
    <row r="34" spans="2:52" x14ac:dyDescent="0.2">
      <c r="B34" s="129" t="s">
        <v>187</v>
      </c>
      <c r="C34" s="118">
        <v>0</v>
      </c>
      <c r="D34" s="118">
        <v>0</v>
      </c>
      <c r="E34" s="160">
        <v>0</v>
      </c>
      <c r="F34" s="118">
        <v>0</v>
      </c>
      <c r="G34" s="118">
        <v>0</v>
      </c>
      <c r="H34" s="118">
        <v>0</v>
      </c>
      <c r="I34" s="118">
        <v>0</v>
      </c>
      <c r="J34" s="118">
        <v>0</v>
      </c>
      <c r="K34" s="118">
        <v>0</v>
      </c>
      <c r="L34" s="118">
        <v>0</v>
      </c>
      <c r="M34" s="118">
        <v>0</v>
      </c>
      <c r="N34" s="118">
        <v>0</v>
      </c>
      <c r="O34" s="118">
        <v>0</v>
      </c>
      <c r="P34" s="118">
        <v>0</v>
      </c>
      <c r="Q34" s="118">
        <v>0</v>
      </c>
      <c r="R34" s="118">
        <v>0</v>
      </c>
      <c r="S34" s="118">
        <v>0</v>
      </c>
      <c r="T34" s="118">
        <v>417</v>
      </c>
      <c r="U34" s="118">
        <v>426</v>
      </c>
      <c r="V34" s="118">
        <v>451</v>
      </c>
      <c r="W34" s="118">
        <v>465</v>
      </c>
      <c r="X34" s="118">
        <v>481</v>
      </c>
      <c r="Y34" s="118">
        <v>501</v>
      </c>
      <c r="Z34" s="118">
        <v>510</v>
      </c>
      <c r="AA34" s="118">
        <v>527</v>
      </c>
      <c r="AB34" s="118">
        <v>546</v>
      </c>
      <c r="AC34" s="118">
        <v>562</v>
      </c>
      <c r="AD34" s="118">
        <v>985</v>
      </c>
      <c r="AE34" s="118">
        <v>1010</v>
      </c>
      <c r="AF34" s="118">
        <v>1039</v>
      </c>
      <c r="AG34" s="118">
        <v>667</v>
      </c>
      <c r="AH34" s="118">
        <v>698</v>
      </c>
      <c r="AI34" s="118">
        <v>0</v>
      </c>
      <c r="AJ34" s="118" t="e">
        <f>#REF!</f>
        <v>#REF!</v>
      </c>
      <c r="AK34" s="118">
        <v>0</v>
      </c>
      <c r="AL34" s="118">
        <v>0</v>
      </c>
      <c r="AM34" s="118">
        <v>25</v>
      </c>
      <c r="AN34" s="118">
        <v>26</v>
      </c>
      <c r="AO34" s="118">
        <v>6</v>
      </c>
      <c r="AP34" s="118">
        <v>497</v>
      </c>
      <c r="AQ34" s="118">
        <v>616</v>
      </c>
      <c r="AR34" s="118">
        <v>616</v>
      </c>
      <c r="AS34" s="118">
        <v>1031</v>
      </c>
      <c r="AT34" s="118">
        <v>1031</v>
      </c>
      <c r="AU34" s="118">
        <v>1031</v>
      </c>
      <c r="AV34" s="118">
        <v>1031</v>
      </c>
      <c r="AW34" s="118">
        <v>1031</v>
      </c>
      <c r="AX34" s="118">
        <v>1031</v>
      </c>
      <c r="AY34" s="118">
        <v>1031</v>
      </c>
      <c r="AZ34" s="118">
        <v>1031</v>
      </c>
    </row>
    <row r="35" spans="2:52" x14ac:dyDescent="0.2">
      <c r="B35" s="126"/>
      <c r="C35" s="120">
        <f t="shared" ref="C35:L35" si="18">SUM(C33:C34)</f>
        <v>0</v>
      </c>
      <c r="D35" s="120">
        <f t="shared" si="18"/>
        <v>4766</v>
      </c>
      <c r="E35" s="162">
        <f t="shared" si="18"/>
        <v>5355</v>
      </c>
      <c r="F35" s="120">
        <f t="shared" si="18"/>
        <v>0</v>
      </c>
      <c r="G35" s="120">
        <f t="shared" si="18"/>
        <v>92513</v>
      </c>
      <c r="H35" s="120">
        <f t="shared" si="18"/>
        <v>52124</v>
      </c>
      <c r="I35" s="120">
        <f t="shared" si="18"/>
        <v>53701</v>
      </c>
      <c r="J35" s="120">
        <f t="shared" si="18"/>
        <v>9332</v>
      </c>
      <c r="K35" s="120">
        <f t="shared" si="18"/>
        <v>7934</v>
      </c>
      <c r="L35" s="120">
        <f t="shared" si="18"/>
        <v>5943</v>
      </c>
      <c r="M35" s="120">
        <f t="shared" ref="M35:X35" si="19">SUM(M33:M34)</f>
        <v>3279</v>
      </c>
      <c r="N35" s="120">
        <f t="shared" si="19"/>
        <v>3299</v>
      </c>
      <c r="O35" s="120">
        <f t="shared" si="19"/>
        <v>3299</v>
      </c>
      <c r="P35" s="120">
        <f t="shared" si="19"/>
        <v>3299</v>
      </c>
      <c r="Q35" s="120">
        <f t="shared" si="19"/>
        <v>3636</v>
      </c>
      <c r="R35" s="120">
        <f t="shared" si="19"/>
        <v>4237</v>
      </c>
      <c r="S35" s="120">
        <f t="shared" si="19"/>
        <v>3608</v>
      </c>
      <c r="T35" s="120">
        <f t="shared" si="19"/>
        <v>4394</v>
      </c>
      <c r="U35" s="120">
        <f t="shared" si="19"/>
        <v>4150</v>
      </c>
      <c r="V35" s="120">
        <f t="shared" si="19"/>
        <v>4870</v>
      </c>
      <c r="W35" s="120">
        <f t="shared" si="19"/>
        <v>5794</v>
      </c>
      <c r="X35" s="120">
        <f t="shared" si="19"/>
        <v>4596</v>
      </c>
      <c r="Y35" s="120">
        <f t="shared" ref="Y35:AK35" si="20">SUM(Y33:Y34)</f>
        <v>4562</v>
      </c>
      <c r="Z35" s="120">
        <f t="shared" si="20"/>
        <v>4557</v>
      </c>
      <c r="AA35" s="120">
        <f t="shared" si="20"/>
        <v>5140</v>
      </c>
      <c r="AB35" s="120">
        <f t="shared" si="20"/>
        <v>7795</v>
      </c>
      <c r="AC35" s="120">
        <f t="shared" si="20"/>
        <v>7214</v>
      </c>
      <c r="AD35" s="120">
        <f t="shared" si="20"/>
        <v>6475</v>
      </c>
      <c r="AE35" s="120">
        <f t="shared" si="20"/>
        <v>6111</v>
      </c>
      <c r="AF35" s="120">
        <f t="shared" si="20"/>
        <v>7152</v>
      </c>
      <c r="AG35" s="120">
        <f t="shared" si="20"/>
        <v>6340</v>
      </c>
      <c r="AH35" s="120">
        <f t="shared" si="20"/>
        <v>6097</v>
      </c>
      <c r="AI35" s="120">
        <f t="shared" si="20"/>
        <v>7460</v>
      </c>
      <c r="AJ35" s="120" t="e">
        <f t="shared" si="20"/>
        <v>#REF!</v>
      </c>
      <c r="AK35" s="120">
        <f t="shared" si="20"/>
        <v>5898</v>
      </c>
      <c r="AL35" s="120">
        <f t="shared" ref="AL35:AS35" si="21">SUM(AL33:AL34)</f>
        <v>12544</v>
      </c>
      <c r="AM35" s="120">
        <f t="shared" si="21"/>
        <v>9078</v>
      </c>
      <c r="AN35" s="120">
        <f t="shared" si="21"/>
        <v>9232</v>
      </c>
      <c r="AO35" s="120">
        <f t="shared" si="21"/>
        <v>9538</v>
      </c>
      <c r="AP35" s="120">
        <f t="shared" si="21"/>
        <v>11618</v>
      </c>
      <c r="AQ35" s="120">
        <f t="shared" si="21"/>
        <v>12137</v>
      </c>
      <c r="AR35" s="120">
        <f t="shared" si="21"/>
        <v>8296</v>
      </c>
      <c r="AS35" s="120">
        <f t="shared" si="21"/>
        <v>10672</v>
      </c>
      <c r="AT35" s="120">
        <f t="shared" ref="AT35:AY35" si="22">SUM(AT33:AT34)</f>
        <v>15149</v>
      </c>
      <c r="AU35" s="120">
        <f t="shared" si="22"/>
        <v>15937</v>
      </c>
      <c r="AV35" s="120">
        <f t="shared" si="22"/>
        <v>15271</v>
      </c>
      <c r="AW35" s="120">
        <f t="shared" si="22"/>
        <v>13659</v>
      </c>
      <c r="AX35" s="120">
        <f t="shared" si="22"/>
        <v>22718</v>
      </c>
      <c r="AY35" s="120">
        <f t="shared" si="22"/>
        <v>28990</v>
      </c>
      <c r="AZ35" s="120">
        <f>SUM(AZ33:AZ34)</f>
        <v>23972</v>
      </c>
    </row>
    <row r="37" spans="2:52" x14ac:dyDescent="0.2">
      <c r="B37" s="151" t="s">
        <v>98</v>
      </c>
      <c r="C37" s="115">
        <f t="shared" ref="C37:AA37" si="23">C21</f>
        <v>2013</v>
      </c>
      <c r="D37" s="115" t="str">
        <f t="shared" si="23"/>
        <v>1T14</v>
      </c>
      <c r="E37" s="115" t="str">
        <f t="shared" si="23"/>
        <v>2T14</v>
      </c>
      <c r="F37" s="115" t="str">
        <f t="shared" si="23"/>
        <v>3T14</v>
      </c>
      <c r="G37" s="115" t="str">
        <f t="shared" si="23"/>
        <v>4T14</v>
      </c>
      <c r="H37" s="115" t="str">
        <f t="shared" si="23"/>
        <v>1T15</v>
      </c>
      <c r="I37" s="115" t="str">
        <f t="shared" si="23"/>
        <v>2T15</v>
      </c>
      <c r="J37" s="115" t="str">
        <f t="shared" si="23"/>
        <v>3T15</v>
      </c>
      <c r="K37" s="115" t="str">
        <f t="shared" si="23"/>
        <v>4T15</v>
      </c>
      <c r="L37" s="115" t="str">
        <f t="shared" si="23"/>
        <v>1T16</v>
      </c>
      <c r="M37" s="115" t="str">
        <f t="shared" si="23"/>
        <v>2T16</v>
      </c>
      <c r="N37" s="115" t="str">
        <f t="shared" si="23"/>
        <v>3T16</v>
      </c>
      <c r="O37" s="115" t="str">
        <f t="shared" si="23"/>
        <v>4T16</v>
      </c>
      <c r="P37" s="115" t="str">
        <f t="shared" si="23"/>
        <v>1T17</v>
      </c>
      <c r="Q37" s="115" t="str">
        <f t="shared" si="23"/>
        <v>2T17</v>
      </c>
      <c r="R37" s="115" t="str">
        <f t="shared" si="23"/>
        <v>3T17</v>
      </c>
      <c r="S37" s="115" t="str">
        <f t="shared" si="23"/>
        <v>4T17</v>
      </c>
      <c r="T37" s="115" t="str">
        <f t="shared" si="23"/>
        <v>1T18</v>
      </c>
      <c r="U37" s="115" t="str">
        <f t="shared" si="23"/>
        <v>2T18</v>
      </c>
      <c r="V37" s="115" t="str">
        <f t="shared" si="23"/>
        <v>3T18</v>
      </c>
      <c r="W37" s="115" t="str">
        <f t="shared" si="23"/>
        <v>4T18</v>
      </c>
      <c r="X37" s="115" t="str">
        <f t="shared" si="23"/>
        <v>1T19</v>
      </c>
      <c r="Y37" s="115" t="str">
        <f t="shared" si="23"/>
        <v>2T19</v>
      </c>
      <c r="Z37" s="115" t="str">
        <f t="shared" si="23"/>
        <v>3T19</v>
      </c>
      <c r="AA37" s="115" t="str">
        <f t="shared" si="23"/>
        <v>4T19</v>
      </c>
      <c r="AB37" s="115" t="str">
        <f t="shared" ref="AB37:AK37" si="24">AB21</f>
        <v>1T20</v>
      </c>
      <c r="AC37" s="115" t="str">
        <f t="shared" si="24"/>
        <v>2T20</v>
      </c>
      <c r="AD37" s="115" t="str">
        <f t="shared" si="24"/>
        <v>3T20</v>
      </c>
      <c r="AE37" s="115" t="str">
        <f t="shared" si="24"/>
        <v>4T20</v>
      </c>
      <c r="AF37" s="115" t="str">
        <f t="shared" si="24"/>
        <v>1T21</v>
      </c>
      <c r="AG37" s="115" t="str">
        <f t="shared" si="24"/>
        <v>2T21</v>
      </c>
      <c r="AH37" s="115" t="str">
        <f t="shared" si="24"/>
        <v>3T21</v>
      </c>
      <c r="AI37" s="115" t="str">
        <f t="shared" si="24"/>
        <v>4T21</v>
      </c>
      <c r="AJ37" s="115" t="str">
        <f>AJ21</f>
        <v>1T22</v>
      </c>
      <c r="AK37" s="115" t="str">
        <f t="shared" si="24"/>
        <v>2T22</v>
      </c>
      <c r="AL37" s="115" t="str">
        <f t="shared" ref="AL37:AS37" si="25">AL21</f>
        <v>3T22</v>
      </c>
      <c r="AM37" s="115" t="str">
        <f t="shared" si="25"/>
        <v>4T22</v>
      </c>
      <c r="AN37" s="115" t="str">
        <f t="shared" si="25"/>
        <v>1T23</v>
      </c>
      <c r="AO37" s="115" t="str">
        <f t="shared" si="25"/>
        <v>2T23</v>
      </c>
      <c r="AP37" s="115" t="str">
        <f t="shared" si="25"/>
        <v>3T23</v>
      </c>
      <c r="AQ37" s="115" t="str">
        <f t="shared" si="25"/>
        <v>4T23</v>
      </c>
      <c r="AR37" s="115" t="str">
        <f t="shared" si="25"/>
        <v>1T24</v>
      </c>
      <c r="AS37" s="115" t="str">
        <f t="shared" si="25"/>
        <v>2T24</v>
      </c>
      <c r="AT37" s="115" t="str">
        <f t="shared" ref="AT37:AY37" si="26">AT21</f>
        <v>3T24</v>
      </c>
      <c r="AU37" s="115" t="str">
        <f t="shared" si="26"/>
        <v>4T24</v>
      </c>
      <c r="AV37" s="115" t="str">
        <f t="shared" si="26"/>
        <v>1T25</v>
      </c>
      <c r="AW37" s="115" t="str">
        <f t="shared" si="26"/>
        <v>2T25</v>
      </c>
      <c r="AX37" s="115" t="str">
        <f t="shared" si="26"/>
        <v>3T25</v>
      </c>
      <c r="AY37" s="115" t="str">
        <f t="shared" si="26"/>
        <v>4T25</v>
      </c>
      <c r="AZ37" s="115" t="str">
        <f>AZ21</f>
        <v>1T26</v>
      </c>
    </row>
    <row r="38" spans="2:52" x14ac:dyDescent="0.2">
      <c r="B38" s="129" t="s">
        <v>761</v>
      </c>
      <c r="C38" s="118">
        <v>0</v>
      </c>
      <c r="D38" s="118">
        <v>0</v>
      </c>
      <c r="E38" s="160">
        <v>0</v>
      </c>
      <c r="F38" s="118">
        <v>0</v>
      </c>
      <c r="G38" s="118">
        <v>0</v>
      </c>
      <c r="H38" s="118">
        <v>0</v>
      </c>
      <c r="I38" s="118">
        <v>0</v>
      </c>
      <c r="J38" s="118">
        <v>0</v>
      </c>
      <c r="K38" s="118">
        <v>0</v>
      </c>
      <c r="L38" s="118">
        <v>0</v>
      </c>
      <c r="M38" s="118">
        <v>0</v>
      </c>
      <c r="N38" s="118">
        <v>0</v>
      </c>
      <c r="O38" s="118">
        <v>0</v>
      </c>
      <c r="P38" s="118">
        <f t="shared" ref="P38:V40" si="27">+P6-P22</f>
        <v>0</v>
      </c>
      <c r="Q38" s="261">
        <f t="shared" si="27"/>
        <v>0</v>
      </c>
      <c r="R38" s="118">
        <f t="shared" si="27"/>
        <v>0</v>
      </c>
      <c r="S38" s="118">
        <f t="shared" si="27"/>
        <v>0</v>
      </c>
      <c r="T38" s="118">
        <f t="shared" si="27"/>
        <v>4333</v>
      </c>
      <c r="U38" s="118">
        <f t="shared" si="27"/>
        <v>3873</v>
      </c>
      <c r="V38" s="118">
        <f t="shared" si="27"/>
        <v>4500</v>
      </c>
      <c r="W38" s="118">
        <v>5505</v>
      </c>
      <c r="X38" s="118">
        <v>5512</v>
      </c>
      <c r="Y38" s="118">
        <v>5963</v>
      </c>
      <c r="Z38" s="261">
        <v>1304</v>
      </c>
      <c r="AA38" s="118">
        <v>1305</v>
      </c>
      <c r="AB38" s="118">
        <v>1304</v>
      </c>
      <c r="AC38" s="118">
        <f t="shared" ref="AC38:AD40" si="28">AC6-AC22</f>
        <v>1304</v>
      </c>
      <c r="AD38" s="118">
        <f t="shared" si="28"/>
        <v>1305</v>
      </c>
      <c r="AE38" s="118">
        <f t="shared" ref="AE38:AJ40" si="29">AE6-AE22</f>
        <v>1304</v>
      </c>
      <c r="AF38" s="118">
        <f t="shared" si="29"/>
        <v>1304</v>
      </c>
      <c r="AG38" s="118">
        <f t="shared" si="29"/>
        <v>1304</v>
      </c>
      <c r="AH38" s="118">
        <f t="shared" si="29"/>
        <v>1304</v>
      </c>
      <c r="AI38" s="118">
        <f t="shared" si="29"/>
        <v>1461</v>
      </c>
      <c r="AJ38" s="118">
        <f t="shared" si="29"/>
        <v>1461</v>
      </c>
      <c r="AK38" s="118">
        <v>1460</v>
      </c>
      <c r="AL38" s="118">
        <f t="shared" ref="AL38:AR40" si="30">AL6-AL22</f>
        <v>1461</v>
      </c>
      <c r="AM38" s="118">
        <f t="shared" si="30"/>
        <v>1460</v>
      </c>
      <c r="AN38" s="118">
        <f t="shared" si="30"/>
        <v>1461</v>
      </c>
      <c r="AO38" s="118">
        <f t="shared" si="30"/>
        <v>1012</v>
      </c>
      <c r="AP38" s="118">
        <f t="shared" si="30"/>
        <v>1013</v>
      </c>
      <c r="AQ38" s="118">
        <f t="shared" si="30"/>
        <v>1012</v>
      </c>
      <c r="AR38" s="118">
        <f t="shared" si="30"/>
        <v>1012</v>
      </c>
      <c r="AS38" s="118">
        <v>597</v>
      </c>
      <c r="AT38" s="118">
        <f t="shared" ref="AT38:AW40" si="31">AT6-AT22</f>
        <v>597</v>
      </c>
      <c r="AU38" s="118">
        <v>667</v>
      </c>
      <c r="AV38" s="118">
        <f>AV6-AV22</f>
        <v>667</v>
      </c>
      <c r="AW38" s="118">
        <f t="shared" si="31"/>
        <v>667</v>
      </c>
      <c r="AX38" s="118">
        <v>667</v>
      </c>
      <c r="AY38" s="118">
        <v>667</v>
      </c>
      <c r="AZ38" s="118">
        <f>AZ6-AZ22</f>
        <v>667</v>
      </c>
    </row>
    <row r="39" spans="2:52" x14ac:dyDescent="0.2">
      <c r="B39" s="129" t="s">
        <v>196</v>
      </c>
      <c r="C39" s="118">
        <f t="shared" ref="C39:O39" si="32">+C7-C23</f>
        <v>1952</v>
      </c>
      <c r="D39" s="118">
        <f t="shared" si="32"/>
        <v>797</v>
      </c>
      <c r="E39" s="160">
        <f t="shared" si="32"/>
        <v>276</v>
      </c>
      <c r="F39" s="118">
        <f t="shared" si="32"/>
        <v>215</v>
      </c>
      <c r="G39" s="118">
        <f t="shared" si="32"/>
        <v>423</v>
      </c>
      <c r="H39" s="118">
        <f t="shared" si="32"/>
        <v>416</v>
      </c>
      <c r="I39" s="118">
        <f t="shared" si="32"/>
        <v>624</v>
      </c>
      <c r="J39" s="118">
        <f t="shared" si="32"/>
        <v>461</v>
      </c>
      <c r="K39" s="118">
        <f t="shared" si="32"/>
        <v>1591</v>
      </c>
      <c r="L39" s="118">
        <f t="shared" si="32"/>
        <v>1717</v>
      </c>
      <c r="M39" s="118">
        <f t="shared" si="32"/>
        <v>2110</v>
      </c>
      <c r="N39" s="118">
        <f t="shared" si="32"/>
        <v>1983</v>
      </c>
      <c r="O39" s="118">
        <f t="shared" si="32"/>
        <v>483</v>
      </c>
      <c r="P39" s="118">
        <f t="shared" si="27"/>
        <v>1344</v>
      </c>
      <c r="Q39" s="118">
        <f t="shared" si="27"/>
        <v>556</v>
      </c>
      <c r="R39" s="118">
        <f t="shared" si="27"/>
        <v>519</v>
      </c>
      <c r="S39" s="118">
        <f t="shared" si="27"/>
        <v>452</v>
      </c>
      <c r="T39" s="118">
        <f t="shared" si="27"/>
        <v>943</v>
      </c>
      <c r="U39" s="118">
        <f t="shared" si="27"/>
        <v>1137</v>
      </c>
      <c r="V39" s="118">
        <f t="shared" si="27"/>
        <v>1409</v>
      </c>
      <c r="W39" s="118">
        <v>1258</v>
      </c>
      <c r="X39" s="118">
        <v>1956</v>
      </c>
      <c r="Y39" s="118">
        <v>1259</v>
      </c>
      <c r="Z39" s="118">
        <v>1960</v>
      </c>
      <c r="AA39" s="118">
        <v>1620</v>
      </c>
      <c r="AB39" s="118">
        <v>1176</v>
      </c>
      <c r="AC39" s="118">
        <f t="shared" si="28"/>
        <v>2655</v>
      </c>
      <c r="AD39" s="118">
        <f t="shared" si="28"/>
        <v>3406</v>
      </c>
      <c r="AE39" s="118">
        <f t="shared" si="29"/>
        <v>3199</v>
      </c>
      <c r="AF39" s="118">
        <f t="shared" si="29"/>
        <v>3207</v>
      </c>
      <c r="AG39" s="118">
        <f t="shared" si="29"/>
        <v>994</v>
      </c>
      <c r="AH39" s="118">
        <f t="shared" si="29"/>
        <v>1729</v>
      </c>
      <c r="AI39" s="118">
        <f t="shared" si="29"/>
        <v>1287</v>
      </c>
      <c r="AJ39" s="118">
        <f>AJ7-AJ23</f>
        <v>2019</v>
      </c>
      <c r="AK39" s="118">
        <v>2693</v>
      </c>
      <c r="AL39" s="118">
        <f t="shared" si="30"/>
        <v>7315</v>
      </c>
      <c r="AM39" s="118">
        <f t="shared" si="30"/>
        <v>5840</v>
      </c>
      <c r="AN39" s="118">
        <f t="shared" si="30"/>
        <v>3905</v>
      </c>
      <c r="AO39" s="118">
        <f t="shared" si="30"/>
        <v>3548</v>
      </c>
      <c r="AP39" s="118">
        <f t="shared" si="30"/>
        <v>3764</v>
      </c>
      <c r="AQ39" s="118">
        <f t="shared" si="30"/>
        <v>2835</v>
      </c>
      <c r="AR39" s="118">
        <f t="shared" si="30"/>
        <v>2673</v>
      </c>
      <c r="AS39" s="118">
        <v>3053</v>
      </c>
      <c r="AT39" s="118">
        <f t="shared" si="31"/>
        <v>2206</v>
      </c>
      <c r="AU39" s="118">
        <v>2550</v>
      </c>
      <c r="AV39" s="118">
        <f>AV7-AV23</f>
        <v>2226</v>
      </c>
      <c r="AW39" s="118">
        <f t="shared" si="31"/>
        <v>2483</v>
      </c>
      <c r="AX39" s="118">
        <v>12291</v>
      </c>
      <c r="AY39" s="118">
        <v>3516</v>
      </c>
      <c r="AZ39" s="118">
        <f>AZ7-AZ23</f>
        <v>2506</v>
      </c>
    </row>
    <row r="40" spans="2:52" x14ac:dyDescent="0.2">
      <c r="B40" s="129" t="s">
        <v>195</v>
      </c>
      <c r="C40" s="118">
        <f t="shared" ref="C40:O40" si="33">+C8-C24</f>
        <v>823</v>
      </c>
      <c r="D40" s="118">
        <f t="shared" si="33"/>
        <v>243</v>
      </c>
      <c r="E40" s="160">
        <f t="shared" si="33"/>
        <v>149</v>
      </c>
      <c r="F40" s="118">
        <f t="shared" si="33"/>
        <v>412</v>
      </c>
      <c r="G40" s="118">
        <f t="shared" si="33"/>
        <v>522</v>
      </c>
      <c r="H40" s="118">
        <f t="shared" si="33"/>
        <v>125</v>
      </c>
      <c r="I40" s="118">
        <f t="shared" si="33"/>
        <v>113</v>
      </c>
      <c r="J40" s="118">
        <f t="shared" si="33"/>
        <v>393</v>
      </c>
      <c r="K40" s="118">
        <f t="shared" si="33"/>
        <v>423</v>
      </c>
      <c r="L40" s="118">
        <f t="shared" si="33"/>
        <v>91</v>
      </c>
      <c r="M40" s="118">
        <f t="shared" si="33"/>
        <v>183</v>
      </c>
      <c r="N40" s="118">
        <f t="shared" si="33"/>
        <v>165</v>
      </c>
      <c r="O40" s="118">
        <f t="shared" si="33"/>
        <v>142</v>
      </c>
      <c r="P40" s="118">
        <f t="shared" si="27"/>
        <v>116</v>
      </c>
      <c r="Q40" s="118">
        <f t="shared" si="27"/>
        <v>203</v>
      </c>
      <c r="R40" s="118">
        <f t="shared" si="27"/>
        <v>224</v>
      </c>
      <c r="S40" s="118">
        <f t="shared" si="27"/>
        <v>162</v>
      </c>
      <c r="T40" s="118">
        <f t="shared" si="27"/>
        <v>71</v>
      </c>
      <c r="U40" s="118">
        <f t="shared" si="27"/>
        <v>155</v>
      </c>
      <c r="V40" s="118">
        <f t="shared" si="27"/>
        <v>131</v>
      </c>
      <c r="W40" s="118">
        <v>188</v>
      </c>
      <c r="X40" s="118">
        <v>147</v>
      </c>
      <c r="Y40" s="118">
        <v>180</v>
      </c>
      <c r="Z40" s="118">
        <v>218</v>
      </c>
      <c r="AA40" s="118">
        <v>200</v>
      </c>
      <c r="AB40" s="118">
        <v>143</v>
      </c>
      <c r="AC40" s="118">
        <f t="shared" si="28"/>
        <v>118</v>
      </c>
      <c r="AD40" s="118">
        <f t="shared" si="28"/>
        <v>66</v>
      </c>
      <c r="AE40" s="118">
        <f t="shared" si="29"/>
        <v>-41</v>
      </c>
      <c r="AF40" s="118">
        <f t="shared" si="29"/>
        <v>134</v>
      </c>
      <c r="AG40" s="118">
        <f t="shared" si="29"/>
        <v>145</v>
      </c>
      <c r="AH40" s="118">
        <f t="shared" si="29"/>
        <v>117</v>
      </c>
      <c r="AI40" s="118">
        <f t="shared" si="29"/>
        <v>106</v>
      </c>
      <c r="AJ40" s="118">
        <f>AJ8-AJ24</f>
        <v>79</v>
      </c>
      <c r="AK40" s="118">
        <v>80</v>
      </c>
      <c r="AL40" s="118">
        <f t="shared" si="30"/>
        <v>95</v>
      </c>
      <c r="AM40" s="118">
        <f t="shared" si="30"/>
        <v>92</v>
      </c>
      <c r="AN40" s="118">
        <f t="shared" si="30"/>
        <v>53</v>
      </c>
      <c r="AO40" s="118">
        <f t="shared" si="30"/>
        <v>127</v>
      </c>
      <c r="AP40" s="118">
        <f t="shared" si="30"/>
        <v>105</v>
      </c>
      <c r="AQ40" s="118">
        <f t="shared" si="30"/>
        <v>118</v>
      </c>
      <c r="AR40" s="118">
        <f t="shared" si="30"/>
        <v>141</v>
      </c>
      <c r="AS40" s="118">
        <v>143</v>
      </c>
      <c r="AT40" s="118">
        <f t="shared" si="31"/>
        <v>162</v>
      </c>
      <c r="AU40" s="118">
        <v>117</v>
      </c>
      <c r="AV40" s="118">
        <f>AV8-AV24</f>
        <v>132</v>
      </c>
      <c r="AW40" s="118">
        <f t="shared" si="31"/>
        <v>130</v>
      </c>
      <c r="AX40" s="118">
        <v>228</v>
      </c>
      <c r="AY40" s="118">
        <v>132</v>
      </c>
      <c r="AZ40" s="118">
        <f>AZ8-AZ24</f>
        <v>163</v>
      </c>
    </row>
    <row r="41" spans="2:52" x14ac:dyDescent="0.2">
      <c r="B41" s="129" t="s">
        <v>199</v>
      </c>
      <c r="C41" s="118">
        <f t="shared" ref="C41:V41" si="34">+C9-C30</f>
        <v>0</v>
      </c>
      <c r="D41" s="118">
        <f t="shared" si="34"/>
        <v>0</v>
      </c>
      <c r="E41" s="160">
        <f t="shared" si="34"/>
        <v>0</v>
      </c>
      <c r="F41" s="118">
        <f t="shared" si="34"/>
        <v>0</v>
      </c>
      <c r="G41" s="118">
        <f t="shared" si="34"/>
        <v>13371</v>
      </c>
      <c r="H41" s="118">
        <f t="shared" si="34"/>
        <v>13371</v>
      </c>
      <c r="I41" s="118">
        <f t="shared" si="34"/>
        <v>13371</v>
      </c>
      <c r="J41" s="118">
        <f t="shared" si="34"/>
        <v>13371</v>
      </c>
      <c r="K41" s="118">
        <f t="shared" si="34"/>
        <v>13371</v>
      </c>
      <c r="L41" s="118">
        <f t="shared" si="34"/>
        <v>13371</v>
      </c>
      <c r="M41" s="118">
        <f t="shared" si="34"/>
        <v>13371</v>
      </c>
      <c r="N41" s="118">
        <f t="shared" si="34"/>
        <v>13371</v>
      </c>
      <c r="O41" s="118">
        <f t="shared" si="34"/>
        <v>13371</v>
      </c>
      <c r="P41" s="118">
        <f t="shared" si="34"/>
        <v>13371</v>
      </c>
      <c r="Q41" s="118">
        <f t="shared" si="34"/>
        <v>13371</v>
      </c>
      <c r="R41" s="118">
        <f t="shared" si="34"/>
        <v>7638</v>
      </c>
      <c r="S41" s="118">
        <f t="shared" si="34"/>
        <v>1907</v>
      </c>
      <c r="T41" s="118">
        <f t="shared" si="34"/>
        <v>1907</v>
      </c>
      <c r="U41" s="118">
        <f t="shared" si="34"/>
        <v>1907</v>
      </c>
      <c r="V41" s="118">
        <f t="shared" si="34"/>
        <v>1907</v>
      </c>
      <c r="W41" s="118">
        <v>0</v>
      </c>
      <c r="X41" s="118">
        <v>0</v>
      </c>
      <c r="Y41" s="118">
        <v>0</v>
      </c>
      <c r="Z41" s="118">
        <v>0</v>
      </c>
      <c r="AA41" s="118">
        <v>0</v>
      </c>
      <c r="AB41" s="118">
        <v>0</v>
      </c>
      <c r="AC41" s="118">
        <f t="shared" ref="AC41:AI41" si="35">AC9-AC30</f>
        <v>0</v>
      </c>
      <c r="AD41" s="118">
        <f t="shared" si="35"/>
        <v>0</v>
      </c>
      <c r="AE41" s="118">
        <f t="shared" si="35"/>
        <v>0</v>
      </c>
      <c r="AF41" s="118">
        <f t="shared" si="35"/>
        <v>0</v>
      </c>
      <c r="AG41" s="118">
        <f t="shared" si="35"/>
        <v>0</v>
      </c>
      <c r="AH41" s="118">
        <f t="shared" si="35"/>
        <v>0</v>
      </c>
      <c r="AI41" s="118">
        <f t="shared" si="35"/>
        <v>0</v>
      </c>
      <c r="AJ41" s="118">
        <f>AJ9-AJ30</f>
        <v>0</v>
      </c>
      <c r="AK41" s="118">
        <v>0</v>
      </c>
      <c r="AL41" s="118">
        <f t="shared" ref="AL41:AR41" si="36">AL9-AL30</f>
        <v>0</v>
      </c>
      <c r="AM41" s="118">
        <f t="shared" si="36"/>
        <v>0</v>
      </c>
      <c r="AN41" s="118">
        <f t="shared" si="36"/>
        <v>0</v>
      </c>
      <c r="AO41" s="118">
        <f t="shared" si="36"/>
        <v>0</v>
      </c>
      <c r="AP41" s="118">
        <f t="shared" si="36"/>
        <v>0</v>
      </c>
      <c r="AQ41" s="118">
        <f t="shared" si="36"/>
        <v>0</v>
      </c>
      <c r="AR41" s="118">
        <f t="shared" si="36"/>
        <v>0</v>
      </c>
      <c r="AS41" s="118">
        <v>0</v>
      </c>
      <c r="AT41" s="118">
        <f>AT9-AT30</f>
        <v>0</v>
      </c>
      <c r="AU41" s="118">
        <v>0</v>
      </c>
      <c r="AV41" s="118">
        <f>AV9-AV30</f>
        <v>0</v>
      </c>
      <c r="AW41" s="118">
        <f>AW9-AW30</f>
        <v>0</v>
      </c>
      <c r="AX41" s="118" t="s">
        <v>160</v>
      </c>
      <c r="AY41" s="118">
        <v>0</v>
      </c>
      <c r="AZ41" s="118">
        <v>0</v>
      </c>
    </row>
    <row r="42" spans="2:52" x14ac:dyDescent="0.2">
      <c r="B42" s="129" t="s">
        <v>197</v>
      </c>
      <c r="C42" s="118">
        <f t="shared" ref="C42:V42" si="37">+C10-C25</f>
        <v>6324</v>
      </c>
      <c r="D42" s="118">
        <f t="shared" si="37"/>
        <v>0</v>
      </c>
      <c r="E42" s="160">
        <f t="shared" si="37"/>
        <v>0</v>
      </c>
      <c r="F42" s="118">
        <f t="shared" si="37"/>
        <v>0</v>
      </c>
      <c r="G42" s="118">
        <f t="shared" si="37"/>
        <v>0</v>
      </c>
      <c r="H42" s="118">
        <f t="shared" si="37"/>
        <v>0</v>
      </c>
      <c r="I42" s="118">
        <f t="shared" si="37"/>
        <v>147</v>
      </c>
      <c r="J42" s="118">
        <f t="shared" si="37"/>
        <v>0</v>
      </c>
      <c r="K42" s="118">
        <f t="shared" si="37"/>
        <v>170</v>
      </c>
      <c r="L42" s="118">
        <f t="shared" si="37"/>
        <v>48</v>
      </c>
      <c r="M42" s="118">
        <f t="shared" si="37"/>
        <v>46</v>
      </c>
      <c r="N42" s="118">
        <f t="shared" si="37"/>
        <v>28</v>
      </c>
      <c r="O42" s="118">
        <f t="shared" si="37"/>
        <v>0</v>
      </c>
      <c r="P42" s="118">
        <f t="shared" si="37"/>
        <v>0</v>
      </c>
      <c r="Q42" s="118">
        <f t="shared" si="37"/>
        <v>0</v>
      </c>
      <c r="R42" s="118">
        <f t="shared" si="37"/>
        <v>0</v>
      </c>
      <c r="S42" s="118">
        <f t="shared" si="37"/>
        <v>298</v>
      </c>
      <c r="T42" s="118">
        <f t="shared" si="37"/>
        <v>0</v>
      </c>
      <c r="U42" s="118">
        <f t="shared" si="37"/>
        <v>96</v>
      </c>
      <c r="V42" s="118">
        <f t="shared" si="37"/>
        <v>96</v>
      </c>
      <c r="W42" s="118">
        <v>0</v>
      </c>
      <c r="X42" s="118">
        <v>0</v>
      </c>
      <c r="Y42" s="118">
        <v>0</v>
      </c>
      <c r="Z42" s="118">
        <v>0</v>
      </c>
      <c r="AA42" s="118">
        <v>0</v>
      </c>
      <c r="AB42" s="118">
        <v>0</v>
      </c>
      <c r="AC42" s="118">
        <f t="shared" ref="AC42:AD46" si="38">AC10-AC25</f>
        <v>0</v>
      </c>
      <c r="AD42" s="118">
        <f t="shared" si="38"/>
        <v>0</v>
      </c>
      <c r="AE42" s="118">
        <f t="shared" ref="AE42:AK46" si="39">AE10-AE25</f>
        <v>0</v>
      </c>
      <c r="AF42" s="118">
        <f t="shared" si="39"/>
        <v>0</v>
      </c>
      <c r="AG42" s="118">
        <f t="shared" si="39"/>
        <v>0</v>
      </c>
      <c r="AH42" s="118">
        <f t="shared" si="39"/>
        <v>0</v>
      </c>
      <c r="AI42" s="118">
        <f t="shared" si="39"/>
        <v>0</v>
      </c>
      <c r="AJ42" s="118">
        <f>AJ10-AJ25</f>
        <v>0</v>
      </c>
      <c r="AK42" s="118">
        <v>0</v>
      </c>
      <c r="AL42" s="118">
        <f t="shared" ref="AL42:AR46" si="40">AL10-AL25</f>
        <v>0</v>
      </c>
      <c r="AM42" s="118">
        <f t="shared" si="40"/>
        <v>0</v>
      </c>
      <c r="AN42" s="118">
        <f t="shared" si="40"/>
        <v>0</v>
      </c>
      <c r="AO42" s="118">
        <f t="shared" si="40"/>
        <v>0</v>
      </c>
      <c r="AP42" s="118">
        <f t="shared" si="40"/>
        <v>0</v>
      </c>
      <c r="AQ42" s="118">
        <f t="shared" si="40"/>
        <v>0</v>
      </c>
      <c r="AR42" s="118">
        <f t="shared" si="40"/>
        <v>0</v>
      </c>
      <c r="AS42" s="118">
        <v>0</v>
      </c>
      <c r="AT42" s="118">
        <f t="shared" ref="AT42:AW46" si="41">AT10-AT25</f>
        <v>0</v>
      </c>
      <c r="AU42" s="118">
        <v>0</v>
      </c>
      <c r="AV42" s="118">
        <f>AV10-AV25</f>
        <v>0</v>
      </c>
      <c r="AW42" s="118">
        <f t="shared" si="41"/>
        <v>0</v>
      </c>
      <c r="AX42" s="118" t="s">
        <v>160</v>
      </c>
      <c r="AY42" s="118">
        <v>0</v>
      </c>
      <c r="AZ42" s="118">
        <f>AZ10-AZ25</f>
        <v>0</v>
      </c>
    </row>
    <row r="43" spans="2:52" x14ac:dyDescent="0.2">
      <c r="B43" s="129" t="s">
        <v>194</v>
      </c>
      <c r="C43" s="118">
        <f t="shared" ref="C43:V43" si="42">+C11-C26</f>
        <v>1147</v>
      </c>
      <c r="D43" s="118">
        <f t="shared" si="42"/>
        <v>1463</v>
      </c>
      <c r="E43" s="160">
        <f t="shared" si="42"/>
        <v>3266</v>
      </c>
      <c r="F43" s="118">
        <f t="shared" si="42"/>
        <v>3893</v>
      </c>
      <c r="G43" s="118">
        <f t="shared" si="42"/>
        <v>3841</v>
      </c>
      <c r="H43" s="118">
        <f t="shared" si="42"/>
        <v>4220</v>
      </c>
      <c r="I43" s="118">
        <f t="shared" si="42"/>
        <v>4220</v>
      </c>
      <c r="J43" s="118">
        <f t="shared" si="42"/>
        <v>4434</v>
      </c>
      <c r="K43" s="118">
        <f t="shared" si="42"/>
        <v>4434</v>
      </c>
      <c r="L43" s="118">
        <f t="shared" si="42"/>
        <v>4070</v>
      </c>
      <c r="M43" s="118">
        <f t="shared" si="42"/>
        <v>1973</v>
      </c>
      <c r="N43" s="118">
        <f t="shared" si="42"/>
        <v>1848</v>
      </c>
      <c r="O43" s="118">
        <f t="shared" si="42"/>
        <v>1821</v>
      </c>
      <c r="P43" s="118">
        <f t="shared" si="42"/>
        <v>1821</v>
      </c>
      <c r="Q43" s="118">
        <f t="shared" si="42"/>
        <v>1810</v>
      </c>
      <c r="R43" s="118">
        <f t="shared" si="42"/>
        <v>1796</v>
      </c>
      <c r="S43" s="118">
        <f t="shared" si="42"/>
        <v>6</v>
      </c>
      <c r="T43" s="118">
        <f t="shared" si="42"/>
        <v>-411</v>
      </c>
      <c r="U43" s="118">
        <f t="shared" si="42"/>
        <v>6</v>
      </c>
      <c r="V43" s="118">
        <f t="shared" si="42"/>
        <v>0</v>
      </c>
      <c r="W43" s="118">
        <v>0</v>
      </c>
      <c r="X43" s="118">
        <v>0</v>
      </c>
      <c r="Y43" s="118">
        <v>46</v>
      </c>
      <c r="Z43" s="118">
        <v>0</v>
      </c>
      <c r="AA43" s="118">
        <v>101</v>
      </c>
      <c r="AB43" s="118">
        <v>0</v>
      </c>
      <c r="AC43" s="118">
        <f t="shared" si="38"/>
        <v>0</v>
      </c>
      <c r="AD43" s="118">
        <f t="shared" si="38"/>
        <v>38</v>
      </c>
      <c r="AE43" s="118">
        <f t="shared" si="39"/>
        <v>6</v>
      </c>
      <c r="AF43" s="118">
        <f t="shared" si="39"/>
        <v>48</v>
      </c>
      <c r="AG43" s="118">
        <f t="shared" si="39"/>
        <v>23</v>
      </c>
      <c r="AH43" s="118">
        <f t="shared" si="39"/>
        <v>35</v>
      </c>
      <c r="AI43" s="118">
        <f t="shared" si="39"/>
        <v>38</v>
      </c>
      <c r="AJ43" s="118">
        <f>AJ11-AJ26</f>
        <v>18</v>
      </c>
      <c r="AK43" s="118">
        <v>38</v>
      </c>
      <c r="AL43" s="118">
        <f t="shared" si="40"/>
        <v>64</v>
      </c>
      <c r="AM43" s="118">
        <f t="shared" si="40"/>
        <v>333</v>
      </c>
      <c r="AN43" s="118">
        <f t="shared" si="40"/>
        <v>326</v>
      </c>
      <c r="AO43" s="118">
        <f t="shared" si="40"/>
        <v>305</v>
      </c>
      <c r="AP43" s="118">
        <f t="shared" si="40"/>
        <v>0</v>
      </c>
      <c r="AQ43" s="118">
        <f t="shared" si="40"/>
        <v>0</v>
      </c>
      <c r="AR43" s="118">
        <f t="shared" si="40"/>
        <v>0</v>
      </c>
      <c r="AS43" s="118">
        <v>0</v>
      </c>
      <c r="AT43" s="118">
        <f t="shared" si="41"/>
        <v>0</v>
      </c>
      <c r="AU43" s="118">
        <v>0</v>
      </c>
      <c r="AV43" s="118">
        <f>AV11-AV26</f>
        <v>0</v>
      </c>
      <c r="AW43" s="118">
        <f t="shared" si="41"/>
        <v>0</v>
      </c>
      <c r="AX43" s="118" t="s">
        <v>160</v>
      </c>
      <c r="AY43" s="118">
        <v>0</v>
      </c>
      <c r="AZ43" s="118">
        <f>AZ11-AZ26</f>
        <v>0</v>
      </c>
    </row>
    <row r="44" spans="2:52" x14ac:dyDescent="0.2">
      <c r="B44" s="129" t="s">
        <v>200</v>
      </c>
      <c r="C44" s="118">
        <f t="shared" ref="C44:V44" si="43">+C12-C27</f>
        <v>1018</v>
      </c>
      <c r="D44" s="118">
        <f t="shared" si="43"/>
        <v>4222</v>
      </c>
      <c r="E44" s="160">
        <f t="shared" si="43"/>
        <v>1218</v>
      </c>
      <c r="F44" s="118">
        <f t="shared" si="43"/>
        <v>1596</v>
      </c>
      <c r="G44" s="118">
        <f t="shared" si="43"/>
        <v>1140</v>
      </c>
      <c r="H44" s="118">
        <f t="shared" si="43"/>
        <v>1044</v>
      </c>
      <c r="I44" s="118">
        <f t="shared" si="43"/>
        <v>1204</v>
      </c>
      <c r="J44" s="118">
        <f t="shared" si="43"/>
        <v>1129</v>
      </c>
      <c r="K44" s="118">
        <f t="shared" si="43"/>
        <v>16</v>
      </c>
      <c r="L44" s="118">
        <f t="shared" si="43"/>
        <v>0</v>
      </c>
      <c r="M44" s="118">
        <f t="shared" si="43"/>
        <v>-2</v>
      </c>
      <c r="N44" s="118">
        <f t="shared" si="43"/>
        <v>0</v>
      </c>
      <c r="O44" s="118">
        <f t="shared" si="43"/>
        <v>0</v>
      </c>
      <c r="P44" s="118">
        <f t="shared" si="43"/>
        <v>0</v>
      </c>
      <c r="Q44" s="118">
        <f t="shared" si="43"/>
        <v>0</v>
      </c>
      <c r="R44" s="118">
        <f t="shared" si="43"/>
        <v>2</v>
      </c>
      <c r="S44" s="118">
        <f t="shared" si="43"/>
        <v>2</v>
      </c>
      <c r="T44" s="118">
        <f t="shared" si="43"/>
        <v>0</v>
      </c>
      <c r="U44" s="118">
        <f t="shared" si="43"/>
        <v>0</v>
      </c>
      <c r="V44" s="118">
        <f t="shared" si="43"/>
        <v>-4</v>
      </c>
      <c r="W44" s="118">
        <v>700</v>
      </c>
      <c r="X44" s="118">
        <v>700</v>
      </c>
      <c r="Y44" s="118">
        <v>700</v>
      </c>
      <c r="Z44" s="118">
        <v>0</v>
      </c>
      <c r="AA44" s="118">
        <v>153</v>
      </c>
      <c r="AB44" s="118">
        <v>29</v>
      </c>
      <c r="AC44" s="118">
        <f t="shared" si="38"/>
        <v>1</v>
      </c>
      <c r="AD44" s="118">
        <f t="shared" si="38"/>
        <v>1</v>
      </c>
      <c r="AE44" s="118">
        <f t="shared" si="39"/>
        <v>1</v>
      </c>
      <c r="AF44" s="118">
        <f t="shared" si="39"/>
        <v>2</v>
      </c>
      <c r="AG44" s="118">
        <f t="shared" si="39"/>
        <v>1</v>
      </c>
      <c r="AH44" s="118">
        <f t="shared" si="39"/>
        <v>0</v>
      </c>
      <c r="AI44" s="118">
        <f t="shared" si="39"/>
        <v>0</v>
      </c>
      <c r="AJ44" s="118">
        <f>AJ12-AJ27</f>
        <v>1</v>
      </c>
      <c r="AK44" s="118">
        <v>233</v>
      </c>
      <c r="AL44" s="118">
        <f t="shared" si="40"/>
        <v>262</v>
      </c>
      <c r="AM44" s="118">
        <f t="shared" si="40"/>
        <v>-49</v>
      </c>
      <c r="AN44" s="118">
        <f t="shared" si="40"/>
        <v>2</v>
      </c>
      <c r="AO44" s="118">
        <f t="shared" si="40"/>
        <v>-64</v>
      </c>
      <c r="AP44" s="118">
        <f t="shared" si="40"/>
        <v>98</v>
      </c>
      <c r="AQ44" s="118">
        <f t="shared" si="40"/>
        <v>11</v>
      </c>
      <c r="AR44" s="118">
        <f t="shared" si="40"/>
        <v>72</v>
      </c>
      <c r="AS44" s="118">
        <v>26</v>
      </c>
      <c r="AT44" s="118">
        <f t="shared" si="41"/>
        <v>189</v>
      </c>
      <c r="AU44" s="118">
        <v>349</v>
      </c>
      <c r="AV44" s="118">
        <f>AV12-AV27</f>
        <v>473</v>
      </c>
      <c r="AW44" s="118">
        <f t="shared" si="41"/>
        <v>491</v>
      </c>
      <c r="AX44" s="118">
        <v>423</v>
      </c>
      <c r="AY44" s="118">
        <v>97</v>
      </c>
      <c r="AZ44" s="118">
        <f>AZ12-AZ27</f>
        <v>39</v>
      </c>
    </row>
    <row r="45" spans="2:52" s="232" customFormat="1" hidden="1" outlineLevel="1" x14ac:dyDescent="0.2">
      <c r="B45" s="249" t="s">
        <v>584</v>
      </c>
      <c r="C45" s="218">
        <f t="shared" ref="C45:V45" si="44">+C13-C28</f>
        <v>4899</v>
      </c>
      <c r="D45" s="218">
        <f t="shared" si="44"/>
        <v>5646</v>
      </c>
      <c r="E45" s="219">
        <f t="shared" si="44"/>
        <v>6116</v>
      </c>
      <c r="F45" s="218">
        <f t="shared" si="44"/>
        <v>3768</v>
      </c>
      <c r="G45" s="218">
        <f t="shared" si="44"/>
        <v>4334</v>
      </c>
      <c r="H45" s="218">
        <f t="shared" si="44"/>
        <v>4574</v>
      </c>
      <c r="I45" s="218">
        <f t="shared" si="44"/>
        <v>4803</v>
      </c>
      <c r="J45" s="218">
        <f t="shared" si="44"/>
        <v>4965</v>
      </c>
      <c r="K45" s="218">
        <f t="shared" si="44"/>
        <v>5094</v>
      </c>
      <c r="L45" s="218">
        <f t="shared" si="44"/>
        <v>5179</v>
      </c>
      <c r="M45" s="218">
        <f t="shared" si="44"/>
        <v>5365</v>
      </c>
      <c r="N45" s="218">
        <f t="shared" si="44"/>
        <v>5413</v>
      </c>
      <c r="O45" s="218">
        <f t="shared" si="44"/>
        <v>5416</v>
      </c>
      <c r="P45" s="218">
        <f t="shared" si="44"/>
        <v>5471</v>
      </c>
      <c r="Q45" s="218">
        <f t="shared" si="44"/>
        <v>3704</v>
      </c>
      <c r="R45" s="218">
        <f t="shared" si="44"/>
        <v>0</v>
      </c>
      <c r="S45" s="218">
        <f t="shared" si="44"/>
        <v>0</v>
      </c>
      <c r="T45" s="218">
        <f t="shared" si="44"/>
        <v>0</v>
      </c>
      <c r="U45" s="218">
        <f t="shared" si="44"/>
        <v>0</v>
      </c>
      <c r="V45" s="218">
        <f t="shared" si="44"/>
        <v>0</v>
      </c>
      <c r="W45" s="218">
        <v>0</v>
      </c>
      <c r="X45" s="218">
        <v>0</v>
      </c>
      <c r="Y45" s="218"/>
      <c r="Z45" s="218">
        <v>0</v>
      </c>
      <c r="AA45" s="218">
        <v>0</v>
      </c>
      <c r="AB45" s="218">
        <f>AB13-AB28</f>
        <v>0</v>
      </c>
      <c r="AC45" s="218">
        <f t="shared" si="38"/>
        <v>0</v>
      </c>
      <c r="AD45" s="218">
        <f t="shared" si="38"/>
        <v>0</v>
      </c>
      <c r="AE45" s="218">
        <f t="shared" si="39"/>
        <v>0</v>
      </c>
      <c r="AF45" s="218">
        <f t="shared" si="39"/>
        <v>0</v>
      </c>
      <c r="AG45" s="218">
        <f t="shared" si="39"/>
        <v>0</v>
      </c>
      <c r="AH45" s="218">
        <f t="shared" si="39"/>
        <v>0</v>
      </c>
      <c r="AI45" s="218">
        <f t="shared" si="39"/>
        <v>0</v>
      </c>
      <c r="AJ45" s="218">
        <f>AJ13-AJ28</f>
        <v>0</v>
      </c>
      <c r="AK45" s="218">
        <f t="shared" si="39"/>
        <v>0</v>
      </c>
      <c r="AL45" s="218">
        <f t="shared" si="40"/>
        <v>0</v>
      </c>
      <c r="AM45" s="218">
        <f t="shared" si="40"/>
        <v>0</v>
      </c>
      <c r="AN45" s="218">
        <f t="shared" si="40"/>
        <v>0</v>
      </c>
      <c r="AO45" s="218">
        <f t="shared" si="40"/>
        <v>0</v>
      </c>
      <c r="AP45" s="218">
        <f t="shared" si="40"/>
        <v>0</v>
      </c>
      <c r="AQ45" s="218">
        <f t="shared" si="40"/>
        <v>0</v>
      </c>
      <c r="AR45" s="218">
        <f t="shared" si="40"/>
        <v>0</v>
      </c>
      <c r="AS45" s="218"/>
      <c r="AT45" s="218">
        <f t="shared" si="41"/>
        <v>0</v>
      </c>
      <c r="AU45" s="218"/>
      <c r="AV45" s="218"/>
      <c r="AW45" s="218">
        <f t="shared" si="41"/>
        <v>0</v>
      </c>
      <c r="AX45" s="218">
        <f>AX13-AX28</f>
        <v>0</v>
      </c>
      <c r="AY45" s="218">
        <f>AY13-AY28</f>
        <v>0</v>
      </c>
      <c r="AZ45" s="218">
        <f>AZ13-AZ28</f>
        <v>0</v>
      </c>
    </row>
    <row r="46" spans="2:52" s="232" customFormat="1" hidden="1" outlineLevel="1" x14ac:dyDescent="0.2">
      <c r="B46" s="249" t="s">
        <v>198</v>
      </c>
      <c r="C46" s="218">
        <f t="shared" ref="C46:V46" si="45">+C14-C29</f>
        <v>4600</v>
      </c>
      <c r="D46" s="218">
        <f t="shared" si="45"/>
        <v>5293</v>
      </c>
      <c r="E46" s="219">
        <f t="shared" si="45"/>
        <v>4302</v>
      </c>
      <c r="F46" s="218">
        <f t="shared" si="45"/>
        <v>2359</v>
      </c>
      <c r="G46" s="218">
        <f t="shared" si="45"/>
        <v>1501</v>
      </c>
      <c r="H46" s="218">
        <f t="shared" si="45"/>
        <v>277</v>
      </c>
      <c r="I46" s="218">
        <f t="shared" si="45"/>
        <v>201</v>
      </c>
      <c r="J46" s="218">
        <f t="shared" si="45"/>
        <v>112</v>
      </c>
      <c r="K46" s="218">
        <f t="shared" si="45"/>
        <v>76</v>
      </c>
      <c r="L46" s="218">
        <f t="shared" si="45"/>
        <v>76</v>
      </c>
      <c r="M46" s="218">
        <f t="shared" si="45"/>
        <v>0</v>
      </c>
      <c r="N46" s="218">
        <f t="shared" si="45"/>
        <v>0</v>
      </c>
      <c r="O46" s="218">
        <f t="shared" si="45"/>
        <v>0</v>
      </c>
      <c r="P46" s="218">
        <f t="shared" si="45"/>
        <v>0</v>
      </c>
      <c r="Q46" s="218">
        <f t="shared" si="45"/>
        <v>0</v>
      </c>
      <c r="R46" s="218">
        <f t="shared" si="45"/>
        <v>0</v>
      </c>
      <c r="S46" s="218">
        <f t="shared" si="45"/>
        <v>0</v>
      </c>
      <c r="T46" s="218">
        <f t="shared" si="45"/>
        <v>0</v>
      </c>
      <c r="U46" s="218">
        <f t="shared" si="45"/>
        <v>0</v>
      </c>
      <c r="V46" s="218">
        <f t="shared" si="45"/>
        <v>0</v>
      </c>
      <c r="W46" s="218">
        <v>0</v>
      </c>
      <c r="X46" s="218">
        <v>0</v>
      </c>
      <c r="Y46" s="218"/>
      <c r="Z46" s="218">
        <v>0</v>
      </c>
      <c r="AA46" s="218">
        <v>0</v>
      </c>
      <c r="AB46" s="218">
        <f>AB14-AB29</f>
        <v>0</v>
      </c>
      <c r="AC46" s="218">
        <f t="shared" si="38"/>
        <v>0</v>
      </c>
      <c r="AD46" s="218">
        <f t="shared" si="38"/>
        <v>0</v>
      </c>
      <c r="AE46" s="218">
        <f t="shared" si="39"/>
        <v>0</v>
      </c>
      <c r="AF46" s="218">
        <f t="shared" si="39"/>
        <v>0</v>
      </c>
      <c r="AG46" s="218">
        <f t="shared" si="39"/>
        <v>0</v>
      </c>
      <c r="AH46" s="218">
        <f t="shared" si="39"/>
        <v>0</v>
      </c>
      <c r="AI46" s="218">
        <f t="shared" si="39"/>
        <v>0</v>
      </c>
      <c r="AJ46" s="218">
        <f>AJ14-AJ29</f>
        <v>0</v>
      </c>
      <c r="AK46" s="218">
        <f t="shared" si="39"/>
        <v>0</v>
      </c>
      <c r="AL46" s="218">
        <f t="shared" si="40"/>
        <v>0</v>
      </c>
      <c r="AM46" s="218">
        <f t="shared" si="40"/>
        <v>0</v>
      </c>
      <c r="AN46" s="218">
        <f t="shared" si="40"/>
        <v>0</v>
      </c>
      <c r="AO46" s="218">
        <f t="shared" si="40"/>
        <v>0</v>
      </c>
      <c r="AP46" s="218">
        <f t="shared" si="40"/>
        <v>0</v>
      </c>
      <c r="AQ46" s="218">
        <f t="shared" si="40"/>
        <v>0</v>
      </c>
      <c r="AR46" s="218">
        <f t="shared" si="40"/>
        <v>0</v>
      </c>
      <c r="AS46" s="218"/>
      <c r="AT46" s="218">
        <f t="shared" si="41"/>
        <v>0</v>
      </c>
      <c r="AU46" s="218"/>
      <c r="AV46" s="218"/>
      <c r="AW46" s="218">
        <f t="shared" si="41"/>
        <v>0</v>
      </c>
      <c r="AX46" s="218">
        <f>AX14-AX29</f>
        <v>0</v>
      </c>
      <c r="AY46" s="218">
        <f>AY14-AY29</f>
        <v>0</v>
      </c>
      <c r="AZ46" s="218">
        <f>AZ14-AZ29</f>
        <v>0</v>
      </c>
    </row>
    <row r="47" spans="2:52" s="232" customFormat="1" hidden="1" outlineLevel="1" x14ac:dyDescent="0.2">
      <c r="B47" s="249" t="s">
        <v>193</v>
      </c>
      <c r="C47" s="218">
        <f t="shared" ref="C47:T47" si="46">+C15-C31</f>
        <v>0</v>
      </c>
      <c r="D47" s="218">
        <f t="shared" si="46"/>
        <v>0</v>
      </c>
      <c r="E47" s="219">
        <f t="shared" si="46"/>
        <v>0</v>
      </c>
      <c r="F47" s="218">
        <f t="shared" si="46"/>
        <v>0</v>
      </c>
      <c r="G47" s="218">
        <f t="shared" si="46"/>
        <v>0</v>
      </c>
      <c r="H47" s="218">
        <f t="shared" si="46"/>
        <v>0</v>
      </c>
      <c r="I47" s="218">
        <f t="shared" si="46"/>
        <v>0</v>
      </c>
      <c r="J47" s="218">
        <f t="shared" si="46"/>
        <v>0</v>
      </c>
      <c r="K47" s="218">
        <f t="shared" si="46"/>
        <v>0</v>
      </c>
      <c r="L47" s="218">
        <f t="shared" si="46"/>
        <v>0</v>
      </c>
      <c r="M47" s="218">
        <f t="shared" si="46"/>
        <v>0</v>
      </c>
      <c r="N47" s="218">
        <f t="shared" si="46"/>
        <v>0</v>
      </c>
      <c r="O47" s="218">
        <f t="shared" si="46"/>
        <v>0</v>
      </c>
      <c r="P47" s="218">
        <f t="shared" si="46"/>
        <v>0</v>
      </c>
      <c r="Q47" s="218">
        <f t="shared" si="46"/>
        <v>0</v>
      </c>
      <c r="R47" s="218">
        <f t="shared" si="46"/>
        <v>0</v>
      </c>
      <c r="S47" s="218">
        <f t="shared" si="46"/>
        <v>0</v>
      </c>
      <c r="T47" s="218">
        <f t="shared" si="46"/>
        <v>0</v>
      </c>
      <c r="U47" s="218">
        <v>0</v>
      </c>
      <c r="V47" s="218">
        <v>0</v>
      </c>
      <c r="W47" s="218">
        <v>0</v>
      </c>
      <c r="X47" s="218">
        <v>0</v>
      </c>
      <c r="Y47" s="218"/>
      <c r="Z47" s="218">
        <v>0</v>
      </c>
      <c r="AA47" s="218">
        <v>0</v>
      </c>
      <c r="AB47" s="218">
        <f t="shared" ref="AB47:AK47" si="47">AB15-AB31</f>
        <v>0</v>
      </c>
      <c r="AC47" s="218">
        <f t="shared" si="47"/>
        <v>0</v>
      </c>
      <c r="AD47" s="218">
        <f t="shared" si="47"/>
        <v>0</v>
      </c>
      <c r="AE47" s="218">
        <f t="shared" si="47"/>
        <v>0</v>
      </c>
      <c r="AF47" s="218">
        <f t="shared" si="47"/>
        <v>0</v>
      </c>
      <c r="AG47" s="218">
        <f t="shared" si="47"/>
        <v>0</v>
      </c>
      <c r="AH47" s="218">
        <f t="shared" si="47"/>
        <v>0</v>
      </c>
      <c r="AI47" s="218">
        <f t="shared" si="47"/>
        <v>0</v>
      </c>
      <c r="AJ47" s="218">
        <f>AJ15-AJ31</f>
        <v>0</v>
      </c>
      <c r="AK47" s="218">
        <f t="shared" si="47"/>
        <v>0</v>
      </c>
      <c r="AL47" s="218">
        <f t="shared" ref="AL47:AR47" si="48">AL15-AL31</f>
        <v>0</v>
      </c>
      <c r="AM47" s="218">
        <f t="shared" si="48"/>
        <v>0</v>
      </c>
      <c r="AN47" s="218">
        <f t="shared" si="48"/>
        <v>0</v>
      </c>
      <c r="AO47" s="218">
        <f t="shared" si="48"/>
        <v>0</v>
      </c>
      <c r="AP47" s="218">
        <f t="shared" si="48"/>
        <v>0</v>
      </c>
      <c r="AQ47" s="218">
        <f t="shared" si="48"/>
        <v>0</v>
      </c>
      <c r="AR47" s="218">
        <f t="shared" si="48"/>
        <v>0</v>
      </c>
      <c r="AS47" s="218"/>
      <c r="AT47" s="218">
        <f>AT15-AT31</f>
        <v>0</v>
      </c>
      <c r="AU47" s="218"/>
      <c r="AV47" s="218"/>
      <c r="AW47" s="218">
        <f>AW15-AW31</f>
        <v>0</v>
      </c>
      <c r="AX47" s="218">
        <f>AX15-AX31</f>
        <v>0</v>
      </c>
      <c r="AY47" s="218">
        <f>AY15-AY31</f>
        <v>0</v>
      </c>
      <c r="AZ47" s="218">
        <f>AZ15-AZ31</f>
        <v>0</v>
      </c>
    </row>
    <row r="48" spans="2:52" collapsed="1" x14ac:dyDescent="0.2">
      <c r="B48" s="126"/>
      <c r="C48" s="120">
        <f t="shared" ref="C48:V48" si="49">SUM(C38:C47)</f>
        <v>20763</v>
      </c>
      <c r="D48" s="120">
        <f t="shared" si="49"/>
        <v>17664</v>
      </c>
      <c r="E48" s="162">
        <f t="shared" si="49"/>
        <v>15327</v>
      </c>
      <c r="F48" s="120">
        <f t="shared" si="49"/>
        <v>12243</v>
      </c>
      <c r="G48" s="120">
        <f t="shared" si="49"/>
        <v>25132</v>
      </c>
      <c r="H48" s="120">
        <f t="shared" si="49"/>
        <v>24027</v>
      </c>
      <c r="I48" s="120">
        <f t="shared" si="49"/>
        <v>24683</v>
      </c>
      <c r="J48" s="120">
        <f t="shared" si="49"/>
        <v>24865</v>
      </c>
      <c r="K48" s="120">
        <f t="shared" si="49"/>
        <v>25175</v>
      </c>
      <c r="L48" s="120">
        <f t="shared" si="49"/>
        <v>24552</v>
      </c>
      <c r="M48" s="120">
        <f t="shared" si="49"/>
        <v>23046</v>
      </c>
      <c r="N48" s="120">
        <f t="shared" si="49"/>
        <v>22808</v>
      </c>
      <c r="O48" s="120">
        <f t="shared" si="49"/>
        <v>21233</v>
      </c>
      <c r="P48" s="120">
        <f t="shared" si="49"/>
        <v>22123</v>
      </c>
      <c r="Q48" s="120">
        <f t="shared" si="49"/>
        <v>19644</v>
      </c>
      <c r="R48" s="120">
        <f t="shared" si="49"/>
        <v>10179</v>
      </c>
      <c r="S48" s="120">
        <f t="shared" si="49"/>
        <v>2827</v>
      </c>
      <c r="T48" s="120">
        <f t="shared" si="49"/>
        <v>6843</v>
      </c>
      <c r="U48" s="120">
        <f t="shared" si="49"/>
        <v>7174</v>
      </c>
      <c r="V48" s="120">
        <f t="shared" si="49"/>
        <v>8039</v>
      </c>
      <c r="W48" s="120">
        <f t="shared" ref="W48:AB48" si="50">SUM(W38:W47)</f>
        <v>7651</v>
      </c>
      <c r="X48" s="120">
        <f t="shared" si="50"/>
        <v>8315</v>
      </c>
      <c r="Y48" s="120">
        <f t="shared" si="50"/>
        <v>8148</v>
      </c>
      <c r="Z48" s="120">
        <f t="shared" si="50"/>
        <v>3482</v>
      </c>
      <c r="AA48" s="120">
        <f t="shared" si="50"/>
        <v>3379</v>
      </c>
      <c r="AB48" s="120">
        <f t="shared" si="50"/>
        <v>2652</v>
      </c>
      <c r="AC48" s="120">
        <f t="shared" ref="AC48:AK48" si="51">SUM(AC38:AC47)</f>
        <v>4078</v>
      </c>
      <c r="AD48" s="120">
        <f t="shared" si="51"/>
        <v>4816</v>
      </c>
      <c r="AE48" s="120">
        <f t="shared" si="51"/>
        <v>4469</v>
      </c>
      <c r="AF48" s="120">
        <f t="shared" si="51"/>
        <v>4695</v>
      </c>
      <c r="AG48" s="120">
        <f t="shared" si="51"/>
        <v>2467</v>
      </c>
      <c r="AH48" s="120">
        <f t="shared" si="51"/>
        <v>3185</v>
      </c>
      <c r="AI48" s="120">
        <f t="shared" si="51"/>
        <v>2892</v>
      </c>
      <c r="AJ48" s="120">
        <f>SUM(AJ38:AJ47)</f>
        <v>3578</v>
      </c>
      <c r="AK48" s="120">
        <f t="shared" si="51"/>
        <v>4504</v>
      </c>
      <c r="AL48" s="120">
        <f t="shared" ref="AL48:AS48" si="52">SUM(AL38:AL47)</f>
        <v>9197</v>
      </c>
      <c r="AM48" s="120">
        <f t="shared" si="52"/>
        <v>7676</v>
      </c>
      <c r="AN48" s="120">
        <f t="shared" si="52"/>
        <v>5747</v>
      </c>
      <c r="AO48" s="120">
        <f t="shared" si="52"/>
        <v>4928</v>
      </c>
      <c r="AP48" s="120">
        <f t="shared" si="52"/>
        <v>4980</v>
      </c>
      <c r="AQ48" s="120">
        <f t="shared" si="52"/>
        <v>3976</v>
      </c>
      <c r="AR48" s="120">
        <f t="shared" si="52"/>
        <v>3898</v>
      </c>
      <c r="AS48" s="120">
        <f t="shared" si="52"/>
        <v>3819</v>
      </c>
      <c r="AT48" s="120">
        <f t="shared" ref="AT48:AY48" si="53">SUM(AT38:AT47)</f>
        <v>3154</v>
      </c>
      <c r="AU48" s="120">
        <f t="shared" si="53"/>
        <v>3683</v>
      </c>
      <c r="AV48" s="120">
        <f t="shared" si="53"/>
        <v>3498</v>
      </c>
      <c r="AW48" s="120">
        <f t="shared" si="53"/>
        <v>3771</v>
      </c>
      <c r="AX48" s="120">
        <f t="shared" si="53"/>
        <v>13609</v>
      </c>
      <c r="AY48" s="120">
        <f t="shared" si="53"/>
        <v>4412</v>
      </c>
      <c r="AZ48" s="120">
        <f>SUM(AZ38:AZ47)</f>
        <v>3375</v>
      </c>
    </row>
    <row r="49" spans="2:52" x14ac:dyDescent="0.2">
      <c r="B49" s="129" t="s">
        <v>201</v>
      </c>
      <c r="C49" s="118">
        <f t="shared" ref="C49:N49" si="54">+C17-C33</f>
        <v>29210</v>
      </c>
      <c r="D49" s="118">
        <f t="shared" si="54"/>
        <v>17664</v>
      </c>
      <c r="E49" s="160">
        <f t="shared" si="54"/>
        <v>15327</v>
      </c>
      <c r="F49" s="118">
        <f t="shared" si="54"/>
        <v>134784</v>
      </c>
      <c r="G49" s="118">
        <f t="shared" si="54"/>
        <v>11761</v>
      </c>
      <c r="H49" s="118">
        <f t="shared" si="54"/>
        <v>10656</v>
      </c>
      <c r="I49" s="118">
        <f t="shared" si="54"/>
        <v>11312</v>
      </c>
      <c r="J49" s="118">
        <f t="shared" si="54"/>
        <v>11494</v>
      </c>
      <c r="K49" s="118">
        <f t="shared" si="54"/>
        <v>11804</v>
      </c>
      <c r="L49" s="118">
        <f t="shared" si="54"/>
        <v>11181</v>
      </c>
      <c r="M49" s="118">
        <f t="shared" si="54"/>
        <v>9675</v>
      </c>
      <c r="N49" s="118">
        <f t="shared" si="54"/>
        <v>9437</v>
      </c>
      <c r="O49" s="118">
        <v>7749</v>
      </c>
      <c r="P49" s="118">
        <v>7153</v>
      </c>
      <c r="Q49" s="118">
        <v>4641</v>
      </c>
      <c r="R49" s="118">
        <v>907</v>
      </c>
      <c r="S49" s="118">
        <f t="shared" ref="S49:V50" si="55">+S17-S33</f>
        <v>920</v>
      </c>
      <c r="T49" s="118">
        <f t="shared" si="55"/>
        <v>1020</v>
      </c>
      <c r="U49" s="118">
        <f t="shared" si="55"/>
        <v>1394</v>
      </c>
      <c r="V49" s="118">
        <f t="shared" si="55"/>
        <v>1636</v>
      </c>
      <c r="W49" s="118">
        <v>1446</v>
      </c>
      <c r="X49" s="118">
        <v>2102</v>
      </c>
      <c r="Y49" s="118">
        <v>1484</v>
      </c>
      <c r="Z49" s="118">
        <v>2178</v>
      </c>
      <c r="AA49" s="118">
        <v>2074</v>
      </c>
      <c r="AB49" s="118">
        <v>1348</v>
      </c>
      <c r="AC49" s="118">
        <f t="shared" ref="AC49:AE50" si="56">AC17-AC33</f>
        <v>2774</v>
      </c>
      <c r="AD49" s="118">
        <f t="shared" si="56"/>
        <v>3511</v>
      </c>
      <c r="AE49" s="118">
        <f t="shared" si="56"/>
        <v>3165</v>
      </c>
      <c r="AF49" s="118">
        <f t="shared" ref="AF49:AK50" si="57">AF17-AF33</f>
        <v>3390</v>
      </c>
      <c r="AG49" s="118">
        <f t="shared" si="57"/>
        <v>1162</v>
      </c>
      <c r="AH49" s="118">
        <f t="shared" si="57"/>
        <v>1881</v>
      </c>
      <c r="AI49" s="118">
        <f t="shared" si="57"/>
        <v>1431</v>
      </c>
      <c r="AJ49" s="118">
        <f>AJ17-AJ33</f>
        <v>2117</v>
      </c>
      <c r="AK49" s="118">
        <f t="shared" si="57"/>
        <v>3042</v>
      </c>
      <c r="AL49" s="118">
        <f t="shared" ref="AL49:AR50" si="58">AL17-AL33</f>
        <v>7736</v>
      </c>
      <c r="AM49" s="118">
        <f t="shared" si="58"/>
        <v>6216</v>
      </c>
      <c r="AN49" s="118">
        <f t="shared" si="58"/>
        <v>4286</v>
      </c>
      <c r="AO49" s="118">
        <f t="shared" si="58"/>
        <v>3916</v>
      </c>
      <c r="AP49" s="118">
        <f t="shared" si="58"/>
        <v>3967</v>
      </c>
      <c r="AQ49" s="118">
        <f t="shared" si="58"/>
        <v>2964</v>
      </c>
      <c r="AR49" s="118">
        <f t="shared" si="58"/>
        <v>2886</v>
      </c>
      <c r="AS49" s="118">
        <v>3222</v>
      </c>
      <c r="AT49" s="118">
        <f>AT17-AT33</f>
        <v>2557</v>
      </c>
      <c r="AU49" s="118">
        <v>3016</v>
      </c>
      <c r="AV49" s="118">
        <f>AV17-AV33</f>
        <v>2831</v>
      </c>
      <c r="AW49" s="118">
        <f>AW17-AW33</f>
        <v>3104</v>
      </c>
      <c r="AX49" s="118">
        <v>12942</v>
      </c>
      <c r="AY49" s="118">
        <v>3745</v>
      </c>
      <c r="AZ49" s="118">
        <f>AZ17-AZ33</f>
        <v>2708</v>
      </c>
    </row>
    <row r="50" spans="2:52" x14ac:dyDescent="0.2">
      <c r="B50" s="129" t="s">
        <v>187</v>
      </c>
      <c r="C50" s="118">
        <f t="shared" ref="C50:N50" si="59">+C18-C34</f>
        <v>0</v>
      </c>
      <c r="D50" s="118">
        <f t="shared" si="59"/>
        <v>0</v>
      </c>
      <c r="E50" s="160">
        <f t="shared" si="59"/>
        <v>0</v>
      </c>
      <c r="F50" s="118">
        <f t="shared" si="59"/>
        <v>13371</v>
      </c>
      <c r="G50" s="118">
        <f t="shared" si="59"/>
        <v>13371</v>
      </c>
      <c r="H50" s="118">
        <f t="shared" si="59"/>
        <v>13371</v>
      </c>
      <c r="I50" s="118">
        <f t="shared" si="59"/>
        <v>13371</v>
      </c>
      <c r="J50" s="118">
        <f t="shared" si="59"/>
        <v>13371</v>
      </c>
      <c r="K50" s="118">
        <f t="shared" si="59"/>
        <v>13371</v>
      </c>
      <c r="L50" s="118">
        <f t="shared" si="59"/>
        <v>13371</v>
      </c>
      <c r="M50" s="118">
        <f t="shared" si="59"/>
        <v>13371</v>
      </c>
      <c r="N50" s="118">
        <f t="shared" si="59"/>
        <v>13371</v>
      </c>
      <c r="O50" s="118">
        <v>13371</v>
      </c>
      <c r="P50" s="118">
        <v>13371</v>
      </c>
      <c r="Q50" s="118">
        <v>15004</v>
      </c>
      <c r="R50" s="118">
        <v>9272</v>
      </c>
      <c r="S50" s="118">
        <f t="shared" si="55"/>
        <v>1907</v>
      </c>
      <c r="T50" s="118">
        <f t="shared" si="55"/>
        <v>5823</v>
      </c>
      <c r="U50" s="118">
        <f t="shared" si="55"/>
        <v>5780</v>
      </c>
      <c r="V50" s="118">
        <f t="shared" si="55"/>
        <v>6406</v>
      </c>
      <c r="W50" s="118">
        <v>6205</v>
      </c>
      <c r="X50" s="118">
        <v>6213</v>
      </c>
      <c r="Y50" s="118">
        <v>6664</v>
      </c>
      <c r="Z50" s="118">
        <v>1304</v>
      </c>
      <c r="AA50" s="118">
        <v>1305</v>
      </c>
      <c r="AB50" s="118">
        <v>1304</v>
      </c>
      <c r="AC50" s="118">
        <f t="shared" si="56"/>
        <v>1304</v>
      </c>
      <c r="AD50" s="118">
        <f t="shared" si="56"/>
        <v>1305</v>
      </c>
      <c r="AE50" s="118">
        <f t="shared" si="56"/>
        <v>1304</v>
      </c>
      <c r="AF50" s="118">
        <f t="shared" si="57"/>
        <v>1305</v>
      </c>
      <c r="AG50" s="118">
        <f t="shared" si="57"/>
        <v>1305</v>
      </c>
      <c r="AH50" s="118">
        <f t="shared" si="57"/>
        <v>1304</v>
      </c>
      <c r="AI50" s="118">
        <f t="shared" si="57"/>
        <v>1461</v>
      </c>
      <c r="AJ50" s="118" t="e">
        <f>AJ18-AJ34</f>
        <v>#REF!</v>
      </c>
      <c r="AK50" s="118">
        <f t="shared" si="57"/>
        <v>1462</v>
      </c>
      <c r="AL50" s="118">
        <f t="shared" si="58"/>
        <v>1461</v>
      </c>
      <c r="AM50" s="118">
        <f t="shared" si="58"/>
        <v>1460</v>
      </c>
      <c r="AN50" s="118">
        <f t="shared" si="58"/>
        <v>1461</v>
      </c>
      <c r="AO50" s="118">
        <f t="shared" si="58"/>
        <v>1012</v>
      </c>
      <c r="AP50" s="118">
        <f t="shared" si="58"/>
        <v>1013</v>
      </c>
      <c r="AQ50" s="118">
        <f t="shared" si="58"/>
        <v>1012</v>
      </c>
      <c r="AR50" s="118">
        <f t="shared" si="58"/>
        <v>1012</v>
      </c>
      <c r="AS50" s="118">
        <v>597</v>
      </c>
      <c r="AT50" s="118">
        <f>AT18-AT34</f>
        <v>597</v>
      </c>
      <c r="AU50" s="118">
        <v>667</v>
      </c>
      <c r="AV50" s="118">
        <f>AV18-AV34</f>
        <v>667</v>
      </c>
      <c r="AW50" s="118">
        <f>AW18-AW34</f>
        <v>667</v>
      </c>
      <c r="AX50" s="118">
        <v>667</v>
      </c>
      <c r="AY50" s="118">
        <v>667</v>
      </c>
      <c r="AZ50" s="118">
        <f>AZ18-AZ34</f>
        <v>667</v>
      </c>
    </row>
    <row r="51" spans="2:52" x14ac:dyDescent="0.2">
      <c r="B51" s="126"/>
      <c r="C51" s="120">
        <f t="shared" ref="C51:K51" si="60">SUM(C49:C50)</f>
        <v>29210</v>
      </c>
      <c r="D51" s="120">
        <f t="shared" si="60"/>
        <v>17664</v>
      </c>
      <c r="E51" s="162">
        <f t="shared" si="60"/>
        <v>15327</v>
      </c>
      <c r="F51" s="120">
        <f t="shared" si="60"/>
        <v>148155</v>
      </c>
      <c r="G51" s="120">
        <f t="shared" si="60"/>
        <v>25132</v>
      </c>
      <c r="H51" s="120">
        <f t="shared" si="60"/>
        <v>24027</v>
      </c>
      <c r="I51" s="120">
        <f t="shared" si="60"/>
        <v>24683</v>
      </c>
      <c r="J51" s="120">
        <f t="shared" si="60"/>
        <v>24865</v>
      </c>
      <c r="K51" s="120">
        <f t="shared" si="60"/>
        <v>25175</v>
      </c>
      <c r="L51" s="120">
        <f t="shared" ref="L51:AA51" si="61">SUM(L49:L50)</f>
        <v>24552</v>
      </c>
      <c r="M51" s="120">
        <f t="shared" si="61"/>
        <v>23046</v>
      </c>
      <c r="N51" s="120">
        <f t="shared" si="61"/>
        <v>22808</v>
      </c>
      <c r="O51" s="120">
        <f t="shared" si="61"/>
        <v>21120</v>
      </c>
      <c r="P51" s="120">
        <f t="shared" si="61"/>
        <v>20524</v>
      </c>
      <c r="Q51" s="120">
        <f t="shared" si="61"/>
        <v>19645</v>
      </c>
      <c r="R51" s="120">
        <f t="shared" si="61"/>
        <v>10179</v>
      </c>
      <c r="S51" s="120">
        <f t="shared" si="61"/>
        <v>2827</v>
      </c>
      <c r="T51" s="120">
        <f t="shared" si="61"/>
        <v>6843</v>
      </c>
      <c r="U51" s="120">
        <f t="shared" si="61"/>
        <v>7174</v>
      </c>
      <c r="V51" s="120">
        <f t="shared" si="61"/>
        <v>8042</v>
      </c>
      <c r="W51" s="120">
        <f t="shared" si="61"/>
        <v>7651</v>
      </c>
      <c r="X51" s="120">
        <f t="shared" si="61"/>
        <v>8315</v>
      </c>
      <c r="Y51" s="120">
        <f t="shared" si="61"/>
        <v>8148</v>
      </c>
      <c r="Z51" s="120">
        <f t="shared" si="61"/>
        <v>3482</v>
      </c>
      <c r="AA51" s="120">
        <f t="shared" si="61"/>
        <v>3379</v>
      </c>
      <c r="AB51" s="120">
        <f t="shared" ref="AB51:AK51" si="62">SUM(AB49:AB50)</f>
        <v>2652</v>
      </c>
      <c r="AC51" s="120">
        <f t="shared" si="62"/>
        <v>4078</v>
      </c>
      <c r="AD51" s="120">
        <f t="shared" si="62"/>
        <v>4816</v>
      </c>
      <c r="AE51" s="120">
        <f t="shared" si="62"/>
        <v>4469</v>
      </c>
      <c r="AF51" s="120">
        <f t="shared" si="62"/>
        <v>4695</v>
      </c>
      <c r="AG51" s="120">
        <f t="shared" si="62"/>
        <v>2467</v>
      </c>
      <c r="AH51" s="120">
        <f t="shared" si="62"/>
        <v>3185</v>
      </c>
      <c r="AI51" s="120">
        <f t="shared" si="62"/>
        <v>2892</v>
      </c>
      <c r="AJ51" s="120" t="e">
        <f>SUM(AJ49:AJ50)</f>
        <v>#REF!</v>
      </c>
      <c r="AK51" s="120">
        <f t="shared" si="62"/>
        <v>4504</v>
      </c>
      <c r="AL51" s="120">
        <f t="shared" ref="AL51:AS51" si="63">SUM(AL49:AL50)</f>
        <v>9197</v>
      </c>
      <c r="AM51" s="120">
        <f t="shared" si="63"/>
        <v>7676</v>
      </c>
      <c r="AN51" s="120">
        <f t="shared" si="63"/>
        <v>5747</v>
      </c>
      <c r="AO51" s="120">
        <f t="shared" si="63"/>
        <v>4928</v>
      </c>
      <c r="AP51" s="120">
        <f t="shared" si="63"/>
        <v>4980</v>
      </c>
      <c r="AQ51" s="120">
        <f t="shared" si="63"/>
        <v>3976</v>
      </c>
      <c r="AR51" s="120">
        <f t="shared" si="63"/>
        <v>3898</v>
      </c>
      <c r="AS51" s="120">
        <f t="shared" si="63"/>
        <v>3819</v>
      </c>
      <c r="AT51" s="120">
        <f>SUM(AT49:AT50)</f>
        <v>3154</v>
      </c>
      <c r="AU51" s="120">
        <f>SUM(AU49:AU50)</f>
        <v>3683</v>
      </c>
      <c r="AV51" s="120">
        <v>3498</v>
      </c>
      <c r="AW51" s="120">
        <f>SUM(AW49:AW50)</f>
        <v>3771</v>
      </c>
      <c r="AX51" s="120">
        <f>SUM(AX49:AX50)</f>
        <v>13609</v>
      </c>
      <c r="AY51" s="120">
        <f>SUM(AY49:AY50)</f>
        <v>4412</v>
      </c>
      <c r="AZ51" s="120">
        <f>SUM(AZ49:AZ50)</f>
        <v>3375</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9">
    <pageSetUpPr autoPageBreaks="0"/>
  </sheetPr>
  <dimension ref="A1:AZ202"/>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ColWidth="9.140625" defaultRowHeight="14.25" outlineLevelRow="1" x14ac:dyDescent="0.2"/>
  <cols>
    <col min="1" max="1" width="1.42578125" style="25" customWidth="1"/>
    <col min="2" max="2" width="37.85546875" style="25" customWidth="1"/>
    <col min="3" max="22" width="10.85546875" style="25" customWidth="1"/>
    <col min="23" max="16384" width="9.140625" style="25"/>
  </cols>
  <sheetData>
    <row r="1" spans="2:52" s="549" customFormat="1" x14ac:dyDescent="0.2">
      <c r="C1" s="550"/>
      <c r="D1" s="550"/>
      <c r="E1" s="550"/>
      <c r="F1" s="550"/>
      <c r="G1" s="544"/>
      <c r="H1" s="544"/>
      <c r="I1" s="544"/>
      <c r="J1" s="544"/>
      <c r="K1" s="544"/>
      <c r="L1" s="544"/>
      <c r="M1" s="544"/>
      <c r="N1" s="544"/>
      <c r="O1" s="544"/>
      <c r="P1" s="544"/>
      <c r="Q1" s="544"/>
      <c r="R1" s="544"/>
      <c r="S1" s="544"/>
      <c r="T1" s="544"/>
      <c r="U1" s="544"/>
      <c r="V1" s="544"/>
      <c r="W1" s="544"/>
      <c r="X1" s="544"/>
      <c r="Y1" s="544"/>
      <c r="Z1" s="544"/>
      <c r="AA1" s="544"/>
      <c r="AB1" s="544"/>
      <c r="AC1" s="544"/>
      <c r="AD1" s="544"/>
      <c r="AE1" s="544"/>
      <c r="AF1" s="544"/>
      <c r="AG1" s="544"/>
      <c r="AH1" s="544"/>
      <c r="AI1" s="544"/>
      <c r="AJ1" s="544"/>
      <c r="AK1" s="544"/>
      <c r="AL1" s="544"/>
      <c r="AM1" s="544"/>
      <c r="AN1" s="544"/>
      <c r="AO1" s="544"/>
      <c r="AP1" s="544"/>
      <c r="AQ1" s="544"/>
      <c r="AR1" s="544"/>
      <c r="AS1" s="544"/>
      <c r="AT1" s="544"/>
      <c r="AU1" s="544"/>
      <c r="AV1" s="544"/>
      <c r="AW1" s="544"/>
      <c r="AX1" s="544"/>
      <c r="AY1" s="544"/>
      <c r="AZ1" s="544"/>
    </row>
    <row r="2" spans="2:52" s="549" customFormat="1" ht="12.75" customHeight="1" x14ac:dyDescent="0.2">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544"/>
      <c r="AR2" s="544"/>
      <c r="AS2" s="544"/>
      <c r="AT2" s="544"/>
      <c r="AU2" s="544"/>
      <c r="AV2" s="544"/>
      <c r="AW2" s="544"/>
      <c r="AX2" s="544"/>
      <c r="AY2" s="544"/>
      <c r="AZ2" s="544"/>
    </row>
    <row r="3" spans="2:52" ht="12.75" customHeight="1" x14ac:dyDescent="0.2">
      <c r="W3" s="353"/>
      <c r="X3" s="353"/>
      <c r="Y3" s="353"/>
      <c r="Z3" s="353"/>
      <c r="AA3" s="353"/>
      <c r="AB3" s="353"/>
      <c r="AC3" s="353"/>
      <c r="AD3" s="353"/>
      <c r="AE3" s="353"/>
      <c r="AF3" s="353"/>
      <c r="AG3" s="353"/>
      <c r="AH3" s="549"/>
      <c r="AI3" s="549"/>
      <c r="AJ3" s="549"/>
      <c r="AK3" s="549"/>
      <c r="AL3" s="549"/>
      <c r="AM3" s="549"/>
      <c r="AN3" s="549"/>
      <c r="AO3" s="549"/>
      <c r="AP3" s="549"/>
      <c r="AQ3" s="549"/>
      <c r="AR3" s="549"/>
      <c r="AS3" s="549"/>
      <c r="AT3" s="549"/>
      <c r="AU3" s="549"/>
      <c r="AV3" s="549"/>
      <c r="AW3" s="549"/>
      <c r="AX3" s="549"/>
      <c r="AY3" s="549"/>
      <c r="AZ3" s="549"/>
    </row>
    <row r="4" spans="2:52" ht="12.75" customHeight="1" x14ac:dyDescent="0.2">
      <c r="C4" s="1235" t="s">
        <v>1426</v>
      </c>
      <c r="D4" s="1236"/>
      <c r="E4" s="224" t="s">
        <v>1427</v>
      </c>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row>
    <row r="5" spans="2:52" ht="15.75" customHeight="1" x14ac:dyDescent="0.2">
      <c r="B5" s="151" t="s">
        <v>96</v>
      </c>
      <c r="C5" s="246">
        <v>2013</v>
      </c>
      <c r="D5" s="246" t="s">
        <v>45</v>
      </c>
      <c r="E5" s="246" t="s">
        <v>55</v>
      </c>
      <c r="F5" s="246" t="s">
        <v>71</v>
      </c>
      <c r="G5" s="246" t="s">
        <v>77</v>
      </c>
      <c r="H5" s="246" t="s">
        <v>87</v>
      </c>
      <c r="I5" s="246" t="s">
        <v>88</v>
      </c>
      <c r="J5" s="246" t="s">
        <v>378</v>
      </c>
      <c r="K5" s="246" t="s">
        <v>406</v>
      </c>
      <c r="L5" s="246" t="s">
        <v>467</v>
      </c>
      <c r="M5" s="246" t="s">
        <v>501</v>
      </c>
      <c r="N5" s="246" t="s">
        <v>511</v>
      </c>
      <c r="O5" s="246" t="s">
        <v>538</v>
      </c>
      <c r="P5" s="246" t="s">
        <v>567</v>
      </c>
      <c r="Q5" s="246" t="s">
        <v>575</v>
      </c>
      <c r="R5" s="246" t="s">
        <v>595</v>
      </c>
      <c r="S5" s="246" t="s">
        <v>596</v>
      </c>
      <c r="T5" s="246" t="s">
        <v>623</v>
      </c>
      <c r="U5" s="246" t="s">
        <v>624</v>
      </c>
      <c r="V5" s="246" t="s">
        <v>625</v>
      </c>
      <c r="W5" s="246" t="s">
        <v>626</v>
      </c>
      <c r="X5" s="246" t="s">
        <v>798</v>
      </c>
      <c r="Y5" s="246" t="s">
        <v>799</v>
      </c>
      <c r="Z5" s="246" t="s">
        <v>800</v>
      </c>
      <c r="AA5" s="246" t="s">
        <v>801</v>
      </c>
      <c r="AB5" s="246" t="s">
        <v>913</v>
      </c>
      <c r="AC5" s="246" t="s">
        <v>914</v>
      </c>
      <c r="AD5" s="246" t="s">
        <v>923</v>
      </c>
      <c r="AE5" s="246" t="s">
        <v>924</v>
      </c>
      <c r="AF5" s="246" t="s">
        <v>1049</v>
      </c>
      <c r="AG5" s="246" t="s">
        <v>1023</v>
      </c>
      <c r="AH5" s="246" t="s">
        <v>1024</v>
      </c>
      <c r="AI5" s="246" t="s">
        <v>1050</v>
      </c>
      <c r="AJ5" s="246" t="s">
        <v>1114</v>
      </c>
      <c r="AK5" s="246" t="s">
        <v>1119</v>
      </c>
      <c r="AL5" s="246" t="s">
        <v>1121</v>
      </c>
      <c r="AM5" s="246" t="s">
        <v>1123</v>
      </c>
      <c r="AN5" s="246" t="s">
        <v>1176</v>
      </c>
      <c r="AO5" s="246" t="s">
        <v>1177</v>
      </c>
      <c r="AP5" s="246" t="s">
        <v>1179</v>
      </c>
      <c r="AQ5" s="246" t="s">
        <v>1181</v>
      </c>
      <c r="AR5" s="246" t="s">
        <v>1243</v>
      </c>
      <c r="AS5" s="246" t="s">
        <v>1250</v>
      </c>
      <c r="AT5" s="246" t="s">
        <v>1251</v>
      </c>
      <c r="AU5" s="246" t="s">
        <v>1252</v>
      </c>
      <c r="AV5" s="246" t="s">
        <v>1311</v>
      </c>
      <c r="AW5" s="246" t="s">
        <v>1313</v>
      </c>
      <c r="AX5" s="246" t="s">
        <v>1315</v>
      </c>
      <c r="AY5" s="246" t="s">
        <v>1317</v>
      </c>
      <c r="AZ5" s="246" t="s">
        <v>1344</v>
      </c>
    </row>
    <row r="6" spans="2:52" ht="14.25" customHeight="1" x14ac:dyDescent="0.2">
      <c r="B6" s="129" t="s">
        <v>100</v>
      </c>
      <c r="C6" s="118">
        <v>6610</v>
      </c>
      <c r="D6" s="118">
        <v>3600</v>
      </c>
      <c r="E6" s="160">
        <v>3986</v>
      </c>
      <c r="F6" s="118">
        <v>4037</v>
      </c>
      <c r="G6" s="118">
        <v>4124</v>
      </c>
      <c r="H6" s="118">
        <v>4015</v>
      </c>
      <c r="I6" s="118">
        <v>7019</v>
      </c>
      <c r="J6" s="118">
        <v>5834</v>
      </c>
      <c r="K6" s="118">
        <v>9501</v>
      </c>
      <c r="L6" s="118">
        <v>9900</v>
      </c>
      <c r="M6" s="118">
        <v>6745</v>
      </c>
      <c r="N6" s="118">
        <v>6650</v>
      </c>
      <c r="O6" s="118">
        <v>11142</v>
      </c>
      <c r="P6" s="118">
        <v>11233</v>
      </c>
      <c r="Q6" s="118">
        <v>11378</v>
      </c>
      <c r="R6" s="118">
        <v>11361</v>
      </c>
      <c r="S6" s="118">
        <v>13354</v>
      </c>
      <c r="T6" s="118">
        <v>10057</v>
      </c>
      <c r="U6" s="118">
        <v>9647</v>
      </c>
      <c r="V6" s="118">
        <v>9667</v>
      </c>
      <c r="W6" s="118">
        <v>9826</v>
      </c>
      <c r="X6" s="118">
        <v>9914</v>
      </c>
      <c r="Y6" s="118">
        <v>9899</v>
      </c>
      <c r="Z6" s="118">
        <v>9974</v>
      </c>
      <c r="AA6" s="118">
        <v>10104</v>
      </c>
      <c r="AB6" s="118">
        <v>10184</v>
      </c>
      <c r="AC6" s="118">
        <v>10055</v>
      </c>
      <c r="AD6" s="118">
        <v>10262</v>
      </c>
      <c r="AE6" s="118">
        <v>9725</v>
      </c>
      <c r="AF6" s="118">
        <v>9809</v>
      </c>
      <c r="AG6" s="118">
        <v>9877</v>
      </c>
      <c r="AH6" s="118">
        <v>9911</v>
      </c>
      <c r="AI6" s="118">
        <v>9984</v>
      </c>
      <c r="AJ6" s="118">
        <v>9320</v>
      </c>
      <c r="AK6" s="118">
        <v>5828</v>
      </c>
      <c r="AL6" s="118">
        <v>5906</v>
      </c>
      <c r="AM6" s="118">
        <v>4861</v>
      </c>
      <c r="AN6" s="118">
        <v>4756</v>
      </c>
      <c r="AO6" s="118">
        <v>4834</v>
      </c>
      <c r="AP6" s="118">
        <v>4869</v>
      </c>
      <c r="AQ6" s="118">
        <v>4978</v>
      </c>
      <c r="AR6" s="118">
        <v>4793</v>
      </c>
      <c r="AS6" s="118">
        <v>6430</v>
      </c>
      <c r="AT6" s="118">
        <v>6304</v>
      </c>
      <c r="AU6" s="118">
        <v>6494</v>
      </c>
      <c r="AV6" s="118">
        <v>7047</v>
      </c>
      <c r="AW6" s="118">
        <v>7243</v>
      </c>
      <c r="AX6" s="118">
        <v>7619</v>
      </c>
      <c r="AY6" s="118">
        <v>7667</v>
      </c>
      <c r="AZ6" s="118">
        <v>7672</v>
      </c>
    </row>
    <row r="7" spans="2:52" ht="13.5" customHeight="1" x14ac:dyDescent="0.2">
      <c r="B7" s="129" t="s">
        <v>101</v>
      </c>
      <c r="C7" s="118">
        <v>3679</v>
      </c>
      <c r="D7" s="118">
        <v>2218</v>
      </c>
      <c r="E7" s="160">
        <v>2870</v>
      </c>
      <c r="F7" s="118">
        <v>3610</v>
      </c>
      <c r="G7" s="118">
        <v>1585</v>
      </c>
      <c r="H7" s="118">
        <v>1798</v>
      </c>
      <c r="I7" s="118">
        <v>3259</v>
      </c>
      <c r="J7" s="118">
        <v>4122</v>
      </c>
      <c r="K7" s="118">
        <v>0</v>
      </c>
      <c r="L7" s="118">
        <v>736</v>
      </c>
      <c r="M7" s="118">
        <v>1888</v>
      </c>
      <c r="N7" s="118">
        <v>1270</v>
      </c>
      <c r="O7" s="118">
        <v>0</v>
      </c>
      <c r="P7" s="118">
        <v>436</v>
      </c>
      <c r="Q7" s="118">
        <v>887</v>
      </c>
      <c r="R7" s="118">
        <v>903</v>
      </c>
      <c r="S7" s="118">
        <v>0</v>
      </c>
      <c r="T7" s="118">
        <v>206</v>
      </c>
      <c r="U7" s="118">
        <v>1712</v>
      </c>
      <c r="V7" s="118">
        <v>1584</v>
      </c>
      <c r="W7" s="118">
        <v>91</v>
      </c>
      <c r="X7" s="118">
        <v>94</v>
      </c>
      <c r="Y7" s="118">
        <v>168</v>
      </c>
      <c r="Z7" s="118">
        <v>262</v>
      </c>
      <c r="AA7" s="118">
        <v>124</v>
      </c>
      <c r="AB7" s="118">
        <v>335</v>
      </c>
      <c r="AC7" s="118">
        <v>698</v>
      </c>
      <c r="AD7" s="118">
        <v>427</v>
      </c>
      <c r="AE7" s="118">
        <v>338</v>
      </c>
      <c r="AF7" s="118">
        <v>518</v>
      </c>
      <c r="AG7" s="118">
        <v>394</v>
      </c>
      <c r="AH7" s="118">
        <v>582</v>
      </c>
      <c r="AI7" s="118">
        <v>646</v>
      </c>
      <c r="AJ7" s="118">
        <v>972</v>
      </c>
      <c r="AK7" s="118">
        <v>539</v>
      </c>
      <c r="AL7" s="118">
        <v>612</v>
      </c>
      <c r="AM7" s="118">
        <v>842</v>
      </c>
      <c r="AN7" s="118">
        <v>1568</v>
      </c>
      <c r="AO7" s="118">
        <v>1805</v>
      </c>
      <c r="AP7" s="118">
        <v>1195</v>
      </c>
      <c r="AQ7" s="118">
        <v>1353</v>
      </c>
      <c r="AR7" s="118">
        <v>1796</v>
      </c>
      <c r="AS7" s="118">
        <v>1421</v>
      </c>
      <c r="AT7" s="118">
        <v>1031</v>
      </c>
      <c r="AU7" s="118">
        <v>961</v>
      </c>
      <c r="AV7" s="118">
        <v>1405</v>
      </c>
      <c r="AW7" s="118">
        <v>2083</v>
      </c>
      <c r="AX7" s="118">
        <v>1917</v>
      </c>
      <c r="AY7" s="118">
        <v>415</v>
      </c>
      <c r="AZ7" s="118">
        <v>608</v>
      </c>
    </row>
    <row r="8" spans="2:52" x14ac:dyDescent="0.2">
      <c r="B8" s="129" t="s">
        <v>99</v>
      </c>
      <c r="C8" s="118">
        <v>1819</v>
      </c>
      <c r="D8" s="118">
        <v>2029</v>
      </c>
      <c r="E8" s="160">
        <v>1047</v>
      </c>
      <c r="F8" s="118">
        <v>1049</v>
      </c>
      <c r="G8" s="118">
        <v>1280</v>
      </c>
      <c r="H8" s="118">
        <v>1626</v>
      </c>
      <c r="I8" s="118">
        <v>4939</v>
      </c>
      <c r="J8" s="118">
        <v>4731</v>
      </c>
      <c r="K8" s="118">
        <v>0</v>
      </c>
      <c r="L8" s="118">
        <v>0</v>
      </c>
      <c r="M8" s="118">
        <v>0</v>
      </c>
      <c r="N8" s="118">
        <v>0</v>
      </c>
      <c r="O8" s="118">
        <v>0</v>
      </c>
      <c r="P8" s="118">
        <v>32</v>
      </c>
      <c r="Q8" s="118">
        <v>58</v>
      </c>
      <c r="R8" s="118">
        <v>76</v>
      </c>
      <c r="S8" s="118">
        <v>4</v>
      </c>
      <c r="T8" s="118">
        <v>27</v>
      </c>
      <c r="U8" s="118">
        <v>63</v>
      </c>
      <c r="V8" s="118">
        <v>82</v>
      </c>
      <c r="W8" s="118">
        <v>0</v>
      </c>
      <c r="X8" s="118">
        <v>0</v>
      </c>
      <c r="Y8" s="118">
        <v>55</v>
      </c>
      <c r="Z8" s="118">
        <v>102</v>
      </c>
      <c r="AA8" s="118">
        <v>0</v>
      </c>
      <c r="AB8" s="118">
        <v>0</v>
      </c>
      <c r="AC8" s="118">
        <v>0</v>
      </c>
      <c r="AD8" s="118">
        <v>3099</v>
      </c>
      <c r="AE8" s="118">
        <v>41</v>
      </c>
      <c r="AF8" s="118">
        <v>64</v>
      </c>
      <c r="AG8" s="118">
        <v>141</v>
      </c>
      <c r="AH8" s="118">
        <v>104</v>
      </c>
      <c r="AI8" s="118">
        <v>104</v>
      </c>
      <c r="AJ8" s="118">
        <v>104</v>
      </c>
      <c r="AK8" s="118">
        <v>104</v>
      </c>
      <c r="AL8" s="118">
        <v>104</v>
      </c>
      <c r="AM8" s="118">
        <v>104</v>
      </c>
      <c r="AN8" s="118">
        <v>9</v>
      </c>
      <c r="AO8" s="118">
        <v>9</v>
      </c>
      <c r="AP8" s="118">
        <v>9</v>
      </c>
      <c r="AQ8" s="118">
        <v>12</v>
      </c>
      <c r="AR8" s="118">
        <v>14</v>
      </c>
      <c r="AS8" s="118">
        <v>14</v>
      </c>
      <c r="AT8" s="118">
        <v>14</v>
      </c>
      <c r="AU8" s="118">
        <v>35</v>
      </c>
      <c r="AV8" s="118">
        <v>35</v>
      </c>
      <c r="AW8" s="118">
        <v>35</v>
      </c>
      <c r="AX8" s="118">
        <v>35</v>
      </c>
      <c r="AY8" s="118">
        <v>35</v>
      </c>
      <c r="AZ8" s="118">
        <v>64</v>
      </c>
    </row>
    <row r="9" spans="2:52" x14ac:dyDescent="0.2">
      <c r="B9" s="129" t="s">
        <v>102</v>
      </c>
      <c r="C9" s="118">
        <v>4393</v>
      </c>
      <c r="D9" s="118">
        <v>4782</v>
      </c>
      <c r="E9" s="160">
        <v>3196</v>
      </c>
      <c r="F9" s="118">
        <v>3324</v>
      </c>
      <c r="G9" s="118">
        <v>3452</v>
      </c>
      <c r="H9" s="118">
        <v>3516</v>
      </c>
      <c r="I9" s="118">
        <v>3148</v>
      </c>
      <c r="J9" s="118">
        <v>3246</v>
      </c>
      <c r="K9" s="118">
        <v>6034</v>
      </c>
      <c r="L9" s="118">
        <v>4995</v>
      </c>
      <c r="M9" s="118">
        <v>3719</v>
      </c>
      <c r="N9" s="118">
        <v>2620</v>
      </c>
      <c r="O9" s="118">
        <v>553</v>
      </c>
      <c r="P9" s="118">
        <v>423</v>
      </c>
      <c r="Q9" s="118">
        <v>514</v>
      </c>
      <c r="R9" s="118">
        <v>361</v>
      </c>
      <c r="S9" s="261">
        <v>39037</v>
      </c>
      <c r="T9" s="118">
        <v>11815</v>
      </c>
      <c r="U9" s="118">
        <v>1583</v>
      </c>
      <c r="V9" s="118">
        <v>766</v>
      </c>
      <c r="W9" s="118">
        <v>11333</v>
      </c>
      <c r="X9" s="118">
        <v>11511</v>
      </c>
      <c r="Y9" s="118">
        <v>11783</v>
      </c>
      <c r="Z9" s="261">
        <v>103534</v>
      </c>
      <c r="AA9" s="118">
        <v>105685</v>
      </c>
      <c r="AB9" s="118">
        <v>56225</v>
      </c>
      <c r="AC9" s="118">
        <v>56229</v>
      </c>
      <c r="AD9" s="118">
        <v>46603</v>
      </c>
      <c r="AE9" s="118">
        <v>33323</v>
      </c>
      <c r="AF9" s="118">
        <v>28935</v>
      </c>
      <c r="AG9" s="261">
        <v>41992</v>
      </c>
      <c r="AH9" s="118">
        <v>41144</v>
      </c>
      <c r="AI9" s="118">
        <v>41528</v>
      </c>
      <c r="AJ9" s="118">
        <v>42085</v>
      </c>
      <c r="AK9" s="118">
        <v>42714</v>
      </c>
      <c r="AL9" s="118">
        <v>39473</v>
      </c>
      <c r="AM9" s="118">
        <v>37990</v>
      </c>
      <c r="AN9" s="118">
        <v>37459</v>
      </c>
      <c r="AO9" s="118">
        <v>32844</v>
      </c>
      <c r="AP9" s="118">
        <v>29105</v>
      </c>
      <c r="AQ9" s="118">
        <v>24235</v>
      </c>
      <c r="AR9" s="118">
        <v>21426</v>
      </c>
      <c r="AS9" s="118">
        <v>19330</v>
      </c>
      <c r="AT9" s="118">
        <v>2618</v>
      </c>
      <c r="AU9" s="118">
        <v>2062</v>
      </c>
      <c r="AV9" s="118">
        <v>2562</v>
      </c>
      <c r="AW9" s="118">
        <v>3240</v>
      </c>
      <c r="AX9" s="118">
        <v>3196</v>
      </c>
      <c r="AY9" s="118">
        <v>4173</v>
      </c>
      <c r="AZ9" s="118">
        <v>4124</v>
      </c>
    </row>
    <row r="10" spans="2:52" x14ac:dyDescent="0.2">
      <c r="B10" s="129" t="s">
        <v>49</v>
      </c>
      <c r="C10" s="118">
        <v>1683</v>
      </c>
      <c r="D10" s="118">
        <v>1719</v>
      </c>
      <c r="E10" s="160">
        <v>1698</v>
      </c>
      <c r="F10" s="118">
        <v>1676</v>
      </c>
      <c r="G10" s="118">
        <v>1705</v>
      </c>
      <c r="H10" s="118">
        <v>1723</v>
      </c>
      <c r="I10" s="118">
        <v>1100</v>
      </c>
      <c r="J10" s="118">
        <v>1041</v>
      </c>
      <c r="K10" s="118">
        <v>310</v>
      </c>
      <c r="L10" s="118">
        <v>412</v>
      </c>
      <c r="M10" s="118">
        <v>361</v>
      </c>
      <c r="N10" s="118">
        <v>480</v>
      </c>
      <c r="O10" s="118">
        <v>425</v>
      </c>
      <c r="P10" s="118">
        <v>215</v>
      </c>
      <c r="Q10" s="118">
        <v>450</v>
      </c>
      <c r="R10" s="118">
        <v>265</v>
      </c>
      <c r="S10" s="118">
        <v>2141</v>
      </c>
      <c r="T10" s="118">
        <v>1933</v>
      </c>
      <c r="U10" s="118">
        <v>223</v>
      </c>
      <c r="V10" s="118">
        <v>250</v>
      </c>
      <c r="W10" s="118">
        <v>174</v>
      </c>
      <c r="X10" s="118">
        <v>285</v>
      </c>
      <c r="Y10" s="118">
        <v>287</v>
      </c>
      <c r="Z10" s="118">
        <v>323</v>
      </c>
      <c r="AA10" s="118">
        <v>56</v>
      </c>
      <c r="AB10" s="118">
        <v>72</v>
      </c>
      <c r="AC10" s="118">
        <v>72</v>
      </c>
      <c r="AD10" s="118">
        <v>68</v>
      </c>
      <c r="AE10" s="118">
        <v>106</v>
      </c>
      <c r="AF10" s="118">
        <v>486</v>
      </c>
      <c r="AG10" s="118">
        <v>756</v>
      </c>
      <c r="AH10" s="118">
        <v>783</v>
      </c>
      <c r="AI10" s="118">
        <v>812</v>
      </c>
      <c r="AJ10" s="118">
        <v>661</v>
      </c>
      <c r="AK10" s="118">
        <v>726</v>
      </c>
      <c r="AL10" s="118">
        <v>722</v>
      </c>
      <c r="AM10" s="118">
        <v>741</v>
      </c>
      <c r="AN10" s="118">
        <v>585</v>
      </c>
      <c r="AO10" s="118">
        <v>826</v>
      </c>
      <c r="AP10" s="118">
        <v>822</v>
      </c>
      <c r="AQ10" s="118">
        <v>862</v>
      </c>
      <c r="AR10" s="118">
        <v>885</v>
      </c>
      <c r="AS10" s="118">
        <v>906</v>
      </c>
      <c r="AT10" s="118">
        <v>756</v>
      </c>
      <c r="AU10" s="118">
        <v>771</v>
      </c>
      <c r="AV10" s="118">
        <v>1249</v>
      </c>
      <c r="AW10" s="118">
        <v>1235</v>
      </c>
      <c r="AX10" s="118">
        <v>1085</v>
      </c>
      <c r="AY10" s="118">
        <v>990</v>
      </c>
      <c r="AZ10" s="118">
        <v>903</v>
      </c>
    </row>
    <row r="11" spans="2:52" s="248" customFormat="1" hidden="1" outlineLevel="1" x14ac:dyDescent="0.2">
      <c r="B11" s="249" t="s">
        <v>403</v>
      </c>
      <c r="C11" s="218">
        <v>4133</v>
      </c>
      <c r="D11" s="218">
        <v>0</v>
      </c>
      <c r="E11" s="219">
        <v>0</v>
      </c>
      <c r="F11" s="218">
        <v>0</v>
      </c>
      <c r="G11" s="218">
        <v>5283</v>
      </c>
      <c r="H11" s="218">
        <v>8488</v>
      </c>
      <c r="I11" s="218">
        <v>4465</v>
      </c>
      <c r="J11" s="218">
        <v>1767</v>
      </c>
      <c r="K11" s="218">
        <v>5494</v>
      </c>
      <c r="L11" s="218">
        <v>1764</v>
      </c>
      <c r="M11" s="218">
        <v>1793</v>
      </c>
      <c r="N11" s="218">
        <v>1599</v>
      </c>
      <c r="O11" s="218">
        <v>2837</v>
      </c>
      <c r="P11" s="218">
        <v>2134</v>
      </c>
      <c r="Q11" s="218">
        <v>15509</v>
      </c>
      <c r="R11" s="218">
        <v>2313</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c r="AN11" s="218">
        <v>0</v>
      </c>
      <c r="AO11" s="218">
        <v>0</v>
      </c>
      <c r="AP11" s="218">
        <v>0</v>
      </c>
      <c r="AQ11" s="218">
        <v>0</v>
      </c>
      <c r="AR11" s="218">
        <v>0</v>
      </c>
      <c r="AS11" s="218">
        <v>0</v>
      </c>
      <c r="AT11" s="218">
        <v>0</v>
      </c>
      <c r="AU11" s="218">
        <v>0</v>
      </c>
      <c r="AV11" s="218">
        <v>0</v>
      </c>
      <c r="AW11" s="218">
        <v>0</v>
      </c>
      <c r="AX11" s="218">
        <v>0</v>
      </c>
      <c r="AY11" s="218">
        <v>0</v>
      </c>
      <c r="AZ11" s="218">
        <v>0</v>
      </c>
    </row>
    <row r="12" spans="2:52" s="248" customFormat="1" hidden="1" outlineLevel="1" x14ac:dyDescent="0.2">
      <c r="B12" s="249" t="s">
        <v>718</v>
      </c>
      <c r="C12" s="218">
        <v>0</v>
      </c>
      <c r="D12" s="218">
        <v>0</v>
      </c>
      <c r="E12" s="219">
        <v>0</v>
      </c>
      <c r="F12" s="218">
        <v>0</v>
      </c>
      <c r="G12" s="218">
        <v>0</v>
      </c>
      <c r="H12" s="218">
        <v>0</v>
      </c>
      <c r="I12" s="218">
        <v>0</v>
      </c>
      <c r="J12" s="218">
        <v>0</v>
      </c>
      <c r="K12" s="218">
        <v>0</v>
      </c>
      <c r="L12" s="218">
        <v>0</v>
      </c>
      <c r="M12" s="218">
        <v>0</v>
      </c>
      <c r="N12" s="218">
        <v>0</v>
      </c>
      <c r="O12" s="218">
        <v>0</v>
      </c>
      <c r="P12" s="218">
        <v>0</v>
      </c>
      <c r="Q12" s="218">
        <v>11764</v>
      </c>
      <c r="R12" s="218">
        <v>12228</v>
      </c>
      <c r="S12" s="218">
        <v>12162</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c r="AN12" s="218">
        <v>0</v>
      </c>
      <c r="AO12" s="218">
        <v>0</v>
      </c>
      <c r="AP12" s="218">
        <v>0</v>
      </c>
      <c r="AQ12" s="218">
        <v>0</v>
      </c>
      <c r="AR12" s="218">
        <v>0</v>
      </c>
      <c r="AS12" s="218">
        <v>0</v>
      </c>
      <c r="AT12" s="218">
        <v>0</v>
      </c>
      <c r="AU12" s="218">
        <v>0</v>
      </c>
      <c r="AV12" s="218">
        <v>0</v>
      </c>
      <c r="AW12" s="218">
        <v>0</v>
      </c>
      <c r="AX12" s="218">
        <v>0</v>
      </c>
      <c r="AY12" s="218">
        <v>0</v>
      </c>
      <c r="AZ12" s="218">
        <v>0</v>
      </c>
    </row>
    <row r="13" spans="2:52" s="248" customFormat="1" hidden="1" outlineLevel="1" x14ac:dyDescent="0.2">
      <c r="B13" s="249" t="s">
        <v>103</v>
      </c>
      <c r="C13" s="218">
        <v>1572</v>
      </c>
      <c r="D13" s="218">
        <v>1639</v>
      </c>
      <c r="E13" s="219">
        <v>1713</v>
      </c>
      <c r="F13" s="218">
        <v>1679</v>
      </c>
      <c r="G13" s="218">
        <v>1657</v>
      </c>
      <c r="H13" s="218">
        <v>1647</v>
      </c>
      <c r="I13" s="218">
        <v>1719</v>
      </c>
      <c r="J13" s="218">
        <v>1774</v>
      </c>
      <c r="K13" s="218">
        <v>1371</v>
      </c>
      <c r="L13" s="218">
        <v>1366</v>
      </c>
      <c r="M13" s="218">
        <v>1551</v>
      </c>
      <c r="N13" s="218">
        <v>1025</v>
      </c>
      <c r="O13" s="218">
        <v>912</v>
      </c>
      <c r="P13" s="218">
        <v>897</v>
      </c>
      <c r="Q13" s="218">
        <v>872</v>
      </c>
      <c r="R13" s="218">
        <v>871</v>
      </c>
      <c r="S13" s="218">
        <v>0</v>
      </c>
      <c r="T13" s="218">
        <v>0</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c r="AN13" s="218">
        <v>0</v>
      </c>
      <c r="AO13" s="218">
        <v>0</v>
      </c>
      <c r="AP13" s="218">
        <v>0</v>
      </c>
      <c r="AQ13" s="218">
        <v>0</v>
      </c>
      <c r="AR13" s="218">
        <v>0</v>
      </c>
      <c r="AS13" s="218">
        <v>0</v>
      </c>
      <c r="AT13" s="218">
        <v>0</v>
      </c>
      <c r="AU13" s="218">
        <v>0</v>
      </c>
      <c r="AV13" s="218">
        <v>0</v>
      </c>
      <c r="AW13" s="218">
        <v>0</v>
      </c>
      <c r="AX13" s="218">
        <v>0</v>
      </c>
      <c r="AY13" s="218">
        <v>0</v>
      </c>
      <c r="AZ13" s="218">
        <v>0</v>
      </c>
    </row>
    <row r="14" spans="2:52" ht="14.25" customHeight="1" collapsed="1" x14ac:dyDescent="0.2">
      <c r="B14" s="126" t="s">
        <v>73</v>
      </c>
      <c r="C14" s="120">
        <f t="shared" ref="C14:AA14" si="0">SUM(C6:C13)</f>
        <v>23889</v>
      </c>
      <c r="D14" s="120">
        <f t="shared" si="0"/>
        <v>15987</v>
      </c>
      <c r="E14" s="162">
        <f t="shared" si="0"/>
        <v>14510</v>
      </c>
      <c r="F14" s="120">
        <f t="shared" si="0"/>
        <v>15375</v>
      </c>
      <c r="G14" s="120">
        <f t="shared" si="0"/>
        <v>19086</v>
      </c>
      <c r="H14" s="120">
        <f t="shared" si="0"/>
        <v>22813</v>
      </c>
      <c r="I14" s="120">
        <f t="shared" si="0"/>
        <v>25649</v>
      </c>
      <c r="J14" s="120">
        <f t="shared" si="0"/>
        <v>22515</v>
      </c>
      <c r="K14" s="120">
        <f t="shared" si="0"/>
        <v>22710</v>
      </c>
      <c r="L14" s="120">
        <f t="shared" si="0"/>
        <v>19173</v>
      </c>
      <c r="M14" s="120">
        <f t="shared" si="0"/>
        <v>16057</v>
      </c>
      <c r="N14" s="120">
        <f t="shared" si="0"/>
        <v>13644</v>
      </c>
      <c r="O14" s="120">
        <f t="shared" si="0"/>
        <v>15869</v>
      </c>
      <c r="P14" s="120">
        <f t="shared" si="0"/>
        <v>15370</v>
      </c>
      <c r="Q14" s="120">
        <f t="shared" si="0"/>
        <v>41432</v>
      </c>
      <c r="R14" s="120">
        <f t="shared" si="0"/>
        <v>28378</v>
      </c>
      <c r="S14" s="120">
        <f t="shared" si="0"/>
        <v>66698</v>
      </c>
      <c r="T14" s="120">
        <f t="shared" si="0"/>
        <v>24038</v>
      </c>
      <c r="U14" s="120">
        <f t="shared" si="0"/>
        <v>13228</v>
      </c>
      <c r="V14" s="120">
        <f t="shared" si="0"/>
        <v>12349</v>
      </c>
      <c r="W14" s="120">
        <f t="shared" si="0"/>
        <v>21424</v>
      </c>
      <c r="X14" s="120">
        <f t="shared" si="0"/>
        <v>21804</v>
      </c>
      <c r="Y14" s="120">
        <f t="shared" si="0"/>
        <v>22192</v>
      </c>
      <c r="Z14" s="120">
        <f t="shared" si="0"/>
        <v>114195</v>
      </c>
      <c r="AA14" s="120">
        <f t="shared" si="0"/>
        <v>115969</v>
      </c>
      <c r="AB14" s="120">
        <f t="shared" ref="AB14:AK14" si="1">SUM(AB6:AB13)</f>
        <v>66816</v>
      </c>
      <c r="AC14" s="120">
        <f t="shared" si="1"/>
        <v>67054</v>
      </c>
      <c r="AD14" s="120">
        <f t="shared" si="1"/>
        <v>60459</v>
      </c>
      <c r="AE14" s="120">
        <f t="shared" si="1"/>
        <v>43533</v>
      </c>
      <c r="AF14" s="120">
        <f t="shared" si="1"/>
        <v>39812</v>
      </c>
      <c r="AG14" s="120">
        <f t="shared" si="1"/>
        <v>53160</v>
      </c>
      <c r="AH14" s="120">
        <f t="shared" si="1"/>
        <v>52524</v>
      </c>
      <c r="AI14" s="120">
        <f t="shared" si="1"/>
        <v>53074</v>
      </c>
      <c r="AJ14" s="120">
        <f t="shared" si="1"/>
        <v>53142</v>
      </c>
      <c r="AK14" s="120">
        <f t="shared" si="1"/>
        <v>49911</v>
      </c>
      <c r="AL14" s="120">
        <f t="shared" ref="AL14:AS14" si="2">SUM(AL6:AL13)</f>
        <v>46817</v>
      </c>
      <c r="AM14" s="120">
        <f t="shared" si="2"/>
        <v>44538</v>
      </c>
      <c r="AN14" s="120">
        <f t="shared" si="2"/>
        <v>44377</v>
      </c>
      <c r="AO14" s="120">
        <f t="shared" si="2"/>
        <v>40318</v>
      </c>
      <c r="AP14" s="120">
        <f t="shared" si="2"/>
        <v>36000</v>
      </c>
      <c r="AQ14" s="120">
        <f t="shared" si="2"/>
        <v>31440</v>
      </c>
      <c r="AR14" s="120">
        <f t="shared" si="2"/>
        <v>28914</v>
      </c>
      <c r="AS14" s="120">
        <f t="shared" si="2"/>
        <v>28101</v>
      </c>
      <c r="AT14" s="120">
        <f t="shared" ref="AT14:AZ14" si="3">SUM(AT6:AT13)</f>
        <v>10723</v>
      </c>
      <c r="AU14" s="120">
        <f t="shared" si="3"/>
        <v>10323</v>
      </c>
      <c r="AV14" s="120">
        <f t="shared" si="3"/>
        <v>12298</v>
      </c>
      <c r="AW14" s="120">
        <f t="shared" si="3"/>
        <v>13836</v>
      </c>
      <c r="AX14" s="120">
        <f t="shared" si="3"/>
        <v>13852</v>
      </c>
      <c r="AY14" s="120">
        <f t="shared" si="3"/>
        <v>13280</v>
      </c>
      <c r="AZ14" s="120">
        <f t="shared" si="3"/>
        <v>13371</v>
      </c>
    </row>
    <row r="15" spans="2:52" ht="14.25" customHeight="1" x14ac:dyDescent="0.2">
      <c r="B15" s="129" t="s">
        <v>201</v>
      </c>
      <c r="C15" s="118"/>
      <c r="D15" s="118"/>
      <c r="E15" s="160"/>
      <c r="F15" s="118"/>
      <c r="G15" s="118"/>
      <c r="H15" s="118"/>
      <c r="I15" s="118"/>
      <c r="J15" s="118"/>
      <c r="K15" s="118"/>
      <c r="L15" s="118"/>
      <c r="M15" s="118"/>
      <c r="N15" s="118"/>
      <c r="O15" s="118"/>
      <c r="P15" s="118"/>
      <c r="Q15" s="118"/>
      <c r="R15" s="118"/>
      <c r="S15" s="118"/>
      <c r="T15" s="118"/>
      <c r="U15" s="118"/>
      <c r="V15" s="118"/>
      <c r="W15" s="118">
        <v>12007</v>
      </c>
      <c r="X15" s="118">
        <v>12317</v>
      </c>
      <c r="Y15" s="118">
        <v>12634</v>
      </c>
      <c r="Z15" s="118">
        <v>104567</v>
      </c>
      <c r="AA15" s="118">
        <v>106280</v>
      </c>
      <c r="AB15" s="118">
        <v>57079</v>
      </c>
      <c r="AC15" s="118">
        <v>57277</v>
      </c>
      <c r="AD15" s="118">
        <v>50657</v>
      </c>
      <c r="AE15" s="118">
        <v>33989</v>
      </c>
      <c r="AF15" s="118">
        <v>30248</v>
      </c>
      <c r="AG15" s="118">
        <v>43566</v>
      </c>
      <c r="AH15" s="118">
        <v>42887</v>
      </c>
      <c r="AI15" s="118">
        <v>43369</v>
      </c>
      <c r="AJ15" s="118">
        <v>44063</v>
      </c>
      <c r="AK15" s="118">
        <v>44352</v>
      </c>
      <c r="AL15" s="118">
        <v>41196</v>
      </c>
      <c r="AM15" s="118">
        <v>24726</v>
      </c>
      <c r="AN15" s="118">
        <v>24340</v>
      </c>
      <c r="AO15" s="118">
        <v>20303</v>
      </c>
      <c r="AP15" s="118">
        <v>15773</v>
      </c>
      <c r="AQ15" s="118">
        <v>11040</v>
      </c>
      <c r="AR15" s="118">
        <v>9955</v>
      </c>
      <c r="AS15" s="118">
        <v>7913</v>
      </c>
      <c r="AT15" s="118">
        <v>4827</v>
      </c>
      <c r="AU15" s="118">
        <v>4380</v>
      </c>
      <c r="AV15" s="118">
        <v>6301</v>
      </c>
      <c r="AW15" s="118">
        <v>7828</v>
      </c>
      <c r="AX15" s="118">
        <v>7779</v>
      </c>
      <c r="AY15" s="118">
        <v>7142</v>
      </c>
      <c r="AZ15" s="118">
        <v>7171</v>
      </c>
    </row>
    <row r="16" spans="2:52" ht="14.25" customHeight="1" x14ac:dyDescent="0.2">
      <c r="B16" s="129" t="s">
        <v>187</v>
      </c>
      <c r="C16" s="118"/>
      <c r="D16" s="118"/>
      <c r="E16" s="160"/>
      <c r="F16" s="118"/>
      <c r="G16" s="118"/>
      <c r="H16" s="118"/>
      <c r="I16" s="118"/>
      <c r="J16" s="118"/>
      <c r="K16" s="118"/>
      <c r="L16" s="118"/>
      <c r="M16" s="118"/>
      <c r="N16" s="118"/>
      <c r="O16" s="118"/>
      <c r="P16" s="118"/>
      <c r="Q16" s="118"/>
      <c r="R16" s="118"/>
      <c r="S16" s="118"/>
      <c r="T16" s="118"/>
      <c r="U16" s="118"/>
      <c r="V16" s="118"/>
      <c r="W16" s="118">
        <v>9417</v>
      </c>
      <c r="X16" s="118">
        <v>9487</v>
      </c>
      <c r="Y16" s="118">
        <v>9558</v>
      </c>
      <c r="Z16" s="118">
        <v>9628</v>
      </c>
      <c r="AA16" s="118">
        <v>9689</v>
      </c>
      <c r="AB16" s="118">
        <v>9737</v>
      </c>
      <c r="AC16" s="118">
        <v>9777</v>
      </c>
      <c r="AD16" s="118">
        <v>9802</v>
      </c>
      <c r="AE16" s="118">
        <v>9544</v>
      </c>
      <c r="AF16" s="118">
        <v>9564</v>
      </c>
      <c r="AG16" s="118">
        <v>9594</v>
      </c>
      <c r="AH16" s="118">
        <v>9637</v>
      </c>
      <c r="AI16" s="118">
        <v>9705</v>
      </c>
      <c r="AJ16" s="118">
        <v>9079</v>
      </c>
      <c r="AK16" s="118">
        <v>5559</v>
      </c>
      <c r="AL16" s="118">
        <v>5621</v>
      </c>
      <c r="AM16" s="118">
        <v>19812</v>
      </c>
      <c r="AN16" s="118">
        <v>20037</v>
      </c>
      <c r="AO16" s="118">
        <v>20015</v>
      </c>
      <c r="AP16" s="118">
        <v>20227</v>
      </c>
      <c r="AQ16" s="118">
        <v>20400</v>
      </c>
      <c r="AR16" s="118">
        <v>18959</v>
      </c>
      <c r="AS16" s="118">
        <v>20188</v>
      </c>
      <c r="AT16" s="118">
        <v>5896</v>
      </c>
      <c r="AU16" s="118">
        <v>5943</v>
      </c>
      <c r="AV16" s="118">
        <v>5997</v>
      </c>
      <c r="AW16" s="118">
        <v>6008</v>
      </c>
      <c r="AX16" s="118">
        <v>6073</v>
      </c>
      <c r="AY16" s="118">
        <v>6138</v>
      </c>
      <c r="AZ16" s="118">
        <v>6200</v>
      </c>
    </row>
    <row r="17" spans="1:52" ht="14.25" customHeight="1" x14ac:dyDescent="0.2">
      <c r="B17" s="126" t="s">
        <v>73</v>
      </c>
      <c r="C17" s="120"/>
      <c r="D17" s="120"/>
      <c r="E17" s="162"/>
      <c r="F17" s="120"/>
      <c r="G17" s="120"/>
      <c r="H17" s="120"/>
      <c r="I17" s="120"/>
      <c r="J17" s="120"/>
      <c r="K17" s="120"/>
      <c r="L17" s="120"/>
      <c r="M17" s="120"/>
      <c r="N17" s="120"/>
      <c r="O17" s="120"/>
      <c r="P17" s="120"/>
      <c r="Q17" s="120"/>
      <c r="R17" s="120"/>
      <c r="S17" s="120"/>
      <c r="T17" s="120"/>
      <c r="U17" s="120"/>
      <c r="V17" s="120"/>
      <c r="W17" s="120">
        <f t="shared" ref="W17:AB17" si="4">SUM(W15:W16)</f>
        <v>21424</v>
      </c>
      <c r="X17" s="120">
        <f t="shared" si="4"/>
        <v>21804</v>
      </c>
      <c r="Y17" s="120">
        <f t="shared" si="4"/>
        <v>22192</v>
      </c>
      <c r="Z17" s="120">
        <f t="shared" si="4"/>
        <v>114195</v>
      </c>
      <c r="AA17" s="120">
        <f t="shared" si="4"/>
        <v>115969</v>
      </c>
      <c r="AB17" s="120">
        <f t="shared" si="4"/>
        <v>66816</v>
      </c>
      <c r="AC17" s="120">
        <f t="shared" ref="AC17:AK17" si="5">SUM(AC15:AC16)</f>
        <v>67054</v>
      </c>
      <c r="AD17" s="120">
        <f t="shared" si="5"/>
        <v>60459</v>
      </c>
      <c r="AE17" s="120">
        <f t="shared" si="5"/>
        <v>43533</v>
      </c>
      <c r="AF17" s="120">
        <f t="shared" si="5"/>
        <v>39812</v>
      </c>
      <c r="AG17" s="120">
        <f t="shared" si="5"/>
        <v>53160</v>
      </c>
      <c r="AH17" s="120">
        <f t="shared" si="5"/>
        <v>52524</v>
      </c>
      <c r="AI17" s="120">
        <f t="shared" si="5"/>
        <v>53074</v>
      </c>
      <c r="AJ17" s="120">
        <f t="shared" si="5"/>
        <v>53142</v>
      </c>
      <c r="AK17" s="120">
        <f t="shared" si="5"/>
        <v>49911</v>
      </c>
      <c r="AL17" s="120">
        <f t="shared" ref="AL17:AS17" si="6">SUM(AL15:AL16)</f>
        <v>46817</v>
      </c>
      <c r="AM17" s="120">
        <f t="shared" si="6"/>
        <v>44538</v>
      </c>
      <c r="AN17" s="120">
        <f t="shared" si="6"/>
        <v>44377</v>
      </c>
      <c r="AO17" s="120">
        <f t="shared" si="6"/>
        <v>40318</v>
      </c>
      <c r="AP17" s="120">
        <f t="shared" si="6"/>
        <v>36000</v>
      </c>
      <c r="AQ17" s="120">
        <f t="shared" si="6"/>
        <v>31440</v>
      </c>
      <c r="AR17" s="120">
        <f t="shared" si="6"/>
        <v>28914</v>
      </c>
      <c r="AS17" s="120">
        <f t="shared" si="6"/>
        <v>28101</v>
      </c>
      <c r="AT17" s="120">
        <f t="shared" ref="AT17:AY17" si="7">SUM(AT15:AT16)</f>
        <v>10723</v>
      </c>
      <c r="AU17" s="120">
        <f t="shared" si="7"/>
        <v>10323</v>
      </c>
      <c r="AV17" s="120">
        <f t="shared" si="7"/>
        <v>12298</v>
      </c>
      <c r="AW17" s="120">
        <f t="shared" si="7"/>
        <v>13836</v>
      </c>
      <c r="AX17" s="120">
        <f t="shared" si="7"/>
        <v>13852</v>
      </c>
      <c r="AY17" s="120">
        <f t="shared" si="7"/>
        <v>13280</v>
      </c>
      <c r="AZ17" s="120">
        <f>SUM(AZ15:AZ16)</f>
        <v>13371</v>
      </c>
    </row>
    <row r="18" spans="1:52" x14ac:dyDescent="0.2">
      <c r="B18" s="549"/>
      <c r="C18" s="594">
        <f>+C14-BP!R12</f>
        <v>0</v>
      </c>
      <c r="D18" s="594">
        <f>+D14-BP!S12</f>
        <v>0</v>
      </c>
      <c r="E18" s="594">
        <f>+E14-BP!T12</f>
        <v>0</v>
      </c>
      <c r="F18" s="594">
        <f>+F14-BP!U12</f>
        <v>0</v>
      </c>
      <c r="G18" s="594">
        <f>+G14-BP!V12</f>
        <v>0</v>
      </c>
      <c r="H18" s="594">
        <f>+H14-BP!W12</f>
        <v>0</v>
      </c>
      <c r="I18" s="594">
        <f>+I14-BP!X12</f>
        <v>0</v>
      </c>
      <c r="J18" s="594">
        <f>+J14-BP!Y12</f>
        <v>0</v>
      </c>
      <c r="K18" s="594">
        <f>+K14-BP!Z12</f>
        <v>0</v>
      </c>
      <c r="L18" s="594">
        <f>+L14-BP!AA12</f>
        <v>0</v>
      </c>
      <c r="M18" s="594">
        <f>+M14-BP!AB12</f>
        <v>0</v>
      </c>
      <c r="N18" s="594">
        <f>+N14-BP!AC12</f>
        <v>0</v>
      </c>
      <c r="O18" s="594">
        <f>+O14-BP!AD12</f>
        <v>2837</v>
      </c>
      <c r="P18" s="594">
        <f>+BP!AE12+BP!AE24-P14</f>
        <v>-2837</v>
      </c>
      <c r="Q18" s="594">
        <f>+BP!AF12+BP!AF24-Q14</f>
        <v>-2837</v>
      </c>
      <c r="R18" s="594">
        <f>+BP!AG12+BP!AG24-R14</f>
        <v>-2837</v>
      </c>
      <c r="S18" s="154">
        <f>+BP!AH12+BP!AH24-S14</f>
        <v>0</v>
      </c>
      <c r="T18" s="154">
        <f>+BP!AI12+BP!AI24-T14</f>
        <v>0</v>
      </c>
      <c r="U18" s="154">
        <f>+BP!AJ12+BP!AJ24-U14</f>
        <v>0</v>
      </c>
      <c r="V18" s="154">
        <f>+BP!AK12+BP!AK24-V14</f>
        <v>0</v>
      </c>
      <c r="W18" s="154">
        <f>+BP!AL12+BP!AL24-W14</f>
        <v>0</v>
      </c>
      <c r="X18" s="154">
        <v>0</v>
      </c>
      <c r="Y18" s="154">
        <v>1</v>
      </c>
      <c r="Z18" s="154">
        <v>0</v>
      </c>
      <c r="AA18" s="154">
        <v>0</v>
      </c>
      <c r="AB18" s="154">
        <f>+BP!AQ12+BP!AQ24-AB14</f>
        <v>-1</v>
      </c>
      <c r="AC18" s="154">
        <f>+BP!AR12+BP!AR24-AC14</f>
        <v>0</v>
      </c>
      <c r="AD18" s="154">
        <f>+BP!AS12+BP!AS24-AD14</f>
        <v>0</v>
      </c>
      <c r="AE18" s="154">
        <f>+BP!AT12+BP!AT24-AE14</f>
        <v>0</v>
      </c>
      <c r="AF18" s="154">
        <f>+BP!AU12+BP!AU24-AF14</f>
        <v>0</v>
      </c>
      <c r="AG18" s="154">
        <f>+BP!AV12+BP!AV24-AG14</f>
        <v>0</v>
      </c>
      <c r="AH18" s="154">
        <f>+BP!AW12+BP!AW24-AH14</f>
        <v>0</v>
      </c>
      <c r="AI18" s="154">
        <f>+BP!AX12+BP!AX24-AI14</f>
        <v>0</v>
      </c>
      <c r="AJ18" s="154">
        <v>0</v>
      </c>
      <c r="AK18" s="154">
        <f>+BP!AZ12+BP!AZ24-AK14</f>
        <v>0</v>
      </c>
      <c r="AL18" s="154">
        <f>+BP!BA12+BP!BA24-AL14</f>
        <v>0</v>
      </c>
      <c r="AM18" s="154">
        <f>+BP!BB12+BP!BB24-AM14</f>
        <v>0</v>
      </c>
      <c r="AN18" s="154">
        <f>+BP!BC12+BP!BC24-AN14</f>
        <v>0</v>
      </c>
      <c r="AO18" s="154">
        <f>+BP!BD12+BP!BD24-AO14</f>
        <v>0</v>
      </c>
      <c r="AP18" s="154">
        <f>+BP!BE12+BP!BE24-AP14</f>
        <v>0</v>
      </c>
      <c r="AQ18" s="154">
        <f>+BP!BF12+BP!BF24-AQ14</f>
        <v>0</v>
      </c>
      <c r="AR18" s="154">
        <f>+BP!BG12+BP!BG24-AR14</f>
        <v>0</v>
      </c>
      <c r="AS18" s="154">
        <f>+BP!BH12+BP!BH24-AS14</f>
        <v>0</v>
      </c>
      <c r="AT18" s="154">
        <f>+BP!BI12+BP!BI24-AT14</f>
        <v>0</v>
      </c>
      <c r="AU18" s="154"/>
      <c r="AV18" s="154"/>
      <c r="AW18" s="154"/>
      <c r="AX18" s="154">
        <f>+BP!BM12+BP!BM24-AX14</f>
        <v>0</v>
      </c>
      <c r="AY18" s="154">
        <f>+BP!BN12+BP!BN24-AY14</f>
        <v>0</v>
      </c>
      <c r="AZ18" s="154">
        <f>+BP!BO12+BP!BO24-AZ14</f>
        <v>0</v>
      </c>
    </row>
    <row r="19" spans="1:52" x14ac:dyDescent="0.2">
      <c r="B19" s="151" t="s">
        <v>97</v>
      </c>
      <c r="C19" s="115">
        <f t="shared" ref="C19:X19" si="8">C5</f>
        <v>2013</v>
      </c>
      <c r="D19" s="115" t="str">
        <f t="shared" si="8"/>
        <v>1T14</v>
      </c>
      <c r="E19" s="115" t="str">
        <f t="shared" si="8"/>
        <v>2T14</v>
      </c>
      <c r="F19" s="115" t="str">
        <f t="shared" si="8"/>
        <v>3T14</v>
      </c>
      <c r="G19" s="115" t="str">
        <f t="shared" si="8"/>
        <v>4T14</v>
      </c>
      <c r="H19" s="115" t="str">
        <f t="shared" si="8"/>
        <v>1T15</v>
      </c>
      <c r="I19" s="115" t="str">
        <f t="shared" si="8"/>
        <v>2T15</v>
      </c>
      <c r="J19" s="115" t="str">
        <f t="shared" si="8"/>
        <v>3T15</v>
      </c>
      <c r="K19" s="115" t="str">
        <f t="shared" si="8"/>
        <v>4T15</v>
      </c>
      <c r="L19" s="115" t="str">
        <f t="shared" si="8"/>
        <v>1T16</v>
      </c>
      <c r="M19" s="115" t="str">
        <f t="shared" si="8"/>
        <v>2T16</v>
      </c>
      <c r="N19" s="115" t="str">
        <f t="shared" si="8"/>
        <v>3T16</v>
      </c>
      <c r="O19" s="115" t="str">
        <f t="shared" si="8"/>
        <v>4T16</v>
      </c>
      <c r="P19" s="115" t="str">
        <f t="shared" si="8"/>
        <v>1T17</v>
      </c>
      <c r="Q19" s="115" t="str">
        <f t="shared" si="8"/>
        <v>2T17</v>
      </c>
      <c r="R19" s="115" t="str">
        <f t="shared" si="8"/>
        <v>3T17</v>
      </c>
      <c r="S19" s="115" t="str">
        <f t="shared" si="8"/>
        <v>4T17</v>
      </c>
      <c r="T19" s="115" t="str">
        <f t="shared" si="8"/>
        <v>1T18</v>
      </c>
      <c r="U19" s="115" t="str">
        <f t="shared" si="8"/>
        <v>2T18</v>
      </c>
      <c r="V19" s="115" t="str">
        <f t="shared" si="8"/>
        <v>3T18</v>
      </c>
      <c r="W19" s="115" t="str">
        <f t="shared" si="8"/>
        <v>4T18</v>
      </c>
      <c r="X19" s="115" t="str">
        <f t="shared" si="8"/>
        <v>1T19</v>
      </c>
      <c r="Y19" s="115" t="str">
        <f t="shared" ref="Y19:AD19" si="9">Y5</f>
        <v>2T19</v>
      </c>
      <c r="Z19" s="115" t="str">
        <f t="shared" si="9"/>
        <v>3T19</v>
      </c>
      <c r="AA19" s="115" t="str">
        <f t="shared" si="9"/>
        <v>4T19</v>
      </c>
      <c r="AB19" s="115" t="str">
        <f t="shared" si="9"/>
        <v>1T20</v>
      </c>
      <c r="AC19" s="115" t="str">
        <f t="shared" si="9"/>
        <v>2T20</v>
      </c>
      <c r="AD19" s="115" t="str">
        <f t="shared" si="9"/>
        <v>3T20</v>
      </c>
      <c r="AE19" s="115" t="str">
        <f t="shared" ref="AE19:AK19" si="10">AE5</f>
        <v>4T20</v>
      </c>
      <c r="AF19" s="115" t="str">
        <f t="shared" si="10"/>
        <v>1T21</v>
      </c>
      <c r="AG19" s="115" t="str">
        <f t="shared" si="10"/>
        <v>2T21</v>
      </c>
      <c r="AH19" s="115" t="str">
        <f t="shared" si="10"/>
        <v>3T21</v>
      </c>
      <c r="AI19" s="115" t="str">
        <f t="shared" si="10"/>
        <v>4T21</v>
      </c>
      <c r="AJ19" s="115" t="str">
        <f t="shared" si="10"/>
        <v>1T22</v>
      </c>
      <c r="AK19" s="115" t="str">
        <f t="shared" si="10"/>
        <v>2T22</v>
      </c>
      <c r="AL19" s="115" t="str">
        <f t="shared" ref="AL19:AS19" si="11">AL5</f>
        <v>3T22</v>
      </c>
      <c r="AM19" s="115" t="str">
        <f t="shared" si="11"/>
        <v>4T22</v>
      </c>
      <c r="AN19" s="115" t="str">
        <f t="shared" si="11"/>
        <v>1T23</v>
      </c>
      <c r="AO19" s="115" t="str">
        <f t="shared" si="11"/>
        <v>2T23</v>
      </c>
      <c r="AP19" s="115" t="str">
        <f t="shared" si="11"/>
        <v>3T23</v>
      </c>
      <c r="AQ19" s="115" t="str">
        <f t="shared" si="11"/>
        <v>4T23</v>
      </c>
      <c r="AR19" s="115" t="str">
        <f t="shared" si="11"/>
        <v>1T24</v>
      </c>
      <c r="AS19" s="115" t="str">
        <f t="shared" si="11"/>
        <v>2T24</v>
      </c>
      <c r="AT19" s="115" t="str">
        <f t="shared" ref="AT19:AY19" si="12">AT5</f>
        <v>3T24</v>
      </c>
      <c r="AU19" s="115" t="str">
        <f t="shared" si="12"/>
        <v>4T24</v>
      </c>
      <c r="AV19" s="115" t="str">
        <f t="shared" si="12"/>
        <v>1T25</v>
      </c>
      <c r="AW19" s="115" t="str">
        <f t="shared" si="12"/>
        <v>2T25</v>
      </c>
      <c r="AX19" s="115" t="str">
        <f t="shared" si="12"/>
        <v>3T25</v>
      </c>
      <c r="AY19" s="115" t="str">
        <f t="shared" si="12"/>
        <v>4T25</v>
      </c>
      <c r="AZ19" s="115" t="str">
        <f>AZ5</f>
        <v>1T26</v>
      </c>
    </row>
    <row r="20" spans="1:52" x14ac:dyDescent="0.2">
      <c r="B20" s="129" t="s">
        <v>100</v>
      </c>
      <c r="C20" s="118">
        <v>5282</v>
      </c>
      <c r="D20" s="118">
        <v>2461</v>
      </c>
      <c r="E20" s="160">
        <v>2367</v>
      </c>
      <c r="F20" s="118">
        <v>2442</v>
      </c>
      <c r="G20" s="118">
        <v>2530</v>
      </c>
      <c r="H20" s="118">
        <v>2420</v>
      </c>
      <c r="I20" s="118">
        <v>4604</v>
      </c>
      <c r="J20" s="118">
        <v>3373</v>
      </c>
      <c r="K20" s="118">
        <v>6550</v>
      </c>
      <c r="L20" s="118">
        <v>6890</v>
      </c>
      <c r="M20" s="118">
        <v>3695</v>
      </c>
      <c r="N20" s="118">
        <v>3588</v>
      </c>
      <c r="O20" s="118">
        <v>6455</v>
      </c>
      <c r="P20" s="118">
        <v>6533</v>
      </c>
      <c r="Q20" s="118">
        <v>6607</v>
      </c>
      <c r="R20" s="118">
        <v>6647</v>
      </c>
      <c r="S20" s="118">
        <v>8508</v>
      </c>
      <c r="T20" s="118">
        <v>6760</v>
      </c>
      <c r="U20" s="118">
        <v>6274</v>
      </c>
      <c r="V20" s="118">
        <v>6354</v>
      </c>
      <c r="W20" s="118">
        <v>6413</v>
      </c>
      <c r="X20" s="118">
        <v>6493</v>
      </c>
      <c r="Y20" s="118">
        <v>6526</v>
      </c>
      <c r="Z20" s="118">
        <v>6588</v>
      </c>
      <c r="AA20" s="118">
        <v>6639</v>
      </c>
      <c r="AB20" s="118">
        <v>6760</v>
      </c>
      <c r="AC20" s="118">
        <v>6507</v>
      </c>
      <c r="AD20" s="118">
        <v>6562</v>
      </c>
      <c r="AE20" s="118">
        <v>6335</v>
      </c>
      <c r="AF20" s="118">
        <v>6424</v>
      </c>
      <c r="AG20" s="118">
        <v>6462</v>
      </c>
      <c r="AH20" s="118">
        <v>6491</v>
      </c>
      <c r="AI20" s="118">
        <v>6555</v>
      </c>
      <c r="AJ20" s="118">
        <v>6062</v>
      </c>
      <c r="AK20" s="118">
        <v>2640</v>
      </c>
      <c r="AL20" s="118">
        <v>2740</v>
      </c>
      <c r="AM20" s="118">
        <v>1832</v>
      </c>
      <c r="AN20" s="118">
        <v>1715</v>
      </c>
      <c r="AO20" s="118">
        <v>1778</v>
      </c>
      <c r="AP20" s="118">
        <v>1801</v>
      </c>
      <c r="AQ20" s="118">
        <v>1889</v>
      </c>
      <c r="AR20" s="118">
        <v>1769</v>
      </c>
      <c r="AS20" s="118">
        <v>3426</v>
      </c>
      <c r="AT20" s="118">
        <v>3371</v>
      </c>
      <c r="AU20" s="118">
        <v>3418</v>
      </c>
      <c r="AV20" s="118">
        <v>3856</v>
      </c>
      <c r="AW20" s="118">
        <v>4090</v>
      </c>
      <c r="AX20" s="118">
        <v>4306</v>
      </c>
      <c r="AY20" s="118">
        <v>4400</v>
      </c>
      <c r="AZ20" s="118">
        <v>4377</v>
      </c>
    </row>
    <row r="21" spans="1:52" x14ac:dyDescent="0.2">
      <c r="B21" s="129" t="s">
        <v>101</v>
      </c>
      <c r="C21" s="118">
        <v>3027</v>
      </c>
      <c r="D21" s="118">
        <v>1354</v>
      </c>
      <c r="E21" s="160">
        <v>2137</v>
      </c>
      <c r="F21" s="118">
        <v>2985</v>
      </c>
      <c r="G21" s="118">
        <v>1162</v>
      </c>
      <c r="H21" s="118">
        <v>1327</v>
      </c>
      <c r="I21" s="118">
        <v>2070</v>
      </c>
      <c r="J21" s="118">
        <v>2910</v>
      </c>
      <c r="K21" s="118">
        <v>0</v>
      </c>
      <c r="L21" s="118">
        <v>438</v>
      </c>
      <c r="M21" s="118">
        <v>531</v>
      </c>
      <c r="N21" s="118">
        <v>0</v>
      </c>
      <c r="O21" s="118">
        <v>0</v>
      </c>
      <c r="P21" s="118">
        <v>70</v>
      </c>
      <c r="Q21" s="118">
        <v>0</v>
      </c>
      <c r="R21" s="118">
        <v>0</v>
      </c>
      <c r="S21" s="118">
        <v>0</v>
      </c>
      <c r="T21" s="118">
        <v>0</v>
      </c>
      <c r="U21" s="118">
        <v>221</v>
      </c>
      <c r="V21" s="118">
        <v>56</v>
      </c>
      <c r="W21" s="118">
        <v>51</v>
      </c>
      <c r="X21" s="118">
        <v>43</v>
      </c>
      <c r="Y21" s="118">
        <v>101</v>
      </c>
      <c r="Z21" s="118">
        <v>161</v>
      </c>
      <c r="AA21" s="118">
        <v>44</v>
      </c>
      <c r="AB21" s="118">
        <v>228</v>
      </c>
      <c r="AC21" s="118">
        <v>598</v>
      </c>
      <c r="AD21" s="118">
        <v>300</v>
      </c>
      <c r="AE21" s="118">
        <v>270</v>
      </c>
      <c r="AF21" s="118">
        <v>435</v>
      </c>
      <c r="AG21" s="118">
        <v>303</v>
      </c>
      <c r="AH21" s="118">
        <v>424</v>
      </c>
      <c r="AI21" s="118">
        <v>414</v>
      </c>
      <c r="AJ21" s="118">
        <v>511</v>
      </c>
      <c r="AK21" s="118">
        <v>183</v>
      </c>
      <c r="AL21" s="118">
        <v>270</v>
      </c>
      <c r="AM21" s="118">
        <v>467</v>
      </c>
      <c r="AN21" s="118">
        <v>1023</v>
      </c>
      <c r="AO21" s="118">
        <v>1018</v>
      </c>
      <c r="AP21" s="118">
        <v>690</v>
      </c>
      <c r="AQ21" s="118">
        <v>797</v>
      </c>
      <c r="AR21" s="118">
        <v>1115</v>
      </c>
      <c r="AS21" s="118">
        <v>999</v>
      </c>
      <c r="AT21" s="118">
        <v>448</v>
      </c>
      <c r="AU21" s="118">
        <v>448</v>
      </c>
      <c r="AV21" s="118">
        <v>903</v>
      </c>
      <c r="AW21" s="118">
        <v>1514</v>
      </c>
      <c r="AX21" s="118">
        <v>1226</v>
      </c>
      <c r="AY21" s="118">
        <v>195</v>
      </c>
      <c r="AZ21" s="118">
        <v>251</v>
      </c>
    </row>
    <row r="22" spans="1:52" x14ac:dyDescent="0.2">
      <c r="B22" s="129" t="s">
        <v>102</v>
      </c>
      <c r="C22" s="118">
        <v>644</v>
      </c>
      <c r="D22" s="118">
        <v>1282</v>
      </c>
      <c r="E22" s="160">
        <v>1338</v>
      </c>
      <c r="F22" s="118">
        <v>1378</v>
      </c>
      <c r="G22" s="118">
        <v>1417</v>
      </c>
      <c r="H22" s="118">
        <v>1422</v>
      </c>
      <c r="I22" s="118">
        <v>1440</v>
      </c>
      <c r="J22" s="118">
        <v>1458</v>
      </c>
      <c r="K22" s="118">
        <v>754</v>
      </c>
      <c r="L22" s="118">
        <v>591</v>
      </c>
      <c r="M22" s="118">
        <v>380</v>
      </c>
      <c r="N22" s="118">
        <v>408</v>
      </c>
      <c r="O22" s="118">
        <v>144</v>
      </c>
      <c r="P22" s="118">
        <v>171</v>
      </c>
      <c r="Q22" s="118">
        <v>207</v>
      </c>
      <c r="R22" s="118">
        <v>117</v>
      </c>
      <c r="S22" s="261">
        <v>33264</v>
      </c>
      <c r="T22" s="118">
        <v>9483</v>
      </c>
      <c r="U22" s="118">
        <v>1121</v>
      </c>
      <c r="V22" s="118">
        <v>258</v>
      </c>
      <c r="W22" s="118">
        <v>9993</v>
      </c>
      <c r="X22" s="118">
        <v>10094</v>
      </c>
      <c r="Y22" s="118">
        <v>10298</v>
      </c>
      <c r="Z22" s="261">
        <v>101922</v>
      </c>
      <c r="AA22" s="118">
        <v>103993</v>
      </c>
      <c r="AB22" s="118">
        <v>54541</v>
      </c>
      <c r="AC22" s="118">
        <v>54468</v>
      </c>
      <c r="AD22" s="118">
        <v>44885</v>
      </c>
      <c r="AE22" s="118">
        <v>31528</v>
      </c>
      <c r="AF22" s="118">
        <v>27069</v>
      </c>
      <c r="AG22" s="118">
        <v>30339</v>
      </c>
      <c r="AH22" s="118">
        <v>29498</v>
      </c>
      <c r="AI22" s="118">
        <v>29735</v>
      </c>
      <c r="AJ22" s="118">
        <v>30152</v>
      </c>
      <c r="AK22" s="118">
        <v>30601</v>
      </c>
      <c r="AL22" s="118">
        <v>18701</v>
      </c>
      <c r="AM22" s="118">
        <v>1243</v>
      </c>
      <c r="AN22" s="118">
        <v>1326</v>
      </c>
      <c r="AO22" s="118">
        <v>1414</v>
      </c>
      <c r="AP22" s="118">
        <v>1472</v>
      </c>
      <c r="AQ22" s="118">
        <v>1120</v>
      </c>
      <c r="AR22" s="118">
        <v>1202</v>
      </c>
      <c r="AS22" s="118">
        <v>15619</v>
      </c>
      <c r="AT22" s="118">
        <v>1531</v>
      </c>
      <c r="AU22" s="118">
        <v>1451</v>
      </c>
      <c r="AV22" s="118">
        <v>1754</v>
      </c>
      <c r="AW22" s="118">
        <v>1753</v>
      </c>
      <c r="AX22" s="118">
        <v>1785</v>
      </c>
      <c r="AY22" s="118">
        <v>2797</v>
      </c>
      <c r="AZ22" s="118">
        <v>2509</v>
      </c>
    </row>
    <row r="23" spans="1:52" x14ac:dyDescent="0.2">
      <c r="A23" s="25">
        <v>0</v>
      </c>
      <c r="B23" s="129" t="s">
        <v>718</v>
      </c>
      <c r="C23" s="118">
        <v>0</v>
      </c>
      <c r="D23" s="118">
        <v>0</v>
      </c>
      <c r="E23" s="160">
        <v>0</v>
      </c>
      <c r="F23" s="118">
        <v>0</v>
      </c>
      <c r="G23" s="118">
        <v>0</v>
      </c>
      <c r="H23" s="118">
        <v>0</v>
      </c>
      <c r="I23" s="118">
        <v>0</v>
      </c>
      <c r="J23" s="118">
        <v>0</v>
      </c>
      <c r="K23" s="118">
        <v>0</v>
      </c>
      <c r="L23" s="118">
        <v>0</v>
      </c>
      <c r="M23" s="118">
        <v>0</v>
      </c>
      <c r="N23" s="118">
        <v>0</v>
      </c>
      <c r="O23" s="118">
        <v>0</v>
      </c>
      <c r="P23" s="118">
        <v>0</v>
      </c>
      <c r="Q23" s="118">
        <v>0</v>
      </c>
      <c r="R23" s="118">
        <v>0</v>
      </c>
      <c r="S23" s="118">
        <v>0</v>
      </c>
      <c r="T23" s="118">
        <v>219</v>
      </c>
      <c r="U23" s="118">
        <v>181</v>
      </c>
      <c r="V23" s="118">
        <v>194</v>
      </c>
      <c r="W23" s="118">
        <v>0</v>
      </c>
      <c r="X23" s="118">
        <v>0</v>
      </c>
      <c r="Y23" s="118">
        <v>0</v>
      </c>
      <c r="Z23" s="118">
        <v>0</v>
      </c>
      <c r="AA23" s="118">
        <v>0</v>
      </c>
      <c r="AB23" s="118">
        <v>0</v>
      </c>
      <c r="AC23" s="118">
        <v>0</v>
      </c>
      <c r="AD23" s="118">
        <v>0</v>
      </c>
      <c r="AE23" s="118">
        <v>0</v>
      </c>
      <c r="AF23" s="118">
        <v>0</v>
      </c>
      <c r="AG23" s="118">
        <v>0</v>
      </c>
      <c r="AH23" s="118">
        <v>0</v>
      </c>
      <c r="AI23" s="118">
        <v>0</v>
      </c>
      <c r="AJ23" s="118">
        <v>0</v>
      </c>
      <c r="AK23" s="118">
        <v>0</v>
      </c>
      <c r="AL23" s="118">
        <v>0</v>
      </c>
      <c r="AM23" s="118">
        <v>0</v>
      </c>
      <c r="AN23" s="118">
        <v>0</v>
      </c>
      <c r="AO23" s="118">
        <v>0</v>
      </c>
      <c r="AP23" s="118">
        <v>0</v>
      </c>
      <c r="AQ23" s="118">
        <v>0</v>
      </c>
      <c r="AR23" s="118">
        <v>0</v>
      </c>
      <c r="AS23" s="118">
        <v>0</v>
      </c>
      <c r="AT23" s="118">
        <v>0</v>
      </c>
      <c r="AU23" s="118">
        <v>0</v>
      </c>
      <c r="AV23" s="118">
        <v>0</v>
      </c>
      <c r="AW23" s="118">
        <v>0</v>
      </c>
      <c r="AX23" s="118">
        <v>0</v>
      </c>
      <c r="AY23" s="118">
        <v>0</v>
      </c>
      <c r="AZ23" s="118">
        <v>0</v>
      </c>
    </row>
    <row r="24" spans="1:52" s="248" customFormat="1" x14ac:dyDescent="0.2">
      <c r="B24" s="129" t="s">
        <v>99</v>
      </c>
      <c r="C24" s="118">
        <v>385</v>
      </c>
      <c r="D24" s="118">
        <v>576</v>
      </c>
      <c r="E24" s="160">
        <v>364</v>
      </c>
      <c r="F24" s="118">
        <v>414</v>
      </c>
      <c r="G24" s="118">
        <v>622</v>
      </c>
      <c r="H24" s="118">
        <v>1025</v>
      </c>
      <c r="I24" s="118">
        <v>4891</v>
      </c>
      <c r="J24" s="118">
        <v>4656</v>
      </c>
      <c r="K24" s="118">
        <v>0</v>
      </c>
      <c r="L24" s="118">
        <v>0</v>
      </c>
      <c r="M24" s="118">
        <v>0</v>
      </c>
      <c r="N24" s="118">
        <v>0</v>
      </c>
      <c r="O24" s="118">
        <v>0</v>
      </c>
      <c r="P24" s="118">
        <v>4</v>
      </c>
      <c r="Q24" s="118">
        <v>5</v>
      </c>
      <c r="R24" s="118">
        <v>5</v>
      </c>
      <c r="S24" s="118">
        <v>0</v>
      </c>
      <c r="T24" s="118">
        <v>0</v>
      </c>
      <c r="U24" s="118">
        <v>0</v>
      </c>
      <c r="V24" s="118">
        <v>0</v>
      </c>
      <c r="W24" s="118">
        <v>0</v>
      </c>
      <c r="X24" s="118">
        <v>0</v>
      </c>
      <c r="Y24" s="118"/>
      <c r="Z24" s="118">
        <v>0</v>
      </c>
      <c r="AA24" s="118">
        <v>0</v>
      </c>
      <c r="AB24" s="118">
        <v>0</v>
      </c>
      <c r="AC24" s="118">
        <v>0</v>
      </c>
      <c r="AD24" s="118">
        <v>3099</v>
      </c>
      <c r="AE24" s="118">
        <v>0</v>
      </c>
      <c r="AF24" s="118" t="e">
        <f>+#REF!</f>
        <v>#REF!</v>
      </c>
      <c r="AG24" s="118" t="e">
        <f>+#REF!</f>
        <v>#REF!</v>
      </c>
      <c r="AH24" s="118" t="e">
        <f>+#REF!</f>
        <v>#REF!</v>
      </c>
      <c r="AI24" s="118"/>
      <c r="AJ24" s="118">
        <v>0</v>
      </c>
      <c r="AK24" s="118" t="e">
        <f>+#REF!</f>
        <v>#REF!</v>
      </c>
      <c r="AL24" s="118" t="e">
        <f>+#REF!</f>
        <v>#REF!</v>
      </c>
      <c r="AM24" s="118" t="e">
        <f>+#REF!</f>
        <v>#REF!</v>
      </c>
      <c r="AN24" s="118" t="e">
        <f>+#REF!</f>
        <v>#REF!</v>
      </c>
      <c r="AO24" s="118" t="e">
        <f>+#REF!</f>
        <v>#REF!</v>
      </c>
      <c r="AP24" s="118" t="e">
        <f>+#REF!</f>
        <v>#REF!</v>
      </c>
      <c r="AQ24" s="118">
        <v>2</v>
      </c>
      <c r="AR24" s="118">
        <v>5</v>
      </c>
      <c r="AS24" s="118">
        <v>5</v>
      </c>
      <c r="AT24" s="118">
        <v>5</v>
      </c>
      <c r="AU24" s="118">
        <v>26</v>
      </c>
      <c r="AV24" s="118">
        <v>26</v>
      </c>
      <c r="AW24" s="118">
        <v>26</v>
      </c>
      <c r="AX24" s="118">
        <v>26</v>
      </c>
      <c r="AY24" s="118">
        <v>26</v>
      </c>
      <c r="AZ24" s="118">
        <v>26</v>
      </c>
    </row>
    <row r="25" spans="1:52" x14ac:dyDescent="0.2">
      <c r="B25" s="129" t="s">
        <v>49</v>
      </c>
      <c r="C25" s="118">
        <v>467</v>
      </c>
      <c r="D25" s="118">
        <v>252</v>
      </c>
      <c r="E25" s="160">
        <v>306</v>
      </c>
      <c r="F25" s="118">
        <v>316</v>
      </c>
      <c r="G25" s="118">
        <v>328</v>
      </c>
      <c r="H25" s="118">
        <v>329</v>
      </c>
      <c r="I25" s="118">
        <v>191</v>
      </c>
      <c r="J25" s="118">
        <v>114</v>
      </c>
      <c r="K25" s="118">
        <v>102</v>
      </c>
      <c r="L25" s="118">
        <v>102</v>
      </c>
      <c r="M25" s="118">
        <v>24</v>
      </c>
      <c r="N25" s="118">
        <v>45</v>
      </c>
      <c r="O25" s="118">
        <v>0</v>
      </c>
      <c r="P25" s="118">
        <v>7</v>
      </c>
      <c r="Q25" s="118">
        <v>160</v>
      </c>
      <c r="R25" s="118">
        <v>196</v>
      </c>
      <c r="S25" s="118">
        <v>370</v>
      </c>
      <c r="T25" s="118">
        <v>16462</v>
      </c>
      <c r="U25" s="118">
        <v>7797</v>
      </c>
      <c r="V25" s="118">
        <v>6862</v>
      </c>
      <c r="W25" s="118">
        <v>173</v>
      </c>
      <c r="X25" s="118">
        <v>234</v>
      </c>
      <c r="Y25" s="118">
        <v>252</v>
      </c>
      <c r="Z25" s="118">
        <v>257</v>
      </c>
      <c r="AA25" s="118">
        <v>33</v>
      </c>
      <c r="AB25" s="118">
        <v>58</v>
      </c>
      <c r="AC25" s="118">
        <v>43</v>
      </c>
      <c r="AD25" s="118">
        <v>47</v>
      </c>
      <c r="AE25" s="118">
        <v>57</v>
      </c>
      <c r="AF25" s="118">
        <v>57</v>
      </c>
      <c r="AG25" s="118">
        <v>256</v>
      </c>
      <c r="AH25" s="118">
        <v>263</v>
      </c>
      <c r="AI25" s="118">
        <v>268</v>
      </c>
      <c r="AJ25" s="118">
        <v>102</v>
      </c>
      <c r="AK25" s="118">
        <v>146</v>
      </c>
      <c r="AL25" s="118">
        <v>135</v>
      </c>
      <c r="AM25" s="118">
        <v>157</v>
      </c>
      <c r="AN25" s="118">
        <v>173</v>
      </c>
      <c r="AO25" s="118">
        <v>403</v>
      </c>
      <c r="AP25" s="118">
        <v>400</v>
      </c>
      <c r="AQ25" s="118">
        <v>440</v>
      </c>
      <c r="AR25" s="118">
        <v>461</v>
      </c>
      <c r="AS25" s="118">
        <v>901</v>
      </c>
      <c r="AT25" s="118">
        <v>752</v>
      </c>
      <c r="AU25" s="118">
        <v>772</v>
      </c>
      <c r="AV25" s="118">
        <v>1263</v>
      </c>
      <c r="AW25" s="118">
        <v>1266</v>
      </c>
      <c r="AX25" s="118">
        <v>1129</v>
      </c>
      <c r="AY25" s="118">
        <v>1051</v>
      </c>
      <c r="AZ25" s="118">
        <v>981</v>
      </c>
    </row>
    <row r="26" spans="1:52" s="248" customFormat="1" hidden="1" outlineLevel="1" x14ac:dyDescent="0.2">
      <c r="B26" s="249" t="s">
        <v>103</v>
      </c>
      <c r="C26" s="218">
        <v>278</v>
      </c>
      <c r="D26" s="218">
        <v>278</v>
      </c>
      <c r="E26" s="219">
        <v>278</v>
      </c>
      <c r="F26" s="218">
        <v>278</v>
      </c>
      <c r="G26" s="218">
        <v>278</v>
      </c>
      <c r="H26" s="218">
        <v>491</v>
      </c>
      <c r="I26" s="218">
        <v>491</v>
      </c>
      <c r="J26" s="218">
        <v>491</v>
      </c>
      <c r="K26" s="218">
        <v>486</v>
      </c>
      <c r="L26" s="218">
        <v>486</v>
      </c>
      <c r="M26" s="218">
        <v>486</v>
      </c>
      <c r="N26" s="218">
        <v>0</v>
      </c>
      <c r="O26" s="218">
        <v>0</v>
      </c>
      <c r="P26" s="218">
        <v>1</v>
      </c>
      <c r="Q26" s="218">
        <v>0</v>
      </c>
      <c r="R26" s="218">
        <v>0</v>
      </c>
      <c r="S26" s="218">
        <v>0</v>
      </c>
      <c r="T26" s="218">
        <v>0</v>
      </c>
      <c r="U26" s="218">
        <v>0</v>
      </c>
      <c r="V26" s="218">
        <v>0</v>
      </c>
      <c r="W26" s="218">
        <v>0</v>
      </c>
      <c r="X26" s="218">
        <v>0</v>
      </c>
      <c r="Y26" s="218"/>
      <c r="Z26" s="218">
        <v>0</v>
      </c>
      <c r="AA26" s="218">
        <v>0</v>
      </c>
      <c r="AB26" s="218">
        <v>0</v>
      </c>
      <c r="AC26" s="218">
        <v>0</v>
      </c>
      <c r="AD26" s="218">
        <v>0</v>
      </c>
      <c r="AE26" s="218">
        <v>0</v>
      </c>
      <c r="AF26" s="218" t="e">
        <f>+#REF!</f>
        <v>#REF!</v>
      </c>
      <c r="AG26" s="218" t="e">
        <f>+#REF!</f>
        <v>#REF!</v>
      </c>
      <c r="AH26" s="218" t="e">
        <f>+#REF!</f>
        <v>#REF!</v>
      </c>
      <c r="AI26" s="218"/>
      <c r="AJ26" s="218">
        <v>0</v>
      </c>
      <c r="AK26" s="218" t="e">
        <f>+#REF!</f>
        <v>#REF!</v>
      </c>
      <c r="AL26" s="218" t="e">
        <f>+#REF!</f>
        <v>#REF!</v>
      </c>
      <c r="AM26" s="218" t="e">
        <f>+#REF!</f>
        <v>#REF!</v>
      </c>
      <c r="AN26" s="218" t="e">
        <f>+#REF!</f>
        <v>#REF!</v>
      </c>
      <c r="AO26" s="218" t="e">
        <f>+#REF!</f>
        <v>#REF!</v>
      </c>
      <c r="AP26" s="218" t="e">
        <f>+#REF!</f>
        <v>#REF!</v>
      </c>
      <c r="AQ26" s="218" t="e">
        <f>+#REF!</f>
        <v>#REF!</v>
      </c>
      <c r="AR26" s="218" t="e">
        <f>+#REF!</f>
        <v>#REF!</v>
      </c>
      <c r="AS26" s="218"/>
      <c r="AT26" s="218" t="e">
        <f>+#REF!</f>
        <v>#REF!</v>
      </c>
      <c r="AU26" s="218"/>
      <c r="AV26" s="218"/>
      <c r="AW26" s="218" t="e">
        <f>+#REF!</f>
        <v>#REF!</v>
      </c>
      <c r="AX26" s="218" t="e">
        <f>+#REF!</f>
        <v>#REF!</v>
      </c>
      <c r="AY26" s="218" t="e">
        <f>+#REF!</f>
        <v>#REF!</v>
      </c>
      <c r="AZ26" s="218" t="e">
        <f>+#REF!</f>
        <v>#REF!</v>
      </c>
    </row>
    <row r="27" spans="1:52" s="248" customFormat="1" hidden="1" outlineLevel="1" x14ac:dyDescent="0.2">
      <c r="B27" s="249" t="s">
        <v>403</v>
      </c>
      <c r="C27" s="218">
        <v>0</v>
      </c>
      <c r="D27" s="218">
        <v>0</v>
      </c>
      <c r="E27" s="219">
        <v>0</v>
      </c>
      <c r="F27" s="218">
        <v>0</v>
      </c>
      <c r="G27" s="218">
        <v>1320</v>
      </c>
      <c r="H27" s="218">
        <v>4045</v>
      </c>
      <c r="I27" s="218">
        <v>0</v>
      </c>
      <c r="J27" s="218">
        <v>0</v>
      </c>
      <c r="K27" s="218">
        <v>2795</v>
      </c>
      <c r="L27" s="218">
        <v>52</v>
      </c>
      <c r="M27" s="218">
        <v>52</v>
      </c>
      <c r="N27" s="218">
        <v>0</v>
      </c>
      <c r="O27" s="218">
        <v>61</v>
      </c>
      <c r="P27" s="218">
        <v>61</v>
      </c>
      <c r="Q27" s="218">
        <v>12872</v>
      </c>
      <c r="R27" s="218">
        <v>61</v>
      </c>
      <c r="S27" s="218">
        <v>0</v>
      </c>
      <c r="T27" s="218">
        <v>0</v>
      </c>
      <c r="U27" s="218">
        <v>0</v>
      </c>
      <c r="V27" s="218">
        <v>0</v>
      </c>
      <c r="W27" s="218">
        <v>0</v>
      </c>
      <c r="X27" s="218">
        <v>0</v>
      </c>
      <c r="Y27" s="218"/>
      <c r="Z27" s="218">
        <v>0</v>
      </c>
      <c r="AA27" s="218">
        <v>0</v>
      </c>
      <c r="AB27" s="218">
        <v>0</v>
      </c>
      <c r="AC27" s="218">
        <v>0</v>
      </c>
      <c r="AD27" s="218">
        <v>0</v>
      </c>
      <c r="AE27" s="218">
        <v>0</v>
      </c>
      <c r="AF27" s="218">
        <v>0</v>
      </c>
      <c r="AG27" s="218">
        <v>0</v>
      </c>
      <c r="AH27" s="218">
        <v>0</v>
      </c>
      <c r="AI27" s="218"/>
      <c r="AJ27" s="218">
        <v>0</v>
      </c>
      <c r="AK27" s="218">
        <v>0</v>
      </c>
      <c r="AL27" s="218">
        <v>0</v>
      </c>
      <c r="AM27" s="218">
        <v>0</v>
      </c>
      <c r="AN27" s="218">
        <v>0</v>
      </c>
      <c r="AO27" s="218">
        <v>0</v>
      </c>
      <c r="AP27" s="218">
        <v>0</v>
      </c>
      <c r="AQ27" s="218">
        <v>0</v>
      </c>
      <c r="AR27" s="218">
        <v>0</v>
      </c>
      <c r="AS27" s="218"/>
      <c r="AT27" s="218">
        <v>0</v>
      </c>
      <c r="AU27" s="218"/>
      <c r="AV27" s="218"/>
      <c r="AW27" s="218">
        <v>0</v>
      </c>
      <c r="AX27" s="218">
        <v>0</v>
      </c>
      <c r="AY27" s="218">
        <v>0</v>
      </c>
      <c r="AZ27" s="218">
        <v>0</v>
      </c>
    </row>
    <row r="28" spans="1:52" collapsed="1" x14ac:dyDescent="0.2">
      <c r="B28" s="126" t="s">
        <v>73</v>
      </c>
      <c r="C28" s="120">
        <f t="shared" ref="C28:AQ28" si="13">SUM(C20:C25)</f>
        <v>9805</v>
      </c>
      <c r="D28" s="120">
        <f t="shared" si="13"/>
        <v>5925</v>
      </c>
      <c r="E28" s="162">
        <f t="shared" si="13"/>
        <v>6512</v>
      </c>
      <c r="F28" s="120">
        <f t="shared" si="13"/>
        <v>7535</v>
      </c>
      <c r="G28" s="120">
        <f t="shared" si="13"/>
        <v>6059</v>
      </c>
      <c r="H28" s="120">
        <f t="shared" si="13"/>
        <v>6523</v>
      </c>
      <c r="I28" s="120">
        <f t="shared" si="13"/>
        <v>13196</v>
      </c>
      <c r="J28" s="120">
        <f t="shared" si="13"/>
        <v>12511</v>
      </c>
      <c r="K28" s="120">
        <f t="shared" si="13"/>
        <v>7406</v>
      </c>
      <c r="L28" s="120">
        <f t="shared" si="13"/>
        <v>8021</v>
      </c>
      <c r="M28" s="120">
        <f t="shared" si="13"/>
        <v>4630</v>
      </c>
      <c r="N28" s="120">
        <f t="shared" si="13"/>
        <v>4041</v>
      </c>
      <c r="O28" s="120">
        <f t="shared" si="13"/>
        <v>6599</v>
      </c>
      <c r="P28" s="120">
        <f t="shared" si="13"/>
        <v>6785</v>
      </c>
      <c r="Q28" s="120">
        <f t="shared" si="13"/>
        <v>6979</v>
      </c>
      <c r="R28" s="120">
        <f t="shared" si="13"/>
        <v>6965</v>
      </c>
      <c r="S28" s="120">
        <f t="shared" si="13"/>
        <v>42142</v>
      </c>
      <c r="T28" s="120">
        <f t="shared" si="13"/>
        <v>32924</v>
      </c>
      <c r="U28" s="120">
        <f t="shared" si="13"/>
        <v>15594</v>
      </c>
      <c r="V28" s="120">
        <f t="shared" si="13"/>
        <v>13724</v>
      </c>
      <c r="W28" s="120">
        <f t="shared" si="13"/>
        <v>16630</v>
      </c>
      <c r="X28" s="120">
        <f t="shared" si="13"/>
        <v>16864</v>
      </c>
      <c r="Y28" s="120">
        <f t="shared" si="13"/>
        <v>17177</v>
      </c>
      <c r="Z28" s="120">
        <f t="shared" si="13"/>
        <v>108928</v>
      </c>
      <c r="AA28" s="120">
        <f t="shared" si="13"/>
        <v>110709</v>
      </c>
      <c r="AB28" s="120">
        <f t="shared" si="13"/>
        <v>61587</v>
      </c>
      <c r="AC28" s="120">
        <f t="shared" si="13"/>
        <v>61616</v>
      </c>
      <c r="AD28" s="120">
        <f t="shared" si="13"/>
        <v>54893</v>
      </c>
      <c r="AE28" s="120">
        <f t="shared" si="13"/>
        <v>38190</v>
      </c>
      <c r="AF28" s="120" t="e">
        <f t="shared" si="13"/>
        <v>#REF!</v>
      </c>
      <c r="AG28" s="120" t="e">
        <f t="shared" si="13"/>
        <v>#REF!</v>
      </c>
      <c r="AH28" s="120" t="e">
        <f t="shared" si="13"/>
        <v>#REF!</v>
      </c>
      <c r="AI28" s="120">
        <f t="shared" si="13"/>
        <v>36972</v>
      </c>
      <c r="AJ28" s="120">
        <f t="shared" si="13"/>
        <v>36827</v>
      </c>
      <c r="AK28" s="120" t="e">
        <f t="shared" si="13"/>
        <v>#REF!</v>
      </c>
      <c r="AL28" s="120" t="e">
        <f t="shared" si="13"/>
        <v>#REF!</v>
      </c>
      <c r="AM28" s="120" t="e">
        <f t="shared" si="13"/>
        <v>#REF!</v>
      </c>
      <c r="AN28" s="120" t="e">
        <f t="shared" si="13"/>
        <v>#REF!</v>
      </c>
      <c r="AO28" s="120" t="e">
        <f t="shared" si="13"/>
        <v>#REF!</v>
      </c>
      <c r="AP28" s="120" t="e">
        <f t="shared" si="13"/>
        <v>#REF!</v>
      </c>
      <c r="AQ28" s="120">
        <f t="shared" si="13"/>
        <v>4248</v>
      </c>
      <c r="AR28" s="120">
        <f t="shared" ref="AR28:AW28" si="14">SUM(AR20:AR25)</f>
        <v>4552</v>
      </c>
      <c r="AS28" s="120">
        <f t="shared" si="14"/>
        <v>20950</v>
      </c>
      <c r="AT28" s="120">
        <f t="shared" si="14"/>
        <v>6107</v>
      </c>
      <c r="AU28" s="120">
        <f t="shared" si="14"/>
        <v>6115</v>
      </c>
      <c r="AV28" s="120">
        <f t="shared" si="14"/>
        <v>7802</v>
      </c>
      <c r="AW28" s="120">
        <f t="shared" si="14"/>
        <v>8649</v>
      </c>
      <c r="AX28" s="120">
        <f>SUM(AX20:AX25)</f>
        <v>8472</v>
      </c>
      <c r="AY28" s="120">
        <f>SUM(AY20:AY25)</f>
        <v>8469</v>
      </c>
      <c r="AZ28" s="120">
        <f>SUM(AZ20:AZ25)</f>
        <v>8144</v>
      </c>
    </row>
    <row r="29" spans="1:52" x14ac:dyDescent="0.2">
      <c r="B29" s="129" t="s">
        <v>201</v>
      </c>
      <c r="C29" s="118"/>
      <c r="D29" s="118"/>
      <c r="E29" s="160"/>
      <c r="F29" s="118"/>
      <c r="G29" s="118"/>
      <c r="H29" s="118"/>
      <c r="I29" s="118"/>
      <c r="J29" s="118"/>
      <c r="K29" s="118"/>
      <c r="L29" s="118"/>
      <c r="M29" s="118"/>
      <c r="N29" s="118"/>
      <c r="O29" s="118"/>
      <c r="P29" s="118"/>
      <c r="Q29" s="118"/>
      <c r="R29" s="118"/>
      <c r="S29" s="118"/>
      <c r="T29" s="118"/>
      <c r="U29" s="118"/>
      <c r="V29" s="118"/>
      <c r="W29" s="118">
        <v>10477</v>
      </c>
      <c r="X29" s="118">
        <v>10652</v>
      </c>
      <c r="Y29" s="118">
        <v>10905</v>
      </c>
      <c r="Z29" s="118">
        <v>102596</v>
      </c>
      <c r="AA29" s="118">
        <v>104325</v>
      </c>
      <c r="AB29" s="118">
        <v>55163</v>
      </c>
      <c r="AC29" s="118">
        <v>55158</v>
      </c>
      <c r="AD29" s="118">
        <v>48413</v>
      </c>
      <c r="AE29" s="118">
        <v>31920</v>
      </c>
      <c r="AF29" s="118">
        <v>27699</v>
      </c>
      <c r="AG29" s="118">
        <v>31094</v>
      </c>
      <c r="AH29" s="118">
        <v>30323</v>
      </c>
      <c r="AI29" s="118">
        <v>30561</v>
      </c>
      <c r="AJ29" s="118">
        <v>30561</v>
      </c>
      <c r="AK29" s="118">
        <v>31078</v>
      </c>
      <c r="AL29" s="118">
        <v>19308</v>
      </c>
      <c r="AM29" s="118">
        <v>2182</v>
      </c>
      <c r="AN29" s="118">
        <v>2694</v>
      </c>
      <c r="AO29" s="118">
        <v>3044</v>
      </c>
      <c r="AP29" s="118">
        <v>2767</v>
      </c>
      <c r="AQ29" s="118">
        <v>2627</v>
      </c>
      <c r="AR29" s="118">
        <v>3038</v>
      </c>
      <c r="AS29" s="118">
        <v>4794</v>
      </c>
      <c r="AT29" s="118">
        <v>3045</v>
      </c>
      <c r="AU29" s="118">
        <v>3014</v>
      </c>
      <c r="AV29" s="118">
        <v>4658</v>
      </c>
      <c r="AW29" s="118">
        <v>5457</v>
      </c>
      <c r="AX29" s="118">
        <v>5227</v>
      </c>
      <c r="AY29" s="118">
        <v>5171</v>
      </c>
      <c r="AZ29" s="118">
        <v>4794</v>
      </c>
    </row>
    <row r="30" spans="1:52" x14ac:dyDescent="0.2">
      <c r="B30" s="129" t="s">
        <v>187</v>
      </c>
      <c r="C30" s="118"/>
      <c r="D30" s="118"/>
      <c r="E30" s="160"/>
      <c r="F30" s="118"/>
      <c r="G30" s="118"/>
      <c r="H30" s="118"/>
      <c r="I30" s="118"/>
      <c r="J30" s="118"/>
      <c r="K30" s="118"/>
      <c r="L30" s="118"/>
      <c r="M30" s="118"/>
      <c r="N30" s="118"/>
      <c r="O30" s="118"/>
      <c r="P30" s="118"/>
      <c r="Q30" s="118"/>
      <c r="R30" s="118"/>
      <c r="S30" s="118"/>
      <c r="T30" s="118"/>
      <c r="U30" s="118"/>
      <c r="V30" s="118"/>
      <c r="W30" s="118">
        <v>6153</v>
      </c>
      <c r="X30" s="118">
        <v>6212</v>
      </c>
      <c r="Y30" s="118">
        <v>6272</v>
      </c>
      <c r="Z30" s="118">
        <v>6332</v>
      </c>
      <c r="AA30" s="118">
        <v>6384</v>
      </c>
      <c r="AB30" s="118">
        <v>6424</v>
      </c>
      <c r="AC30" s="118">
        <v>6458</v>
      </c>
      <c r="AD30" s="118">
        <v>6480</v>
      </c>
      <c r="AE30" s="118">
        <v>6270</v>
      </c>
      <c r="AF30" s="118">
        <v>6286</v>
      </c>
      <c r="AG30" s="118">
        <v>6312</v>
      </c>
      <c r="AH30" s="118">
        <v>6353</v>
      </c>
      <c r="AI30" s="118">
        <v>6411</v>
      </c>
      <c r="AJ30" s="118">
        <v>6411</v>
      </c>
      <c r="AK30" s="118">
        <v>2492</v>
      </c>
      <c r="AL30" s="118">
        <v>2538</v>
      </c>
      <c r="AM30" s="118">
        <v>1517</v>
      </c>
      <c r="AN30" s="118">
        <v>1543</v>
      </c>
      <c r="AO30" s="118">
        <v>1569</v>
      </c>
      <c r="AP30" s="118">
        <v>1596</v>
      </c>
      <c r="AQ30" s="118">
        <v>1621</v>
      </c>
      <c r="AR30" s="118">
        <v>1514</v>
      </c>
      <c r="AS30" s="118">
        <v>3350</v>
      </c>
      <c r="AT30" s="118">
        <v>3062</v>
      </c>
      <c r="AU30" s="118">
        <v>3101</v>
      </c>
      <c r="AV30" s="118">
        <v>3144</v>
      </c>
      <c r="AW30" s="118">
        <v>3192</v>
      </c>
      <c r="AX30" s="118">
        <v>3245</v>
      </c>
      <c r="AY30" s="118">
        <v>3298</v>
      </c>
      <c r="AZ30" s="118">
        <v>3350</v>
      </c>
    </row>
    <row r="31" spans="1:52" x14ac:dyDescent="0.2">
      <c r="B31" s="126" t="s">
        <v>73</v>
      </c>
      <c r="C31" s="120"/>
      <c r="D31" s="120"/>
      <c r="E31" s="162"/>
      <c r="F31" s="120"/>
      <c r="G31" s="120"/>
      <c r="H31" s="120"/>
      <c r="I31" s="120"/>
      <c r="J31" s="120"/>
      <c r="K31" s="120"/>
      <c r="L31" s="120"/>
      <c r="M31" s="120"/>
      <c r="N31" s="120"/>
      <c r="O31" s="120"/>
      <c r="P31" s="120"/>
      <c r="Q31" s="120"/>
      <c r="R31" s="120"/>
      <c r="S31" s="120"/>
      <c r="T31" s="120"/>
      <c r="U31" s="120"/>
      <c r="V31" s="120"/>
      <c r="W31" s="120">
        <f t="shared" ref="W31:AB31" si="15">SUM(W29:W30)</f>
        <v>16630</v>
      </c>
      <c r="X31" s="120">
        <f t="shared" si="15"/>
        <v>16864</v>
      </c>
      <c r="Y31" s="120">
        <f t="shared" si="15"/>
        <v>17177</v>
      </c>
      <c r="Z31" s="120">
        <f t="shared" si="15"/>
        <v>108928</v>
      </c>
      <c r="AA31" s="120">
        <f t="shared" si="15"/>
        <v>110709</v>
      </c>
      <c r="AB31" s="120">
        <f t="shared" si="15"/>
        <v>61587</v>
      </c>
      <c r="AC31" s="120">
        <f t="shared" ref="AC31:AJ31" si="16">SUM(AC29:AC30)</f>
        <v>61616</v>
      </c>
      <c r="AD31" s="120">
        <f t="shared" si="16"/>
        <v>54893</v>
      </c>
      <c r="AE31" s="120">
        <f t="shared" si="16"/>
        <v>38190</v>
      </c>
      <c r="AF31" s="120">
        <f t="shared" si="16"/>
        <v>33985</v>
      </c>
      <c r="AG31" s="120">
        <f t="shared" si="16"/>
        <v>37406</v>
      </c>
      <c r="AH31" s="120">
        <f t="shared" si="16"/>
        <v>36676</v>
      </c>
      <c r="AI31" s="120">
        <f t="shared" si="16"/>
        <v>36972</v>
      </c>
      <c r="AJ31" s="120">
        <f t="shared" si="16"/>
        <v>36972</v>
      </c>
      <c r="AK31" s="120">
        <f t="shared" ref="AK31:AP31" si="17">SUM(AK29:AK30)</f>
        <v>33570</v>
      </c>
      <c r="AL31" s="120">
        <f t="shared" si="17"/>
        <v>21846</v>
      </c>
      <c r="AM31" s="120">
        <f t="shared" si="17"/>
        <v>3699</v>
      </c>
      <c r="AN31" s="120">
        <f t="shared" si="17"/>
        <v>4237</v>
      </c>
      <c r="AO31" s="120">
        <f t="shared" si="17"/>
        <v>4613</v>
      </c>
      <c r="AP31" s="120">
        <f t="shared" si="17"/>
        <v>4363</v>
      </c>
      <c r="AQ31" s="120">
        <f t="shared" ref="AQ31:AW31" si="18">SUM(AQ29:AQ30)</f>
        <v>4248</v>
      </c>
      <c r="AR31" s="120">
        <f t="shared" si="18"/>
        <v>4552</v>
      </c>
      <c r="AS31" s="120">
        <f t="shared" si="18"/>
        <v>8144</v>
      </c>
      <c r="AT31" s="120">
        <f t="shared" si="18"/>
        <v>6107</v>
      </c>
      <c r="AU31" s="120">
        <f t="shared" si="18"/>
        <v>6115</v>
      </c>
      <c r="AV31" s="120">
        <f t="shared" si="18"/>
        <v>7802</v>
      </c>
      <c r="AW31" s="120">
        <f t="shared" si="18"/>
        <v>8649</v>
      </c>
      <c r="AX31" s="120">
        <f>SUM(AX29:AX30)</f>
        <v>8472</v>
      </c>
      <c r="AY31" s="120">
        <f>SUM(AY29:AY30)</f>
        <v>8469</v>
      </c>
      <c r="AZ31" s="120">
        <f>SUM(AZ29:AZ30)</f>
        <v>8144</v>
      </c>
    </row>
    <row r="33" spans="2:52" x14ac:dyDescent="0.2">
      <c r="B33" s="151" t="s">
        <v>98</v>
      </c>
      <c r="C33" s="115">
        <f t="shared" ref="C33:AI33" si="19">C19</f>
        <v>2013</v>
      </c>
      <c r="D33" s="115" t="str">
        <f t="shared" si="19"/>
        <v>1T14</v>
      </c>
      <c r="E33" s="115" t="str">
        <f t="shared" si="19"/>
        <v>2T14</v>
      </c>
      <c r="F33" s="115" t="str">
        <f t="shared" si="19"/>
        <v>3T14</v>
      </c>
      <c r="G33" s="115" t="str">
        <f t="shared" si="19"/>
        <v>4T14</v>
      </c>
      <c r="H33" s="115" t="str">
        <f t="shared" si="19"/>
        <v>1T15</v>
      </c>
      <c r="I33" s="115" t="str">
        <f t="shared" si="19"/>
        <v>2T15</v>
      </c>
      <c r="J33" s="115" t="str">
        <f t="shared" si="19"/>
        <v>3T15</v>
      </c>
      <c r="K33" s="115" t="str">
        <f t="shared" si="19"/>
        <v>4T15</v>
      </c>
      <c r="L33" s="115" t="str">
        <f t="shared" si="19"/>
        <v>1T16</v>
      </c>
      <c r="M33" s="115" t="str">
        <f t="shared" si="19"/>
        <v>2T16</v>
      </c>
      <c r="N33" s="115" t="str">
        <f t="shared" si="19"/>
        <v>3T16</v>
      </c>
      <c r="O33" s="115" t="str">
        <f t="shared" si="19"/>
        <v>4T16</v>
      </c>
      <c r="P33" s="115" t="str">
        <f t="shared" si="19"/>
        <v>1T17</v>
      </c>
      <c r="Q33" s="115" t="str">
        <f t="shared" si="19"/>
        <v>2T17</v>
      </c>
      <c r="R33" s="115" t="str">
        <f t="shared" si="19"/>
        <v>3T17</v>
      </c>
      <c r="S33" s="115" t="str">
        <f t="shared" si="19"/>
        <v>4T17</v>
      </c>
      <c r="T33" s="115" t="str">
        <f t="shared" si="19"/>
        <v>1T18</v>
      </c>
      <c r="U33" s="115" t="str">
        <f t="shared" si="19"/>
        <v>2T18</v>
      </c>
      <c r="V33" s="115" t="str">
        <f t="shared" si="19"/>
        <v>3T18</v>
      </c>
      <c r="W33" s="115" t="str">
        <f t="shared" si="19"/>
        <v>4T18</v>
      </c>
      <c r="X33" s="115" t="str">
        <f t="shared" si="19"/>
        <v>1T19</v>
      </c>
      <c r="Y33" s="115" t="str">
        <f t="shared" si="19"/>
        <v>2T19</v>
      </c>
      <c r="Z33" s="115" t="str">
        <f t="shared" si="19"/>
        <v>3T19</v>
      </c>
      <c r="AA33" s="115" t="str">
        <f t="shared" si="19"/>
        <v>4T19</v>
      </c>
      <c r="AB33" s="115" t="str">
        <f t="shared" si="19"/>
        <v>1T20</v>
      </c>
      <c r="AC33" s="115" t="str">
        <f t="shared" si="19"/>
        <v>2T20</v>
      </c>
      <c r="AD33" s="115" t="str">
        <f t="shared" si="19"/>
        <v>3T20</v>
      </c>
      <c r="AE33" s="115" t="str">
        <f t="shared" si="19"/>
        <v>4T20</v>
      </c>
      <c r="AF33" s="115" t="str">
        <f t="shared" si="19"/>
        <v>1T21</v>
      </c>
      <c r="AG33" s="115" t="str">
        <f t="shared" si="19"/>
        <v>2T21</v>
      </c>
      <c r="AH33" s="115" t="str">
        <f t="shared" si="19"/>
        <v>3T21</v>
      </c>
      <c r="AI33" s="115" t="str">
        <f t="shared" si="19"/>
        <v>4T21</v>
      </c>
      <c r="AJ33" s="115" t="s">
        <v>1119</v>
      </c>
      <c r="AK33" s="115" t="str">
        <f t="shared" ref="AK33:AQ33" si="20">AK19</f>
        <v>2T22</v>
      </c>
      <c r="AL33" s="115" t="str">
        <f t="shared" si="20"/>
        <v>3T22</v>
      </c>
      <c r="AM33" s="115" t="str">
        <f t="shared" si="20"/>
        <v>4T22</v>
      </c>
      <c r="AN33" s="115" t="str">
        <f t="shared" si="20"/>
        <v>1T23</v>
      </c>
      <c r="AO33" s="115" t="str">
        <f t="shared" si="20"/>
        <v>2T23</v>
      </c>
      <c r="AP33" s="115" t="str">
        <f t="shared" si="20"/>
        <v>3T23</v>
      </c>
      <c r="AQ33" s="115" t="str">
        <f t="shared" si="20"/>
        <v>4T23</v>
      </c>
      <c r="AR33" s="115" t="str">
        <f t="shared" ref="AR33:AW33" si="21">AR19</f>
        <v>1T24</v>
      </c>
      <c r="AS33" s="115" t="str">
        <f t="shared" si="21"/>
        <v>2T24</v>
      </c>
      <c r="AT33" s="115" t="str">
        <f t="shared" si="21"/>
        <v>3T24</v>
      </c>
      <c r="AU33" s="115" t="str">
        <f t="shared" si="21"/>
        <v>4T24</v>
      </c>
      <c r="AV33" s="115" t="str">
        <f t="shared" si="21"/>
        <v>1T25</v>
      </c>
      <c r="AW33" s="115" t="str">
        <f t="shared" si="21"/>
        <v>2T25</v>
      </c>
      <c r="AX33" s="115" t="str">
        <f>AX19</f>
        <v>3T25</v>
      </c>
      <c r="AY33" s="115" t="str">
        <f>AY19</f>
        <v>4T25</v>
      </c>
      <c r="AZ33" s="115" t="str">
        <f>AZ19</f>
        <v>1T26</v>
      </c>
    </row>
    <row r="34" spans="2:52" x14ac:dyDescent="0.2">
      <c r="B34" s="129" t="s">
        <v>100</v>
      </c>
      <c r="C34" s="118">
        <f t="shared" ref="C34:V34" si="22">+C6-C20</f>
        <v>1328</v>
      </c>
      <c r="D34" s="118">
        <f t="shared" si="22"/>
        <v>1139</v>
      </c>
      <c r="E34" s="160">
        <f t="shared" si="22"/>
        <v>1619</v>
      </c>
      <c r="F34" s="118">
        <f t="shared" si="22"/>
        <v>1595</v>
      </c>
      <c r="G34" s="118">
        <f t="shared" si="22"/>
        <v>1594</v>
      </c>
      <c r="H34" s="118">
        <f t="shared" si="22"/>
        <v>1595</v>
      </c>
      <c r="I34" s="118">
        <f t="shared" si="22"/>
        <v>2415</v>
      </c>
      <c r="J34" s="118">
        <f t="shared" si="22"/>
        <v>2461</v>
      </c>
      <c r="K34" s="118">
        <f t="shared" si="22"/>
        <v>2951</v>
      </c>
      <c r="L34" s="118">
        <f t="shared" si="22"/>
        <v>3010</v>
      </c>
      <c r="M34" s="118">
        <f t="shared" si="22"/>
        <v>3050</v>
      </c>
      <c r="N34" s="118">
        <f t="shared" si="22"/>
        <v>3062</v>
      </c>
      <c r="O34" s="118">
        <f t="shared" si="22"/>
        <v>4687</v>
      </c>
      <c r="P34" s="118">
        <f t="shared" si="22"/>
        <v>4700</v>
      </c>
      <c r="Q34" s="118">
        <f t="shared" si="22"/>
        <v>4771</v>
      </c>
      <c r="R34" s="118">
        <f t="shared" si="22"/>
        <v>4714</v>
      </c>
      <c r="S34" s="118">
        <f t="shared" si="22"/>
        <v>4846</v>
      </c>
      <c r="T34" s="118">
        <f t="shared" si="22"/>
        <v>3297</v>
      </c>
      <c r="U34" s="118">
        <f t="shared" si="22"/>
        <v>3373</v>
      </c>
      <c r="V34" s="118">
        <f t="shared" si="22"/>
        <v>3313</v>
      </c>
      <c r="W34" s="118">
        <v>3413</v>
      </c>
      <c r="X34" s="118">
        <v>3421</v>
      </c>
      <c r="Y34" s="118">
        <v>3373</v>
      </c>
      <c r="Z34" s="118">
        <v>3386</v>
      </c>
      <c r="AA34" s="118">
        <v>3465</v>
      </c>
      <c r="AB34" s="118">
        <v>3424</v>
      </c>
      <c r="AC34" s="118">
        <f t="shared" ref="AC34:AQ34" si="23">+AC6-AC20</f>
        <v>3548</v>
      </c>
      <c r="AD34" s="118">
        <f t="shared" si="23"/>
        <v>3700</v>
      </c>
      <c r="AE34" s="118">
        <f t="shared" si="23"/>
        <v>3390</v>
      </c>
      <c r="AF34" s="118">
        <f t="shared" si="23"/>
        <v>3385</v>
      </c>
      <c r="AG34" s="118">
        <f t="shared" si="23"/>
        <v>3415</v>
      </c>
      <c r="AH34" s="118">
        <f t="shared" si="23"/>
        <v>3420</v>
      </c>
      <c r="AI34" s="118">
        <f t="shared" si="23"/>
        <v>3429</v>
      </c>
      <c r="AJ34" s="118">
        <f t="shared" si="23"/>
        <v>3258</v>
      </c>
      <c r="AK34" s="118">
        <f t="shared" si="23"/>
        <v>3188</v>
      </c>
      <c r="AL34" s="118">
        <f t="shared" si="23"/>
        <v>3166</v>
      </c>
      <c r="AM34" s="118">
        <f t="shared" si="23"/>
        <v>3029</v>
      </c>
      <c r="AN34" s="118">
        <f t="shared" si="23"/>
        <v>3041</v>
      </c>
      <c r="AO34" s="118">
        <f t="shared" si="23"/>
        <v>3056</v>
      </c>
      <c r="AP34" s="118">
        <f t="shared" si="23"/>
        <v>3068</v>
      </c>
      <c r="AQ34" s="118">
        <f t="shared" si="23"/>
        <v>3089</v>
      </c>
      <c r="AR34" s="118">
        <f>+AR6-AR20</f>
        <v>3024</v>
      </c>
      <c r="AS34" s="118">
        <f>+AS6-AS20</f>
        <v>3004</v>
      </c>
      <c r="AT34" s="118">
        <v>2933</v>
      </c>
      <c r="AU34" s="118">
        <v>3076</v>
      </c>
      <c r="AV34" s="118">
        <v>3191</v>
      </c>
      <c r="AW34" s="118">
        <v>3153</v>
      </c>
      <c r="AX34" s="118">
        <v>3313</v>
      </c>
      <c r="AY34" s="118">
        <v>3267</v>
      </c>
      <c r="AZ34" s="118">
        <f>+AZ6-AZ20</f>
        <v>3295</v>
      </c>
    </row>
    <row r="35" spans="2:52" x14ac:dyDescent="0.2">
      <c r="B35" s="129" t="s">
        <v>101</v>
      </c>
      <c r="C35" s="118">
        <f t="shared" ref="C35:V35" si="24">+C7-C21</f>
        <v>652</v>
      </c>
      <c r="D35" s="118">
        <f t="shared" si="24"/>
        <v>864</v>
      </c>
      <c r="E35" s="160">
        <f t="shared" si="24"/>
        <v>733</v>
      </c>
      <c r="F35" s="118">
        <f t="shared" si="24"/>
        <v>625</v>
      </c>
      <c r="G35" s="118">
        <f t="shared" si="24"/>
        <v>423</v>
      </c>
      <c r="H35" s="118">
        <f t="shared" si="24"/>
        <v>471</v>
      </c>
      <c r="I35" s="118">
        <f t="shared" si="24"/>
        <v>1189</v>
      </c>
      <c r="J35" s="118">
        <f t="shared" si="24"/>
        <v>1212</v>
      </c>
      <c r="K35" s="118">
        <f t="shared" si="24"/>
        <v>0</v>
      </c>
      <c r="L35" s="118">
        <f t="shared" si="24"/>
        <v>298</v>
      </c>
      <c r="M35" s="118">
        <f t="shared" si="24"/>
        <v>1357</v>
      </c>
      <c r="N35" s="118">
        <f t="shared" si="24"/>
        <v>1270</v>
      </c>
      <c r="O35" s="118">
        <f t="shared" si="24"/>
        <v>0</v>
      </c>
      <c r="P35" s="118">
        <f t="shared" si="24"/>
        <v>366</v>
      </c>
      <c r="Q35" s="118">
        <f t="shared" si="24"/>
        <v>887</v>
      </c>
      <c r="R35" s="118">
        <f t="shared" si="24"/>
        <v>903</v>
      </c>
      <c r="S35" s="118">
        <f t="shared" si="24"/>
        <v>0</v>
      </c>
      <c r="T35" s="118">
        <f t="shared" si="24"/>
        <v>206</v>
      </c>
      <c r="U35" s="118">
        <f t="shared" si="24"/>
        <v>1491</v>
      </c>
      <c r="V35" s="118">
        <f t="shared" si="24"/>
        <v>1528</v>
      </c>
      <c r="W35" s="118">
        <v>40</v>
      </c>
      <c r="X35" s="118">
        <v>51</v>
      </c>
      <c r="Y35" s="118">
        <v>67</v>
      </c>
      <c r="Z35" s="118">
        <v>101</v>
      </c>
      <c r="AA35" s="118">
        <v>80</v>
      </c>
      <c r="AB35" s="118">
        <v>107</v>
      </c>
      <c r="AC35" s="118">
        <f t="shared" ref="AC35:AQ35" si="25">+AC7-AC21</f>
        <v>100</v>
      </c>
      <c r="AD35" s="118">
        <f t="shared" si="25"/>
        <v>127</v>
      </c>
      <c r="AE35" s="118">
        <f t="shared" si="25"/>
        <v>68</v>
      </c>
      <c r="AF35" s="118">
        <f t="shared" si="25"/>
        <v>83</v>
      </c>
      <c r="AG35" s="118">
        <f t="shared" si="25"/>
        <v>91</v>
      </c>
      <c r="AH35" s="118">
        <f t="shared" si="25"/>
        <v>158</v>
      </c>
      <c r="AI35" s="118">
        <f t="shared" si="25"/>
        <v>232</v>
      </c>
      <c r="AJ35" s="118">
        <f t="shared" si="25"/>
        <v>461</v>
      </c>
      <c r="AK35" s="118">
        <f t="shared" si="25"/>
        <v>356</v>
      </c>
      <c r="AL35" s="118">
        <f t="shared" si="25"/>
        <v>342</v>
      </c>
      <c r="AM35" s="118">
        <f t="shared" si="25"/>
        <v>375</v>
      </c>
      <c r="AN35" s="118">
        <f t="shared" si="25"/>
        <v>545</v>
      </c>
      <c r="AO35" s="118">
        <f t="shared" si="25"/>
        <v>787</v>
      </c>
      <c r="AP35" s="118">
        <f t="shared" si="25"/>
        <v>505</v>
      </c>
      <c r="AQ35" s="118">
        <f t="shared" si="25"/>
        <v>556</v>
      </c>
      <c r="AR35" s="118">
        <f>+AR7-AR21</f>
        <v>681</v>
      </c>
      <c r="AS35" s="118">
        <f>+AS7-AS21</f>
        <v>422</v>
      </c>
      <c r="AT35" s="118">
        <v>583</v>
      </c>
      <c r="AU35" s="118">
        <v>513</v>
      </c>
      <c r="AV35" s="118">
        <v>502</v>
      </c>
      <c r="AW35" s="118">
        <v>569</v>
      </c>
      <c r="AX35" s="118">
        <v>691</v>
      </c>
      <c r="AY35" s="118">
        <v>220</v>
      </c>
      <c r="AZ35" s="118">
        <f>+AZ7-AZ21</f>
        <v>357</v>
      </c>
    </row>
    <row r="36" spans="2:52" x14ac:dyDescent="0.2">
      <c r="B36" s="129" t="s">
        <v>99</v>
      </c>
      <c r="C36" s="118">
        <f t="shared" ref="C36:AP36" si="26">C8-C24</f>
        <v>1434</v>
      </c>
      <c r="D36" s="118">
        <f t="shared" si="26"/>
        <v>1453</v>
      </c>
      <c r="E36" s="118">
        <f t="shared" si="26"/>
        <v>683</v>
      </c>
      <c r="F36" s="118">
        <f t="shared" si="26"/>
        <v>635</v>
      </c>
      <c r="G36" s="118">
        <f t="shared" si="26"/>
        <v>658</v>
      </c>
      <c r="H36" s="118">
        <f t="shared" si="26"/>
        <v>601</v>
      </c>
      <c r="I36" s="118">
        <f t="shared" si="26"/>
        <v>48</v>
      </c>
      <c r="J36" s="118">
        <f t="shared" si="26"/>
        <v>75</v>
      </c>
      <c r="K36" s="118">
        <f t="shared" si="26"/>
        <v>0</v>
      </c>
      <c r="L36" s="118">
        <f t="shared" si="26"/>
        <v>0</v>
      </c>
      <c r="M36" s="118">
        <f t="shared" si="26"/>
        <v>0</v>
      </c>
      <c r="N36" s="118">
        <f t="shared" si="26"/>
        <v>0</v>
      </c>
      <c r="O36" s="118">
        <f t="shared" si="26"/>
        <v>0</v>
      </c>
      <c r="P36" s="118">
        <f t="shared" si="26"/>
        <v>28</v>
      </c>
      <c r="Q36" s="118">
        <f t="shared" si="26"/>
        <v>53</v>
      </c>
      <c r="R36" s="118">
        <f t="shared" si="26"/>
        <v>71</v>
      </c>
      <c r="S36" s="118">
        <f t="shared" si="26"/>
        <v>4</v>
      </c>
      <c r="T36" s="118">
        <f t="shared" si="26"/>
        <v>27</v>
      </c>
      <c r="U36" s="118">
        <f t="shared" si="26"/>
        <v>63</v>
      </c>
      <c r="V36" s="118">
        <f t="shared" si="26"/>
        <v>82</v>
      </c>
      <c r="W36" s="118">
        <f t="shared" si="26"/>
        <v>0</v>
      </c>
      <c r="X36" s="118">
        <f t="shared" si="26"/>
        <v>0</v>
      </c>
      <c r="Y36" s="118">
        <f t="shared" si="26"/>
        <v>55</v>
      </c>
      <c r="Z36" s="118">
        <f t="shared" si="26"/>
        <v>102</v>
      </c>
      <c r="AA36" s="118">
        <f t="shared" si="26"/>
        <v>0</v>
      </c>
      <c r="AB36" s="118">
        <f t="shared" si="26"/>
        <v>0</v>
      </c>
      <c r="AC36" s="118">
        <f t="shared" si="26"/>
        <v>0</v>
      </c>
      <c r="AD36" s="118">
        <f t="shared" si="26"/>
        <v>0</v>
      </c>
      <c r="AE36" s="118">
        <f t="shared" si="26"/>
        <v>41</v>
      </c>
      <c r="AF36" s="118" t="e">
        <f t="shared" si="26"/>
        <v>#REF!</v>
      </c>
      <c r="AG36" s="118" t="e">
        <f t="shared" si="26"/>
        <v>#REF!</v>
      </c>
      <c r="AH36" s="118" t="e">
        <f t="shared" si="26"/>
        <v>#REF!</v>
      </c>
      <c r="AI36" s="118">
        <f t="shared" si="26"/>
        <v>104</v>
      </c>
      <c r="AJ36" s="118">
        <f t="shared" si="26"/>
        <v>104</v>
      </c>
      <c r="AK36" s="118" t="e">
        <f t="shared" si="26"/>
        <v>#REF!</v>
      </c>
      <c r="AL36" s="118" t="e">
        <f t="shared" si="26"/>
        <v>#REF!</v>
      </c>
      <c r="AM36" s="118" t="e">
        <f t="shared" si="26"/>
        <v>#REF!</v>
      </c>
      <c r="AN36" s="118" t="e">
        <f t="shared" si="26"/>
        <v>#REF!</v>
      </c>
      <c r="AO36" s="118" t="e">
        <f t="shared" si="26"/>
        <v>#REF!</v>
      </c>
      <c r="AP36" s="118" t="e">
        <f t="shared" si="26"/>
        <v>#REF!</v>
      </c>
      <c r="AQ36" s="118">
        <f>AQ8-AQ24</f>
        <v>10</v>
      </c>
      <c r="AR36" s="118">
        <f>AR8-AR24</f>
        <v>9</v>
      </c>
      <c r="AS36" s="118">
        <f>AS8-AS24</f>
        <v>9</v>
      </c>
      <c r="AT36" s="118">
        <v>9</v>
      </c>
      <c r="AU36" s="118">
        <v>9</v>
      </c>
      <c r="AV36" s="118">
        <v>9</v>
      </c>
      <c r="AW36" s="118">
        <v>9</v>
      </c>
      <c r="AX36" s="118">
        <v>9</v>
      </c>
      <c r="AY36" s="118">
        <v>9</v>
      </c>
      <c r="AZ36" s="118">
        <f>AZ8-AZ24</f>
        <v>38</v>
      </c>
    </row>
    <row r="37" spans="2:52" x14ac:dyDescent="0.2">
      <c r="B37" s="129" t="s">
        <v>102</v>
      </c>
      <c r="C37" s="118">
        <f t="shared" ref="C37:V37" si="27">+C9-C22</f>
        <v>3749</v>
      </c>
      <c r="D37" s="118">
        <f t="shared" si="27"/>
        <v>3500</v>
      </c>
      <c r="E37" s="160">
        <f t="shared" si="27"/>
        <v>1858</v>
      </c>
      <c r="F37" s="118">
        <f t="shared" si="27"/>
        <v>1946</v>
      </c>
      <c r="G37" s="118">
        <f t="shared" si="27"/>
        <v>2035</v>
      </c>
      <c r="H37" s="118">
        <f t="shared" si="27"/>
        <v>2094</v>
      </c>
      <c r="I37" s="118">
        <f t="shared" si="27"/>
        <v>1708</v>
      </c>
      <c r="J37" s="118">
        <f t="shared" si="27"/>
        <v>1788</v>
      </c>
      <c r="K37" s="118">
        <f t="shared" si="27"/>
        <v>5280</v>
      </c>
      <c r="L37" s="118">
        <f t="shared" si="27"/>
        <v>4404</v>
      </c>
      <c r="M37" s="118">
        <f t="shared" si="27"/>
        <v>3339</v>
      </c>
      <c r="N37" s="118">
        <f t="shared" si="27"/>
        <v>2212</v>
      </c>
      <c r="O37" s="118">
        <f t="shared" si="27"/>
        <v>409</v>
      </c>
      <c r="P37" s="118">
        <f t="shared" si="27"/>
        <v>252</v>
      </c>
      <c r="Q37" s="118">
        <f t="shared" si="27"/>
        <v>307</v>
      </c>
      <c r="R37" s="118">
        <f t="shared" si="27"/>
        <v>244</v>
      </c>
      <c r="S37" s="261">
        <f t="shared" si="27"/>
        <v>5773</v>
      </c>
      <c r="T37" s="118">
        <f t="shared" si="27"/>
        <v>2332</v>
      </c>
      <c r="U37" s="118">
        <f t="shared" si="27"/>
        <v>462</v>
      </c>
      <c r="V37" s="118">
        <f t="shared" si="27"/>
        <v>508</v>
      </c>
      <c r="W37" s="118">
        <v>1340</v>
      </c>
      <c r="X37" s="118">
        <v>1417</v>
      </c>
      <c r="Y37" s="118">
        <v>1485</v>
      </c>
      <c r="Z37" s="118">
        <v>1612</v>
      </c>
      <c r="AA37" s="118">
        <v>1692</v>
      </c>
      <c r="AB37" s="118">
        <v>1684</v>
      </c>
      <c r="AC37" s="118">
        <f t="shared" ref="AC37:AQ37" si="28">+AC9-AC22</f>
        <v>1761</v>
      </c>
      <c r="AD37" s="118">
        <f t="shared" si="28"/>
        <v>1718</v>
      </c>
      <c r="AE37" s="118">
        <f t="shared" si="28"/>
        <v>1795</v>
      </c>
      <c r="AF37" s="118">
        <f t="shared" si="28"/>
        <v>1866</v>
      </c>
      <c r="AG37" s="261">
        <f t="shared" si="28"/>
        <v>11653</v>
      </c>
      <c r="AH37" s="118">
        <f t="shared" si="28"/>
        <v>11646</v>
      </c>
      <c r="AI37" s="118">
        <f t="shared" si="28"/>
        <v>11793</v>
      </c>
      <c r="AJ37" s="118">
        <f t="shared" si="28"/>
        <v>11933</v>
      </c>
      <c r="AK37" s="118">
        <f t="shared" si="28"/>
        <v>12113</v>
      </c>
      <c r="AL37" s="118">
        <f t="shared" si="28"/>
        <v>20772</v>
      </c>
      <c r="AM37" s="118">
        <f t="shared" si="28"/>
        <v>36747</v>
      </c>
      <c r="AN37" s="118">
        <f t="shared" si="28"/>
        <v>36133</v>
      </c>
      <c r="AO37" s="118">
        <f t="shared" si="28"/>
        <v>31430</v>
      </c>
      <c r="AP37" s="118">
        <f t="shared" si="28"/>
        <v>27633</v>
      </c>
      <c r="AQ37" s="118">
        <f t="shared" si="28"/>
        <v>23115</v>
      </c>
      <c r="AR37" s="118">
        <f>+AR9-AR22</f>
        <v>20224</v>
      </c>
      <c r="AS37" s="118">
        <f>+AS9-AS22</f>
        <v>3711</v>
      </c>
      <c r="AT37" s="118">
        <v>1087</v>
      </c>
      <c r="AU37" s="118">
        <v>611</v>
      </c>
      <c r="AV37" s="118">
        <v>808</v>
      </c>
      <c r="AW37" s="118">
        <v>1487</v>
      </c>
      <c r="AX37" s="118">
        <v>1411</v>
      </c>
      <c r="AY37" s="118">
        <v>1376</v>
      </c>
      <c r="AZ37" s="118">
        <f>+AZ9-AZ22</f>
        <v>1615</v>
      </c>
    </row>
    <row r="38" spans="2:52" x14ac:dyDescent="0.2">
      <c r="B38" s="129" t="s">
        <v>718</v>
      </c>
      <c r="C38" s="118">
        <f t="shared" ref="C38:V38" si="29">+C12-C23</f>
        <v>0</v>
      </c>
      <c r="D38" s="118">
        <f t="shared" si="29"/>
        <v>0</v>
      </c>
      <c r="E38" s="118">
        <f t="shared" si="29"/>
        <v>0</v>
      </c>
      <c r="F38" s="118">
        <f t="shared" si="29"/>
        <v>0</v>
      </c>
      <c r="G38" s="118">
        <f t="shared" si="29"/>
        <v>0</v>
      </c>
      <c r="H38" s="118">
        <f t="shared" si="29"/>
        <v>0</v>
      </c>
      <c r="I38" s="118">
        <f t="shared" si="29"/>
        <v>0</v>
      </c>
      <c r="J38" s="118">
        <f t="shared" si="29"/>
        <v>0</v>
      </c>
      <c r="K38" s="118">
        <f t="shared" si="29"/>
        <v>0</v>
      </c>
      <c r="L38" s="118">
        <f t="shared" si="29"/>
        <v>0</v>
      </c>
      <c r="M38" s="118">
        <f t="shared" si="29"/>
        <v>0</v>
      </c>
      <c r="N38" s="118">
        <f t="shared" si="29"/>
        <v>0</v>
      </c>
      <c r="O38" s="118">
        <f t="shared" si="29"/>
        <v>0</v>
      </c>
      <c r="P38" s="118">
        <f t="shared" si="29"/>
        <v>0</v>
      </c>
      <c r="Q38" s="118">
        <f t="shared" si="29"/>
        <v>11764</v>
      </c>
      <c r="R38" s="118">
        <f t="shared" si="29"/>
        <v>12228</v>
      </c>
      <c r="S38" s="118">
        <f t="shared" si="29"/>
        <v>12162</v>
      </c>
      <c r="T38" s="118">
        <f t="shared" si="29"/>
        <v>-219</v>
      </c>
      <c r="U38" s="118">
        <f t="shared" si="29"/>
        <v>-181</v>
      </c>
      <c r="V38" s="118">
        <f t="shared" si="29"/>
        <v>-194</v>
      </c>
      <c r="W38" s="118">
        <v>0</v>
      </c>
      <c r="X38" s="118">
        <v>0</v>
      </c>
      <c r="Y38" s="118">
        <v>0</v>
      </c>
      <c r="Z38" s="118">
        <v>0</v>
      </c>
      <c r="AA38" s="118">
        <v>0</v>
      </c>
      <c r="AB38" s="118">
        <v>0</v>
      </c>
      <c r="AC38" s="118">
        <f t="shared" ref="AC38:AQ38" si="30">+AC12-AC23</f>
        <v>0</v>
      </c>
      <c r="AD38" s="118">
        <f t="shared" si="30"/>
        <v>0</v>
      </c>
      <c r="AE38" s="118">
        <f t="shared" si="30"/>
        <v>0</v>
      </c>
      <c r="AF38" s="118">
        <f t="shared" si="30"/>
        <v>0</v>
      </c>
      <c r="AG38" s="118">
        <f t="shared" si="30"/>
        <v>0</v>
      </c>
      <c r="AH38" s="118">
        <f t="shared" si="30"/>
        <v>0</v>
      </c>
      <c r="AI38" s="118">
        <f t="shared" si="30"/>
        <v>0</v>
      </c>
      <c r="AJ38" s="118">
        <f t="shared" si="30"/>
        <v>0</v>
      </c>
      <c r="AK38" s="118">
        <f t="shared" si="30"/>
        <v>0</v>
      </c>
      <c r="AL38" s="118">
        <f t="shared" si="30"/>
        <v>0</v>
      </c>
      <c r="AM38" s="118">
        <f t="shared" si="30"/>
        <v>0</v>
      </c>
      <c r="AN38" s="118">
        <f t="shared" si="30"/>
        <v>0</v>
      </c>
      <c r="AO38" s="118">
        <f t="shared" si="30"/>
        <v>0</v>
      </c>
      <c r="AP38" s="118">
        <f t="shared" si="30"/>
        <v>0</v>
      </c>
      <c r="AQ38" s="118">
        <f t="shared" si="30"/>
        <v>0</v>
      </c>
      <c r="AR38" s="118">
        <f>+AR12-AR23</f>
        <v>0</v>
      </c>
      <c r="AS38" s="118">
        <f>+AS12-AS23</f>
        <v>0</v>
      </c>
      <c r="AT38" s="118">
        <v>0</v>
      </c>
      <c r="AU38" s="118">
        <v>0</v>
      </c>
      <c r="AV38" s="118">
        <v>0</v>
      </c>
      <c r="AW38" s="118">
        <v>0</v>
      </c>
      <c r="AX38" s="118">
        <v>0</v>
      </c>
      <c r="AY38" s="118">
        <v>0</v>
      </c>
      <c r="AZ38" s="118">
        <f>+AZ12-AZ23</f>
        <v>0</v>
      </c>
    </row>
    <row r="39" spans="2:52" x14ac:dyDescent="0.2">
      <c r="B39" s="129" t="s">
        <v>49</v>
      </c>
      <c r="C39" s="118">
        <f t="shared" ref="C39:V39" si="31">+C10-C25</f>
        <v>1216</v>
      </c>
      <c r="D39" s="118">
        <f t="shared" si="31"/>
        <v>1467</v>
      </c>
      <c r="E39" s="160">
        <f t="shared" si="31"/>
        <v>1392</v>
      </c>
      <c r="F39" s="118">
        <f t="shared" si="31"/>
        <v>1360</v>
      </c>
      <c r="G39" s="118">
        <f t="shared" si="31"/>
        <v>1377</v>
      </c>
      <c r="H39" s="118">
        <f t="shared" si="31"/>
        <v>1394</v>
      </c>
      <c r="I39" s="118">
        <f t="shared" si="31"/>
        <v>909</v>
      </c>
      <c r="J39" s="118">
        <f t="shared" si="31"/>
        <v>927</v>
      </c>
      <c r="K39" s="118">
        <f t="shared" si="31"/>
        <v>208</v>
      </c>
      <c r="L39" s="118">
        <f t="shared" si="31"/>
        <v>310</v>
      </c>
      <c r="M39" s="118">
        <f t="shared" si="31"/>
        <v>337</v>
      </c>
      <c r="N39" s="118">
        <f t="shared" si="31"/>
        <v>435</v>
      </c>
      <c r="O39" s="118">
        <f t="shared" si="31"/>
        <v>425</v>
      </c>
      <c r="P39" s="118">
        <f t="shared" si="31"/>
        <v>208</v>
      </c>
      <c r="Q39" s="118">
        <f t="shared" si="31"/>
        <v>290</v>
      </c>
      <c r="R39" s="118">
        <f t="shared" si="31"/>
        <v>69</v>
      </c>
      <c r="S39" s="118">
        <f t="shared" si="31"/>
        <v>1771</v>
      </c>
      <c r="T39" s="118">
        <f t="shared" si="31"/>
        <v>-14529</v>
      </c>
      <c r="U39" s="118">
        <f t="shared" si="31"/>
        <v>-7574</v>
      </c>
      <c r="V39" s="118">
        <f t="shared" si="31"/>
        <v>-6612</v>
      </c>
      <c r="W39" s="118">
        <v>1</v>
      </c>
      <c r="X39" s="118">
        <v>51</v>
      </c>
      <c r="Y39" s="118">
        <v>35</v>
      </c>
      <c r="Z39" s="118">
        <v>66</v>
      </c>
      <c r="AA39" s="118">
        <v>23</v>
      </c>
      <c r="AB39" s="118">
        <v>14</v>
      </c>
      <c r="AC39" s="118">
        <f t="shared" ref="AC39:AQ39" si="32">+AC10-AC25</f>
        <v>29</v>
      </c>
      <c r="AD39" s="118">
        <f t="shared" si="32"/>
        <v>21</v>
      </c>
      <c r="AE39" s="118">
        <f t="shared" si="32"/>
        <v>49</v>
      </c>
      <c r="AF39" s="118">
        <f t="shared" si="32"/>
        <v>429</v>
      </c>
      <c r="AG39" s="118">
        <f t="shared" si="32"/>
        <v>500</v>
      </c>
      <c r="AH39" s="118">
        <f t="shared" si="32"/>
        <v>520</v>
      </c>
      <c r="AI39" s="118">
        <f t="shared" si="32"/>
        <v>544</v>
      </c>
      <c r="AJ39" s="118">
        <f t="shared" si="32"/>
        <v>559</v>
      </c>
      <c r="AK39" s="118">
        <f t="shared" si="32"/>
        <v>580</v>
      </c>
      <c r="AL39" s="118">
        <f t="shared" si="32"/>
        <v>587</v>
      </c>
      <c r="AM39" s="118">
        <f t="shared" si="32"/>
        <v>584</v>
      </c>
      <c r="AN39" s="118">
        <f t="shared" si="32"/>
        <v>412</v>
      </c>
      <c r="AO39" s="118">
        <f t="shared" si="32"/>
        <v>423</v>
      </c>
      <c r="AP39" s="118">
        <f t="shared" si="32"/>
        <v>422</v>
      </c>
      <c r="AQ39" s="118">
        <f t="shared" si="32"/>
        <v>422</v>
      </c>
      <c r="AR39" s="118">
        <f>+AR10-AR25</f>
        <v>424</v>
      </c>
      <c r="AS39" s="118">
        <f>+AS10-AS25</f>
        <v>5</v>
      </c>
      <c r="AT39" s="118">
        <v>4</v>
      </c>
      <c r="AU39" s="118">
        <v>-1</v>
      </c>
      <c r="AV39" s="118">
        <v>-14</v>
      </c>
      <c r="AW39" s="118">
        <v>-31</v>
      </c>
      <c r="AX39" s="118">
        <v>-44</v>
      </c>
      <c r="AY39" s="118">
        <v>-61</v>
      </c>
      <c r="AZ39" s="118">
        <f>+AZ10-AZ25</f>
        <v>-78</v>
      </c>
    </row>
    <row r="40" spans="2:52" s="248" customFormat="1" hidden="1" outlineLevel="1" x14ac:dyDescent="0.2">
      <c r="B40" s="249" t="s">
        <v>403</v>
      </c>
      <c r="C40" s="218">
        <f t="shared" ref="C40:V40" si="33">+C11-C27</f>
        <v>4133</v>
      </c>
      <c r="D40" s="218">
        <f t="shared" si="33"/>
        <v>0</v>
      </c>
      <c r="E40" s="219">
        <f t="shared" si="33"/>
        <v>0</v>
      </c>
      <c r="F40" s="218">
        <f t="shared" si="33"/>
        <v>0</v>
      </c>
      <c r="G40" s="218">
        <f t="shared" si="33"/>
        <v>3963</v>
      </c>
      <c r="H40" s="218">
        <f t="shared" si="33"/>
        <v>4443</v>
      </c>
      <c r="I40" s="218">
        <f t="shared" si="33"/>
        <v>4465</v>
      </c>
      <c r="J40" s="218">
        <f t="shared" si="33"/>
        <v>1767</v>
      </c>
      <c r="K40" s="218">
        <f t="shared" si="33"/>
        <v>2699</v>
      </c>
      <c r="L40" s="218">
        <f t="shared" si="33"/>
        <v>1712</v>
      </c>
      <c r="M40" s="218">
        <f t="shared" si="33"/>
        <v>1741</v>
      </c>
      <c r="N40" s="218">
        <f t="shared" si="33"/>
        <v>1599</v>
      </c>
      <c r="O40" s="218">
        <f t="shared" si="33"/>
        <v>2776</v>
      </c>
      <c r="P40" s="218">
        <f t="shared" si="33"/>
        <v>2073</v>
      </c>
      <c r="Q40" s="218">
        <f t="shared" si="33"/>
        <v>2637</v>
      </c>
      <c r="R40" s="218">
        <f t="shared" si="33"/>
        <v>2252</v>
      </c>
      <c r="S40" s="218">
        <f t="shared" si="33"/>
        <v>0</v>
      </c>
      <c r="T40" s="218">
        <f t="shared" si="33"/>
        <v>0</v>
      </c>
      <c r="U40" s="218">
        <f t="shared" si="33"/>
        <v>0</v>
      </c>
      <c r="V40" s="218">
        <f t="shared" si="33"/>
        <v>0</v>
      </c>
      <c r="W40" s="218">
        <v>0</v>
      </c>
      <c r="X40" s="218">
        <v>0</v>
      </c>
      <c r="Y40" s="218"/>
      <c r="Z40" s="218">
        <v>0</v>
      </c>
      <c r="AA40" s="218">
        <v>0</v>
      </c>
      <c r="AB40" s="218">
        <f t="shared" ref="AB40:AQ40" si="34">+AB11-AB27</f>
        <v>0</v>
      </c>
      <c r="AC40" s="218">
        <f t="shared" si="34"/>
        <v>0</v>
      </c>
      <c r="AD40" s="218">
        <f t="shared" si="34"/>
        <v>0</v>
      </c>
      <c r="AE40" s="218">
        <f t="shared" si="34"/>
        <v>0</v>
      </c>
      <c r="AF40" s="218">
        <f t="shared" si="34"/>
        <v>0</v>
      </c>
      <c r="AG40" s="218">
        <f t="shared" si="34"/>
        <v>0</v>
      </c>
      <c r="AH40" s="118">
        <f t="shared" si="34"/>
        <v>0</v>
      </c>
      <c r="AI40" s="118">
        <f t="shared" si="34"/>
        <v>0</v>
      </c>
      <c r="AJ40" s="118">
        <f t="shared" si="34"/>
        <v>0</v>
      </c>
      <c r="AK40" s="118">
        <f t="shared" si="34"/>
        <v>0</v>
      </c>
      <c r="AL40" s="118">
        <f t="shared" si="34"/>
        <v>0</v>
      </c>
      <c r="AM40" s="118">
        <f t="shared" si="34"/>
        <v>0</v>
      </c>
      <c r="AN40" s="118">
        <f t="shared" si="34"/>
        <v>0</v>
      </c>
      <c r="AO40" s="118">
        <f t="shared" si="34"/>
        <v>0</v>
      </c>
      <c r="AP40" s="118">
        <f t="shared" si="34"/>
        <v>0</v>
      </c>
      <c r="AQ40" s="118">
        <f t="shared" si="34"/>
        <v>0</v>
      </c>
      <c r="AR40" s="118">
        <f>+AR11-AR27</f>
        <v>0</v>
      </c>
      <c r="AS40" s="118">
        <f>+AS11-AS27</f>
        <v>0</v>
      </c>
      <c r="AT40" s="118">
        <f>+AT11-AT27</f>
        <v>0</v>
      </c>
      <c r="AU40" s="118"/>
      <c r="AV40" s="118"/>
      <c r="AW40" s="118">
        <f>+AW11-AW27</f>
        <v>0</v>
      </c>
      <c r="AX40" s="118">
        <f>+AX11-AX27</f>
        <v>0</v>
      </c>
      <c r="AY40" s="118">
        <f>+AY11-AY27</f>
        <v>0</v>
      </c>
      <c r="AZ40" s="118">
        <f>+AZ11-AZ27</f>
        <v>0</v>
      </c>
    </row>
    <row r="41" spans="2:52" s="248" customFormat="1" hidden="1" outlineLevel="1" x14ac:dyDescent="0.2">
      <c r="B41" s="249" t="s">
        <v>103</v>
      </c>
      <c r="C41" s="218">
        <f t="shared" ref="C41:V41" si="35">+C13-C26</f>
        <v>1294</v>
      </c>
      <c r="D41" s="218">
        <f t="shared" si="35"/>
        <v>1361</v>
      </c>
      <c r="E41" s="219">
        <f t="shared" si="35"/>
        <v>1435</v>
      </c>
      <c r="F41" s="218">
        <f t="shared" si="35"/>
        <v>1401</v>
      </c>
      <c r="G41" s="218">
        <f t="shared" si="35"/>
        <v>1379</v>
      </c>
      <c r="H41" s="218">
        <f t="shared" si="35"/>
        <v>1156</v>
      </c>
      <c r="I41" s="218">
        <f t="shared" si="35"/>
        <v>1228</v>
      </c>
      <c r="J41" s="218">
        <f t="shared" si="35"/>
        <v>1283</v>
      </c>
      <c r="K41" s="218">
        <f t="shared" si="35"/>
        <v>885</v>
      </c>
      <c r="L41" s="218">
        <f t="shared" si="35"/>
        <v>880</v>
      </c>
      <c r="M41" s="218">
        <f t="shared" si="35"/>
        <v>1065</v>
      </c>
      <c r="N41" s="218">
        <f t="shared" si="35"/>
        <v>1025</v>
      </c>
      <c r="O41" s="218">
        <f t="shared" si="35"/>
        <v>912</v>
      </c>
      <c r="P41" s="218">
        <f t="shared" si="35"/>
        <v>896</v>
      </c>
      <c r="Q41" s="218">
        <f t="shared" si="35"/>
        <v>872</v>
      </c>
      <c r="R41" s="218">
        <f t="shared" si="35"/>
        <v>871</v>
      </c>
      <c r="S41" s="218">
        <f t="shared" si="35"/>
        <v>0</v>
      </c>
      <c r="T41" s="218">
        <f t="shared" si="35"/>
        <v>0</v>
      </c>
      <c r="U41" s="218">
        <f t="shared" si="35"/>
        <v>0</v>
      </c>
      <c r="V41" s="218">
        <f t="shared" si="35"/>
        <v>0</v>
      </c>
      <c r="W41" s="218">
        <v>0</v>
      </c>
      <c r="X41" s="218">
        <v>0</v>
      </c>
      <c r="Y41" s="218"/>
      <c r="Z41" s="218">
        <v>0</v>
      </c>
      <c r="AA41" s="218">
        <v>0</v>
      </c>
      <c r="AB41" s="218">
        <f t="shared" ref="AB41:AQ41" si="36">+AB13-AB26</f>
        <v>0</v>
      </c>
      <c r="AC41" s="218">
        <f t="shared" si="36"/>
        <v>0</v>
      </c>
      <c r="AD41" s="218">
        <f t="shared" si="36"/>
        <v>0</v>
      </c>
      <c r="AE41" s="218">
        <f t="shared" si="36"/>
        <v>0</v>
      </c>
      <c r="AF41" s="218" t="e">
        <f t="shared" si="36"/>
        <v>#REF!</v>
      </c>
      <c r="AG41" s="218" t="e">
        <f t="shared" si="36"/>
        <v>#REF!</v>
      </c>
      <c r="AH41" s="118" t="e">
        <f t="shared" si="36"/>
        <v>#REF!</v>
      </c>
      <c r="AI41" s="118">
        <f t="shared" si="36"/>
        <v>0</v>
      </c>
      <c r="AJ41" s="118">
        <f t="shared" si="36"/>
        <v>0</v>
      </c>
      <c r="AK41" s="118" t="e">
        <f t="shared" si="36"/>
        <v>#REF!</v>
      </c>
      <c r="AL41" s="118" t="e">
        <f t="shared" si="36"/>
        <v>#REF!</v>
      </c>
      <c r="AM41" s="118" t="e">
        <f t="shared" si="36"/>
        <v>#REF!</v>
      </c>
      <c r="AN41" s="118" t="e">
        <f t="shared" si="36"/>
        <v>#REF!</v>
      </c>
      <c r="AO41" s="118" t="e">
        <f t="shared" si="36"/>
        <v>#REF!</v>
      </c>
      <c r="AP41" s="118" t="e">
        <f t="shared" si="36"/>
        <v>#REF!</v>
      </c>
      <c r="AQ41" s="118" t="e">
        <f t="shared" si="36"/>
        <v>#REF!</v>
      </c>
      <c r="AR41" s="118" t="e">
        <f>+AR13-AR26</f>
        <v>#REF!</v>
      </c>
      <c r="AS41" s="118">
        <f>+AS13-AS26</f>
        <v>0</v>
      </c>
      <c r="AT41" s="118" t="e">
        <f>+AT13-AT26</f>
        <v>#REF!</v>
      </c>
      <c r="AU41" s="118"/>
      <c r="AV41" s="118"/>
      <c r="AW41" s="118" t="e">
        <f>+AW13-AW26</f>
        <v>#REF!</v>
      </c>
      <c r="AX41" s="118" t="e">
        <f>+AX13-AX26</f>
        <v>#REF!</v>
      </c>
      <c r="AY41" s="118" t="e">
        <f>+AY13-AY26</f>
        <v>#REF!</v>
      </c>
      <c r="AZ41" s="118" t="e">
        <f>+AZ13-AZ26</f>
        <v>#REF!</v>
      </c>
    </row>
    <row r="42" spans="2:52" collapsed="1" x14ac:dyDescent="0.2">
      <c r="B42" s="126" t="s">
        <v>73</v>
      </c>
      <c r="C42" s="120">
        <f t="shared" ref="C42:Q42" si="37">SUM(C34:C39)</f>
        <v>8379</v>
      </c>
      <c r="D42" s="120">
        <f t="shared" si="37"/>
        <v>8423</v>
      </c>
      <c r="E42" s="162">
        <f t="shared" si="37"/>
        <v>6285</v>
      </c>
      <c r="F42" s="120">
        <f t="shared" si="37"/>
        <v>6161</v>
      </c>
      <c r="G42" s="120">
        <f t="shared" si="37"/>
        <v>6087</v>
      </c>
      <c r="H42" s="120">
        <f t="shared" si="37"/>
        <v>6155</v>
      </c>
      <c r="I42" s="120">
        <f t="shared" si="37"/>
        <v>6269</v>
      </c>
      <c r="J42" s="120">
        <f t="shared" si="37"/>
        <v>6463</v>
      </c>
      <c r="K42" s="120">
        <f t="shared" si="37"/>
        <v>8439</v>
      </c>
      <c r="L42" s="120">
        <f t="shared" si="37"/>
        <v>8022</v>
      </c>
      <c r="M42" s="120">
        <f t="shared" si="37"/>
        <v>8083</v>
      </c>
      <c r="N42" s="120">
        <f t="shared" si="37"/>
        <v>6979</v>
      </c>
      <c r="O42" s="120">
        <f t="shared" si="37"/>
        <v>5521</v>
      </c>
      <c r="P42" s="120">
        <f t="shared" si="37"/>
        <v>5554</v>
      </c>
      <c r="Q42" s="120">
        <f t="shared" si="37"/>
        <v>18072</v>
      </c>
      <c r="R42" s="120">
        <f t="shared" ref="R42:AA42" si="38">SUM(R34:R39)</f>
        <v>18229</v>
      </c>
      <c r="S42" s="120">
        <f t="shared" si="38"/>
        <v>24556</v>
      </c>
      <c r="T42" s="120">
        <f t="shared" si="38"/>
        <v>-8886</v>
      </c>
      <c r="U42" s="120">
        <f t="shared" si="38"/>
        <v>-2366</v>
      </c>
      <c r="V42" s="120">
        <f t="shared" si="38"/>
        <v>-1375</v>
      </c>
      <c r="W42" s="120">
        <f t="shared" si="38"/>
        <v>4794</v>
      </c>
      <c r="X42" s="120">
        <f t="shared" si="38"/>
        <v>4940</v>
      </c>
      <c r="Y42" s="120">
        <f t="shared" si="38"/>
        <v>5015</v>
      </c>
      <c r="Z42" s="120">
        <f t="shared" si="38"/>
        <v>5267</v>
      </c>
      <c r="AA42" s="120">
        <f t="shared" si="38"/>
        <v>5260</v>
      </c>
      <c r="AB42" s="120">
        <f t="shared" ref="AB42:AG42" si="39">SUM(AB34:AB39)</f>
        <v>5229</v>
      </c>
      <c r="AC42" s="120">
        <f t="shared" si="39"/>
        <v>5438</v>
      </c>
      <c r="AD42" s="120">
        <f t="shared" si="39"/>
        <v>5566</v>
      </c>
      <c r="AE42" s="120">
        <f t="shared" si="39"/>
        <v>5343</v>
      </c>
      <c r="AF42" s="120" t="e">
        <f t="shared" si="39"/>
        <v>#REF!</v>
      </c>
      <c r="AG42" s="120" t="e">
        <f t="shared" si="39"/>
        <v>#REF!</v>
      </c>
      <c r="AH42" s="120" t="e">
        <f t="shared" ref="AH42:AM42" si="40">SUM(AH34:AH39)</f>
        <v>#REF!</v>
      </c>
      <c r="AI42" s="120">
        <f t="shared" si="40"/>
        <v>16102</v>
      </c>
      <c r="AJ42" s="120">
        <f t="shared" si="40"/>
        <v>16315</v>
      </c>
      <c r="AK42" s="120" t="e">
        <f t="shared" si="40"/>
        <v>#REF!</v>
      </c>
      <c r="AL42" s="120" t="e">
        <f t="shared" si="40"/>
        <v>#REF!</v>
      </c>
      <c r="AM42" s="120" t="e">
        <f t="shared" si="40"/>
        <v>#REF!</v>
      </c>
      <c r="AN42" s="120" t="e">
        <f t="shared" ref="AN42:AZ42" si="41">SUM(AN34:AN39)</f>
        <v>#REF!</v>
      </c>
      <c r="AO42" s="120" t="e">
        <f t="shared" si="41"/>
        <v>#REF!</v>
      </c>
      <c r="AP42" s="120" t="e">
        <f t="shared" si="41"/>
        <v>#REF!</v>
      </c>
      <c r="AQ42" s="120">
        <f t="shared" si="41"/>
        <v>27192</v>
      </c>
      <c r="AR42" s="120">
        <f t="shared" si="41"/>
        <v>24362</v>
      </c>
      <c r="AS42" s="120">
        <f t="shared" si="41"/>
        <v>7151</v>
      </c>
      <c r="AT42" s="120">
        <f t="shared" si="41"/>
        <v>4616</v>
      </c>
      <c r="AU42" s="120">
        <f t="shared" si="41"/>
        <v>4208</v>
      </c>
      <c r="AV42" s="120">
        <f t="shared" si="41"/>
        <v>4496</v>
      </c>
      <c r="AW42" s="120">
        <f t="shared" si="41"/>
        <v>5187</v>
      </c>
      <c r="AX42" s="120">
        <f t="shared" si="41"/>
        <v>5380</v>
      </c>
      <c r="AY42" s="120">
        <f t="shared" si="41"/>
        <v>4811</v>
      </c>
      <c r="AZ42" s="120">
        <f t="shared" si="41"/>
        <v>5227</v>
      </c>
    </row>
    <row r="43" spans="2:52" x14ac:dyDescent="0.2">
      <c r="B43" s="129" t="s">
        <v>201</v>
      </c>
      <c r="C43" s="118"/>
      <c r="D43" s="118"/>
      <c r="E43" s="160"/>
      <c r="F43" s="118"/>
      <c r="G43" s="118"/>
      <c r="H43" s="118"/>
      <c r="I43" s="118"/>
      <c r="J43" s="118"/>
      <c r="K43" s="118"/>
      <c r="L43" s="118"/>
      <c r="M43" s="118"/>
      <c r="N43" s="118"/>
      <c r="O43" s="118"/>
      <c r="P43" s="118"/>
      <c r="Q43" s="118"/>
      <c r="R43" s="118"/>
      <c r="S43" s="118"/>
      <c r="T43" s="118"/>
      <c r="U43" s="118"/>
      <c r="V43" s="118"/>
      <c r="W43" s="118">
        <f>W15-W29</f>
        <v>1530</v>
      </c>
      <c r="X43" s="118">
        <f>X15-X29</f>
        <v>1665</v>
      </c>
      <c r="Y43" s="118">
        <v>1729</v>
      </c>
      <c r="Z43" s="118">
        <v>1971</v>
      </c>
      <c r="AA43" s="118">
        <v>1955</v>
      </c>
      <c r="AB43" s="118">
        <v>1916</v>
      </c>
      <c r="AC43" s="118">
        <f t="shared" ref="AC43:AQ43" si="42">AC15-AC29</f>
        <v>2119</v>
      </c>
      <c r="AD43" s="118">
        <f t="shared" si="42"/>
        <v>2244</v>
      </c>
      <c r="AE43" s="118">
        <f t="shared" si="42"/>
        <v>2069</v>
      </c>
      <c r="AF43" s="118">
        <f t="shared" si="42"/>
        <v>2549</v>
      </c>
      <c r="AG43" s="118">
        <f t="shared" si="42"/>
        <v>12472</v>
      </c>
      <c r="AH43" s="118">
        <f t="shared" si="42"/>
        <v>12564</v>
      </c>
      <c r="AI43" s="118">
        <f t="shared" si="42"/>
        <v>12808</v>
      </c>
      <c r="AJ43" s="118">
        <f t="shared" si="42"/>
        <v>13502</v>
      </c>
      <c r="AK43" s="118">
        <f t="shared" si="42"/>
        <v>13274</v>
      </c>
      <c r="AL43" s="118">
        <f t="shared" si="42"/>
        <v>21888</v>
      </c>
      <c r="AM43" s="118">
        <f t="shared" si="42"/>
        <v>22544</v>
      </c>
      <c r="AN43" s="118">
        <f t="shared" si="42"/>
        <v>21646</v>
      </c>
      <c r="AO43" s="118">
        <f t="shared" si="42"/>
        <v>17259</v>
      </c>
      <c r="AP43" s="118">
        <f t="shared" si="42"/>
        <v>13006</v>
      </c>
      <c r="AQ43" s="118">
        <f t="shared" si="42"/>
        <v>8413</v>
      </c>
      <c r="AR43" s="118">
        <f>AR15-AR29</f>
        <v>6917</v>
      </c>
      <c r="AS43" s="118">
        <f>AS15-AS29</f>
        <v>3119</v>
      </c>
      <c r="AT43" s="118">
        <v>1782</v>
      </c>
      <c r="AU43" s="118">
        <v>1366</v>
      </c>
      <c r="AV43" s="118">
        <v>1643</v>
      </c>
      <c r="AW43" s="118">
        <v>2371</v>
      </c>
      <c r="AX43" s="118">
        <v>2552</v>
      </c>
      <c r="AY43" s="118">
        <v>1971</v>
      </c>
      <c r="AZ43" s="118">
        <f>AZ15-AZ29</f>
        <v>2377</v>
      </c>
    </row>
    <row r="44" spans="2:52" x14ac:dyDescent="0.2">
      <c r="B44" s="129" t="s">
        <v>187</v>
      </c>
      <c r="C44" s="118"/>
      <c r="D44" s="118"/>
      <c r="E44" s="160"/>
      <c r="F44" s="118"/>
      <c r="G44" s="118"/>
      <c r="H44" s="118"/>
      <c r="I44" s="118"/>
      <c r="J44" s="118"/>
      <c r="K44" s="118"/>
      <c r="L44" s="118"/>
      <c r="M44" s="118"/>
      <c r="N44" s="118"/>
      <c r="O44" s="118"/>
      <c r="P44" s="118"/>
      <c r="Q44" s="118"/>
      <c r="R44" s="118"/>
      <c r="S44" s="118"/>
      <c r="T44" s="118"/>
      <c r="U44" s="118"/>
      <c r="V44" s="118"/>
      <c r="W44" s="118">
        <f>W16-W30</f>
        <v>3264</v>
      </c>
      <c r="X44" s="118">
        <f>X16-X30</f>
        <v>3275</v>
      </c>
      <c r="Y44" s="118">
        <v>3286</v>
      </c>
      <c r="Z44" s="118">
        <v>3296</v>
      </c>
      <c r="AA44" s="118">
        <v>3305</v>
      </c>
      <c r="AB44" s="118">
        <v>3313</v>
      </c>
      <c r="AC44" s="118">
        <f t="shared" ref="AC44:AQ44" si="43">AC16-AC30</f>
        <v>3319</v>
      </c>
      <c r="AD44" s="118">
        <f t="shared" si="43"/>
        <v>3322</v>
      </c>
      <c r="AE44" s="118">
        <f t="shared" si="43"/>
        <v>3274</v>
      </c>
      <c r="AF44" s="118">
        <f t="shared" si="43"/>
        <v>3278</v>
      </c>
      <c r="AG44" s="118">
        <f t="shared" si="43"/>
        <v>3282</v>
      </c>
      <c r="AH44" s="118">
        <f t="shared" si="43"/>
        <v>3284</v>
      </c>
      <c r="AI44" s="118">
        <f t="shared" si="43"/>
        <v>3294</v>
      </c>
      <c r="AJ44" s="118">
        <f t="shared" si="43"/>
        <v>2668</v>
      </c>
      <c r="AK44" s="118">
        <f t="shared" si="43"/>
        <v>3067</v>
      </c>
      <c r="AL44" s="118">
        <f t="shared" si="43"/>
        <v>3083</v>
      </c>
      <c r="AM44" s="118">
        <f t="shared" si="43"/>
        <v>18295</v>
      </c>
      <c r="AN44" s="118">
        <f t="shared" si="43"/>
        <v>18494</v>
      </c>
      <c r="AO44" s="118">
        <f t="shared" si="43"/>
        <v>18446</v>
      </c>
      <c r="AP44" s="118">
        <f t="shared" si="43"/>
        <v>18631</v>
      </c>
      <c r="AQ44" s="118">
        <f t="shared" si="43"/>
        <v>18779</v>
      </c>
      <c r="AR44" s="118">
        <f>AR16-AR30</f>
        <v>17445</v>
      </c>
      <c r="AS44" s="118">
        <f>AS16-AS30</f>
        <v>16838</v>
      </c>
      <c r="AT44" s="118">
        <v>2834</v>
      </c>
      <c r="AU44" s="118">
        <v>2842</v>
      </c>
      <c r="AV44" s="118">
        <v>2853</v>
      </c>
      <c r="AW44" s="118">
        <v>2816</v>
      </c>
      <c r="AX44" s="118">
        <v>2828</v>
      </c>
      <c r="AY44" s="118">
        <v>2840</v>
      </c>
      <c r="AZ44" s="118">
        <f>AZ16-AZ30</f>
        <v>2850</v>
      </c>
    </row>
    <row r="45" spans="2:52" x14ac:dyDescent="0.2">
      <c r="B45" s="126" t="s">
        <v>73</v>
      </c>
      <c r="C45" s="120"/>
      <c r="D45" s="120"/>
      <c r="E45" s="162"/>
      <c r="F45" s="120"/>
      <c r="G45" s="120"/>
      <c r="H45" s="120"/>
      <c r="I45" s="120"/>
      <c r="J45" s="120"/>
      <c r="K45" s="120"/>
      <c r="L45" s="120"/>
      <c r="M45" s="120"/>
      <c r="N45" s="120"/>
      <c r="O45" s="120"/>
      <c r="P45" s="120"/>
      <c r="Q45" s="120"/>
      <c r="R45" s="120"/>
      <c r="S45" s="120"/>
      <c r="T45" s="120"/>
      <c r="U45" s="120"/>
      <c r="V45" s="120"/>
      <c r="W45" s="120">
        <f t="shared" ref="W45:AB45" si="44">SUM(W43:W44)</f>
        <v>4794</v>
      </c>
      <c r="X45" s="120">
        <f t="shared" si="44"/>
        <v>4940</v>
      </c>
      <c r="Y45" s="120">
        <f t="shared" si="44"/>
        <v>5015</v>
      </c>
      <c r="Z45" s="120">
        <f t="shared" si="44"/>
        <v>5267</v>
      </c>
      <c r="AA45" s="120">
        <f t="shared" si="44"/>
        <v>5260</v>
      </c>
      <c r="AB45" s="120">
        <f t="shared" si="44"/>
        <v>5229</v>
      </c>
      <c r="AC45" s="120">
        <f t="shared" ref="AC45:AH45" si="45">SUM(AC43:AC44)</f>
        <v>5438</v>
      </c>
      <c r="AD45" s="120">
        <f t="shared" si="45"/>
        <v>5566</v>
      </c>
      <c r="AE45" s="120">
        <f t="shared" si="45"/>
        <v>5343</v>
      </c>
      <c r="AF45" s="120">
        <f t="shared" si="45"/>
        <v>5827</v>
      </c>
      <c r="AG45" s="120">
        <f t="shared" si="45"/>
        <v>15754</v>
      </c>
      <c r="AH45" s="120">
        <f t="shared" si="45"/>
        <v>15848</v>
      </c>
      <c r="AI45" s="120">
        <f t="shared" ref="AI45:AN45" si="46">SUM(AI43:AI44)</f>
        <v>16102</v>
      </c>
      <c r="AJ45" s="120">
        <f t="shared" si="46"/>
        <v>16170</v>
      </c>
      <c r="AK45" s="120">
        <f t="shared" si="46"/>
        <v>16341</v>
      </c>
      <c r="AL45" s="120">
        <f t="shared" si="46"/>
        <v>24971</v>
      </c>
      <c r="AM45" s="120">
        <f t="shared" si="46"/>
        <v>40839</v>
      </c>
      <c r="AN45" s="120">
        <f t="shared" si="46"/>
        <v>40140</v>
      </c>
      <c r="AO45" s="120">
        <f t="shared" ref="AO45:AZ45" si="47">SUM(AO43:AO44)</f>
        <v>35705</v>
      </c>
      <c r="AP45" s="120">
        <f t="shared" si="47"/>
        <v>31637</v>
      </c>
      <c r="AQ45" s="120">
        <f t="shared" si="47"/>
        <v>27192</v>
      </c>
      <c r="AR45" s="120">
        <f t="shared" si="47"/>
        <v>24362</v>
      </c>
      <c r="AS45" s="120">
        <f t="shared" si="47"/>
        <v>19957</v>
      </c>
      <c r="AT45" s="120">
        <f t="shared" si="47"/>
        <v>4616</v>
      </c>
      <c r="AU45" s="120">
        <f t="shared" si="47"/>
        <v>4208</v>
      </c>
      <c r="AV45" s="120">
        <f t="shared" si="47"/>
        <v>4496</v>
      </c>
      <c r="AW45" s="120">
        <f t="shared" si="47"/>
        <v>5187</v>
      </c>
      <c r="AX45" s="120">
        <f t="shared" si="47"/>
        <v>5380</v>
      </c>
      <c r="AY45" s="120">
        <f t="shared" si="47"/>
        <v>4811</v>
      </c>
      <c r="AZ45" s="120">
        <f t="shared" si="47"/>
        <v>5227</v>
      </c>
    </row>
    <row r="201" spans="2:9" x14ac:dyDescent="0.2">
      <c r="B201" s="36"/>
      <c r="C201" s="36"/>
      <c r="D201" s="36"/>
      <c r="E201" s="36"/>
      <c r="F201" s="36"/>
      <c r="G201" s="36"/>
      <c r="H201" s="36"/>
      <c r="I201" s="36"/>
    </row>
    <row r="202" spans="2:9" s="36" customFormat="1" x14ac:dyDescent="0.2">
      <c r="B202" s="25"/>
      <c r="C202" s="25"/>
      <c r="D202" s="25"/>
      <c r="E202" s="25"/>
      <c r="F202" s="25"/>
      <c r="G202" s="25"/>
      <c r="H202" s="25"/>
      <c r="I202" s="25"/>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30">
    <pageSetUpPr autoPageBreaks="0"/>
  </sheetPr>
  <dimension ref="B1:EV57"/>
  <sheetViews>
    <sheetView showGridLines="0" workbookViewId="0">
      <pane xSplit="2" ySplit="6" topLeftCell="C7" activePane="bottomRight" state="frozen"/>
      <selection activeCell="N57" sqref="N57"/>
      <selection pane="topRight" activeCell="N57" sqref="N57"/>
      <selection pane="bottomLeft" activeCell="N57" sqref="N57"/>
      <selection pane="bottomRight" activeCell="E2" sqref="E2"/>
    </sheetView>
  </sheetViews>
  <sheetFormatPr defaultRowHeight="12.75" outlineLevelRow="1" outlineLevelCol="1" x14ac:dyDescent="0.2"/>
  <cols>
    <col min="1" max="1" width="1.42578125" customWidth="1"/>
    <col min="2" max="2" width="47.42578125" customWidth="1"/>
    <col min="3" max="29" width="10.85546875" customWidth="1" outlineLevel="1"/>
    <col min="30" max="56" width="10.85546875" customWidth="1"/>
    <col min="58" max="58" width="11" customWidth="1"/>
    <col min="61" max="61" width="11" customWidth="1"/>
    <col min="63" max="63" width="10.85546875" customWidth="1"/>
    <col min="64" max="64" width="11.140625" customWidth="1"/>
    <col min="66" max="66" width="10.85546875" customWidth="1"/>
    <col min="67" max="67" width="11" customWidth="1"/>
    <col min="69" max="69" width="10.85546875" customWidth="1"/>
    <col min="70" max="70" width="11.140625" customWidth="1"/>
    <col min="72" max="74" width="11" customWidth="1"/>
    <col min="75" max="75" width="10.85546875" customWidth="1"/>
    <col min="76" max="76" width="11.140625" customWidth="1"/>
    <col min="78" max="78" width="10.85546875" customWidth="1"/>
    <col min="79" max="79" width="11.140625" customWidth="1"/>
    <col min="81" max="81" width="10.85546875" customWidth="1"/>
    <col min="82" max="82" width="11.140625" customWidth="1"/>
    <col min="84" max="84" width="10.85546875" customWidth="1"/>
    <col min="85" max="85" width="11.140625" customWidth="1"/>
    <col min="87" max="87" width="10.85546875" customWidth="1"/>
    <col min="88" max="88" width="11.140625" customWidth="1"/>
    <col min="90" max="90" width="10.85546875" customWidth="1"/>
    <col min="91" max="91" width="11.140625" customWidth="1"/>
    <col min="93" max="93" width="10.85546875" customWidth="1"/>
    <col min="94" max="94" width="11.140625" customWidth="1"/>
    <col min="96" max="96" width="10.85546875" customWidth="1"/>
    <col min="97" max="97" width="11.140625" customWidth="1"/>
    <col min="99" max="99" width="10.85546875" customWidth="1"/>
    <col min="100" max="100" width="11.140625" customWidth="1"/>
    <col min="102" max="102" width="10.85546875" customWidth="1"/>
    <col min="103" max="103" width="11.140625" customWidth="1"/>
    <col min="105" max="105" width="10.85546875" customWidth="1"/>
    <col min="106" max="106" width="11.140625" customWidth="1"/>
    <col min="108" max="108" width="10.85546875" customWidth="1"/>
    <col min="109" max="109" width="11.140625" customWidth="1"/>
    <col min="111" max="111" width="10.85546875" customWidth="1"/>
    <col min="112" max="112" width="11.140625" customWidth="1"/>
    <col min="114" max="114" width="11" bestFit="1" customWidth="1"/>
    <col min="115" max="115" width="10.5703125" bestFit="1" customWidth="1"/>
    <col min="116" max="116" width="7.42578125" bestFit="1" customWidth="1"/>
    <col min="117" max="117" width="11" bestFit="1" customWidth="1"/>
    <col min="118" max="118" width="10.5703125" bestFit="1" customWidth="1"/>
    <col min="119" max="119" width="7.42578125" bestFit="1" customWidth="1"/>
    <col min="120" max="120" width="11" bestFit="1" customWidth="1"/>
    <col min="121" max="121" width="10.5703125" bestFit="1" customWidth="1"/>
    <col min="122" max="122" width="7.42578125" bestFit="1" customWidth="1"/>
    <col min="123" max="123" width="11" bestFit="1" customWidth="1"/>
    <col min="124" max="124" width="10.5703125" bestFit="1" customWidth="1"/>
    <col min="125" max="125" width="7.42578125" bestFit="1" customWidth="1"/>
    <col min="126" max="126" width="11" bestFit="1" customWidth="1"/>
    <col min="127" max="127" width="10.5703125" bestFit="1" customWidth="1"/>
    <col min="128" max="128" width="7.42578125" bestFit="1" customWidth="1"/>
    <col min="129" max="129" width="11" bestFit="1" customWidth="1"/>
    <col min="130" max="130" width="10.5703125" bestFit="1" customWidth="1"/>
    <col min="131" max="131" width="7.42578125" bestFit="1" customWidth="1"/>
    <col min="132" max="132" width="11" bestFit="1" customWidth="1"/>
    <col min="133" max="133" width="10.5703125" bestFit="1" customWidth="1"/>
    <col min="134" max="134" width="7.42578125" bestFit="1" customWidth="1"/>
    <col min="135" max="135" width="11.85546875" customWidth="1"/>
    <col min="136" max="136" width="12" customWidth="1"/>
    <col min="137" max="137" width="7.42578125" bestFit="1" customWidth="1"/>
    <col min="138" max="138" width="11" bestFit="1" customWidth="1"/>
    <col min="139" max="139" width="10.5703125" bestFit="1" customWidth="1"/>
    <col min="140" max="140" width="7.42578125" bestFit="1" customWidth="1"/>
    <col min="141" max="141" width="11" bestFit="1" customWidth="1"/>
    <col min="142" max="142" width="10.5703125" bestFit="1" customWidth="1"/>
    <col min="143" max="143" width="7.42578125" bestFit="1" customWidth="1"/>
    <col min="144" max="144" width="9.85546875" bestFit="1" customWidth="1"/>
    <col min="145" max="145" width="10" bestFit="1" customWidth="1"/>
    <col min="146" max="146" width="7.42578125" customWidth="1"/>
    <col min="147" max="147" width="11" customWidth="1"/>
    <col min="148" max="148" width="11.85546875" customWidth="1"/>
    <col min="149" max="149" width="7.42578125" customWidth="1"/>
    <col min="150" max="150" width="11" customWidth="1"/>
    <col min="151" max="151" width="11.85546875" customWidth="1"/>
    <col min="152" max="152" width="7.42578125" customWidth="1"/>
  </cols>
  <sheetData>
    <row r="1" spans="2:152" ht="7.5" customHeight="1" x14ac:dyDescent="0.2">
      <c r="C1" s="544"/>
      <c r="D1" s="544"/>
      <c r="E1" s="544"/>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0"/>
      <c r="BI1" s="550"/>
      <c r="BJ1" s="550"/>
      <c r="BK1" s="550"/>
      <c r="BL1" s="550"/>
      <c r="BM1" s="550"/>
      <c r="BN1" s="550"/>
      <c r="BO1" s="550"/>
      <c r="BP1" s="550"/>
      <c r="BQ1" s="550"/>
      <c r="BR1" s="550"/>
      <c r="BS1" s="550"/>
      <c r="BT1" s="550"/>
      <c r="BU1" s="550"/>
      <c r="BV1" s="550"/>
      <c r="BW1" s="550"/>
      <c r="BX1" s="550"/>
      <c r="BY1" s="550"/>
      <c r="BZ1" s="550"/>
      <c r="CA1" s="550"/>
      <c r="CB1" s="550"/>
      <c r="CC1" s="550"/>
      <c r="CD1" s="550"/>
      <c r="CE1" s="550"/>
      <c r="CF1" s="550"/>
      <c r="CG1" s="550"/>
      <c r="CH1" s="550"/>
      <c r="CI1" s="550"/>
      <c r="CJ1" s="550"/>
      <c r="CK1" s="550"/>
      <c r="CL1" s="550"/>
      <c r="CM1" s="550"/>
      <c r="CN1" s="550"/>
      <c r="CO1" s="550"/>
      <c r="CP1" s="550"/>
      <c r="CQ1" s="550"/>
      <c r="CR1" s="550"/>
      <c r="CS1" s="550"/>
      <c r="CT1" s="550"/>
      <c r="CU1" s="550"/>
      <c r="CV1" s="550"/>
      <c r="CW1" s="550"/>
      <c r="CX1" s="550"/>
      <c r="CY1" s="550"/>
      <c r="CZ1" s="550"/>
      <c r="DA1" s="550"/>
      <c r="DB1" s="550"/>
      <c r="DC1" s="550"/>
      <c r="DD1" s="550"/>
      <c r="DE1" s="550"/>
      <c r="DF1" s="550"/>
      <c r="DG1" s="550"/>
      <c r="DH1" s="550"/>
      <c r="DI1" s="550"/>
      <c r="DJ1" s="544"/>
      <c r="DK1" s="544"/>
      <c r="DL1" s="544"/>
      <c r="DM1" s="544"/>
      <c r="DN1" s="544"/>
      <c r="DO1" s="544"/>
      <c r="DP1" s="544"/>
      <c r="DQ1" s="544"/>
      <c r="DR1" s="544"/>
      <c r="DS1" s="544"/>
      <c r="DT1" s="544"/>
      <c r="DU1" s="544"/>
      <c r="DV1" s="544"/>
      <c r="DW1" s="544"/>
      <c r="DX1" s="544"/>
      <c r="DY1" s="544"/>
      <c r="DZ1" s="544"/>
      <c r="EA1" s="544"/>
    </row>
    <row r="2" spans="2:152" ht="12.75" customHeight="1" x14ac:dyDescent="0.2">
      <c r="C2" s="544"/>
      <c r="D2" s="544"/>
      <c r="E2" s="544"/>
      <c r="F2" s="550"/>
      <c r="G2" s="550"/>
      <c r="H2" s="550"/>
      <c r="I2" s="550"/>
      <c r="J2" s="550"/>
      <c r="K2" s="550"/>
      <c r="L2" s="550"/>
      <c r="M2" s="550"/>
      <c r="N2" s="550"/>
      <c r="O2" s="550"/>
      <c r="P2" s="550"/>
      <c r="Q2" s="550"/>
      <c r="R2" s="550"/>
      <c r="S2" s="550"/>
      <c r="T2" s="550"/>
      <c r="U2" s="550"/>
      <c r="V2" s="550"/>
      <c r="W2" s="550"/>
      <c r="X2" s="550"/>
      <c r="Y2" s="550"/>
      <c r="Z2" s="550"/>
      <c r="AA2" s="550"/>
      <c r="AB2" s="550"/>
      <c r="AC2" s="550"/>
      <c r="AD2" s="550"/>
      <c r="AE2" s="550"/>
      <c r="AF2" s="550"/>
      <c r="AG2" s="550"/>
      <c r="AH2" s="550"/>
      <c r="AI2" s="550"/>
      <c r="AJ2" s="550"/>
      <c r="AK2" s="550"/>
      <c r="AL2" s="550"/>
      <c r="AM2" s="550"/>
      <c r="AN2" s="550"/>
      <c r="AO2" s="550"/>
      <c r="AP2" s="550"/>
      <c r="AQ2" s="550"/>
      <c r="AR2" s="550"/>
      <c r="AS2" s="550"/>
      <c r="AT2" s="550"/>
      <c r="AU2" s="550"/>
      <c r="AV2" s="550"/>
      <c r="AW2" s="550"/>
      <c r="AX2" s="550"/>
      <c r="AY2" s="550"/>
      <c r="AZ2" s="550"/>
      <c r="BA2" s="550"/>
      <c r="BB2" s="550"/>
      <c r="BC2" s="550"/>
      <c r="BD2" s="550"/>
      <c r="BE2" s="550"/>
      <c r="BF2" s="550"/>
      <c r="BG2" s="550"/>
      <c r="BH2" s="550"/>
      <c r="BI2" s="550"/>
      <c r="BJ2" s="550"/>
      <c r="BK2" s="550"/>
      <c r="BL2" s="550"/>
      <c r="BM2" s="550"/>
      <c r="BN2" s="550"/>
      <c r="BO2" s="550"/>
      <c r="BP2" s="550"/>
      <c r="BQ2" s="550"/>
      <c r="BR2" s="550"/>
      <c r="BS2" s="550"/>
      <c r="BT2" s="550"/>
      <c r="BU2" s="550"/>
      <c r="BV2" s="550"/>
      <c r="BW2" s="550"/>
      <c r="BX2" s="550"/>
      <c r="BY2" s="550"/>
      <c r="BZ2" s="550"/>
      <c r="CA2" s="550"/>
      <c r="CB2" s="550"/>
      <c r="CC2" s="550"/>
      <c r="CD2" s="550"/>
      <c r="CE2" s="550"/>
      <c r="CF2" s="550"/>
      <c r="CG2" s="550"/>
      <c r="CH2" s="550"/>
      <c r="CI2" s="550"/>
      <c r="CJ2" s="550"/>
      <c r="CK2" s="550"/>
      <c r="CL2" s="550"/>
      <c r="CM2" s="550"/>
      <c r="CN2" s="550"/>
      <c r="CO2" s="550"/>
      <c r="CP2" s="550"/>
      <c r="CQ2" s="550"/>
      <c r="CR2" s="550"/>
      <c r="CS2" s="550"/>
      <c r="CT2" s="550"/>
      <c r="CU2" s="550"/>
      <c r="CV2" s="550"/>
      <c r="CW2" s="550"/>
      <c r="CX2" s="550"/>
      <c r="CY2" s="550"/>
      <c r="CZ2" s="550"/>
      <c r="DA2" s="550"/>
      <c r="DB2" s="550"/>
      <c r="DC2" s="550"/>
      <c r="DD2" s="550"/>
      <c r="DE2" s="550"/>
      <c r="DF2" s="550"/>
      <c r="DG2" s="550"/>
      <c r="DH2" s="550"/>
      <c r="DI2" s="550"/>
      <c r="DJ2" s="544"/>
      <c r="DK2" s="544"/>
      <c r="DL2" s="544"/>
      <c r="DM2" s="544"/>
      <c r="DN2" s="544"/>
      <c r="DO2" s="544"/>
      <c r="DP2" s="544"/>
      <c r="DQ2" s="544"/>
      <c r="DR2" s="544"/>
      <c r="DS2" s="544"/>
      <c r="DT2" s="544"/>
      <c r="DU2" s="544"/>
      <c r="DV2" s="544"/>
      <c r="DW2" s="544"/>
      <c r="DX2" s="544"/>
      <c r="DY2" s="544"/>
      <c r="DZ2" s="544"/>
      <c r="EA2" s="544"/>
    </row>
    <row r="3" spans="2:152" ht="12.75" customHeight="1" x14ac:dyDescent="0.2">
      <c r="C3" s="544"/>
      <c r="D3" s="544"/>
      <c r="E3" s="544"/>
      <c r="F3" s="550"/>
      <c r="G3" s="550"/>
      <c r="H3" s="550"/>
      <c r="I3" s="550"/>
      <c r="J3" s="550"/>
      <c r="K3" s="550"/>
      <c r="L3" s="550"/>
      <c r="M3" s="550"/>
      <c r="N3" s="550"/>
      <c r="O3" s="550"/>
      <c r="P3" s="550"/>
      <c r="Q3" s="550"/>
      <c r="R3" s="550"/>
      <c r="S3" s="550"/>
      <c r="T3" s="550"/>
      <c r="U3" s="550"/>
      <c r="V3" s="550"/>
      <c r="W3" s="550"/>
      <c r="X3" s="550"/>
      <c r="Y3" s="550"/>
      <c r="Z3" s="550"/>
      <c r="AA3" s="550"/>
      <c r="AB3" s="550"/>
      <c r="AC3" s="550"/>
      <c r="AD3" s="550"/>
      <c r="AE3" s="550"/>
      <c r="AF3" s="550"/>
      <c r="AG3" s="550"/>
      <c r="AH3" s="550"/>
      <c r="AI3" s="550"/>
      <c r="AJ3" s="550"/>
      <c r="AK3" s="550"/>
      <c r="AL3" s="550"/>
      <c r="AM3" s="550"/>
      <c r="AN3" s="550"/>
      <c r="AO3" s="550"/>
      <c r="AP3" s="550"/>
      <c r="AQ3" s="550"/>
      <c r="AR3" s="550"/>
      <c r="AS3" s="550"/>
      <c r="AT3" s="550"/>
      <c r="AU3" s="550"/>
      <c r="AV3" s="550"/>
      <c r="AW3" s="550"/>
      <c r="AX3" s="550"/>
      <c r="AY3" s="550"/>
      <c r="AZ3" s="550"/>
      <c r="BA3" s="550"/>
      <c r="BB3" s="550"/>
      <c r="BC3" s="550"/>
      <c r="BD3" s="550"/>
      <c r="BE3" s="550"/>
      <c r="BF3" s="550"/>
      <c r="BG3" s="550"/>
      <c r="BH3" s="550"/>
      <c r="BI3" s="550"/>
      <c r="BJ3" s="550"/>
      <c r="BK3" s="550"/>
      <c r="BL3" s="550"/>
      <c r="BM3" s="550"/>
      <c r="BN3" s="550"/>
      <c r="BO3" s="550"/>
      <c r="BP3" s="550"/>
      <c r="BQ3" s="550"/>
      <c r="BR3" s="550"/>
      <c r="BS3" s="550"/>
      <c r="BT3" s="550"/>
      <c r="BU3" s="550"/>
      <c r="BV3" s="550"/>
      <c r="BW3" s="550"/>
      <c r="BX3" s="550"/>
      <c r="BY3" s="550"/>
      <c r="BZ3" s="550"/>
      <c r="CA3" s="550"/>
      <c r="CB3" s="550"/>
      <c r="CC3" s="550"/>
      <c r="CD3" s="550"/>
      <c r="CE3" s="550"/>
      <c r="CF3" s="550"/>
      <c r="CG3" s="550"/>
      <c r="CH3" s="550"/>
      <c r="CI3" s="550"/>
      <c r="CJ3" s="550"/>
      <c r="CK3" s="550"/>
      <c r="CL3" s="550"/>
      <c r="CM3" s="550"/>
      <c r="CN3" s="550"/>
      <c r="CO3" s="550"/>
      <c r="CP3" s="550"/>
      <c r="CQ3" s="550"/>
      <c r="CR3" s="550"/>
      <c r="CS3" s="550"/>
      <c r="CT3" s="550"/>
      <c r="CU3" s="550"/>
      <c r="CV3" s="550"/>
      <c r="CW3" s="550"/>
      <c r="CX3" s="550"/>
      <c r="CY3" s="550"/>
      <c r="CZ3" s="550"/>
      <c r="DA3" s="550"/>
      <c r="DB3" s="550"/>
      <c r="DC3" s="550"/>
      <c r="DD3" s="550"/>
      <c r="DE3" s="550"/>
      <c r="DF3" s="550"/>
      <c r="DG3" s="550"/>
      <c r="DH3" s="550"/>
      <c r="DI3" s="550"/>
      <c r="DJ3" s="544"/>
      <c r="DK3" s="544"/>
      <c r="DL3" s="544"/>
      <c r="DM3" s="544"/>
      <c r="DN3" s="544"/>
      <c r="DO3" s="544"/>
      <c r="DP3" s="544"/>
      <c r="DQ3" s="544"/>
      <c r="DR3" s="544"/>
      <c r="DS3" s="544"/>
      <c r="DT3" s="544"/>
      <c r="DU3" s="544"/>
      <c r="DV3" s="544"/>
      <c r="DW3" s="544"/>
      <c r="DX3" s="544"/>
      <c r="DY3" s="544"/>
      <c r="DZ3" s="544"/>
      <c r="EA3" s="544"/>
    </row>
    <row r="4" spans="2:152" ht="15" customHeight="1" x14ac:dyDescent="0.2">
      <c r="F4" s="550"/>
      <c r="G4" s="550"/>
      <c r="H4" s="550"/>
      <c r="I4" s="550"/>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0"/>
      <c r="AO4" s="550"/>
      <c r="AP4" s="550"/>
      <c r="AQ4" s="550"/>
      <c r="AR4" s="550"/>
      <c r="AS4" s="550"/>
      <c r="AT4" s="550"/>
      <c r="AU4" s="550"/>
      <c r="AV4" s="550"/>
      <c r="AW4" s="550"/>
      <c r="AX4" s="550"/>
      <c r="AY4" s="550"/>
      <c r="AZ4" s="550"/>
      <c r="BA4" s="550"/>
      <c r="BB4" s="550"/>
      <c r="BC4" s="550"/>
      <c r="BD4" s="550"/>
      <c r="BE4" s="550"/>
      <c r="BF4" s="550"/>
      <c r="BG4" s="550"/>
      <c r="BH4" s="550"/>
      <c r="BI4" s="550"/>
      <c r="BJ4" s="550"/>
      <c r="BK4" s="550"/>
      <c r="BL4" s="550"/>
      <c r="BM4" s="550"/>
      <c r="BN4" s="550"/>
      <c r="BO4" s="550"/>
      <c r="BP4" s="550"/>
      <c r="BQ4" s="550"/>
      <c r="BR4" s="550"/>
      <c r="BS4" s="550"/>
      <c r="BT4" s="550"/>
      <c r="BU4" s="550"/>
      <c r="BV4" s="550"/>
      <c r="BW4" s="550"/>
      <c r="BX4" s="550"/>
      <c r="BY4" s="550"/>
      <c r="BZ4" s="550"/>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row>
    <row r="5" spans="2:152" ht="15" customHeight="1" x14ac:dyDescent="0.2">
      <c r="B5" s="155"/>
      <c r="C5" s="156">
        <f>C30</f>
        <v>2013</v>
      </c>
      <c r="D5" s="157"/>
      <c r="E5" s="158"/>
      <c r="F5" s="156" t="str">
        <f>D30</f>
        <v>1T14</v>
      </c>
      <c r="G5" s="157"/>
      <c r="H5" s="158"/>
      <c r="I5" s="156" t="str">
        <f>E30</f>
        <v>2T14</v>
      </c>
      <c r="J5" s="157"/>
      <c r="K5" s="158"/>
      <c r="L5" s="156" t="str">
        <f>F30</f>
        <v>3T14</v>
      </c>
      <c r="M5" s="533"/>
      <c r="N5" s="534"/>
      <c r="O5" s="156" t="str">
        <f>G30</f>
        <v>4T14</v>
      </c>
      <c r="P5" s="533"/>
      <c r="Q5" s="534"/>
      <c r="R5" s="156" t="str">
        <f>H30</f>
        <v>1T15</v>
      </c>
      <c r="S5" s="533"/>
      <c r="T5" s="534"/>
      <c r="U5" s="156" t="str">
        <f>I30</f>
        <v>2T15</v>
      </c>
      <c r="V5" s="533"/>
      <c r="W5" s="534"/>
      <c r="X5" s="156" t="str">
        <f>J30</f>
        <v>3T15</v>
      </c>
      <c r="Y5" s="533"/>
      <c r="Z5" s="534"/>
      <c r="AA5" s="156" t="str">
        <f>K30</f>
        <v>4T15</v>
      </c>
      <c r="AB5" s="533"/>
      <c r="AC5" s="534"/>
      <c r="AD5" s="156" t="str">
        <f>L30</f>
        <v>1T16</v>
      </c>
      <c r="AE5" s="533"/>
      <c r="AF5" s="534"/>
      <c r="AG5" s="156" t="str">
        <f>M30</f>
        <v>2T16</v>
      </c>
      <c r="AH5" s="533"/>
      <c r="AI5" s="534"/>
      <c r="AJ5" s="156" t="str">
        <f>N30</f>
        <v>3T16</v>
      </c>
      <c r="AK5" s="533"/>
      <c r="AL5" s="534"/>
      <c r="AM5" s="157" t="str">
        <f>O30</f>
        <v>4T16</v>
      </c>
      <c r="AN5" s="533"/>
      <c r="AO5" s="533"/>
      <c r="AP5" s="535" t="str">
        <f>P30</f>
        <v>1T17</v>
      </c>
      <c r="AQ5" s="533"/>
      <c r="AR5" s="534"/>
      <c r="AS5" s="536" t="str">
        <f>Q30</f>
        <v>2T17</v>
      </c>
      <c r="AT5" s="533"/>
      <c r="AU5" s="533"/>
      <c r="AV5" s="535" t="str">
        <f>R30</f>
        <v>3T17</v>
      </c>
      <c r="AW5" s="157"/>
      <c r="AX5" s="158"/>
      <c r="AY5" s="535" t="str">
        <f>S30</f>
        <v>4T17</v>
      </c>
      <c r="AZ5" s="157"/>
      <c r="BA5" s="158"/>
      <c r="BB5" s="535" t="str">
        <f>T30</f>
        <v>1T18</v>
      </c>
      <c r="BC5" s="157"/>
      <c r="BD5" s="158"/>
      <c r="BE5" s="535" t="str">
        <f>U30</f>
        <v>2T18</v>
      </c>
      <c r="BF5" s="157"/>
      <c r="BG5" s="158"/>
      <c r="BH5" s="535" t="str">
        <f>V30</f>
        <v>3T18</v>
      </c>
      <c r="BI5" s="157"/>
      <c r="BJ5" s="158"/>
      <c r="BK5" s="535" t="str">
        <f>W30</f>
        <v>4T18</v>
      </c>
      <c r="BL5" s="157"/>
      <c r="BM5" s="158"/>
      <c r="BN5" s="535" t="str">
        <f>X30</f>
        <v>1T19</v>
      </c>
      <c r="BO5" s="157"/>
      <c r="BP5" s="158"/>
      <c r="BQ5" s="535" t="str">
        <f>Y30</f>
        <v>2T19</v>
      </c>
      <c r="BR5" s="157"/>
      <c r="BS5" s="158"/>
      <c r="BT5" s="535" t="str">
        <f>Z30</f>
        <v>3T19</v>
      </c>
      <c r="BU5" s="157"/>
      <c r="BV5" s="158"/>
      <c r="BW5" s="535" t="str">
        <f>AA30</f>
        <v>4T19</v>
      </c>
      <c r="BX5" s="157"/>
      <c r="BY5" s="158"/>
      <c r="BZ5" s="535" t="str">
        <f>AB30</f>
        <v>1T20</v>
      </c>
      <c r="CA5" s="157"/>
      <c r="CB5" s="158"/>
      <c r="CC5" s="535" t="str">
        <f>AC30</f>
        <v>2T20</v>
      </c>
      <c r="CD5" s="157"/>
      <c r="CE5" s="158"/>
      <c r="CF5" s="535" t="str">
        <f>AD30</f>
        <v>3T20</v>
      </c>
      <c r="CG5" s="157"/>
      <c r="CH5" s="158"/>
      <c r="CI5" s="535" t="str">
        <f>AE30</f>
        <v>4T20</v>
      </c>
      <c r="CJ5" s="157"/>
      <c r="CK5" s="158"/>
      <c r="CL5" s="535" t="str">
        <f>AF30</f>
        <v>1T21</v>
      </c>
      <c r="CM5" s="157"/>
      <c r="CN5" s="158"/>
      <c r="CO5" s="535" t="str">
        <f>AG30</f>
        <v>2T21</v>
      </c>
      <c r="CP5" s="157"/>
      <c r="CQ5" s="158"/>
      <c r="CR5" s="535" t="s">
        <v>1024</v>
      </c>
      <c r="CS5" s="157"/>
      <c r="CT5" s="158"/>
      <c r="CU5" s="535" t="str">
        <f>AI30</f>
        <v>4T21</v>
      </c>
      <c r="CV5" s="157"/>
      <c r="CW5" s="158"/>
      <c r="CX5" s="535" t="str">
        <f>AJ30</f>
        <v>1T22</v>
      </c>
      <c r="CY5" s="157"/>
      <c r="CZ5" s="158"/>
      <c r="DA5" s="535" t="str">
        <f>AK30</f>
        <v>2T22</v>
      </c>
      <c r="DB5" s="157"/>
      <c r="DC5" s="158"/>
      <c r="DD5" s="535" t="str">
        <f>AL30</f>
        <v>3T22</v>
      </c>
      <c r="DE5" s="157"/>
      <c r="DF5" s="158"/>
      <c r="DG5" s="535" t="str">
        <f>AM30</f>
        <v>4T22</v>
      </c>
      <c r="DH5" s="157"/>
      <c r="DI5" s="158"/>
      <c r="DJ5" s="535" t="str">
        <f>AP30</f>
        <v>1T23</v>
      </c>
      <c r="DK5" s="157"/>
      <c r="DL5" s="158"/>
      <c r="DM5" s="535" t="str">
        <f>AO30</f>
        <v>2T23</v>
      </c>
      <c r="DN5" s="157"/>
      <c r="DO5" s="158"/>
      <c r="DP5" s="535" t="str">
        <f>AR30</f>
        <v>3T23</v>
      </c>
      <c r="DQ5" s="157"/>
      <c r="DR5" s="158"/>
      <c r="DS5" s="535" t="str">
        <f>AS30</f>
        <v>4T23</v>
      </c>
      <c r="DT5" s="157"/>
      <c r="DU5" s="158"/>
      <c r="DV5" s="535" t="str">
        <f>AV30</f>
        <v>1T24</v>
      </c>
      <c r="DW5" s="157"/>
      <c r="DX5" s="158"/>
      <c r="DY5" s="535" t="str">
        <f>AY30</f>
        <v>2T24</v>
      </c>
      <c r="DZ5" s="536"/>
      <c r="EA5" s="536"/>
      <c r="EB5" s="535" t="str">
        <f>AZ30</f>
        <v>3T24</v>
      </c>
      <c r="EC5" s="536"/>
      <c r="ED5" s="536"/>
      <c r="EE5" s="535" t="str">
        <f>BA30</f>
        <v>4T24</v>
      </c>
      <c r="EF5" s="157"/>
      <c r="EG5" s="158"/>
      <c r="EH5" s="535" t="str">
        <f>BB30</f>
        <v>1T25</v>
      </c>
      <c r="EI5" s="157"/>
      <c r="EJ5" s="158"/>
      <c r="EK5" s="535" t="str">
        <f>BC30</f>
        <v>2T25</v>
      </c>
      <c r="EL5" s="157"/>
      <c r="EM5" s="158"/>
      <c r="EN5" s="535" t="str">
        <f>BF30</f>
        <v>3T25</v>
      </c>
      <c r="EO5" s="157"/>
      <c r="EP5" s="158"/>
      <c r="EQ5" s="1251" t="str">
        <f>BG30</f>
        <v>4T25</v>
      </c>
      <c r="ER5" s="1252"/>
      <c r="ES5" s="1253"/>
      <c r="ET5" s="1254" t="s">
        <v>1344</v>
      </c>
      <c r="EU5" s="1255"/>
      <c r="EV5" s="1256"/>
    </row>
    <row r="6" spans="2:152" ht="15" customHeight="1" x14ac:dyDescent="0.2">
      <c r="B6" s="145" t="s">
        <v>97</v>
      </c>
      <c r="C6" s="537" t="s">
        <v>1107</v>
      </c>
      <c r="D6" s="538" t="s">
        <v>1108</v>
      </c>
      <c r="E6" s="159" t="s">
        <v>112</v>
      </c>
      <c r="F6" s="537" t="str">
        <f>C6</f>
        <v>Investimento</v>
      </c>
      <c r="G6" s="538" t="str">
        <f>D6</f>
        <v>Ágio líquido</v>
      </c>
      <c r="H6" s="159" t="s">
        <v>112</v>
      </c>
      <c r="I6" s="537" t="str">
        <f>C6</f>
        <v>Investimento</v>
      </c>
      <c r="J6" s="538" t="str">
        <f>D6</f>
        <v>Ágio líquido</v>
      </c>
      <c r="K6" s="159" t="s">
        <v>112</v>
      </c>
      <c r="L6" s="537" t="str">
        <f>F6</f>
        <v>Investimento</v>
      </c>
      <c r="M6" s="538" t="str">
        <f>G6</f>
        <v>Ágio líquido</v>
      </c>
      <c r="N6" s="159" t="s">
        <v>112</v>
      </c>
      <c r="O6" s="537" t="str">
        <f>I6</f>
        <v>Investimento</v>
      </c>
      <c r="P6" s="538" t="str">
        <f>J6</f>
        <v>Ágio líquido</v>
      </c>
      <c r="Q6" s="159" t="s">
        <v>112</v>
      </c>
      <c r="R6" s="537" t="str">
        <f>L6</f>
        <v>Investimento</v>
      </c>
      <c r="S6" s="538" t="str">
        <f>M6</f>
        <v>Ágio líquido</v>
      </c>
      <c r="T6" s="159" t="s">
        <v>112</v>
      </c>
      <c r="U6" s="537" t="str">
        <f>O6</f>
        <v>Investimento</v>
      </c>
      <c r="V6" s="538" t="str">
        <f>P6</f>
        <v>Ágio líquido</v>
      </c>
      <c r="W6" s="159" t="s">
        <v>112</v>
      </c>
      <c r="X6" s="537" t="str">
        <f>R6</f>
        <v>Investimento</v>
      </c>
      <c r="Y6" s="538" t="str">
        <f>S6</f>
        <v>Ágio líquido</v>
      </c>
      <c r="Z6" s="159" t="s">
        <v>112</v>
      </c>
      <c r="AA6" s="537" t="str">
        <f>U6</f>
        <v>Investimento</v>
      </c>
      <c r="AB6" s="538" t="str">
        <f>V6</f>
        <v>Ágio líquido</v>
      </c>
      <c r="AC6" s="159" t="s">
        <v>112</v>
      </c>
      <c r="AD6" s="537" t="str">
        <f>X6</f>
        <v>Investimento</v>
      </c>
      <c r="AE6" s="538" t="str">
        <f>Y6</f>
        <v>Ágio líquido</v>
      </c>
      <c r="AF6" s="159" t="s">
        <v>112</v>
      </c>
      <c r="AG6" s="537" t="str">
        <f>AA6</f>
        <v>Investimento</v>
      </c>
      <c r="AH6" s="538" t="str">
        <f>AB6</f>
        <v>Ágio líquido</v>
      </c>
      <c r="AI6" s="159" t="s">
        <v>112</v>
      </c>
      <c r="AJ6" s="537" t="str">
        <f>AD6</f>
        <v>Investimento</v>
      </c>
      <c r="AK6" s="538" t="str">
        <f>AE6</f>
        <v>Ágio líquido</v>
      </c>
      <c r="AL6" s="159" t="s">
        <v>112</v>
      </c>
      <c r="AM6" s="537" t="str">
        <f>AG6</f>
        <v>Investimento</v>
      </c>
      <c r="AN6" s="538" t="str">
        <f>AH6</f>
        <v>Ágio líquido</v>
      </c>
      <c r="AO6" s="146" t="s">
        <v>112</v>
      </c>
      <c r="AP6" s="537" t="str">
        <f>AJ6</f>
        <v>Investimento</v>
      </c>
      <c r="AQ6" s="538" t="str">
        <f>AK6</f>
        <v>Ágio líquido</v>
      </c>
      <c r="AR6" s="159" t="s">
        <v>112</v>
      </c>
      <c r="AS6" s="537" t="str">
        <f>AM6</f>
        <v>Investimento</v>
      </c>
      <c r="AT6" s="538" t="str">
        <f>AN6</f>
        <v>Ágio líquido</v>
      </c>
      <c r="AU6" s="146" t="s">
        <v>112</v>
      </c>
      <c r="AV6" s="537" t="str">
        <f>AM6</f>
        <v>Investimento</v>
      </c>
      <c r="AW6" s="538" t="str">
        <f>AN6</f>
        <v>Ágio líquido</v>
      </c>
      <c r="AX6" s="159" t="s">
        <v>112</v>
      </c>
      <c r="AY6" s="537" t="str">
        <f>AP6</f>
        <v>Investimento</v>
      </c>
      <c r="AZ6" s="538" t="str">
        <f>AQ6</f>
        <v>Ágio líquido</v>
      </c>
      <c r="BA6" s="159" t="s">
        <v>112</v>
      </c>
      <c r="BB6" s="537" t="str">
        <f>AS6</f>
        <v>Investimento</v>
      </c>
      <c r="BC6" s="538" t="str">
        <f>AT6</f>
        <v>Ágio líquido</v>
      </c>
      <c r="BD6" s="159" t="s">
        <v>112</v>
      </c>
      <c r="BE6" s="537" t="str">
        <f>AV6</f>
        <v>Investimento</v>
      </c>
      <c r="BF6" s="538" t="str">
        <f>AW6</f>
        <v>Ágio líquido</v>
      </c>
      <c r="BG6" s="159" t="s">
        <v>112</v>
      </c>
      <c r="BH6" s="537" t="str">
        <f>AV6</f>
        <v>Investimento</v>
      </c>
      <c r="BI6" s="538" t="str">
        <f>AW6</f>
        <v>Ágio líquido</v>
      </c>
      <c r="BJ6" s="159" t="s">
        <v>112</v>
      </c>
      <c r="BK6" s="537" t="str">
        <f>AY6</f>
        <v>Investimento</v>
      </c>
      <c r="BL6" s="538" t="str">
        <f>AZ6</f>
        <v>Ágio líquido</v>
      </c>
      <c r="BM6" s="159" t="s">
        <v>112</v>
      </c>
      <c r="BN6" s="537" t="str">
        <f>AY6</f>
        <v>Investimento</v>
      </c>
      <c r="BO6" s="538" t="str">
        <f>AZ6</f>
        <v>Ágio líquido</v>
      </c>
      <c r="BP6" s="159" t="s">
        <v>112</v>
      </c>
      <c r="BQ6" s="537" t="str">
        <f>BB6</f>
        <v>Investimento</v>
      </c>
      <c r="BR6" s="538" t="str">
        <f>BC6</f>
        <v>Ágio líquido</v>
      </c>
      <c r="BS6" s="159" t="s">
        <v>112</v>
      </c>
      <c r="BT6" s="537" t="str">
        <f>BE6</f>
        <v>Investimento</v>
      </c>
      <c r="BU6" s="538" t="str">
        <f>BF6</f>
        <v>Ágio líquido</v>
      </c>
      <c r="BV6" s="159" t="s">
        <v>112</v>
      </c>
      <c r="BW6" s="537" t="str">
        <f>BH6</f>
        <v>Investimento</v>
      </c>
      <c r="BX6" s="538" t="str">
        <f>BI6</f>
        <v>Ágio líquido</v>
      </c>
      <c r="BY6" s="159" t="s">
        <v>112</v>
      </c>
      <c r="BZ6" s="537" t="str">
        <f>BK6</f>
        <v>Investimento</v>
      </c>
      <c r="CA6" s="538" t="str">
        <f>BL6</f>
        <v>Ágio líquido</v>
      </c>
      <c r="CB6" s="159" t="s">
        <v>112</v>
      </c>
      <c r="CC6" s="537" t="str">
        <f>BN6</f>
        <v>Investimento</v>
      </c>
      <c r="CD6" s="538" t="str">
        <f>BO6</f>
        <v>Ágio líquido</v>
      </c>
      <c r="CE6" s="159" t="s">
        <v>112</v>
      </c>
      <c r="CF6" s="537" t="str">
        <f>BQ6</f>
        <v>Investimento</v>
      </c>
      <c r="CG6" s="538" t="str">
        <f>BR6</f>
        <v>Ágio líquido</v>
      </c>
      <c r="CH6" s="159" t="s">
        <v>112</v>
      </c>
      <c r="CI6" s="537" t="str">
        <f>BT6</f>
        <v>Investimento</v>
      </c>
      <c r="CJ6" s="538" t="str">
        <f>BU6</f>
        <v>Ágio líquido</v>
      </c>
      <c r="CK6" s="159" t="s">
        <v>112</v>
      </c>
      <c r="CL6" s="537" t="str">
        <f>BT6</f>
        <v>Investimento</v>
      </c>
      <c r="CM6" s="538" t="str">
        <f>BU6</f>
        <v>Ágio líquido</v>
      </c>
      <c r="CN6" s="159" t="s">
        <v>112</v>
      </c>
      <c r="CO6" s="537" t="str">
        <f>BW6</f>
        <v>Investimento</v>
      </c>
      <c r="CP6" s="538" t="str">
        <f>BX6</f>
        <v>Ágio líquido</v>
      </c>
      <c r="CQ6" s="159" t="s">
        <v>112</v>
      </c>
      <c r="CR6" s="537" t="s">
        <v>1107</v>
      </c>
      <c r="CS6" s="538" t="s">
        <v>1108</v>
      </c>
      <c r="CT6" s="159" t="s">
        <v>112</v>
      </c>
      <c r="CU6" s="537" t="str">
        <f>CC6</f>
        <v>Investimento</v>
      </c>
      <c r="CV6" s="538" t="str">
        <f>CD6</f>
        <v>Ágio líquido</v>
      </c>
      <c r="CW6" s="159" t="s">
        <v>112</v>
      </c>
      <c r="CX6" s="537" t="str">
        <f>CC6</f>
        <v>Investimento</v>
      </c>
      <c r="CY6" s="538" t="str">
        <f>CD6</f>
        <v>Ágio líquido</v>
      </c>
      <c r="CZ6" s="159" t="s">
        <v>112</v>
      </c>
      <c r="DA6" s="537" t="str">
        <f>CF6</f>
        <v>Investimento</v>
      </c>
      <c r="DB6" s="538" t="str">
        <f>CG6</f>
        <v>Ágio líquido</v>
      </c>
      <c r="DC6" s="159" t="s">
        <v>112</v>
      </c>
      <c r="DD6" s="537" t="str">
        <f>CI6</f>
        <v>Investimento</v>
      </c>
      <c r="DE6" s="538" t="str">
        <f>CJ6</f>
        <v>Ágio líquido</v>
      </c>
      <c r="DF6" s="159" t="s">
        <v>112</v>
      </c>
      <c r="DG6" s="537" t="str">
        <f>CL6</f>
        <v>Investimento</v>
      </c>
      <c r="DH6" s="538" t="str">
        <f>CM6</f>
        <v>Ágio líquido</v>
      </c>
      <c r="DI6" s="159" t="s">
        <v>112</v>
      </c>
      <c r="DJ6" s="537" t="str">
        <f>CO6</f>
        <v>Investimento</v>
      </c>
      <c r="DK6" s="538" t="str">
        <f>CP6</f>
        <v>Ágio líquido</v>
      </c>
      <c r="DL6" s="159" t="s">
        <v>112</v>
      </c>
      <c r="DM6" s="537" t="str">
        <f>CR6</f>
        <v>Investimento</v>
      </c>
      <c r="DN6" s="538" t="str">
        <f>CS6</f>
        <v>Ágio líquido</v>
      </c>
      <c r="DO6" s="159" t="s">
        <v>112</v>
      </c>
      <c r="DP6" s="537" t="str">
        <f>CU6</f>
        <v>Investimento</v>
      </c>
      <c r="DQ6" s="538" t="str">
        <f>CV6</f>
        <v>Ágio líquido</v>
      </c>
      <c r="DR6" s="159" t="s">
        <v>112</v>
      </c>
      <c r="DS6" s="537" t="str">
        <f>CX6</f>
        <v>Investimento</v>
      </c>
      <c r="DT6" s="538" t="str">
        <f>CY6</f>
        <v>Ágio líquido</v>
      </c>
      <c r="DU6" s="159" t="s">
        <v>112</v>
      </c>
      <c r="DV6" s="537" t="str">
        <f>DA6</f>
        <v>Investimento</v>
      </c>
      <c r="DW6" s="538" t="str">
        <f>DB6</f>
        <v>Ágio líquido</v>
      </c>
      <c r="DX6" s="159" t="s">
        <v>112</v>
      </c>
      <c r="DY6" s="537" t="str">
        <f>DD6</f>
        <v>Investimento</v>
      </c>
      <c r="DZ6" s="538" t="str">
        <f>DE6</f>
        <v>Ágio líquido</v>
      </c>
      <c r="EA6" s="159" t="s">
        <v>112</v>
      </c>
      <c r="EB6" s="537" t="str">
        <f>DG6</f>
        <v>Investimento</v>
      </c>
      <c r="EC6" s="538" t="str">
        <f>DH6</f>
        <v>Ágio líquido</v>
      </c>
      <c r="ED6" s="159" t="s">
        <v>112</v>
      </c>
      <c r="EE6" s="537" t="str">
        <f>DA6</f>
        <v>Investimento</v>
      </c>
      <c r="EF6" s="538" t="str">
        <f>DB6</f>
        <v>Ágio líquido</v>
      </c>
      <c r="EG6" s="159" t="s">
        <v>112</v>
      </c>
      <c r="EH6" s="537" t="str">
        <f>DA6</f>
        <v>Investimento</v>
      </c>
      <c r="EI6" s="538" t="str">
        <f>DB6</f>
        <v>Ágio líquido</v>
      </c>
      <c r="EJ6" s="159" t="s">
        <v>112</v>
      </c>
      <c r="EK6" s="537" t="str">
        <f>DD6</f>
        <v>Investimento</v>
      </c>
      <c r="EL6" s="538" t="str">
        <f>DE6</f>
        <v>Ágio líquido</v>
      </c>
      <c r="EM6" s="159" t="s">
        <v>112</v>
      </c>
      <c r="EN6" s="537" t="str">
        <f>DG6</f>
        <v>Investimento</v>
      </c>
      <c r="EO6" s="538" t="str">
        <f>DH6</f>
        <v>Ágio líquido</v>
      </c>
      <c r="EP6" s="159" t="s">
        <v>112</v>
      </c>
      <c r="EQ6" s="537" t="str">
        <f>DJ6</f>
        <v>Investimento</v>
      </c>
      <c r="ER6" s="538" t="str">
        <f>DK6</f>
        <v>Ágio líquido</v>
      </c>
      <c r="ES6" s="159" t="s">
        <v>112</v>
      </c>
      <c r="ET6" s="537" t="str">
        <f>DM6</f>
        <v>Investimento</v>
      </c>
      <c r="EU6" s="538" t="str">
        <f>DN6</f>
        <v>Ágio líquido</v>
      </c>
      <c r="EV6" s="159" t="s">
        <v>112</v>
      </c>
    </row>
    <row r="7" spans="2:152" ht="15" customHeight="1" x14ac:dyDescent="0.2">
      <c r="B7" s="129" t="s">
        <v>204</v>
      </c>
      <c r="C7" s="160">
        <v>29478</v>
      </c>
      <c r="D7" s="118">
        <v>6364</v>
      </c>
      <c r="E7" s="161">
        <f>SUM(C7:D7)</f>
        <v>35842</v>
      </c>
      <c r="F7" s="160">
        <v>33338</v>
      </c>
      <c r="G7" s="118">
        <v>6364</v>
      </c>
      <c r="H7" s="161">
        <f>SUM(F7:G7)</f>
        <v>39702</v>
      </c>
      <c r="I7" s="160">
        <v>48311</v>
      </c>
      <c r="J7" s="118">
        <v>6364</v>
      </c>
      <c r="K7" s="161">
        <f>SUM(I7:J7)</f>
        <v>54675</v>
      </c>
      <c r="L7" s="160">
        <v>48738</v>
      </c>
      <c r="M7" s="118">
        <v>6364</v>
      </c>
      <c r="N7" s="161">
        <f>SUM(L7:M7)</f>
        <v>55102</v>
      </c>
      <c r="O7" s="160">
        <v>81809</v>
      </c>
      <c r="P7" s="118">
        <v>6364</v>
      </c>
      <c r="Q7" s="161">
        <f>SUM(O7:P7)</f>
        <v>88173</v>
      </c>
      <c r="R7" s="160">
        <v>83580</v>
      </c>
      <c r="S7" s="118">
        <v>6364</v>
      </c>
      <c r="T7" s="161">
        <f>SUM(R7:S7)</f>
        <v>89944</v>
      </c>
      <c r="U7" s="160">
        <v>83859</v>
      </c>
      <c r="V7" s="118">
        <v>6364</v>
      </c>
      <c r="W7" s="161">
        <f>SUM(U7:V7)</f>
        <v>90223</v>
      </c>
      <c r="X7" s="160">
        <v>83402</v>
      </c>
      <c r="Y7" s="118">
        <v>6364</v>
      </c>
      <c r="Z7" s="161">
        <v>89766</v>
      </c>
      <c r="AA7" s="160">
        <v>83456</v>
      </c>
      <c r="AB7" s="118">
        <v>6364</v>
      </c>
      <c r="AC7" s="161">
        <f>SUM(AA7:AB7)</f>
        <v>89820</v>
      </c>
      <c r="AD7" s="160">
        <v>86724</v>
      </c>
      <c r="AE7" s="118">
        <v>6364</v>
      </c>
      <c r="AF7" s="161">
        <f>SUM(AD7:AE7)</f>
        <v>93088</v>
      </c>
      <c r="AG7" s="160">
        <v>88966</v>
      </c>
      <c r="AH7" s="118">
        <v>6364</v>
      </c>
      <c r="AI7" s="161">
        <f>SUM(AG7:AH7)</f>
        <v>95330</v>
      </c>
      <c r="AJ7" s="160">
        <v>90775</v>
      </c>
      <c r="AK7" s="118">
        <v>6364</v>
      </c>
      <c r="AL7" s="161">
        <v>97139</v>
      </c>
      <c r="AM7" s="118">
        <v>93364</v>
      </c>
      <c r="AN7" s="118">
        <v>6364</v>
      </c>
      <c r="AO7" s="118">
        <v>99728</v>
      </c>
      <c r="AP7" s="160">
        <v>96868</v>
      </c>
      <c r="AQ7" s="118">
        <v>6364</v>
      </c>
      <c r="AR7" s="161">
        <v>103232</v>
      </c>
      <c r="AS7" s="118">
        <v>97463</v>
      </c>
      <c r="AT7" s="118">
        <v>6364</v>
      </c>
      <c r="AU7" s="118">
        <v>103827</v>
      </c>
      <c r="AV7" s="160">
        <v>97271</v>
      </c>
      <c r="AW7" s="118">
        <v>6364</v>
      </c>
      <c r="AX7" s="161">
        <v>103635</v>
      </c>
      <c r="AY7" s="160">
        <v>108886</v>
      </c>
      <c r="AZ7" s="118">
        <v>6364</v>
      </c>
      <c r="BA7" s="161">
        <v>115250</v>
      </c>
      <c r="BB7" s="160">
        <v>47278</v>
      </c>
      <c r="BC7" s="118">
        <v>6364</v>
      </c>
      <c r="BD7" s="161">
        <f>SUM(BB7:BC7)</f>
        <v>53642</v>
      </c>
      <c r="BE7" s="160">
        <v>49584</v>
      </c>
      <c r="BF7" s="118">
        <v>6364</v>
      </c>
      <c r="BG7" s="161">
        <f>SUM(BE7:BF7)</f>
        <v>55948</v>
      </c>
      <c r="BH7" s="160">
        <v>31289</v>
      </c>
      <c r="BI7" s="118">
        <v>6364</v>
      </c>
      <c r="BJ7" s="161">
        <f>SUM(BH7:BI7)</f>
        <v>37653</v>
      </c>
      <c r="BK7" s="160">
        <v>33533</v>
      </c>
      <c r="BL7" s="118">
        <v>6364</v>
      </c>
      <c r="BM7" s="161">
        <f>SUM(BK7:BL7)</f>
        <v>39897</v>
      </c>
      <c r="BN7" s="160">
        <v>36365</v>
      </c>
      <c r="BO7" s="118">
        <v>6364</v>
      </c>
      <c r="BP7" s="161">
        <f>SUM(BN7:BO7)</f>
        <v>42729</v>
      </c>
      <c r="BQ7" s="160">
        <v>38779</v>
      </c>
      <c r="BR7" s="118">
        <v>6364</v>
      </c>
      <c r="BS7" s="161">
        <f t="shared" ref="BS7:BS12" si="0">SUM(BQ7:BR7)</f>
        <v>45143</v>
      </c>
      <c r="BT7" s="160">
        <v>43275</v>
      </c>
      <c r="BU7" s="118">
        <v>6364</v>
      </c>
      <c r="BV7" s="161">
        <v>49639</v>
      </c>
      <c r="BW7" s="160">
        <v>53257</v>
      </c>
      <c r="BX7" s="118">
        <v>6364</v>
      </c>
      <c r="BY7" s="161">
        <v>59621</v>
      </c>
      <c r="BZ7" s="160">
        <v>65416</v>
      </c>
      <c r="CA7" s="118">
        <v>6364</v>
      </c>
      <c r="CB7" s="161">
        <v>71780</v>
      </c>
      <c r="CC7" s="160">
        <v>48803</v>
      </c>
      <c r="CD7" s="118">
        <v>6364</v>
      </c>
      <c r="CE7" s="161">
        <v>55167</v>
      </c>
      <c r="CF7" s="160">
        <v>53246</v>
      </c>
      <c r="CG7" s="118">
        <v>6364</v>
      </c>
      <c r="CH7" s="161">
        <f>SUM(CF7:CG7)</f>
        <v>59610</v>
      </c>
      <c r="CI7" s="160">
        <v>57630</v>
      </c>
      <c r="CJ7" s="118">
        <v>6364</v>
      </c>
      <c r="CK7" s="161">
        <v>63994</v>
      </c>
      <c r="CL7" s="160">
        <v>59815</v>
      </c>
      <c r="CM7" s="118">
        <v>6364</v>
      </c>
      <c r="CN7" s="161">
        <f>SUM(CL7:CM7)</f>
        <v>66179</v>
      </c>
      <c r="CO7" s="160">
        <v>58981</v>
      </c>
      <c r="CP7" s="118">
        <v>6364</v>
      </c>
      <c r="CQ7" s="161">
        <f t="shared" ref="CQ7:CQ12" si="1">SUM(CO7:CP7)</f>
        <v>65345</v>
      </c>
      <c r="CR7" s="160">
        <v>63479</v>
      </c>
      <c r="CS7" s="118">
        <v>6364</v>
      </c>
      <c r="CT7" s="161">
        <v>69843</v>
      </c>
      <c r="CU7" s="160">
        <v>66212</v>
      </c>
      <c r="CV7" s="118">
        <v>6364</v>
      </c>
      <c r="CW7" s="161">
        <f>SUM(CU7:CV7)</f>
        <v>72576</v>
      </c>
      <c r="CX7" s="160">
        <v>71836</v>
      </c>
      <c r="CY7" s="118">
        <v>6364</v>
      </c>
      <c r="CZ7" s="161">
        <f t="shared" ref="CZ7:CZ12" si="2">SUM(CX7:CY7)</f>
        <v>78200</v>
      </c>
      <c r="DA7" s="160">
        <v>65609</v>
      </c>
      <c r="DB7" s="118">
        <v>6363</v>
      </c>
      <c r="DC7" s="161">
        <v>71972</v>
      </c>
      <c r="DD7" s="160">
        <v>59842</v>
      </c>
      <c r="DE7" s="118">
        <v>6363</v>
      </c>
      <c r="DF7" s="161">
        <f t="shared" ref="DF7:DF12" si="3">SUM(DD7:DE7)</f>
        <v>66205</v>
      </c>
      <c r="DG7" s="160">
        <v>62977</v>
      </c>
      <c r="DH7" s="118">
        <v>6363</v>
      </c>
      <c r="DI7" s="161">
        <v>69340</v>
      </c>
      <c r="DJ7" s="160">
        <v>66029</v>
      </c>
      <c r="DK7" s="118">
        <v>6363</v>
      </c>
      <c r="DL7" s="161">
        <f>SUM(DJ7:DK7)</f>
        <v>72392</v>
      </c>
      <c r="DM7" s="160">
        <v>69197</v>
      </c>
      <c r="DN7" s="118">
        <v>6363</v>
      </c>
      <c r="DO7" s="161">
        <v>75560</v>
      </c>
      <c r="DP7" s="160">
        <v>72735</v>
      </c>
      <c r="DQ7" s="118">
        <v>6363</v>
      </c>
      <c r="DR7" s="161">
        <v>79098</v>
      </c>
      <c r="DS7" s="160">
        <v>75399</v>
      </c>
      <c r="DT7" s="118">
        <v>6363</v>
      </c>
      <c r="DU7" s="161">
        <v>81762</v>
      </c>
      <c r="DV7" s="160">
        <v>76976</v>
      </c>
      <c r="DW7" s="118">
        <v>6363</v>
      </c>
      <c r="DX7" s="161">
        <f>SUM(DV7:DW7)</f>
        <v>83339</v>
      </c>
      <c r="DY7" s="160">
        <v>70160</v>
      </c>
      <c r="DZ7" s="118">
        <v>6363</v>
      </c>
      <c r="EA7" s="161">
        <f>SUM(DY7:DZ7)</f>
        <v>76523</v>
      </c>
      <c r="EB7" s="160">
        <v>71773</v>
      </c>
      <c r="EC7" s="118">
        <v>6363</v>
      </c>
      <c r="ED7" s="161">
        <f>SUM(EB7:EC7)</f>
        <v>78136</v>
      </c>
      <c r="EE7" s="118">
        <v>72786</v>
      </c>
      <c r="EF7" s="118">
        <v>6363</v>
      </c>
      <c r="EG7" s="118">
        <v>79149</v>
      </c>
      <c r="EH7" s="160">
        <v>74864</v>
      </c>
      <c r="EI7" s="118">
        <v>6363</v>
      </c>
      <c r="EJ7" s="161">
        <v>81227</v>
      </c>
      <c r="EK7" s="160">
        <v>55581</v>
      </c>
      <c r="EL7" s="118">
        <v>6363</v>
      </c>
      <c r="EM7" s="161">
        <v>61944</v>
      </c>
      <c r="EN7" s="160">
        <v>54787</v>
      </c>
      <c r="EO7" s="118">
        <v>6363</v>
      </c>
      <c r="EP7" s="161">
        <v>61150</v>
      </c>
      <c r="EQ7" s="160">
        <v>52780</v>
      </c>
      <c r="ER7" s="118">
        <v>6363</v>
      </c>
      <c r="ES7" s="161">
        <v>59143</v>
      </c>
      <c r="ET7" s="160">
        <v>54086</v>
      </c>
      <c r="EU7" s="118">
        <v>6363</v>
      </c>
      <c r="EV7" s="161">
        <f>SUM(ET7:EU7)</f>
        <v>60449</v>
      </c>
    </row>
    <row r="8" spans="2:152" ht="15" customHeight="1" x14ac:dyDescent="0.2">
      <c r="B8" s="129" t="s">
        <v>679</v>
      </c>
      <c r="C8" s="160" t="s">
        <v>160</v>
      </c>
      <c r="D8" s="118" t="s">
        <v>160</v>
      </c>
      <c r="E8" s="161" t="s">
        <v>160</v>
      </c>
      <c r="F8" s="160" t="s">
        <v>160</v>
      </c>
      <c r="G8" s="118" t="s">
        <v>160</v>
      </c>
      <c r="H8" s="161" t="s">
        <v>160</v>
      </c>
      <c r="I8" s="160" t="s">
        <v>160</v>
      </c>
      <c r="J8" s="118" t="s">
        <v>160</v>
      </c>
      <c r="K8" s="161" t="s">
        <v>160</v>
      </c>
      <c r="L8" s="160" t="s">
        <v>160</v>
      </c>
      <c r="M8" s="118" t="s">
        <v>160</v>
      </c>
      <c r="N8" s="161" t="s">
        <v>160</v>
      </c>
      <c r="O8" s="160" t="s">
        <v>160</v>
      </c>
      <c r="P8" s="118" t="s">
        <v>160</v>
      </c>
      <c r="Q8" s="161" t="s">
        <v>160</v>
      </c>
      <c r="R8" s="160" t="s">
        <v>160</v>
      </c>
      <c r="S8" s="118" t="s">
        <v>160</v>
      </c>
      <c r="T8" s="161" t="s">
        <v>160</v>
      </c>
      <c r="U8" s="160" t="s">
        <v>160</v>
      </c>
      <c r="V8" s="118" t="s">
        <v>160</v>
      </c>
      <c r="W8" s="161" t="s">
        <v>160</v>
      </c>
      <c r="X8" s="160" t="s">
        <v>160</v>
      </c>
      <c r="Y8" s="118" t="s">
        <v>160</v>
      </c>
      <c r="Z8" s="161" t="s">
        <v>160</v>
      </c>
      <c r="AA8" s="160" t="s">
        <v>160</v>
      </c>
      <c r="AB8" s="118" t="s">
        <v>160</v>
      </c>
      <c r="AC8" s="161" t="s">
        <v>160</v>
      </c>
      <c r="AD8" s="160" t="s">
        <v>160</v>
      </c>
      <c r="AE8" s="118" t="s">
        <v>160</v>
      </c>
      <c r="AF8" s="161" t="s">
        <v>160</v>
      </c>
      <c r="AG8" s="160" t="s">
        <v>160</v>
      </c>
      <c r="AH8" s="118" t="s">
        <v>160</v>
      </c>
      <c r="AI8" s="161" t="s">
        <v>160</v>
      </c>
      <c r="AJ8" s="160" t="s">
        <v>160</v>
      </c>
      <c r="AK8" s="118" t="s">
        <v>160</v>
      </c>
      <c r="AL8" s="161" t="s">
        <v>160</v>
      </c>
      <c r="AM8" s="118" t="s">
        <v>160</v>
      </c>
      <c r="AN8" s="118" t="s">
        <v>160</v>
      </c>
      <c r="AO8" s="118" t="s">
        <v>160</v>
      </c>
      <c r="AP8" s="160" t="s">
        <v>160</v>
      </c>
      <c r="AQ8" s="118" t="s">
        <v>160</v>
      </c>
      <c r="AR8" s="161" t="s">
        <v>160</v>
      </c>
      <c r="AS8" s="118" t="s">
        <v>160</v>
      </c>
      <c r="AT8" s="118" t="s">
        <v>160</v>
      </c>
      <c r="AU8" s="118" t="s">
        <v>160</v>
      </c>
      <c r="AV8" s="160" t="s">
        <v>160</v>
      </c>
      <c r="AW8" s="118" t="s">
        <v>160</v>
      </c>
      <c r="AX8" s="161" t="s">
        <v>160</v>
      </c>
      <c r="AY8" s="160">
        <v>22236</v>
      </c>
      <c r="AZ8" s="118">
        <v>0</v>
      </c>
      <c r="BA8" s="161">
        <v>22236</v>
      </c>
      <c r="BB8" s="160">
        <v>0</v>
      </c>
      <c r="BC8" s="118">
        <v>0</v>
      </c>
      <c r="BD8" s="161">
        <f>SUM(BB8:BC8)</f>
        <v>0</v>
      </c>
      <c r="BE8" s="160">
        <v>0</v>
      </c>
      <c r="BF8" s="118">
        <v>0</v>
      </c>
      <c r="BG8" s="161">
        <f>SUM(BE8:BF8)</f>
        <v>0</v>
      </c>
      <c r="BH8" s="160">
        <v>27398</v>
      </c>
      <c r="BI8" s="118">
        <v>0</v>
      </c>
      <c r="BJ8" s="161">
        <f>SUM(BH8:BI8)</f>
        <v>27398</v>
      </c>
      <c r="BK8" s="160">
        <v>26099</v>
      </c>
      <c r="BL8" s="118">
        <v>0</v>
      </c>
      <c r="BM8" s="161">
        <f>SUM(BK8:BL8)</f>
        <v>26099</v>
      </c>
      <c r="BN8" s="160">
        <v>25530</v>
      </c>
      <c r="BO8" s="118">
        <v>0</v>
      </c>
      <c r="BP8" s="161">
        <f>SUM(BN8:BO8)</f>
        <v>25530</v>
      </c>
      <c r="BQ8" s="160">
        <v>24857</v>
      </c>
      <c r="BR8" s="118">
        <v>0</v>
      </c>
      <c r="BS8" s="161">
        <f t="shared" si="0"/>
        <v>24857</v>
      </c>
      <c r="BT8" s="160">
        <v>24526</v>
      </c>
      <c r="BU8" s="118">
        <v>0</v>
      </c>
      <c r="BV8" s="161">
        <v>24526</v>
      </c>
      <c r="BW8" s="160">
        <v>23423</v>
      </c>
      <c r="BX8" s="118">
        <v>0</v>
      </c>
      <c r="BY8" s="161">
        <v>23423</v>
      </c>
      <c r="BZ8" s="160">
        <v>17781</v>
      </c>
      <c r="CA8" s="118">
        <v>0</v>
      </c>
      <c r="CB8" s="161">
        <v>17781</v>
      </c>
      <c r="CC8" s="160">
        <v>19149</v>
      </c>
      <c r="CD8" s="118">
        <v>0</v>
      </c>
      <c r="CE8" s="161">
        <v>19149</v>
      </c>
      <c r="CF8" s="160">
        <v>19628</v>
      </c>
      <c r="CG8" s="118">
        <v>0</v>
      </c>
      <c r="CH8" s="161">
        <f>SUM(CF8:CG8)</f>
        <v>19628</v>
      </c>
      <c r="CI8" s="160">
        <v>15975</v>
      </c>
      <c r="CJ8" s="118">
        <v>0</v>
      </c>
      <c r="CK8" s="161">
        <v>15975</v>
      </c>
      <c r="CL8" s="160">
        <v>15536</v>
      </c>
      <c r="CM8" s="118">
        <v>0</v>
      </c>
      <c r="CN8" s="161">
        <f>SUM(CL8:CM8)</f>
        <v>15536</v>
      </c>
      <c r="CO8" s="160">
        <v>14656</v>
      </c>
      <c r="CP8" s="118">
        <v>0</v>
      </c>
      <c r="CQ8" s="161">
        <f t="shared" si="1"/>
        <v>14656</v>
      </c>
      <c r="CR8" s="160">
        <v>14646</v>
      </c>
      <c r="CS8" s="118">
        <v>0</v>
      </c>
      <c r="CT8" s="161">
        <v>14646</v>
      </c>
      <c r="CU8" s="160">
        <v>14650</v>
      </c>
      <c r="CV8" s="118">
        <v>0</v>
      </c>
      <c r="CW8" s="161">
        <f>SUM(CU8:CV8)</f>
        <v>14650</v>
      </c>
      <c r="CX8" s="160">
        <v>14879</v>
      </c>
      <c r="CY8" s="118">
        <v>0</v>
      </c>
      <c r="CZ8" s="161">
        <f t="shared" si="2"/>
        <v>14879</v>
      </c>
      <c r="DA8" s="160">
        <v>15241</v>
      </c>
      <c r="DB8" s="118">
        <v>0</v>
      </c>
      <c r="DC8" s="161">
        <v>15241</v>
      </c>
      <c r="DD8" s="160">
        <v>15626</v>
      </c>
      <c r="DE8" s="118">
        <v>0</v>
      </c>
      <c r="DF8" s="161">
        <f t="shared" si="3"/>
        <v>15626</v>
      </c>
      <c r="DG8" s="160">
        <v>15708</v>
      </c>
      <c r="DH8" s="118">
        <v>0</v>
      </c>
      <c r="DI8" s="161">
        <v>15708</v>
      </c>
      <c r="DJ8" s="160">
        <v>17206</v>
      </c>
      <c r="DK8" s="118">
        <v>0</v>
      </c>
      <c r="DL8" s="161">
        <f>SUM(DJ8:DK8)</f>
        <v>17206</v>
      </c>
      <c r="DM8" s="160">
        <v>19483</v>
      </c>
      <c r="DN8" s="118">
        <v>0</v>
      </c>
      <c r="DO8" s="161">
        <v>19483</v>
      </c>
      <c r="DP8" s="160">
        <v>20924</v>
      </c>
      <c r="DQ8" s="118">
        <v>0</v>
      </c>
      <c r="DR8" s="161">
        <v>20924</v>
      </c>
      <c r="DS8" s="160">
        <v>25078</v>
      </c>
      <c r="DT8" s="118">
        <v>0</v>
      </c>
      <c r="DU8" s="161">
        <v>25078</v>
      </c>
      <c r="DV8" s="160">
        <v>31971</v>
      </c>
      <c r="DW8" s="118">
        <v>0</v>
      </c>
      <c r="DX8" s="161">
        <f>SUM(DV8:DW8)</f>
        <v>31971</v>
      </c>
      <c r="DY8" s="160">
        <v>31457</v>
      </c>
      <c r="DZ8" s="118">
        <v>0</v>
      </c>
      <c r="EA8" s="161">
        <f>SUM(DY8:DZ8)</f>
        <v>31457</v>
      </c>
      <c r="EB8" s="160">
        <v>32740</v>
      </c>
      <c r="EC8" s="118">
        <v>0</v>
      </c>
      <c r="ED8" s="161">
        <f>SUM(EB8:EC8)</f>
        <v>32740</v>
      </c>
      <c r="EE8" s="118">
        <v>33799</v>
      </c>
      <c r="EF8" s="118">
        <v>0</v>
      </c>
      <c r="EG8" s="118">
        <v>33799</v>
      </c>
      <c r="EH8" s="160">
        <v>35414</v>
      </c>
      <c r="EI8" s="118">
        <v>0</v>
      </c>
      <c r="EJ8" s="161">
        <v>35414</v>
      </c>
      <c r="EK8" s="160">
        <v>35453</v>
      </c>
      <c r="EL8" s="118">
        <v>0</v>
      </c>
      <c r="EM8" s="161">
        <v>35453</v>
      </c>
      <c r="EN8" s="160">
        <v>37261</v>
      </c>
      <c r="EO8" s="118">
        <v>0</v>
      </c>
      <c r="EP8" s="161">
        <v>37261</v>
      </c>
      <c r="EQ8" s="160">
        <v>39437</v>
      </c>
      <c r="ER8" s="118">
        <v>0</v>
      </c>
      <c r="ES8" s="161">
        <v>39437</v>
      </c>
      <c r="ET8" s="160">
        <v>41707</v>
      </c>
      <c r="EU8" s="118">
        <v>0</v>
      </c>
      <c r="EV8" s="161">
        <f>SUM(ET8:EU8)</f>
        <v>41707</v>
      </c>
    </row>
    <row r="9" spans="2:152" ht="15" customHeight="1" x14ac:dyDescent="0.2">
      <c r="B9" s="129" t="s">
        <v>206</v>
      </c>
      <c r="C9" s="160">
        <v>18979</v>
      </c>
      <c r="D9" s="118">
        <v>0</v>
      </c>
      <c r="E9" s="161">
        <f>SUM(C9:D9)</f>
        <v>18979</v>
      </c>
      <c r="F9" s="160">
        <v>19969</v>
      </c>
      <c r="G9" s="118">
        <v>0</v>
      </c>
      <c r="H9" s="161">
        <f>SUM(F9:G9)</f>
        <v>19969</v>
      </c>
      <c r="I9" s="160">
        <v>20958</v>
      </c>
      <c r="J9" s="118">
        <v>0</v>
      </c>
      <c r="K9" s="161">
        <f>SUM(I9:J9)</f>
        <v>20958</v>
      </c>
      <c r="L9" s="160">
        <v>21620</v>
      </c>
      <c r="M9" s="118">
        <v>0</v>
      </c>
      <c r="N9" s="161">
        <f>SUM(L9:M9)</f>
        <v>21620</v>
      </c>
      <c r="O9" s="160">
        <v>21620</v>
      </c>
      <c r="P9" s="118">
        <v>0</v>
      </c>
      <c r="Q9" s="161">
        <f>SUM(O9:P9)</f>
        <v>21620</v>
      </c>
      <c r="R9" s="160">
        <v>21708</v>
      </c>
      <c r="S9" s="118">
        <v>0</v>
      </c>
      <c r="T9" s="161">
        <f>SUM(R9:S9)</f>
        <v>21708</v>
      </c>
      <c r="U9" s="160">
        <v>23245</v>
      </c>
      <c r="V9" s="118">
        <v>0</v>
      </c>
      <c r="W9" s="161">
        <f>SUM(U9:V9)</f>
        <v>23245</v>
      </c>
      <c r="X9" s="160">
        <v>28867</v>
      </c>
      <c r="Y9" s="118">
        <v>0</v>
      </c>
      <c r="Z9" s="161">
        <v>28867</v>
      </c>
      <c r="AA9" s="160">
        <v>33759</v>
      </c>
      <c r="AB9" s="118">
        <v>0</v>
      </c>
      <c r="AC9" s="161">
        <f>SUM(AA9:AB9)</f>
        <v>33759</v>
      </c>
      <c r="AD9" s="160">
        <v>37843</v>
      </c>
      <c r="AE9" s="118">
        <v>0</v>
      </c>
      <c r="AF9" s="161">
        <f>SUM(AD9:AE9)</f>
        <v>37843</v>
      </c>
      <c r="AG9" s="160">
        <v>56798</v>
      </c>
      <c r="AH9" s="118">
        <v>0</v>
      </c>
      <c r="AI9" s="161">
        <f>SUM(AG9:AH9)</f>
        <v>56798</v>
      </c>
      <c r="AJ9" s="160">
        <v>62969</v>
      </c>
      <c r="AK9" s="118">
        <v>0</v>
      </c>
      <c r="AL9" s="161">
        <v>62969</v>
      </c>
      <c r="AM9" s="118">
        <v>61947</v>
      </c>
      <c r="AN9" s="118">
        <v>0</v>
      </c>
      <c r="AO9" s="118">
        <v>61947</v>
      </c>
      <c r="AP9" s="160">
        <v>62592</v>
      </c>
      <c r="AQ9" s="118">
        <v>0</v>
      </c>
      <c r="AR9" s="161">
        <v>62592</v>
      </c>
      <c r="AS9" s="118">
        <v>63215</v>
      </c>
      <c r="AT9" s="118">
        <v>0</v>
      </c>
      <c r="AU9" s="118">
        <v>63215</v>
      </c>
      <c r="AV9" s="160">
        <v>63679</v>
      </c>
      <c r="AW9" s="118">
        <v>0</v>
      </c>
      <c r="AX9" s="161">
        <v>63679</v>
      </c>
      <c r="AY9" s="160">
        <v>64203</v>
      </c>
      <c r="AZ9" s="118">
        <v>0</v>
      </c>
      <c r="BA9" s="161">
        <v>64203</v>
      </c>
      <c r="BB9" s="160">
        <v>64705</v>
      </c>
      <c r="BC9" s="118">
        <v>0</v>
      </c>
      <c r="BD9" s="161">
        <f>SUM(BB9:BC9)</f>
        <v>64705</v>
      </c>
      <c r="BE9" s="160">
        <v>64110</v>
      </c>
      <c r="BF9" s="118">
        <v>0</v>
      </c>
      <c r="BG9" s="161">
        <f>SUM(BE9:BF9)</f>
        <v>64110</v>
      </c>
      <c r="BH9" s="160">
        <v>71996</v>
      </c>
      <c r="BI9" s="118">
        <v>0</v>
      </c>
      <c r="BJ9" s="161">
        <f>SUM(BH9:BI9)</f>
        <v>71996</v>
      </c>
      <c r="BK9" s="160">
        <v>76452</v>
      </c>
      <c r="BL9" s="118">
        <v>0</v>
      </c>
      <c r="BM9" s="161">
        <f>SUM(BK9:BL9)</f>
        <v>76452</v>
      </c>
      <c r="BN9" s="160">
        <v>80906</v>
      </c>
      <c r="BO9" s="118">
        <v>0</v>
      </c>
      <c r="BP9" s="161">
        <f t="shared" ref="BP9:BP20" si="4">SUM(BN9:BO9)</f>
        <v>80906</v>
      </c>
      <c r="BQ9" s="160">
        <v>84261</v>
      </c>
      <c r="BR9" s="118">
        <v>0</v>
      </c>
      <c r="BS9" s="161">
        <f t="shared" si="0"/>
        <v>84261</v>
      </c>
      <c r="BT9" s="160">
        <v>84881</v>
      </c>
      <c r="BU9" s="118">
        <v>0</v>
      </c>
      <c r="BV9" s="161">
        <v>84881</v>
      </c>
      <c r="BW9" s="160">
        <v>107579</v>
      </c>
      <c r="BX9" s="118">
        <v>0</v>
      </c>
      <c r="BY9" s="161">
        <v>107579</v>
      </c>
      <c r="BZ9" s="160">
        <v>108161</v>
      </c>
      <c r="CA9" s="118">
        <v>0</v>
      </c>
      <c r="CB9" s="161">
        <v>108161</v>
      </c>
      <c r="CC9" s="160">
        <v>106865</v>
      </c>
      <c r="CD9" s="118">
        <v>0</v>
      </c>
      <c r="CE9" s="161">
        <v>106865</v>
      </c>
      <c r="CF9" s="160">
        <v>107433</v>
      </c>
      <c r="CG9" s="118">
        <v>0</v>
      </c>
      <c r="CH9" s="161">
        <f t="shared" ref="CH9:CH20" si="5">SUM(CF9:CG9)</f>
        <v>107433</v>
      </c>
      <c r="CI9" s="160">
        <v>108528</v>
      </c>
      <c r="CJ9" s="118">
        <v>0</v>
      </c>
      <c r="CK9" s="161">
        <v>108528</v>
      </c>
      <c r="CL9" s="160">
        <v>109597</v>
      </c>
      <c r="CM9" s="118">
        <v>0</v>
      </c>
      <c r="CN9" s="161">
        <f t="shared" ref="CN9:CN20" si="6">SUM(CL9:CM9)</f>
        <v>109597</v>
      </c>
      <c r="CO9" s="160">
        <v>106699</v>
      </c>
      <c r="CP9" s="118">
        <v>0</v>
      </c>
      <c r="CQ9" s="161">
        <f t="shared" si="1"/>
        <v>106699</v>
      </c>
      <c r="CR9" s="160">
        <v>108077</v>
      </c>
      <c r="CS9" s="118">
        <v>0</v>
      </c>
      <c r="CT9" s="161">
        <v>108077</v>
      </c>
      <c r="CU9" s="160">
        <v>109416</v>
      </c>
      <c r="CV9" s="118">
        <v>0</v>
      </c>
      <c r="CW9" s="161">
        <f t="shared" ref="CW9:CW17" si="7">SUM(CU9:CV9)</f>
        <v>109416</v>
      </c>
      <c r="CX9" s="160">
        <v>110978</v>
      </c>
      <c r="CY9" s="118">
        <v>0</v>
      </c>
      <c r="CZ9" s="161">
        <f t="shared" si="2"/>
        <v>110978</v>
      </c>
      <c r="DA9" s="160">
        <v>106725</v>
      </c>
      <c r="DB9" s="118">
        <v>0</v>
      </c>
      <c r="DC9" s="161">
        <v>106725</v>
      </c>
      <c r="DD9" s="160">
        <v>104623</v>
      </c>
      <c r="DE9" s="118">
        <v>0</v>
      </c>
      <c r="DF9" s="161">
        <f t="shared" si="3"/>
        <v>104623</v>
      </c>
      <c r="DG9" s="160">
        <v>105659</v>
      </c>
      <c r="DH9" s="118">
        <v>0</v>
      </c>
      <c r="DI9" s="161">
        <v>105659</v>
      </c>
      <c r="DJ9" s="160">
        <v>134059</v>
      </c>
      <c r="DK9" s="118">
        <v>0</v>
      </c>
      <c r="DL9" s="161">
        <f t="shared" ref="DL9:DL17" si="8">SUM(DJ9:DK9)</f>
        <v>134059</v>
      </c>
      <c r="DM9" s="160">
        <v>132900</v>
      </c>
      <c r="DN9" s="118">
        <v>0</v>
      </c>
      <c r="DO9" s="161">
        <v>132900</v>
      </c>
      <c r="DP9" s="160">
        <v>133724</v>
      </c>
      <c r="DQ9" s="118">
        <v>0</v>
      </c>
      <c r="DR9" s="161">
        <v>133724</v>
      </c>
      <c r="DS9" s="160">
        <v>134605</v>
      </c>
      <c r="DT9" s="118">
        <v>0</v>
      </c>
      <c r="DU9" s="161">
        <v>134605</v>
      </c>
      <c r="DV9" s="160">
        <v>135451</v>
      </c>
      <c r="DW9" s="118">
        <v>0</v>
      </c>
      <c r="DX9" s="161">
        <f t="shared" ref="DX9:DX17" si="9">SUM(DV9:DW9)</f>
        <v>135451</v>
      </c>
      <c r="DY9" s="160">
        <v>133134</v>
      </c>
      <c r="DZ9" s="118">
        <v>0</v>
      </c>
      <c r="EA9" s="161">
        <f t="shared" ref="EA9:EA14" si="10">SUM(DY9:DZ9)</f>
        <v>133134</v>
      </c>
      <c r="EB9" s="160">
        <v>134001</v>
      </c>
      <c r="EC9" s="118">
        <v>0</v>
      </c>
      <c r="ED9" s="161">
        <f t="shared" ref="ED9:ED17" si="11">SUM(EB9:EC9)</f>
        <v>134001</v>
      </c>
      <c r="EE9" s="118">
        <v>134911</v>
      </c>
      <c r="EF9" s="118">
        <v>0</v>
      </c>
      <c r="EG9" s="118">
        <v>134911</v>
      </c>
      <c r="EH9" s="160">
        <v>135914</v>
      </c>
      <c r="EI9" s="118">
        <v>0</v>
      </c>
      <c r="EJ9" s="161">
        <v>135914</v>
      </c>
      <c r="EK9" s="160">
        <v>133680</v>
      </c>
      <c r="EL9" s="118">
        <v>0</v>
      </c>
      <c r="EM9" s="161">
        <v>133680</v>
      </c>
      <c r="EN9" s="160">
        <v>134726</v>
      </c>
      <c r="EO9" s="118">
        <v>0</v>
      </c>
      <c r="EP9" s="161">
        <v>134726</v>
      </c>
      <c r="EQ9" s="160">
        <v>135448</v>
      </c>
      <c r="ER9" s="118">
        <v>0</v>
      </c>
      <c r="ES9" s="161">
        <v>135448</v>
      </c>
      <c r="ET9" s="160">
        <v>164505</v>
      </c>
      <c r="EU9" s="118">
        <v>0</v>
      </c>
      <c r="EV9" s="161">
        <f t="shared" ref="EV9:EV15" si="12">SUM(ET9:EU9)</f>
        <v>164505</v>
      </c>
    </row>
    <row r="10" spans="2:152" ht="15" customHeight="1" x14ac:dyDescent="0.2">
      <c r="B10" s="129" t="s">
        <v>208</v>
      </c>
      <c r="C10" s="160">
        <v>10694</v>
      </c>
      <c r="D10" s="118">
        <v>0</v>
      </c>
      <c r="E10" s="161">
        <f>SUM(C10:D10)</f>
        <v>10694</v>
      </c>
      <c r="F10" s="160">
        <v>11395</v>
      </c>
      <c r="G10" s="118">
        <v>0</v>
      </c>
      <c r="H10" s="161">
        <f>SUM(F10:G10)</f>
        <v>11395</v>
      </c>
      <c r="I10" s="160">
        <v>12780</v>
      </c>
      <c r="J10" s="118">
        <v>0</v>
      </c>
      <c r="K10" s="161">
        <f>SUM(I10:J10)</f>
        <v>12780</v>
      </c>
      <c r="L10" s="160">
        <v>13823</v>
      </c>
      <c r="M10" s="118">
        <v>0</v>
      </c>
      <c r="N10" s="161">
        <f>SUM(L10:M10)</f>
        <v>13823</v>
      </c>
      <c r="O10" s="160">
        <v>14186</v>
      </c>
      <c r="P10" s="118">
        <v>0</v>
      </c>
      <c r="Q10" s="161">
        <f>SUM(O10:P10)</f>
        <v>14186</v>
      </c>
      <c r="R10" s="160">
        <v>14896</v>
      </c>
      <c r="S10" s="118">
        <v>0</v>
      </c>
      <c r="T10" s="161">
        <f>SUM(R10:S10)</f>
        <v>14896</v>
      </c>
      <c r="U10" s="160">
        <v>15281</v>
      </c>
      <c r="V10" s="118">
        <v>0</v>
      </c>
      <c r="W10" s="161">
        <f>SUM(U10:V10)</f>
        <v>15281</v>
      </c>
      <c r="X10" s="160">
        <v>15624</v>
      </c>
      <c r="Y10" s="118">
        <v>0</v>
      </c>
      <c r="Z10" s="161">
        <v>15624</v>
      </c>
      <c r="AA10" s="118">
        <v>14560</v>
      </c>
      <c r="AB10" s="118">
        <v>0</v>
      </c>
      <c r="AC10" s="118">
        <f>SUM(AA10:AB10)</f>
        <v>14560</v>
      </c>
      <c r="AD10" s="160">
        <v>14693</v>
      </c>
      <c r="AE10" s="118">
        <v>0</v>
      </c>
      <c r="AF10" s="161">
        <f>SUM(AD10:AE10)</f>
        <v>14693</v>
      </c>
      <c r="AG10" s="160">
        <v>14110</v>
      </c>
      <c r="AH10" s="118">
        <v>0</v>
      </c>
      <c r="AI10" s="161">
        <f>SUM(AG10:AH10)</f>
        <v>14110</v>
      </c>
      <c r="AJ10" s="160">
        <v>13963</v>
      </c>
      <c r="AK10" s="118">
        <v>0</v>
      </c>
      <c r="AL10" s="161">
        <v>13963</v>
      </c>
      <c r="AM10" s="118">
        <v>14025</v>
      </c>
      <c r="AN10" s="118">
        <v>0</v>
      </c>
      <c r="AO10" s="118">
        <v>14025</v>
      </c>
      <c r="AP10" s="160">
        <v>14240</v>
      </c>
      <c r="AQ10" s="118">
        <v>0</v>
      </c>
      <c r="AR10" s="161">
        <v>14240</v>
      </c>
      <c r="AS10" s="118">
        <v>14308</v>
      </c>
      <c r="AT10" s="118">
        <v>0</v>
      </c>
      <c r="AU10" s="118">
        <v>14308</v>
      </c>
      <c r="AV10" s="160">
        <v>14365</v>
      </c>
      <c r="AW10" s="118">
        <v>0</v>
      </c>
      <c r="AX10" s="161">
        <v>14365</v>
      </c>
      <c r="AY10" s="160">
        <v>8319</v>
      </c>
      <c r="AZ10" s="118">
        <v>0</v>
      </c>
      <c r="BA10" s="161">
        <v>8319</v>
      </c>
      <c r="BB10" s="160">
        <v>2920</v>
      </c>
      <c r="BC10" s="118">
        <v>0</v>
      </c>
      <c r="BD10" s="161">
        <f>SUM(BB10:BC10)</f>
        <v>2920</v>
      </c>
      <c r="BE10" s="160">
        <v>2619</v>
      </c>
      <c r="BF10" s="118">
        <v>0</v>
      </c>
      <c r="BG10" s="161">
        <f>SUM(BE10:BF10)</f>
        <v>2619</v>
      </c>
      <c r="BH10" s="160">
        <v>2620</v>
      </c>
      <c r="BI10" s="118">
        <v>0</v>
      </c>
      <c r="BJ10" s="161">
        <f>SUM(BH10:BI10)</f>
        <v>2620</v>
      </c>
      <c r="BK10" s="160">
        <v>2640</v>
      </c>
      <c r="BL10" s="118">
        <v>0</v>
      </c>
      <c r="BM10" s="161">
        <f>SUM(BK10:BL10)</f>
        <v>2640</v>
      </c>
      <c r="BN10" s="160">
        <v>2669</v>
      </c>
      <c r="BO10" s="118">
        <v>0</v>
      </c>
      <c r="BP10" s="161">
        <f t="shared" si="4"/>
        <v>2669</v>
      </c>
      <c r="BQ10" s="160">
        <v>2686</v>
      </c>
      <c r="BR10" s="118">
        <v>0</v>
      </c>
      <c r="BS10" s="161">
        <f t="shared" si="0"/>
        <v>2686</v>
      </c>
      <c r="BT10" s="160">
        <v>2646</v>
      </c>
      <c r="BU10" s="118">
        <v>0</v>
      </c>
      <c r="BV10" s="161">
        <v>2646</v>
      </c>
      <c r="BW10" s="160">
        <v>2664</v>
      </c>
      <c r="BX10" s="118">
        <v>0</v>
      </c>
      <c r="BY10" s="161">
        <v>2664</v>
      </c>
      <c r="BZ10" s="160">
        <v>2676</v>
      </c>
      <c r="CA10" s="118">
        <v>0</v>
      </c>
      <c r="CB10" s="161">
        <v>2676</v>
      </c>
      <c r="CC10" s="160">
        <v>2533</v>
      </c>
      <c r="CD10" s="118">
        <v>0</v>
      </c>
      <c r="CE10" s="161">
        <v>2533</v>
      </c>
      <c r="CF10" s="160">
        <v>2536</v>
      </c>
      <c r="CG10" s="118">
        <v>0</v>
      </c>
      <c r="CH10" s="161">
        <f t="shared" si="5"/>
        <v>2536</v>
      </c>
      <c r="CI10" s="160">
        <v>1377</v>
      </c>
      <c r="CJ10" s="118">
        <v>0</v>
      </c>
      <c r="CK10" s="161">
        <v>1377</v>
      </c>
      <c r="CL10" s="160">
        <v>1378</v>
      </c>
      <c r="CM10" s="118">
        <v>0</v>
      </c>
      <c r="CN10" s="161">
        <f t="shared" si="6"/>
        <v>1378</v>
      </c>
      <c r="CO10" s="160">
        <v>1328</v>
      </c>
      <c r="CP10" s="118">
        <v>0</v>
      </c>
      <c r="CQ10" s="161">
        <f t="shared" si="1"/>
        <v>1328</v>
      </c>
      <c r="CR10" s="160">
        <v>1349</v>
      </c>
      <c r="CS10" s="118">
        <v>0</v>
      </c>
      <c r="CT10" s="161">
        <v>1349</v>
      </c>
      <c r="CU10" s="160">
        <v>1343</v>
      </c>
      <c r="CV10" s="118">
        <v>0</v>
      </c>
      <c r="CW10" s="161">
        <f t="shared" si="7"/>
        <v>1343</v>
      </c>
      <c r="CX10" s="160">
        <v>1349</v>
      </c>
      <c r="CY10" s="118">
        <v>0</v>
      </c>
      <c r="CZ10" s="161">
        <f t="shared" si="2"/>
        <v>1349</v>
      </c>
      <c r="DA10" s="160">
        <v>1366</v>
      </c>
      <c r="DB10" s="118">
        <v>0</v>
      </c>
      <c r="DC10" s="161">
        <v>1366</v>
      </c>
      <c r="DD10" s="160">
        <v>1385</v>
      </c>
      <c r="DE10" s="118">
        <v>0</v>
      </c>
      <c r="DF10" s="161">
        <f t="shared" si="3"/>
        <v>1385</v>
      </c>
      <c r="DG10" s="160">
        <v>1374</v>
      </c>
      <c r="DH10" s="118">
        <v>0</v>
      </c>
      <c r="DI10" s="161">
        <v>1374</v>
      </c>
      <c r="DJ10" s="160">
        <v>1391</v>
      </c>
      <c r="DK10" s="118">
        <v>0</v>
      </c>
      <c r="DL10" s="161">
        <f t="shared" si="8"/>
        <v>1391</v>
      </c>
      <c r="DM10" s="160">
        <v>1380</v>
      </c>
      <c r="DN10" s="118">
        <v>0</v>
      </c>
      <c r="DO10" s="161">
        <v>1380</v>
      </c>
      <c r="DP10" s="160">
        <v>1398</v>
      </c>
      <c r="DQ10" s="118">
        <v>0</v>
      </c>
      <c r="DR10" s="161">
        <v>1398</v>
      </c>
      <c r="DS10" s="160">
        <v>1415</v>
      </c>
      <c r="DT10" s="118">
        <v>0</v>
      </c>
      <c r="DU10" s="161">
        <v>1415</v>
      </c>
      <c r="DV10" s="160">
        <v>1417</v>
      </c>
      <c r="DW10" s="118">
        <v>0</v>
      </c>
      <c r="DX10" s="161">
        <f t="shared" si="9"/>
        <v>1417</v>
      </c>
      <c r="DY10" s="160">
        <v>1433</v>
      </c>
      <c r="DZ10" s="118">
        <v>0</v>
      </c>
      <c r="EA10" s="161">
        <f t="shared" si="10"/>
        <v>1433</v>
      </c>
      <c r="EB10" s="160">
        <v>1424</v>
      </c>
      <c r="EC10" s="118">
        <v>0</v>
      </c>
      <c r="ED10" s="161">
        <f t="shared" si="11"/>
        <v>1424</v>
      </c>
      <c r="EE10" s="118">
        <v>1437</v>
      </c>
      <c r="EF10" s="118">
        <v>0</v>
      </c>
      <c r="EG10" s="118">
        <v>1437</v>
      </c>
      <c r="EH10" s="160">
        <v>1453</v>
      </c>
      <c r="EI10" s="118">
        <v>0</v>
      </c>
      <c r="EJ10" s="161">
        <v>1453</v>
      </c>
      <c r="EK10" s="160">
        <v>1452</v>
      </c>
      <c r="EL10" s="118">
        <v>0</v>
      </c>
      <c r="EM10" s="161">
        <v>1452</v>
      </c>
      <c r="EN10" s="160">
        <v>1520</v>
      </c>
      <c r="EO10" s="118">
        <v>0</v>
      </c>
      <c r="EP10" s="161">
        <v>1520</v>
      </c>
      <c r="EQ10" s="160">
        <v>1548</v>
      </c>
      <c r="ER10" s="118">
        <v>0</v>
      </c>
      <c r="ES10" s="161">
        <v>1548</v>
      </c>
      <c r="ET10" s="160">
        <v>1574</v>
      </c>
      <c r="EU10" s="118">
        <v>0</v>
      </c>
      <c r="EV10" s="161">
        <f t="shared" si="12"/>
        <v>1574</v>
      </c>
    </row>
    <row r="11" spans="2:152" ht="15" customHeight="1" x14ac:dyDescent="0.2">
      <c r="B11" s="129" t="s">
        <v>762</v>
      </c>
      <c r="C11" s="160">
        <v>0</v>
      </c>
      <c r="D11" s="118">
        <v>0</v>
      </c>
      <c r="E11" s="161">
        <v>0</v>
      </c>
      <c r="F11" s="160">
        <v>0</v>
      </c>
      <c r="G11" s="118">
        <v>0</v>
      </c>
      <c r="H11" s="161">
        <v>0</v>
      </c>
      <c r="I11" s="160">
        <v>0</v>
      </c>
      <c r="J11" s="118">
        <v>0</v>
      </c>
      <c r="K11" s="161">
        <v>0</v>
      </c>
      <c r="L11" s="160">
        <v>0</v>
      </c>
      <c r="M11" s="118">
        <v>0</v>
      </c>
      <c r="N11" s="161">
        <v>0</v>
      </c>
      <c r="O11" s="160">
        <v>0</v>
      </c>
      <c r="P11" s="118">
        <v>0</v>
      </c>
      <c r="Q11" s="161">
        <v>0</v>
      </c>
      <c r="R11" s="160">
        <v>0</v>
      </c>
      <c r="S11" s="118">
        <v>0</v>
      </c>
      <c r="T11" s="161">
        <v>0</v>
      </c>
      <c r="U11" s="160">
        <v>0</v>
      </c>
      <c r="V11" s="118">
        <v>0</v>
      </c>
      <c r="W11" s="161">
        <v>0</v>
      </c>
      <c r="X11" s="160">
        <v>0</v>
      </c>
      <c r="Y11" s="118">
        <v>0</v>
      </c>
      <c r="Z11" s="161">
        <v>0</v>
      </c>
      <c r="AA11" s="160">
        <v>0</v>
      </c>
      <c r="AB11" s="118">
        <v>0</v>
      </c>
      <c r="AC11" s="161">
        <v>0</v>
      </c>
      <c r="AD11" s="160">
        <v>0</v>
      </c>
      <c r="AE11" s="118">
        <v>0</v>
      </c>
      <c r="AF11" s="161">
        <v>0</v>
      </c>
      <c r="AG11" s="160">
        <v>0</v>
      </c>
      <c r="AH11" s="118">
        <v>0</v>
      </c>
      <c r="AI11" s="161">
        <v>0</v>
      </c>
      <c r="AJ11" s="160">
        <v>0</v>
      </c>
      <c r="AK11" s="118">
        <v>0</v>
      </c>
      <c r="AL11" s="161">
        <v>0</v>
      </c>
      <c r="AM11" s="118">
        <v>0</v>
      </c>
      <c r="AN11" s="118">
        <v>0</v>
      </c>
      <c r="AO11" s="118">
        <v>0</v>
      </c>
      <c r="AP11" s="160">
        <v>0</v>
      </c>
      <c r="AQ11" s="118">
        <v>0</v>
      </c>
      <c r="AR11" s="161">
        <v>0</v>
      </c>
      <c r="AS11" s="118">
        <v>0</v>
      </c>
      <c r="AT11" s="118">
        <v>0</v>
      </c>
      <c r="AU11" s="118">
        <v>0</v>
      </c>
      <c r="AV11" s="160">
        <v>0</v>
      </c>
      <c r="AW11" s="118">
        <v>0</v>
      </c>
      <c r="AX11" s="161">
        <v>0</v>
      </c>
      <c r="AY11" s="160">
        <v>0</v>
      </c>
      <c r="AZ11" s="118">
        <v>0</v>
      </c>
      <c r="BA11" s="161">
        <v>0</v>
      </c>
      <c r="BB11" s="160">
        <v>0</v>
      </c>
      <c r="BC11" s="118">
        <v>0</v>
      </c>
      <c r="BD11" s="161">
        <v>0</v>
      </c>
      <c r="BE11" s="160">
        <v>1</v>
      </c>
      <c r="BF11" s="118">
        <v>0</v>
      </c>
      <c r="BG11" s="161">
        <f>SUM(BE11:BF11)</f>
        <v>1</v>
      </c>
      <c r="BH11" s="160">
        <v>1433</v>
      </c>
      <c r="BI11" s="118">
        <v>0</v>
      </c>
      <c r="BJ11" s="161">
        <f>SUM(BH11:BI11)</f>
        <v>1433</v>
      </c>
      <c r="BK11" s="160">
        <v>1448</v>
      </c>
      <c r="BL11" s="118">
        <v>0</v>
      </c>
      <c r="BM11" s="161">
        <f>SUM(BK11:BL11)</f>
        <v>1448</v>
      </c>
      <c r="BN11" s="160">
        <v>1426</v>
      </c>
      <c r="BO11" s="118">
        <v>0</v>
      </c>
      <c r="BP11" s="161">
        <f t="shared" si="4"/>
        <v>1426</v>
      </c>
      <c r="BQ11" s="160">
        <v>1430</v>
      </c>
      <c r="BR11" s="118">
        <v>0</v>
      </c>
      <c r="BS11" s="161">
        <f t="shared" si="0"/>
        <v>1430</v>
      </c>
      <c r="BT11" s="160">
        <v>4537</v>
      </c>
      <c r="BU11" s="118">
        <v>0</v>
      </c>
      <c r="BV11" s="161">
        <v>4537</v>
      </c>
      <c r="BW11" s="160">
        <v>4517</v>
      </c>
      <c r="BX11" s="118">
        <v>0</v>
      </c>
      <c r="BY11" s="161">
        <v>4517</v>
      </c>
      <c r="BZ11" s="160">
        <v>4496</v>
      </c>
      <c r="CA11" s="118">
        <v>0</v>
      </c>
      <c r="CB11" s="161">
        <v>4496</v>
      </c>
      <c r="CC11" s="160">
        <v>4624</v>
      </c>
      <c r="CD11" s="118">
        <v>0</v>
      </c>
      <c r="CE11" s="161">
        <v>4624</v>
      </c>
      <c r="CF11" s="160">
        <v>4641</v>
      </c>
      <c r="CG11" s="118">
        <v>0</v>
      </c>
      <c r="CH11" s="161">
        <f t="shared" si="5"/>
        <v>4641</v>
      </c>
      <c r="CI11" s="160">
        <v>4907</v>
      </c>
      <c r="CJ11" s="118">
        <v>0</v>
      </c>
      <c r="CK11" s="161">
        <v>4907</v>
      </c>
      <c r="CL11" s="160">
        <v>4889</v>
      </c>
      <c r="CM11" s="118">
        <v>0</v>
      </c>
      <c r="CN11" s="161">
        <f t="shared" si="6"/>
        <v>4889</v>
      </c>
      <c r="CO11" s="160">
        <v>5097</v>
      </c>
      <c r="CP11" s="118">
        <v>0</v>
      </c>
      <c r="CQ11" s="161">
        <f t="shared" si="1"/>
        <v>5097</v>
      </c>
      <c r="CR11" s="160">
        <v>5155</v>
      </c>
      <c r="CS11" s="118">
        <v>0</v>
      </c>
      <c r="CT11" s="161">
        <v>5155</v>
      </c>
      <c r="CU11" s="160">
        <v>6698</v>
      </c>
      <c r="CV11" s="118">
        <v>0</v>
      </c>
      <c r="CW11" s="161">
        <f t="shared" si="7"/>
        <v>6698</v>
      </c>
      <c r="CX11" s="160">
        <v>6831</v>
      </c>
      <c r="CY11" s="118">
        <v>0</v>
      </c>
      <c r="CZ11" s="161">
        <f t="shared" si="2"/>
        <v>6831</v>
      </c>
      <c r="DA11" s="160">
        <v>7361</v>
      </c>
      <c r="DB11" s="118">
        <v>0</v>
      </c>
      <c r="DC11" s="161">
        <v>7361</v>
      </c>
      <c r="DD11" s="160">
        <v>7892</v>
      </c>
      <c r="DE11" s="118">
        <v>0</v>
      </c>
      <c r="DF11" s="161">
        <f t="shared" si="3"/>
        <v>7892</v>
      </c>
      <c r="DG11" s="160">
        <v>7542</v>
      </c>
      <c r="DH11" s="118">
        <v>0</v>
      </c>
      <c r="DI11" s="161">
        <v>7542</v>
      </c>
      <c r="DJ11" s="160">
        <v>7400</v>
      </c>
      <c r="DK11" s="118">
        <v>0</v>
      </c>
      <c r="DL11" s="161">
        <f t="shared" si="8"/>
        <v>7400</v>
      </c>
      <c r="DM11" s="160">
        <v>6974</v>
      </c>
      <c r="DN11" s="118">
        <v>0</v>
      </c>
      <c r="DO11" s="161">
        <v>6974</v>
      </c>
      <c r="DP11" s="160">
        <v>6887</v>
      </c>
      <c r="DQ11" s="118">
        <v>0</v>
      </c>
      <c r="DR11" s="161">
        <v>6887</v>
      </c>
      <c r="DS11" s="160">
        <v>6833</v>
      </c>
      <c r="DT11" s="118">
        <v>0</v>
      </c>
      <c r="DU11" s="161">
        <v>6833</v>
      </c>
      <c r="DV11" s="160">
        <v>6803</v>
      </c>
      <c r="DW11" s="118">
        <v>0</v>
      </c>
      <c r="DX11" s="161">
        <f t="shared" si="9"/>
        <v>6803</v>
      </c>
      <c r="DY11" s="160">
        <v>6572</v>
      </c>
      <c r="DZ11" s="118">
        <v>0</v>
      </c>
      <c r="EA11" s="161">
        <f t="shared" si="10"/>
        <v>6572</v>
      </c>
      <c r="EB11" s="160">
        <v>16178</v>
      </c>
      <c r="EC11" s="118">
        <v>0</v>
      </c>
      <c r="ED11" s="161">
        <f t="shared" si="11"/>
        <v>16178</v>
      </c>
      <c r="EE11" s="118">
        <v>15801</v>
      </c>
      <c r="EF11" s="118">
        <v>0</v>
      </c>
      <c r="EG11" s="118">
        <v>15801</v>
      </c>
      <c r="EH11" s="160">
        <v>15408</v>
      </c>
      <c r="EI11" s="118">
        <v>0</v>
      </c>
      <c r="EJ11" s="161">
        <v>15408</v>
      </c>
      <c r="EK11" s="160">
        <v>15029</v>
      </c>
      <c r="EL11" s="118">
        <v>0</v>
      </c>
      <c r="EM11" s="161">
        <v>15029</v>
      </c>
      <c r="EN11" s="160">
        <v>14655</v>
      </c>
      <c r="EO11" s="118">
        <v>0</v>
      </c>
      <c r="EP11" s="161">
        <v>14655</v>
      </c>
      <c r="EQ11" s="160">
        <v>14459</v>
      </c>
      <c r="ER11" s="118">
        <v>0</v>
      </c>
      <c r="ES11" s="161">
        <v>14459</v>
      </c>
      <c r="ET11" s="160">
        <v>14353</v>
      </c>
      <c r="EU11" s="118">
        <v>0</v>
      </c>
      <c r="EV11" s="161">
        <f t="shared" si="12"/>
        <v>14353</v>
      </c>
    </row>
    <row r="12" spans="2:152" ht="15" customHeight="1" x14ac:dyDescent="0.2">
      <c r="B12" s="129" t="s">
        <v>817</v>
      </c>
      <c r="C12" s="160">
        <v>0</v>
      </c>
      <c r="D12" s="118">
        <v>0</v>
      </c>
      <c r="E12" s="161">
        <v>0</v>
      </c>
      <c r="F12" s="160">
        <v>0</v>
      </c>
      <c r="G12" s="118">
        <v>0</v>
      </c>
      <c r="H12" s="161">
        <v>0</v>
      </c>
      <c r="I12" s="160">
        <v>0</v>
      </c>
      <c r="J12" s="118">
        <v>0</v>
      </c>
      <c r="K12" s="161">
        <v>0</v>
      </c>
      <c r="L12" s="160">
        <v>0</v>
      </c>
      <c r="M12" s="118">
        <v>0</v>
      </c>
      <c r="N12" s="161">
        <v>0</v>
      </c>
      <c r="O12" s="160">
        <v>0</v>
      </c>
      <c r="P12" s="118">
        <v>0</v>
      </c>
      <c r="Q12" s="161">
        <v>0</v>
      </c>
      <c r="R12" s="160">
        <v>0</v>
      </c>
      <c r="S12" s="118">
        <v>0</v>
      </c>
      <c r="T12" s="161">
        <v>0</v>
      </c>
      <c r="U12" s="160">
        <v>0</v>
      </c>
      <c r="V12" s="118">
        <v>0</v>
      </c>
      <c r="W12" s="161">
        <v>0</v>
      </c>
      <c r="X12" s="160">
        <v>0</v>
      </c>
      <c r="Y12" s="118">
        <v>0</v>
      </c>
      <c r="Z12" s="161">
        <v>0</v>
      </c>
      <c r="AA12" s="160">
        <v>0</v>
      </c>
      <c r="AB12" s="118">
        <v>0</v>
      </c>
      <c r="AC12" s="161">
        <v>0</v>
      </c>
      <c r="AD12" s="160">
        <v>0</v>
      </c>
      <c r="AE12" s="118">
        <v>0</v>
      </c>
      <c r="AF12" s="161">
        <v>0</v>
      </c>
      <c r="AG12" s="160">
        <v>0</v>
      </c>
      <c r="AH12" s="118">
        <v>0</v>
      </c>
      <c r="AI12" s="161">
        <v>0</v>
      </c>
      <c r="AJ12" s="160">
        <v>0</v>
      </c>
      <c r="AK12" s="118">
        <v>0</v>
      </c>
      <c r="AL12" s="161">
        <v>0</v>
      </c>
      <c r="AM12" s="118">
        <v>0</v>
      </c>
      <c r="AN12" s="118">
        <v>0</v>
      </c>
      <c r="AO12" s="118">
        <v>0</v>
      </c>
      <c r="AP12" s="160">
        <v>0</v>
      </c>
      <c r="AQ12" s="118">
        <v>0</v>
      </c>
      <c r="AR12" s="161">
        <v>0</v>
      </c>
      <c r="AS12" s="118">
        <v>0</v>
      </c>
      <c r="AT12" s="118">
        <v>0</v>
      </c>
      <c r="AU12" s="118">
        <v>0</v>
      </c>
      <c r="AV12" s="160">
        <v>0</v>
      </c>
      <c r="AW12" s="118">
        <v>0</v>
      </c>
      <c r="AX12" s="161">
        <v>0</v>
      </c>
      <c r="AY12" s="160">
        <v>0</v>
      </c>
      <c r="AZ12" s="118">
        <v>0</v>
      </c>
      <c r="BA12" s="161">
        <v>0</v>
      </c>
      <c r="BB12" s="160">
        <v>0</v>
      </c>
      <c r="BC12" s="118">
        <v>0</v>
      </c>
      <c r="BD12" s="161">
        <v>0</v>
      </c>
      <c r="BE12" s="160">
        <v>0</v>
      </c>
      <c r="BF12" s="118">
        <v>0</v>
      </c>
      <c r="BG12" s="161">
        <v>0</v>
      </c>
      <c r="BH12" s="160">
        <v>0</v>
      </c>
      <c r="BI12" s="118">
        <v>0</v>
      </c>
      <c r="BJ12" s="161">
        <v>0</v>
      </c>
      <c r="BK12" s="160">
        <v>0</v>
      </c>
      <c r="BL12" s="118">
        <v>0</v>
      </c>
      <c r="BM12" s="161">
        <v>0</v>
      </c>
      <c r="BN12" s="160">
        <v>1</v>
      </c>
      <c r="BO12" s="118">
        <v>0</v>
      </c>
      <c r="BP12" s="161">
        <f t="shared" si="4"/>
        <v>1</v>
      </c>
      <c r="BQ12" s="160">
        <v>1</v>
      </c>
      <c r="BR12" s="118">
        <v>0</v>
      </c>
      <c r="BS12" s="161">
        <f t="shared" si="0"/>
        <v>1</v>
      </c>
      <c r="BT12" s="160">
        <v>1</v>
      </c>
      <c r="BU12" s="118">
        <v>0</v>
      </c>
      <c r="BV12" s="161">
        <v>1</v>
      </c>
      <c r="BW12" s="160">
        <v>1</v>
      </c>
      <c r="BX12" s="118">
        <v>0</v>
      </c>
      <c r="BY12" s="161">
        <v>1</v>
      </c>
      <c r="BZ12" s="160">
        <v>1</v>
      </c>
      <c r="CA12" s="118">
        <v>0</v>
      </c>
      <c r="CB12" s="161">
        <v>1</v>
      </c>
      <c r="CC12" s="160">
        <v>1</v>
      </c>
      <c r="CD12" s="118">
        <v>0</v>
      </c>
      <c r="CE12" s="161">
        <v>1</v>
      </c>
      <c r="CF12" s="160">
        <v>1</v>
      </c>
      <c r="CG12" s="118">
        <v>0</v>
      </c>
      <c r="CH12" s="161">
        <f t="shared" si="5"/>
        <v>1</v>
      </c>
      <c r="CI12" s="160">
        <v>1</v>
      </c>
      <c r="CJ12" s="118">
        <v>0</v>
      </c>
      <c r="CK12" s="161">
        <v>1</v>
      </c>
      <c r="CL12" s="160">
        <v>1</v>
      </c>
      <c r="CM12" s="118">
        <v>0</v>
      </c>
      <c r="CN12" s="161">
        <f t="shared" si="6"/>
        <v>1</v>
      </c>
      <c r="CO12" s="160">
        <v>1</v>
      </c>
      <c r="CP12" s="118">
        <v>0</v>
      </c>
      <c r="CQ12" s="161">
        <f t="shared" si="1"/>
        <v>1</v>
      </c>
      <c r="CR12" s="160">
        <v>1</v>
      </c>
      <c r="CS12" s="118">
        <v>0</v>
      </c>
      <c r="CT12" s="161">
        <v>1</v>
      </c>
      <c r="CU12" s="160">
        <v>1</v>
      </c>
      <c r="CV12" s="118">
        <v>0</v>
      </c>
      <c r="CW12" s="161">
        <f t="shared" si="7"/>
        <v>1</v>
      </c>
      <c r="CX12" s="160">
        <v>1</v>
      </c>
      <c r="CY12" s="118">
        <v>0</v>
      </c>
      <c r="CZ12" s="161">
        <f t="shared" si="2"/>
        <v>1</v>
      </c>
      <c r="DA12" s="160">
        <v>1</v>
      </c>
      <c r="DB12" s="118">
        <v>0</v>
      </c>
      <c r="DC12" s="161">
        <v>1</v>
      </c>
      <c r="DD12" s="160">
        <v>1</v>
      </c>
      <c r="DE12" s="118">
        <v>0</v>
      </c>
      <c r="DF12" s="161">
        <f t="shared" si="3"/>
        <v>1</v>
      </c>
      <c r="DG12" s="160">
        <v>1</v>
      </c>
      <c r="DH12" s="118">
        <v>0</v>
      </c>
      <c r="DI12" s="161">
        <v>1</v>
      </c>
      <c r="DJ12" s="160">
        <v>1</v>
      </c>
      <c r="DK12" s="118">
        <v>0</v>
      </c>
      <c r="DL12" s="161">
        <f t="shared" si="8"/>
        <v>1</v>
      </c>
      <c r="DM12" s="160">
        <v>1</v>
      </c>
      <c r="DN12" s="118">
        <v>0</v>
      </c>
      <c r="DO12" s="161">
        <v>1</v>
      </c>
      <c r="DP12" s="160">
        <v>1</v>
      </c>
      <c r="DQ12" s="118">
        <v>0</v>
      </c>
      <c r="DR12" s="161">
        <v>1</v>
      </c>
      <c r="DS12" s="160">
        <v>1</v>
      </c>
      <c r="DT12" s="118">
        <v>0</v>
      </c>
      <c r="DU12" s="161">
        <v>1</v>
      </c>
      <c r="DV12" s="160">
        <v>1</v>
      </c>
      <c r="DW12" s="118">
        <v>0</v>
      </c>
      <c r="DX12" s="161">
        <f t="shared" si="9"/>
        <v>1</v>
      </c>
      <c r="DY12" s="160">
        <v>1</v>
      </c>
      <c r="DZ12" s="118">
        <v>0</v>
      </c>
      <c r="EA12" s="161">
        <f t="shared" si="10"/>
        <v>1</v>
      </c>
      <c r="EB12" s="160">
        <v>1</v>
      </c>
      <c r="EC12" s="118">
        <v>0</v>
      </c>
      <c r="ED12" s="161">
        <f t="shared" si="11"/>
        <v>1</v>
      </c>
      <c r="EE12" s="118">
        <v>1</v>
      </c>
      <c r="EF12" s="118">
        <v>0</v>
      </c>
      <c r="EG12" s="118">
        <v>1</v>
      </c>
      <c r="EH12" s="160">
        <v>1</v>
      </c>
      <c r="EI12" s="118">
        <v>0</v>
      </c>
      <c r="EJ12" s="161">
        <v>1</v>
      </c>
      <c r="EK12" s="160">
        <v>1</v>
      </c>
      <c r="EL12" s="118">
        <v>0</v>
      </c>
      <c r="EM12" s="161">
        <v>1</v>
      </c>
      <c r="EN12" s="160">
        <v>1</v>
      </c>
      <c r="EO12" s="118">
        <v>0</v>
      </c>
      <c r="EP12" s="161">
        <v>1</v>
      </c>
      <c r="EQ12" s="160">
        <v>1</v>
      </c>
      <c r="ER12" s="118">
        <v>0</v>
      </c>
      <c r="ES12" s="161">
        <v>1</v>
      </c>
      <c r="ET12" s="160">
        <v>1</v>
      </c>
      <c r="EU12" s="118">
        <v>0</v>
      </c>
      <c r="EV12" s="161">
        <f t="shared" si="12"/>
        <v>1</v>
      </c>
    </row>
    <row r="13" spans="2:152" ht="15" customHeight="1" x14ac:dyDescent="0.2">
      <c r="B13" s="129" t="s">
        <v>210</v>
      </c>
      <c r="C13" s="160"/>
      <c r="D13" s="118"/>
      <c r="E13" s="161"/>
      <c r="F13" s="160"/>
      <c r="G13" s="118"/>
      <c r="H13" s="161"/>
      <c r="I13" s="160"/>
      <c r="J13" s="118"/>
      <c r="K13" s="161"/>
      <c r="L13" s="160"/>
      <c r="M13" s="118"/>
      <c r="N13" s="161"/>
      <c r="O13" s="160"/>
      <c r="P13" s="118"/>
      <c r="Q13" s="161"/>
      <c r="R13" s="160"/>
      <c r="S13" s="118"/>
      <c r="T13" s="161"/>
      <c r="U13" s="160"/>
      <c r="V13" s="118"/>
      <c r="W13" s="161"/>
      <c r="X13" s="160"/>
      <c r="Y13" s="118"/>
      <c r="Z13" s="161"/>
      <c r="AA13" s="160"/>
      <c r="AB13" s="118"/>
      <c r="AC13" s="161"/>
      <c r="AD13" s="160"/>
      <c r="AE13" s="118"/>
      <c r="AF13" s="161"/>
      <c r="AG13" s="160"/>
      <c r="AH13" s="118"/>
      <c r="AI13" s="161"/>
      <c r="AJ13" s="160"/>
      <c r="AK13" s="118"/>
      <c r="AL13" s="161"/>
      <c r="AM13" s="118"/>
      <c r="AN13" s="118"/>
      <c r="AO13" s="118"/>
      <c r="AP13" s="160"/>
      <c r="AQ13" s="118"/>
      <c r="AR13" s="161"/>
      <c r="AS13" s="118"/>
      <c r="AT13" s="118"/>
      <c r="AU13" s="118"/>
      <c r="AV13" s="160"/>
      <c r="AW13" s="118"/>
      <c r="AX13" s="161"/>
      <c r="AY13" s="160"/>
      <c r="AZ13" s="118"/>
      <c r="BA13" s="161"/>
      <c r="BB13" s="160"/>
      <c r="BC13" s="118"/>
      <c r="BD13" s="161"/>
      <c r="BE13" s="160"/>
      <c r="BF13" s="118"/>
      <c r="BG13" s="161"/>
      <c r="BH13" s="160"/>
      <c r="BI13" s="118"/>
      <c r="BJ13" s="161"/>
      <c r="BK13" s="160"/>
      <c r="BL13" s="118"/>
      <c r="BM13" s="161"/>
      <c r="BN13" s="160"/>
      <c r="BO13" s="118"/>
      <c r="BP13" s="161"/>
      <c r="BQ13" s="160"/>
      <c r="BR13" s="118"/>
      <c r="BS13" s="161"/>
      <c r="BT13" s="118"/>
      <c r="BU13" s="118"/>
      <c r="BV13" s="118"/>
      <c r="BW13" s="160"/>
      <c r="BX13" s="118"/>
      <c r="BY13" s="161"/>
      <c r="BZ13" s="160"/>
      <c r="CA13" s="118"/>
      <c r="CB13" s="161"/>
      <c r="CC13" s="160"/>
      <c r="CD13" s="118"/>
      <c r="CE13" s="161"/>
      <c r="CF13" s="160"/>
      <c r="CG13" s="118"/>
      <c r="CH13" s="161"/>
      <c r="CI13" s="160"/>
      <c r="CJ13" s="118"/>
      <c r="CK13" s="161"/>
      <c r="CL13" s="160"/>
      <c r="CM13" s="118"/>
      <c r="CN13" s="161"/>
      <c r="CO13" s="160"/>
      <c r="CP13" s="118"/>
      <c r="CQ13" s="161"/>
      <c r="CR13" s="160"/>
      <c r="CS13" s="118"/>
      <c r="CT13" s="161"/>
      <c r="CU13" s="160"/>
      <c r="CV13" s="118"/>
      <c r="CW13" s="161"/>
      <c r="CX13" s="160"/>
      <c r="CY13" s="118"/>
      <c r="CZ13" s="161"/>
      <c r="DA13" s="160"/>
      <c r="DB13" s="118"/>
      <c r="DC13" s="161"/>
      <c r="DD13" s="160"/>
      <c r="DE13" s="118"/>
      <c r="DF13" s="161"/>
      <c r="DG13" s="160">
        <v>15485</v>
      </c>
      <c r="DH13" s="118">
        <v>0</v>
      </c>
      <c r="DI13" s="161">
        <v>15485</v>
      </c>
      <c r="DJ13" s="160">
        <v>64977</v>
      </c>
      <c r="DK13" s="118">
        <v>0</v>
      </c>
      <c r="DL13" s="161">
        <f t="shared" si="8"/>
        <v>64977</v>
      </c>
      <c r="DM13" s="160">
        <v>60364</v>
      </c>
      <c r="DN13" s="118">
        <v>0</v>
      </c>
      <c r="DO13" s="161">
        <v>60364</v>
      </c>
      <c r="DP13" s="160">
        <v>58399</v>
      </c>
      <c r="DQ13" s="118">
        <v>0</v>
      </c>
      <c r="DR13" s="161">
        <v>58399</v>
      </c>
      <c r="DS13" s="160">
        <v>61371</v>
      </c>
      <c r="DT13" s="118">
        <v>0</v>
      </c>
      <c r="DU13" s="161">
        <v>61371</v>
      </c>
      <c r="DV13" s="160">
        <v>65059</v>
      </c>
      <c r="DW13" s="118">
        <v>0</v>
      </c>
      <c r="DX13" s="161">
        <f t="shared" si="9"/>
        <v>65059</v>
      </c>
      <c r="DY13" s="160">
        <v>0</v>
      </c>
      <c r="DZ13" s="118">
        <v>0</v>
      </c>
      <c r="EA13" s="161">
        <f t="shared" si="10"/>
        <v>0</v>
      </c>
      <c r="EB13" s="160">
        <v>0</v>
      </c>
      <c r="EC13" s="118">
        <v>0</v>
      </c>
      <c r="ED13" s="161">
        <f t="shared" si="11"/>
        <v>0</v>
      </c>
      <c r="EE13" s="118">
        <v>0</v>
      </c>
      <c r="EF13" s="118">
        <v>0</v>
      </c>
      <c r="EG13" s="118">
        <v>0</v>
      </c>
      <c r="EH13" s="160">
        <v>0</v>
      </c>
      <c r="EI13" s="118">
        <v>0</v>
      </c>
      <c r="EJ13" s="161">
        <v>0</v>
      </c>
      <c r="EK13" s="160">
        <v>0</v>
      </c>
      <c r="EL13" s="118">
        <v>0</v>
      </c>
      <c r="EM13" s="161">
        <v>0</v>
      </c>
      <c r="EN13" s="160">
        <v>0</v>
      </c>
      <c r="EO13" s="118">
        <v>0</v>
      </c>
      <c r="EP13" s="161">
        <v>0</v>
      </c>
      <c r="EQ13" s="160">
        <v>0</v>
      </c>
      <c r="ER13" s="118">
        <v>0</v>
      </c>
      <c r="ES13" s="161">
        <v>0</v>
      </c>
      <c r="ET13" s="160">
        <v>0</v>
      </c>
      <c r="EU13" s="118">
        <v>0</v>
      </c>
      <c r="EV13" s="161">
        <f t="shared" si="12"/>
        <v>0</v>
      </c>
    </row>
    <row r="14" spans="2:152" ht="15" customHeight="1" x14ac:dyDescent="0.2">
      <c r="B14" s="129" t="s">
        <v>1276</v>
      </c>
      <c r="C14" s="160" t="s">
        <v>160</v>
      </c>
      <c r="D14" s="118" t="s">
        <v>160</v>
      </c>
      <c r="E14" s="161" t="s">
        <v>160</v>
      </c>
      <c r="F14" s="160" t="s">
        <v>160</v>
      </c>
      <c r="G14" s="118" t="s">
        <v>160</v>
      </c>
      <c r="H14" s="161" t="s">
        <v>160</v>
      </c>
      <c r="I14" s="160" t="s">
        <v>160</v>
      </c>
      <c r="J14" s="118" t="s">
        <v>160</v>
      </c>
      <c r="K14" s="161" t="s">
        <v>160</v>
      </c>
      <c r="L14" s="160" t="s">
        <v>160</v>
      </c>
      <c r="M14" s="118" t="s">
        <v>160</v>
      </c>
      <c r="N14" s="161" t="s">
        <v>160</v>
      </c>
      <c r="O14" s="160" t="s">
        <v>160</v>
      </c>
      <c r="P14" s="118" t="s">
        <v>160</v>
      </c>
      <c r="Q14" s="161" t="s">
        <v>160</v>
      </c>
      <c r="R14" s="160" t="s">
        <v>160</v>
      </c>
      <c r="S14" s="118" t="s">
        <v>160</v>
      </c>
      <c r="T14" s="161" t="s">
        <v>160</v>
      </c>
      <c r="U14" s="160" t="s">
        <v>160</v>
      </c>
      <c r="V14" s="118" t="s">
        <v>160</v>
      </c>
      <c r="W14" s="161" t="s">
        <v>160</v>
      </c>
      <c r="X14" s="160" t="s">
        <v>160</v>
      </c>
      <c r="Y14" s="118" t="s">
        <v>160</v>
      </c>
      <c r="Z14" s="161" t="s">
        <v>160</v>
      </c>
      <c r="AA14" s="160" t="s">
        <v>160</v>
      </c>
      <c r="AB14" s="118" t="s">
        <v>160</v>
      </c>
      <c r="AC14" s="161" t="s">
        <v>160</v>
      </c>
      <c r="AD14" s="160" t="s">
        <v>160</v>
      </c>
      <c r="AE14" s="118" t="s">
        <v>160</v>
      </c>
      <c r="AF14" s="161" t="s">
        <v>160</v>
      </c>
      <c r="AG14" s="160" t="s">
        <v>160</v>
      </c>
      <c r="AH14" s="118" t="s">
        <v>160</v>
      </c>
      <c r="AI14" s="161" t="s">
        <v>160</v>
      </c>
      <c r="AJ14" s="160" t="s">
        <v>160</v>
      </c>
      <c r="AK14" s="118" t="s">
        <v>160</v>
      </c>
      <c r="AL14" s="161" t="s">
        <v>160</v>
      </c>
      <c r="AM14" s="118" t="s">
        <v>160</v>
      </c>
      <c r="AN14" s="118" t="s">
        <v>160</v>
      </c>
      <c r="AO14" s="118" t="s">
        <v>160</v>
      </c>
      <c r="AP14" s="160" t="s">
        <v>160</v>
      </c>
      <c r="AQ14" s="118" t="s">
        <v>160</v>
      </c>
      <c r="AR14" s="161" t="s">
        <v>160</v>
      </c>
      <c r="AS14" s="118" t="s">
        <v>160</v>
      </c>
      <c r="AT14" s="118" t="s">
        <v>160</v>
      </c>
      <c r="AU14" s="118" t="s">
        <v>160</v>
      </c>
      <c r="AV14" s="160" t="s">
        <v>160</v>
      </c>
      <c r="AW14" s="118" t="s">
        <v>160</v>
      </c>
      <c r="AX14" s="161" t="s">
        <v>160</v>
      </c>
      <c r="AY14" s="160" t="s">
        <v>160</v>
      </c>
      <c r="AZ14" s="118" t="s">
        <v>160</v>
      </c>
      <c r="BA14" s="161" t="s">
        <v>160</v>
      </c>
      <c r="BB14" s="160" t="s">
        <v>160</v>
      </c>
      <c r="BC14" s="118" t="s">
        <v>160</v>
      </c>
      <c r="BD14" s="161" t="s">
        <v>160</v>
      </c>
      <c r="BE14" s="160" t="s">
        <v>160</v>
      </c>
      <c r="BF14" s="118" t="s">
        <v>160</v>
      </c>
      <c r="BG14" s="161" t="s">
        <v>160</v>
      </c>
      <c r="BH14" s="160" t="s">
        <v>160</v>
      </c>
      <c r="BI14" s="118" t="s">
        <v>160</v>
      </c>
      <c r="BJ14" s="161" t="s">
        <v>160</v>
      </c>
      <c r="BK14" s="160" t="s">
        <v>160</v>
      </c>
      <c r="BL14" s="118" t="s">
        <v>160</v>
      </c>
      <c r="BM14" s="161" t="s">
        <v>160</v>
      </c>
      <c r="BN14" s="160" t="s">
        <v>160</v>
      </c>
      <c r="BO14" s="118" t="s">
        <v>160</v>
      </c>
      <c r="BP14" s="161" t="s">
        <v>160</v>
      </c>
      <c r="BQ14" s="160" t="s">
        <v>160</v>
      </c>
      <c r="BR14" s="118" t="s">
        <v>160</v>
      </c>
      <c r="BS14" s="161" t="s">
        <v>160</v>
      </c>
      <c r="BT14" s="118" t="s">
        <v>160</v>
      </c>
      <c r="BU14" s="118" t="s">
        <v>160</v>
      </c>
      <c r="BV14" s="118" t="s">
        <v>160</v>
      </c>
      <c r="BW14" s="160" t="s">
        <v>160</v>
      </c>
      <c r="BX14" s="118" t="s">
        <v>160</v>
      </c>
      <c r="BY14" s="161" t="s">
        <v>160</v>
      </c>
      <c r="BZ14" s="160" t="s">
        <v>160</v>
      </c>
      <c r="CA14" s="118" t="s">
        <v>160</v>
      </c>
      <c r="CB14" s="161" t="s">
        <v>160</v>
      </c>
      <c r="CC14" s="160" t="s">
        <v>160</v>
      </c>
      <c r="CD14" s="118" t="s">
        <v>160</v>
      </c>
      <c r="CE14" s="161" t="s">
        <v>160</v>
      </c>
      <c r="CF14" s="160" t="s">
        <v>160</v>
      </c>
      <c r="CG14" s="118" t="s">
        <v>160</v>
      </c>
      <c r="CH14" s="161" t="s">
        <v>160</v>
      </c>
      <c r="CI14" s="160" t="s">
        <v>160</v>
      </c>
      <c r="CJ14" s="118" t="s">
        <v>160</v>
      </c>
      <c r="CK14" s="161" t="s">
        <v>160</v>
      </c>
      <c r="CL14" s="160" t="s">
        <v>160</v>
      </c>
      <c r="CM14" s="118" t="s">
        <v>160</v>
      </c>
      <c r="CN14" s="161" t="s">
        <v>160</v>
      </c>
      <c r="CO14" s="160" t="s">
        <v>160</v>
      </c>
      <c r="CP14" s="118" t="s">
        <v>160</v>
      </c>
      <c r="CQ14" s="161" t="s">
        <v>160</v>
      </c>
      <c r="CR14" s="160" t="s">
        <v>160</v>
      </c>
      <c r="CS14" s="118" t="s">
        <v>160</v>
      </c>
      <c r="CT14" s="161" t="s">
        <v>160</v>
      </c>
      <c r="CU14" s="160" t="s">
        <v>160</v>
      </c>
      <c r="CV14" s="118" t="s">
        <v>160</v>
      </c>
      <c r="CW14" s="161" t="s">
        <v>160</v>
      </c>
      <c r="CX14" s="160" t="s">
        <v>160</v>
      </c>
      <c r="CY14" s="118" t="s">
        <v>160</v>
      </c>
      <c r="CZ14" s="161" t="s">
        <v>160</v>
      </c>
      <c r="DA14" s="160" t="s">
        <v>160</v>
      </c>
      <c r="DB14" s="118" t="s">
        <v>160</v>
      </c>
      <c r="DC14" s="161" t="s">
        <v>160</v>
      </c>
      <c r="DD14" s="160" t="s">
        <v>160</v>
      </c>
      <c r="DE14" s="118" t="s">
        <v>160</v>
      </c>
      <c r="DF14" s="161" t="s">
        <v>160</v>
      </c>
      <c r="DG14" s="160" t="s">
        <v>160</v>
      </c>
      <c r="DH14" s="118" t="s">
        <v>160</v>
      </c>
      <c r="DI14" s="161" t="s">
        <v>160</v>
      </c>
      <c r="DJ14" s="160" t="s">
        <v>160</v>
      </c>
      <c r="DK14" s="118" t="s">
        <v>160</v>
      </c>
      <c r="DL14" s="161" t="s">
        <v>160</v>
      </c>
      <c r="DM14" s="160" t="s">
        <v>160</v>
      </c>
      <c r="DN14" s="118" t="s">
        <v>160</v>
      </c>
      <c r="DO14" s="161" t="s">
        <v>160</v>
      </c>
      <c r="DP14" s="160" t="s">
        <v>160</v>
      </c>
      <c r="DQ14" s="118" t="s">
        <v>160</v>
      </c>
      <c r="DR14" s="161" t="s">
        <v>160</v>
      </c>
      <c r="DS14" s="160" t="s">
        <v>160</v>
      </c>
      <c r="DT14" s="118" t="s">
        <v>160</v>
      </c>
      <c r="DU14" s="161" t="s">
        <v>160</v>
      </c>
      <c r="DV14" s="160" t="s">
        <v>160</v>
      </c>
      <c r="DW14" s="118" t="s">
        <v>160</v>
      </c>
      <c r="DX14" s="161" t="s">
        <v>160</v>
      </c>
      <c r="DY14" s="160">
        <v>7969</v>
      </c>
      <c r="DZ14" s="118">
        <v>0</v>
      </c>
      <c r="EA14" s="161">
        <f t="shared" si="10"/>
        <v>7969</v>
      </c>
      <c r="EB14" s="160">
        <v>9066</v>
      </c>
      <c r="EC14" s="118">
        <v>0</v>
      </c>
      <c r="ED14" s="161">
        <f t="shared" si="11"/>
        <v>9066</v>
      </c>
      <c r="EE14" s="118">
        <v>10425</v>
      </c>
      <c r="EF14" s="118">
        <v>0</v>
      </c>
      <c r="EG14" s="118">
        <v>10425</v>
      </c>
      <c r="EH14" s="160">
        <v>11416</v>
      </c>
      <c r="EI14" s="118">
        <v>0</v>
      </c>
      <c r="EJ14" s="161">
        <v>11416</v>
      </c>
      <c r="EK14" s="160">
        <v>26244</v>
      </c>
      <c r="EL14" s="118">
        <v>0</v>
      </c>
      <c r="EM14" s="161">
        <v>26244</v>
      </c>
      <c r="EN14" s="160">
        <v>28449</v>
      </c>
      <c r="EO14" s="118">
        <v>0</v>
      </c>
      <c r="EP14" s="161">
        <v>28449</v>
      </c>
      <c r="EQ14" s="160">
        <v>29061</v>
      </c>
      <c r="ER14" s="118">
        <v>0</v>
      </c>
      <c r="ES14" s="161">
        <v>29061</v>
      </c>
      <c r="ET14" s="160">
        <v>30292</v>
      </c>
      <c r="EU14" s="118">
        <v>0</v>
      </c>
      <c r="EV14" s="161">
        <f t="shared" si="12"/>
        <v>30292</v>
      </c>
    </row>
    <row r="15" spans="2:152" s="311" customFormat="1" ht="15" hidden="1" customHeight="1" outlineLevel="1" x14ac:dyDescent="0.2">
      <c r="B15" s="318" t="s">
        <v>922</v>
      </c>
      <c r="C15" s="319" t="s">
        <v>160</v>
      </c>
      <c r="D15" s="312" t="s">
        <v>160</v>
      </c>
      <c r="E15" s="332" t="s">
        <v>160</v>
      </c>
      <c r="F15" s="319" t="s">
        <v>160</v>
      </c>
      <c r="G15" s="312" t="s">
        <v>160</v>
      </c>
      <c r="H15" s="332" t="s">
        <v>160</v>
      </c>
      <c r="I15" s="319" t="s">
        <v>160</v>
      </c>
      <c r="J15" s="312" t="s">
        <v>160</v>
      </c>
      <c r="K15" s="332" t="s">
        <v>160</v>
      </c>
      <c r="L15" s="319" t="s">
        <v>160</v>
      </c>
      <c r="M15" s="312" t="s">
        <v>160</v>
      </c>
      <c r="N15" s="332" t="s">
        <v>160</v>
      </c>
      <c r="O15" s="319" t="s">
        <v>160</v>
      </c>
      <c r="P15" s="312" t="s">
        <v>160</v>
      </c>
      <c r="Q15" s="332" t="s">
        <v>160</v>
      </c>
      <c r="R15" s="319" t="s">
        <v>160</v>
      </c>
      <c r="S15" s="312" t="s">
        <v>160</v>
      </c>
      <c r="T15" s="332" t="s">
        <v>160</v>
      </c>
      <c r="U15" s="319" t="s">
        <v>160</v>
      </c>
      <c r="V15" s="312" t="s">
        <v>160</v>
      </c>
      <c r="W15" s="332" t="s">
        <v>160</v>
      </c>
      <c r="X15" s="319" t="s">
        <v>160</v>
      </c>
      <c r="Y15" s="312" t="s">
        <v>160</v>
      </c>
      <c r="Z15" s="332" t="s">
        <v>160</v>
      </c>
      <c r="AA15" s="319" t="s">
        <v>160</v>
      </c>
      <c r="AB15" s="312" t="s">
        <v>160</v>
      </c>
      <c r="AC15" s="332" t="s">
        <v>160</v>
      </c>
      <c r="AD15" s="319" t="s">
        <v>160</v>
      </c>
      <c r="AE15" s="312" t="s">
        <v>160</v>
      </c>
      <c r="AF15" s="332" t="s">
        <v>160</v>
      </c>
      <c r="AG15" s="319" t="s">
        <v>160</v>
      </c>
      <c r="AH15" s="312" t="s">
        <v>160</v>
      </c>
      <c r="AI15" s="332" t="s">
        <v>160</v>
      </c>
      <c r="AJ15" s="319" t="s">
        <v>160</v>
      </c>
      <c r="AK15" s="312" t="s">
        <v>160</v>
      </c>
      <c r="AL15" s="332" t="s">
        <v>160</v>
      </c>
      <c r="AM15" s="312" t="s">
        <v>160</v>
      </c>
      <c r="AN15" s="312" t="s">
        <v>160</v>
      </c>
      <c r="AO15" s="312" t="s">
        <v>160</v>
      </c>
      <c r="AP15" s="319" t="s">
        <v>160</v>
      </c>
      <c r="AQ15" s="312" t="s">
        <v>160</v>
      </c>
      <c r="AR15" s="332" t="s">
        <v>160</v>
      </c>
      <c r="AS15" s="312" t="s">
        <v>160</v>
      </c>
      <c r="AT15" s="312" t="s">
        <v>160</v>
      </c>
      <c r="AU15" s="312" t="s">
        <v>160</v>
      </c>
      <c r="AV15" s="319" t="s">
        <v>160</v>
      </c>
      <c r="AW15" s="312" t="s">
        <v>160</v>
      </c>
      <c r="AX15" s="332" t="s">
        <v>160</v>
      </c>
      <c r="AY15" s="319" t="s">
        <v>160</v>
      </c>
      <c r="AZ15" s="312" t="s">
        <v>160</v>
      </c>
      <c r="BA15" s="332" t="s">
        <v>160</v>
      </c>
      <c r="BB15" s="319" t="s">
        <v>160</v>
      </c>
      <c r="BC15" s="312" t="s">
        <v>160</v>
      </c>
      <c r="BD15" s="332" t="s">
        <v>160</v>
      </c>
      <c r="BE15" s="319" t="s">
        <v>160</v>
      </c>
      <c r="BF15" s="312" t="s">
        <v>160</v>
      </c>
      <c r="BG15" s="332" t="s">
        <v>160</v>
      </c>
      <c r="BH15" s="319" t="s">
        <v>160</v>
      </c>
      <c r="BI15" s="312" t="s">
        <v>160</v>
      </c>
      <c r="BJ15" s="332" t="s">
        <v>160</v>
      </c>
      <c r="BK15" s="319" t="s">
        <v>160</v>
      </c>
      <c r="BL15" s="312" t="s">
        <v>160</v>
      </c>
      <c r="BM15" s="332" t="s">
        <v>160</v>
      </c>
      <c r="BN15" s="319" t="s">
        <v>160</v>
      </c>
      <c r="BO15" s="312" t="s">
        <v>160</v>
      </c>
      <c r="BP15" s="332" t="s">
        <v>160</v>
      </c>
      <c r="BQ15" s="319" t="s">
        <v>160</v>
      </c>
      <c r="BR15" s="312" t="s">
        <v>160</v>
      </c>
      <c r="BS15" s="332" t="s">
        <v>160</v>
      </c>
      <c r="BT15" s="312" t="s">
        <v>160</v>
      </c>
      <c r="BU15" s="312" t="s">
        <v>160</v>
      </c>
      <c r="BV15" s="312" t="s">
        <v>160</v>
      </c>
      <c r="BW15" s="319" t="s">
        <v>160</v>
      </c>
      <c r="BX15" s="312" t="s">
        <v>160</v>
      </c>
      <c r="BY15" s="332" t="s">
        <v>160</v>
      </c>
      <c r="BZ15" s="319">
        <v>1</v>
      </c>
      <c r="CA15" s="312">
        <v>0</v>
      </c>
      <c r="CB15" s="332">
        <v>1</v>
      </c>
      <c r="CC15" s="319">
        <v>1</v>
      </c>
      <c r="CD15" s="312">
        <v>0</v>
      </c>
      <c r="CE15" s="332">
        <v>1</v>
      </c>
      <c r="CF15" s="319">
        <v>1</v>
      </c>
      <c r="CG15" s="312">
        <v>0</v>
      </c>
      <c r="CH15" s="332">
        <f t="shared" si="5"/>
        <v>1</v>
      </c>
      <c r="CI15" s="319">
        <v>0</v>
      </c>
      <c r="CJ15" s="312">
        <v>0</v>
      </c>
      <c r="CK15" s="332">
        <v>0</v>
      </c>
      <c r="CL15" s="319">
        <v>0</v>
      </c>
      <c r="CM15" s="312">
        <v>0</v>
      </c>
      <c r="CN15" s="332">
        <f t="shared" si="6"/>
        <v>0</v>
      </c>
      <c r="CO15" s="319">
        <v>0</v>
      </c>
      <c r="CP15" s="312">
        <v>0</v>
      </c>
      <c r="CQ15" s="332">
        <v>0</v>
      </c>
      <c r="CR15" s="319">
        <v>0</v>
      </c>
      <c r="CS15" s="312">
        <v>0</v>
      </c>
      <c r="CT15" s="332">
        <v>0</v>
      </c>
      <c r="CU15" s="319">
        <v>0</v>
      </c>
      <c r="CV15" s="312">
        <v>0</v>
      </c>
      <c r="CW15" s="332">
        <f t="shared" si="7"/>
        <v>0</v>
      </c>
      <c r="CX15" s="319">
        <v>0</v>
      </c>
      <c r="CY15" s="312">
        <v>0</v>
      </c>
      <c r="CZ15" s="332">
        <v>0</v>
      </c>
      <c r="DA15" s="319">
        <v>0</v>
      </c>
      <c r="DB15" s="312">
        <v>0</v>
      </c>
      <c r="DC15" s="332">
        <f>SUM(DA15:DB15)</f>
        <v>0</v>
      </c>
      <c r="DD15" s="319">
        <v>0</v>
      </c>
      <c r="DE15" s="312">
        <v>0</v>
      </c>
      <c r="DF15" s="332">
        <f t="shared" ref="DF15:DF20" si="13">SUM(DD15:DE15)</f>
        <v>0</v>
      </c>
      <c r="DG15" s="319">
        <v>0</v>
      </c>
      <c r="DH15" s="312">
        <v>0</v>
      </c>
      <c r="DI15" s="332">
        <f>SUM(DG15:DH15)</f>
        <v>0</v>
      </c>
      <c r="DJ15" s="319">
        <v>0</v>
      </c>
      <c r="DK15" s="312">
        <v>0</v>
      </c>
      <c r="DL15" s="332">
        <f t="shared" si="8"/>
        <v>0</v>
      </c>
      <c r="DM15" s="319">
        <v>0</v>
      </c>
      <c r="DN15" s="312">
        <v>0</v>
      </c>
      <c r="DO15" s="332">
        <f>SUM(DM15:DN15)</f>
        <v>0</v>
      </c>
      <c r="DP15" s="319">
        <v>0</v>
      </c>
      <c r="DQ15" s="312">
        <v>0</v>
      </c>
      <c r="DR15" s="332">
        <f>SUM(DP15:DQ15)</f>
        <v>0</v>
      </c>
      <c r="DS15" s="319">
        <v>0</v>
      </c>
      <c r="DT15" s="312">
        <v>0</v>
      </c>
      <c r="DU15" s="332">
        <f>SUM(DS15:DT15)</f>
        <v>0</v>
      </c>
      <c r="DV15" s="319">
        <v>0</v>
      </c>
      <c r="DW15" s="312">
        <v>0</v>
      </c>
      <c r="DX15" s="332">
        <f t="shared" si="9"/>
        <v>0</v>
      </c>
      <c r="DY15" s="319"/>
      <c r="DZ15" s="312"/>
      <c r="EA15" s="332"/>
      <c r="EB15" s="319">
        <v>0</v>
      </c>
      <c r="EC15" s="312">
        <v>0</v>
      </c>
      <c r="ED15" s="332">
        <f t="shared" si="11"/>
        <v>0</v>
      </c>
      <c r="EE15" s="312">
        <v>0</v>
      </c>
      <c r="EF15" s="312">
        <v>0</v>
      </c>
      <c r="EG15" s="312">
        <v>0</v>
      </c>
      <c r="EH15" s="319">
        <v>0</v>
      </c>
      <c r="EI15" s="312">
        <v>0</v>
      </c>
      <c r="EJ15" s="332">
        <f t="shared" ref="EJ15:EJ20" si="14">SUM(EH15:EI15)</f>
        <v>0</v>
      </c>
      <c r="EK15" s="319">
        <v>0</v>
      </c>
      <c r="EL15" s="312">
        <v>0</v>
      </c>
      <c r="EM15" s="332">
        <f t="shared" ref="EM15:EM20" si="15">SUM(EK15:EL15)</f>
        <v>0</v>
      </c>
      <c r="EN15" s="319">
        <v>0</v>
      </c>
      <c r="EO15" s="312">
        <v>0</v>
      </c>
      <c r="EP15" s="332">
        <f t="shared" ref="EP15:EP20" si="16">SUM(EN15:EO15)</f>
        <v>0</v>
      </c>
      <c r="EQ15" s="319">
        <v>0</v>
      </c>
      <c r="ER15" s="312">
        <v>0</v>
      </c>
      <c r="ES15" s="332">
        <f t="shared" ref="ES15:ES20" si="17">SUM(EQ15:ER15)</f>
        <v>0</v>
      </c>
      <c r="ET15" s="319">
        <v>0</v>
      </c>
      <c r="EU15" s="312">
        <v>0</v>
      </c>
      <c r="EV15" s="332">
        <f t="shared" si="12"/>
        <v>0</v>
      </c>
    </row>
    <row r="16" spans="2:152" ht="15" hidden="1" customHeight="1" outlineLevel="1" x14ac:dyDescent="0.2">
      <c r="B16" s="318" t="s">
        <v>478</v>
      </c>
      <c r="C16" s="319">
        <v>0</v>
      </c>
      <c r="D16" s="312">
        <v>0</v>
      </c>
      <c r="E16" s="332">
        <v>0</v>
      </c>
      <c r="F16" s="319">
        <v>0</v>
      </c>
      <c r="G16" s="312">
        <v>0</v>
      </c>
      <c r="H16" s="332">
        <v>0</v>
      </c>
      <c r="I16" s="319">
        <v>0</v>
      </c>
      <c r="J16" s="312">
        <v>0</v>
      </c>
      <c r="K16" s="332">
        <v>0</v>
      </c>
      <c r="L16" s="319">
        <v>0</v>
      </c>
      <c r="M16" s="312">
        <v>0</v>
      </c>
      <c r="N16" s="332">
        <v>0</v>
      </c>
      <c r="O16" s="319">
        <v>0</v>
      </c>
      <c r="P16" s="312">
        <v>0</v>
      </c>
      <c r="Q16" s="332">
        <v>0</v>
      </c>
      <c r="R16" s="319">
        <v>0</v>
      </c>
      <c r="S16" s="312">
        <v>0</v>
      </c>
      <c r="T16" s="332">
        <v>0</v>
      </c>
      <c r="U16" s="319">
        <v>0</v>
      </c>
      <c r="V16" s="312">
        <v>0</v>
      </c>
      <c r="W16" s="332">
        <v>0</v>
      </c>
      <c r="X16" s="319">
        <v>0</v>
      </c>
      <c r="Y16" s="312">
        <v>0</v>
      </c>
      <c r="Z16" s="332">
        <v>0</v>
      </c>
      <c r="AA16" s="319">
        <v>0</v>
      </c>
      <c r="AB16" s="312">
        <v>0</v>
      </c>
      <c r="AC16" s="332">
        <f>SUM(AA16:AB16)</f>
        <v>0</v>
      </c>
      <c r="AD16" s="319">
        <v>30636</v>
      </c>
      <c r="AE16" s="312">
        <v>0</v>
      </c>
      <c r="AF16" s="332">
        <f>SUM(AD16:AE16)</f>
        <v>30636</v>
      </c>
      <c r="AG16" s="319">
        <v>30627</v>
      </c>
      <c r="AH16" s="312">
        <v>0</v>
      </c>
      <c r="AI16" s="332">
        <f>SUM(AG16:AH16)</f>
        <v>30627</v>
      </c>
      <c r="AJ16" s="319">
        <v>30769</v>
      </c>
      <c r="AK16" s="312">
        <v>0</v>
      </c>
      <c r="AL16" s="332">
        <v>30769</v>
      </c>
      <c r="AM16" s="312">
        <v>30136</v>
      </c>
      <c r="AN16" s="312">
        <v>0</v>
      </c>
      <c r="AO16" s="312">
        <v>30136</v>
      </c>
      <c r="AP16" s="319">
        <v>30078</v>
      </c>
      <c r="AQ16" s="312">
        <v>0</v>
      </c>
      <c r="AR16" s="332">
        <v>30078</v>
      </c>
      <c r="AS16" s="312">
        <v>30052</v>
      </c>
      <c r="AT16" s="312">
        <v>0</v>
      </c>
      <c r="AU16" s="312">
        <v>30052</v>
      </c>
      <c r="AV16" s="319">
        <v>26655</v>
      </c>
      <c r="AW16" s="312">
        <v>0</v>
      </c>
      <c r="AX16" s="332">
        <v>26655</v>
      </c>
      <c r="AY16" s="319">
        <v>22864</v>
      </c>
      <c r="AZ16" s="312">
        <v>0</v>
      </c>
      <c r="BA16" s="161">
        <v>22864</v>
      </c>
      <c r="BB16" s="319">
        <v>16926</v>
      </c>
      <c r="BC16" s="312">
        <v>0</v>
      </c>
      <c r="BD16" s="161">
        <f>SUM(BB16:BC16)</f>
        <v>16926</v>
      </c>
      <c r="BE16" s="319">
        <v>17065</v>
      </c>
      <c r="BF16" s="312">
        <v>0</v>
      </c>
      <c r="BG16" s="161">
        <f>SUM(BE16:BF16)</f>
        <v>17065</v>
      </c>
      <c r="BH16" s="319">
        <v>17089</v>
      </c>
      <c r="BI16" s="312">
        <v>0</v>
      </c>
      <c r="BJ16" s="161">
        <f>SUM(BH16:BI16)</f>
        <v>17089</v>
      </c>
      <c r="BK16" s="319">
        <v>15248</v>
      </c>
      <c r="BL16" s="312">
        <v>0</v>
      </c>
      <c r="BM16" s="161">
        <f>SUM(BK16:BL16)</f>
        <v>15248</v>
      </c>
      <c r="BN16" s="319">
        <v>15026</v>
      </c>
      <c r="BO16" s="312">
        <v>0</v>
      </c>
      <c r="BP16" s="161">
        <f>SUM(BN16:BO16)</f>
        <v>15026</v>
      </c>
      <c r="BQ16" s="319">
        <v>16000</v>
      </c>
      <c r="BR16" s="312">
        <v>0</v>
      </c>
      <c r="BS16" s="161">
        <f>SUM(BQ16:BR16)</f>
        <v>16000</v>
      </c>
      <c r="BT16" s="118">
        <v>16817</v>
      </c>
      <c r="BU16" s="118">
        <v>0</v>
      </c>
      <c r="BV16" s="118">
        <v>16817</v>
      </c>
      <c r="BW16" s="319">
        <v>14752</v>
      </c>
      <c r="BX16" s="312">
        <v>0</v>
      </c>
      <c r="BY16" s="161">
        <v>14752</v>
      </c>
      <c r="BZ16" s="319">
        <v>18083</v>
      </c>
      <c r="CA16" s="312">
        <v>0</v>
      </c>
      <c r="CB16" s="161">
        <v>18083</v>
      </c>
      <c r="CC16" s="319">
        <v>19849</v>
      </c>
      <c r="CD16" s="312">
        <v>0</v>
      </c>
      <c r="CE16" s="161">
        <v>19849</v>
      </c>
      <c r="CF16" s="319">
        <v>22317</v>
      </c>
      <c r="CG16" s="312">
        <v>0</v>
      </c>
      <c r="CH16" s="161">
        <f>SUM(CF16:CG16)</f>
        <v>22317</v>
      </c>
      <c r="CI16" s="319">
        <v>25326</v>
      </c>
      <c r="CJ16" s="312">
        <v>0</v>
      </c>
      <c r="CK16" s="161">
        <v>25326</v>
      </c>
      <c r="CL16" s="319">
        <v>26950</v>
      </c>
      <c r="CM16" s="312">
        <v>0</v>
      </c>
      <c r="CN16" s="161">
        <f>SUM(CL16:CM16)</f>
        <v>26950</v>
      </c>
      <c r="CO16" s="319">
        <v>28609</v>
      </c>
      <c r="CP16" s="312">
        <v>0</v>
      </c>
      <c r="CQ16" s="161">
        <f>SUM(CO16:CP16)</f>
        <v>28609</v>
      </c>
      <c r="CR16" s="319">
        <v>42735</v>
      </c>
      <c r="CS16" s="312">
        <v>0</v>
      </c>
      <c r="CT16" s="161">
        <v>42735</v>
      </c>
      <c r="CU16" s="319">
        <v>63142</v>
      </c>
      <c r="CV16" s="312">
        <v>0</v>
      </c>
      <c r="CW16" s="161">
        <f>SUM(CU16:CV16)</f>
        <v>63142</v>
      </c>
      <c r="CX16" s="319">
        <v>77360</v>
      </c>
      <c r="CY16" s="312">
        <v>0</v>
      </c>
      <c r="CZ16" s="161">
        <f>SUM(CX16:CY16)</f>
        <v>77360</v>
      </c>
      <c r="DA16" s="319">
        <v>51644</v>
      </c>
      <c r="DB16" s="312">
        <v>0</v>
      </c>
      <c r="DC16" s="161">
        <v>51644</v>
      </c>
      <c r="DD16" s="319">
        <v>40820</v>
      </c>
      <c r="DE16" s="312">
        <v>0</v>
      </c>
      <c r="DF16" s="161">
        <f t="shared" si="13"/>
        <v>40820</v>
      </c>
      <c r="DG16" s="319">
        <v>44534</v>
      </c>
      <c r="DH16" s="312">
        <v>0</v>
      </c>
      <c r="DI16" s="161">
        <v>44534</v>
      </c>
      <c r="DJ16" s="319">
        <v>0</v>
      </c>
      <c r="DK16" s="312">
        <v>0</v>
      </c>
      <c r="DL16" s="161">
        <f>SUM(DJ16:DK16)</f>
        <v>0</v>
      </c>
      <c r="DM16" s="319">
        <v>0</v>
      </c>
      <c r="DN16" s="312">
        <v>0</v>
      </c>
      <c r="DO16" s="161">
        <v>0</v>
      </c>
      <c r="DP16" s="319">
        <v>0</v>
      </c>
      <c r="DQ16" s="312">
        <v>0</v>
      </c>
      <c r="DR16" s="161">
        <v>0</v>
      </c>
      <c r="DS16" s="319">
        <v>0</v>
      </c>
      <c r="DT16" s="312">
        <v>0</v>
      </c>
      <c r="DU16" s="161">
        <v>0</v>
      </c>
      <c r="DV16" s="319">
        <v>0</v>
      </c>
      <c r="DW16" s="312">
        <v>0</v>
      </c>
      <c r="DX16" s="161">
        <f>SUM(DV16:DW16)</f>
        <v>0</v>
      </c>
      <c r="DY16" s="319"/>
      <c r="DZ16" s="312"/>
      <c r="EA16" s="161"/>
      <c r="EB16" s="319"/>
      <c r="EC16" s="312">
        <v>0</v>
      </c>
      <c r="ED16" s="161">
        <f>SUM(EB16:EC16)</f>
        <v>0</v>
      </c>
      <c r="EE16" s="118"/>
      <c r="EF16" s="118">
        <v>0</v>
      </c>
      <c r="EG16" s="118">
        <v>0</v>
      </c>
      <c r="EH16" s="319"/>
      <c r="EI16" s="312">
        <v>0</v>
      </c>
      <c r="EJ16" s="161">
        <f t="shared" si="14"/>
        <v>0</v>
      </c>
      <c r="EK16" s="319"/>
      <c r="EL16" s="312">
        <v>0</v>
      </c>
      <c r="EM16" s="161">
        <f t="shared" si="15"/>
        <v>0</v>
      </c>
      <c r="EN16" s="319"/>
      <c r="EO16" s="312">
        <v>0</v>
      </c>
      <c r="EP16" s="161">
        <f t="shared" si="16"/>
        <v>0</v>
      </c>
      <c r="EQ16" s="319"/>
      <c r="ER16" s="312">
        <v>0</v>
      </c>
      <c r="ES16" s="161">
        <f t="shared" si="17"/>
        <v>0</v>
      </c>
      <c r="ET16" s="319"/>
      <c r="EU16" s="312">
        <v>0</v>
      </c>
      <c r="EV16" s="161">
        <f>SUM(ET16:EU16)</f>
        <v>0</v>
      </c>
    </row>
    <row r="17" spans="2:152" ht="15" hidden="1" customHeight="1" outlineLevel="1" x14ac:dyDescent="0.2">
      <c r="B17" s="318" t="s">
        <v>233</v>
      </c>
      <c r="C17" s="319">
        <v>0</v>
      </c>
      <c r="D17" s="312">
        <v>0</v>
      </c>
      <c r="E17" s="332">
        <v>0</v>
      </c>
      <c r="F17" s="319">
        <v>0</v>
      </c>
      <c r="G17" s="312">
        <v>0</v>
      </c>
      <c r="H17" s="332">
        <v>0</v>
      </c>
      <c r="I17" s="319">
        <v>1</v>
      </c>
      <c r="J17" s="312">
        <v>0</v>
      </c>
      <c r="K17" s="332">
        <v>1</v>
      </c>
      <c r="L17" s="319">
        <v>31640</v>
      </c>
      <c r="M17" s="312">
        <v>0</v>
      </c>
      <c r="N17" s="332">
        <v>31640</v>
      </c>
      <c r="O17" s="319">
        <v>31530</v>
      </c>
      <c r="P17" s="312">
        <v>0</v>
      </c>
      <c r="Q17" s="332">
        <v>31530</v>
      </c>
      <c r="R17" s="319">
        <v>31265</v>
      </c>
      <c r="S17" s="312">
        <v>31265</v>
      </c>
      <c r="T17" s="332">
        <v>31265</v>
      </c>
      <c r="U17" s="319">
        <v>31124</v>
      </c>
      <c r="V17" s="312">
        <v>0</v>
      </c>
      <c r="W17" s="332">
        <v>31124</v>
      </c>
      <c r="X17" s="319">
        <v>30642</v>
      </c>
      <c r="Y17" s="312">
        <v>0</v>
      </c>
      <c r="Z17" s="332">
        <v>30642</v>
      </c>
      <c r="AA17" s="319">
        <v>30353</v>
      </c>
      <c r="AB17" s="312">
        <v>0</v>
      </c>
      <c r="AC17" s="332">
        <f>SUM(AA17:AB17)</f>
        <v>30353</v>
      </c>
      <c r="AD17" s="319">
        <v>0</v>
      </c>
      <c r="AE17" s="312">
        <v>0</v>
      </c>
      <c r="AF17" s="332">
        <v>0</v>
      </c>
      <c r="AG17" s="319">
        <v>0</v>
      </c>
      <c r="AH17" s="312">
        <v>0</v>
      </c>
      <c r="AI17" s="332">
        <v>0</v>
      </c>
      <c r="AJ17" s="319">
        <v>0</v>
      </c>
      <c r="AK17" s="312">
        <v>0</v>
      </c>
      <c r="AL17" s="332">
        <v>0</v>
      </c>
      <c r="AM17" s="312">
        <v>0</v>
      </c>
      <c r="AN17" s="312">
        <v>0</v>
      </c>
      <c r="AO17" s="312">
        <v>0</v>
      </c>
      <c r="AP17" s="319">
        <v>0</v>
      </c>
      <c r="AQ17" s="312">
        <v>0</v>
      </c>
      <c r="AR17" s="332">
        <v>0</v>
      </c>
      <c r="AS17" s="312">
        <v>0</v>
      </c>
      <c r="AT17" s="312">
        <v>0</v>
      </c>
      <c r="AU17" s="312">
        <v>0</v>
      </c>
      <c r="AV17" s="319">
        <v>0</v>
      </c>
      <c r="AW17" s="312">
        <v>0</v>
      </c>
      <c r="AX17" s="332">
        <v>0</v>
      </c>
      <c r="AY17" s="319">
        <v>0</v>
      </c>
      <c r="AZ17" s="312">
        <v>0</v>
      </c>
      <c r="BA17" s="161">
        <v>0</v>
      </c>
      <c r="BB17" s="319">
        <v>0</v>
      </c>
      <c r="BC17" s="312">
        <v>0</v>
      </c>
      <c r="BD17" s="161">
        <f>SUM(BB17:BC17)</f>
        <v>0</v>
      </c>
      <c r="BE17" s="319">
        <v>0</v>
      </c>
      <c r="BF17" s="312">
        <v>0</v>
      </c>
      <c r="BG17" s="161">
        <f>SUM(BE17:BF17)</f>
        <v>0</v>
      </c>
      <c r="BH17" s="319">
        <v>0</v>
      </c>
      <c r="BI17" s="312">
        <v>0</v>
      </c>
      <c r="BJ17" s="161">
        <f>SUM(BH17:BI17)</f>
        <v>0</v>
      </c>
      <c r="BK17" s="319">
        <v>0</v>
      </c>
      <c r="BL17" s="312">
        <v>0</v>
      </c>
      <c r="BM17" s="161">
        <f>SUM(BK17:BL17)</f>
        <v>0</v>
      </c>
      <c r="BN17" s="319">
        <v>0</v>
      </c>
      <c r="BO17" s="312">
        <v>0</v>
      </c>
      <c r="BP17" s="161">
        <f t="shared" si="4"/>
        <v>0</v>
      </c>
      <c r="BQ17" s="319"/>
      <c r="BR17" s="312"/>
      <c r="BS17" s="161"/>
      <c r="BT17" s="118"/>
      <c r="BU17" s="118"/>
      <c r="BV17" s="118"/>
      <c r="BW17" s="319">
        <v>0</v>
      </c>
      <c r="BX17" s="312">
        <v>0</v>
      </c>
      <c r="BY17" s="161">
        <v>0</v>
      </c>
      <c r="BZ17" s="319">
        <v>0</v>
      </c>
      <c r="CA17" s="312">
        <v>0</v>
      </c>
      <c r="CB17" s="161">
        <v>0</v>
      </c>
      <c r="CC17" s="319">
        <v>0</v>
      </c>
      <c r="CD17" s="312">
        <v>0</v>
      </c>
      <c r="CE17" s="161">
        <f>SUM(CC17:CD17)</f>
        <v>0</v>
      </c>
      <c r="CF17" s="319">
        <v>0</v>
      </c>
      <c r="CG17" s="312">
        <v>0</v>
      </c>
      <c r="CH17" s="161">
        <f t="shared" si="5"/>
        <v>0</v>
      </c>
      <c r="CI17" s="319">
        <v>0</v>
      </c>
      <c r="CJ17" s="312">
        <v>0</v>
      </c>
      <c r="CK17" s="161">
        <v>0</v>
      </c>
      <c r="CL17" s="319">
        <v>0</v>
      </c>
      <c r="CM17" s="312">
        <v>0</v>
      </c>
      <c r="CN17" s="161">
        <f t="shared" si="6"/>
        <v>0</v>
      </c>
      <c r="CO17" s="319">
        <v>0</v>
      </c>
      <c r="CP17" s="312">
        <v>0</v>
      </c>
      <c r="CQ17" s="161">
        <v>0</v>
      </c>
      <c r="CR17" s="319">
        <v>0</v>
      </c>
      <c r="CS17" s="312">
        <v>0</v>
      </c>
      <c r="CT17" s="161">
        <v>0</v>
      </c>
      <c r="CU17" s="319">
        <v>0</v>
      </c>
      <c r="CV17" s="312">
        <v>0</v>
      </c>
      <c r="CW17" s="161">
        <f t="shared" si="7"/>
        <v>0</v>
      </c>
      <c r="CX17" s="319">
        <v>0</v>
      </c>
      <c r="CY17" s="312">
        <v>0</v>
      </c>
      <c r="CZ17" s="161">
        <v>0</v>
      </c>
      <c r="DA17" s="319">
        <v>0</v>
      </c>
      <c r="DB17" s="312">
        <v>0</v>
      </c>
      <c r="DC17" s="161">
        <f>SUM(DA17:DB17)</f>
        <v>0</v>
      </c>
      <c r="DD17" s="319">
        <v>0</v>
      </c>
      <c r="DE17" s="312">
        <v>0</v>
      </c>
      <c r="DF17" s="161">
        <f t="shared" si="13"/>
        <v>0</v>
      </c>
      <c r="DG17" s="319">
        <v>0</v>
      </c>
      <c r="DH17" s="312">
        <v>0</v>
      </c>
      <c r="DI17" s="161">
        <f>SUM(DG17:DH17)</f>
        <v>0</v>
      </c>
      <c r="DJ17" s="319">
        <v>0</v>
      </c>
      <c r="DK17" s="312">
        <v>0</v>
      </c>
      <c r="DL17" s="161">
        <f t="shared" si="8"/>
        <v>0</v>
      </c>
      <c r="DM17" s="319">
        <v>0</v>
      </c>
      <c r="DN17" s="312">
        <v>0</v>
      </c>
      <c r="DO17" s="161">
        <f>SUM(DM17:DN17)</f>
        <v>0</v>
      </c>
      <c r="DP17" s="319">
        <v>0</v>
      </c>
      <c r="DQ17" s="312">
        <v>0</v>
      </c>
      <c r="DR17" s="161">
        <f>SUM(DP17:DQ17)</f>
        <v>0</v>
      </c>
      <c r="DS17" s="319">
        <v>0</v>
      </c>
      <c r="DT17" s="312">
        <v>0</v>
      </c>
      <c r="DU17" s="161">
        <f>SUM(DS17:DT17)</f>
        <v>0</v>
      </c>
      <c r="DV17" s="319">
        <v>0</v>
      </c>
      <c r="DW17" s="312">
        <v>0</v>
      </c>
      <c r="DX17" s="161">
        <f t="shared" si="9"/>
        <v>0</v>
      </c>
      <c r="DY17" s="319"/>
      <c r="DZ17" s="312"/>
      <c r="EA17" s="161"/>
      <c r="EB17" s="319">
        <v>0</v>
      </c>
      <c r="EC17" s="312">
        <v>0</v>
      </c>
      <c r="ED17" s="161">
        <f t="shared" si="11"/>
        <v>0</v>
      </c>
      <c r="EE17" s="118">
        <v>0</v>
      </c>
      <c r="EF17" s="118">
        <v>0</v>
      </c>
      <c r="EG17" s="118">
        <v>0</v>
      </c>
      <c r="EH17" s="319">
        <v>0</v>
      </c>
      <c r="EI17" s="312">
        <v>0</v>
      </c>
      <c r="EJ17" s="161">
        <f t="shared" si="14"/>
        <v>0</v>
      </c>
      <c r="EK17" s="319">
        <v>0</v>
      </c>
      <c r="EL17" s="312">
        <v>0</v>
      </c>
      <c r="EM17" s="161">
        <f t="shared" si="15"/>
        <v>0</v>
      </c>
      <c r="EN17" s="319">
        <v>0</v>
      </c>
      <c r="EO17" s="312">
        <v>0</v>
      </c>
      <c r="EP17" s="161">
        <f t="shared" si="16"/>
        <v>0</v>
      </c>
      <c r="EQ17" s="319">
        <v>0</v>
      </c>
      <c r="ER17" s="312">
        <v>0</v>
      </c>
      <c r="ES17" s="161">
        <f t="shared" si="17"/>
        <v>0</v>
      </c>
      <c r="ET17" s="319">
        <v>0</v>
      </c>
      <c r="EU17" s="312">
        <v>0</v>
      </c>
      <c r="EV17" s="161">
        <f>SUM(ET17:EU17)</f>
        <v>0</v>
      </c>
    </row>
    <row r="18" spans="2:152" s="311" customFormat="1" ht="15" hidden="1" customHeight="1" outlineLevel="1" x14ac:dyDescent="0.2">
      <c r="B18" s="318" t="s">
        <v>207</v>
      </c>
      <c r="C18" s="319">
        <v>0</v>
      </c>
      <c r="D18" s="312">
        <v>37</v>
      </c>
      <c r="E18" s="332">
        <f>SUM(C18:D18)</f>
        <v>37</v>
      </c>
      <c r="F18" s="319">
        <v>0</v>
      </c>
      <c r="G18" s="312">
        <v>37</v>
      </c>
      <c r="H18" s="332">
        <f>SUM(F18:G18)</f>
        <v>37</v>
      </c>
      <c r="I18" s="319">
        <v>0</v>
      </c>
      <c r="J18" s="312">
        <v>37</v>
      </c>
      <c r="K18" s="332">
        <f>SUM(I18:J18)</f>
        <v>37</v>
      </c>
      <c r="L18" s="319">
        <v>0</v>
      </c>
      <c r="M18" s="312">
        <v>37</v>
      </c>
      <c r="N18" s="332">
        <f>SUM(L18:M18)</f>
        <v>37</v>
      </c>
      <c r="O18" s="319">
        <v>0</v>
      </c>
      <c r="P18" s="312">
        <v>37</v>
      </c>
      <c r="Q18" s="332">
        <f>SUM(O18:P18)</f>
        <v>37</v>
      </c>
      <c r="R18" s="319">
        <v>0</v>
      </c>
      <c r="S18" s="312">
        <v>37</v>
      </c>
      <c r="T18" s="332">
        <f>SUM(R18:S18)</f>
        <v>37</v>
      </c>
      <c r="U18" s="319">
        <v>0</v>
      </c>
      <c r="V18" s="312">
        <v>37</v>
      </c>
      <c r="W18" s="332">
        <f>SUM(U18:V18)</f>
        <v>37</v>
      </c>
      <c r="X18" s="319">
        <v>0</v>
      </c>
      <c r="Y18" s="312">
        <v>37</v>
      </c>
      <c r="Z18" s="332">
        <v>37</v>
      </c>
      <c r="AA18" s="319">
        <v>0</v>
      </c>
      <c r="AB18" s="312">
        <v>37</v>
      </c>
      <c r="AC18" s="332">
        <f>SUM(AA18:AB18)</f>
        <v>37</v>
      </c>
      <c r="AD18" s="319">
        <v>0</v>
      </c>
      <c r="AE18" s="312">
        <v>37</v>
      </c>
      <c r="AF18" s="332">
        <f>SUM(AD18:AE18)</f>
        <v>37</v>
      </c>
      <c r="AG18" s="319">
        <v>0</v>
      </c>
      <c r="AH18" s="312">
        <v>37</v>
      </c>
      <c r="AI18" s="332">
        <f>SUM(AG18:AH18)</f>
        <v>37</v>
      </c>
      <c r="AJ18" s="319">
        <v>0</v>
      </c>
      <c r="AK18" s="312">
        <v>37</v>
      </c>
      <c r="AL18" s="332">
        <v>37</v>
      </c>
      <c r="AM18" s="312">
        <v>0</v>
      </c>
      <c r="AN18" s="312">
        <v>37</v>
      </c>
      <c r="AO18" s="312">
        <v>37</v>
      </c>
      <c r="AP18" s="319">
        <v>0</v>
      </c>
      <c r="AQ18" s="312">
        <v>37</v>
      </c>
      <c r="AR18" s="332">
        <v>37</v>
      </c>
      <c r="AS18" s="312">
        <v>0</v>
      </c>
      <c r="AT18" s="312">
        <v>37</v>
      </c>
      <c r="AU18" s="312">
        <v>37</v>
      </c>
      <c r="AV18" s="319">
        <v>0</v>
      </c>
      <c r="AW18" s="312">
        <v>37</v>
      </c>
      <c r="AX18" s="332">
        <v>37</v>
      </c>
      <c r="AY18" s="319">
        <v>0</v>
      </c>
      <c r="AZ18" s="312">
        <v>37</v>
      </c>
      <c r="BA18" s="332">
        <v>37</v>
      </c>
      <c r="BB18" s="319">
        <v>0</v>
      </c>
      <c r="BC18" s="312">
        <v>0</v>
      </c>
      <c r="BD18" s="332">
        <f>SUM(BB18:BC18)</f>
        <v>0</v>
      </c>
      <c r="BE18" s="319">
        <v>0</v>
      </c>
      <c r="BF18" s="312">
        <v>0</v>
      </c>
      <c r="BG18" s="332">
        <f>SUM(BE18:BF18)</f>
        <v>0</v>
      </c>
      <c r="BH18" s="319">
        <v>0</v>
      </c>
      <c r="BI18" s="312">
        <v>0</v>
      </c>
      <c r="BJ18" s="332">
        <f>SUM(BH18:BI18)</f>
        <v>0</v>
      </c>
      <c r="BK18" s="319">
        <v>0</v>
      </c>
      <c r="BL18" s="312">
        <v>0</v>
      </c>
      <c r="BM18" s="332">
        <f>SUM(BK18:BL18)</f>
        <v>0</v>
      </c>
      <c r="BN18" s="319">
        <v>0</v>
      </c>
      <c r="BO18" s="312">
        <v>0</v>
      </c>
      <c r="BP18" s="332">
        <f>SUM(BN18:BO18)</f>
        <v>0</v>
      </c>
      <c r="BQ18" s="319">
        <v>0</v>
      </c>
      <c r="BR18" s="312">
        <v>0</v>
      </c>
      <c r="BS18" s="332">
        <f>SUM(BQ18:BR18)</f>
        <v>0</v>
      </c>
      <c r="BT18" s="319">
        <v>0</v>
      </c>
      <c r="BU18" s="312">
        <v>0</v>
      </c>
      <c r="BV18" s="332">
        <v>0</v>
      </c>
      <c r="BW18" s="319">
        <v>0</v>
      </c>
      <c r="BX18" s="312">
        <v>0</v>
      </c>
      <c r="BY18" s="332">
        <v>0</v>
      </c>
      <c r="BZ18" s="319">
        <v>0</v>
      </c>
      <c r="CA18" s="312">
        <v>0</v>
      </c>
      <c r="CB18" s="332">
        <v>0</v>
      </c>
      <c r="CC18" s="319">
        <v>0</v>
      </c>
      <c r="CD18" s="312">
        <v>0</v>
      </c>
      <c r="CE18" s="332">
        <v>0</v>
      </c>
      <c r="CF18" s="319">
        <v>0</v>
      </c>
      <c r="CG18" s="312">
        <v>0</v>
      </c>
      <c r="CH18" s="332">
        <f>SUM(CF18:CG18)</f>
        <v>0</v>
      </c>
      <c r="CI18" s="319">
        <v>0</v>
      </c>
      <c r="CJ18" s="312">
        <v>0</v>
      </c>
      <c r="CK18" s="332">
        <v>0</v>
      </c>
      <c r="CL18" s="319">
        <v>0</v>
      </c>
      <c r="CM18" s="312">
        <v>0</v>
      </c>
      <c r="CN18" s="332">
        <f>SUM(CL18:CM18)</f>
        <v>0</v>
      </c>
      <c r="CO18" s="319">
        <v>0</v>
      </c>
      <c r="CP18" s="312">
        <v>0</v>
      </c>
      <c r="CQ18" s="332">
        <v>0</v>
      </c>
      <c r="CR18" s="319">
        <v>0</v>
      </c>
      <c r="CS18" s="312">
        <v>0</v>
      </c>
      <c r="CT18" s="332">
        <v>0</v>
      </c>
      <c r="CU18" s="319">
        <v>0</v>
      </c>
      <c r="CV18" s="312">
        <v>0</v>
      </c>
      <c r="CW18" s="332">
        <f>SUM(CU18:CV18)</f>
        <v>0</v>
      </c>
      <c r="CX18" s="319">
        <v>0</v>
      </c>
      <c r="CY18" s="312">
        <v>0</v>
      </c>
      <c r="CZ18" s="332">
        <v>0</v>
      </c>
      <c r="DA18" s="319">
        <v>0</v>
      </c>
      <c r="DB18" s="312">
        <v>0</v>
      </c>
      <c r="DC18" s="332">
        <f>SUM(DA18:DB18)</f>
        <v>0</v>
      </c>
      <c r="DD18" s="319">
        <v>0</v>
      </c>
      <c r="DE18" s="312">
        <v>0</v>
      </c>
      <c r="DF18" s="332">
        <f t="shared" si="13"/>
        <v>0</v>
      </c>
      <c r="DG18" s="319">
        <v>0</v>
      </c>
      <c r="DH18" s="312">
        <v>0</v>
      </c>
      <c r="DI18" s="332">
        <f>SUM(DG18:DH18)</f>
        <v>0</v>
      </c>
      <c r="DJ18" s="319">
        <v>0</v>
      </c>
      <c r="DK18" s="312">
        <v>0</v>
      </c>
      <c r="DL18" s="332">
        <f>SUM(DJ18:DK18)</f>
        <v>0</v>
      </c>
      <c r="DM18" s="319">
        <v>0</v>
      </c>
      <c r="DN18" s="312">
        <v>0</v>
      </c>
      <c r="DO18" s="332">
        <f>SUM(DM18:DN18)</f>
        <v>0</v>
      </c>
      <c r="DP18" s="319">
        <v>0</v>
      </c>
      <c r="DQ18" s="312">
        <v>0</v>
      </c>
      <c r="DR18" s="332">
        <f>SUM(DP18:DQ18)</f>
        <v>0</v>
      </c>
      <c r="DS18" s="319">
        <v>0</v>
      </c>
      <c r="DT18" s="312">
        <v>0</v>
      </c>
      <c r="DU18" s="332">
        <f>SUM(DS18:DT18)</f>
        <v>0</v>
      </c>
      <c r="DV18" s="319">
        <v>0</v>
      </c>
      <c r="DW18" s="312">
        <v>0</v>
      </c>
      <c r="DX18" s="332">
        <f>SUM(DV18:DW18)</f>
        <v>0</v>
      </c>
      <c r="DY18" s="319"/>
      <c r="DZ18" s="312"/>
      <c r="EA18" s="332"/>
      <c r="EB18" s="319">
        <v>0</v>
      </c>
      <c r="EC18" s="312">
        <v>0</v>
      </c>
      <c r="ED18" s="332">
        <f>SUM(EB18:EC18)</f>
        <v>0</v>
      </c>
      <c r="EE18" s="312">
        <v>0</v>
      </c>
      <c r="EF18" s="312">
        <v>0</v>
      </c>
      <c r="EG18" s="312">
        <v>0</v>
      </c>
      <c r="EH18" s="319">
        <v>0</v>
      </c>
      <c r="EI18" s="312">
        <v>0</v>
      </c>
      <c r="EJ18" s="332">
        <f t="shared" si="14"/>
        <v>0</v>
      </c>
      <c r="EK18" s="319">
        <v>0</v>
      </c>
      <c r="EL18" s="312">
        <v>0</v>
      </c>
      <c r="EM18" s="332">
        <f t="shared" si="15"/>
        <v>0</v>
      </c>
      <c r="EN18" s="319">
        <v>0</v>
      </c>
      <c r="EO18" s="312">
        <v>0</v>
      </c>
      <c r="EP18" s="332">
        <f t="shared" si="16"/>
        <v>0</v>
      </c>
      <c r="EQ18" s="319">
        <v>0</v>
      </c>
      <c r="ER18" s="312">
        <v>0</v>
      </c>
      <c r="ES18" s="332">
        <f t="shared" si="17"/>
        <v>0</v>
      </c>
      <c r="ET18" s="319">
        <v>0</v>
      </c>
      <c r="EU18" s="312">
        <v>0</v>
      </c>
      <c r="EV18" s="332">
        <f>SUM(ET18:EU18)</f>
        <v>0</v>
      </c>
    </row>
    <row r="19" spans="2:152" s="311" customFormat="1" ht="15" hidden="1" customHeight="1" outlineLevel="1" x14ac:dyDescent="0.2">
      <c r="B19" s="318" t="s">
        <v>205</v>
      </c>
      <c r="C19" s="319">
        <v>59596</v>
      </c>
      <c r="D19" s="312">
        <v>2491</v>
      </c>
      <c r="E19" s="332">
        <f>SUM(C19:D19)</f>
        <v>62087</v>
      </c>
      <c r="F19" s="319">
        <v>62383</v>
      </c>
      <c r="G19" s="312">
        <v>2491</v>
      </c>
      <c r="H19" s="332">
        <f>SUM(F19:G19)</f>
        <v>64874</v>
      </c>
      <c r="I19" s="319">
        <v>60464</v>
      </c>
      <c r="J19" s="312">
        <v>2491</v>
      </c>
      <c r="K19" s="332">
        <f>SUM(I19:J19)</f>
        <v>62955</v>
      </c>
      <c r="L19" s="319">
        <v>61347</v>
      </c>
      <c r="M19" s="312">
        <v>2491</v>
      </c>
      <c r="N19" s="332">
        <f>SUM(L19:M19)</f>
        <v>63838</v>
      </c>
      <c r="O19" s="319">
        <v>89070</v>
      </c>
      <c r="P19" s="312">
        <v>2491</v>
      </c>
      <c r="Q19" s="332">
        <f>SUM(O19:P19)</f>
        <v>91561</v>
      </c>
      <c r="R19" s="319">
        <v>87396</v>
      </c>
      <c r="S19" s="312">
        <v>2491</v>
      </c>
      <c r="T19" s="332">
        <f>SUM(R19:S19)</f>
        <v>89887</v>
      </c>
      <c r="U19" s="319">
        <v>82115</v>
      </c>
      <c r="V19" s="312">
        <v>2491</v>
      </c>
      <c r="W19" s="332">
        <f>SUM(U19:V19)</f>
        <v>84606</v>
      </c>
      <c r="X19" s="319">
        <v>80667</v>
      </c>
      <c r="Y19" s="312">
        <v>2491</v>
      </c>
      <c r="Z19" s="332">
        <v>83158</v>
      </c>
      <c r="AA19" s="319">
        <v>73639</v>
      </c>
      <c r="AB19" s="312">
        <v>2491</v>
      </c>
      <c r="AC19" s="332">
        <f>SUM(AA19:AB19)</f>
        <v>76130</v>
      </c>
      <c r="AD19" s="319">
        <v>70735</v>
      </c>
      <c r="AE19" s="312">
        <v>2491</v>
      </c>
      <c r="AF19" s="332">
        <f>SUM(AD19:AE19)</f>
        <v>73226</v>
      </c>
      <c r="AG19" s="319">
        <v>67926</v>
      </c>
      <c r="AH19" s="312">
        <v>2491</v>
      </c>
      <c r="AI19" s="332">
        <f>SUM(AG19:AH19)</f>
        <v>70417</v>
      </c>
      <c r="AJ19" s="319">
        <v>66234</v>
      </c>
      <c r="AK19" s="312">
        <v>2491</v>
      </c>
      <c r="AL19" s="332">
        <v>68725</v>
      </c>
      <c r="AM19" s="312">
        <v>63959</v>
      </c>
      <c r="AN19" s="312">
        <v>2491</v>
      </c>
      <c r="AO19" s="312">
        <v>66450</v>
      </c>
      <c r="AP19" s="319">
        <v>61358</v>
      </c>
      <c r="AQ19" s="312">
        <v>2491</v>
      </c>
      <c r="AR19" s="332">
        <v>63849</v>
      </c>
      <c r="AS19" s="312">
        <v>68730</v>
      </c>
      <c r="AT19" s="312">
        <v>2491</v>
      </c>
      <c r="AU19" s="312">
        <v>71221</v>
      </c>
      <c r="AV19" s="319">
        <v>67392</v>
      </c>
      <c r="AW19" s="312">
        <v>2491</v>
      </c>
      <c r="AX19" s="332">
        <v>69883</v>
      </c>
      <c r="AY19" s="319">
        <v>43465</v>
      </c>
      <c r="AZ19" s="312">
        <v>2491</v>
      </c>
      <c r="BA19" s="332">
        <v>45956</v>
      </c>
      <c r="BB19" s="319">
        <v>22286</v>
      </c>
      <c r="BC19" s="312">
        <v>0</v>
      </c>
      <c r="BD19" s="332">
        <f>SUM(BB19:BC19)</f>
        <v>22286</v>
      </c>
      <c r="BE19" s="319">
        <v>26878</v>
      </c>
      <c r="BF19" s="312">
        <v>0</v>
      </c>
      <c r="BG19" s="332">
        <f>SUM(BE19:BF19)</f>
        <v>26878</v>
      </c>
      <c r="BH19" s="319">
        <v>0</v>
      </c>
      <c r="BI19" s="312">
        <v>0</v>
      </c>
      <c r="BJ19" s="332">
        <f>SUM(BH19:BI19)</f>
        <v>0</v>
      </c>
      <c r="BK19" s="319">
        <v>0</v>
      </c>
      <c r="BL19" s="312">
        <v>0</v>
      </c>
      <c r="BM19" s="332">
        <f>SUM(BK19:BL19)</f>
        <v>0</v>
      </c>
      <c r="BN19" s="319">
        <v>0</v>
      </c>
      <c r="BO19" s="312">
        <v>0</v>
      </c>
      <c r="BP19" s="332">
        <f>SUM(BN19:BO19)</f>
        <v>0</v>
      </c>
      <c r="BQ19" s="319">
        <v>0</v>
      </c>
      <c r="BR19" s="312">
        <v>0</v>
      </c>
      <c r="BS19" s="332">
        <f>SUM(BQ19:BR19)</f>
        <v>0</v>
      </c>
      <c r="BT19" s="319">
        <v>0</v>
      </c>
      <c r="BU19" s="312">
        <v>0</v>
      </c>
      <c r="BV19" s="332">
        <v>0</v>
      </c>
      <c r="BW19" s="319">
        <v>0</v>
      </c>
      <c r="BX19" s="312">
        <v>0</v>
      </c>
      <c r="BY19" s="332">
        <v>0</v>
      </c>
      <c r="BZ19" s="319">
        <v>0</v>
      </c>
      <c r="CA19" s="312">
        <v>0</v>
      </c>
      <c r="CB19" s="332">
        <v>0</v>
      </c>
      <c r="CC19" s="319">
        <v>0</v>
      </c>
      <c r="CD19" s="312">
        <v>0</v>
      </c>
      <c r="CE19" s="332">
        <v>0</v>
      </c>
      <c r="CF19" s="319">
        <v>0</v>
      </c>
      <c r="CG19" s="312">
        <v>0</v>
      </c>
      <c r="CH19" s="332">
        <f>SUM(CF19:CG19)</f>
        <v>0</v>
      </c>
      <c r="CI19" s="319">
        <v>0</v>
      </c>
      <c r="CJ19" s="312">
        <v>0</v>
      </c>
      <c r="CK19" s="332">
        <v>0</v>
      </c>
      <c r="CL19" s="319">
        <v>0</v>
      </c>
      <c r="CM19" s="312">
        <v>0</v>
      </c>
      <c r="CN19" s="332">
        <f>SUM(CL19:CM19)</f>
        <v>0</v>
      </c>
      <c r="CO19" s="319">
        <v>0</v>
      </c>
      <c r="CP19" s="312">
        <v>0</v>
      </c>
      <c r="CQ19" s="332">
        <v>0</v>
      </c>
      <c r="CR19" s="319">
        <v>0</v>
      </c>
      <c r="CS19" s="312">
        <v>0</v>
      </c>
      <c r="CT19" s="332">
        <v>0</v>
      </c>
      <c r="CU19" s="319">
        <v>0</v>
      </c>
      <c r="CV19" s="312">
        <v>0</v>
      </c>
      <c r="CW19" s="332">
        <f>SUM(CU19:CV19)</f>
        <v>0</v>
      </c>
      <c r="CX19" s="319">
        <v>0</v>
      </c>
      <c r="CY19" s="312">
        <v>0</v>
      </c>
      <c r="CZ19" s="332">
        <v>0</v>
      </c>
      <c r="DA19" s="319">
        <v>0</v>
      </c>
      <c r="DB19" s="312">
        <v>0</v>
      </c>
      <c r="DC19" s="332">
        <f>SUM(DA19:DB19)</f>
        <v>0</v>
      </c>
      <c r="DD19" s="319">
        <v>0</v>
      </c>
      <c r="DE19" s="312">
        <v>0</v>
      </c>
      <c r="DF19" s="332">
        <f t="shared" si="13"/>
        <v>0</v>
      </c>
      <c r="DG19" s="319">
        <v>0</v>
      </c>
      <c r="DH19" s="312">
        <v>0</v>
      </c>
      <c r="DI19" s="332">
        <f>SUM(DG19:DH19)</f>
        <v>0</v>
      </c>
      <c r="DJ19" s="319">
        <v>0</v>
      </c>
      <c r="DK19" s="312">
        <v>0</v>
      </c>
      <c r="DL19" s="332">
        <f>SUM(DJ19:DK19)</f>
        <v>0</v>
      </c>
      <c r="DM19" s="319">
        <v>0</v>
      </c>
      <c r="DN19" s="312">
        <v>0</v>
      </c>
      <c r="DO19" s="332">
        <f>SUM(DM19:DN19)</f>
        <v>0</v>
      </c>
      <c r="DP19" s="319">
        <v>0</v>
      </c>
      <c r="DQ19" s="312">
        <v>0</v>
      </c>
      <c r="DR19" s="332">
        <f>SUM(DP19:DQ19)</f>
        <v>0</v>
      </c>
      <c r="DS19" s="319">
        <v>0</v>
      </c>
      <c r="DT19" s="312">
        <v>0</v>
      </c>
      <c r="DU19" s="332">
        <f>SUM(DS19:DT19)</f>
        <v>0</v>
      </c>
      <c r="DV19" s="319">
        <v>0</v>
      </c>
      <c r="DW19" s="312">
        <v>0</v>
      </c>
      <c r="DX19" s="332">
        <f>SUM(DV19:DW19)</f>
        <v>0</v>
      </c>
      <c r="DY19" s="319"/>
      <c r="DZ19" s="312"/>
      <c r="EA19" s="332"/>
      <c r="EB19" s="319">
        <v>0</v>
      </c>
      <c r="EC19" s="312">
        <v>0</v>
      </c>
      <c r="ED19" s="332">
        <f>SUM(EB19:EC19)</f>
        <v>0</v>
      </c>
      <c r="EE19" s="312">
        <v>0</v>
      </c>
      <c r="EF19" s="312">
        <v>0</v>
      </c>
      <c r="EG19" s="312">
        <v>0</v>
      </c>
      <c r="EH19" s="319">
        <v>0</v>
      </c>
      <c r="EI19" s="312">
        <v>0</v>
      </c>
      <c r="EJ19" s="332">
        <f t="shared" si="14"/>
        <v>0</v>
      </c>
      <c r="EK19" s="319">
        <v>0</v>
      </c>
      <c r="EL19" s="312">
        <v>0</v>
      </c>
      <c r="EM19" s="332">
        <f t="shared" si="15"/>
        <v>0</v>
      </c>
      <c r="EN19" s="319">
        <v>0</v>
      </c>
      <c r="EO19" s="312">
        <v>0</v>
      </c>
      <c r="EP19" s="332">
        <f t="shared" si="16"/>
        <v>0</v>
      </c>
      <c r="EQ19" s="319">
        <v>0</v>
      </c>
      <c r="ER19" s="312">
        <v>0</v>
      </c>
      <c r="ES19" s="332">
        <f t="shared" si="17"/>
        <v>0</v>
      </c>
      <c r="ET19" s="319">
        <v>0</v>
      </c>
      <c r="EU19" s="312">
        <v>0</v>
      </c>
      <c r="EV19" s="332">
        <f>SUM(ET19:EU19)</f>
        <v>0</v>
      </c>
    </row>
    <row r="20" spans="2:152" ht="15" hidden="1" customHeight="1" outlineLevel="1" x14ac:dyDescent="0.2">
      <c r="B20" s="318" t="s">
        <v>203</v>
      </c>
      <c r="C20" s="319">
        <v>6740</v>
      </c>
      <c r="D20" s="312">
        <v>91361</v>
      </c>
      <c r="E20" s="332">
        <f>SUM(C20:D20)</f>
        <v>98101</v>
      </c>
      <c r="F20" s="319">
        <v>3946</v>
      </c>
      <c r="G20" s="312">
        <v>81529</v>
      </c>
      <c r="H20" s="332">
        <f>SUM(F20:G20)</f>
        <v>85475</v>
      </c>
      <c r="I20" s="319">
        <v>35161</v>
      </c>
      <c r="J20" s="312">
        <v>0</v>
      </c>
      <c r="K20" s="332">
        <f>SUM(I20:J20)</f>
        <v>35161</v>
      </c>
      <c r="L20" s="319">
        <v>0</v>
      </c>
      <c r="M20" s="312">
        <v>0</v>
      </c>
      <c r="N20" s="332">
        <f>SUM(L20:M20)</f>
        <v>0</v>
      </c>
      <c r="O20" s="319">
        <v>0</v>
      </c>
      <c r="P20" s="312">
        <v>0</v>
      </c>
      <c r="Q20" s="332">
        <f>SUM(O20:P20)</f>
        <v>0</v>
      </c>
      <c r="R20" s="319">
        <v>0</v>
      </c>
      <c r="S20" s="312">
        <v>0</v>
      </c>
      <c r="T20" s="332">
        <f>SUM(R20:S20)</f>
        <v>0</v>
      </c>
      <c r="U20" s="319"/>
      <c r="V20" s="312"/>
      <c r="W20" s="332">
        <f>SUM(U20:V20)</f>
        <v>0</v>
      </c>
      <c r="X20" s="319"/>
      <c r="Y20" s="312"/>
      <c r="Z20" s="332">
        <f>SUM(X20:Y20)</f>
        <v>0</v>
      </c>
      <c r="AA20" s="319"/>
      <c r="AB20" s="312"/>
      <c r="AC20" s="332">
        <f>SUM(AA20:AB20)</f>
        <v>0</v>
      </c>
      <c r="AD20" s="319">
        <v>0</v>
      </c>
      <c r="AE20" s="312">
        <v>0</v>
      </c>
      <c r="AF20" s="332">
        <v>0</v>
      </c>
      <c r="AG20" s="319">
        <v>0</v>
      </c>
      <c r="AH20" s="312">
        <v>0</v>
      </c>
      <c r="AI20" s="332">
        <v>0</v>
      </c>
      <c r="AJ20" s="319">
        <v>0</v>
      </c>
      <c r="AK20" s="312">
        <v>0</v>
      </c>
      <c r="AL20" s="332">
        <v>0</v>
      </c>
      <c r="AM20" s="312">
        <v>0</v>
      </c>
      <c r="AN20" s="312">
        <v>0</v>
      </c>
      <c r="AO20" s="312">
        <v>0</v>
      </c>
      <c r="AP20" s="319">
        <v>0</v>
      </c>
      <c r="AQ20" s="312">
        <v>0</v>
      </c>
      <c r="AR20" s="332">
        <v>0</v>
      </c>
      <c r="AS20" s="312">
        <v>0</v>
      </c>
      <c r="AT20" s="312">
        <v>0</v>
      </c>
      <c r="AU20" s="312">
        <v>0</v>
      </c>
      <c r="AV20" s="319">
        <v>0</v>
      </c>
      <c r="AW20" s="312">
        <v>0</v>
      </c>
      <c r="AX20" s="332">
        <v>0</v>
      </c>
      <c r="AY20" s="319">
        <v>0</v>
      </c>
      <c r="AZ20" s="312">
        <v>0</v>
      </c>
      <c r="BA20" s="161">
        <v>0</v>
      </c>
      <c r="BB20" s="319">
        <v>0</v>
      </c>
      <c r="BC20" s="312">
        <v>0</v>
      </c>
      <c r="BD20" s="161">
        <f>SUM(BB20:BC20)</f>
        <v>0</v>
      </c>
      <c r="BE20" s="319">
        <v>0</v>
      </c>
      <c r="BF20" s="312">
        <v>0</v>
      </c>
      <c r="BG20" s="161">
        <f>SUM(BE20:BF20)</f>
        <v>0</v>
      </c>
      <c r="BH20" s="319">
        <v>0</v>
      </c>
      <c r="BI20" s="312">
        <v>0</v>
      </c>
      <c r="BJ20" s="161">
        <f>SUM(BH20:BI20)</f>
        <v>0</v>
      </c>
      <c r="BK20" s="319">
        <v>0</v>
      </c>
      <c r="BL20" s="312">
        <v>0</v>
      </c>
      <c r="BM20" s="161">
        <f>SUM(BK20:BL20)</f>
        <v>0</v>
      </c>
      <c r="BN20" s="319">
        <v>0</v>
      </c>
      <c r="BO20" s="312">
        <v>0</v>
      </c>
      <c r="BP20" s="161">
        <f t="shared" si="4"/>
        <v>0</v>
      </c>
      <c r="BQ20" s="319"/>
      <c r="BR20" s="312"/>
      <c r="BS20" s="161"/>
      <c r="BT20" s="118"/>
      <c r="BU20" s="118"/>
      <c r="BV20" s="118"/>
      <c r="BW20" s="319">
        <v>0</v>
      </c>
      <c r="BX20" s="312">
        <v>0</v>
      </c>
      <c r="BY20" s="161">
        <v>0</v>
      </c>
      <c r="BZ20" s="319" t="s">
        <v>160</v>
      </c>
      <c r="CA20" s="312" t="s">
        <v>160</v>
      </c>
      <c r="CB20" s="161">
        <v>0</v>
      </c>
      <c r="CC20" s="319" t="s">
        <v>160</v>
      </c>
      <c r="CD20" s="312" t="s">
        <v>160</v>
      </c>
      <c r="CE20" s="161">
        <f>SUM(CC20:CD20)</f>
        <v>0</v>
      </c>
      <c r="CF20" s="319" t="s">
        <v>160</v>
      </c>
      <c r="CG20" s="312" t="s">
        <v>160</v>
      </c>
      <c r="CH20" s="161">
        <f t="shared" si="5"/>
        <v>0</v>
      </c>
      <c r="CI20" s="319" t="s">
        <v>160</v>
      </c>
      <c r="CJ20" s="312" t="s">
        <v>160</v>
      </c>
      <c r="CK20" s="161">
        <v>0</v>
      </c>
      <c r="CL20" s="319" t="s">
        <v>160</v>
      </c>
      <c r="CM20" s="312" t="s">
        <v>160</v>
      </c>
      <c r="CN20" s="161">
        <f t="shared" si="6"/>
        <v>0</v>
      </c>
      <c r="CO20" s="319" t="s">
        <v>160</v>
      </c>
      <c r="CP20" s="312" t="s">
        <v>160</v>
      </c>
      <c r="CQ20" s="161">
        <v>0</v>
      </c>
      <c r="CR20" s="319" t="s">
        <v>160</v>
      </c>
      <c r="CS20" s="312" t="s">
        <v>160</v>
      </c>
      <c r="CT20" s="161">
        <v>0</v>
      </c>
      <c r="CU20" s="319" t="s">
        <v>160</v>
      </c>
      <c r="CV20" s="312" t="s">
        <v>160</v>
      </c>
      <c r="CW20" s="161">
        <f>SUM(CU20:CV20)</f>
        <v>0</v>
      </c>
      <c r="CX20" s="319" t="s">
        <v>160</v>
      </c>
      <c r="CY20" s="312" t="s">
        <v>160</v>
      </c>
      <c r="CZ20" s="161">
        <v>0</v>
      </c>
      <c r="DA20" s="319" t="s">
        <v>160</v>
      </c>
      <c r="DB20" s="312" t="s">
        <v>160</v>
      </c>
      <c r="DC20" s="161">
        <f>SUM(DA20:DB20)</f>
        <v>0</v>
      </c>
      <c r="DD20" s="319" t="s">
        <v>160</v>
      </c>
      <c r="DE20" s="312" t="s">
        <v>160</v>
      </c>
      <c r="DF20" s="161">
        <f t="shared" si="13"/>
        <v>0</v>
      </c>
      <c r="DG20" s="319" t="s">
        <v>160</v>
      </c>
      <c r="DH20" s="312" t="s">
        <v>160</v>
      </c>
      <c r="DI20" s="161">
        <f>SUM(DG20:DH20)</f>
        <v>0</v>
      </c>
      <c r="DJ20" s="319" t="s">
        <v>160</v>
      </c>
      <c r="DK20" s="312" t="s">
        <v>160</v>
      </c>
      <c r="DL20" s="161">
        <f>SUM(DJ20:DK20)</f>
        <v>0</v>
      </c>
      <c r="DM20" s="319" t="s">
        <v>160</v>
      </c>
      <c r="DN20" s="312" t="s">
        <v>160</v>
      </c>
      <c r="DO20" s="161">
        <f>SUM(DM20:DN20)</f>
        <v>0</v>
      </c>
      <c r="DP20" s="319" t="s">
        <v>160</v>
      </c>
      <c r="DQ20" s="312" t="s">
        <v>160</v>
      </c>
      <c r="DR20" s="161">
        <f>SUM(DP20:DQ20)</f>
        <v>0</v>
      </c>
      <c r="DS20" s="319" t="s">
        <v>160</v>
      </c>
      <c r="DT20" s="312" t="s">
        <v>160</v>
      </c>
      <c r="DU20" s="161">
        <f>SUM(DS20:DT20)</f>
        <v>0</v>
      </c>
      <c r="DV20" s="319" t="s">
        <v>160</v>
      </c>
      <c r="DW20" s="312" t="s">
        <v>160</v>
      </c>
      <c r="DX20" s="161">
        <f>SUM(DV20:DW20)</f>
        <v>0</v>
      </c>
      <c r="DY20" s="319"/>
      <c r="DZ20" s="312"/>
      <c r="EA20" s="161"/>
      <c r="EB20" s="319" t="s">
        <v>160</v>
      </c>
      <c r="EC20" s="312" t="s">
        <v>160</v>
      </c>
      <c r="ED20" s="161">
        <f>SUM(EB20:EC20)</f>
        <v>0</v>
      </c>
      <c r="EE20" s="118" t="s">
        <v>160</v>
      </c>
      <c r="EF20" s="118" t="s">
        <v>160</v>
      </c>
      <c r="EG20" s="118">
        <v>0</v>
      </c>
      <c r="EH20" s="319" t="s">
        <v>160</v>
      </c>
      <c r="EI20" s="312" t="s">
        <v>160</v>
      </c>
      <c r="EJ20" s="161">
        <f t="shared" si="14"/>
        <v>0</v>
      </c>
      <c r="EK20" s="319" t="s">
        <v>160</v>
      </c>
      <c r="EL20" s="312" t="s">
        <v>160</v>
      </c>
      <c r="EM20" s="161">
        <f t="shared" si="15"/>
        <v>0</v>
      </c>
      <c r="EN20" s="319" t="s">
        <v>160</v>
      </c>
      <c r="EO20" s="312" t="s">
        <v>160</v>
      </c>
      <c r="EP20" s="161">
        <f t="shared" si="16"/>
        <v>0</v>
      </c>
      <c r="EQ20" s="319" t="s">
        <v>160</v>
      </c>
      <c r="ER20" s="312" t="s">
        <v>160</v>
      </c>
      <c r="ES20" s="161">
        <f t="shared" si="17"/>
        <v>0</v>
      </c>
      <c r="ET20" s="319" t="s">
        <v>160</v>
      </c>
      <c r="EU20" s="312" t="s">
        <v>160</v>
      </c>
      <c r="EV20" s="161">
        <f>SUM(ET20:EU20)</f>
        <v>0</v>
      </c>
    </row>
    <row r="21" spans="2:152" ht="15" customHeight="1" collapsed="1" x14ac:dyDescent="0.2">
      <c r="B21" s="126" t="s">
        <v>202</v>
      </c>
      <c r="C21" s="162">
        <f t="shared" ref="C21:AH21" si="18">SUM(C7:C20)</f>
        <v>125487</v>
      </c>
      <c r="D21" s="120">
        <f t="shared" si="18"/>
        <v>100253</v>
      </c>
      <c r="E21" s="163">
        <f t="shared" si="18"/>
        <v>225740</v>
      </c>
      <c r="F21" s="162">
        <f t="shared" si="18"/>
        <v>131031</v>
      </c>
      <c r="G21" s="120">
        <f t="shared" si="18"/>
        <v>90421</v>
      </c>
      <c r="H21" s="163">
        <f t="shared" si="18"/>
        <v>221452</v>
      </c>
      <c r="I21" s="162">
        <f t="shared" si="18"/>
        <v>177675</v>
      </c>
      <c r="J21" s="120">
        <f t="shared" si="18"/>
        <v>8892</v>
      </c>
      <c r="K21" s="163">
        <f t="shared" si="18"/>
        <v>186567</v>
      </c>
      <c r="L21" s="162">
        <f t="shared" si="18"/>
        <v>177168</v>
      </c>
      <c r="M21" s="120">
        <f t="shared" si="18"/>
        <v>8892</v>
      </c>
      <c r="N21" s="163">
        <f t="shared" si="18"/>
        <v>186060</v>
      </c>
      <c r="O21" s="162">
        <f t="shared" si="18"/>
        <v>238215</v>
      </c>
      <c r="P21" s="120">
        <f t="shared" si="18"/>
        <v>8892</v>
      </c>
      <c r="Q21" s="163">
        <f t="shared" si="18"/>
        <v>247107</v>
      </c>
      <c r="R21" s="162">
        <f t="shared" si="18"/>
        <v>238845</v>
      </c>
      <c r="S21" s="120">
        <f t="shared" si="18"/>
        <v>40157</v>
      </c>
      <c r="T21" s="163">
        <f t="shared" si="18"/>
        <v>247737</v>
      </c>
      <c r="U21" s="162">
        <f t="shared" si="18"/>
        <v>235624</v>
      </c>
      <c r="V21" s="120">
        <f t="shared" si="18"/>
        <v>8892</v>
      </c>
      <c r="W21" s="163">
        <f t="shared" si="18"/>
        <v>244516</v>
      </c>
      <c r="X21" s="162">
        <f t="shared" si="18"/>
        <v>239202</v>
      </c>
      <c r="Y21" s="120">
        <f t="shared" si="18"/>
        <v>8892</v>
      </c>
      <c r="Z21" s="163">
        <f t="shared" si="18"/>
        <v>248094</v>
      </c>
      <c r="AA21" s="162">
        <f t="shared" si="18"/>
        <v>235767</v>
      </c>
      <c r="AB21" s="120">
        <f t="shared" si="18"/>
        <v>8892</v>
      </c>
      <c r="AC21" s="163">
        <f t="shared" si="18"/>
        <v>244659</v>
      </c>
      <c r="AD21" s="162">
        <f t="shared" si="18"/>
        <v>240631</v>
      </c>
      <c r="AE21" s="120">
        <f t="shared" si="18"/>
        <v>8892</v>
      </c>
      <c r="AF21" s="163">
        <f t="shared" si="18"/>
        <v>249523</v>
      </c>
      <c r="AG21" s="162">
        <f t="shared" si="18"/>
        <v>258427</v>
      </c>
      <c r="AH21" s="120">
        <f t="shared" si="18"/>
        <v>8892</v>
      </c>
      <c r="AI21" s="163">
        <f t="shared" ref="AI21:BN21" si="19">SUM(AI7:AI20)</f>
        <v>267319</v>
      </c>
      <c r="AJ21" s="162">
        <f t="shared" si="19"/>
        <v>264710</v>
      </c>
      <c r="AK21" s="120">
        <f t="shared" si="19"/>
        <v>8892</v>
      </c>
      <c r="AL21" s="163">
        <f t="shared" si="19"/>
        <v>273602</v>
      </c>
      <c r="AM21" s="162">
        <f t="shared" si="19"/>
        <v>263431</v>
      </c>
      <c r="AN21" s="120">
        <f t="shared" si="19"/>
        <v>8892</v>
      </c>
      <c r="AO21" s="163">
        <f t="shared" si="19"/>
        <v>272323</v>
      </c>
      <c r="AP21" s="162">
        <f t="shared" si="19"/>
        <v>265136</v>
      </c>
      <c r="AQ21" s="120">
        <f t="shared" si="19"/>
        <v>8892</v>
      </c>
      <c r="AR21" s="163">
        <f t="shared" si="19"/>
        <v>274028</v>
      </c>
      <c r="AS21" s="162">
        <f t="shared" si="19"/>
        <v>273768</v>
      </c>
      <c r="AT21" s="120">
        <f t="shared" si="19"/>
        <v>8892</v>
      </c>
      <c r="AU21" s="163">
        <f t="shared" si="19"/>
        <v>282660</v>
      </c>
      <c r="AV21" s="162">
        <f t="shared" si="19"/>
        <v>269362</v>
      </c>
      <c r="AW21" s="120">
        <f t="shared" si="19"/>
        <v>8892</v>
      </c>
      <c r="AX21" s="163">
        <f t="shared" si="19"/>
        <v>278254</v>
      </c>
      <c r="AY21" s="162">
        <f t="shared" si="19"/>
        <v>269973</v>
      </c>
      <c r="AZ21" s="120">
        <f t="shared" si="19"/>
        <v>8892</v>
      </c>
      <c r="BA21" s="163">
        <f t="shared" si="19"/>
        <v>278865</v>
      </c>
      <c r="BB21" s="162">
        <f t="shared" si="19"/>
        <v>154115</v>
      </c>
      <c r="BC21" s="120">
        <f t="shared" si="19"/>
        <v>6364</v>
      </c>
      <c r="BD21" s="163">
        <f t="shared" si="19"/>
        <v>160479</v>
      </c>
      <c r="BE21" s="162">
        <f t="shared" si="19"/>
        <v>160257</v>
      </c>
      <c r="BF21" s="120">
        <f t="shared" si="19"/>
        <v>6364</v>
      </c>
      <c r="BG21" s="163">
        <f t="shared" si="19"/>
        <v>166621</v>
      </c>
      <c r="BH21" s="162">
        <f t="shared" si="19"/>
        <v>151825</v>
      </c>
      <c r="BI21" s="120">
        <f t="shared" si="19"/>
        <v>6364</v>
      </c>
      <c r="BJ21" s="163">
        <f t="shared" si="19"/>
        <v>158189</v>
      </c>
      <c r="BK21" s="162">
        <f t="shared" si="19"/>
        <v>155420</v>
      </c>
      <c r="BL21" s="120">
        <f t="shared" si="19"/>
        <v>6364</v>
      </c>
      <c r="BM21" s="163">
        <f t="shared" si="19"/>
        <v>161784</v>
      </c>
      <c r="BN21" s="162">
        <f t="shared" si="19"/>
        <v>161923</v>
      </c>
      <c r="BO21" s="120">
        <f t="shared" ref="BO21:CQ21" si="20">SUM(BO7:BO20)</f>
        <v>6364</v>
      </c>
      <c r="BP21" s="163">
        <f t="shared" si="20"/>
        <v>168287</v>
      </c>
      <c r="BQ21" s="162">
        <f t="shared" si="20"/>
        <v>168014</v>
      </c>
      <c r="BR21" s="120">
        <f t="shared" si="20"/>
        <v>6364</v>
      </c>
      <c r="BS21" s="163">
        <f t="shared" si="20"/>
        <v>174378</v>
      </c>
      <c r="BT21" s="162">
        <f t="shared" si="20"/>
        <v>176683</v>
      </c>
      <c r="BU21" s="120">
        <f t="shared" si="20"/>
        <v>6364</v>
      </c>
      <c r="BV21" s="163">
        <f t="shared" si="20"/>
        <v>183047</v>
      </c>
      <c r="BW21" s="162">
        <f t="shared" si="20"/>
        <v>206193</v>
      </c>
      <c r="BX21" s="120">
        <f t="shared" si="20"/>
        <v>6364</v>
      </c>
      <c r="BY21" s="163">
        <f t="shared" si="20"/>
        <v>212557</v>
      </c>
      <c r="BZ21" s="162">
        <f t="shared" si="20"/>
        <v>216615</v>
      </c>
      <c r="CA21" s="120">
        <f t="shared" si="20"/>
        <v>6364</v>
      </c>
      <c r="CB21" s="163">
        <f t="shared" si="20"/>
        <v>222979</v>
      </c>
      <c r="CC21" s="162">
        <f t="shared" si="20"/>
        <v>201825</v>
      </c>
      <c r="CD21" s="120">
        <f t="shared" si="20"/>
        <v>6364</v>
      </c>
      <c r="CE21" s="163">
        <f t="shared" si="20"/>
        <v>208189</v>
      </c>
      <c r="CF21" s="162">
        <f t="shared" si="20"/>
        <v>209803</v>
      </c>
      <c r="CG21" s="120">
        <f t="shared" si="20"/>
        <v>6364</v>
      </c>
      <c r="CH21" s="163">
        <f t="shared" si="20"/>
        <v>216167</v>
      </c>
      <c r="CI21" s="162">
        <f t="shared" si="20"/>
        <v>213744</v>
      </c>
      <c r="CJ21" s="120">
        <f t="shared" si="20"/>
        <v>6364</v>
      </c>
      <c r="CK21" s="163">
        <f t="shared" si="20"/>
        <v>220108</v>
      </c>
      <c r="CL21" s="162">
        <f t="shared" si="20"/>
        <v>218166</v>
      </c>
      <c r="CM21" s="120">
        <f t="shared" si="20"/>
        <v>6364</v>
      </c>
      <c r="CN21" s="163">
        <f t="shared" si="20"/>
        <v>224530</v>
      </c>
      <c r="CO21" s="162">
        <f t="shared" si="20"/>
        <v>215371</v>
      </c>
      <c r="CP21" s="120">
        <f t="shared" si="20"/>
        <v>6364</v>
      </c>
      <c r="CQ21" s="163">
        <f t="shared" si="20"/>
        <v>221735</v>
      </c>
      <c r="CR21" s="162">
        <v>235442</v>
      </c>
      <c r="CS21" s="120">
        <v>6364</v>
      </c>
      <c r="CT21" s="163">
        <v>241806</v>
      </c>
      <c r="CU21" s="162">
        <f t="shared" ref="CU21:EM21" si="21">SUM(CU7:CU20)</f>
        <v>261462</v>
      </c>
      <c r="CV21" s="120">
        <f t="shared" si="21"/>
        <v>6364</v>
      </c>
      <c r="CW21" s="163">
        <f t="shared" si="21"/>
        <v>267826</v>
      </c>
      <c r="CX21" s="162">
        <f t="shared" si="21"/>
        <v>283234</v>
      </c>
      <c r="CY21" s="120">
        <f t="shared" si="21"/>
        <v>6364</v>
      </c>
      <c r="CZ21" s="163">
        <f t="shared" si="21"/>
        <v>289598</v>
      </c>
      <c r="DA21" s="162">
        <f t="shared" si="21"/>
        <v>247947</v>
      </c>
      <c r="DB21" s="120">
        <f t="shared" si="21"/>
        <v>6363</v>
      </c>
      <c r="DC21" s="163">
        <f t="shared" si="21"/>
        <v>254310</v>
      </c>
      <c r="DD21" s="162">
        <f t="shared" si="21"/>
        <v>230189</v>
      </c>
      <c r="DE21" s="120">
        <f t="shared" si="21"/>
        <v>6363</v>
      </c>
      <c r="DF21" s="163">
        <f t="shared" si="21"/>
        <v>236552</v>
      </c>
      <c r="DG21" s="162">
        <f t="shared" si="21"/>
        <v>253280</v>
      </c>
      <c r="DH21" s="120">
        <f t="shared" si="21"/>
        <v>6363</v>
      </c>
      <c r="DI21" s="163">
        <f t="shared" si="21"/>
        <v>259643</v>
      </c>
      <c r="DJ21" s="162">
        <f t="shared" si="21"/>
        <v>291063</v>
      </c>
      <c r="DK21" s="120">
        <f t="shared" si="21"/>
        <v>6363</v>
      </c>
      <c r="DL21" s="163">
        <f t="shared" si="21"/>
        <v>297426</v>
      </c>
      <c r="DM21" s="162">
        <f t="shared" si="21"/>
        <v>290299</v>
      </c>
      <c r="DN21" s="120">
        <f t="shared" si="21"/>
        <v>6363</v>
      </c>
      <c r="DO21" s="163">
        <f t="shared" si="21"/>
        <v>296662</v>
      </c>
      <c r="DP21" s="162">
        <f t="shared" si="21"/>
        <v>294068</v>
      </c>
      <c r="DQ21" s="120">
        <f t="shared" si="21"/>
        <v>6363</v>
      </c>
      <c r="DR21" s="163">
        <f t="shared" si="21"/>
        <v>300431</v>
      </c>
      <c r="DS21" s="162">
        <f t="shared" si="21"/>
        <v>304702</v>
      </c>
      <c r="DT21" s="120">
        <f t="shared" si="21"/>
        <v>6363</v>
      </c>
      <c r="DU21" s="163">
        <f t="shared" si="21"/>
        <v>311065</v>
      </c>
      <c r="DV21" s="162">
        <f t="shared" si="21"/>
        <v>317678</v>
      </c>
      <c r="DW21" s="120">
        <f t="shared" si="21"/>
        <v>6363</v>
      </c>
      <c r="DX21" s="163">
        <f t="shared" si="21"/>
        <v>324041</v>
      </c>
      <c r="DY21" s="162">
        <f t="shared" ref="DY21:ED21" si="22">SUM(DY7:DY20)</f>
        <v>250726</v>
      </c>
      <c r="DZ21" s="120">
        <f t="shared" si="22"/>
        <v>6363</v>
      </c>
      <c r="EA21" s="163">
        <f t="shared" si="22"/>
        <v>257089</v>
      </c>
      <c r="EB21" s="162">
        <f t="shared" si="22"/>
        <v>265183</v>
      </c>
      <c r="EC21" s="120">
        <f t="shared" si="22"/>
        <v>6363</v>
      </c>
      <c r="ED21" s="163">
        <f t="shared" si="22"/>
        <v>271546</v>
      </c>
      <c r="EE21" s="120">
        <v>269160</v>
      </c>
      <c r="EF21" s="120">
        <v>6363</v>
      </c>
      <c r="EG21" s="120">
        <v>275523</v>
      </c>
      <c r="EH21" s="162">
        <f>SUM(EH7:EH20)</f>
        <v>274470</v>
      </c>
      <c r="EI21" s="120">
        <f>SUM(EI7:EI20)</f>
        <v>6363</v>
      </c>
      <c r="EJ21" s="163">
        <f>SUM(EJ7:EJ20)</f>
        <v>280833</v>
      </c>
      <c r="EK21" s="162">
        <f t="shared" si="21"/>
        <v>267440</v>
      </c>
      <c r="EL21" s="120">
        <f t="shared" si="21"/>
        <v>6363</v>
      </c>
      <c r="EM21" s="163">
        <f t="shared" si="21"/>
        <v>273803</v>
      </c>
      <c r="EN21" s="162">
        <f t="shared" ref="EN21:EV21" si="23">SUM(EN7:EN20)</f>
        <v>271399</v>
      </c>
      <c r="EO21" s="120">
        <f t="shared" si="23"/>
        <v>6363</v>
      </c>
      <c r="EP21" s="163">
        <f t="shared" si="23"/>
        <v>277762</v>
      </c>
      <c r="EQ21" s="162">
        <f t="shared" si="23"/>
        <v>272734</v>
      </c>
      <c r="ER21" s="120">
        <f t="shared" si="23"/>
        <v>6363</v>
      </c>
      <c r="ES21" s="163">
        <f t="shared" si="23"/>
        <v>279097</v>
      </c>
      <c r="ET21" s="162">
        <f t="shared" si="23"/>
        <v>306518</v>
      </c>
      <c r="EU21" s="120">
        <f t="shared" si="23"/>
        <v>6363</v>
      </c>
      <c r="EV21" s="163">
        <f t="shared" si="23"/>
        <v>312881</v>
      </c>
    </row>
    <row r="22" spans="2:152" ht="15" hidden="1" customHeight="1" outlineLevel="1" x14ac:dyDescent="0.2">
      <c r="B22" s="318" t="s">
        <v>211</v>
      </c>
      <c r="C22" s="319">
        <v>595</v>
      </c>
      <c r="D22" s="312">
        <v>0</v>
      </c>
      <c r="E22" s="332">
        <f>SUM(C22:D22)</f>
        <v>595</v>
      </c>
      <c r="F22" s="319">
        <v>456</v>
      </c>
      <c r="G22" s="312">
        <v>0</v>
      </c>
      <c r="H22" s="332">
        <f>SUM(F22:G22)</f>
        <v>456</v>
      </c>
      <c r="I22" s="319">
        <v>463</v>
      </c>
      <c r="J22" s="312">
        <v>0</v>
      </c>
      <c r="K22" s="332">
        <f>SUM(I22:J22)</f>
        <v>463</v>
      </c>
      <c r="L22" s="319">
        <v>501</v>
      </c>
      <c r="M22" s="312">
        <v>0</v>
      </c>
      <c r="N22" s="332">
        <f>SUM(L22:M22)</f>
        <v>501</v>
      </c>
      <c r="O22" s="319">
        <v>482</v>
      </c>
      <c r="P22" s="312">
        <v>0</v>
      </c>
      <c r="Q22" s="332">
        <f>SUM(O22:P22)</f>
        <v>482</v>
      </c>
      <c r="R22" s="319">
        <v>797</v>
      </c>
      <c r="S22" s="312">
        <v>797</v>
      </c>
      <c r="T22" s="332">
        <f>SUM(R22:S22)</f>
        <v>1594</v>
      </c>
      <c r="U22" s="319">
        <v>893</v>
      </c>
      <c r="V22" s="312">
        <v>0</v>
      </c>
      <c r="W22" s="332">
        <f>SUM(U22:V22)</f>
        <v>893</v>
      </c>
      <c r="X22" s="319">
        <v>1941</v>
      </c>
      <c r="Y22" s="312">
        <v>0</v>
      </c>
      <c r="Z22" s="332">
        <v>1941</v>
      </c>
      <c r="AA22" s="319">
        <v>2244</v>
      </c>
      <c r="AB22" s="312">
        <v>0</v>
      </c>
      <c r="AC22" s="332">
        <f>SUM(AA22:AB22)</f>
        <v>2244</v>
      </c>
      <c r="AD22" s="319">
        <v>827</v>
      </c>
      <c r="AE22" s="312">
        <v>0</v>
      </c>
      <c r="AF22" s="332">
        <f>SUM(AD22:AE22)</f>
        <v>827</v>
      </c>
      <c r="AG22" s="319">
        <v>211</v>
      </c>
      <c r="AH22" s="312">
        <v>0</v>
      </c>
      <c r="AI22" s="332">
        <f>SUM(AG22:AH22)</f>
        <v>211</v>
      </c>
      <c r="AJ22" s="319">
        <v>211</v>
      </c>
      <c r="AK22" s="312">
        <v>0</v>
      </c>
      <c r="AL22" s="332">
        <v>211</v>
      </c>
      <c r="AM22" s="312">
        <v>0</v>
      </c>
      <c r="AN22" s="312">
        <v>0</v>
      </c>
      <c r="AO22" s="312">
        <v>0</v>
      </c>
      <c r="AP22" s="319">
        <v>0</v>
      </c>
      <c r="AQ22" s="312">
        <v>0</v>
      </c>
      <c r="AR22" s="332">
        <v>0</v>
      </c>
      <c r="AS22" s="312">
        <v>0</v>
      </c>
      <c r="AT22" s="312">
        <v>0</v>
      </c>
      <c r="AU22" s="312">
        <v>0</v>
      </c>
      <c r="AV22" s="319">
        <v>0</v>
      </c>
      <c r="AW22" s="312">
        <v>0</v>
      </c>
      <c r="AX22" s="332">
        <v>0</v>
      </c>
      <c r="AY22" s="319">
        <v>0</v>
      </c>
      <c r="AZ22" s="312">
        <v>0</v>
      </c>
      <c r="BA22" s="332">
        <v>0</v>
      </c>
      <c r="BB22" s="319" t="s">
        <v>160</v>
      </c>
      <c r="BC22" s="312" t="s">
        <v>160</v>
      </c>
      <c r="BD22" s="161">
        <f>SUM(BB22:BC22)</f>
        <v>0</v>
      </c>
      <c r="BE22" s="319" t="s">
        <v>160</v>
      </c>
      <c r="BF22" s="312" t="s">
        <v>160</v>
      </c>
      <c r="BG22" s="332" t="s">
        <v>160</v>
      </c>
      <c r="BH22" s="319" t="s">
        <v>160</v>
      </c>
      <c r="BI22" s="312" t="s">
        <v>160</v>
      </c>
      <c r="BJ22" s="332" t="s">
        <v>160</v>
      </c>
      <c r="BK22" s="319" t="s">
        <v>160</v>
      </c>
      <c r="BL22" s="312" t="s">
        <v>160</v>
      </c>
      <c r="BM22" s="332" t="s">
        <v>160</v>
      </c>
      <c r="BN22" s="319" t="s">
        <v>160</v>
      </c>
      <c r="BO22" s="312" t="s">
        <v>160</v>
      </c>
      <c r="BP22" s="332" t="s">
        <v>160</v>
      </c>
      <c r="BQ22" s="319"/>
      <c r="BR22" s="312"/>
      <c r="BS22" s="332"/>
      <c r="BT22" s="312"/>
      <c r="BU22" s="312"/>
      <c r="BV22" s="312"/>
      <c r="BW22" s="319" t="s">
        <v>160</v>
      </c>
      <c r="BX22" s="312" t="s">
        <v>160</v>
      </c>
      <c r="BY22" s="332" t="s">
        <v>160</v>
      </c>
      <c r="BZ22" s="319" t="s">
        <v>160</v>
      </c>
      <c r="CA22" s="312" t="s">
        <v>160</v>
      </c>
      <c r="CB22" s="332" t="s">
        <v>160</v>
      </c>
      <c r="CC22" s="319" t="s">
        <v>160</v>
      </c>
      <c r="CD22" s="312" t="s">
        <v>160</v>
      </c>
      <c r="CE22" s="332" t="s">
        <v>160</v>
      </c>
      <c r="CF22" s="319" t="s">
        <v>160</v>
      </c>
      <c r="CG22" s="312" t="s">
        <v>160</v>
      </c>
      <c r="CH22" s="332" t="s">
        <v>160</v>
      </c>
      <c r="CI22" s="319" t="s">
        <v>160</v>
      </c>
      <c r="CJ22" s="312" t="s">
        <v>160</v>
      </c>
      <c r="CK22" s="332" t="s">
        <v>160</v>
      </c>
      <c r="CL22" s="319" t="s">
        <v>160</v>
      </c>
      <c r="CM22" s="312" t="s">
        <v>160</v>
      </c>
      <c r="CN22" s="332" t="s">
        <v>160</v>
      </c>
      <c r="CO22" s="319" t="s">
        <v>160</v>
      </c>
      <c r="CP22" s="312" t="s">
        <v>160</v>
      </c>
      <c r="CQ22" s="332" t="s">
        <v>160</v>
      </c>
      <c r="CR22" s="319" t="s">
        <v>160</v>
      </c>
      <c r="CS22" s="312" t="s">
        <v>160</v>
      </c>
      <c r="CT22" s="332" t="s">
        <v>160</v>
      </c>
      <c r="CU22" s="319" t="s">
        <v>160</v>
      </c>
      <c r="CV22" s="312" t="s">
        <v>160</v>
      </c>
      <c r="CW22" s="332" t="s">
        <v>160</v>
      </c>
      <c r="CX22" s="319" t="s">
        <v>160</v>
      </c>
      <c r="CY22" s="312" t="s">
        <v>160</v>
      </c>
      <c r="CZ22" s="332" t="s">
        <v>160</v>
      </c>
      <c r="DA22" s="319" t="s">
        <v>160</v>
      </c>
      <c r="DB22" s="312" t="s">
        <v>160</v>
      </c>
      <c r="DC22" s="332" t="s">
        <v>160</v>
      </c>
      <c r="DD22" s="319" t="s">
        <v>160</v>
      </c>
      <c r="DE22" s="312" t="s">
        <v>160</v>
      </c>
      <c r="DF22" s="332" t="s">
        <v>160</v>
      </c>
      <c r="DG22" s="319" t="s">
        <v>160</v>
      </c>
      <c r="DH22" s="312" t="s">
        <v>160</v>
      </c>
      <c r="DI22" s="332" t="s">
        <v>160</v>
      </c>
      <c r="DJ22" s="319" t="s">
        <v>160</v>
      </c>
      <c r="DK22" s="312" t="s">
        <v>160</v>
      </c>
      <c r="DL22" s="332" t="s">
        <v>160</v>
      </c>
      <c r="DM22" s="319" t="s">
        <v>160</v>
      </c>
      <c r="DN22" s="312" t="s">
        <v>160</v>
      </c>
      <c r="DO22" s="332" t="s">
        <v>160</v>
      </c>
      <c r="DP22" s="319" t="s">
        <v>160</v>
      </c>
      <c r="DQ22" s="312" t="s">
        <v>160</v>
      </c>
      <c r="DR22" s="332" t="s">
        <v>160</v>
      </c>
      <c r="DS22" s="319" t="s">
        <v>160</v>
      </c>
      <c r="DT22" s="312" t="s">
        <v>160</v>
      </c>
      <c r="DU22" s="332" t="s">
        <v>160</v>
      </c>
      <c r="DV22" s="319" t="s">
        <v>160</v>
      </c>
      <c r="DW22" s="312" t="s">
        <v>160</v>
      </c>
      <c r="DX22" s="332" t="s">
        <v>160</v>
      </c>
      <c r="DY22" s="319" t="s">
        <v>160</v>
      </c>
      <c r="DZ22" s="312" t="s">
        <v>160</v>
      </c>
      <c r="EA22" s="332" t="s">
        <v>160</v>
      </c>
      <c r="EB22" s="319" t="s">
        <v>160</v>
      </c>
      <c r="EC22" s="312" t="s">
        <v>160</v>
      </c>
      <c r="ED22" s="332" t="s">
        <v>160</v>
      </c>
      <c r="EE22" s="312" t="s">
        <v>160</v>
      </c>
      <c r="EF22" s="312" t="s">
        <v>160</v>
      </c>
      <c r="EG22" s="312" t="s">
        <v>160</v>
      </c>
      <c r="EH22" s="319" t="s">
        <v>160</v>
      </c>
      <c r="EI22" s="312" t="s">
        <v>160</v>
      </c>
      <c r="EJ22" s="332" t="s">
        <v>160</v>
      </c>
      <c r="EK22" s="319" t="s">
        <v>160</v>
      </c>
      <c r="EL22" s="312" t="s">
        <v>160</v>
      </c>
      <c r="EM22" s="332" t="s">
        <v>160</v>
      </c>
      <c r="EN22" s="319" t="s">
        <v>160</v>
      </c>
      <c r="EO22" s="312" t="s">
        <v>160</v>
      </c>
      <c r="EP22" s="332" t="s">
        <v>160</v>
      </c>
      <c r="EQ22" s="319" t="s">
        <v>160</v>
      </c>
      <c r="ER22" s="312" t="s">
        <v>160</v>
      </c>
      <c r="ES22" s="332" t="s">
        <v>160</v>
      </c>
      <c r="ET22" s="319" t="s">
        <v>160</v>
      </c>
      <c r="EU22" s="312" t="s">
        <v>160</v>
      </c>
      <c r="EV22" s="332" t="s">
        <v>160</v>
      </c>
    </row>
    <row r="23" spans="2:152" ht="15" hidden="1" customHeight="1" collapsed="1" x14ac:dyDescent="0.2">
      <c r="B23" s="126" t="s">
        <v>209</v>
      </c>
      <c r="C23" s="162">
        <f t="shared" ref="C23:AH23" si="24">SUM(C22:C22)</f>
        <v>595</v>
      </c>
      <c r="D23" s="120">
        <f t="shared" si="24"/>
        <v>0</v>
      </c>
      <c r="E23" s="163">
        <f t="shared" si="24"/>
        <v>595</v>
      </c>
      <c r="F23" s="162">
        <f t="shared" si="24"/>
        <v>456</v>
      </c>
      <c r="G23" s="120">
        <f t="shared" si="24"/>
        <v>0</v>
      </c>
      <c r="H23" s="163">
        <f t="shared" si="24"/>
        <v>456</v>
      </c>
      <c r="I23" s="162">
        <f t="shared" si="24"/>
        <v>463</v>
      </c>
      <c r="J23" s="120">
        <f t="shared" si="24"/>
        <v>0</v>
      </c>
      <c r="K23" s="163">
        <f t="shared" si="24"/>
        <v>463</v>
      </c>
      <c r="L23" s="162">
        <f t="shared" si="24"/>
        <v>501</v>
      </c>
      <c r="M23" s="120">
        <f t="shared" si="24"/>
        <v>0</v>
      </c>
      <c r="N23" s="163">
        <f t="shared" si="24"/>
        <v>501</v>
      </c>
      <c r="O23" s="162">
        <f t="shared" si="24"/>
        <v>482</v>
      </c>
      <c r="P23" s="120">
        <f t="shared" si="24"/>
        <v>0</v>
      </c>
      <c r="Q23" s="163">
        <f t="shared" si="24"/>
        <v>482</v>
      </c>
      <c r="R23" s="162">
        <f t="shared" si="24"/>
        <v>797</v>
      </c>
      <c r="S23" s="120">
        <f t="shared" si="24"/>
        <v>797</v>
      </c>
      <c r="T23" s="163">
        <f t="shared" si="24"/>
        <v>1594</v>
      </c>
      <c r="U23" s="162">
        <f t="shared" si="24"/>
        <v>893</v>
      </c>
      <c r="V23" s="120">
        <f t="shared" si="24"/>
        <v>0</v>
      </c>
      <c r="W23" s="163">
        <f t="shared" si="24"/>
        <v>893</v>
      </c>
      <c r="X23" s="162">
        <f t="shared" si="24"/>
        <v>1941</v>
      </c>
      <c r="Y23" s="120">
        <f t="shared" si="24"/>
        <v>0</v>
      </c>
      <c r="Z23" s="163">
        <f t="shared" si="24"/>
        <v>1941</v>
      </c>
      <c r="AA23" s="162">
        <f t="shared" si="24"/>
        <v>2244</v>
      </c>
      <c r="AB23" s="120">
        <f t="shared" si="24"/>
        <v>0</v>
      </c>
      <c r="AC23" s="163">
        <f t="shared" si="24"/>
        <v>2244</v>
      </c>
      <c r="AD23" s="162">
        <f t="shared" si="24"/>
        <v>827</v>
      </c>
      <c r="AE23" s="120">
        <f t="shared" si="24"/>
        <v>0</v>
      </c>
      <c r="AF23" s="163">
        <f t="shared" si="24"/>
        <v>827</v>
      </c>
      <c r="AG23" s="162">
        <f t="shared" si="24"/>
        <v>211</v>
      </c>
      <c r="AH23" s="120">
        <f t="shared" si="24"/>
        <v>0</v>
      </c>
      <c r="AI23" s="163">
        <f t="shared" ref="AI23:BN23" si="25">SUM(AI22:AI22)</f>
        <v>211</v>
      </c>
      <c r="AJ23" s="162">
        <f t="shared" si="25"/>
        <v>211</v>
      </c>
      <c r="AK23" s="120">
        <f t="shared" si="25"/>
        <v>0</v>
      </c>
      <c r="AL23" s="163">
        <f t="shared" si="25"/>
        <v>211</v>
      </c>
      <c r="AM23" s="162">
        <f t="shared" si="25"/>
        <v>0</v>
      </c>
      <c r="AN23" s="120">
        <f t="shared" si="25"/>
        <v>0</v>
      </c>
      <c r="AO23" s="163">
        <f t="shared" si="25"/>
        <v>0</v>
      </c>
      <c r="AP23" s="162">
        <f t="shared" si="25"/>
        <v>0</v>
      </c>
      <c r="AQ23" s="120">
        <f t="shared" si="25"/>
        <v>0</v>
      </c>
      <c r="AR23" s="163">
        <f t="shared" si="25"/>
        <v>0</v>
      </c>
      <c r="AS23" s="162">
        <f t="shared" si="25"/>
        <v>0</v>
      </c>
      <c r="AT23" s="120">
        <f t="shared" si="25"/>
        <v>0</v>
      </c>
      <c r="AU23" s="163">
        <f t="shared" si="25"/>
        <v>0</v>
      </c>
      <c r="AV23" s="162">
        <f t="shared" si="25"/>
        <v>0</v>
      </c>
      <c r="AW23" s="120">
        <f t="shared" si="25"/>
        <v>0</v>
      </c>
      <c r="AX23" s="163">
        <f t="shared" si="25"/>
        <v>0</v>
      </c>
      <c r="AY23" s="162">
        <f t="shared" si="25"/>
        <v>0</v>
      </c>
      <c r="AZ23" s="120">
        <f t="shared" si="25"/>
        <v>0</v>
      </c>
      <c r="BA23" s="163">
        <f t="shared" si="25"/>
        <v>0</v>
      </c>
      <c r="BB23" s="162">
        <f t="shared" si="25"/>
        <v>0</v>
      </c>
      <c r="BC23" s="120">
        <f t="shared" si="25"/>
        <v>0</v>
      </c>
      <c r="BD23" s="163">
        <f t="shared" si="25"/>
        <v>0</v>
      </c>
      <c r="BE23" s="162">
        <f t="shared" si="25"/>
        <v>0</v>
      </c>
      <c r="BF23" s="120">
        <f t="shared" si="25"/>
        <v>0</v>
      </c>
      <c r="BG23" s="163">
        <f t="shared" si="25"/>
        <v>0</v>
      </c>
      <c r="BH23" s="162">
        <f t="shared" si="25"/>
        <v>0</v>
      </c>
      <c r="BI23" s="120">
        <f t="shared" si="25"/>
        <v>0</v>
      </c>
      <c r="BJ23" s="163">
        <f t="shared" si="25"/>
        <v>0</v>
      </c>
      <c r="BK23" s="162">
        <f t="shared" si="25"/>
        <v>0</v>
      </c>
      <c r="BL23" s="120">
        <f t="shared" si="25"/>
        <v>0</v>
      </c>
      <c r="BM23" s="163">
        <f t="shared" si="25"/>
        <v>0</v>
      </c>
      <c r="BN23" s="162">
        <f t="shared" si="25"/>
        <v>0</v>
      </c>
      <c r="BO23" s="120">
        <f t="shared" ref="BO23:CN23" si="26">SUM(BO22:BO22)</f>
        <v>0</v>
      </c>
      <c r="BP23" s="163">
        <f t="shared" si="26"/>
        <v>0</v>
      </c>
      <c r="BQ23" s="162">
        <f t="shared" si="26"/>
        <v>0</v>
      </c>
      <c r="BR23" s="120">
        <f t="shared" si="26"/>
        <v>0</v>
      </c>
      <c r="BS23" s="163">
        <f t="shared" si="26"/>
        <v>0</v>
      </c>
      <c r="BT23" s="162">
        <f t="shared" si="26"/>
        <v>0</v>
      </c>
      <c r="BU23" s="120">
        <f t="shared" si="26"/>
        <v>0</v>
      </c>
      <c r="BV23" s="163">
        <f t="shared" si="26"/>
        <v>0</v>
      </c>
      <c r="BW23" s="162">
        <f t="shared" si="26"/>
        <v>0</v>
      </c>
      <c r="BX23" s="120">
        <f t="shared" si="26"/>
        <v>0</v>
      </c>
      <c r="BY23" s="163">
        <f t="shared" si="26"/>
        <v>0</v>
      </c>
      <c r="BZ23" s="162">
        <f t="shared" si="26"/>
        <v>0</v>
      </c>
      <c r="CA23" s="120">
        <f t="shared" si="26"/>
        <v>0</v>
      </c>
      <c r="CB23" s="163">
        <f t="shared" si="26"/>
        <v>0</v>
      </c>
      <c r="CC23" s="162">
        <f t="shared" si="26"/>
        <v>0</v>
      </c>
      <c r="CD23" s="120">
        <f t="shared" si="26"/>
        <v>0</v>
      </c>
      <c r="CE23" s="163">
        <f t="shared" si="26"/>
        <v>0</v>
      </c>
      <c r="CF23" s="162">
        <f t="shared" si="26"/>
        <v>0</v>
      </c>
      <c r="CG23" s="120">
        <f t="shared" si="26"/>
        <v>0</v>
      </c>
      <c r="CH23" s="163">
        <f t="shared" si="26"/>
        <v>0</v>
      </c>
      <c r="CI23" s="162">
        <f t="shared" si="26"/>
        <v>0</v>
      </c>
      <c r="CJ23" s="120">
        <f t="shared" si="26"/>
        <v>0</v>
      </c>
      <c r="CK23" s="163">
        <f t="shared" si="26"/>
        <v>0</v>
      </c>
      <c r="CL23" s="162">
        <f t="shared" si="26"/>
        <v>0</v>
      </c>
      <c r="CM23" s="120">
        <f t="shared" si="26"/>
        <v>0</v>
      </c>
      <c r="CN23" s="163">
        <f t="shared" si="26"/>
        <v>0</v>
      </c>
      <c r="CO23" s="162">
        <f>SUM(CO22:CO22)</f>
        <v>0</v>
      </c>
      <c r="CP23" s="120">
        <f>SUM(CP22:CP22)</f>
        <v>0</v>
      </c>
      <c r="CQ23" s="163">
        <f>SUM(CQ22:CQ22)</f>
        <v>0</v>
      </c>
      <c r="CR23" s="162">
        <v>0</v>
      </c>
      <c r="CS23" s="120">
        <v>0</v>
      </c>
      <c r="CT23" s="163">
        <v>0</v>
      </c>
      <c r="CU23" s="162">
        <f t="shared" ref="CU23:DC23" si="27">SUM(CU22:CU22)</f>
        <v>0</v>
      </c>
      <c r="CV23" s="120">
        <f t="shared" si="27"/>
        <v>0</v>
      </c>
      <c r="CW23" s="163">
        <f t="shared" si="27"/>
        <v>0</v>
      </c>
      <c r="CX23" s="162">
        <f>SUM(CX22:CX22)</f>
        <v>0</v>
      </c>
      <c r="CY23" s="120">
        <f>SUM(CY22:CY22)</f>
        <v>0</v>
      </c>
      <c r="CZ23" s="163">
        <f>SUM(CZ22:CZ22)</f>
        <v>0</v>
      </c>
      <c r="DA23" s="162">
        <f t="shared" si="27"/>
        <v>0</v>
      </c>
      <c r="DB23" s="120">
        <f t="shared" si="27"/>
        <v>0</v>
      </c>
      <c r="DC23" s="163">
        <f t="shared" si="27"/>
        <v>0</v>
      </c>
      <c r="DD23" s="162">
        <f t="shared" ref="DD23:DX23" si="28">SUM(DD22:DD22)</f>
        <v>0</v>
      </c>
      <c r="DE23" s="120">
        <f t="shared" si="28"/>
        <v>0</v>
      </c>
      <c r="DF23" s="163">
        <f t="shared" si="28"/>
        <v>0</v>
      </c>
      <c r="DG23" s="162">
        <f t="shared" si="28"/>
        <v>0</v>
      </c>
      <c r="DH23" s="120">
        <f t="shared" si="28"/>
        <v>0</v>
      </c>
      <c r="DI23" s="163">
        <f t="shared" si="28"/>
        <v>0</v>
      </c>
      <c r="DJ23" s="162">
        <f t="shared" si="28"/>
        <v>0</v>
      </c>
      <c r="DK23" s="120">
        <f t="shared" si="28"/>
        <v>0</v>
      </c>
      <c r="DL23" s="163">
        <f t="shared" si="28"/>
        <v>0</v>
      </c>
      <c r="DM23" s="162">
        <f t="shared" si="28"/>
        <v>0</v>
      </c>
      <c r="DN23" s="120">
        <f t="shared" si="28"/>
        <v>0</v>
      </c>
      <c r="DO23" s="163">
        <f t="shared" si="28"/>
        <v>0</v>
      </c>
      <c r="DP23" s="162">
        <f t="shared" si="28"/>
        <v>0</v>
      </c>
      <c r="DQ23" s="120">
        <f t="shared" si="28"/>
        <v>0</v>
      </c>
      <c r="DR23" s="163">
        <f t="shared" si="28"/>
        <v>0</v>
      </c>
      <c r="DS23" s="162">
        <f t="shared" si="28"/>
        <v>0</v>
      </c>
      <c r="DT23" s="120">
        <f t="shared" si="28"/>
        <v>0</v>
      </c>
      <c r="DU23" s="163">
        <f t="shared" si="28"/>
        <v>0</v>
      </c>
      <c r="DV23" s="162">
        <f t="shared" si="28"/>
        <v>0</v>
      </c>
      <c r="DW23" s="120">
        <f t="shared" si="28"/>
        <v>0</v>
      </c>
      <c r="DX23" s="163">
        <f t="shared" si="28"/>
        <v>0</v>
      </c>
      <c r="DY23" s="162">
        <f t="shared" ref="DY23:ED23" si="29">SUM(DY22:DY22)</f>
        <v>0</v>
      </c>
      <c r="DZ23" s="120">
        <f t="shared" si="29"/>
        <v>0</v>
      </c>
      <c r="EA23" s="163">
        <f t="shared" si="29"/>
        <v>0</v>
      </c>
      <c r="EB23" s="162">
        <f t="shared" si="29"/>
        <v>0</v>
      </c>
      <c r="EC23" s="120">
        <f t="shared" si="29"/>
        <v>0</v>
      </c>
      <c r="ED23" s="163">
        <f t="shared" si="29"/>
        <v>0</v>
      </c>
      <c r="EE23" s="120">
        <v>0</v>
      </c>
      <c r="EF23" s="120">
        <v>0</v>
      </c>
      <c r="EG23" s="120">
        <v>0</v>
      </c>
      <c r="EH23" s="162">
        <f t="shared" ref="EH23:EV23" si="30">SUM(EH22:EH22)</f>
        <v>0</v>
      </c>
      <c r="EI23" s="120">
        <f t="shared" si="30"/>
        <v>0</v>
      </c>
      <c r="EJ23" s="163">
        <f t="shared" si="30"/>
        <v>0</v>
      </c>
      <c r="EK23" s="162">
        <f t="shared" si="30"/>
        <v>0</v>
      </c>
      <c r="EL23" s="120">
        <f t="shared" si="30"/>
        <v>0</v>
      </c>
      <c r="EM23" s="163">
        <f t="shared" si="30"/>
        <v>0</v>
      </c>
      <c r="EN23" s="162">
        <f t="shared" si="30"/>
        <v>0</v>
      </c>
      <c r="EO23" s="120">
        <f t="shared" si="30"/>
        <v>0</v>
      </c>
      <c r="EP23" s="163">
        <f t="shared" si="30"/>
        <v>0</v>
      </c>
      <c r="EQ23" s="162">
        <f t="shared" si="30"/>
        <v>0</v>
      </c>
      <c r="ER23" s="120">
        <f t="shared" si="30"/>
        <v>0</v>
      </c>
      <c r="ES23" s="163">
        <f t="shared" si="30"/>
        <v>0</v>
      </c>
      <c r="ET23" s="162">
        <f t="shared" si="30"/>
        <v>0</v>
      </c>
      <c r="EU23" s="120">
        <f t="shared" si="30"/>
        <v>0</v>
      </c>
      <c r="EV23" s="163">
        <f t="shared" si="30"/>
        <v>0</v>
      </c>
    </row>
    <row r="24" spans="2:152" ht="15" customHeight="1" x14ac:dyDescent="0.2">
      <c r="B24" s="126" t="s">
        <v>748</v>
      </c>
      <c r="C24" s="162"/>
      <c r="D24" s="120"/>
      <c r="E24" s="163"/>
      <c r="F24" s="162"/>
      <c r="G24" s="120"/>
      <c r="H24" s="163"/>
      <c r="I24" s="162"/>
      <c r="J24" s="120"/>
      <c r="K24" s="163"/>
      <c r="L24" s="162"/>
      <c r="M24" s="120"/>
      <c r="N24" s="163"/>
      <c r="O24" s="162"/>
      <c r="P24" s="120"/>
      <c r="Q24" s="163"/>
      <c r="R24" s="162"/>
      <c r="S24" s="120"/>
      <c r="T24" s="163"/>
      <c r="U24" s="162"/>
      <c r="V24" s="120"/>
      <c r="W24" s="163"/>
      <c r="X24" s="162"/>
      <c r="Y24" s="120"/>
      <c r="Z24" s="163"/>
      <c r="AA24" s="162"/>
      <c r="AB24" s="120"/>
      <c r="AC24" s="163"/>
      <c r="AD24" s="643">
        <f t="shared" ref="AD24:CO24" si="31">SUM(AD25:AD26)</f>
        <v>3475</v>
      </c>
      <c r="AE24" s="207">
        <f t="shared" si="31"/>
        <v>1365</v>
      </c>
      <c r="AF24" s="644">
        <f t="shared" si="31"/>
        <v>4840</v>
      </c>
      <c r="AG24" s="643">
        <f t="shared" si="31"/>
        <v>3187</v>
      </c>
      <c r="AH24" s="207">
        <f t="shared" si="31"/>
        <v>1365</v>
      </c>
      <c r="AI24" s="644">
        <f t="shared" si="31"/>
        <v>4552</v>
      </c>
      <c r="AJ24" s="643">
        <f t="shared" si="31"/>
        <v>3168</v>
      </c>
      <c r="AK24" s="207">
        <f t="shared" si="31"/>
        <v>1365</v>
      </c>
      <c r="AL24" s="644">
        <f t="shared" si="31"/>
        <v>4533</v>
      </c>
      <c r="AM24" s="643">
        <f t="shared" si="31"/>
        <v>2999</v>
      </c>
      <c r="AN24" s="207">
        <f t="shared" si="31"/>
        <v>1365</v>
      </c>
      <c r="AO24" s="644">
        <f t="shared" si="31"/>
        <v>4364</v>
      </c>
      <c r="AP24" s="643">
        <f t="shared" si="31"/>
        <v>2984</v>
      </c>
      <c r="AQ24" s="207">
        <f t="shared" si="31"/>
        <v>1365</v>
      </c>
      <c r="AR24" s="644">
        <f t="shared" si="31"/>
        <v>4349</v>
      </c>
      <c r="AS24" s="643">
        <f t="shared" si="31"/>
        <v>1340</v>
      </c>
      <c r="AT24" s="207">
        <f t="shared" si="31"/>
        <v>0</v>
      </c>
      <c r="AU24" s="644">
        <f t="shared" si="31"/>
        <v>1340</v>
      </c>
      <c r="AV24" s="643">
        <f t="shared" si="31"/>
        <v>1382</v>
      </c>
      <c r="AW24" s="207">
        <f t="shared" si="31"/>
        <v>0</v>
      </c>
      <c r="AX24" s="644">
        <f t="shared" si="31"/>
        <v>1382</v>
      </c>
      <c r="AY24" s="643">
        <f t="shared" si="31"/>
        <v>1978</v>
      </c>
      <c r="AZ24" s="207">
        <f t="shared" si="31"/>
        <v>0</v>
      </c>
      <c r="BA24" s="644">
        <f t="shared" si="31"/>
        <v>1978</v>
      </c>
      <c r="BB24" s="162">
        <f t="shared" si="31"/>
        <v>19190</v>
      </c>
      <c r="BC24" s="120">
        <f t="shared" si="31"/>
        <v>16693</v>
      </c>
      <c r="BD24" s="163">
        <f t="shared" si="31"/>
        <v>35883</v>
      </c>
      <c r="BE24" s="162">
        <f t="shared" si="31"/>
        <v>18720</v>
      </c>
      <c r="BF24" s="120">
        <f t="shared" si="31"/>
        <v>16693</v>
      </c>
      <c r="BG24" s="163">
        <f t="shared" si="31"/>
        <v>35413</v>
      </c>
      <c r="BH24" s="162">
        <f t="shared" si="31"/>
        <v>18571</v>
      </c>
      <c r="BI24" s="120">
        <f t="shared" si="31"/>
        <v>16693</v>
      </c>
      <c r="BJ24" s="163">
        <f t="shared" si="31"/>
        <v>35264</v>
      </c>
      <c r="BK24" s="162">
        <f t="shared" si="31"/>
        <v>19251</v>
      </c>
      <c r="BL24" s="120">
        <f t="shared" si="31"/>
        <v>16693</v>
      </c>
      <c r="BM24" s="163">
        <f t="shared" si="31"/>
        <v>35944</v>
      </c>
      <c r="BN24" s="162">
        <f t="shared" si="31"/>
        <v>18637</v>
      </c>
      <c r="BO24" s="120">
        <f t="shared" si="31"/>
        <v>16693</v>
      </c>
      <c r="BP24" s="163">
        <f t="shared" si="31"/>
        <v>35330</v>
      </c>
      <c r="BQ24" s="162">
        <f t="shared" si="31"/>
        <v>18777</v>
      </c>
      <c r="BR24" s="120">
        <f t="shared" si="31"/>
        <v>16693</v>
      </c>
      <c r="BS24" s="163">
        <f t="shared" si="31"/>
        <v>35470</v>
      </c>
      <c r="BT24" s="162">
        <f t="shared" si="31"/>
        <v>19301</v>
      </c>
      <c r="BU24" s="120">
        <f t="shared" si="31"/>
        <v>16693</v>
      </c>
      <c r="BV24" s="163">
        <f t="shared" si="31"/>
        <v>35994</v>
      </c>
      <c r="BW24" s="162">
        <f t="shared" si="31"/>
        <v>21650</v>
      </c>
      <c r="BX24" s="120">
        <f t="shared" si="31"/>
        <v>16693</v>
      </c>
      <c r="BY24" s="163">
        <f t="shared" si="31"/>
        <v>38343</v>
      </c>
      <c r="BZ24" s="162">
        <f t="shared" si="31"/>
        <v>23044</v>
      </c>
      <c r="CA24" s="120">
        <f t="shared" si="31"/>
        <v>16693</v>
      </c>
      <c r="CB24" s="163">
        <f t="shared" si="31"/>
        <v>39737</v>
      </c>
      <c r="CC24" s="162">
        <f t="shared" si="31"/>
        <v>23889</v>
      </c>
      <c r="CD24" s="120">
        <f t="shared" si="31"/>
        <v>16693</v>
      </c>
      <c r="CE24" s="163">
        <f t="shared" si="31"/>
        <v>40582</v>
      </c>
      <c r="CF24" s="162">
        <f t="shared" si="31"/>
        <v>22746</v>
      </c>
      <c r="CG24" s="120">
        <f t="shared" si="31"/>
        <v>21157</v>
      </c>
      <c r="CH24" s="163">
        <f t="shared" si="31"/>
        <v>43903</v>
      </c>
      <c r="CI24" s="162">
        <f t="shared" si="31"/>
        <v>20584</v>
      </c>
      <c r="CJ24" s="120">
        <f t="shared" si="31"/>
        <v>16693</v>
      </c>
      <c r="CK24" s="163">
        <f t="shared" si="31"/>
        <v>37277</v>
      </c>
      <c r="CL24" s="162">
        <f t="shared" si="31"/>
        <v>21395</v>
      </c>
      <c r="CM24" s="120">
        <f t="shared" si="31"/>
        <v>20174</v>
      </c>
      <c r="CN24" s="163">
        <f t="shared" si="31"/>
        <v>41569</v>
      </c>
      <c r="CO24" s="162">
        <f t="shared" si="31"/>
        <v>21974</v>
      </c>
      <c r="CP24" s="120">
        <f t="shared" ref="CP24:DR24" si="32">SUM(CP25:CP26)</f>
        <v>16693</v>
      </c>
      <c r="CQ24" s="163">
        <f t="shared" si="32"/>
        <v>38667</v>
      </c>
      <c r="CR24" s="162">
        <f t="shared" si="32"/>
        <v>21132</v>
      </c>
      <c r="CS24" s="120">
        <f t="shared" si="32"/>
        <v>16693</v>
      </c>
      <c r="CT24" s="163">
        <f t="shared" si="32"/>
        <v>37825</v>
      </c>
      <c r="CU24" s="162">
        <f t="shared" si="32"/>
        <v>23380</v>
      </c>
      <c r="CV24" s="120">
        <f t="shared" si="32"/>
        <v>26537</v>
      </c>
      <c r="CW24" s="163">
        <f t="shared" si="32"/>
        <v>43554</v>
      </c>
      <c r="CX24" s="162">
        <f t="shared" si="32"/>
        <v>25249</v>
      </c>
      <c r="CY24" s="120">
        <f t="shared" si="32"/>
        <v>16693</v>
      </c>
      <c r="CZ24" s="163">
        <f t="shared" si="32"/>
        <v>41942</v>
      </c>
      <c r="DA24" s="162">
        <f t="shared" si="32"/>
        <v>26060</v>
      </c>
      <c r="DB24" s="120">
        <f t="shared" si="32"/>
        <v>16693</v>
      </c>
      <c r="DC24" s="163">
        <f t="shared" si="32"/>
        <v>42753</v>
      </c>
      <c r="DD24" s="162">
        <f t="shared" si="32"/>
        <v>23191</v>
      </c>
      <c r="DE24" s="120">
        <f t="shared" si="32"/>
        <v>16693</v>
      </c>
      <c r="DF24" s="163">
        <f t="shared" si="32"/>
        <v>39884</v>
      </c>
      <c r="DG24" s="162">
        <f t="shared" si="32"/>
        <v>24368</v>
      </c>
      <c r="DH24" s="120">
        <f t="shared" si="32"/>
        <v>16693</v>
      </c>
      <c r="DI24" s="163">
        <f t="shared" si="32"/>
        <v>41061</v>
      </c>
      <c r="DJ24" s="162">
        <f t="shared" si="32"/>
        <v>26099</v>
      </c>
      <c r="DK24" s="120">
        <f t="shared" si="32"/>
        <v>16693</v>
      </c>
      <c r="DL24" s="163">
        <f t="shared" si="32"/>
        <v>42792</v>
      </c>
      <c r="DM24" s="162">
        <f t="shared" si="32"/>
        <v>26316</v>
      </c>
      <c r="DN24" s="120">
        <f t="shared" si="32"/>
        <v>16693</v>
      </c>
      <c r="DO24" s="163">
        <f t="shared" si="32"/>
        <v>50684</v>
      </c>
      <c r="DP24" s="162">
        <f t="shared" si="32"/>
        <v>27505</v>
      </c>
      <c r="DQ24" s="120">
        <f t="shared" si="32"/>
        <v>16693</v>
      </c>
      <c r="DR24" s="163">
        <f t="shared" si="32"/>
        <v>44198</v>
      </c>
      <c r="DS24" s="162">
        <f t="shared" ref="DS24:ED24" si="33">SUM(DS25:DS26)</f>
        <v>26508</v>
      </c>
      <c r="DT24" s="120">
        <f t="shared" si="33"/>
        <v>16693</v>
      </c>
      <c r="DU24" s="163">
        <f t="shared" si="33"/>
        <v>43201</v>
      </c>
      <c r="DV24" s="162">
        <f t="shared" si="33"/>
        <v>33149</v>
      </c>
      <c r="DW24" s="120">
        <f t="shared" si="33"/>
        <v>16693</v>
      </c>
      <c r="DX24" s="163">
        <f t="shared" si="33"/>
        <v>49842</v>
      </c>
      <c r="DY24" s="162">
        <f t="shared" si="33"/>
        <v>39565</v>
      </c>
      <c r="DZ24" s="120">
        <f t="shared" si="33"/>
        <v>16693</v>
      </c>
      <c r="EA24" s="163">
        <f t="shared" si="33"/>
        <v>56258</v>
      </c>
      <c r="EB24" s="162">
        <f t="shared" si="33"/>
        <v>29901</v>
      </c>
      <c r="EC24" s="120">
        <f t="shared" si="33"/>
        <v>16693</v>
      </c>
      <c r="ED24" s="163">
        <f t="shared" si="33"/>
        <v>46594</v>
      </c>
      <c r="EE24" s="120">
        <v>29652</v>
      </c>
      <c r="EF24" s="120">
        <v>16693</v>
      </c>
      <c r="EG24" s="120">
        <v>46345</v>
      </c>
      <c r="EH24" s="162">
        <f>SUM(EH25:EH26)</f>
        <v>36360</v>
      </c>
      <c r="EI24" s="120">
        <f>SUM(EI25:EI26)</f>
        <v>16693</v>
      </c>
      <c r="EJ24" s="163">
        <f>+SUM(EH24:EI24)</f>
        <v>53053</v>
      </c>
      <c r="EK24" s="162">
        <f t="shared" ref="EK24:EV24" si="34">SUM(EK25:EK26)</f>
        <v>40164</v>
      </c>
      <c r="EL24" s="120">
        <f t="shared" si="34"/>
        <v>16693</v>
      </c>
      <c r="EM24" s="163">
        <f t="shared" si="34"/>
        <v>56857</v>
      </c>
      <c r="EN24" s="162">
        <f t="shared" si="34"/>
        <v>43176</v>
      </c>
      <c r="EO24" s="120">
        <f t="shared" si="34"/>
        <v>16693</v>
      </c>
      <c r="EP24" s="163">
        <f t="shared" si="34"/>
        <v>59869</v>
      </c>
      <c r="EQ24" s="162">
        <f t="shared" si="34"/>
        <v>33220</v>
      </c>
      <c r="ER24" s="120">
        <f t="shared" si="34"/>
        <v>16693</v>
      </c>
      <c r="ES24" s="163">
        <f t="shared" si="34"/>
        <v>49913</v>
      </c>
      <c r="ET24" s="162">
        <f t="shared" si="34"/>
        <v>34768</v>
      </c>
      <c r="EU24" s="120">
        <f t="shared" si="34"/>
        <v>16693</v>
      </c>
      <c r="EV24" s="163">
        <f t="shared" si="34"/>
        <v>51461</v>
      </c>
    </row>
    <row r="25" spans="2:152" ht="15" customHeight="1" x14ac:dyDescent="0.2">
      <c r="B25" s="129" t="s">
        <v>763</v>
      </c>
      <c r="C25" s="160"/>
      <c r="D25" s="118"/>
      <c r="E25" s="161"/>
      <c r="F25" s="160"/>
      <c r="G25" s="118"/>
      <c r="H25" s="161"/>
      <c r="I25" s="160"/>
      <c r="J25" s="118"/>
      <c r="K25" s="161"/>
      <c r="L25" s="160"/>
      <c r="M25" s="118"/>
      <c r="N25" s="161"/>
      <c r="O25" s="160"/>
      <c r="P25" s="118"/>
      <c r="Q25" s="161"/>
      <c r="R25" s="160"/>
      <c r="S25" s="118"/>
      <c r="T25" s="161"/>
      <c r="U25" s="160"/>
      <c r="V25" s="118"/>
      <c r="W25" s="161"/>
      <c r="X25" s="160"/>
      <c r="Y25" s="118"/>
      <c r="Z25" s="161"/>
      <c r="AA25" s="160"/>
      <c r="AB25" s="118"/>
      <c r="AC25" s="161"/>
      <c r="AD25" s="160" t="s">
        <v>160</v>
      </c>
      <c r="AE25" s="118" t="s">
        <v>160</v>
      </c>
      <c r="AF25" s="161" t="s">
        <v>160</v>
      </c>
      <c r="AG25" s="160" t="s">
        <v>160</v>
      </c>
      <c r="AH25" s="118" t="s">
        <v>160</v>
      </c>
      <c r="AI25" s="161" t="s">
        <v>160</v>
      </c>
      <c r="AJ25" s="160" t="s">
        <v>160</v>
      </c>
      <c r="AK25" s="118" t="s">
        <v>160</v>
      </c>
      <c r="AL25" s="161" t="s">
        <v>160</v>
      </c>
      <c r="AM25" s="118" t="s">
        <v>160</v>
      </c>
      <c r="AN25" s="118" t="s">
        <v>160</v>
      </c>
      <c r="AO25" s="118" t="s">
        <v>160</v>
      </c>
      <c r="AP25" s="160" t="s">
        <v>160</v>
      </c>
      <c r="AQ25" s="118" t="s">
        <v>160</v>
      </c>
      <c r="AR25" s="161" t="s">
        <v>160</v>
      </c>
      <c r="AS25" s="118" t="s">
        <v>160</v>
      </c>
      <c r="AT25" s="118" t="s">
        <v>160</v>
      </c>
      <c r="AU25" s="118" t="s">
        <v>160</v>
      </c>
      <c r="AV25" s="160" t="s">
        <v>160</v>
      </c>
      <c r="AW25" s="118" t="s">
        <v>160</v>
      </c>
      <c r="AX25" s="161" t="s">
        <v>160</v>
      </c>
      <c r="AY25" s="160" t="s">
        <v>160</v>
      </c>
      <c r="AZ25" s="118" t="s">
        <v>160</v>
      </c>
      <c r="BA25" s="161" t="s">
        <v>160</v>
      </c>
      <c r="BB25" s="160">
        <v>17105</v>
      </c>
      <c r="BC25" s="118">
        <v>16693</v>
      </c>
      <c r="BD25" s="161">
        <f>+SUM(BA25:BC25)</f>
        <v>33798</v>
      </c>
      <c r="BE25" s="160">
        <v>16867</v>
      </c>
      <c r="BF25" s="118">
        <v>16693</v>
      </c>
      <c r="BG25" s="161">
        <f>+SUM(BE25:BF25)</f>
        <v>33560</v>
      </c>
      <c r="BH25" s="160">
        <v>17132</v>
      </c>
      <c r="BI25" s="118">
        <v>16693</v>
      </c>
      <c r="BJ25" s="161">
        <f>+SUM(BH25:BI25)</f>
        <v>33825</v>
      </c>
      <c r="BK25" s="160">
        <v>17838</v>
      </c>
      <c r="BL25" s="118">
        <v>16693</v>
      </c>
      <c r="BM25" s="161">
        <f>+SUM(BK25:BL25)</f>
        <v>34531</v>
      </c>
      <c r="BN25" s="160">
        <v>17408</v>
      </c>
      <c r="BO25" s="118">
        <v>16693</v>
      </c>
      <c r="BP25" s="161">
        <v>34101</v>
      </c>
      <c r="BQ25" s="160">
        <v>17931</v>
      </c>
      <c r="BR25" s="118">
        <v>16693</v>
      </c>
      <c r="BS25" s="161">
        <f>+SUM(BQ25:BR25)</f>
        <v>34624</v>
      </c>
      <c r="BT25" s="160">
        <v>18777</v>
      </c>
      <c r="BU25" s="118">
        <v>16693</v>
      </c>
      <c r="BV25" s="161">
        <v>35470</v>
      </c>
      <c r="BW25" s="160">
        <v>21157</v>
      </c>
      <c r="BX25" s="118">
        <v>16693</v>
      </c>
      <c r="BY25" s="161">
        <v>37850</v>
      </c>
      <c r="BZ25" s="160">
        <v>22621</v>
      </c>
      <c r="CA25" s="118">
        <v>16693</v>
      </c>
      <c r="CB25" s="161">
        <v>39314</v>
      </c>
      <c r="CC25" s="160">
        <v>23531</v>
      </c>
      <c r="CD25" s="118">
        <v>16693</v>
      </c>
      <c r="CE25" s="161">
        <v>40224</v>
      </c>
      <c r="CF25" s="160">
        <v>22317</v>
      </c>
      <c r="CG25" s="118">
        <v>21157</v>
      </c>
      <c r="CH25" s="161">
        <f>+SUM(CF25:CG25)</f>
        <v>43474</v>
      </c>
      <c r="CI25" s="160">
        <v>20174</v>
      </c>
      <c r="CJ25" s="118">
        <v>16693</v>
      </c>
      <c r="CK25" s="161">
        <v>36867</v>
      </c>
      <c r="CL25" s="160">
        <v>20992</v>
      </c>
      <c r="CM25" s="118">
        <v>20174</v>
      </c>
      <c r="CN25" s="161">
        <f>+SUM(CL25:CM25)</f>
        <v>41166</v>
      </c>
      <c r="CO25" s="160">
        <v>21576</v>
      </c>
      <c r="CP25" s="118">
        <v>16693</v>
      </c>
      <c r="CQ25" s="161">
        <f>+SUM(CO25:CP25)</f>
        <v>38269</v>
      </c>
      <c r="CR25" s="160">
        <v>20806</v>
      </c>
      <c r="CS25" s="118">
        <v>16693</v>
      </c>
      <c r="CT25" s="161">
        <v>37499</v>
      </c>
      <c r="CU25" s="160">
        <v>20265</v>
      </c>
      <c r="CV25" s="118">
        <v>20174</v>
      </c>
      <c r="CW25" s="161">
        <f>+SUM(CU25:CV25)</f>
        <v>40439</v>
      </c>
      <c r="CX25" s="160">
        <v>22108</v>
      </c>
      <c r="CY25" s="118">
        <v>16693</v>
      </c>
      <c r="CZ25" s="161">
        <f>+SUM(CX25:CY25)</f>
        <v>38801</v>
      </c>
      <c r="DA25" s="160">
        <v>22890</v>
      </c>
      <c r="DB25" s="118">
        <v>16693</v>
      </c>
      <c r="DC25" s="161">
        <v>39583</v>
      </c>
      <c r="DD25" s="160">
        <v>23191</v>
      </c>
      <c r="DE25" s="118">
        <v>16693</v>
      </c>
      <c r="DF25" s="161">
        <f>+SUM(DD25:DE25)</f>
        <v>39884</v>
      </c>
      <c r="DG25" s="160">
        <v>24368</v>
      </c>
      <c r="DH25" s="118">
        <v>16693</v>
      </c>
      <c r="DI25" s="161">
        <f>+SUM(DG25:DH25)</f>
        <v>41061</v>
      </c>
      <c r="DJ25" s="160">
        <v>26099</v>
      </c>
      <c r="DK25" s="118">
        <v>16693</v>
      </c>
      <c r="DL25" s="161">
        <f>+SUM(DJ25:DK25)</f>
        <v>42792</v>
      </c>
      <c r="DM25" s="160">
        <v>26316</v>
      </c>
      <c r="DN25" s="118">
        <v>16693</v>
      </c>
      <c r="DO25" s="161">
        <v>50684</v>
      </c>
      <c r="DP25" s="160">
        <v>27505</v>
      </c>
      <c r="DQ25" s="118">
        <v>16693</v>
      </c>
      <c r="DR25" s="161">
        <v>44198</v>
      </c>
      <c r="DS25" s="160">
        <v>26508</v>
      </c>
      <c r="DT25" s="118">
        <v>16693</v>
      </c>
      <c r="DU25" s="161">
        <v>43201</v>
      </c>
      <c r="DV25" s="160">
        <v>33149</v>
      </c>
      <c r="DW25" s="118">
        <v>16693</v>
      </c>
      <c r="DX25" s="161">
        <f>+SUM(DV25:DW25)</f>
        <v>49842</v>
      </c>
      <c r="DY25" s="160">
        <v>39565</v>
      </c>
      <c r="DZ25" s="118">
        <v>16693</v>
      </c>
      <c r="EA25" s="161">
        <f>+SUM(DY25:DZ25)</f>
        <v>56258</v>
      </c>
      <c r="EB25" s="160">
        <v>29901</v>
      </c>
      <c r="EC25" s="118">
        <v>16693</v>
      </c>
      <c r="ED25" s="161">
        <f>+SUM(EB25:EC25)</f>
        <v>46594</v>
      </c>
      <c r="EE25" s="118">
        <v>29652</v>
      </c>
      <c r="EF25" s="118">
        <v>16693</v>
      </c>
      <c r="EG25" s="118">
        <v>46345</v>
      </c>
      <c r="EH25" s="160">
        <v>36360</v>
      </c>
      <c r="EI25" s="118">
        <v>16693</v>
      </c>
      <c r="EJ25" s="118">
        <f>+SUM(EH25:EI25)</f>
        <v>53053</v>
      </c>
      <c r="EK25" s="160">
        <v>40164</v>
      </c>
      <c r="EL25" s="118">
        <v>16693</v>
      </c>
      <c r="EM25" s="161">
        <f>+SUM(EK25:EL25)</f>
        <v>56857</v>
      </c>
      <c r="EN25" s="160">
        <v>43176</v>
      </c>
      <c r="EO25" s="118">
        <v>16693</v>
      </c>
      <c r="EP25" s="161">
        <v>59869</v>
      </c>
      <c r="EQ25" s="160">
        <v>33220</v>
      </c>
      <c r="ER25" s="118">
        <v>16693</v>
      </c>
      <c r="ES25" s="161">
        <v>49913</v>
      </c>
      <c r="ET25" s="160">
        <v>34768</v>
      </c>
      <c r="EU25" s="118">
        <v>16693</v>
      </c>
      <c r="EV25" s="161">
        <f>+SUM(ET25:EU25)</f>
        <v>51461</v>
      </c>
    </row>
    <row r="26" spans="2:152" s="311" customFormat="1" ht="15" hidden="1" customHeight="1" outlineLevel="1" x14ac:dyDescent="0.2">
      <c r="B26" s="318" t="s">
        <v>210</v>
      </c>
      <c r="C26" s="319">
        <v>1668</v>
      </c>
      <c r="D26" s="312">
        <v>1365</v>
      </c>
      <c r="E26" s="332">
        <f>SUM(C26:D26)</f>
        <v>3033</v>
      </c>
      <c r="F26" s="319">
        <v>1602</v>
      </c>
      <c r="G26" s="312">
        <v>1365</v>
      </c>
      <c r="H26" s="332">
        <f>SUM(F26:G26)</f>
        <v>2967</v>
      </c>
      <c r="I26" s="319">
        <v>1644</v>
      </c>
      <c r="J26" s="312">
        <v>1365</v>
      </c>
      <c r="K26" s="332">
        <f>SUM(I26:J26)</f>
        <v>3009</v>
      </c>
      <c r="L26" s="319">
        <v>2065</v>
      </c>
      <c r="M26" s="312">
        <v>1365</v>
      </c>
      <c r="N26" s="332">
        <f>SUM(L26:M26)</f>
        <v>3430</v>
      </c>
      <c r="O26" s="319">
        <v>4223</v>
      </c>
      <c r="P26" s="312">
        <v>1365</v>
      </c>
      <c r="Q26" s="332">
        <f>SUM(O26:P26)</f>
        <v>5588</v>
      </c>
      <c r="R26" s="319">
        <v>4404</v>
      </c>
      <c r="S26" s="312">
        <v>4404</v>
      </c>
      <c r="T26" s="332">
        <f>SUM(R26:S26)</f>
        <v>8808</v>
      </c>
      <c r="U26" s="319">
        <v>4536</v>
      </c>
      <c r="V26" s="312">
        <v>1365</v>
      </c>
      <c r="W26" s="332">
        <f>SUM(U26:V26)</f>
        <v>5901</v>
      </c>
      <c r="X26" s="319">
        <v>3420</v>
      </c>
      <c r="Y26" s="312">
        <v>1365</v>
      </c>
      <c r="Z26" s="332">
        <v>4785</v>
      </c>
      <c r="AA26" s="319">
        <v>3533</v>
      </c>
      <c r="AB26" s="312">
        <v>1365</v>
      </c>
      <c r="AC26" s="332">
        <f>SUM(AA26:AB26)</f>
        <v>4898</v>
      </c>
      <c r="AD26" s="319">
        <v>3475</v>
      </c>
      <c r="AE26" s="312">
        <v>1365</v>
      </c>
      <c r="AF26" s="332">
        <f>SUM(AD26:AE26)</f>
        <v>4840</v>
      </c>
      <c r="AG26" s="319">
        <v>3187</v>
      </c>
      <c r="AH26" s="312">
        <v>1365</v>
      </c>
      <c r="AI26" s="332">
        <f>SUM(AG26:AH26)</f>
        <v>4552</v>
      </c>
      <c r="AJ26" s="319">
        <v>3168</v>
      </c>
      <c r="AK26" s="312">
        <v>1365</v>
      </c>
      <c r="AL26" s="332">
        <v>4533</v>
      </c>
      <c r="AM26" s="312">
        <v>2999</v>
      </c>
      <c r="AN26" s="312">
        <v>1365</v>
      </c>
      <c r="AO26" s="312">
        <v>4364</v>
      </c>
      <c r="AP26" s="319">
        <v>2984</v>
      </c>
      <c r="AQ26" s="312">
        <v>1365</v>
      </c>
      <c r="AR26" s="332">
        <v>4349</v>
      </c>
      <c r="AS26" s="312">
        <v>1340</v>
      </c>
      <c r="AT26" s="312">
        <v>0</v>
      </c>
      <c r="AU26" s="312">
        <v>1340</v>
      </c>
      <c r="AV26" s="319">
        <v>1382</v>
      </c>
      <c r="AW26" s="312">
        <v>0</v>
      </c>
      <c r="AX26" s="332">
        <v>1382</v>
      </c>
      <c r="AY26" s="319">
        <v>1978</v>
      </c>
      <c r="AZ26" s="312">
        <v>0</v>
      </c>
      <c r="BA26" s="332">
        <v>1978</v>
      </c>
      <c r="BB26" s="319">
        <v>2085</v>
      </c>
      <c r="BC26" s="312">
        <v>0</v>
      </c>
      <c r="BD26" s="332">
        <f>SUM(BB26:BC26)</f>
        <v>2085</v>
      </c>
      <c r="BE26" s="319">
        <v>1853</v>
      </c>
      <c r="BF26" s="312">
        <v>0</v>
      </c>
      <c r="BG26" s="332">
        <f>+BE26</f>
        <v>1853</v>
      </c>
      <c r="BH26" s="319">
        <v>1439</v>
      </c>
      <c r="BI26" s="312">
        <v>0</v>
      </c>
      <c r="BJ26" s="332">
        <f>+BH26</f>
        <v>1439</v>
      </c>
      <c r="BK26" s="319">
        <v>1413</v>
      </c>
      <c r="BL26" s="312">
        <v>0</v>
      </c>
      <c r="BM26" s="332">
        <f>+BK26</f>
        <v>1413</v>
      </c>
      <c r="BN26" s="319">
        <v>1229</v>
      </c>
      <c r="BO26" s="312">
        <v>0</v>
      </c>
      <c r="BP26" s="332">
        <v>1229</v>
      </c>
      <c r="BQ26" s="319">
        <v>846</v>
      </c>
      <c r="BR26" s="312">
        <v>0</v>
      </c>
      <c r="BS26" s="332">
        <f>+BQ26</f>
        <v>846</v>
      </c>
      <c r="BT26" s="319">
        <v>524</v>
      </c>
      <c r="BU26" s="312">
        <v>0</v>
      </c>
      <c r="BV26" s="332">
        <v>524</v>
      </c>
      <c r="BW26" s="319">
        <v>493</v>
      </c>
      <c r="BX26" s="312">
        <v>0</v>
      </c>
      <c r="BY26" s="332">
        <v>493</v>
      </c>
      <c r="BZ26" s="319">
        <v>423</v>
      </c>
      <c r="CA26" s="312">
        <v>0</v>
      </c>
      <c r="CB26" s="332">
        <v>423</v>
      </c>
      <c r="CC26" s="319">
        <v>358</v>
      </c>
      <c r="CD26" s="312">
        <v>0</v>
      </c>
      <c r="CE26" s="332">
        <v>358</v>
      </c>
      <c r="CF26" s="319">
        <v>429</v>
      </c>
      <c r="CG26" s="312">
        <v>0</v>
      </c>
      <c r="CH26" s="332">
        <f>+CF26</f>
        <v>429</v>
      </c>
      <c r="CI26" s="319">
        <v>410</v>
      </c>
      <c r="CJ26" s="312">
        <v>0</v>
      </c>
      <c r="CK26" s="332">
        <v>410</v>
      </c>
      <c r="CL26" s="319">
        <v>403</v>
      </c>
      <c r="CM26" s="312">
        <v>0</v>
      </c>
      <c r="CN26" s="332">
        <f>+CL26</f>
        <v>403</v>
      </c>
      <c r="CO26" s="319">
        <v>398</v>
      </c>
      <c r="CP26" s="312">
        <v>0</v>
      </c>
      <c r="CQ26" s="332">
        <f>+CO26</f>
        <v>398</v>
      </c>
      <c r="CR26" s="319">
        <v>326</v>
      </c>
      <c r="CS26" s="312">
        <v>0</v>
      </c>
      <c r="CT26" s="332">
        <v>326</v>
      </c>
      <c r="CU26" s="319">
        <v>3115</v>
      </c>
      <c r="CV26" s="312">
        <v>6363</v>
      </c>
      <c r="CW26" s="332">
        <f>+CU26</f>
        <v>3115</v>
      </c>
      <c r="CX26" s="319">
        <v>3141</v>
      </c>
      <c r="CY26" s="312">
        <v>0</v>
      </c>
      <c r="CZ26" s="332">
        <f>+CX26</f>
        <v>3141</v>
      </c>
      <c r="DA26" s="319">
        <v>3170</v>
      </c>
      <c r="DB26" s="312">
        <v>0</v>
      </c>
      <c r="DC26" s="332">
        <v>3170</v>
      </c>
      <c r="DD26" s="319">
        <v>0</v>
      </c>
      <c r="DE26" s="312">
        <v>0</v>
      </c>
      <c r="DF26" s="332">
        <v>0</v>
      </c>
      <c r="DG26" s="319">
        <v>0</v>
      </c>
      <c r="DH26" s="312">
        <v>0</v>
      </c>
      <c r="DI26" s="332">
        <v>0</v>
      </c>
      <c r="DJ26" s="319">
        <v>0</v>
      </c>
      <c r="DK26" s="312">
        <v>0</v>
      </c>
      <c r="DL26" s="332">
        <f>+DJ26</f>
        <v>0</v>
      </c>
      <c r="DM26" s="319">
        <v>0</v>
      </c>
      <c r="DN26" s="312">
        <v>0</v>
      </c>
      <c r="DO26" s="332">
        <v>0</v>
      </c>
      <c r="DP26" s="319">
        <v>0</v>
      </c>
      <c r="DQ26" s="312">
        <v>0</v>
      </c>
      <c r="DR26" s="332">
        <v>0</v>
      </c>
      <c r="DS26" s="319">
        <v>0</v>
      </c>
      <c r="DT26" s="312">
        <v>0</v>
      </c>
      <c r="DU26" s="332">
        <v>0</v>
      </c>
      <c r="DV26" s="319">
        <v>0</v>
      </c>
      <c r="DW26" s="312">
        <v>0</v>
      </c>
      <c r="DX26" s="332" t="s">
        <v>160</v>
      </c>
      <c r="DY26" s="319"/>
      <c r="DZ26" s="312"/>
      <c r="EA26" s="332"/>
      <c r="EB26" s="319" t="s">
        <v>160</v>
      </c>
      <c r="EC26" s="312" t="s">
        <v>160</v>
      </c>
      <c r="ED26" s="332" t="s">
        <v>160</v>
      </c>
      <c r="EE26" s="312" t="s">
        <v>160</v>
      </c>
      <c r="EF26" s="312" t="s">
        <v>160</v>
      </c>
      <c r="EG26" s="312" t="s">
        <v>160</v>
      </c>
      <c r="EH26" s="319" t="s">
        <v>160</v>
      </c>
      <c r="EI26" s="312" t="s">
        <v>160</v>
      </c>
      <c r="EJ26" s="332" t="s">
        <v>160</v>
      </c>
      <c r="EK26" s="319" t="s">
        <v>160</v>
      </c>
      <c r="EL26" s="312" t="s">
        <v>160</v>
      </c>
      <c r="EM26" s="332" t="s">
        <v>160</v>
      </c>
      <c r="EN26" s="319" t="s">
        <v>160</v>
      </c>
      <c r="EO26" s="312" t="s">
        <v>160</v>
      </c>
      <c r="EP26" s="332" t="s">
        <v>160</v>
      </c>
      <c r="EQ26" s="319" t="s">
        <v>160</v>
      </c>
      <c r="ER26" s="312" t="s">
        <v>160</v>
      </c>
      <c r="ES26" s="332" t="s">
        <v>160</v>
      </c>
      <c r="ET26" s="319" t="s">
        <v>160</v>
      </c>
      <c r="EU26" s="312" t="s">
        <v>160</v>
      </c>
      <c r="EV26" s="332" t="s">
        <v>160</v>
      </c>
    </row>
    <row r="27" spans="2:152" ht="15" customHeight="1" collapsed="1" x14ac:dyDescent="0.2">
      <c r="B27" s="126" t="s">
        <v>212</v>
      </c>
      <c r="C27" s="164">
        <f t="shared" ref="C27:AH27" si="35">SUM(C23,C21)</f>
        <v>126082</v>
      </c>
      <c r="D27" s="125">
        <f t="shared" si="35"/>
        <v>100253</v>
      </c>
      <c r="E27" s="165">
        <f t="shared" si="35"/>
        <v>226335</v>
      </c>
      <c r="F27" s="164">
        <f t="shared" si="35"/>
        <v>131487</v>
      </c>
      <c r="G27" s="125">
        <f t="shared" si="35"/>
        <v>90421</v>
      </c>
      <c r="H27" s="165">
        <f t="shared" si="35"/>
        <v>221908</v>
      </c>
      <c r="I27" s="164">
        <f t="shared" si="35"/>
        <v>178138</v>
      </c>
      <c r="J27" s="125">
        <f t="shared" si="35"/>
        <v>8892</v>
      </c>
      <c r="K27" s="165">
        <f t="shared" si="35"/>
        <v>187030</v>
      </c>
      <c r="L27" s="164">
        <f t="shared" si="35"/>
        <v>177669</v>
      </c>
      <c r="M27" s="125">
        <f t="shared" si="35"/>
        <v>8892</v>
      </c>
      <c r="N27" s="165">
        <f t="shared" si="35"/>
        <v>186561</v>
      </c>
      <c r="O27" s="164">
        <f t="shared" si="35"/>
        <v>238697</v>
      </c>
      <c r="P27" s="125">
        <f t="shared" si="35"/>
        <v>8892</v>
      </c>
      <c r="Q27" s="165">
        <f t="shared" si="35"/>
        <v>247589</v>
      </c>
      <c r="R27" s="164">
        <f t="shared" si="35"/>
        <v>239642</v>
      </c>
      <c r="S27" s="125">
        <f t="shared" si="35"/>
        <v>40954</v>
      </c>
      <c r="T27" s="165">
        <f t="shared" si="35"/>
        <v>249331</v>
      </c>
      <c r="U27" s="164">
        <f t="shared" si="35"/>
        <v>236517</v>
      </c>
      <c r="V27" s="125">
        <f t="shared" si="35"/>
        <v>8892</v>
      </c>
      <c r="W27" s="165">
        <f t="shared" si="35"/>
        <v>245409</v>
      </c>
      <c r="X27" s="164">
        <f t="shared" si="35"/>
        <v>241143</v>
      </c>
      <c r="Y27" s="125">
        <f t="shared" si="35"/>
        <v>8892</v>
      </c>
      <c r="Z27" s="165">
        <f t="shared" si="35"/>
        <v>250035</v>
      </c>
      <c r="AA27" s="164">
        <f t="shared" si="35"/>
        <v>238011</v>
      </c>
      <c r="AB27" s="125">
        <f t="shared" si="35"/>
        <v>8892</v>
      </c>
      <c r="AC27" s="165">
        <f t="shared" si="35"/>
        <v>246903</v>
      </c>
      <c r="AD27" s="164">
        <f t="shared" si="35"/>
        <v>241458</v>
      </c>
      <c r="AE27" s="125">
        <f t="shared" si="35"/>
        <v>8892</v>
      </c>
      <c r="AF27" s="165">
        <f t="shared" si="35"/>
        <v>250350</v>
      </c>
      <c r="AG27" s="164">
        <f t="shared" si="35"/>
        <v>258638</v>
      </c>
      <c r="AH27" s="125">
        <f t="shared" si="35"/>
        <v>8892</v>
      </c>
      <c r="AI27" s="165">
        <f t="shared" ref="AI27:BC27" si="36">SUM(AI23,AI21)</f>
        <v>267530</v>
      </c>
      <c r="AJ27" s="164">
        <f t="shared" si="36"/>
        <v>264921</v>
      </c>
      <c r="AK27" s="125">
        <f t="shared" si="36"/>
        <v>8892</v>
      </c>
      <c r="AL27" s="165">
        <f t="shared" si="36"/>
        <v>273813</v>
      </c>
      <c r="AM27" s="164">
        <f t="shared" si="36"/>
        <v>263431</v>
      </c>
      <c r="AN27" s="125">
        <f t="shared" si="36"/>
        <v>8892</v>
      </c>
      <c r="AO27" s="165">
        <f t="shared" si="36"/>
        <v>272323</v>
      </c>
      <c r="AP27" s="164">
        <f t="shared" si="36"/>
        <v>265136</v>
      </c>
      <c r="AQ27" s="125">
        <f t="shared" si="36"/>
        <v>8892</v>
      </c>
      <c r="AR27" s="165">
        <f t="shared" si="36"/>
        <v>274028</v>
      </c>
      <c r="AS27" s="164">
        <f t="shared" si="36"/>
        <v>273768</v>
      </c>
      <c r="AT27" s="125">
        <f t="shared" si="36"/>
        <v>8892</v>
      </c>
      <c r="AU27" s="165">
        <f t="shared" si="36"/>
        <v>282660</v>
      </c>
      <c r="AV27" s="164">
        <f t="shared" si="36"/>
        <v>269362</v>
      </c>
      <c r="AW27" s="125">
        <f t="shared" si="36"/>
        <v>8892</v>
      </c>
      <c r="AX27" s="165">
        <f t="shared" si="36"/>
        <v>278254</v>
      </c>
      <c r="AY27" s="164">
        <f t="shared" si="36"/>
        <v>269973</v>
      </c>
      <c r="AZ27" s="125">
        <f t="shared" si="36"/>
        <v>8892</v>
      </c>
      <c r="BA27" s="165">
        <f t="shared" si="36"/>
        <v>278865</v>
      </c>
      <c r="BB27" s="164">
        <f t="shared" si="36"/>
        <v>154115</v>
      </c>
      <c r="BC27" s="125">
        <f t="shared" si="36"/>
        <v>6364</v>
      </c>
      <c r="BD27" s="165">
        <f>SUM(BD23,BD21,BD24)</f>
        <v>196362</v>
      </c>
      <c r="BE27" s="164">
        <f>SUM(BE23,BE21)</f>
        <v>160257</v>
      </c>
      <c r="BF27" s="125">
        <f>SUM(BF23,BF21)</f>
        <v>6364</v>
      </c>
      <c r="BG27" s="165">
        <f>SUM(BG23,BG21,BG24)</f>
        <v>202034</v>
      </c>
      <c r="BH27" s="164">
        <f>SUM(BH23,BH21)</f>
        <v>151825</v>
      </c>
      <c r="BI27" s="125">
        <f>SUM(BI23,BI21)</f>
        <v>6364</v>
      </c>
      <c r="BJ27" s="165">
        <f>SUM(BJ23,BJ21,BJ24)</f>
        <v>193453</v>
      </c>
      <c r="BK27" s="164">
        <f>SUM(BK23,BK21)</f>
        <v>155420</v>
      </c>
      <c r="BL27" s="125">
        <f>SUM(BL23,BL21)</f>
        <v>6364</v>
      </c>
      <c r="BM27" s="165">
        <f>SUM(BM23,BM21,BM24)</f>
        <v>197728</v>
      </c>
      <c r="BN27" s="164">
        <f t="shared" ref="BN27:CA27" si="37">SUM(BN23,BN21,BN25)</f>
        <v>179331</v>
      </c>
      <c r="BO27" s="125">
        <f t="shared" si="37"/>
        <v>23057</v>
      </c>
      <c r="BP27" s="165">
        <f t="shared" si="37"/>
        <v>202388</v>
      </c>
      <c r="BQ27" s="164">
        <f t="shared" si="37"/>
        <v>185945</v>
      </c>
      <c r="BR27" s="125">
        <f t="shared" si="37"/>
        <v>23057</v>
      </c>
      <c r="BS27" s="165">
        <f t="shared" si="37"/>
        <v>209002</v>
      </c>
      <c r="BT27" s="164">
        <f t="shared" si="37"/>
        <v>195460</v>
      </c>
      <c r="BU27" s="125">
        <f t="shared" si="37"/>
        <v>23057</v>
      </c>
      <c r="BV27" s="165">
        <f t="shared" si="37"/>
        <v>218517</v>
      </c>
      <c r="BW27" s="164">
        <f t="shared" si="37"/>
        <v>227350</v>
      </c>
      <c r="BX27" s="125">
        <f t="shared" si="37"/>
        <v>23057</v>
      </c>
      <c r="BY27" s="165">
        <f t="shared" si="37"/>
        <v>250407</v>
      </c>
      <c r="BZ27" s="164">
        <f t="shared" si="37"/>
        <v>239236</v>
      </c>
      <c r="CA27" s="125">
        <f t="shared" si="37"/>
        <v>23057</v>
      </c>
      <c r="CB27" s="165">
        <f>SUM(CB23,CB21,CB25:CB25)</f>
        <v>262293</v>
      </c>
      <c r="CC27" s="164">
        <f>SUM(CC23,CC21,CC25)</f>
        <v>225356</v>
      </c>
      <c r="CD27" s="125">
        <f>SUM(CD23,CD21,CD25)</f>
        <v>23057</v>
      </c>
      <c r="CE27" s="165">
        <f>SUM(CE23,CE21,CE25:CE25)</f>
        <v>248413</v>
      </c>
      <c r="CF27" s="164">
        <f>SUM(CF23,CF21,CF25)</f>
        <v>232120</v>
      </c>
      <c r="CG27" s="125">
        <f>SUM(CG23,CG21,CG25)</f>
        <v>27521</v>
      </c>
      <c r="CH27" s="165">
        <f>SUM(CH23,CH21,CH25:CH25)</f>
        <v>259641</v>
      </c>
      <c r="CI27" s="164">
        <f>SUM(CI23,CI21,CI24)</f>
        <v>234328</v>
      </c>
      <c r="CJ27" s="125">
        <f>SUM(CJ23,CJ21,CJ25)</f>
        <v>23057</v>
      </c>
      <c r="CK27" s="165">
        <f>SUM(CK23,CK21,CK25:CK25)</f>
        <v>256975</v>
      </c>
      <c r="CL27" s="164">
        <f>SUM(CL23,CL21,CL24)</f>
        <v>239561</v>
      </c>
      <c r="CM27" s="125">
        <f>SUM(CM23,CM21,CM25)</f>
        <v>26538</v>
      </c>
      <c r="CN27" s="165">
        <f>SUM(CN23,CN21,CN25:CN25)</f>
        <v>265696</v>
      </c>
      <c r="CO27" s="164">
        <f>SUM(CO23,CO21,CO24)</f>
        <v>237345</v>
      </c>
      <c r="CP27" s="125">
        <f>SUM(CP23,CP21,CP25)</f>
        <v>23057</v>
      </c>
      <c r="CQ27" s="165">
        <f>SUM(CQ23,CQ21,CQ25:CQ25)</f>
        <v>260004</v>
      </c>
      <c r="CR27" s="164">
        <v>256574</v>
      </c>
      <c r="CS27" s="125">
        <v>23057</v>
      </c>
      <c r="CT27" s="165">
        <v>279631</v>
      </c>
      <c r="CU27" s="164">
        <f>SUM(CU23,CU21,CU24)</f>
        <v>284842</v>
      </c>
      <c r="CV27" s="125">
        <f>SUM(CV23,CV21,CV25)</f>
        <v>26538</v>
      </c>
      <c r="CW27" s="165">
        <f>SUM(CW23,CW21,CW25:CW25)</f>
        <v>308265</v>
      </c>
      <c r="CX27" s="164">
        <f>SUM(CX23,CX21,CX24)</f>
        <v>308483</v>
      </c>
      <c r="CY27" s="125">
        <f>SUM(CY23,CY21,CY25)</f>
        <v>23057</v>
      </c>
      <c r="CZ27" s="165">
        <f>SUM(CZ23,CZ21,CZ25:CZ25)</f>
        <v>328399</v>
      </c>
      <c r="DA27" s="164">
        <f>SUM(DA23,DA21,DA24)</f>
        <v>274007</v>
      </c>
      <c r="DB27" s="125">
        <f>SUM(DB23,DB21,DB25)</f>
        <v>23056</v>
      </c>
      <c r="DC27" s="165">
        <f>SUM(DC23,DC21,DC25:DC25)</f>
        <v>293893</v>
      </c>
      <c r="DD27" s="164">
        <f>SUM(DD23,DD21,DD24)</f>
        <v>253380</v>
      </c>
      <c r="DE27" s="125">
        <f>SUM(DE23,DE21,DE25)</f>
        <v>23056</v>
      </c>
      <c r="DF27" s="165">
        <f>SUM(DF23,DF21,DF25:DF25)</f>
        <v>276436</v>
      </c>
      <c r="DG27" s="164">
        <f>SUM(DG23,DG21,DG24)</f>
        <v>277648</v>
      </c>
      <c r="DH27" s="125">
        <f>SUM(DH23,DH21,DH25)</f>
        <v>23056</v>
      </c>
      <c r="DI27" s="165">
        <f>SUM(DI23,DI21,DI25:DI25)</f>
        <v>300704</v>
      </c>
      <c r="DJ27" s="164">
        <f>SUM(DJ23,DJ21,DJ24)</f>
        <v>317162</v>
      </c>
      <c r="DK27" s="125">
        <f>SUM(DK23,DK21,DK25)</f>
        <v>23056</v>
      </c>
      <c r="DL27" s="165">
        <f>SUM(DL23,DL21,DL25:DL25)</f>
        <v>340218</v>
      </c>
      <c r="DM27" s="164">
        <f>SUM(DM23,DM21,DM24)</f>
        <v>316615</v>
      </c>
      <c r="DN27" s="125">
        <f>SUM(DN23,DN21,DN25)</f>
        <v>23056</v>
      </c>
      <c r="DO27" s="165">
        <f>SUM(DO23,DO21,DO25:DO25)</f>
        <v>347346</v>
      </c>
      <c r="DP27" s="164">
        <f>SUM(DP23,DP21,DP24)</f>
        <v>321573</v>
      </c>
      <c r="DQ27" s="125">
        <f>SUM(DQ23,DQ21,DQ25)</f>
        <v>23056</v>
      </c>
      <c r="DR27" s="165">
        <f>SUM(DR23,DR21,DR25:DR25)</f>
        <v>344629</v>
      </c>
      <c r="DS27" s="164">
        <f>SUM(DS23,DS21,DS24)</f>
        <v>331210</v>
      </c>
      <c r="DT27" s="125">
        <f>SUM(DT23,DT21,DT25)</f>
        <v>23056</v>
      </c>
      <c r="DU27" s="165">
        <f>SUM(DU23,DU21,DU25:DU25)</f>
        <v>354266</v>
      </c>
      <c r="DV27" s="164">
        <f>SUM(DV23,DV21,DV24)</f>
        <v>350827</v>
      </c>
      <c r="DW27" s="125">
        <f>SUM(DW23,DW21,DW25)</f>
        <v>23056</v>
      </c>
      <c r="DX27" s="165">
        <f>SUM(DX23,DX21,DX25:DX25)</f>
        <v>373883</v>
      </c>
      <c r="DY27" s="164">
        <f>SUM(DY23,DY21,DY24)</f>
        <v>290291</v>
      </c>
      <c r="DZ27" s="125">
        <f>SUM(DZ23,DZ21,DZ25)</f>
        <v>23056</v>
      </c>
      <c r="EA27" s="165">
        <f>SUM(EA23,EA21,EA25:EA25)</f>
        <v>313347</v>
      </c>
      <c r="EB27" s="164">
        <f>SUM(EB23,EB21,EB24)</f>
        <v>295084</v>
      </c>
      <c r="EC27" s="125">
        <f>SUM(EC23,EC21,EC25)</f>
        <v>23056</v>
      </c>
      <c r="ED27" s="165">
        <f>SUM(ED23,ED21,ED25:ED25)</f>
        <v>318140</v>
      </c>
      <c r="EE27" s="125">
        <v>298812</v>
      </c>
      <c r="EF27" s="125">
        <f>SUM(EF23,EF21,EF25)</f>
        <v>23056</v>
      </c>
      <c r="EG27" s="125">
        <v>321868</v>
      </c>
      <c r="EH27" s="164">
        <f>SUM(EH23,EH21,EH24)</f>
        <v>310830</v>
      </c>
      <c r="EI27" s="125">
        <f>SUM(EI23,EI21,EI25)</f>
        <v>23056</v>
      </c>
      <c r="EJ27" s="165">
        <f>SUM(EJ23,EJ21,EJ25:EJ25)</f>
        <v>333886</v>
      </c>
      <c r="EK27" s="164">
        <f>SUM(EK23,EK21,EK24)</f>
        <v>307604</v>
      </c>
      <c r="EL27" s="125">
        <f>SUM(EL23,EL21,EL25)</f>
        <v>23056</v>
      </c>
      <c r="EM27" s="165">
        <f>SUM(EM23,EM21,EM25:EM25)</f>
        <v>330660</v>
      </c>
      <c r="EN27" s="164">
        <f>SUM(EN23,EN21,EN24)</f>
        <v>314575</v>
      </c>
      <c r="EO27" s="125">
        <f>SUM(EO23,EO21,EO25)</f>
        <v>23056</v>
      </c>
      <c r="EP27" s="165">
        <f>SUM(EP23,EP21,EP25:EP25)</f>
        <v>337631</v>
      </c>
      <c r="EQ27" s="164">
        <f>SUM(EQ23,EQ21,EQ24)</f>
        <v>305954</v>
      </c>
      <c r="ER27" s="125">
        <f>SUM(ER23,ER21,ER25)</f>
        <v>23056</v>
      </c>
      <c r="ES27" s="165">
        <f>SUM(ES23,ES21,ES25:ES25)</f>
        <v>329010</v>
      </c>
      <c r="ET27" s="164">
        <f>SUM(ET23,ET21,ET24)</f>
        <v>341286</v>
      </c>
      <c r="EU27" s="125">
        <f>SUM(EU23,EU21,EU25)</f>
        <v>23056</v>
      </c>
      <c r="EV27" s="165">
        <f>SUM(EV23,EV21,EV25:EV25)</f>
        <v>364342</v>
      </c>
    </row>
    <row r="28" spans="2:152" s="189" customFormat="1" x14ac:dyDescent="0.2">
      <c r="B28" s="188"/>
      <c r="C28" s="154"/>
      <c r="F28" s="154"/>
      <c r="I28" s="154"/>
      <c r="L28" s="154"/>
      <c r="O28" s="154"/>
      <c r="R28" s="154"/>
      <c r="S28" s="154"/>
      <c r="U28" s="154"/>
      <c r="W28" s="190"/>
    </row>
    <row r="29" spans="2:152" x14ac:dyDescent="0.2">
      <c r="B29" s="62"/>
      <c r="C29" s="65"/>
      <c r="D29" s="65"/>
      <c r="E29" s="65"/>
      <c r="F29" s="65"/>
      <c r="G29" s="65"/>
      <c r="H29" s="65"/>
      <c r="I29" s="65"/>
      <c r="J29" s="65"/>
      <c r="K29" s="65"/>
      <c r="L29" s="65"/>
      <c r="M29" s="65"/>
      <c r="N29" s="65"/>
      <c r="O29" s="65"/>
      <c r="P29" s="65"/>
      <c r="Q29" s="65"/>
      <c r="R29" s="65"/>
      <c r="S29" s="65"/>
      <c r="T29" s="65"/>
      <c r="U29" s="65"/>
      <c r="V29" s="65"/>
      <c r="W29" s="65"/>
    </row>
    <row r="30" spans="2:152" ht="15" customHeight="1" outlineLevel="1" x14ac:dyDescent="0.2">
      <c r="B30" s="151" t="s">
        <v>96</v>
      </c>
      <c r="C30" s="246">
        <v>2013</v>
      </c>
      <c r="D30" s="246" t="s">
        <v>45</v>
      </c>
      <c r="E30" s="246" t="s">
        <v>55</v>
      </c>
      <c r="F30" s="246" t="s">
        <v>71</v>
      </c>
      <c r="G30" s="246" t="s">
        <v>77</v>
      </c>
      <c r="H30" s="246" t="s">
        <v>87</v>
      </c>
      <c r="I30" s="246" t="s">
        <v>88</v>
      </c>
      <c r="J30" s="246" t="s">
        <v>378</v>
      </c>
      <c r="K30" s="246" t="s">
        <v>406</v>
      </c>
      <c r="L30" s="246" t="s">
        <v>467</v>
      </c>
      <c r="M30" s="246" t="s">
        <v>501</v>
      </c>
      <c r="N30" s="246" t="s">
        <v>511</v>
      </c>
      <c r="O30" s="246" t="s">
        <v>538</v>
      </c>
      <c r="P30" s="544" t="s">
        <v>567</v>
      </c>
      <c r="Q30" s="544" t="s">
        <v>575</v>
      </c>
      <c r="R30" s="544" t="s">
        <v>595</v>
      </c>
      <c r="S30" s="544" t="s">
        <v>596</v>
      </c>
      <c r="T30" s="544" t="s">
        <v>623</v>
      </c>
      <c r="U30" s="544" t="s">
        <v>624</v>
      </c>
      <c r="V30" s="544" t="s">
        <v>625</v>
      </c>
      <c r="W30" s="544" t="s">
        <v>626</v>
      </c>
      <c r="X30" s="544" t="s">
        <v>798</v>
      </c>
      <c r="Y30" s="544" t="s">
        <v>799</v>
      </c>
      <c r="Z30" s="544" t="s">
        <v>800</v>
      </c>
      <c r="AA30" s="544" t="s">
        <v>801</v>
      </c>
      <c r="AB30" s="544" t="s">
        <v>913</v>
      </c>
      <c r="AC30" s="544" t="s">
        <v>914</v>
      </c>
      <c r="AD30" s="544" t="s">
        <v>923</v>
      </c>
      <c r="AE30" s="544" t="s">
        <v>924</v>
      </c>
      <c r="AF30" s="544" t="s">
        <v>1049</v>
      </c>
      <c r="AG30" s="544" t="s">
        <v>1023</v>
      </c>
      <c r="AH30" s="544" t="s">
        <v>1024</v>
      </c>
      <c r="AI30" s="544" t="s">
        <v>1050</v>
      </c>
      <c r="AJ30" s="544" t="s">
        <v>1114</v>
      </c>
      <c r="AK30" s="544" t="s">
        <v>1119</v>
      </c>
      <c r="AL30" s="544" t="s">
        <v>1121</v>
      </c>
      <c r="AM30" s="544" t="s">
        <v>1123</v>
      </c>
      <c r="AN30" s="544" t="s">
        <v>1176</v>
      </c>
      <c r="AO30" s="544" t="s">
        <v>1177</v>
      </c>
      <c r="AP30" s="544" t="s">
        <v>1176</v>
      </c>
      <c r="AR30" s="544" t="s">
        <v>1179</v>
      </c>
      <c r="AS30" s="544" t="s">
        <v>1181</v>
      </c>
      <c r="AT30" s="544"/>
      <c r="AU30" s="544"/>
      <c r="AV30" s="544" t="s">
        <v>1243</v>
      </c>
      <c r="AW30" s="544"/>
      <c r="AX30" s="544"/>
      <c r="AY30" s="544" t="s">
        <v>1250</v>
      </c>
      <c r="AZ30" s="544" t="s">
        <v>1251</v>
      </c>
      <c r="BA30" s="544" t="s">
        <v>1252</v>
      </c>
      <c r="BB30" s="544" t="s">
        <v>1311</v>
      </c>
      <c r="BC30" s="544" t="s">
        <v>1313</v>
      </c>
      <c r="BF30" s="544" t="s">
        <v>1315</v>
      </c>
      <c r="BG30" s="544" t="s">
        <v>1317</v>
      </c>
      <c r="BH30" s="544" t="s">
        <v>1344</v>
      </c>
    </row>
    <row r="31" spans="2:152" ht="15" customHeight="1" outlineLevel="1" x14ac:dyDescent="0.2">
      <c r="B31" s="129" t="s">
        <v>210</v>
      </c>
      <c r="C31" s="118">
        <v>1668</v>
      </c>
      <c r="D31" s="118">
        <v>1602</v>
      </c>
      <c r="E31" s="118">
        <v>1644</v>
      </c>
      <c r="F31" s="118">
        <v>2065</v>
      </c>
      <c r="G31" s="118">
        <v>4223</v>
      </c>
      <c r="H31" s="118">
        <v>4404</v>
      </c>
      <c r="I31" s="118">
        <v>4536</v>
      </c>
      <c r="J31" s="118">
        <v>3420</v>
      </c>
      <c r="K31" s="118">
        <v>3533</v>
      </c>
      <c r="L31" s="118">
        <v>3475</v>
      </c>
      <c r="M31" s="118">
        <v>3187</v>
      </c>
      <c r="N31" s="118">
        <v>3168</v>
      </c>
      <c r="O31" s="118">
        <v>2999</v>
      </c>
    </row>
    <row r="32" spans="2:152" ht="15" customHeight="1" outlineLevel="1" x14ac:dyDescent="0.2">
      <c r="B32" s="129" t="s">
        <v>211</v>
      </c>
      <c r="C32" s="118">
        <v>595</v>
      </c>
      <c r="D32" s="118">
        <v>456</v>
      </c>
      <c r="E32" s="118">
        <v>463</v>
      </c>
      <c r="F32" s="118">
        <v>501</v>
      </c>
      <c r="G32" s="118">
        <v>482</v>
      </c>
      <c r="H32" s="118">
        <v>797</v>
      </c>
      <c r="I32" s="118">
        <v>893</v>
      </c>
      <c r="J32" s="118">
        <v>1941</v>
      </c>
      <c r="K32" s="118">
        <v>2244</v>
      </c>
      <c r="L32" s="118">
        <v>827</v>
      </c>
      <c r="M32" s="118">
        <v>211</v>
      </c>
      <c r="N32" s="118">
        <v>211</v>
      </c>
      <c r="O32" s="118">
        <v>0</v>
      </c>
    </row>
    <row r="33" spans="2:23" ht="15" customHeight="1" outlineLevel="1" x14ac:dyDescent="0.2">
      <c r="B33" s="126" t="s">
        <v>112</v>
      </c>
      <c r="C33" s="120">
        <f>SUM(C31:C32)</f>
        <v>2263</v>
      </c>
      <c r="D33" s="120">
        <f t="shared" ref="D33:J33" si="38">SUM(D31:D32)</f>
        <v>2058</v>
      </c>
      <c r="E33" s="120">
        <f t="shared" si="38"/>
        <v>2107</v>
      </c>
      <c r="F33" s="120">
        <f t="shared" si="38"/>
        <v>2566</v>
      </c>
      <c r="G33" s="120">
        <f t="shared" si="38"/>
        <v>4705</v>
      </c>
      <c r="H33" s="120">
        <f t="shared" si="38"/>
        <v>5201</v>
      </c>
      <c r="I33" s="120">
        <f t="shared" si="38"/>
        <v>5429</v>
      </c>
      <c r="J33" s="120">
        <f t="shared" si="38"/>
        <v>5361</v>
      </c>
      <c r="K33" s="120">
        <f>SUM(K31:K32)</f>
        <v>5777</v>
      </c>
      <c r="L33" s="120">
        <f>SUM(L31:L32)</f>
        <v>4302</v>
      </c>
      <c r="M33" s="120">
        <f>SUM(M31:M32)</f>
        <v>3398</v>
      </c>
      <c r="N33" s="120">
        <f>SUM(N31:N32)</f>
        <v>3379</v>
      </c>
      <c r="O33" s="120">
        <f>SUM(O31:O32)</f>
        <v>2999</v>
      </c>
    </row>
    <row r="34" spans="2:23" ht="15" customHeight="1" x14ac:dyDescent="0.2">
      <c r="B34" s="153"/>
      <c r="C34" s="154">
        <f>+C33-BP!R34</f>
        <v>0</v>
      </c>
      <c r="D34" s="154">
        <f>+D33-BP!S34</f>
        <v>0</v>
      </c>
      <c r="E34" s="154">
        <f>+E33-BP!T34</f>
        <v>0</v>
      </c>
      <c r="F34" s="154">
        <f>+F33-BP!U34</f>
        <v>0</v>
      </c>
      <c r="G34" s="154">
        <f>+G33-BP!V34</f>
        <v>0</v>
      </c>
      <c r="H34" s="154">
        <f>+H33-BP!W34</f>
        <v>0</v>
      </c>
      <c r="I34" s="154">
        <f>+I33-BP!X34</f>
        <v>0</v>
      </c>
      <c r="J34" s="154">
        <f>+J33-BP!Y34</f>
        <v>0</v>
      </c>
      <c r="K34" s="154">
        <f>+K33-BP!Z34</f>
        <v>0</v>
      </c>
      <c r="L34" s="154">
        <f>+L33-BP!AA34</f>
        <v>0</v>
      </c>
      <c r="M34" s="154">
        <f>+M33-BP!AB34</f>
        <v>0</v>
      </c>
      <c r="N34" s="154">
        <f>+N33-BP!AC34</f>
        <v>0</v>
      </c>
      <c r="O34" s="154">
        <f>+O33-BP!AD34</f>
        <v>0</v>
      </c>
    </row>
    <row r="35" spans="2:23" ht="15" customHeight="1" x14ac:dyDescent="0.2">
      <c r="B35" s="153"/>
    </row>
    <row r="36" spans="2:23" ht="15" customHeight="1" x14ac:dyDescent="0.2">
      <c r="B36" s="153"/>
      <c r="C36" s="154"/>
      <c r="D36" s="154"/>
      <c r="E36" s="154"/>
      <c r="F36" s="154"/>
      <c r="G36" s="154"/>
      <c r="H36" s="154"/>
      <c r="I36" s="154"/>
    </row>
    <row r="37" spans="2:23" ht="15" customHeight="1" x14ac:dyDescent="0.2">
      <c r="B37" s="60"/>
      <c r="D37" s="61"/>
      <c r="E37" s="61"/>
      <c r="F37" s="61"/>
      <c r="G37" s="61"/>
      <c r="H37" s="61"/>
      <c r="I37" s="61"/>
      <c r="J37" s="61"/>
      <c r="K37" s="61"/>
      <c r="L37" s="61"/>
      <c r="M37" s="61"/>
      <c r="N37" s="61"/>
      <c r="O37" s="61"/>
      <c r="P37" s="61"/>
      <c r="Q37" s="61"/>
      <c r="R37" s="61"/>
      <c r="S37" s="61"/>
      <c r="T37" s="61"/>
      <c r="U37" s="61"/>
      <c r="V37" s="61"/>
      <c r="W37" s="61"/>
    </row>
    <row r="38" spans="2:23" x14ac:dyDescent="0.2">
      <c r="B38" s="60"/>
      <c r="C38" s="64"/>
      <c r="D38" s="64"/>
      <c r="E38" s="64"/>
      <c r="F38" s="64"/>
      <c r="G38" s="64"/>
      <c r="H38" s="64"/>
      <c r="I38" s="64"/>
      <c r="J38" s="64"/>
      <c r="K38" s="64"/>
      <c r="L38" s="64"/>
      <c r="M38" s="64"/>
      <c r="N38" s="64"/>
      <c r="O38" s="64"/>
      <c r="P38" s="64"/>
      <c r="Q38" s="64"/>
      <c r="R38" s="64"/>
      <c r="S38" s="64"/>
      <c r="T38" s="64"/>
      <c r="U38" s="45"/>
      <c r="V38" s="45"/>
      <c r="W38" s="45"/>
    </row>
    <row r="39" spans="2:23" x14ac:dyDescent="0.2">
      <c r="B39" s="60"/>
      <c r="D39" s="61"/>
      <c r="E39" s="61"/>
      <c r="F39" s="61"/>
      <c r="G39" s="61"/>
      <c r="H39" s="61"/>
      <c r="I39" s="61"/>
      <c r="J39" s="45"/>
      <c r="K39" s="66"/>
      <c r="L39" s="1249"/>
      <c r="M39" s="1249"/>
      <c r="N39" s="66"/>
      <c r="O39" s="66"/>
      <c r="P39" s="66"/>
      <c r="Q39" s="66"/>
      <c r="R39" s="66"/>
      <c r="S39" s="66"/>
      <c r="T39" s="66"/>
      <c r="U39" s="1250"/>
      <c r="V39" s="1250"/>
      <c r="W39" s="1250"/>
    </row>
    <row r="40" spans="2:23" x14ac:dyDescent="0.2">
      <c r="B40" s="166"/>
      <c r="C40" s="167"/>
      <c r="D40" s="167"/>
      <c r="E40" s="167"/>
      <c r="F40" s="167"/>
      <c r="G40" s="167"/>
      <c r="H40" s="167"/>
      <c r="I40" s="167"/>
      <c r="J40" s="60"/>
      <c r="O40" s="45"/>
    </row>
    <row r="41" spans="2:23" x14ac:dyDescent="0.2">
      <c r="B41" s="168"/>
      <c r="C41" s="169"/>
      <c r="D41" s="169"/>
      <c r="E41" s="169"/>
      <c r="F41" s="169"/>
      <c r="G41" s="169"/>
      <c r="H41" s="169"/>
      <c r="I41" s="169"/>
      <c r="J41" s="60"/>
      <c r="O41" s="69"/>
    </row>
    <row r="42" spans="2:23" x14ac:dyDescent="0.2">
      <c r="B42" s="168"/>
      <c r="C42" s="169"/>
      <c r="D42" s="169"/>
      <c r="E42" s="169"/>
      <c r="F42" s="169"/>
      <c r="G42" s="169"/>
      <c r="H42" s="169"/>
      <c r="I42" s="169"/>
      <c r="J42" s="60"/>
      <c r="O42" s="69"/>
    </row>
    <row r="43" spans="2:23" x14ac:dyDescent="0.2">
      <c r="B43" s="153"/>
      <c r="C43" s="154"/>
      <c r="D43" s="154"/>
      <c r="E43" s="154"/>
      <c r="F43" s="154"/>
      <c r="G43" s="154"/>
      <c r="H43" s="154"/>
      <c r="I43" s="154"/>
      <c r="J43" s="62"/>
      <c r="L43" s="63"/>
      <c r="M43" s="63"/>
      <c r="N43" s="69"/>
      <c r="O43" s="69"/>
    </row>
    <row r="44" spans="2:23" x14ac:dyDescent="0.2">
      <c r="L44" s="68"/>
      <c r="M44" s="68"/>
      <c r="N44" s="68"/>
    </row>
    <row r="45" spans="2:23" x14ac:dyDescent="0.2">
      <c r="L45" s="68"/>
      <c r="M45" s="68"/>
      <c r="N45" s="68"/>
    </row>
    <row r="46" spans="2:23" x14ac:dyDescent="0.2">
      <c r="L46" s="67"/>
      <c r="M46" s="67"/>
      <c r="N46" s="45"/>
    </row>
    <row r="57" spans="12:12" x14ac:dyDescent="0.2">
      <c r="L57">
        <v>3616</v>
      </c>
    </row>
  </sheetData>
  <mergeCells count="4">
    <mergeCell ref="L39:M39"/>
    <mergeCell ref="U39:W39"/>
    <mergeCell ref="EQ5:ES5"/>
    <mergeCell ref="ET5:EV5"/>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32">
    <pageSetUpPr autoPageBreaks="0"/>
  </sheetPr>
  <dimension ref="A1:AB442"/>
  <sheetViews>
    <sheetView showGridLines="0" topLeftCell="B1" zoomScaleNormal="100" workbookViewId="0">
      <pane ySplit="5" topLeftCell="A6" activePane="bottomLeft" state="frozen"/>
      <selection activeCell="N57" sqref="N57"/>
      <selection pane="bottomLeft" activeCell="E2" sqref="E2"/>
    </sheetView>
  </sheetViews>
  <sheetFormatPr defaultColWidth="9.140625" defaultRowHeight="12.75" outlineLevelRow="1" outlineLevelCol="1" x14ac:dyDescent="0.2"/>
  <cols>
    <col min="1" max="1" width="1.5703125" customWidth="1"/>
    <col min="2" max="2" width="36.85546875" bestFit="1" customWidth="1"/>
    <col min="3" max="3" width="12.140625" bestFit="1" customWidth="1"/>
    <col min="4" max="9" width="10.85546875" customWidth="1"/>
    <col min="10" max="19" width="10.85546875" style="313" hidden="1" customWidth="1" outlineLevel="1"/>
    <col min="20" max="20" width="10.85546875" customWidth="1" collapsed="1"/>
    <col min="21" max="21" width="4.42578125" style="529" customWidth="1"/>
    <col min="22" max="22" width="37" style="529" customWidth="1"/>
    <col min="23" max="16384" width="9.140625" style="529"/>
  </cols>
  <sheetData>
    <row r="1" spans="2:25" ht="7.5" customHeight="1" x14ac:dyDescent="0.2">
      <c r="V1" s="605"/>
    </row>
    <row r="2" spans="2:25" ht="12.75" customHeight="1" x14ac:dyDescent="0.2">
      <c r="V2" s="605"/>
    </row>
    <row r="3" spans="2:25" ht="12.75" customHeight="1" x14ac:dyDescent="0.2"/>
    <row r="4" spans="2:25" ht="12.75" customHeight="1" x14ac:dyDescent="0.2"/>
    <row r="5" spans="2:25" ht="15.75" customHeight="1" x14ac:dyDescent="0.2">
      <c r="B5" s="141" t="s">
        <v>97</v>
      </c>
      <c r="C5" s="139" t="s">
        <v>213</v>
      </c>
      <c r="D5" s="139" t="s">
        <v>599</v>
      </c>
      <c r="E5" s="139" t="s">
        <v>215</v>
      </c>
      <c r="F5" s="139" t="s">
        <v>766</v>
      </c>
      <c r="G5" s="139" t="s">
        <v>755</v>
      </c>
      <c r="H5" s="139" t="s">
        <v>1331</v>
      </c>
      <c r="I5" s="139" t="s">
        <v>218</v>
      </c>
      <c r="J5" s="314" t="s">
        <v>1284</v>
      </c>
      <c r="K5" s="314" t="s">
        <v>219</v>
      </c>
      <c r="L5" s="314" t="s">
        <v>217</v>
      </c>
      <c r="M5" s="314" t="s">
        <v>477</v>
      </c>
      <c r="N5" s="314" t="s">
        <v>218</v>
      </c>
      <c r="O5" s="314" t="s">
        <v>818</v>
      </c>
      <c r="P5" s="314" t="s">
        <v>220</v>
      </c>
      <c r="Q5" s="314" t="s">
        <v>214</v>
      </c>
      <c r="R5" s="314" t="s">
        <v>216</v>
      </c>
      <c r="S5" s="314" t="s">
        <v>130</v>
      </c>
      <c r="T5" s="139" t="s">
        <v>112</v>
      </c>
      <c r="V5" s="141" t="s">
        <v>96</v>
      </c>
      <c r="W5" s="139" t="s">
        <v>755</v>
      </c>
      <c r="X5" s="139" t="s">
        <v>1257</v>
      </c>
      <c r="Y5" s="139" t="s">
        <v>112</v>
      </c>
    </row>
    <row r="6" spans="2:25" x14ac:dyDescent="0.2">
      <c r="B6" s="126" t="s">
        <v>222</v>
      </c>
      <c r="C6" s="120">
        <v>48027</v>
      </c>
      <c r="D6" s="120">
        <v>0</v>
      </c>
      <c r="E6" s="120">
        <v>13360</v>
      </c>
      <c r="F6" s="120"/>
      <c r="G6" s="120"/>
      <c r="H6" s="120"/>
      <c r="I6" s="120"/>
      <c r="J6" s="315"/>
      <c r="K6" s="315">
        <v>2886</v>
      </c>
      <c r="L6" s="315">
        <v>2978</v>
      </c>
      <c r="M6" s="315"/>
      <c r="N6" s="315">
        <v>1998</v>
      </c>
      <c r="O6" s="315"/>
      <c r="P6" s="315">
        <v>791</v>
      </c>
      <c r="Q6" s="315">
        <v>48126</v>
      </c>
      <c r="R6" s="315">
        <v>3633</v>
      </c>
      <c r="S6" s="315">
        <v>0</v>
      </c>
      <c r="T6" s="120">
        <v>121799</v>
      </c>
    </row>
    <row r="7" spans="2:25" x14ac:dyDescent="0.2">
      <c r="B7" s="153"/>
      <c r="C7" s="154"/>
      <c r="D7" s="154"/>
      <c r="E7" s="154"/>
      <c r="F7" s="154"/>
      <c r="G7" s="154"/>
      <c r="H7" s="154"/>
      <c r="I7" s="154"/>
      <c r="J7" s="316"/>
      <c r="K7" s="316"/>
      <c r="L7" s="316"/>
      <c r="M7" s="316"/>
      <c r="N7" s="316"/>
      <c r="O7" s="316"/>
      <c r="P7" s="316"/>
      <c r="Q7" s="316"/>
      <c r="R7" s="316"/>
      <c r="S7" s="316"/>
      <c r="T7" s="154"/>
    </row>
    <row r="8" spans="2:25" ht="12.75" hidden="1" customHeight="1" outlineLevel="1" x14ac:dyDescent="0.2">
      <c r="B8" s="129" t="s">
        <v>223</v>
      </c>
      <c r="C8" s="118">
        <v>0</v>
      </c>
      <c r="D8" s="118"/>
      <c r="E8" s="118">
        <v>5628</v>
      </c>
      <c r="F8" s="118"/>
      <c r="G8" s="118"/>
      <c r="H8" s="118"/>
      <c r="I8" s="118"/>
      <c r="J8" s="317"/>
      <c r="K8" s="317">
        <v>0</v>
      </c>
      <c r="L8" s="317">
        <v>0</v>
      </c>
      <c r="M8" s="317"/>
      <c r="N8" s="317">
        <v>0</v>
      </c>
      <c r="O8" s="317"/>
      <c r="P8" s="317">
        <v>0</v>
      </c>
      <c r="Q8" s="317">
        <v>20471</v>
      </c>
      <c r="R8" s="317">
        <v>0</v>
      </c>
      <c r="S8" s="317">
        <v>100000</v>
      </c>
      <c r="T8" s="118">
        <f t="shared" ref="T8:T15" si="0">SUM(C8:S8)</f>
        <v>126099</v>
      </c>
    </row>
    <row r="9" spans="2:25" ht="12.75" hidden="1" customHeight="1" outlineLevel="1" x14ac:dyDescent="0.2">
      <c r="B9" s="129" t="s">
        <v>225</v>
      </c>
      <c r="C9" s="118">
        <v>-18549</v>
      </c>
      <c r="D9" s="118"/>
      <c r="E9" s="118">
        <v>-9</v>
      </c>
      <c r="F9" s="118"/>
      <c r="G9" s="118"/>
      <c r="H9" s="118"/>
      <c r="I9" s="118"/>
      <c r="J9" s="317"/>
      <c r="K9" s="317">
        <v>630</v>
      </c>
      <c r="L9" s="317">
        <v>-66</v>
      </c>
      <c r="M9" s="317"/>
      <c r="N9" s="317">
        <v>2297</v>
      </c>
      <c r="O9" s="317"/>
      <c r="P9" s="317">
        <v>165</v>
      </c>
      <c r="Q9" s="317">
        <v>-9001</v>
      </c>
      <c r="R9" s="317">
        <v>50</v>
      </c>
      <c r="S9" s="317">
        <v>-47693</v>
      </c>
      <c r="T9" s="118">
        <f t="shared" si="0"/>
        <v>-72176</v>
      </c>
    </row>
    <row r="10" spans="2:25" ht="12.75" hidden="1" customHeight="1" outlineLevel="1" x14ac:dyDescent="0.2">
      <c r="B10" s="129" t="s">
        <v>227</v>
      </c>
      <c r="C10" s="118">
        <v>0</v>
      </c>
      <c r="D10" s="118"/>
      <c r="E10" s="118">
        <v>0</v>
      </c>
      <c r="F10" s="118"/>
      <c r="G10" s="118"/>
      <c r="H10" s="118"/>
      <c r="I10" s="118"/>
      <c r="J10" s="317"/>
      <c r="K10" s="317">
        <v>0</v>
      </c>
      <c r="L10" s="317">
        <v>-1244</v>
      </c>
      <c r="M10" s="317"/>
      <c r="N10" s="317">
        <v>-419</v>
      </c>
      <c r="O10" s="317"/>
      <c r="P10" s="317">
        <v>0</v>
      </c>
      <c r="Q10" s="317">
        <v>0</v>
      </c>
      <c r="R10" s="317">
        <v>0</v>
      </c>
      <c r="S10" s="317">
        <v>0</v>
      </c>
      <c r="T10" s="118">
        <f t="shared" si="0"/>
        <v>-1663</v>
      </c>
    </row>
    <row r="11" spans="2:25" ht="12.75" hidden="1" customHeight="1" outlineLevel="1" x14ac:dyDescent="0.2">
      <c r="B11" s="129" t="s">
        <v>228</v>
      </c>
      <c r="C11" s="118">
        <v>0</v>
      </c>
      <c r="D11" s="118"/>
      <c r="E11" s="118">
        <v>0</v>
      </c>
      <c r="F11" s="118"/>
      <c r="G11" s="118"/>
      <c r="H11" s="118"/>
      <c r="I11" s="118"/>
      <c r="J11" s="317"/>
      <c r="K11" s="317">
        <v>0</v>
      </c>
      <c r="L11" s="317">
        <v>0</v>
      </c>
      <c r="M11" s="317"/>
      <c r="N11" s="317">
        <v>0</v>
      </c>
      <c r="O11" s="317"/>
      <c r="P11" s="317">
        <v>0</v>
      </c>
      <c r="Q11" s="317">
        <v>0</v>
      </c>
      <c r="R11" s="317">
        <v>0</v>
      </c>
      <c r="S11" s="317">
        <v>-26704</v>
      </c>
      <c r="T11" s="118">
        <f t="shared" si="0"/>
        <v>-26704</v>
      </c>
    </row>
    <row r="12" spans="2:25" ht="12.75" hidden="1" customHeight="1" outlineLevel="1" x14ac:dyDescent="0.2">
      <c r="B12" s="129" t="s">
        <v>229</v>
      </c>
      <c r="C12" s="118">
        <v>0</v>
      </c>
      <c r="D12" s="118"/>
      <c r="E12" s="118">
        <v>0</v>
      </c>
      <c r="F12" s="118"/>
      <c r="G12" s="118"/>
      <c r="H12" s="118"/>
      <c r="I12" s="118"/>
      <c r="J12" s="317"/>
      <c r="K12" s="317">
        <v>-3516</v>
      </c>
      <c r="L12" s="317">
        <v>0</v>
      </c>
      <c r="M12" s="317"/>
      <c r="N12" s="317">
        <v>7199</v>
      </c>
      <c r="O12" s="317"/>
      <c r="P12" s="317">
        <v>0</v>
      </c>
      <c r="Q12" s="317">
        <v>0</v>
      </c>
      <c r="R12" s="317">
        <v>-3683</v>
      </c>
      <c r="S12" s="317">
        <v>0</v>
      </c>
      <c r="T12" s="118">
        <f t="shared" si="0"/>
        <v>0</v>
      </c>
    </row>
    <row r="13" spans="2:25" ht="12.75" hidden="1" customHeight="1" outlineLevel="1" x14ac:dyDescent="0.2">
      <c r="B13" s="129" t="s">
        <v>230</v>
      </c>
      <c r="C13" s="118">
        <v>0</v>
      </c>
      <c r="D13" s="118"/>
      <c r="E13" s="118">
        <v>0</v>
      </c>
      <c r="F13" s="118"/>
      <c r="G13" s="118"/>
      <c r="H13" s="118"/>
      <c r="I13" s="118"/>
      <c r="J13" s="317"/>
      <c r="K13" s="317">
        <v>0</v>
      </c>
      <c r="L13" s="317">
        <v>0</v>
      </c>
      <c r="M13" s="317"/>
      <c r="N13" s="317">
        <v>0</v>
      </c>
      <c r="O13" s="317"/>
      <c r="P13" s="317">
        <v>-361</v>
      </c>
      <c r="Q13" s="317">
        <v>0</v>
      </c>
      <c r="R13" s="317">
        <v>0</v>
      </c>
      <c r="S13" s="317">
        <v>0</v>
      </c>
      <c r="T13" s="118">
        <f t="shared" si="0"/>
        <v>-361</v>
      </c>
    </row>
    <row r="14" spans="2:25" ht="12.75" hidden="1" customHeight="1" outlineLevel="1" x14ac:dyDescent="0.2">
      <c r="B14" s="129" t="s">
        <v>41</v>
      </c>
      <c r="C14" s="118">
        <v>0</v>
      </c>
      <c r="D14" s="118"/>
      <c r="E14" s="118">
        <v>0</v>
      </c>
      <c r="F14" s="118"/>
      <c r="G14" s="118"/>
      <c r="H14" s="118"/>
      <c r="I14" s="118"/>
      <c r="J14" s="317"/>
      <c r="K14" s="317">
        <v>0</v>
      </c>
      <c r="L14" s="317">
        <v>0</v>
      </c>
      <c r="M14" s="317"/>
      <c r="N14" s="317">
        <v>0</v>
      </c>
      <c r="O14" s="317"/>
      <c r="P14" s="317">
        <v>0</v>
      </c>
      <c r="Q14" s="317">
        <v>0</v>
      </c>
      <c r="R14" s="317">
        <v>0</v>
      </c>
      <c r="S14" s="317">
        <v>-18863</v>
      </c>
      <c r="T14" s="118">
        <f t="shared" si="0"/>
        <v>-18863</v>
      </c>
    </row>
    <row r="15" spans="2:25" ht="12.75" hidden="1" customHeight="1" outlineLevel="1" x14ac:dyDescent="0.2">
      <c r="B15" s="129" t="s">
        <v>49</v>
      </c>
      <c r="C15" s="118">
        <v>0</v>
      </c>
      <c r="D15" s="118"/>
      <c r="E15" s="118">
        <v>0</v>
      </c>
      <c r="F15" s="118"/>
      <c r="G15" s="118"/>
      <c r="H15" s="118"/>
      <c r="I15" s="118"/>
      <c r="J15" s="317"/>
      <c r="K15" s="317">
        <v>0</v>
      </c>
      <c r="L15" s="317">
        <v>0</v>
      </c>
      <c r="M15" s="317"/>
      <c r="N15" s="317">
        <v>-381</v>
      </c>
      <c r="O15" s="317"/>
      <c r="P15" s="317">
        <v>0</v>
      </c>
      <c r="Q15" s="317">
        <v>0</v>
      </c>
      <c r="R15" s="317">
        <v>0</v>
      </c>
      <c r="S15" s="317">
        <v>0</v>
      </c>
      <c r="T15" s="118">
        <f t="shared" si="0"/>
        <v>-381</v>
      </c>
    </row>
    <row r="16" spans="2:25" collapsed="1" x14ac:dyDescent="0.2">
      <c r="B16" s="126" t="s">
        <v>171</v>
      </c>
      <c r="C16" s="120">
        <f>SUM(C6:C15)</f>
        <v>29478</v>
      </c>
      <c r="D16" s="120">
        <v>0</v>
      </c>
      <c r="E16" s="120">
        <f>SUM(E6:E15)</f>
        <v>18979</v>
      </c>
      <c r="F16" s="120"/>
      <c r="G16" s="120"/>
      <c r="H16" s="120"/>
      <c r="I16" s="120"/>
      <c r="J16" s="315"/>
      <c r="K16" s="315">
        <f>SUM(K6:K15)</f>
        <v>0</v>
      </c>
      <c r="L16" s="315">
        <f>SUM(L6:L15)</f>
        <v>1668</v>
      </c>
      <c r="M16" s="315"/>
      <c r="N16" s="315">
        <f>SUM(N6:N15)</f>
        <v>10694</v>
      </c>
      <c r="O16" s="315"/>
      <c r="P16" s="315">
        <f>SUM(P6:P15)</f>
        <v>595</v>
      </c>
      <c r="Q16" s="315">
        <f>SUM(Q6:Q15)</f>
        <v>59596</v>
      </c>
      <c r="R16" s="315">
        <f>SUM(R6:R15)</f>
        <v>0</v>
      </c>
      <c r="S16" s="315">
        <f>SUM(S6:S15)</f>
        <v>6740</v>
      </c>
      <c r="T16" s="120">
        <f>SUM(T6:T15)</f>
        <v>127750</v>
      </c>
    </row>
    <row r="17" spans="2:20" x14ac:dyDescent="0.2">
      <c r="B17" s="153"/>
      <c r="C17" s="154"/>
      <c r="D17" s="154"/>
      <c r="E17" s="154"/>
      <c r="F17" s="154"/>
      <c r="G17" s="154"/>
      <c r="H17" s="154"/>
      <c r="I17" s="154"/>
      <c r="J17" s="316"/>
      <c r="K17" s="316"/>
      <c r="L17" s="316"/>
      <c r="M17" s="316"/>
      <c r="N17" s="316"/>
      <c r="O17" s="316"/>
      <c r="P17" s="316"/>
      <c r="Q17" s="316"/>
      <c r="R17" s="316"/>
      <c r="S17" s="316"/>
      <c r="T17" s="154"/>
    </row>
    <row r="18" spans="2:20" ht="12.75" hidden="1" customHeight="1" outlineLevel="1" x14ac:dyDescent="0.2">
      <c r="B18" s="129" t="s">
        <v>223</v>
      </c>
      <c r="C18" s="118">
        <v>0</v>
      </c>
      <c r="D18" s="118"/>
      <c r="E18" s="118">
        <v>990</v>
      </c>
      <c r="F18" s="118"/>
      <c r="G18" s="118"/>
      <c r="H18" s="118"/>
      <c r="I18" s="118"/>
      <c r="J18" s="317"/>
      <c r="K18" s="317">
        <v>0</v>
      </c>
      <c r="L18" s="317">
        <v>0</v>
      </c>
      <c r="M18" s="317"/>
      <c r="N18" s="317">
        <v>0</v>
      </c>
      <c r="O18" s="317"/>
      <c r="P18" s="317">
        <v>0</v>
      </c>
      <c r="Q18" s="317">
        <v>6040</v>
      </c>
      <c r="R18" s="317">
        <v>0</v>
      </c>
      <c r="S18" s="317">
        <v>0</v>
      </c>
      <c r="T18" s="118">
        <f>SUM(C18:S18)</f>
        <v>7030</v>
      </c>
    </row>
    <row r="19" spans="2:20" ht="12.75" hidden="1" customHeight="1" outlineLevel="1" x14ac:dyDescent="0.2">
      <c r="B19" s="129" t="s">
        <v>224</v>
      </c>
      <c r="C19" s="118">
        <v>420</v>
      </c>
      <c r="D19" s="118"/>
      <c r="E19" s="118">
        <v>0</v>
      </c>
      <c r="F19" s="118"/>
      <c r="G19" s="118"/>
      <c r="H19" s="118"/>
      <c r="I19" s="118"/>
      <c r="J19" s="317"/>
      <c r="K19" s="317">
        <v>0</v>
      </c>
      <c r="L19" s="317">
        <v>0</v>
      </c>
      <c r="M19" s="317"/>
      <c r="N19" s="317">
        <v>0</v>
      </c>
      <c r="O19" s="317"/>
      <c r="P19" s="317">
        <v>0</v>
      </c>
      <c r="Q19" s="317">
        <v>0</v>
      </c>
      <c r="R19" s="317">
        <v>0</v>
      </c>
      <c r="S19" s="317">
        <v>0</v>
      </c>
      <c r="T19" s="118">
        <f>SUM(C19:S19)</f>
        <v>420</v>
      </c>
    </row>
    <row r="20" spans="2:20" ht="12.75" hidden="1" customHeight="1" outlineLevel="1" x14ac:dyDescent="0.2">
      <c r="B20" s="129" t="s">
        <v>225</v>
      </c>
      <c r="C20" s="118">
        <v>3440</v>
      </c>
      <c r="D20" s="118"/>
      <c r="E20" s="118">
        <v>0</v>
      </c>
      <c r="F20" s="118"/>
      <c r="G20" s="118"/>
      <c r="H20" s="118"/>
      <c r="I20" s="118"/>
      <c r="J20" s="317"/>
      <c r="K20" s="317">
        <v>0</v>
      </c>
      <c r="L20" s="317">
        <v>-66</v>
      </c>
      <c r="M20" s="317"/>
      <c r="N20" s="317">
        <v>703</v>
      </c>
      <c r="O20" s="317"/>
      <c r="P20" s="317">
        <v>-134</v>
      </c>
      <c r="Q20" s="317">
        <v>-3253</v>
      </c>
      <c r="R20" s="317">
        <v>0</v>
      </c>
      <c r="S20" s="317">
        <v>-11994</v>
      </c>
      <c r="T20" s="118">
        <f>SUM(C20:S20)</f>
        <v>-11304</v>
      </c>
    </row>
    <row r="21" spans="2:20" ht="12.75" hidden="1" customHeight="1" outlineLevel="1" x14ac:dyDescent="0.2">
      <c r="B21" s="129" t="s">
        <v>230</v>
      </c>
      <c r="C21" s="118">
        <v>0</v>
      </c>
      <c r="D21" s="118"/>
      <c r="E21" s="118">
        <v>0</v>
      </c>
      <c r="F21" s="118"/>
      <c r="G21" s="118"/>
      <c r="H21" s="118"/>
      <c r="I21" s="118"/>
      <c r="J21" s="317"/>
      <c r="K21" s="317">
        <v>0</v>
      </c>
      <c r="L21" s="317">
        <v>0</v>
      </c>
      <c r="M21" s="317"/>
      <c r="N21" s="317">
        <v>0</v>
      </c>
      <c r="O21" s="317"/>
      <c r="P21" s="317">
        <v>-2</v>
      </c>
      <c r="Q21" s="317">
        <v>0</v>
      </c>
      <c r="R21" s="317">
        <v>0</v>
      </c>
      <c r="S21" s="317">
        <v>0</v>
      </c>
      <c r="T21" s="118">
        <f>SUM(C21:S21)</f>
        <v>-2</v>
      </c>
    </row>
    <row r="22" spans="2:20" ht="12.75" hidden="1" customHeight="1" outlineLevel="1" x14ac:dyDescent="0.2">
      <c r="B22" s="129" t="s">
        <v>49</v>
      </c>
      <c r="C22" s="118">
        <v>0</v>
      </c>
      <c r="D22" s="118"/>
      <c r="E22" s="118">
        <v>0</v>
      </c>
      <c r="F22" s="118"/>
      <c r="G22" s="118"/>
      <c r="H22" s="118"/>
      <c r="I22" s="118"/>
      <c r="J22" s="317"/>
      <c r="K22" s="317">
        <v>0</v>
      </c>
      <c r="L22" s="317">
        <v>0</v>
      </c>
      <c r="M22" s="317"/>
      <c r="N22" s="317">
        <v>-2</v>
      </c>
      <c r="O22" s="317"/>
      <c r="P22" s="317">
        <v>-3</v>
      </c>
      <c r="Q22" s="317">
        <v>0</v>
      </c>
      <c r="R22" s="317">
        <v>0</v>
      </c>
      <c r="S22" s="317">
        <v>9200</v>
      </c>
      <c r="T22" s="118">
        <f>SUM(C22:S22)</f>
        <v>9195</v>
      </c>
    </row>
    <row r="23" spans="2:20" collapsed="1" x14ac:dyDescent="0.2">
      <c r="B23" s="126" t="s">
        <v>170</v>
      </c>
      <c r="C23" s="120">
        <f>SUM(C16:C22)</f>
        <v>33338</v>
      </c>
      <c r="D23" s="120">
        <v>0</v>
      </c>
      <c r="E23" s="120">
        <f>SUM(E16:E22)</f>
        <v>19969</v>
      </c>
      <c r="F23" s="120"/>
      <c r="G23" s="120"/>
      <c r="H23" s="120"/>
      <c r="I23" s="120"/>
      <c r="J23" s="315"/>
      <c r="K23" s="315">
        <f>SUM(K16:K22)</f>
        <v>0</v>
      </c>
      <c r="L23" s="315">
        <f>SUM(L16:L22)</f>
        <v>1602</v>
      </c>
      <c r="M23" s="315"/>
      <c r="N23" s="315">
        <f>SUM(N16:N22)</f>
        <v>11395</v>
      </c>
      <c r="O23" s="315"/>
      <c r="P23" s="315">
        <f>SUM(P16:P22)</f>
        <v>456</v>
      </c>
      <c r="Q23" s="315">
        <f>SUM(Q16:Q22)</f>
        <v>62383</v>
      </c>
      <c r="R23" s="315">
        <f>SUM(R16:R22)</f>
        <v>0</v>
      </c>
      <c r="S23" s="315">
        <f>SUM(S16:S22)</f>
        <v>3946</v>
      </c>
      <c r="T23" s="120">
        <f>SUM(T16:T22)</f>
        <v>133089</v>
      </c>
    </row>
    <row r="24" spans="2:20" x14ac:dyDescent="0.2">
      <c r="B24" s="153"/>
      <c r="C24" s="154"/>
      <c r="D24" s="154"/>
      <c r="E24" s="154"/>
      <c r="F24" s="154"/>
      <c r="G24" s="154"/>
      <c r="H24" s="154"/>
      <c r="I24" s="154"/>
      <c r="J24" s="316"/>
      <c r="K24" s="316"/>
      <c r="L24" s="316"/>
      <c r="M24" s="316"/>
      <c r="N24" s="316"/>
      <c r="O24" s="316"/>
      <c r="P24" s="316"/>
      <c r="Q24" s="316"/>
      <c r="R24" s="316"/>
      <c r="S24" s="316"/>
      <c r="T24" s="154"/>
    </row>
    <row r="25" spans="2:20" ht="12.75" hidden="1" customHeight="1" outlineLevel="1" x14ac:dyDescent="0.2">
      <c r="B25" s="129" t="s">
        <v>223</v>
      </c>
      <c r="C25" s="118">
        <v>0</v>
      </c>
      <c r="D25" s="118"/>
      <c r="E25" s="118">
        <v>-990</v>
      </c>
      <c r="F25" s="118"/>
      <c r="G25" s="118"/>
      <c r="H25" s="118"/>
      <c r="I25" s="118"/>
      <c r="J25" s="317"/>
      <c r="K25" s="317">
        <v>0</v>
      </c>
      <c r="L25" s="317">
        <v>0</v>
      </c>
      <c r="M25" s="317"/>
      <c r="N25" s="317">
        <v>0</v>
      </c>
      <c r="O25" s="317"/>
      <c r="P25" s="317">
        <v>0</v>
      </c>
      <c r="Q25" s="317">
        <v>0</v>
      </c>
      <c r="R25" s="317">
        <v>0</v>
      </c>
      <c r="S25" s="317">
        <v>75225</v>
      </c>
      <c r="T25" s="118">
        <f t="shared" ref="T25:T30" si="1">SUM(C25:S25)</f>
        <v>74235</v>
      </c>
    </row>
    <row r="26" spans="2:20" ht="12.75" hidden="1" customHeight="1" outlineLevel="1" x14ac:dyDescent="0.2">
      <c r="B26" s="129" t="s">
        <v>224</v>
      </c>
      <c r="C26" s="118">
        <v>7000</v>
      </c>
      <c r="D26" s="118"/>
      <c r="E26" s="118">
        <v>2010</v>
      </c>
      <c r="F26" s="118"/>
      <c r="G26" s="118"/>
      <c r="H26" s="118"/>
      <c r="I26" s="118"/>
      <c r="J26" s="317"/>
      <c r="K26" s="317">
        <v>0</v>
      </c>
      <c r="L26" s="317">
        <v>0</v>
      </c>
      <c r="M26" s="317"/>
      <c r="N26" s="317">
        <v>0</v>
      </c>
      <c r="O26" s="317"/>
      <c r="P26" s="317">
        <v>0</v>
      </c>
      <c r="Q26" s="317">
        <v>0</v>
      </c>
      <c r="R26" s="317">
        <v>0</v>
      </c>
      <c r="S26" s="317">
        <v>0</v>
      </c>
      <c r="T26" s="118">
        <f t="shared" si="1"/>
        <v>9010</v>
      </c>
    </row>
    <row r="27" spans="2:20" ht="12.75" hidden="1" customHeight="1" outlineLevel="1" x14ac:dyDescent="0.2">
      <c r="B27" s="129" t="s">
        <v>225</v>
      </c>
      <c r="C27" s="118">
        <v>7973</v>
      </c>
      <c r="D27" s="118"/>
      <c r="E27" s="118">
        <v>-31</v>
      </c>
      <c r="F27" s="118"/>
      <c r="G27" s="118"/>
      <c r="H27" s="118"/>
      <c r="I27" s="118"/>
      <c r="J27" s="317"/>
      <c r="K27" s="317">
        <v>0</v>
      </c>
      <c r="L27" s="317">
        <v>42</v>
      </c>
      <c r="M27" s="317"/>
      <c r="N27" s="317">
        <v>1385</v>
      </c>
      <c r="O27" s="317"/>
      <c r="P27" s="317">
        <v>26</v>
      </c>
      <c r="Q27" s="317">
        <v>-1919</v>
      </c>
      <c r="R27" s="317">
        <v>0</v>
      </c>
      <c r="S27" s="317">
        <v>-7139</v>
      </c>
      <c r="T27" s="118">
        <f t="shared" si="1"/>
        <v>337</v>
      </c>
    </row>
    <row r="28" spans="2:20" ht="12.75" hidden="1" customHeight="1" outlineLevel="1" x14ac:dyDescent="0.2">
      <c r="B28" s="129" t="s">
        <v>231</v>
      </c>
      <c r="C28" s="118">
        <v>0</v>
      </c>
      <c r="D28" s="118"/>
      <c r="E28" s="118">
        <v>0</v>
      </c>
      <c r="F28" s="118"/>
      <c r="G28" s="118"/>
      <c r="H28" s="118"/>
      <c r="I28" s="118"/>
      <c r="J28" s="317"/>
      <c r="K28" s="317">
        <v>0</v>
      </c>
      <c r="L28" s="317">
        <v>0</v>
      </c>
      <c r="M28" s="317"/>
      <c r="N28" s="317">
        <v>0</v>
      </c>
      <c r="O28" s="317"/>
      <c r="P28" s="317">
        <v>0</v>
      </c>
      <c r="Q28" s="317">
        <v>0</v>
      </c>
      <c r="R28" s="317">
        <v>0</v>
      </c>
      <c r="S28" s="317">
        <v>-36871</v>
      </c>
      <c r="T28" s="118">
        <f t="shared" si="1"/>
        <v>-36871</v>
      </c>
    </row>
    <row r="29" spans="2:20" ht="12.75" hidden="1" customHeight="1" outlineLevel="1" x14ac:dyDescent="0.2">
      <c r="B29" s="129" t="s">
        <v>230</v>
      </c>
      <c r="C29" s="118">
        <v>0</v>
      </c>
      <c r="D29" s="118"/>
      <c r="E29" s="118">
        <v>0</v>
      </c>
      <c r="F29" s="118"/>
      <c r="G29" s="118"/>
      <c r="H29" s="118"/>
      <c r="I29" s="118"/>
      <c r="J29" s="317"/>
      <c r="K29" s="317">
        <v>0</v>
      </c>
      <c r="L29" s="317">
        <v>0</v>
      </c>
      <c r="M29" s="317"/>
      <c r="N29" s="317">
        <v>0</v>
      </c>
      <c r="O29" s="317"/>
      <c r="P29" s="317">
        <v>-18</v>
      </c>
      <c r="Q29" s="317">
        <v>0</v>
      </c>
      <c r="R29" s="317">
        <v>0</v>
      </c>
      <c r="S29" s="317">
        <v>0</v>
      </c>
      <c r="T29" s="118">
        <f t="shared" si="1"/>
        <v>-18</v>
      </c>
    </row>
    <row r="30" spans="2:20" ht="12.75" hidden="1" customHeight="1" outlineLevel="1" x14ac:dyDescent="0.2">
      <c r="B30" s="129" t="s">
        <v>49</v>
      </c>
      <c r="C30" s="118">
        <v>0</v>
      </c>
      <c r="D30" s="118"/>
      <c r="E30" s="118">
        <v>0</v>
      </c>
      <c r="F30" s="118"/>
      <c r="G30" s="118"/>
      <c r="H30" s="118"/>
      <c r="I30" s="118"/>
      <c r="J30" s="317"/>
      <c r="K30" s="317">
        <v>0</v>
      </c>
      <c r="L30" s="317">
        <v>0</v>
      </c>
      <c r="M30" s="317"/>
      <c r="N30" s="317">
        <v>0</v>
      </c>
      <c r="O30" s="317"/>
      <c r="P30" s="317">
        <v>-1</v>
      </c>
      <c r="Q30" s="317">
        <v>0</v>
      </c>
      <c r="R30" s="317">
        <v>0</v>
      </c>
      <c r="S30" s="317">
        <v>0</v>
      </c>
      <c r="T30" s="118">
        <f t="shared" si="1"/>
        <v>-1</v>
      </c>
    </row>
    <row r="31" spans="2:20" collapsed="1" x14ac:dyDescent="0.2">
      <c r="B31" s="126" t="s">
        <v>169</v>
      </c>
      <c r="C31" s="120">
        <f>SUM(C23:C30)</f>
        <v>48311</v>
      </c>
      <c r="D31" s="120">
        <v>0</v>
      </c>
      <c r="E31" s="120">
        <f>SUM(E23:E30)</f>
        <v>20958</v>
      </c>
      <c r="F31" s="120"/>
      <c r="G31" s="120"/>
      <c r="H31" s="120"/>
      <c r="I31" s="120"/>
      <c r="J31" s="315"/>
      <c r="K31" s="315">
        <f>SUM(K23:K30)</f>
        <v>0</v>
      </c>
      <c r="L31" s="315">
        <f>SUM(L23:L30)</f>
        <v>1644</v>
      </c>
      <c r="M31" s="315"/>
      <c r="N31" s="315">
        <f>SUM(N23:N30)</f>
        <v>12780</v>
      </c>
      <c r="O31" s="315"/>
      <c r="P31" s="315">
        <f>SUM(P23:P30)</f>
        <v>463</v>
      </c>
      <c r="Q31" s="315">
        <f>SUM(Q23:Q30)</f>
        <v>60464</v>
      </c>
      <c r="R31" s="315">
        <f>SUM(R23:R30)</f>
        <v>0</v>
      </c>
      <c r="S31" s="315">
        <f>SUM(S23:S30)</f>
        <v>35161</v>
      </c>
      <c r="T31" s="120">
        <f>SUM(T23:T30)</f>
        <v>179781</v>
      </c>
    </row>
    <row r="32" spans="2:20" x14ac:dyDescent="0.2">
      <c r="B32" s="153"/>
      <c r="C32" s="154"/>
      <c r="D32" s="154"/>
      <c r="E32" s="154"/>
      <c r="F32" s="154"/>
      <c r="G32" s="154"/>
      <c r="H32" s="154"/>
      <c r="I32" s="154"/>
      <c r="J32" s="316"/>
      <c r="K32" s="316"/>
      <c r="L32" s="316"/>
      <c r="M32" s="316"/>
      <c r="N32" s="316"/>
      <c r="O32" s="316"/>
      <c r="P32" s="316"/>
      <c r="Q32" s="316"/>
      <c r="R32" s="316"/>
      <c r="S32" s="316"/>
      <c r="T32" s="154"/>
    </row>
    <row r="33" spans="2:20" ht="12.75" hidden="1" customHeight="1" outlineLevel="1" x14ac:dyDescent="0.2">
      <c r="B33" s="129" t="s">
        <v>223</v>
      </c>
      <c r="C33" s="118">
        <v>7420</v>
      </c>
      <c r="D33" s="118"/>
      <c r="E33" s="118">
        <v>1702</v>
      </c>
      <c r="F33" s="118"/>
      <c r="G33" s="118"/>
      <c r="H33" s="118"/>
      <c r="I33" s="118"/>
      <c r="J33" s="317"/>
      <c r="K33" s="317">
        <v>0</v>
      </c>
      <c r="L33" s="317">
        <v>0</v>
      </c>
      <c r="M33" s="317"/>
      <c r="N33" s="317">
        <v>0</v>
      </c>
      <c r="O33" s="317"/>
      <c r="P33" s="317">
        <v>0</v>
      </c>
      <c r="Q33" s="317">
        <v>0</v>
      </c>
      <c r="R33" s="317">
        <v>0</v>
      </c>
      <c r="S33" s="317">
        <v>93701</v>
      </c>
      <c r="T33" s="118">
        <f t="shared" ref="T33:T39" si="2">SUM(C33:S33)</f>
        <v>102823</v>
      </c>
    </row>
    <row r="34" spans="2:20" ht="12.75" hidden="1" customHeight="1" outlineLevel="1" x14ac:dyDescent="0.2">
      <c r="B34" s="129" t="s">
        <v>224</v>
      </c>
      <c r="C34" s="118">
        <v>-7420</v>
      </c>
      <c r="D34" s="118"/>
      <c r="E34" s="118">
        <v>-1017</v>
      </c>
      <c r="F34" s="118"/>
      <c r="G34" s="118"/>
      <c r="H34" s="118"/>
      <c r="I34" s="118"/>
      <c r="J34" s="317"/>
      <c r="K34" s="317">
        <v>0</v>
      </c>
      <c r="L34" s="317">
        <v>0</v>
      </c>
      <c r="M34" s="317"/>
      <c r="N34" s="317">
        <v>0</v>
      </c>
      <c r="O34" s="317"/>
      <c r="P34" s="317">
        <v>0</v>
      </c>
      <c r="Q34" s="317">
        <v>0</v>
      </c>
      <c r="R34" s="317">
        <v>0</v>
      </c>
      <c r="S34" s="317">
        <v>0</v>
      </c>
      <c r="T34" s="118">
        <f t="shared" si="2"/>
        <v>-8437</v>
      </c>
    </row>
    <row r="35" spans="2:20" ht="12.75" hidden="1" customHeight="1" outlineLevel="1" x14ac:dyDescent="0.2">
      <c r="B35" s="129" t="s">
        <v>225</v>
      </c>
      <c r="C35" s="118">
        <v>427</v>
      </c>
      <c r="D35" s="118"/>
      <c r="E35" s="118">
        <v>-23</v>
      </c>
      <c r="F35" s="118"/>
      <c r="G35" s="118"/>
      <c r="H35" s="118"/>
      <c r="I35" s="118"/>
      <c r="J35" s="317"/>
      <c r="K35" s="317">
        <v>0</v>
      </c>
      <c r="L35" s="317">
        <v>420</v>
      </c>
      <c r="M35" s="317"/>
      <c r="N35" s="317">
        <v>656</v>
      </c>
      <c r="O35" s="317"/>
      <c r="P35" s="317">
        <v>-12</v>
      </c>
      <c r="Q35" s="317">
        <v>886</v>
      </c>
      <c r="R35" s="317">
        <v>0</v>
      </c>
      <c r="S35" s="317">
        <v>-25341</v>
      </c>
      <c r="T35" s="118">
        <f t="shared" si="2"/>
        <v>-22987</v>
      </c>
    </row>
    <row r="36" spans="2:20" ht="12.75" hidden="1" customHeight="1" outlineLevel="1" x14ac:dyDescent="0.2">
      <c r="B36" s="129" t="s">
        <v>232</v>
      </c>
      <c r="C36" s="118">
        <v>0</v>
      </c>
      <c r="D36" s="118"/>
      <c r="E36" s="118">
        <v>0</v>
      </c>
      <c r="F36" s="118"/>
      <c r="G36" s="118"/>
      <c r="H36" s="118"/>
      <c r="I36" s="118"/>
      <c r="J36" s="317"/>
      <c r="K36" s="317">
        <v>0</v>
      </c>
      <c r="L36" s="317">
        <v>0</v>
      </c>
      <c r="M36" s="317"/>
      <c r="N36" s="317">
        <v>0</v>
      </c>
      <c r="O36" s="317"/>
      <c r="P36" s="317">
        <v>0</v>
      </c>
      <c r="Q36" s="317">
        <v>0</v>
      </c>
      <c r="R36" s="317">
        <v>0</v>
      </c>
      <c r="S36" s="317">
        <v>-34224</v>
      </c>
      <c r="T36" s="118">
        <f t="shared" si="2"/>
        <v>-34224</v>
      </c>
    </row>
    <row r="37" spans="2:20" ht="12.75" hidden="1" customHeight="1" outlineLevel="1" x14ac:dyDescent="0.2">
      <c r="B37" s="129" t="s">
        <v>231</v>
      </c>
      <c r="C37" s="118">
        <v>0</v>
      </c>
      <c r="D37" s="118"/>
      <c r="E37" s="118">
        <v>0</v>
      </c>
      <c r="F37" s="118"/>
      <c r="G37" s="118"/>
      <c r="H37" s="118"/>
      <c r="I37" s="118"/>
      <c r="J37" s="317"/>
      <c r="K37" s="317">
        <v>0</v>
      </c>
      <c r="L37" s="317">
        <v>0</v>
      </c>
      <c r="M37" s="317"/>
      <c r="N37" s="317">
        <v>0</v>
      </c>
      <c r="O37" s="317"/>
      <c r="P37" s="317">
        <v>0</v>
      </c>
      <c r="Q37" s="317">
        <v>0</v>
      </c>
      <c r="R37" s="317">
        <v>0</v>
      </c>
      <c r="S37" s="317">
        <v>-69297</v>
      </c>
      <c r="T37" s="118">
        <f t="shared" si="2"/>
        <v>-69297</v>
      </c>
    </row>
    <row r="38" spans="2:20" ht="12.75" hidden="1" customHeight="1" outlineLevel="1" x14ac:dyDescent="0.2">
      <c r="B38" s="129" t="s">
        <v>230</v>
      </c>
      <c r="C38" s="118">
        <v>0</v>
      </c>
      <c r="D38" s="118"/>
      <c r="E38" s="118">
        <v>0</v>
      </c>
      <c r="F38" s="118"/>
      <c r="G38" s="118"/>
      <c r="H38" s="118"/>
      <c r="I38" s="118"/>
      <c r="J38" s="317"/>
      <c r="K38" s="317">
        <v>0</v>
      </c>
      <c r="L38" s="317">
        <v>0</v>
      </c>
      <c r="M38" s="317"/>
      <c r="N38" s="317">
        <v>0</v>
      </c>
      <c r="O38" s="317"/>
      <c r="P38" s="317">
        <v>50</v>
      </c>
      <c r="Q38" s="317">
        <v>0</v>
      </c>
      <c r="R38" s="317">
        <v>0</v>
      </c>
      <c r="S38" s="317">
        <v>0</v>
      </c>
      <c r="T38" s="118">
        <f t="shared" si="2"/>
        <v>50</v>
      </c>
    </row>
    <row r="39" spans="2:20" ht="12.75" hidden="1" customHeight="1" outlineLevel="1" x14ac:dyDescent="0.2">
      <c r="B39" s="129" t="s">
        <v>49</v>
      </c>
      <c r="C39" s="118">
        <v>0</v>
      </c>
      <c r="D39" s="118"/>
      <c r="E39" s="118">
        <v>0</v>
      </c>
      <c r="F39" s="118"/>
      <c r="G39" s="118"/>
      <c r="H39" s="118"/>
      <c r="I39" s="118"/>
      <c r="J39" s="317"/>
      <c r="K39" s="317">
        <v>0</v>
      </c>
      <c r="L39" s="317">
        <v>1</v>
      </c>
      <c r="M39" s="317"/>
      <c r="N39" s="317">
        <v>387</v>
      </c>
      <c r="O39" s="317"/>
      <c r="P39" s="317">
        <v>0</v>
      </c>
      <c r="Q39" s="317">
        <v>-3</v>
      </c>
      <c r="R39" s="317">
        <v>0</v>
      </c>
      <c r="S39" s="317">
        <v>0</v>
      </c>
      <c r="T39" s="118">
        <f t="shared" si="2"/>
        <v>385</v>
      </c>
    </row>
    <row r="40" spans="2:20" collapsed="1" x14ac:dyDescent="0.2">
      <c r="B40" s="126" t="s">
        <v>168</v>
      </c>
      <c r="C40" s="120">
        <f>SUM(C31:C39)</f>
        <v>48738</v>
      </c>
      <c r="D40" s="120">
        <v>0</v>
      </c>
      <c r="E40" s="120">
        <f>SUM(E31:E39)</f>
        <v>21620</v>
      </c>
      <c r="F40" s="120"/>
      <c r="G40" s="120"/>
      <c r="H40" s="120"/>
      <c r="I40" s="120"/>
      <c r="J40" s="315"/>
      <c r="K40" s="315">
        <f t="shared" ref="K40:T40" si="3">SUM(K31:K39)</f>
        <v>0</v>
      </c>
      <c r="L40" s="315">
        <f>SUM(L31:L39)</f>
        <v>2065</v>
      </c>
      <c r="M40" s="315"/>
      <c r="N40" s="315">
        <f>SUM(N31:N39)</f>
        <v>13823</v>
      </c>
      <c r="O40" s="315"/>
      <c r="P40" s="315">
        <f t="shared" si="3"/>
        <v>501</v>
      </c>
      <c r="Q40" s="315">
        <f t="shared" si="3"/>
        <v>61347</v>
      </c>
      <c r="R40" s="315">
        <f t="shared" si="3"/>
        <v>0</v>
      </c>
      <c r="S40" s="315">
        <f t="shared" si="3"/>
        <v>0</v>
      </c>
      <c r="T40" s="120">
        <f t="shared" si="3"/>
        <v>148094</v>
      </c>
    </row>
    <row r="41" spans="2:20" x14ac:dyDescent="0.2">
      <c r="B41" s="153"/>
      <c r="C41" s="154"/>
      <c r="D41" s="154"/>
      <c r="E41" s="154"/>
      <c r="F41" s="154"/>
      <c r="G41" s="154"/>
      <c r="H41" s="154"/>
      <c r="I41" s="154"/>
      <c r="J41" s="316"/>
      <c r="K41" s="316"/>
      <c r="L41" s="316"/>
      <c r="M41" s="316"/>
      <c r="N41" s="316"/>
      <c r="O41" s="316"/>
      <c r="P41" s="316"/>
      <c r="Q41" s="316"/>
      <c r="R41" s="316"/>
      <c r="S41" s="316"/>
      <c r="T41" s="154"/>
    </row>
    <row r="42" spans="2:20" ht="12.75" hidden="1" customHeight="1" outlineLevel="1" x14ac:dyDescent="0.2">
      <c r="B42" s="129" t="s">
        <v>223</v>
      </c>
      <c r="C42" s="118">
        <v>0</v>
      </c>
      <c r="D42" s="118"/>
      <c r="E42" s="118">
        <v>0</v>
      </c>
      <c r="F42" s="118"/>
      <c r="G42" s="118"/>
      <c r="H42" s="118"/>
      <c r="I42" s="118"/>
      <c r="J42" s="317"/>
      <c r="K42" s="317">
        <v>0</v>
      </c>
      <c r="L42" s="317">
        <v>0</v>
      </c>
      <c r="M42" s="317"/>
      <c r="N42" s="317">
        <v>0</v>
      </c>
      <c r="O42" s="317"/>
      <c r="P42" s="317">
        <v>0</v>
      </c>
      <c r="Q42" s="317">
        <v>0</v>
      </c>
      <c r="R42" s="317">
        <v>0</v>
      </c>
      <c r="S42" s="317">
        <v>0</v>
      </c>
      <c r="T42" s="118">
        <f t="shared" ref="T42:T48" si="4">SUM(C42:S42)</f>
        <v>0</v>
      </c>
    </row>
    <row r="43" spans="2:20" ht="12.75" hidden="1" customHeight="1" outlineLevel="1" x14ac:dyDescent="0.2">
      <c r="B43" s="129" t="s">
        <v>224</v>
      </c>
      <c r="C43" s="118">
        <v>33360</v>
      </c>
      <c r="D43" s="118"/>
      <c r="E43" s="118">
        <v>7</v>
      </c>
      <c r="F43" s="118"/>
      <c r="G43" s="118"/>
      <c r="H43" s="118"/>
      <c r="I43" s="118"/>
      <c r="J43" s="317"/>
      <c r="K43" s="317">
        <v>0</v>
      </c>
      <c r="L43" s="317">
        <v>0</v>
      </c>
      <c r="M43" s="317"/>
      <c r="N43" s="317">
        <v>0</v>
      </c>
      <c r="O43" s="317"/>
      <c r="P43" s="317">
        <v>0</v>
      </c>
      <c r="Q43" s="317">
        <v>30000</v>
      </c>
      <c r="R43" s="317">
        <v>0</v>
      </c>
      <c r="S43" s="317">
        <v>0</v>
      </c>
      <c r="T43" s="118">
        <f t="shared" si="4"/>
        <v>63367</v>
      </c>
    </row>
    <row r="44" spans="2:20" ht="12.75" hidden="1" customHeight="1" outlineLevel="1" x14ac:dyDescent="0.2">
      <c r="B44" s="129" t="s">
        <v>225</v>
      </c>
      <c r="C44" s="118">
        <v>-289</v>
      </c>
      <c r="D44" s="118"/>
      <c r="E44" s="118">
        <v>-7</v>
      </c>
      <c r="F44" s="118"/>
      <c r="G44" s="118"/>
      <c r="H44" s="118"/>
      <c r="I44" s="118"/>
      <c r="J44" s="317"/>
      <c r="K44" s="317">
        <v>0</v>
      </c>
      <c r="L44" s="317">
        <v>2159</v>
      </c>
      <c r="M44" s="317"/>
      <c r="N44" s="317">
        <v>363</v>
      </c>
      <c r="O44" s="317"/>
      <c r="P44" s="317">
        <v>-58</v>
      </c>
      <c r="Q44" s="317">
        <v>-2278</v>
      </c>
      <c r="R44" s="317">
        <v>0</v>
      </c>
      <c r="S44" s="317">
        <v>0</v>
      </c>
      <c r="T44" s="118">
        <f t="shared" si="4"/>
        <v>-110</v>
      </c>
    </row>
    <row r="45" spans="2:20" ht="12.75" hidden="1" customHeight="1" outlineLevel="1" x14ac:dyDescent="0.2">
      <c r="B45" s="129" t="s">
        <v>232</v>
      </c>
      <c r="C45" s="118">
        <v>0</v>
      </c>
      <c r="D45" s="118"/>
      <c r="E45" s="118">
        <v>0</v>
      </c>
      <c r="F45" s="118"/>
      <c r="G45" s="118"/>
      <c r="H45" s="118"/>
      <c r="I45" s="118"/>
      <c r="J45" s="317"/>
      <c r="K45" s="317">
        <v>0</v>
      </c>
      <c r="L45" s="317">
        <v>0</v>
      </c>
      <c r="M45" s="317"/>
      <c r="N45" s="317">
        <v>0</v>
      </c>
      <c r="O45" s="317"/>
      <c r="P45" s="317">
        <v>0</v>
      </c>
      <c r="Q45" s="317">
        <v>0</v>
      </c>
      <c r="R45" s="317">
        <v>0</v>
      </c>
      <c r="S45" s="317">
        <v>0</v>
      </c>
      <c r="T45" s="118">
        <f t="shared" si="4"/>
        <v>0</v>
      </c>
    </row>
    <row r="46" spans="2:20" ht="12.75" hidden="1" customHeight="1" outlineLevel="1" x14ac:dyDescent="0.2">
      <c r="B46" s="129" t="s">
        <v>231</v>
      </c>
      <c r="C46" s="118">
        <v>0</v>
      </c>
      <c r="D46" s="118"/>
      <c r="E46" s="118">
        <v>0</v>
      </c>
      <c r="F46" s="118"/>
      <c r="G46" s="118"/>
      <c r="H46" s="118"/>
      <c r="I46" s="118"/>
      <c r="J46" s="317"/>
      <c r="K46" s="317">
        <v>0</v>
      </c>
      <c r="L46" s="317">
        <v>0</v>
      </c>
      <c r="M46" s="317"/>
      <c r="N46" s="317">
        <v>0</v>
      </c>
      <c r="O46" s="317"/>
      <c r="P46" s="317">
        <v>0</v>
      </c>
      <c r="Q46" s="317">
        <v>0</v>
      </c>
      <c r="R46" s="317">
        <v>0</v>
      </c>
      <c r="S46" s="317">
        <v>0</v>
      </c>
      <c r="T46" s="118">
        <f t="shared" si="4"/>
        <v>0</v>
      </c>
    </row>
    <row r="47" spans="2:20" ht="12.75" hidden="1" customHeight="1" outlineLevel="1" x14ac:dyDescent="0.2">
      <c r="B47" s="129" t="s">
        <v>230</v>
      </c>
      <c r="C47" s="118">
        <v>0</v>
      </c>
      <c r="D47" s="118"/>
      <c r="E47" s="118">
        <v>0</v>
      </c>
      <c r="F47" s="118"/>
      <c r="G47" s="118"/>
      <c r="H47" s="118"/>
      <c r="I47" s="118"/>
      <c r="J47" s="317"/>
      <c r="K47" s="317">
        <v>0</v>
      </c>
      <c r="L47" s="317">
        <v>0</v>
      </c>
      <c r="M47" s="317"/>
      <c r="N47" s="317">
        <v>0</v>
      </c>
      <c r="O47" s="317"/>
      <c r="P47" s="317">
        <v>39</v>
      </c>
      <c r="Q47" s="317">
        <v>0</v>
      </c>
      <c r="R47" s="317">
        <v>0</v>
      </c>
      <c r="S47" s="317">
        <v>0</v>
      </c>
      <c r="T47" s="118">
        <f t="shared" si="4"/>
        <v>39</v>
      </c>
    </row>
    <row r="48" spans="2:20" ht="12.75" hidden="1" customHeight="1" outlineLevel="1" x14ac:dyDescent="0.2">
      <c r="B48" s="129" t="s">
        <v>49</v>
      </c>
      <c r="C48" s="118">
        <v>0</v>
      </c>
      <c r="D48" s="118"/>
      <c r="E48" s="118">
        <v>0</v>
      </c>
      <c r="F48" s="118"/>
      <c r="G48" s="118"/>
      <c r="H48" s="118"/>
      <c r="I48" s="118"/>
      <c r="J48" s="317"/>
      <c r="K48" s="317">
        <v>0</v>
      </c>
      <c r="L48" s="317">
        <v>-1</v>
      </c>
      <c r="M48" s="317"/>
      <c r="N48" s="317">
        <v>0</v>
      </c>
      <c r="O48" s="317"/>
      <c r="P48" s="317">
        <v>0</v>
      </c>
      <c r="Q48" s="317">
        <v>1</v>
      </c>
      <c r="R48" s="317">
        <v>0</v>
      </c>
      <c r="S48" s="317">
        <v>0</v>
      </c>
      <c r="T48" s="118">
        <f t="shared" si="4"/>
        <v>0</v>
      </c>
    </row>
    <row r="49" spans="2:20" collapsed="1" x14ac:dyDescent="0.2">
      <c r="B49" s="126" t="s">
        <v>167</v>
      </c>
      <c r="C49" s="120">
        <f>SUM(C40:C48)</f>
        <v>81809</v>
      </c>
      <c r="D49" s="120">
        <v>0</v>
      </c>
      <c r="E49" s="120">
        <f>SUM(E40:E48)</f>
        <v>21620</v>
      </c>
      <c r="F49" s="120"/>
      <c r="G49" s="120"/>
      <c r="H49" s="120"/>
      <c r="I49" s="120"/>
      <c r="J49" s="315"/>
      <c r="K49" s="315">
        <f t="shared" ref="K49:T49" si="5">SUM(K40:K48)</f>
        <v>0</v>
      </c>
      <c r="L49" s="315">
        <f>SUM(L40:L48)</f>
        <v>4223</v>
      </c>
      <c r="M49" s="315"/>
      <c r="N49" s="315">
        <f>SUM(N40:N48)</f>
        <v>14186</v>
      </c>
      <c r="O49" s="315"/>
      <c r="P49" s="315">
        <f t="shared" si="5"/>
        <v>482</v>
      </c>
      <c r="Q49" s="315">
        <f t="shared" si="5"/>
        <v>89070</v>
      </c>
      <c r="R49" s="315">
        <f t="shared" si="5"/>
        <v>0</v>
      </c>
      <c r="S49" s="315">
        <f t="shared" si="5"/>
        <v>0</v>
      </c>
      <c r="T49" s="120">
        <f t="shared" si="5"/>
        <v>211390</v>
      </c>
    </row>
    <row r="50" spans="2:20" x14ac:dyDescent="0.2">
      <c r="B50" s="153"/>
      <c r="C50" s="154"/>
      <c r="D50" s="154"/>
      <c r="E50" s="154"/>
      <c r="F50" s="154"/>
      <c r="G50" s="154"/>
      <c r="H50" s="154"/>
      <c r="I50" s="154"/>
      <c r="J50" s="316"/>
      <c r="K50" s="316"/>
      <c r="L50" s="316"/>
      <c r="M50" s="316"/>
      <c r="N50" s="316"/>
      <c r="O50" s="316"/>
      <c r="P50" s="316"/>
      <c r="Q50" s="316"/>
      <c r="R50" s="316"/>
      <c r="S50" s="316"/>
      <c r="T50" s="154"/>
    </row>
    <row r="51" spans="2:20" ht="13.5" hidden="1" customHeight="1" outlineLevel="1" x14ac:dyDescent="0.2">
      <c r="B51" s="129" t="s">
        <v>223</v>
      </c>
      <c r="C51" s="118"/>
      <c r="D51" s="118"/>
      <c r="E51" s="118"/>
      <c r="F51" s="118"/>
      <c r="G51" s="118"/>
      <c r="H51" s="118"/>
      <c r="I51" s="118"/>
      <c r="J51" s="317"/>
      <c r="K51" s="317"/>
      <c r="L51" s="317"/>
      <c r="M51" s="317"/>
      <c r="N51" s="317"/>
      <c r="O51" s="317"/>
      <c r="P51" s="317"/>
      <c r="Q51" s="317"/>
      <c r="R51" s="317"/>
      <c r="S51" s="317"/>
      <c r="T51" s="118">
        <f>SUM(C51:S51)</f>
        <v>0</v>
      </c>
    </row>
    <row r="52" spans="2:20" ht="12.75" hidden="1" customHeight="1" outlineLevel="1" x14ac:dyDescent="0.2">
      <c r="B52" s="129" t="s">
        <v>224</v>
      </c>
      <c r="C52" s="118"/>
      <c r="D52" s="118"/>
      <c r="E52" s="118">
        <v>104</v>
      </c>
      <c r="F52" s="118"/>
      <c r="G52" s="118"/>
      <c r="H52" s="118"/>
      <c r="I52" s="118"/>
      <c r="J52" s="317"/>
      <c r="K52" s="317"/>
      <c r="L52" s="317">
        <v>0</v>
      </c>
      <c r="M52" s="317"/>
      <c r="N52" s="317">
        <v>0</v>
      </c>
      <c r="O52" s="317"/>
      <c r="P52" s="317">
        <v>0</v>
      </c>
      <c r="Q52" s="317"/>
      <c r="R52" s="317"/>
      <c r="S52" s="317">
        <v>0</v>
      </c>
      <c r="T52" s="118">
        <f>SUM(C52:S52)</f>
        <v>104</v>
      </c>
    </row>
    <row r="53" spans="2:20" ht="12.75" hidden="1" customHeight="1" outlineLevel="1" x14ac:dyDescent="0.2">
      <c r="B53" s="129" t="s">
        <v>225</v>
      </c>
      <c r="C53" s="118">
        <v>1771</v>
      </c>
      <c r="D53" s="118"/>
      <c r="E53" s="118">
        <v>-16</v>
      </c>
      <c r="F53" s="118"/>
      <c r="G53" s="118"/>
      <c r="H53" s="118"/>
      <c r="I53" s="118"/>
      <c r="J53" s="317"/>
      <c r="K53" s="317"/>
      <c r="L53" s="317">
        <v>181</v>
      </c>
      <c r="M53" s="317"/>
      <c r="N53" s="317">
        <v>710</v>
      </c>
      <c r="O53" s="317"/>
      <c r="P53" s="317">
        <v>192</v>
      </c>
      <c r="Q53" s="317">
        <v>-1674</v>
      </c>
      <c r="R53" s="317"/>
      <c r="S53" s="317">
        <v>0</v>
      </c>
      <c r="T53" s="118">
        <f>SUM(C53:S53)</f>
        <v>1164</v>
      </c>
    </row>
    <row r="54" spans="2:20" ht="12.75" hidden="1" customHeight="1" outlineLevel="1" x14ac:dyDescent="0.2">
      <c r="B54" s="129" t="s">
        <v>230</v>
      </c>
      <c r="C54" s="118">
        <v>0</v>
      </c>
      <c r="D54" s="118"/>
      <c r="E54" s="118">
        <v>0</v>
      </c>
      <c r="F54" s="118"/>
      <c r="G54" s="118"/>
      <c r="H54" s="118"/>
      <c r="I54" s="118"/>
      <c r="J54" s="317"/>
      <c r="K54" s="317"/>
      <c r="L54" s="317">
        <v>0</v>
      </c>
      <c r="M54" s="317"/>
      <c r="N54" s="317">
        <v>0</v>
      </c>
      <c r="O54" s="317"/>
      <c r="P54" s="317">
        <v>123</v>
      </c>
      <c r="Q54" s="317">
        <v>0</v>
      </c>
      <c r="R54" s="317"/>
      <c r="S54" s="317">
        <v>0</v>
      </c>
      <c r="T54" s="118">
        <f>SUM(C54:S54)</f>
        <v>123</v>
      </c>
    </row>
    <row r="55" spans="2:20" ht="12.75" hidden="1" customHeight="1" outlineLevel="1" x14ac:dyDescent="0.2">
      <c r="B55" s="129" t="s">
        <v>49</v>
      </c>
      <c r="C55" s="118"/>
      <c r="D55" s="118"/>
      <c r="E55" s="118"/>
      <c r="F55" s="118"/>
      <c r="G55" s="118"/>
      <c r="H55" s="118"/>
      <c r="I55" s="118"/>
      <c r="J55" s="317"/>
      <c r="K55" s="317"/>
      <c r="L55" s="317"/>
      <c r="M55" s="317"/>
      <c r="N55" s="317"/>
      <c r="O55" s="317"/>
      <c r="P55" s="317"/>
      <c r="Q55" s="317"/>
      <c r="R55" s="317"/>
      <c r="S55" s="317"/>
      <c r="T55" s="118">
        <f>SUM(C55:S55)</f>
        <v>0</v>
      </c>
    </row>
    <row r="56" spans="2:20" collapsed="1" x14ac:dyDescent="0.2">
      <c r="B56" s="126" t="s">
        <v>166</v>
      </c>
      <c r="C56" s="120">
        <f>SUM(C49:C55)</f>
        <v>83580</v>
      </c>
      <c r="D56" s="120">
        <v>0</v>
      </c>
      <c r="E56" s="120">
        <f>SUM(E49:E55)</f>
        <v>21708</v>
      </c>
      <c r="F56" s="120"/>
      <c r="G56" s="120"/>
      <c r="H56" s="120"/>
      <c r="I56" s="120"/>
      <c r="J56" s="315"/>
      <c r="K56" s="315">
        <f t="shared" ref="K56:T56" si="6">SUM(K49:K55)</f>
        <v>0</v>
      </c>
      <c r="L56" s="315">
        <f>SUM(L49:L55)</f>
        <v>4404</v>
      </c>
      <c r="M56" s="315"/>
      <c r="N56" s="315">
        <f>SUM(N49:N55)</f>
        <v>14896</v>
      </c>
      <c r="O56" s="315"/>
      <c r="P56" s="315">
        <f t="shared" si="6"/>
        <v>797</v>
      </c>
      <c r="Q56" s="315">
        <f t="shared" si="6"/>
        <v>87396</v>
      </c>
      <c r="R56" s="315">
        <f t="shared" si="6"/>
        <v>0</v>
      </c>
      <c r="S56" s="315">
        <f t="shared" si="6"/>
        <v>0</v>
      </c>
      <c r="T56" s="120">
        <f t="shared" si="6"/>
        <v>212781</v>
      </c>
    </row>
    <row r="57" spans="2:20" x14ac:dyDescent="0.2">
      <c r="B57" s="153"/>
      <c r="C57" s="154"/>
      <c r="D57" s="154"/>
      <c r="E57" s="154"/>
      <c r="F57" s="154"/>
      <c r="G57" s="154"/>
      <c r="H57" s="154"/>
      <c r="I57" s="154"/>
      <c r="J57" s="316"/>
      <c r="K57" s="316"/>
      <c r="L57" s="316">
        <v>-788</v>
      </c>
      <c r="M57" s="316"/>
      <c r="N57" s="316"/>
      <c r="O57" s="316"/>
      <c r="P57" s="316"/>
      <c r="Q57" s="316"/>
      <c r="R57" s="316"/>
      <c r="S57" s="316"/>
      <c r="T57" s="154"/>
    </row>
    <row r="58" spans="2:20" ht="12.75" hidden="1" customHeight="1" outlineLevel="1" x14ac:dyDescent="0.2">
      <c r="B58" s="129" t="s">
        <v>223</v>
      </c>
      <c r="C58" s="118">
        <v>0</v>
      </c>
      <c r="D58" s="118"/>
      <c r="E58" s="118">
        <v>0</v>
      </c>
      <c r="F58" s="118"/>
      <c r="G58" s="118"/>
      <c r="H58" s="118"/>
      <c r="I58" s="118"/>
      <c r="J58" s="317"/>
      <c r="K58" s="317">
        <v>0</v>
      </c>
      <c r="L58" s="317">
        <v>0</v>
      </c>
      <c r="M58" s="317"/>
      <c r="N58" s="317">
        <v>41</v>
      </c>
      <c r="O58" s="317"/>
      <c r="P58" s="317">
        <v>0</v>
      </c>
      <c r="Q58" s="317">
        <v>0</v>
      </c>
      <c r="R58" s="317">
        <v>0</v>
      </c>
      <c r="S58" s="317">
        <v>0</v>
      </c>
      <c r="T58" s="118">
        <f>SUM(C58:S58)</f>
        <v>41</v>
      </c>
    </row>
    <row r="59" spans="2:20" ht="12.75" hidden="1" customHeight="1" outlineLevel="1" x14ac:dyDescent="0.2">
      <c r="B59" s="129" t="s">
        <v>224</v>
      </c>
      <c r="C59" s="118">
        <v>0</v>
      </c>
      <c r="D59" s="118"/>
      <c r="E59" s="118">
        <v>1538</v>
      </c>
      <c r="F59" s="118"/>
      <c r="G59" s="118"/>
      <c r="H59" s="118"/>
      <c r="I59" s="118"/>
      <c r="J59" s="317"/>
      <c r="K59" s="317">
        <v>0</v>
      </c>
      <c r="L59" s="317">
        <v>0</v>
      </c>
      <c r="M59" s="317"/>
      <c r="N59" s="317">
        <v>0</v>
      </c>
      <c r="O59" s="317"/>
      <c r="P59" s="317">
        <v>0</v>
      </c>
      <c r="Q59" s="317">
        <v>0</v>
      </c>
      <c r="R59" s="317">
        <v>0</v>
      </c>
      <c r="S59" s="317">
        <v>0</v>
      </c>
      <c r="T59" s="118">
        <f>SUM(C59:S59)</f>
        <v>1538</v>
      </c>
    </row>
    <row r="60" spans="2:20" ht="12.75" hidden="1" customHeight="1" outlineLevel="1" x14ac:dyDescent="0.2">
      <c r="B60" s="129" t="s">
        <v>225</v>
      </c>
      <c r="C60" s="118">
        <v>279</v>
      </c>
      <c r="D60" s="118"/>
      <c r="E60" s="118">
        <v>-1</v>
      </c>
      <c r="F60" s="118"/>
      <c r="G60" s="118"/>
      <c r="H60" s="118"/>
      <c r="I60" s="118"/>
      <c r="J60" s="317"/>
      <c r="K60" s="317">
        <v>0</v>
      </c>
      <c r="L60" s="317">
        <v>132</v>
      </c>
      <c r="M60" s="317"/>
      <c r="N60" s="317">
        <v>344</v>
      </c>
      <c r="O60" s="317"/>
      <c r="P60" s="317">
        <v>124</v>
      </c>
      <c r="Q60" s="317">
        <v>-5281</v>
      </c>
      <c r="R60" s="317">
        <v>0</v>
      </c>
      <c r="S60" s="317">
        <v>0</v>
      </c>
      <c r="T60" s="118">
        <f>SUM(C60:S60)</f>
        <v>-4403</v>
      </c>
    </row>
    <row r="61" spans="2:20" ht="12.75" hidden="1" customHeight="1" outlineLevel="1" x14ac:dyDescent="0.2">
      <c r="B61" s="129" t="s">
        <v>230</v>
      </c>
      <c r="C61" s="118">
        <v>0</v>
      </c>
      <c r="D61" s="118"/>
      <c r="E61" s="118">
        <v>0</v>
      </c>
      <c r="F61" s="118"/>
      <c r="G61" s="118"/>
      <c r="H61" s="118"/>
      <c r="I61" s="118"/>
      <c r="J61" s="317"/>
      <c r="K61" s="317">
        <v>0</v>
      </c>
      <c r="L61" s="317">
        <v>0</v>
      </c>
      <c r="M61" s="317"/>
      <c r="N61" s="317">
        <v>0</v>
      </c>
      <c r="O61" s="317"/>
      <c r="P61" s="317">
        <v>-28</v>
      </c>
      <c r="Q61" s="317">
        <v>0</v>
      </c>
      <c r="R61" s="317">
        <v>0</v>
      </c>
      <c r="S61" s="317">
        <v>0</v>
      </c>
      <c r="T61" s="118">
        <f>SUM(C61:S61)</f>
        <v>-28</v>
      </c>
    </row>
    <row r="62" spans="2:20" collapsed="1" x14ac:dyDescent="0.2">
      <c r="B62" s="126" t="s">
        <v>163</v>
      </c>
      <c r="C62" s="120">
        <f>SUM(C56:C61)</f>
        <v>83859</v>
      </c>
      <c r="D62" s="120">
        <v>0</v>
      </c>
      <c r="E62" s="120">
        <f>SUM(E56:E61)</f>
        <v>23245</v>
      </c>
      <c r="F62" s="120"/>
      <c r="G62" s="120"/>
      <c r="H62" s="120"/>
      <c r="I62" s="120"/>
      <c r="J62" s="315"/>
      <c r="K62" s="315">
        <f>SUM(K56:K61)</f>
        <v>0</v>
      </c>
      <c r="L62" s="315">
        <f>SUM(L56:L61)</f>
        <v>3748</v>
      </c>
      <c r="M62" s="315"/>
      <c r="N62" s="315">
        <f>SUM(N56:N61)</f>
        <v>15281</v>
      </c>
      <c r="O62" s="315"/>
      <c r="P62" s="315">
        <f>SUM(P56:P61)</f>
        <v>893</v>
      </c>
      <c r="Q62" s="315">
        <f>SUM(Q56:Q61)</f>
        <v>82115</v>
      </c>
      <c r="R62" s="315">
        <f>SUM(R56:R61)</f>
        <v>0</v>
      </c>
      <c r="S62" s="315">
        <f>SUM(S56:S61)</f>
        <v>0</v>
      </c>
      <c r="T62" s="120">
        <f>SUM(T56:T61)</f>
        <v>209929</v>
      </c>
    </row>
    <row r="64" spans="2:20" ht="12.75" hidden="1" customHeight="1" outlineLevel="1" x14ac:dyDescent="0.2">
      <c r="B64" s="129" t="s">
        <v>223</v>
      </c>
      <c r="C64" s="118">
        <v>0</v>
      </c>
      <c r="D64" s="118"/>
      <c r="E64" s="118">
        <v>7315</v>
      </c>
      <c r="F64" s="118"/>
      <c r="G64" s="118"/>
      <c r="H64" s="118"/>
      <c r="I64" s="118"/>
      <c r="J64" s="317"/>
      <c r="K64" s="317">
        <v>0</v>
      </c>
      <c r="L64" s="317">
        <v>0</v>
      </c>
      <c r="M64" s="317"/>
      <c r="N64" s="317">
        <v>0</v>
      </c>
      <c r="O64" s="317"/>
      <c r="P64" s="317">
        <v>0</v>
      </c>
      <c r="Q64" s="317">
        <v>0</v>
      </c>
      <c r="R64" s="317">
        <v>0</v>
      </c>
      <c r="S64" s="317">
        <v>0</v>
      </c>
      <c r="T64" s="118">
        <f>SUM(C64:S64)</f>
        <v>7315</v>
      </c>
    </row>
    <row r="65" spans="2:20" ht="12.75" hidden="1" customHeight="1" outlineLevel="1" x14ac:dyDescent="0.2">
      <c r="B65" s="129" t="s">
        <v>224</v>
      </c>
      <c r="C65" s="118">
        <v>0</v>
      </c>
      <c r="D65" s="118"/>
      <c r="E65" s="118">
        <f>-E59-E52</f>
        <v>-1642</v>
      </c>
      <c r="F65" s="118"/>
      <c r="G65" s="118"/>
      <c r="H65" s="118"/>
      <c r="I65" s="118"/>
      <c r="J65" s="317"/>
      <c r="K65" s="317">
        <v>0</v>
      </c>
      <c r="L65" s="317">
        <v>0</v>
      </c>
      <c r="M65" s="317"/>
      <c r="N65" s="317">
        <v>0</v>
      </c>
      <c r="O65" s="317"/>
      <c r="P65" s="317">
        <v>0</v>
      </c>
      <c r="Q65" s="317">
        <v>0</v>
      </c>
      <c r="R65" s="317">
        <v>0</v>
      </c>
      <c r="S65" s="317">
        <v>0</v>
      </c>
      <c r="T65" s="118">
        <f>SUM(C65:S65)</f>
        <v>-1642</v>
      </c>
    </row>
    <row r="66" spans="2:20" ht="12.75" hidden="1" customHeight="1" outlineLevel="1" x14ac:dyDescent="0.2">
      <c r="B66" s="129" t="s">
        <v>383</v>
      </c>
      <c r="C66" s="118">
        <v>0</v>
      </c>
      <c r="D66" s="118"/>
      <c r="E66" s="118">
        <v>0</v>
      </c>
      <c r="F66" s="118"/>
      <c r="G66" s="118"/>
      <c r="H66" s="118"/>
      <c r="I66" s="118"/>
      <c r="J66" s="317"/>
      <c r="K66" s="317"/>
      <c r="L66" s="317">
        <v>-1244</v>
      </c>
      <c r="M66" s="317"/>
      <c r="N66" s="317">
        <v>0</v>
      </c>
      <c r="O66" s="317"/>
      <c r="P66" s="317">
        <v>0</v>
      </c>
      <c r="Q66" s="317">
        <v>0</v>
      </c>
      <c r="R66" s="317"/>
      <c r="S66" s="317">
        <v>0</v>
      </c>
      <c r="T66" s="118">
        <f>SUM(C66:S66)</f>
        <v>-1244</v>
      </c>
    </row>
    <row r="67" spans="2:20" ht="12.75" hidden="1" customHeight="1" outlineLevel="1" x14ac:dyDescent="0.2">
      <c r="B67" s="129" t="s">
        <v>225</v>
      </c>
      <c r="C67" s="118">
        <v>-457</v>
      </c>
      <c r="D67" s="118"/>
      <c r="E67" s="118">
        <v>-51</v>
      </c>
      <c r="F67" s="118"/>
      <c r="G67" s="118"/>
      <c r="H67" s="118"/>
      <c r="I67" s="118"/>
      <c r="J67" s="317"/>
      <c r="K67" s="317">
        <v>0</v>
      </c>
      <c r="L67" s="317">
        <v>128</v>
      </c>
      <c r="M67" s="317"/>
      <c r="N67" s="317">
        <v>343</v>
      </c>
      <c r="O67" s="317"/>
      <c r="P67" s="317">
        <v>657</v>
      </c>
      <c r="Q67" s="317">
        <v>-1448</v>
      </c>
      <c r="R67" s="317">
        <v>0</v>
      </c>
      <c r="S67" s="317">
        <v>0</v>
      </c>
      <c r="T67" s="118">
        <f>SUM(C67:S67)</f>
        <v>-828</v>
      </c>
    </row>
    <row r="68" spans="2:20" ht="12.75" hidden="1" customHeight="1" outlineLevel="1" x14ac:dyDescent="0.2">
      <c r="B68" s="129" t="s">
        <v>230</v>
      </c>
      <c r="C68" s="118">
        <v>0</v>
      </c>
      <c r="D68" s="118"/>
      <c r="E68" s="118">
        <v>0</v>
      </c>
      <c r="F68" s="118"/>
      <c r="G68" s="118"/>
      <c r="H68" s="118"/>
      <c r="I68" s="118"/>
      <c r="J68" s="317"/>
      <c r="K68" s="317">
        <v>0</v>
      </c>
      <c r="L68" s="317">
        <v>0</v>
      </c>
      <c r="M68" s="317"/>
      <c r="N68" s="317">
        <v>0</v>
      </c>
      <c r="O68" s="317"/>
      <c r="P68" s="317">
        <v>391</v>
      </c>
      <c r="Q68" s="317">
        <v>0</v>
      </c>
      <c r="R68" s="317">
        <v>0</v>
      </c>
      <c r="S68" s="317">
        <v>0</v>
      </c>
      <c r="T68" s="118">
        <f>SUM(C68:S68)</f>
        <v>391</v>
      </c>
    </row>
    <row r="69" spans="2:20" collapsed="1" x14ac:dyDescent="0.2">
      <c r="B69" s="126" t="s">
        <v>376</v>
      </c>
      <c r="C69" s="120">
        <v>83402</v>
      </c>
      <c r="D69" s="120">
        <v>0</v>
      </c>
      <c r="E69" s="120">
        <v>28867</v>
      </c>
      <c r="F69" s="120"/>
      <c r="G69" s="120"/>
      <c r="H69" s="120"/>
      <c r="I69" s="120"/>
      <c r="J69" s="315"/>
      <c r="K69" s="315">
        <v>0</v>
      </c>
      <c r="L69" s="315">
        <v>3420</v>
      </c>
      <c r="M69" s="315"/>
      <c r="N69" s="315">
        <v>15624</v>
      </c>
      <c r="O69" s="315"/>
      <c r="P69" s="315">
        <v>1941</v>
      </c>
      <c r="Q69" s="315">
        <v>80667</v>
      </c>
      <c r="R69" s="315">
        <v>0</v>
      </c>
      <c r="S69" s="315">
        <v>0</v>
      </c>
      <c r="T69" s="120">
        <f>SUM(T62:T68)</f>
        <v>213921</v>
      </c>
    </row>
    <row r="71" spans="2:20" ht="12.75" hidden="1" customHeight="1" outlineLevel="1" x14ac:dyDescent="0.2">
      <c r="B71" s="129" t="s">
        <v>223</v>
      </c>
      <c r="C71" s="118">
        <v>0</v>
      </c>
      <c r="D71" s="118"/>
      <c r="E71" s="118">
        <v>4859</v>
      </c>
      <c r="F71" s="118"/>
      <c r="G71" s="118"/>
      <c r="H71" s="118"/>
      <c r="I71" s="118"/>
      <c r="J71" s="317"/>
      <c r="K71" s="317">
        <v>0</v>
      </c>
      <c r="L71" s="317">
        <v>0</v>
      </c>
      <c r="M71" s="317"/>
      <c r="N71" s="317">
        <v>0</v>
      </c>
      <c r="O71" s="317"/>
      <c r="P71" s="317">
        <v>0</v>
      </c>
      <c r="Q71" s="317">
        <v>0</v>
      </c>
      <c r="R71" s="317">
        <v>0</v>
      </c>
      <c r="S71" s="317">
        <v>0</v>
      </c>
      <c r="T71" s="118">
        <f>SUM(C71:S71)</f>
        <v>4859</v>
      </c>
    </row>
    <row r="72" spans="2:20" ht="12.75" hidden="1" customHeight="1" outlineLevel="1" x14ac:dyDescent="0.2">
      <c r="B72" s="129" t="s">
        <v>225</v>
      </c>
      <c r="C72" s="118">
        <v>54</v>
      </c>
      <c r="D72" s="118"/>
      <c r="E72" s="118">
        <v>33</v>
      </c>
      <c r="F72" s="118"/>
      <c r="G72" s="118"/>
      <c r="H72" s="118"/>
      <c r="I72" s="118"/>
      <c r="J72" s="317"/>
      <c r="K72" s="317">
        <v>0</v>
      </c>
      <c r="L72" s="317">
        <v>113</v>
      </c>
      <c r="M72" s="317"/>
      <c r="N72" s="317">
        <v>-1064</v>
      </c>
      <c r="O72" s="317"/>
      <c r="P72" s="317">
        <v>340</v>
      </c>
      <c r="Q72" s="317">
        <v>-7028</v>
      </c>
      <c r="R72" s="317">
        <v>0</v>
      </c>
      <c r="S72" s="317">
        <v>0</v>
      </c>
      <c r="T72" s="118">
        <f>SUM(C72:S72)</f>
        <v>-7552</v>
      </c>
    </row>
    <row r="73" spans="2:20" ht="12.75" hidden="1" customHeight="1" outlineLevel="1" x14ac:dyDescent="0.2">
      <c r="B73" s="129" t="s">
        <v>230</v>
      </c>
      <c r="C73" s="118">
        <v>0</v>
      </c>
      <c r="D73" s="118"/>
      <c r="E73" s="118">
        <v>0</v>
      </c>
      <c r="F73" s="118"/>
      <c r="G73" s="118"/>
      <c r="H73" s="118"/>
      <c r="I73" s="118"/>
      <c r="J73" s="317"/>
      <c r="K73" s="317">
        <v>0</v>
      </c>
      <c r="L73" s="317">
        <v>0</v>
      </c>
      <c r="M73" s="317"/>
      <c r="N73" s="317">
        <v>0</v>
      </c>
      <c r="O73" s="317"/>
      <c r="P73" s="317">
        <v>-37</v>
      </c>
      <c r="Q73" s="317">
        <v>0</v>
      </c>
      <c r="R73" s="317">
        <v>0</v>
      </c>
      <c r="S73" s="317">
        <v>0</v>
      </c>
      <c r="T73" s="118">
        <f>SUM(C73:S73)</f>
        <v>-37</v>
      </c>
    </row>
    <row r="74" spans="2:20" collapsed="1" x14ac:dyDescent="0.2">
      <c r="B74" s="126" t="s">
        <v>413</v>
      </c>
      <c r="C74" s="120">
        <f>SUM(C69:C73)</f>
        <v>83456</v>
      </c>
      <c r="D74" s="120">
        <v>0</v>
      </c>
      <c r="E74" s="120">
        <f>SUM(E69:E73)</f>
        <v>33759</v>
      </c>
      <c r="F74" s="120"/>
      <c r="G74" s="120"/>
      <c r="H74" s="120"/>
      <c r="I74" s="120"/>
      <c r="J74" s="315"/>
      <c r="K74" s="315">
        <f>SUM(K69:K73)</f>
        <v>0</v>
      </c>
      <c r="L74" s="315">
        <f>SUM(L69:L73)</f>
        <v>3533</v>
      </c>
      <c r="M74" s="315"/>
      <c r="N74" s="315">
        <f>SUM(N69:N73)</f>
        <v>14560</v>
      </c>
      <c r="O74" s="315"/>
      <c r="P74" s="315">
        <f>SUM(P69:P73)</f>
        <v>2244</v>
      </c>
      <c r="Q74" s="315">
        <f>SUM(Q69:Q73)</f>
        <v>73639</v>
      </c>
      <c r="R74" s="315">
        <f>SUM(R69:R73)</f>
        <v>0</v>
      </c>
      <c r="S74" s="315">
        <f>SUM(S69:S73)</f>
        <v>0</v>
      </c>
      <c r="T74" s="120">
        <f>SUM(T69:T73)</f>
        <v>211191</v>
      </c>
    </row>
    <row r="76" spans="2:20" ht="12.75" hidden="1" customHeight="1" outlineLevel="1" x14ac:dyDescent="0.2">
      <c r="B76" s="129" t="s">
        <v>223</v>
      </c>
      <c r="C76" s="118">
        <v>0</v>
      </c>
      <c r="D76" s="118"/>
      <c r="E76" s="118">
        <v>4088</v>
      </c>
      <c r="F76" s="118"/>
      <c r="G76" s="118"/>
      <c r="H76" s="118"/>
      <c r="I76" s="118"/>
      <c r="J76" s="317"/>
      <c r="K76" s="317">
        <v>0</v>
      </c>
      <c r="L76" s="317">
        <v>0</v>
      </c>
      <c r="M76" s="317">
        <v>0</v>
      </c>
      <c r="N76" s="317">
        <v>0</v>
      </c>
      <c r="O76" s="317"/>
      <c r="P76" s="317">
        <v>0</v>
      </c>
      <c r="Q76" s="317">
        <v>0</v>
      </c>
      <c r="R76" s="317">
        <v>0</v>
      </c>
      <c r="S76" s="317">
        <v>0</v>
      </c>
      <c r="T76" s="118">
        <f>SUM(C76:S76)</f>
        <v>4088</v>
      </c>
    </row>
    <row r="77" spans="2:20" ht="12.75" hidden="1" customHeight="1" outlineLevel="1" x14ac:dyDescent="0.2">
      <c r="B77" s="129" t="s">
        <v>225</v>
      </c>
      <c r="C77" s="118">
        <v>3268</v>
      </c>
      <c r="D77" s="118"/>
      <c r="E77" s="118">
        <v>-4</v>
      </c>
      <c r="F77" s="118"/>
      <c r="G77" s="118"/>
      <c r="H77" s="118"/>
      <c r="I77" s="118"/>
      <c r="J77" s="317"/>
      <c r="K77" s="317">
        <v>0</v>
      </c>
      <c r="L77" s="317">
        <v>-58</v>
      </c>
      <c r="M77" s="317">
        <v>238</v>
      </c>
      <c r="N77" s="317">
        <v>133</v>
      </c>
      <c r="O77" s="317"/>
      <c r="P77" s="317">
        <v>-739</v>
      </c>
      <c r="Q77" s="317">
        <v>-2904</v>
      </c>
      <c r="R77" s="317">
        <v>0</v>
      </c>
      <c r="S77" s="317">
        <v>0</v>
      </c>
      <c r="T77" s="118">
        <f>SUM(C77:S77)</f>
        <v>-66</v>
      </c>
    </row>
    <row r="78" spans="2:20" ht="12.75" hidden="1" customHeight="1" outlineLevel="1" x14ac:dyDescent="0.2">
      <c r="B78" s="129" t="s">
        <v>230</v>
      </c>
      <c r="C78" s="118">
        <v>0</v>
      </c>
      <c r="D78" s="118"/>
      <c r="E78" s="118">
        <v>0</v>
      </c>
      <c r="F78" s="118"/>
      <c r="G78" s="118"/>
      <c r="H78" s="118"/>
      <c r="I78" s="118"/>
      <c r="J78" s="317"/>
      <c r="K78" s="317">
        <v>0</v>
      </c>
      <c r="L78" s="317">
        <v>0</v>
      </c>
      <c r="M78" s="317">
        <v>0</v>
      </c>
      <c r="N78" s="317">
        <v>0</v>
      </c>
      <c r="O78" s="317"/>
      <c r="P78" s="317">
        <v>-678</v>
      </c>
      <c r="Q78" s="317">
        <v>0</v>
      </c>
      <c r="R78" s="317">
        <v>0</v>
      </c>
      <c r="S78" s="317">
        <v>0</v>
      </c>
      <c r="T78" s="118">
        <f>SUM(C78:S78)</f>
        <v>-678</v>
      </c>
    </row>
    <row r="79" spans="2:20" ht="12.75" hidden="1" customHeight="1" outlineLevel="1" x14ac:dyDescent="0.2">
      <c r="B79" s="129" t="s">
        <v>232</v>
      </c>
      <c r="C79" s="118">
        <v>0</v>
      </c>
      <c r="D79" s="118"/>
      <c r="E79" s="118">
        <v>0</v>
      </c>
      <c r="F79" s="118"/>
      <c r="G79" s="118"/>
      <c r="H79" s="118"/>
      <c r="I79" s="118"/>
      <c r="J79" s="317"/>
      <c r="K79" s="317">
        <v>0</v>
      </c>
      <c r="L79" s="317">
        <v>0</v>
      </c>
      <c r="M79" s="317">
        <v>30398</v>
      </c>
      <c r="N79" s="317">
        <v>0</v>
      </c>
      <c r="O79" s="317"/>
      <c r="P79" s="317">
        <v>0</v>
      </c>
      <c r="Q79" s="317">
        <v>0</v>
      </c>
      <c r="R79" s="317">
        <v>0</v>
      </c>
      <c r="S79" s="317">
        <v>0</v>
      </c>
      <c r="T79" s="118">
        <f>SUM(C79:S79)</f>
        <v>30398</v>
      </c>
    </row>
    <row r="80" spans="2:20" collapsed="1" x14ac:dyDescent="0.2">
      <c r="B80" s="126" t="s">
        <v>475</v>
      </c>
      <c r="C80" s="120">
        <f>SUM(C74:C79)</f>
        <v>86724</v>
      </c>
      <c r="D80" s="120">
        <v>0</v>
      </c>
      <c r="E80" s="120">
        <f>SUM(E74:E79)</f>
        <v>37843</v>
      </c>
      <c r="F80" s="120"/>
      <c r="G80" s="120"/>
      <c r="H80" s="120"/>
      <c r="I80" s="120"/>
      <c r="J80" s="315"/>
      <c r="K80" s="315">
        <f t="shared" ref="K80:T80" si="7">SUM(K74:K79)</f>
        <v>0</v>
      </c>
      <c r="L80" s="315">
        <f>SUM(L74:L79)</f>
        <v>3475</v>
      </c>
      <c r="M80" s="315">
        <f>SUM(M74:M79)</f>
        <v>30636</v>
      </c>
      <c r="N80" s="315">
        <f>SUM(N74:N79)</f>
        <v>14693</v>
      </c>
      <c r="O80" s="315"/>
      <c r="P80" s="315">
        <f t="shared" si="7"/>
        <v>827</v>
      </c>
      <c r="Q80" s="315">
        <f t="shared" si="7"/>
        <v>70735</v>
      </c>
      <c r="R80" s="315">
        <f t="shared" si="7"/>
        <v>0</v>
      </c>
      <c r="S80" s="315">
        <f t="shared" si="7"/>
        <v>0</v>
      </c>
      <c r="T80" s="120">
        <f t="shared" si="7"/>
        <v>244933</v>
      </c>
    </row>
    <row r="82" spans="2:20" ht="12.75" hidden="1" customHeight="1" outlineLevel="1" x14ac:dyDescent="0.2">
      <c r="B82" s="129" t="s">
        <v>223</v>
      </c>
      <c r="C82" s="118">
        <v>0</v>
      </c>
      <c r="D82" s="118"/>
      <c r="E82" s="118">
        <v>18617</v>
      </c>
      <c r="F82" s="118"/>
      <c r="G82" s="118"/>
      <c r="H82" s="118"/>
      <c r="I82" s="118"/>
      <c r="J82" s="317"/>
      <c r="K82" s="317">
        <v>0</v>
      </c>
      <c r="L82" s="317">
        <v>0</v>
      </c>
      <c r="M82" s="317">
        <v>0</v>
      </c>
      <c r="N82" s="317">
        <v>0</v>
      </c>
      <c r="O82" s="317"/>
      <c r="P82" s="317">
        <v>0</v>
      </c>
      <c r="Q82" s="317">
        <v>0</v>
      </c>
      <c r="R82" s="317">
        <v>0</v>
      </c>
      <c r="S82" s="317">
        <v>0</v>
      </c>
      <c r="T82" s="118">
        <f>SUM(C82:S82)</f>
        <v>18617</v>
      </c>
    </row>
    <row r="83" spans="2:20" ht="12.75" hidden="1" customHeight="1" outlineLevel="1" x14ac:dyDescent="0.2">
      <c r="B83" s="129" t="s">
        <v>225</v>
      </c>
      <c r="C83" s="118">
        <v>2242</v>
      </c>
      <c r="D83" s="118"/>
      <c r="E83" s="118">
        <v>338</v>
      </c>
      <c r="F83" s="118"/>
      <c r="G83" s="118"/>
      <c r="H83" s="118"/>
      <c r="I83" s="118"/>
      <c r="J83" s="317"/>
      <c r="K83" s="317">
        <v>0</v>
      </c>
      <c r="L83" s="317">
        <v>-288</v>
      </c>
      <c r="M83" s="317">
        <v>-9</v>
      </c>
      <c r="N83" s="317">
        <v>-268</v>
      </c>
      <c r="O83" s="317"/>
      <c r="P83" s="317">
        <v>-620</v>
      </c>
      <c r="Q83" s="317">
        <v>-2787</v>
      </c>
      <c r="R83" s="317">
        <v>0</v>
      </c>
      <c r="S83" s="317">
        <v>0</v>
      </c>
      <c r="T83" s="118">
        <f>SUM(C83:S83)</f>
        <v>-1392</v>
      </c>
    </row>
    <row r="84" spans="2:20" ht="12.75" hidden="1" customHeight="1" outlineLevel="1" x14ac:dyDescent="0.2">
      <c r="B84" s="129" t="s">
        <v>230</v>
      </c>
      <c r="C84" s="118">
        <v>0</v>
      </c>
      <c r="D84" s="118"/>
      <c r="E84" s="118">
        <v>0</v>
      </c>
      <c r="F84" s="118"/>
      <c r="G84" s="118"/>
      <c r="H84" s="118"/>
      <c r="I84" s="118"/>
      <c r="J84" s="317"/>
      <c r="K84" s="317">
        <v>0</v>
      </c>
      <c r="L84" s="317">
        <v>0</v>
      </c>
      <c r="M84" s="317">
        <v>0</v>
      </c>
      <c r="N84" s="317">
        <v>0</v>
      </c>
      <c r="O84" s="317"/>
      <c r="P84" s="317">
        <v>4</v>
      </c>
      <c r="Q84" s="317">
        <v>0</v>
      </c>
      <c r="R84" s="317">
        <v>0</v>
      </c>
      <c r="S84" s="317">
        <v>0</v>
      </c>
      <c r="T84" s="118">
        <f>SUM(C84:S84)</f>
        <v>4</v>
      </c>
    </row>
    <row r="85" spans="2:20" ht="12.75" hidden="1" customHeight="1" outlineLevel="1" x14ac:dyDescent="0.2">
      <c r="B85" s="129" t="s">
        <v>49</v>
      </c>
      <c r="C85" s="118">
        <v>0</v>
      </c>
      <c r="D85" s="118"/>
      <c r="E85" s="118">
        <v>0</v>
      </c>
      <c r="F85" s="118"/>
      <c r="G85" s="118"/>
      <c r="H85" s="118"/>
      <c r="I85" s="118"/>
      <c r="J85" s="317"/>
      <c r="K85" s="317">
        <v>0</v>
      </c>
      <c r="L85" s="317">
        <v>0</v>
      </c>
      <c r="M85" s="317">
        <v>0</v>
      </c>
      <c r="N85" s="317">
        <v>-315</v>
      </c>
      <c r="O85" s="317"/>
      <c r="P85" s="317">
        <v>0</v>
      </c>
      <c r="Q85" s="317">
        <v>-22</v>
      </c>
      <c r="R85" s="317">
        <v>0</v>
      </c>
      <c r="S85" s="317">
        <v>0</v>
      </c>
      <c r="T85" s="118">
        <f>SUM(C85:S85)</f>
        <v>-337</v>
      </c>
    </row>
    <row r="86" spans="2:20" collapsed="1" x14ac:dyDescent="0.2">
      <c r="B86" s="126" t="s">
        <v>502</v>
      </c>
      <c r="C86" s="120">
        <f>SUM(C80:C85)</f>
        <v>88966</v>
      </c>
      <c r="D86" s="120">
        <v>0</v>
      </c>
      <c r="E86" s="120">
        <f>SUM(E80:E85)</f>
        <v>56798</v>
      </c>
      <c r="F86" s="120"/>
      <c r="G86" s="120"/>
      <c r="H86" s="120"/>
      <c r="I86" s="120"/>
      <c r="J86" s="315"/>
      <c r="K86" s="315">
        <f>SUM(K80:K85)</f>
        <v>0</v>
      </c>
      <c r="L86" s="315">
        <f>SUM(L80:L85)</f>
        <v>3187</v>
      </c>
      <c r="M86" s="315">
        <f>SUM(M80:M84)</f>
        <v>30627</v>
      </c>
      <c r="N86" s="315">
        <f>SUM(N80:N85)</f>
        <v>14110</v>
      </c>
      <c r="O86" s="315"/>
      <c r="P86" s="315">
        <f>SUM(P80:P85)</f>
        <v>211</v>
      </c>
      <c r="Q86" s="315">
        <f>SUM(Q80:Q85)</f>
        <v>67926</v>
      </c>
      <c r="R86" s="315">
        <f>SUM(R80:R85)</f>
        <v>0</v>
      </c>
      <c r="S86" s="315">
        <f>SUM(S80:S85)</f>
        <v>0</v>
      </c>
      <c r="T86" s="120">
        <f>SUM(T80:T85)</f>
        <v>261825</v>
      </c>
    </row>
    <row r="88" spans="2:20" ht="12.75" hidden="1" customHeight="1" outlineLevel="1" x14ac:dyDescent="0.2">
      <c r="B88" s="129" t="s">
        <v>223</v>
      </c>
      <c r="C88" s="118">
        <v>0</v>
      </c>
      <c r="D88" s="118"/>
      <c r="E88" s="118">
        <v>6000</v>
      </c>
      <c r="F88" s="118"/>
      <c r="G88" s="118"/>
      <c r="H88" s="118"/>
      <c r="I88" s="118"/>
      <c r="J88" s="317"/>
      <c r="K88" s="317">
        <v>0</v>
      </c>
      <c r="L88" s="317">
        <v>0</v>
      </c>
      <c r="M88" s="317">
        <v>0</v>
      </c>
      <c r="N88" s="317">
        <v>0</v>
      </c>
      <c r="O88" s="317"/>
      <c r="P88" s="317">
        <v>0</v>
      </c>
      <c r="Q88" s="317">
        <v>0</v>
      </c>
      <c r="R88" s="317">
        <v>0</v>
      </c>
      <c r="S88" s="317">
        <v>0</v>
      </c>
      <c r="T88" s="118">
        <f>SUM(C88:S88)</f>
        <v>6000</v>
      </c>
    </row>
    <row r="89" spans="2:20" ht="12.75" hidden="1" customHeight="1" outlineLevel="1" x14ac:dyDescent="0.2">
      <c r="B89" s="129" t="s">
        <v>225</v>
      </c>
      <c r="C89" s="118">
        <v>1809</v>
      </c>
      <c r="D89" s="118"/>
      <c r="E89" s="118">
        <v>171</v>
      </c>
      <c r="F89" s="118"/>
      <c r="G89" s="118"/>
      <c r="H89" s="118"/>
      <c r="I89" s="118"/>
      <c r="J89" s="317"/>
      <c r="K89" s="317">
        <v>0</v>
      </c>
      <c r="L89" s="317">
        <v>-19</v>
      </c>
      <c r="M89" s="317">
        <v>142</v>
      </c>
      <c r="N89" s="317">
        <v>-147</v>
      </c>
      <c r="O89" s="317"/>
      <c r="P89" s="317"/>
      <c r="Q89" s="317">
        <v>-1692</v>
      </c>
      <c r="R89" s="317">
        <v>0</v>
      </c>
      <c r="S89" s="317">
        <v>0</v>
      </c>
      <c r="T89" s="118">
        <f>SUM(C89:S89)</f>
        <v>264</v>
      </c>
    </row>
    <row r="90" spans="2:20" collapsed="1" x14ac:dyDescent="0.2">
      <c r="B90" s="126" t="s">
        <v>518</v>
      </c>
      <c r="C90" s="120">
        <f>SUM(C86:C89)</f>
        <v>90775</v>
      </c>
      <c r="D90" s="120">
        <v>0</v>
      </c>
      <c r="E90" s="120">
        <f>SUM(E86:E89)</f>
        <v>62969</v>
      </c>
      <c r="F90" s="120"/>
      <c r="G90" s="120"/>
      <c r="H90" s="120"/>
      <c r="I90" s="120"/>
      <c r="J90" s="315"/>
      <c r="K90" s="315">
        <f t="shared" ref="K90:T90" si="8">SUM(K86:K89)</f>
        <v>0</v>
      </c>
      <c r="L90" s="315">
        <f>SUM(L86:L89)</f>
        <v>3168</v>
      </c>
      <c r="M90" s="315">
        <f>SUM(M86:M89)</f>
        <v>30769</v>
      </c>
      <c r="N90" s="315">
        <f>SUM(N86:N89)</f>
        <v>13963</v>
      </c>
      <c r="O90" s="315"/>
      <c r="P90" s="315">
        <f t="shared" si="8"/>
        <v>211</v>
      </c>
      <c r="Q90" s="315">
        <f t="shared" si="8"/>
        <v>66234</v>
      </c>
      <c r="R90" s="315">
        <f t="shared" si="8"/>
        <v>0</v>
      </c>
      <c r="S90" s="315">
        <f t="shared" si="8"/>
        <v>0</v>
      </c>
      <c r="T90" s="120">
        <f t="shared" si="8"/>
        <v>268089</v>
      </c>
    </row>
    <row r="91" spans="2:20" x14ac:dyDescent="0.2">
      <c r="D91" s="154"/>
    </row>
    <row r="92" spans="2:20" ht="12.75" hidden="1" customHeight="1" outlineLevel="1" x14ac:dyDescent="0.2">
      <c r="B92" s="129" t="s">
        <v>223</v>
      </c>
      <c r="C92" s="118">
        <v>0</v>
      </c>
      <c r="D92" s="118"/>
      <c r="E92" s="118">
        <v>0</v>
      </c>
      <c r="F92" s="118"/>
      <c r="G92" s="118"/>
      <c r="H92" s="118"/>
      <c r="I92" s="118"/>
      <c r="J92" s="317"/>
      <c r="K92" s="317">
        <v>0</v>
      </c>
      <c r="L92" s="317">
        <v>0</v>
      </c>
      <c r="M92" s="317">
        <v>0</v>
      </c>
      <c r="N92" s="317">
        <v>0</v>
      </c>
      <c r="O92" s="317"/>
      <c r="P92" s="317">
        <v>0</v>
      </c>
      <c r="Q92" s="317">
        <v>0</v>
      </c>
      <c r="R92" s="317">
        <v>0</v>
      </c>
      <c r="S92" s="317">
        <v>0</v>
      </c>
      <c r="T92" s="118">
        <f>SUM(C92:S92)</f>
        <v>0</v>
      </c>
    </row>
    <row r="93" spans="2:20" ht="12.75" hidden="1" customHeight="1" outlineLevel="1" x14ac:dyDescent="0.2">
      <c r="B93" s="129" t="s">
        <v>228</v>
      </c>
      <c r="C93" s="118">
        <v>0</v>
      </c>
      <c r="D93" s="118"/>
      <c r="E93" s="118">
        <v>0</v>
      </c>
      <c r="F93" s="118"/>
      <c r="G93" s="118"/>
      <c r="H93" s="118"/>
      <c r="I93" s="118"/>
      <c r="J93" s="317"/>
      <c r="K93" s="317">
        <v>0</v>
      </c>
      <c r="L93" s="317">
        <v>0</v>
      </c>
      <c r="M93" s="317">
        <v>0</v>
      </c>
      <c r="N93" s="317">
        <v>0</v>
      </c>
      <c r="O93" s="317"/>
      <c r="P93" s="317">
        <v>196</v>
      </c>
      <c r="Q93" s="317">
        <v>0</v>
      </c>
      <c r="R93" s="317">
        <v>0</v>
      </c>
      <c r="S93" s="317">
        <v>0</v>
      </c>
      <c r="T93" s="118">
        <f>SUM(C93:S93)</f>
        <v>196</v>
      </c>
    </row>
    <row r="94" spans="2:20" ht="12.75" hidden="1" customHeight="1" outlineLevel="1" x14ac:dyDescent="0.2">
      <c r="B94" s="129" t="s">
        <v>225</v>
      </c>
      <c r="C94" s="118">
        <v>2589</v>
      </c>
      <c r="D94" s="118"/>
      <c r="E94" s="118">
        <v>-1022</v>
      </c>
      <c r="F94" s="118"/>
      <c r="G94" s="118"/>
      <c r="H94" s="118"/>
      <c r="I94" s="118"/>
      <c r="J94" s="317"/>
      <c r="K94" s="317">
        <v>0</v>
      </c>
      <c r="L94" s="317">
        <v>-169</v>
      </c>
      <c r="M94" s="317">
        <v>-633</v>
      </c>
      <c r="N94" s="317">
        <v>62</v>
      </c>
      <c r="O94" s="317"/>
      <c r="P94" s="317">
        <v>-297</v>
      </c>
      <c r="Q94" s="317">
        <v>-2274</v>
      </c>
      <c r="R94" s="317">
        <v>0</v>
      </c>
      <c r="S94" s="317">
        <v>0</v>
      </c>
      <c r="T94" s="118">
        <f>SUM(C94:S94)</f>
        <v>-1744</v>
      </c>
    </row>
    <row r="95" spans="2:20" ht="12.75" hidden="1" customHeight="1" outlineLevel="1" x14ac:dyDescent="0.2">
      <c r="B95" s="129" t="s">
        <v>230</v>
      </c>
      <c r="C95" s="118">
        <v>0</v>
      </c>
      <c r="D95" s="118"/>
      <c r="E95" s="118">
        <v>0</v>
      </c>
      <c r="F95" s="118"/>
      <c r="G95" s="118"/>
      <c r="H95" s="118"/>
      <c r="I95" s="118"/>
      <c r="J95" s="317"/>
      <c r="K95" s="317">
        <v>0</v>
      </c>
      <c r="L95" s="317">
        <v>0</v>
      </c>
      <c r="M95" s="317">
        <v>0</v>
      </c>
      <c r="N95" s="317">
        <v>0</v>
      </c>
      <c r="O95" s="317"/>
      <c r="P95" s="317">
        <v>-110</v>
      </c>
      <c r="Q95" s="317">
        <v>0</v>
      </c>
      <c r="R95" s="317">
        <v>0</v>
      </c>
      <c r="S95" s="317">
        <v>0</v>
      </c>
      <c r="T95" s="118">
        <f>SUM(C95:S95)</f>
        <v>-110</v>
      </c>
    </row>
    <row r="96" spans="2:20" ht="12.75" hidden="1" customHeight="1" outlineLevel="1" x14ac:dyDescent="0.2">
      <c r="B96" s="129" t="s">
        <v>49</v>
      </c>
      <c r="C96" s="118">
        <v>0</v>
      </c>
      <c r="D96" s="118"/>
      <c r="E96" s="118">
        <v>0</v>
      </c>
      <c r="F96" s="118"/>
      <c r="G96" s="118"/>
      <c r="H96" s="118"/>
      <c r="I96" s="118"/>
      <c r="J96" s="317"/>
      <c r="K96" s="317">
        <v>0</v>
      </c>
      <c r="L96" s="317">
        <v>0</v>
      </c>
      <c r="M96" s="317">
        <v>0</v>
      </c>
      <c r="N96" s="317">
        <v>0</v>
      </c>
      <c r="O96" s="317"/>
      <c r="P96" s="317">
        <v>0</v>
      </c>
      <c r="Q96" s="317">
        <v>-1</v>
      </c>
      <c r="R96" s="317">
        <v>0</v>
      </c>
      <c r="S96" s="317">
        <v>0</v>
      </c>
      <c r="T96" s="118">
        <f>SUM(C96:S96)</f>
        <v>-1</v>
      </c>
    </row>
    <row r="97" spans="1:20" collapsed="1" x14ac:dyDescent="0.2">
      <c r="B97" s="126" t="s">
        <v>554</v>
      </c>
      <c r="C97" s="120">
        <f>SUM(C90:C96)</f>
        <v>93364</v>
      </c>
      <c r="D97" s="120">
        <v>0</v>
      </c>
      <c r="E97" s="120">
        <f>SUM(E90:E96)</f>
        <v>61947</v>
      </c>
      <c r="F97" s="120"/>
      <c r="G97" s="120"/>
      <c r="H97" s="120"/>
      <c r="I97" s="120"/>
      <c r="J97" s="315"/>
      <c r="K97" s="315">
        <f t="shared" ref="K97:T97" si="9">SUM(K90:K96)</f>
        <v>0</v>
      </c>
      <c r="L97" s="315">
        <f>SUM(L90:L96)</f>
        <v>2999</v>
      </c>
      <c r="M97" s="315">
        <f>SUM(M90:M96)</f>
        <v>30136</v>
      </c>
      <c r="N97" s="315">
        <f>SUM(N90:N96)</f>
        <v>14025</v>
      </c>
      <c r="O97" s="315"/>
      <c r="P97" s="315">
        <f t="shared" si="9"/>
        <v>0</v>
      </c>
      <c r="Q97" s="315">
        <f t="shared" si="9"/>
        <v>63959</v>
      </c>
      <c r="R97" s="315">
        <f t="shared" si="9"/>
        <v>0</v>
      </c>
      <c r="S97" s="315">
        <f t="shared" si="9"/>
        <v>0</v>
      </c>
      <c r="T97" s="120">
        <f t="shared" si="9"/>
        <v>266430</v>
      </c>
    </row>
    <row r="99" spans="1:20" ht="12.75" hidden="1" customHeight="1" outlineLevel="1" x14ac:dyDescent="0.2">
      <c r="B99" s="129" t="s">
        <v>223</v>
      </c>
      <c r="C99" s="118">
        <v>0</v>
      </c>
      <c r="D99" s="118"/>
      <c r="E99" s="118">
        <v>500</v>
      </c>
      <c r="F99" s="118"/>
      <c r="G99" s="118"/>
      <c r="H99" s="118"/>
      <c r="I99" s="118"/>
      <c r="J99" s="317"/>
      <c r="K99" s="317">
        <v>0</v>
      </c>
      <c r="L99" s="317">
        <v>0</v>
      </c>
      <c r="M99" s="317">
        <v>0</v>
      </c>
      <c r="N99" s="317">
        <v>0</v>
      </c>
      <c r="O99" s="317"/>
      <c r="P99" s="317">
        <v>0</v>
      </c>
      <c r="Q99" s="317">
        <v>0</v>
      </c>
      <c r="R99" s="317">
        <v>0</v>
      </c>
      <c r="S99" s="317">
        <v>0</v>
      </c>
      <c r="T99" s="118">
        <f>SUM(C99:S99)</f>
        <v>500</v>
      </c>
    </row>
    <row r="100" spans="1:20" ht="12.75" hidden="1" customHeight="1" outlineLevel="1" x14ac:dyDescent="0.2">
      <c r="B100" s="129" t="s">
        <v>600</v>
      </c>
      <c r="C100" s="118">
        <v>0</v>
      </c>
      <c r="D100" s="118"/>
      <c r="E100" s="118">
        <v>0</v>
      </c>
      <c r="F100" s="118"/>
      <c r="G100" s="118"/>
      <c r="H100" s="118"/>
      <c r="I100" s="118"/>
      <c r="J100" s="317"/>
      <c r="K100" s="317">
        <v>0</v>
      </c>
      <c r="L100" s="317">
        <v>0</v>
      </c>
      <c r="M100" s="317">
        <v>308</v>
      </c>
      <c r="N100" s="317">
        <v>0</v>
      </c>
      <c r="O100" s="317"/>
      <c r="P100" s="317">
        <v>0</v>
      </c>
      <c r="Q100" s="317">
        <v>0</v>
      </c>
      <c r="R100" s="317">
        <v>0</v>
      </c>
      <c r="S100" s="317">
        <v>0</v>
      </c>
      <c r="T100" s="118">
        <f>SUM(C100:S100)</f>
        <v>308</v>
      </c>
    </row>
    <row r="101" spans="1:20" ht="12.75" hidden="1" customHeight="1" outlineLevel="1" x14ac:dyDescent="0.2">
      <c r="B101" s="129" t="s">
        <v>225</v>
      </c>
      <c r="C101" s="118">
        <v>3504</v>
      </c>
      <c r="D101" s="118"/>
      <c r="E101" s="118">
        <v>145</v>
      </c>
      <c r="F101" s="118"/>
      <c r="G101" s="118"/>
      <c r="H101" s="118"/>
      <c r="I101" s="118"/>
      <c r="J101" s="317"/>
      <c r="K101" s="317">
        <v>0</v>
      </c>
      <c r="L101" s="317">
        <v>215</v>
      </c>
      <c r="M101" s="317">
        <v>-307</v>
      </c>
      <c r="N101" s="317">
        <v>0</v>
      </c>
      <c r="O101" s="317"/>
      <c r="P101" s="317">
        <v>-58</v>
      </c>
      <c r="Q101" s="317">
        <v>-2601</v>
      </c>
      <c r="R101" s="317">
        <v>0</v>
      </c>
      <c r="S101" s="317">
        <v>0</v>
      </c>
      <c r="T101" s="118">
        <f>SUM(C101:S101)</f>
        <v>898</v>
      </c>
    </row>
    <row r="102" spans="1:20" ht="12.75" hidden="1" customHeight="1" outlineLevel="1" x14ac:dyDescent="0.2">
      <c r="B102" s="129" t="s">
        <v>230</v>
      </c>
      <c r="C102" s="118">
        <v>0</v>
      </c>
      <c r="D102" s="118"/>
      <c r="E102" s="118">
        <v>0</v>
      </c>
      <c r="F102" s="118"/>
      <c r="G102" s="118"/>
      <c r="H102" s="118"/>
      <c r="I102" s="118"/>
      <c r="J102" s="317"/>
      <c r="K102" s="317">
        <v>0</v>
      </c>
      <c r="L102" s="317">
        <v>0</v>
      </c>
      <c r="M102" s="317">
        <v>-1</v>
      </c>
      <c r="N102" s="317">
        <v>0</v>
      </c>
      <c r="O102" s="317"/>
      <c r="P102" s="317">
        <v>0</v>
      </c>
      <c r="Q102" s="317">
        <v>0</v>
      </c>
      <c r="R102" s="317">
        <v>0</v>
      </c>
      <c r="S102" s="317">
        <v>0</v>
      </c>
      <c r="T102" s="118">
        <f>SUM(C102:S102)</f>
        <v>-1</v>
      </c>
    </row>
    <row r="103" spans="1:20" collapsed="1" x14ac:dyDescent="0.2">
      <c r="B103" s="126" t="s">
        <v>568</v>
      </c>
      <c r="C103" s="120">
        <f>SUM(C97:C102)</f>
        <v>96868</v>
      </c>
      <c r="D103" s="120">
        <v>0</v>
      </c>
      <c r="E103" s="120">
        <f>SUM(E97:E102)</f>
        <v>62592</v>
      </c>
      <c r="F103" s="120"/>
      <c r="G103" s="120"/>
      <c r="H103" s="120"/>
      <c r="I103" s="120"/>
      <c r="J103" s="315"/>
      <c r="K103" s="315">
        <f>SUM(K97:K102)</f>
        <v>0</v>
      </c>
      <c r="L103" s="315">
        <f>SUM(L97:L102)</f>
        <v>3214</v>
      </c>
      <c r="M103" s="315">
        <f>SUM(M97:M102)</f>
        <v>30136</v>
      </c>
      <c r="N103" s="315">
        <f>SUM(N97:N102)</f>
        <v>14025</v>
      </c>
      <c r="O103" s="315"/>
      <c r="P103" s="315">
        <f>SUM(P97:P102)</f>
        <v>-58</v>
      </c>
      <c r="Q103" s="315">
        <f>SUM(Q97:Q102)</f>
        <v>61358</v>
      </c>
      <c r="R103" s="315">
        <f>SUM(R97:R102)</f>
        <v>0</v>
      </c>
      <c r="S103" s="315">
        <f>SUM(S97:S102)</f>
        <v>0</v>
      </c>
      <c r="T103" s="120">
        <f>SUM(T97:T102)</f>
        <v>268135</v>
      </c>
    </row>
    <row r="104" spans="1:20" s="600" customFormat="1" x14ac:dyDescent="0.2">
      <c r="A104"/>
      <c r="B104" s="601"/>
      <c r="C104" s="602"/>
      <c r="D104" s="602"/>
      <c r="E104" s="602"/>
      <c r="F104" s="602"/>
      <c r="G104" s="602"/>
      <c r="H104" s="602"/>
      <c r="I104" s="602"/>
      <c r="J104" s="603"/>
      <c r="K104" s="603"/>
      <c r="L104" s="603"/>
      <c r="M104" s="603"/>
      <c r="N104" s="603"/>
      <c r="O104" s="603"/>
      <c r="P104" s="603"/>
      <c r="Q104" s="603"/>
      <c r="R104" s="603"/>
      <c r="S104" s="603"/>
      <c r="T104" s="602"/>
    </row>
    <row r="105" spans="1:20" ht="12.75" hidden="1" customHeight="1" outlineLevel="1" x14ac:dyDescent="0.2">
      <c r="B105" s="129" t="s">
        <v>223</v>
      </c>
      <c r="C105" s="118">
        <v>0</v>
      </c>
      <c r="D105" s="118">
        <v>0</v>
      </c>
      <c r="E105" s="118">
        <v>0</v>
      </c>
      <c r="F105" s="118">
        <v>0</v>
      </c>
      <c r="G105" s="118">
        <v>0</v>
      </c>
      <c r="H105" s="118"/>
      <c r="I105" s="118"/>
      <c r="J105" s="118"/>
      <c r="K105" s="118">
        <v>0</v>
      </c>
      <c r="L105" s="118">
        <v>0</v>
      </c>
      <c r="M105" s="118">
        <v>0</v>
      </c>
      <c r="N105" s="118">
        <v>0</v>
      </c>
      <c r="O105" s="118"/>
      <c r="P105" s="118">
        <v>0</v>
      </c>
      <c r="Q105" s="317">
        <v>0</v>
      </c>
      <c r="R105" s="317">
        <v>0</v>
      </c>
      <c r="S105" s="317">
        <v>0</v>
      </c>
      <c r="T105" s="118">
        <f>SUM(C105:S105)</f>
        <v>0</v>
      </c>
    </row>
    <row r="106" spans="1:20" ht="12.75" hidden="1" customHeight="1" outlineLevel="1" x14ac:dyDescent="0.2">
      <c r="B106" s="129" t="s">
        <v>600</v>
      </c>
      <c r="C106" s="118">
        <v>0</v>
      </c>
      <c r="D106" s="118">
        <v>0</v>
      </c>
      <c r="E106" s="118">
        <v>0</v>
      </c>
      <c r="F106" s="118">
        <v>0</v>
      </c>
      <c r="G106" s="118">
        <v>0</v>
      </c>
      <c r="H106" s="118"/>
      <c r="I106" s="118"/>
      <c r="J106" s="118"/>
      <c r="K106" s="118">
        <v>0</v>
      </c>
      <c r="L106" s="118">
        <v>0</v>
      </c>
      <c r="M106" s="118">
        <v>-308</v>
      </c>
      <c r="N106" s="118">
        <v>0</v>
      </c>
      <c r="O106" s="118"/>
      <c r="P106" s="118">
        <v>-424</v>
      </c>
      <c r="Q106" s="317">
        <v>0</v>
      </c>
      <c r="R106" s="317">
        <v>0</v>
      </c>
      <c r="S106" s="317">
        <v>0</v>
      </c>
      <c r="T106" s="118">
        <f>SUM(C106:S106)</f>
        <v>-732</v>
      </c>
    </row>
    <row r="107" spans="1:20" ht="12.75" hidden="1" customHeight="1" outlineLevel="1" x14ac:dyDescent="0.2">
      <c r="B107" s="129" t="s">
        <v>225</v>
      </c>
      <c r="C107" s="118">
        <v>595</v>
      </c>
      <c r="D107" s="118">
        <v>0</v>
      </c>
      <c r="E107" s="118">
        <v>623</v>
      </c>
      <c r="F107" s="118">
        <v>0</v>
      </c>
      <c r="G107" s="118">
        <v>0</v>
      </c>
      <c r="H107" s="118"/>
      <c r="I107" s="118"/>
      <c r="J107" s="118"/>
      <c r="K107" s="118">
        <v>0</v>
      </c>
      <c r="L107" s="118">
        <v>-1139</v>
      </c>
      <c r="M107" s="118">
        <v>223</v>
      </c>
      <c r="N107" s="118">
        <v>283</v>
      </c>
      <c r="O107" s="118"/>
      <c r="P107" s="118">
        <v>279</v>
      </c>
      <c r="Q107" s="317">
        <v>7372</v>
      </c>
      <c r="R107" s="317">
        <v>0</v>
      </c>
      <c r="S107" s="317">
        <v>0</v>
      </c>
      <c r="T107" s="118">
        <f>SUM(C107:S107)</f>
        <v>8236</v>
      </c>
    </row>
    <row r="108" spans="1:20" ht="12.75" hidden="1" customHeight="1" outlineLevel="1" x14ac:dyDescent="0.2">
      <c r="B108" s="129" t="s">
        <v>230</v>
      </c>
      <c r="C108" s="118">
        <v>0</v>
      </c>
      <c r="D108" s="118">
        <v>0</v>
      </c>
      <c r="E108" s="118">
        <v>0</v>
      </c>
      <c r="F108" s="118">
        <v>0</v>
      </c>
      <c r="G108" s="118">
        <v>0</v>
      </c>
      <c r="H108" s="118"/>
      <c r="I108" s="118"/>
      <c r="J108" s="118"/>
      <c r="K108" s="118">
        <v>0</v>
      </c>
      <c r="L108" s="118">
        <v>0</v>
      </c>
      <c r="M108" s="118">
        <v>1</v>
      </c>
      <c r="N108" s="118">
        <v>0</v>
      </c>
      <c r="O108" s="118"/>
      <c r="P108" s="118">
        <v>203</v>
      </c>
      <c r="Q108" s="317">
        <v>0</v>
      </c>
      <c r="R108" s="317">
        <v>0</v>
      </c>
      <c r="S108" s="317">
        <v>0</v>
      </c>
      <c r="T108" s="118">
        <f>SUM(C108:S108)</f>
        <v>204</v>
      </c>
    </row>
    <row r="109" spans="1:20" ht="12.75" hidden="1" customHeight="1" outlineLevel="1" x14ac:dyDescent="0.2">
      <c r="B109" s="129" t="s">
        <v>49</v>
      </c>
      <c r="C109" s="118">
        <v>0</v>
      </c>
      <c r="D109" s="118">
        <v>0</v>
      </c>
      <c r="E109" s="118">
        <v>0</v>
      </c>
      <c r="F109" s="118">
        <v>0</v>
      </c>
      <c r="G109" s="118">
        <v>0</v>
      </c>
      <c r="H109" s="118"/>
      <c r="I109" s="118"/>
      <c r="J109" s="118"/>
      <c r="K109" s="118" t="s">
        <v>160</v>
      </c>
      <c r="L109" s="118">
        <v>-735</v>
      </c>
      <c r="M109" s="118">
        <v>0</v>
      </c>
      <c r="N109" s="118">
        <v>0</v>
      </c>
      <c r="O109" s="118"/>
      <c r="P109" s="118">
        <v>0</v>
      </c>
      <c r="Q109" s="118">
        <v>0</v>
      </c>
      <c r="R109" s="118" t="s">
        <v>160</v>
      </c>
      <c r="S109" s="118" t="s">
        <v>160</v>
      </c>
      <c r="T109" s="118">
        <f>SUM(C109:S109)</f>
        <v>-735</v>
      </c>
    </row>
    <row r="110" spans="1:20" collapsed="1" x14ac:dyDescent="0.2">
      <c r="A110" s="153"/>
      <c r="B110" s="126" t="s">
        <v>577</v>
      </c>
      <c r="C110" s="120">
        <f>SUM(C103:C109)</f>
        <v>97463</v>
      </c>
      <c r="D110" s="120">
        <v>0</v>
      </c>
      <c r="E110" s="120">
        <f>SUM(E103:E109)</f>
        <v>63215</v>
      </c>
      <c r="F110" s="120">
        <v>0</v>
      </c>
      <c r="G110" s="120">
        <v>0</v>
      </c>
      <c r="H110" s="120"/>
      <c r="I110" s="120"/>
      <c r="J110" s="315"/>
      <c r="K110" s="315">
        <f t="shared" ref="K110:T110" si="10">SUM(K103:K109)</f>
        <v>0</v>
      </c>
      <c r="L110" s="315">
        <f>SUM(L103:L109)</f>
        <v>1340</v>
      </c>
      <c r="M110" s="315">
        <f>SUM(M103:M109)</f>
        <v>30052</v>
      </c>
      <c r="N110" s="315">
        <f>SUM(N103:N109)</f>
        <v>14308</v>
      </c>
      <c r="O110" s="315"/>
      <c r="P110" s="315">
        <f t="shared" si="10"/>
        <v>0</v>
      </c>
      <c r="Q110" s="315">
        <f t="shared" si="10"/>
        <v>68730</v>
      </c>
      <c r="R110" s="315">
        <f t="shared" si="10"/>
        <v>0</v>
      </c>
      <c r="S110" s="315">
        <f t="shared" si="10"/>
        <v>0</v>
      </c>
      <c r="T110" s="120">
        <f t="shared" si="10"/>
        <v>275108</v>
      </c>
    </row>
    <row r="111" spans="1:20" s="600" customFormat="1" x14ac:dyDescent="0.2">
      <c r="A111" s="149"/>
      <c r="B111" s="601"/>
      <c r="C111" s="601"/>
      <c r="D111" s="601"/>
      <c r="E111" s="601"/>
      <c r="F111" s="601"/>
      <c r="G111" s="601"/>
      <c r="H111" s="601"/>
      <c r="I111" s="601"/>
      <c r="J111" s="601"/>
      <c r="K111" s="601"/>
      <c r="L111" s="601"/>
      <c r="M111" s="601"/>
      <c r="N111" s="601"/>
      <c r="O111" s="601"/>
      <c r="P111" s="601"/>
      <c r="Q111" s="601"/>
      <c r="R111" s="601"/>
      <c r="S111" s="601"/>
      <c r="T111" s="601"/>
    </row>
    <row r="112" spans="1:20" ht="12.75" hidden="1" customHeight="1" outlineLevel="1" x14ac:dyDescent="0.2">
      <c r="B112" s="129" t="s">
        <v>681</v>
      </c>
      <c r="C112" s="118">
        <v>0</v>
      </c>
      <c r="D112" s="118">
        <v>0</v>
      </c>
      <c r="E112" s="118">
        <v>0</v>
      </c>
      <c r="F112" s="118">
        <v>0</v>
      </c>
      <c r="G112" s="118">
        <v>0</v>
      </c>
      <c r="H112" s="118"/>
      <c r="I112" s="118"/>
      <c r="J112" s="118"/>
      <c r="K112" s="118">
        <v>0</v>
      </c>
      <c r="L112" s="118">
        <v>0</v>
      </c>
      <c r="M112" s="118">
        <v>0</v>
      </c>
      <c r="N112" s="118">
        <v>0</v>
      </c>
      <c r="O112" s="118"/>
      <c r="P112" s="118">
        <v>-196</v>
      </c>
      <c r="Q112" s="118">
        <v>0</v>
      </c>
      <c r="R112" s="118">
        <v>0</v>
      </c>
      <c r="S112" s="118">
        <v>0</v>
      </c>
      <c r="T112" s="118">
        <f>SUM(C112:S112)</f>
        <v>-196</v>
      </c>
    </row>
    <row r="113" spans="1:20" ht="12.75" hidden="1" customHeight="1" outlineLevel="1" x14ac:dyDescent="0.2">
      <c r="A113" s="153"/>
      <c r="B113" s="129" t="s">
        <v>223</v>
      </c>
      <c r="C113" s="118">
        <v>0</v>
      </c>
      <c r="D113" s="118">
        <v>0</v>
      </c>
      <c r="E113" s="118">
        <v>0</v>
      </c>
      <c r="F113" s="118">
        <v>0</v>
      </c>
      <c r="G113" s="118">
        <v>0</v>
      </c>
      <c r="H113" s="118"/>
      <c r="I113" s="118"/>
      <c r="J113" s="317"/>
      <c r="K113" s="317">
        <v>0</v>
      </c>
      <c r="L113" s="317">
        <v>0</v>
      </c>
      <c r="M113" s="317">
        <v>0</v>
      </c>
      <c r="N113" s="317">
        <v>0</v>
      </c>
      <c r="O113" s="317"/>
      <c r="P113" s="317">
        <v>0</v>
      </c>
      <c r="Q113" s="317">
        <v>0</v>
      </c>
      <c r="R113" s="317">
        <v>0</v>
      </c>
      <c r="S113" s="317">
        <v>0</v>
      </c>
      <c r="T113" s="118">
        <v>0</v>
      </c>
    </row>
    <row r="114" spans="1:20" ht="12.75" hidden="1" customHeight="1" outlineLevel="1" x14ac:dyDescent="0.2">
      <c r="A114" s="153"/>
      <c r="B114" s="129" t="s">
        <v>600</v>
      </c>
      <c r="C114" s="118">
        <v>0</v>
      </c>
      <c r="D114" s="118">
        <v>0</v>
      </c>
      <c r="E114" s="118">
        <v>0</v>
      </c>
      <c r="F114" s="118">
        <v>0</v>
      </c>
      <c r="G114" s="118">
        <v>0</v>
      </c>
      <c r="H114" s="118"/>
      <c r="I114" s="118"/>
      <c r="J114" s="317"/>
      <c r="K114" s="317">
        <v>0</v>
      </c>
      <c r="L114" s="317">
        <v>0</v>
      </c>
      <c r="M114" s="317">
        <v>0</v>
      </c>
      <c r="N114" s="317">
        <v>0</v>
      </c>
      <c r="O114" s="317"/>
      <c r="P114" s="317">
        <v>1107</v>
      </c>
      <c r="Q114" s="317">
        <v>0</v>
      </c>
      <c r="R114" s="317">
        <v>0</v>
      </c>
      <c r="S114" s="317">
        <v>0</v>
      </c>
      <c r="T114" s="118">
        <v>1107</v>
      </c>
    </row>
    <row r="115" spans="1:20" ht="12.75" hidden="1" customHeight="1" outlineLevel="1" x14ac:dyDescent="0.2">
      <c r="A115" s="153"/>
      <c r="B115" s="129" t="s">
        <v>225</v>
      </c>
      <c r="C115" s="118">
        <v>1729</v>
      </c>
      <c r="D115" s="118">
        <v>0</v>
      </c>
      <c r="E115" s="118">
        <v>464</v>
      </c>
      <c r="F115" s="118">
        <v>0</v>
      </c>
      <c r="G115" s="118">
        <v>0</v>
      </c>
      <c r="H115" s="118"/>
      <c r="I115" s="118"/>
      <c r="J115" s="317"/>
      <c r="K115" s="317">
        <v>0</v>
      </c>
      <c r="L115" s="317">
        <v>42</v>
      </c>
      <c r="M115" s="317">
        <v>-3397</v>
      </c>
      <c r="N115" s="317">
        <v>57</v>
      </c>
      <c r="O115" s="317"/>
      <c r="P115" s="317">
        <v>-699</v>
      </c>
      <c r="Q115" s="317">
        <v>-1338</v>
      </c>
      <c r="R115" s="317">
        <v>0</v>
      </c>
      <c r="S115" s="317">
        <v>0</v>
      </c>
      <c r="T115" s="118">
        <v>-3142</v>
      </c>
    </row>
    <row r="116" spans="1:20" ht="12.75" hidden="1" customHeight="1" outlineLevel="1" x14ac:dyDescent="0.2">
      <c r="A116" s="153"/>
      <c r="B116" s="129" t="s">
        <v>230</v>
      </c>
      <c r="C116" s="118">
        <v>0</v>
      </c>
      <c r="D116" s="118">
        <v>0</v>
      </c>
      <c r="E116" s="118">
        <v>0</v>
      </c>
      <c r="F116" s="118">
        <v>0</v>
      </c>
      <c r="G116" s="118">
        <v>0</v>
      </c>
      <c r="H116" s="118"/>
      <c r="I116" s="118"/>
      <c r="J116" s="317"/>
      <c r="K116" s="317">
        <v>0</v>
      </c>
      <c r="L116" s="317">
        <v>0</v>
      </c>
      <c r="M116" s="317">
        <v>0</v>
      </c>
      <c r="N116" s="317">
        <v>0</v>
      </c>
      <c r="O116" s="317"/>
      <c r="P116" s="317">
        <v>-212</v>
      </c>
      <c r="Q116" s="317">
        <v>0</v>
      </c>
      <c r="R116" s="317">
        <v>0</v>
      </c>
      <c r="S116" s="317">
        <v>0</v>
      </c>
      <c r="T116" s="118">
        <v>-212</v>
      </c>
    </row>
    <row r="117" spans="1:20" ht="12.75" hidden="1" customHeight="1" outlineLevel="1" x14ac:dyDescent="0.2">
      <c r="A117" s="153"/>
      <c r="B117" s="129" t="s">
        <v>49</v>
      </c>
      <c r="C117" s="118">
        <v>-1921</v>
      </c>
      <c r="D117" s="118">
        <v>0</v>
      </c>
      <c r="E117" s="118">
        <v>0</v>
      </c>
      <c r="F117" s="118">
        <v>0</v>
      </c>
      <c r="G117" s="118">
        <v>0</v>
      </c>
      <c r="H117" s="118"/>
      <c r="I117" s="118"/>
      <c r="J117" s="317"/>
      <c r="K117" s="317"/>
      <c r="L117" s="317">
        <v>0</v>
      </c>
      <c r="M117" s="317">
        <v>0</v>
      </c>
      <c r="N117" s="317">
        <v>0</v>
      </c>
      <c r="O117" s="317"/>
      <c r="P117" s="317">
        <v>0</v>
      </c>
      <c r="Q117" s="317">
        <v>0</v>
      </c>
      <c r="R117" s="317"/>
      <c r="S117" s="317"/>
      <c r="T117" s="118">
        <v>-1921</v>
      </c>
    </row>
    <row r="118" spans="1:20" collapsed="1" x14ac:dyDescent="0.2">
      <c r="A118" s="153"/>
      <c r="B118" s="126" t="s">
        <v>598</v>
      </c>
      <c r="C118" s="120">
        <f>SUM(C110:C117)</f>
        <v>97271</v>
      </c>
      <c r="D118" s="120">
        <v>0</v>
      </c>
      <c r="E118" s="120">
        <f>SUM(E110:E117)</f>
        <v>63679</v>
      </c>
      <c r="F118" s="120">
        <v>0</v>
      </c>
      <c r="G118" s="120">
        <v>0</v>
      </c>
      <c r="H118" s="120"/>
      <c r="I118" s="120"/>
      <c r="J118" s="120"/>
      <c r="K118" s="120">
        <f>SUM(K110:K117)</f>
        <v>0</v>
      </c>
      <c r="L118" s="120">
        <f>SUM(L110:L117)</f>
        <v>1382</v>
      </c>
      <c r="M118" s="120">
        <f>SUM(M110:M117)</f>
        <v>26655</v>
      </c>
      <c r="N118" s="120">
        <f>SUM(N110:N117)</f>
        <v>14365</v>
      </c>
      <c r="O118" s="120"/>
      <c r="P118" s="120">
        <f>SUM(P110:P117)</f>
        <v>0</v>
      </c>
      <c r="Q118" s="120">
        <f>SUM(Q110:Q117)</f>
        <v>67392</v>
      </c>
      <c r="R118" s="120">
        <f>SUM(R110:R117)</f>
        <v>0</v>
      </c>
      <c r="S118" s="120">
        <f>SUM(S110:S117)</f>
        <v>0</v>
      </c>
      <c r="T118" s="120">
        <f>SUM(T110:T117)</f>
        <v>270744</v>
      </c>
    </row>
    <row r="120" spans="1:20" outlineLevel="1" x14ac:dyDescent="0.2">
      <c r="B120" s="129" t="s">
        <v>681</v>
      </c>
      <c r="C120" s="118">
        <v>0</v>
      </c>
      <c r="D120" s="118">
        <v>0</v>
      </c>
      <c r="E120" s="118">
        <v>0</v>
      </c>
      <c r="F120" s="118">
        <v>0</v>
      </c>
      <c r="G120" s="118">
        <v>0</v>
      </c>
      <c r="H120" s="118"/>
      <c r="I120" s="118"/>
      <c r="J120" s="118"/>
      <c r="K120" s="118">
        <v>0</v>
      </c>
      <c r="L120" s="118">
        <v>0</v>
      </c>
      <c r="M120" s="118">
        <v>0</v>
      </c>
      <c r="N120" s="118">
        <v>0</v>
      </c>
      <c r="O120" s="118">
        <v>0</v>
      </c>
      <c r="P120" s="118">
        <v>0</v>
      </c>
      <c r="Q120" s="118">
        <v>0</v>
      </c>
      <c r="R120" s="118">
        <v>0</v>
      </c>
      <c r="S120" s="118">
        <v>0</v>
      </c>
      <c r="T120" s="118">
        <f t="shared" ref="T120:T126" si="11">SUM(C120:S120)</f>
        <v>0</v>
      </c>
    </row>
    <row r="121" spans="1:20" outlineLevel="1" x14ac:dyDescent="0.2">
      <c r="B121" s="129" t="s">
        <v>223</v>
      </c>
      <c r="C121" s="118">
        <v>0</v>
      </c>
      <c r="D121" s="118">
        <v>20640</v>
      </c>
      <c r="E121" s="118">
        <v>0</v>
      </c>
      <c r="F121" s="118">
        <v>0</v>
      </c>
      <c r="G121" s="118">
        <v>0</v>
      </c>
      <c r="H121" s="118"/>
      <c r="I121" s="118"/>
      <c r="J121" s="317"/>
      <c r="K121" s="317">
        <v>0</v>
      </c>
      <c r="L121" s="317">
        <v>0</v>
      </c>
      <c r="M121" s="317">
        <v>0</v>
      </c>
      <c r="N121" s="317">
        <v>0</v>
      </c>
      <c r="O121" s="317">
        <v>0</v>
      </c>
      <c r="P121" s="317">
        <v>0</v>
      </c>
      <c r="Q121" s="317">
        <v>0</v>
      </c>
      <c r="R121" s="317">
        <v>0</v>
      </c>
      <c r="S121" s="317">
        <v>0</v>
      </c>
      <c r="T121" s="118">
        <f t="shared" si="11"/>
        <v>20640</v>
      </c>
    </row>
    <row r="122" spans="1:20" ht="25.5" outlineLevel="1" x14ac:dyDescent="0.2">
      <c r="B122" s="129" t="s">
        <v>735</v>
      </c>
      <c r="C122" s="118">
        <v>0</v>
      </c>
      <c r="D122" s="118">
        <v>0</v>
      </c>
      <c r="E122" s="118">
        <v>0</v>
      </c>
      <c r="F122" s="118">
        <v>0</v>
      </c>
      <c r="G122" s="118">
        <v>0</v>
      </c>
      <c r="H122" s="118"/>
      <c r="I122" s="118"/>
      <c r="J122" s="317"/>
      <c r="K122" s="317">
        <v>0</v>
      </c>
      <c r="L122" s="317">
        <v>0</v>
      </c>
      <c r="M122" s="317">
        <v>0</v>
      </c>
      <c r="N122" s="317">
        <v>0</v>
      </c>
      <c r="O122" s="317">
        <v>0</v>
      </c>
      <c r="P122" s="317">
        <v>-9</v>
      </c>
      <c r="Q122" s="317">
        <v>0</v>
      </c>
      <c r="R122" s="317">
        <v>0</v>
      </c>
      <c r="S122" s="317">
        <v>0</v>
      </c>
      <c r="T122" s="118">
        <f t="shared" si="11"/>
        <v>-9</v>
      </c>
    </row>
    <row r="123" spans="1:20" outlineLevel="1" x14ac:dyDescent="0.2">
      <c r="B123" s="129" t="s">
        <v>225</v>
      </c>
      <c r="C123" s="118">
        <v>11615</v>
      </c>
      <c r="D123" s="118">
        <v>1596</v>
      </c>
      <c r="E123" s="118">
        <v>524</v>
      </c>
      <c r="F123" s="118">
        <v>0</v>
      </c>
      <c r="G123" s="118">
        <v>0</v>
      </c>
      <c r="H123" s="118"/>
      <c r="I123" s="118"/>
      <c r="J123" s="317"/>
      <c r="K123" s="317">
        <v>0</v>
      </c>
      <c r="L123" s="317">
        <v>597</v>
      </c>
      <c r="M123" s="317">
        <v>-3791</v>
      </c>
      <c r="N123" s="317">
        <v>-11</v>
      </c>
      <c r="O123" s="317">
        <v>0</v>
      </c>
      <c r="P123" s="317">
        <v>0</v>
      </c>
      <c r="Q123" s="317">
        <v>-3287</v>
      </c>
      <c r="R123" s="317">
        <v>0</v>
      </c>
      <c r="S123" s="317">
        <v>0</v>
      </c>
      <c r="T123" s="118">
        <f t="shared" si="11"/>
        <v>7243</v>
      </c>
    </row>
    <row r="124" spans="1:20" outlineLevel="1" x14ac:dyDescent="0.2">
      <c r="B124" s="129" t="s">
        <v>680</v>
      </c>
      <c r="C124" s="118">
        <v>0</v>
      </c>
      <c r="D124" s="118">
        <v>0</v>
      </c>
      <c r="E124" s="118">
        <v>0</v>
      </c>
      <c r="F124" s="118">
        <v>0</v>
      </c>
      <c r="G124" s="118">
        <v>0</v>
      </c>
      <c r="H124" s="118"/>
      <c r="I124" s="118"/>
      <c r="J124" s="317"/>
      <c r="K124" s="317">
        <v>0</v>
      </c>
      <c r="L124" s="317">
        <v>0</v>
      </c>
      <c r="M124" s="317">
        <v>0</v>
      </c>
      <c r="N124" s="317">
        <v>0</v>
      </c>
      <c r="O124" s="317">
        <v>0</v>
      </c>
      <c r="P124" s="317">
        <v>0</v>
      </c>
      <c r="Q124" s="317">
        <v>-20640</v>
      </c>
      <c r="R124" s="317">
        <v>0</v>
      </c>
      <c r="S124" s="317">
        <v>0</v>
      </c>
      <c r="T124" s="118">
        <f t="shared" si="11"/>
        <v>-20640</v>
      </c>
    </row>
    <row r="125" spans="1:20" outlineLevel="1" x14ac:dyDescent="0.2">
      <c r="A125" s="153"/>
      <c r="B125" s="129" t="s">
        <v>230</v>
      </c>
      <c r="C125" s="118">
        <v>0</v>
      </c>
      <c r="D125" s="118">
        <v>0</v>
      </c>
      <c r="E125" s="118">
        <v>0</v>
      </c>
      <c r="F125" s="118">
        <v>0</v>
      </c>
      <c r="G125" s="118">
        <v>0</v>
      </c>
      <c r="H125" s="118"/>
      <c r="I125" s="118"/>
      <c r="J125" s="317"/>
      <c r="K125" s="317">
        <v>0</v>
      </c>
      <c r="L125" s="317">
        <v>0</v>
      </c>
      <c r="M125" s="317">
        <v>0</v>
      </c>
      <c r="N125" s="317">
        <v>0</v>
      </c>
      <c r="O125" s="317">
        <v>0</v>
      </c>
      <c r="P125" s="317">
        <v>9</v>
      </c>
      <c r="Q125" s="317">
        <v>0</v>
      </c>
      <c r="R125" s="317">
        <v>0</v>
      </c>
      <c r="S125" s="317">
        <v>0</v>
      </c>
      <c r="T125" s="118">
        <f t="shared" si="11"/>
        <v>9</v>
      </c>
    </row>
    <row r="126" spans="1:20" ht="14.25" customHeight="1" outlineLevel="1" x14ac:dyDescent="0.2">
      <c r="B126" s="129" t="s">
        <v>431</v>
      </c>
      <c r="C126" s="118">
        <v>0</v>
      </c>
      <c r="D126" s="118">
        <v>0</v>
      </c>
      <c r="E126" s="118">
        <v>0</v>
      </c>
      <c r="F126" s="118">
        <v>0</v>
      </c>
      <c r="G126" s="118">
        <v>0</v>
      </c>
      <c r="H126" s="118"/>
      <c r="I126" s="118"/>
      <c r="J126" s="317"/>
      <c r="K126" s="317">
        <v>0</v>
      </c>
      <c r="L126" s="317">
        <v>-1</v>
      </c>
      <c r="M126" s="317">
        <v>0</v>
      </c>
      <c r="N126" s="317">
        <v>-6035</v>
      </c>
      <c r="O126" s="317">
        <v>0</v>
      </c>
      <c r="P126" s="317">
        <v>0</v>
      </c>
      <c r="Q126" s="317">
        <v>0</v>
      </c>
      <c r="R126" s="317">
        <v>0</v>
      </c>
      <c r="S126" s="317">
        <v>0</v>
      </c>
      <c r="T126" s="118">
        <f t="shared" si="11"/>
        <v>-6036</v>
      </c>
    </row>
    <row r="127" spans="1:20" x14ac:dyDescent="0.2">
      <c r="B127" s="126" t="s">
        <v>829</v>
      </c>
      <c r="C127" s="120">
        <f>SUM(C118:C126)</f>
        <v>108886</v>
      </c>
      <c r="D127" s="120">
        <f>SUM(D118:D126)</f>
        <v>22236</v>
      </c>
      <c r="E127" s="120">
        <f>SUM(E118:E126)</f>
        <v>64203</v>
      </c>
      <c r="F127" s="120">
        <v>0</v>
      </c>
      <c r="G127" s="120">
        <v>0</v>
      </c>
      <c r="H127" s="120"/>
      <c r="I127" s="120"/>
      <c r="J127" s="120"/>
      <c r="K127" s="120">
        <f>SUM(K118:K126)</f>
        <v>0</v>
      </c>
      <c r="L127" s="120">
        <f t="shared" ref="L127:Q127" si="12">SUM(L118:L126)</f>
        <v>1978</v>
      </c>
      <c r="M127" s="120">
        <f t="shared" si="12"/>
        <v>22864</v>
      </c>
      <c r="N127" s="120">
        <f t="shared" si="12"/>
        <v>8319</v>
      </c>
      <c r="O127" s="120">
        <f t="shared" si="12"/>
        <v>0</v>
      </c>
      <c r="P127" s="120">
        <f t="shared" si="12"/>
        <v>0</v>
      </c>
      <c r="Q127" s="120">
        <f t="shared" si="12"/>
        <v>43465</v>
      </c>
      <c r="R127" s="120">
        <f>SUM(R118:R126)</f>
        <v>0</v>
      </c>
      <c r="S127" s="120">
        <f>SUM(S118:S126)</f>
        <v>0</v>
      </c>
      <c r="T127" s="120">
        <f>SUM(T118:T126)</f>
        <v>271951</v>
      </c>
    </row>
    <row r="129" spans="1:20" ht="12.75" hidden="1" customHeight="1" outlineLevel="1" x14ac:dyDescent="0.2">
      <c r="B129" s="129" t="s">
        <v>225</v>
      </c>
      <c r="C129" s="118">
        <v>2392</v>
      </c>
      <c r="D129" s="118">
        <v>50</v>
      </c>
      <c r="E129" s="118">
        <v>502</v>
      </c>
      <c r="F129" s="118">
        <v>0</v>
      </c>
      <c r="G129" s="118">
        <v>-532</v>
      </c>
      <c r="H129" s="118"/>
      <c r="I129" s="118"/>
      <c r="J129" s="118"/>
      <c r="K129" s="118">
        <v>0</v>
      </c>
      <c r="L129" s="118">
        <v>107</v>
      </c>
      <c r="M129" s="118">
        <v>62</v>
      </c>
      <c r="N129" s="118">
        <v>101</v>
      </c>
      <c r="O129" s="118">
        <v>0</v>
      </c>
      <c r="P129" s="118">
        <v>0</v>
      </c>
      <c r="Q129" s="118">
        <v>-338</v>
      </c>
      <c r="R129" s="118">
        <v>0</v>
      </c>
      <c r="S129" s="118">
        <v>0</v>
      </c>
      <c r="T129" s="118">
        <f>SUM(C129:S129)</f>
        <v>2344</v>
      </c>
    </row>
    <row r="130" spans="1:20" ht="12.75" hidden="1" customHeight="1" outlineLevel="1" x14ac:dyDescent="0.2">
      <c r="B130" s="129" t="s">
        <v>680</v>
      </c>
      <c r="C130" s="118">
        <v>-64000</v>
      </c>
      <c r="D130" s="118">
        <v>0</v>
      </c>
      <c r="E130" s="118">
        <v>0</v>
      </c>
      <c r="F130" s="118">
        <v>0</v>
      </c>
      <c r="G130" s="118">
        <v>0</v>
      </c>
      <c r="H130" s="118"/>
      <c r="I130" s="118"/>
      <c r="J130" s="118"/>
      <c r="K130" s="118">
        <v>0</v>
      </c>
      <c r="L130" s="118">
        <v>0</v>
      </c>
      <c r="M130" s="118">
        <v>-6000</v>
      </c>
      <c r="N130" s="118">
        <v>-5500</v>
      </c>
      <c r="O130" s="118">
        <v>0</v>
      </c>
      <c r="P130" s="118">
        <v>0</v>
      </c>
      <c r="Q130" s="118">
        <v>0</v>
      </c>
      <c r="R130" s="118">
        <v>0</v>
      </c>
      <c r="S130" s="118">
        <v>0</v>
      </c>
      <c r="T130" s="118">
        <f>SUM(C130:S130)</f>
        <v>-75500</v>
      </c>
    </row>
    <row r="131" spans="1:20" ht="12.75" hidden="1" customHeight="1" outlineLevel="1" x14ac:dyDescent="0.2">
      <c r="B131" s="129" t="s">
        <v>765</v>
      </c>
      <c r="C131" s="118">
        <v>0</v>
      </c>
      <c r="D131" s="118">
        <v>0</v>
      </c>
      <c r="E131" s="118">
        <v>0</v>
      </c>
      <c r="F131" s="118">
        <v>0</v>
      </c>
      <c r="G131" s="118">
        <v>0</v>
      </c>
      <c r="H131" s="118"/>
      <c r="I131" s="118"/>
      <c r="J131" s="118"/>
      <c r="K131" s="118">
        <v>0</v>
      </c>
      <c r="L131" s="118">
        <v>0</v>
      </c>
      <c r="M131" s="118">
        <v>0</v>
      </c>
      <c r="N131" s="118">
        <v>0</v>
      </c>
      <c r="O131" s="118">
        <v>0</v>
      </c>
      <c r="P131" s="118">
        <v>0</v>
      </c>
      <c r="Q131" s="118">
        <v>5800</v>
      </c>
      <c r="R131" s="118">
        <v>0</v>
      </c>
      <c r="S131" s="118">
        <v>0</v>
      </c>
      <c r="T131" s="118">
        <f>SUM(C131:S131)</f>
        <v>5800</v>
      </c>
    </row>
    <row r="132" spans="1:20" ht="12.75" hidden="1" customHeight="1" outlineLevel="1" x14ac:dyDescent="0.2">
      <c r="A132" s="153"/>
      <c r="B132" s="129" t="s">
        <v>756</v>
      </c>
      <c r="C132" s="118">
        <v>0</v>
      </c>
      <c r="D132" s="118">
        <v>0</v>
      </c>
      <c r="E132" s="118">
        <v>0</v>
      </c>
      <c r="F132" s="118">
        <v>0</v>
      </c>
      <c r="G132" s="118">
        <v>17637</v>
      </c>
      <c r="H132" s="118"/>
      <c r="I132" s="118"/>
      <c r="J132" s="118"/>
      <c r="K132" s="118">
        <v>0</v>
      </c>
      <c r="L132" s="118">
        <v>0</v>
      </c>
      <c r="M132" s="118">
        <v>0</v>
      </c>
      <c r="N132" s="118">
        <v>0</v>
      </c>
      <c r="O132" s="118">
        <v>0</v>
      </c>
      <c r="P132" s="118">
        <v>0</v>
      </c>
      <c r="Q132" s="118">
        <v>-48927</v>
      </c>
      <c r="R132" s="118">
        <v>0</v>
      </c>
      <c r="S132" s="118">
        <v>0</v>
      </c>
      <c r="T132" s="118">
        <f>SUM(C132:S132)</f>
        <v>-31290</v>
      </c>
    </row>
    <row r="133" spans="1:20" collapsed="1" x14ac:dyDescent="0.2">
      <c r="B133" s="126" t="s">
        <v>830</v>
      </c>
      <c r="C133" s="120">
        <f>SUM(C127:C132)</f>
        <v>47278</v>
      </c>
      <c r="D133" s="120">
        <f>SUM(D127:D132)</f>
        <v>22286</v>
      </c>
      <c r="E133" s="120">
        <f>SUM(E127:E132)</f>
        <v>64705</v>
      </c>
      <c r="F133" s="120">
        <v>0</v>
      </c>
      <c r="G133" s="120">
        <f>SUM(G127:G132)</f>
        <v>17105</v>
      </c>
      <c r="H133" s="120"/>
      <c r="I133" s="120"/>
      <c r="J133" s="120"/>
      <c r="K133" s="120">
        <f>SUM(K127:K132)</f>
        <v>0</v>
      </c>
      <c r="L133" s="120">
        <f t="shared" ref="L133:Q133" si="13">SUM(L127:L132)</f>
        <v>2085</v>
      </c>
      <c r="M133" s="120">
        <f t="shared" si="13"/>
        <v>16926</v>
      </c>
      <c r="N133" s="120">
        <f t="shared" si="13"/>
        <v>2920</v>
      </c>
      <c r="O133" s="120">
        <f t="shared" si="13"/>
        <v>0</v>
      </c>
      <c r="P133" s="120">
        <f t="shared" si="13"/>
        <v>0</v>
      </c>
      <c r="Q133" s="120">
        <f t="shared" si="13"/>
        <v>0</v>
      </c>
      <c r="R133" s="120">
        <f>SUM(R127:R132)</f>
        <v>0</v>
      </c>
      <c r="S133" s="120">
        <f>SUM(S127:S132)</f>
        <v>0</v>
      </c>
      <c r="T133" s="120">
        <f>SUM(T127:T132)</f>
        <v>173305</v>
      </c>
    </row>
    <row r="135" spans="1:20" ht="12.75" hidden="1" customHeight="1" outlineLevel="1" x14ac:dyDescent="0.2">
      <c r="B135" s="129" t="s">
        <v>225</v>
      </c>
      <c r="C135" s="118">
        <v>2306</v>
      </c>
      <c r="D135" s="118">
        <v>42</v>
      </c>
      <c r="E135" s="118">
        <v>484</v>
      </c>
      <c r="F135" s="118">
        <v>0</v>
      </c>
      <c r="G135" s="118">
        <v>-238</v>
      </c>
      <c r="H135" s="118"/>
      <c r="I135" s="118"/>
      <c r="J135" s="317"/>
      <c r="K135" s="317">
        <v>0</v>
      </c>
      <c r="L135" s="317">
        <v>12</v>
      </c>
      <c r="M135" s="317">
        <v>139</v>
      </c>
      <c r="N135" s="317">
        <v>12</v>
      </c>
      <c r="O135" s="317">
        <v>0</v>
      </c>
      <c r="P135" s="317">
        <v>0</v>
      </c>
      <c r="Q135" s="317">
        <v>0</v>
      </c>
      <c r="R135" s="317">
        <v>0</v>
      </c>
      <c r="S135" s="317">
        <v>0</v>
      </c>
      <c r="T135" s="118">
        <f>SUM(C135:S135)</f>
        <v>2757</v>
      </c>
    </row>
    <row r="136" spans="1:20" ht="12.75" hidden="1" customHeight="1" outlineLevel="1" x14ac:dyDescent="0.2">
      <c r="B136" s="129" t="s">
        <v>764</v>
      </c>
      <c r="C136" s="118">
        <v>0</v>
      </c>
      <c r="D136" s="118">
        <v>4550</v>
      </c>
      <c r="E136" s="118">
        <v>0</v>
      </c>
      <c r="F136" s="118">
        <v>1</v>
      </c>
      <c r="G136" s="118">
        <v>0</v>
      </c>
      <c r="H136" s="118"/>
      <c r="I136" s="118"/>
      <c r="J136" s="317"/>
      <c r="K136" s="317">
        <v>0</v>
      </c>
      <c r="L136" s="317">
        <v>0</v>
      </c>
      <c r="M136" s="317">
        <v>0</v>
      </c>
      <c r="N136" s="317">
        <v>0</v>
      </c>
      <c r="O136" s="317">
        <v>0</v>
      </c>
      <c r="P136" s="317">
        <v>0</v>
      </c>
      <c r="Q136" s="317">
        <v>0</v>
      </c>
      <c r="R136" s="317">
        <v>0</v>
      </c>
      <c r="S136" s="317">
        <v>0</v>
      </c>
      <c r="T136" s="118">
        <f>SUM(C136:S136)</f>
        <v>4551</v>
      </c>
    </row>
    <row r="137" spans="1:20" ht="12.75" hidden="1" customHeight="1" outlineLevel="1" x14ac:dyDescent="0.2">
      <c r="B137" s="129" t="s">
        <v>371</v>
      </c>
      <c r="C137" s="118">
        <v>0</v>
      </c>
      <c r="D137" s="118">
        <v>0</v>
      </c>
      <c r="E137" s="118">
        <v>0</v>
      </c>
      <c r="F137" s="118">
        <v>1</v>
      </c>
      <c r="G137" s="118">
        <v>0</v>
      </c>
      <c r="H137" s="118"/>
      <c r="I137" s="118"/>
      <c r="J137" s="317"/>
      <c r="K137" s="317">
        <v>0</v>
      </c>
      <c r="L137" s="317">
        <v>0</v>
      </c>
      <c r="M137" s="317">
        <v>0</v>
      </c>
      <c r="N137" s="317">
        <v>0</v>
      </c>
      <c r="O137" s="317">
        <v>0</v>
      </c>
      <c r="P137" s="317">
        <v>0</v>
      </c>
      <c r="Q137" s="317">
        <v>0</v>
      </c>
      <c r="R137" s="317">
        <v>0</v>
      </c>
      <c r="S137" s="317">
        <v>0</v>
      </c>
      <c r="T137" s="118">
        <f>SUM(C137:S137)</f>
        <v>1</v>
      </c>
    </row>
    <row r="138" spans="1:20" ht="14.25" hidden="1" customHeight="1" outlineLevel="1" x14ac:dyDescent="0.2">
      <c r="B138" s="129" t="s">
        <v>431</v>
      </c>
      <c r="C138" s="118">
        <v>0</v>
      </c>
      <c r="D138" s="118">
        <v>0</v>
      </c>
      <c r="E138" s="118">
        <v>-1079</v>
      </c>
      <c r="F138" s="118">
        <v>0</v>
      </c>
      <c r="G138" s="118">
        <v>0</v>
      </c>
      <c r="H138" s="118"/>
      <c r="I138" s="118"/>
      <c r="J138" s="317"/>
      <c r="K138" s="317">
        <v>0</v>
      </c>
      <c r="L138" s="317">
        <v>-244</v>
      </c>
      <c r="M138" s="317">
        <v>0</v>
      </c>
      <c r="N138" s="317">
        <v>-313</v>
      </c>
      <c r="O138" s="317">
        <v>0</v>
      </c>
      <c r="P138" s="317">
        <v>0</v>
      </c>
      <c r="Q138" s="317">
        <v>0</v>
      </c>
      <c r="R138" s="317">
        <v>0</v>
      </c>
      <c r="S138" s="317">
        <v>0</v>
      </c>
      <c r="T138" s="118">
        <f>SUM(C138:S138)</f>
        <v>-1636</v>
      </c>
    </row>
    <row r="139" spans="1:20" collapsed="1" x14ac:dyDescent="0.2">
      <c r="B139" s="126" t="s">
        <v>753</v>
      </c>
      <c r="C139" s="120">
        <f t="shared" ref="C139:S139" si="14">SUM(C133:C138)</f>
        <v>49584</v>
      </c>
      <c r="D139" s="120">
        <f t="shared" si="14"/>
        <v>26878</v>
      </c>
      <c r="E139" s="120">
        <f t="shared" si="14"/>
        <v>64110</v>
      </c>
      <c r="F139" s="120">
        <f t="shared" si="14"/>
        <v>2</v>
      </c>
      <c r="G139" s="120">
        <f t="shared" si="14"/>
        <v>16867</v>
      </c>
      <c r="H139" s="120"/>
      <c r="I139" s="120"/>
      <c r="J139" s="120"/>
      <c r="K139" s="120">
        <f t="shared" si="14"/>
        <v>0</v>
      </c>
      <c r="L139" s="120">
        <f t="shared" ref="L139:Q139" si="15">SUM(L133:L138)</f>
        <v>1853</v>
      </c>
      <c r="M139" s="120">
        <f t="shared" si="15"/>
        <v>17065</v>
      </c>
      <c r="N139" s="120">
        <f t="shared" si="15"/>
        <v>2619</v>
      </c>
      <c r="O139" s="120">
        <f t="shared" si="15"/>
        <v>0</v>
      </c>
      <c r="P139" s="120">
        <f t="shared" si="15"/>
        <v>0</v>
      </c>
      <c r="Q139" s="120">
        <f t="shared" si="15"/>
        <v>0</v>
      </c>
      <c r="R139" s="120">
        <f t="shared" si="14"/>
        <v>0</v>
      </c>
      <c r="S139" s="120">
        <f t="shared" si="14"/>
        <v>0</v>
      </c>
      <c r="T139" s="120">
        <f>SUM(T133:T138)</f>
        <v>178978</v>
      </c>
    </row>
    <row r="141" spans="1:20" ht="12.75" hidden="1" customHeight="1" outlineLevel="1" x14ac:dyDescent="0.2">
      <c r="B141" s="129" t="s">
        <v>225</v>
      </c>
      <c r="C141" s="118">
        <v>-1723</v>
      </c>
      <c r="D141" s="118">
        <v>-181</v>
      </c>
      <c r="E141" s="118">
        <v>486</v>
      </c>
      <c r="F141" s="118">
        <v>32</v>
      </c>
      <c r="G141" s="118">
        <v>265</v>
      </c>
      <c r="H141" s="118"/>
      <c r="I141" s="118"/>
      <c r="J141" s="317"/>
      <c r="K141" s="317">
        <v>0</v>
      </c>
      <c r="L141" s="317">
        <v>77</v>
      </c>
      <c r="M141" s="317">
        <v>24</v>
      </c>
      <c r="N141" s="317">
        <v>1</v>
      </c>
      <c r="O141" s="317">
        <v>0</v>
      </c>
      <c r="P141" s="317">
        <v>0</v>
      </c>
      <c r="Q141" s="317">
        <v>0</v>
      </c>
      <c r="R141" s="317">
        <v>0</v>
      </c>
      <c r="S141" s="317">
        <v>0</v>
      </c>
      <c r="T141" s="118">
        <f t="shared" ref="T141:T146" si="16">SUM(C141:S141)</f>
        <v>-1019</v>
      </c>
    </row>
    <row r="142" spans="1:20" ht="12.75" hidden="1" customHeight="1" outlineLevel="1" x14ac:dyDescent="0.2">
      <c r="B142" s="129" t="s">
        <v>680</v>
      </c>
      <c r="C142" s="118">
        <v>0</v>
      </c>
      <c r="D142" s="118">
        <v>0</v>
      </c>
      <c r="E142" s="118">
        <v>0</v>
      </c>
      <c r="F142" s="118">
        <v>0</v>
      </c>
      <c r="G142" s="118">
        <v>0</v>
      </c>
      <c r="H142" s="118"/>
      <c r="I142" s="118"/>
      <c r="J142" s="317"/>
      <c r="K142" s="317"/>
      <c r="L142" s="317">
        <v>-491</v>
      </c>
      <c r="M142" s="317">
        <v>0</v>
      </c>
      <c r="N142" s="317">
        <v>0</v>
      </c>
      <c r="O142" s="317">
        <v>0</v>
      </c>
      <c r="P142" s="317">
        <v>0</v>
      </c>
      <c r="Q142" s="317">
        <v>0</v>
      </c>
      <c r="R142" s="317"/>
      <c r="S142" s="317"/>
      <c r="T142" s="118">
        <f t="shared" si="16"/>
        <v>-491</v>
      </c>
    </row>
    <row r="143" spans="1:20" ht="12.75" hidden="1" customHeight="1" outlineLevel="1" x14ac:dyDescent="0.2">
      <c r="B143" s="129" t="s">
        <v>764</v>
      </c>
      <c r="C143" s="118">
        <v>0</v>
      </c>
      <c r="D143" s="118">
        <v>701</v>
      </c>
      <c r="E143" s="118">
        <v>7400</v>
      </c>
      <c r="F143" s="261">
        <v>1399</v>
      </c>
      <c r="G143" s="118">
        <v>0</v>
      </c>
      <c r="H143" s="118"/>
      <c r="I143" s="118"/>
      <c r="J143" s="317"/>
      <c r="K143" s="317">
        <v>0</v>
      </c>
      <c r="L143" s="317">
        <v>0</v>
      </c>
      <c r="M143" s="317">
        <v>0</v>
      </c>
      <c r="N143" s="317">
        <v>0</v>
      </c>
      <c r="O143" s="317">
        <v>0</v>
      </c>
      <c r="P143" s="317">
        <v>0</v>
      </c>
      <c r="Q143" s="317">
        <v>0</v>
      </c>
      <c r="R143" s="317">
        <v>0</v>
      </c>
      <c r="S143" s="317">
        <v>0</v>
      </c>
      <c r="T143" s="118">
        <f t="shared" si="16"/>
        <v>9500</v>
      </c>
    </row>
    <row r="144" spans="1:20" ht="12.75" hidden="1" customHeight="1" outlineLevel="1" x14ac:dyDescent="0.2">
      <c r="B144" s="129" t="s">
        <v>371</v>
      </c>
      <c r="C144" s="118">
        <v>0</v>
      </c>
      <c r="D144" s="118">
        <v>0</v>
      </c>
      <c r="E144" s="118">
        <v>0</v>
      </c>
      <c r="F144" s="118">
        <v>0</v>
      </c>
      <c r="G144" s="118">
        <v>0</v>
      </c>
      <c r="H144" s="118"/>
      <c r="I144" s="118"/>
      <c r="J144" s="317"/>
      <c r="K144" s="317">
        <v>0</v>
      </c>
      <c r="L144" s="317">
        <v>0</v>
      </c>
      <c r="M144" s="317">
        <v>0</v>
      </c>
      <c r="N144" s="317">
        <v>0</v>
      </c>
      <c r="O144" s="317">
        <v>0</v>
      </c>
      <c r="P144" s="317">
        <v>0</v>
      </c>
      <c r="Q144" s="317">
        <v>0</v>
      </c>
      <c r="R144" s="317">
        <v>0</v>
      </c>
      <c r="S144" s="317">
        <v>0</v>
      </c>
      <c r="T144" s="118">
        <f t="shared" si="16"/>
        <v>0</v>
      </c>
    </row>
    <row r="145" spans="2:20" ht="12.75" hidden="1" customHeight="1" outlineLevel="1" x14ac:dyDescent="0.2">
      <c r="B145" s="129" t="s">
        <v>756</v>
      </c>
      <c r="C145" s="118">
        <v>0</v>
      </c>
      <c r="D145" s="118">
        <v>0</v>
      </c>
      <c r="E145" s="118">
        <v>0</v>
      </c>
      <c r="F145" s="118">
        <v>0</v>
      </c>
      <c r="G145" s="118">
        <v>0</v>
      </c>
      <c r="H145" s="118"/>
      <c r="I145" s="118"/>
      <c r="J145" s="317"/>
      <c r="K145" s="317"/>
      <c r="L145" s="317">
        <v>0</v>
      </c>
      <c r="M145" s="317">
        <v>0</v>
      </c>
      <c r="N145" s="317">
        <v>0</v>
      </c>
      <c r="O145" s="317">
        <v>0</v>
      </c>
      <c r="P145" s="317">
        <v>0</v>
      </c>
      <c r="Q145" s="317">
        <v>0</v>
      </c>
      <c r="R145" s="317"/>
      <c r="S145" s="317"/>
      <c r="T145" s="118">
        <f t="shared" si="16"/>
        <v>0</v>
      </c>
    </row>
    <row r="146" spans="2:20" ht="14.25" hidden="1" customHeight="1" outlineLevel="1" x14ac:dyDescent="0.2">
      <c r="B146" s="129" t="s">
        <v>431</v>
      </c>
      <c r="C146" s="118">
        <v>-16572</v>
      </c>
      <c r="D146" s="118">
        <v>0</v>
      </c>
      <c r="E146" s="118">
        <v>0</v>
      </c>
      <c r="F146" s="118">
        <v>0</v>
      </c>
      <c r="G146" s="118">
        <v>0</v>
      </c>
      <c r="H146" s="118"/>
      <c r="I146" s="118"/>
      <c r="J146" s="317"/>
      <c r="K146" s="317">
        <v>0</v>
      </c>
      <c r="L146" s="317">
        <v>0</v>
      </c>
      <c r="M146" s="317">
        <v>0</v>
      </c>
      <c r="N146" s="317">
        <v>0</v>
      </c>
      <c r="O146" s="317">
        <v>0</v>
      </c>
      <c r="P146" s="317">
        <v>0</v>
      </c>
      <c r="Q146" s="317">
        <v>0</v>
      </c>
      <c r="R146" s="317">
        <v>0</v>
      </c>
      <c r="S146" s="317">
        <v>0</v>
      </c>
      <c r="T146" s="118">
        <f t="shared" si="16"/>
        <v>-16572</v>
      </c>
    </row>
    <row r="147" spans="2:20" collapsed="1" x14ac:dyDescent="0.2">
      <c r="B147" s="126" t="s">
        <v>772</v>
      </c>
      <c r="C147" s="120">
        <f t="shared" ref="C147:S147" si="17">SUM(C139:C146)</f>
        <v>31289</v>
      </c>
      <c r="D147" s="120">
        <f t="shared" si="17"/>
        <v>27398</v>
      </c>
      <c r="E147" s="120">
        <f t="shared" si="17"/>
        <v>71996</v>
      </c>
      <c r="F147" s="120">
        <f t="shared" si="17"/>
        <v>1433</v>
      </c>
      <c r="G147" s="120">
        <f t="shared" si="17"/>
        <v>17132</v>
      </c>
      <c r="H147" s="120"/>
      <c r="I147" s="120"/>
      <c r="J147" s="120"/>
      <c r="K147" s="120">
        <f t="shared" si="17"/>
        <v>0</v>
      </c>
      <c r="L147" s="120">
        <f t="shared" ref="L147:Q147" si="18">SUM(L139:L146)</f>
        <v>1439</v>
      </c>
      <c r="M147" s="120">
        <f t="shared" si="18"/>
        <v>17089</v>
      </c>
      <c r="N147" s="120">
        <f t="shared" si="18"/>
        <v>2620</v>
      </c>
      <c r="O147" s="120">
        <f t="shared" si="18"/>
        <v>0</v>
      </c>
      <c r="P147" s="120">
        <f t="shared" si="18"/>
        <v>0</v>
      </c>
      <c r="Q147" s="120">
        <f t="shared" si="18"/>
        <v>0</v>
      </c>
      <c r="R147" s="120">
        <f t="shared" si="17"/>
        <v>0</v>
      </c>
      <c r="S147" s="120">
        <f t="shared" si="17"/>
        <v>0</v>
      </c>
      <c r="T147" s="120">
        <f>SUM(T139:T146)</f>
        <v>170396</v>
      </c>
    </row>
    <row r="149" spans="2:20" x14ac:dyDescent="0.2">
      <c r="B149" s="129" t="s">
        <v>225</v>
      </c>
      <c r="C149" s="118">
        <v>2244</v>
      </c>
      <c r="D149" s="118">
        <v>-1299</v>
      </c>
      <c r="E149" s="118">
        <v>507</v>
      </c>
      <c r="F149" s="118">
        <v>15</v>
      </c>
      <c r="G149" s="118">
        <v>706</v>
      </c>
      <c r="H149" s="118"/>
      <c r="I149" s="118"/>
      <c r="J149" s="317"/>
      <c r="K149" s="317" t="s">
        <v>160</v>
      </c>
      <c r="L149" s="317">
        <v>-26</v>
      </c>
      <c r="M149" s="317">
        <v>-1841</v>
      </c>
      <c r="N149" s="317">
        <v>20</v>
      </c>
      <c r="O149" s="317">
        <v>0</v>
      </c>
      <c r="P149" s="317">
        <v>0</v>
      </c>
      <c r="Q149" s="317">
        <v>0</v>
      </c>
      <c r="R149" s="317" t="s">
        <v>160</v>
      </c>
      <c r="S149" s="317" t="s">
        <v>160</v>
      </c>
      <c r="T149" s="118">
        <f t="shared" ref="T149:T155" si="19">SUM(C149:S149)</f>
        <v>326</v>
      </c>
    </row>
    <row r="150" spans="2:20" x14ac:dyDescent="0.2">
      <c r="B150" s="129" t="s">
        <v>680</v>
      </c>
      <c r="C150" s="118">
        <v>0</v>
      </c>
      <c r="D150" s="118">
        <v>0</v>
      </c>
      <c r="E150" s="118">
        <v>0</v>
      </c>
      <c r="F150" s="118">
        <v>0</v>
      </c>
      <c r="G150" s="118">
        <v>0</v>
      </c>
      <c r="H150" s="118"/>
      <c r="I150" s="118"/>
      <c r="J150" s="317"/>
      <c r="K150" s="317" t="s">
        <v>160</v>
      </c>
      <c r="L150" s="317">
        <v>0</v>
      </c>
      <c r="M150" s="317">
        <v>0</v>
      </c>
      <c r="N150" s="317">
        <v>0</v>
      </c>
      <c r="O150" s="317">
        <v>0</v>
      </c>
      <c r="P150" s="317">
        <v>0</v>
      </c>
      <c r="Q150" s="317">
        <v>0</v>
      </c>
      <c r="R150" s="317" t="s">
        <v>160</v>
      </c>
      <c r="S150" s="317" t="s">
        <v>160</v>
      </c>
      <c r="T150" s="118">
        <f t="shared" si="19"/>
        <v>0</v>
      </c>
    </row>
    <row r="151" spans="2:20" x14ac:dyDescent="0.2">
      <c r="B151" s="129" t="s">
        <v>764</v>
      </c>
      <c r="C151" s="118">
        <v>0</v>
      </c>
      <c r="D151" s="118">
        <v>0</v>
      </c>
      <c r="E151" s="118">
        <v>3949</v>
      </c>
      <c r="F151" s="118">
        <v>0</v>
      </c>
      <c r="G151" s="118">
        <v>0</v>
      </c>
      <c r="H151" s="118"/>
      <c r="I151" s="118"/>
      <c r="J151" s="317"/>
      <c r="K151" s="317" t="s">
        <v>160</v>
      </c>
      <c r="L151" s="317">
        <v>0</v>
      </c>
      <c r="M151" s="317">
        <v>0</v>
      </c>
      <c r="N151" s="317">
        <v>0</v>
      </c>
      <c r="O151" s="317">
        <v>0</v>
      </c>
      <c r="P151" s="317">
        <v>0</v>
      </c>
      <c r="Q151" s="317">
        <v>0</v>
      </c>
      <c r="R151" s="317" t="s">
        <v>160</v>
      </c>
      <c r="S151" s="317" t="s">
        <v>160</v>
      </c>
      <c r="T151" s="118">
        <f t="shared" si="19"/>
        <v>3949</v>
      </c>
    </row>
    <row r="152" spans="2:20" x14ac:dyDescent="0.2">
      <c r="B152" s="129" t="s">
        <v>371</v>
      </c>
      <c r="C152" s="118">
        <v>0</v>
      </c>
      <c r="D152" s="118">
        <v>0</v>
      </c>
      <c r="E152" s="118">
        <v>0</v>
      </c>
      <c r="F152" s="118">
        <v>0</v>
      </c>
      <c r="G152" s="118">
        <v>0</v>
      </c>
      <c r="H152" s="118"/>
      <c r="I152" s="118"/>
      <c r="J152" s="317"/>
      <c r="K152" s="317" t="s">
        <v>160</v>
      </c>
      <c r="L152" s="317">
        <v>0</v>
      </c>
      <c r="M152" s="317">
        <v>0</v>
      </c>
      <c r="N152" s="317">
        <v>0</v>
      </c>
      <c r="O152" s="317">
        <v>0</v>
      </c>
      <c r="P152" s="317">
        <v>0</v>
      </c>
      <c r="Q152" s="317">
        <v>0</v>
      </c>
      <c r="R152" s="317" t="s">
        <v>160</v>
      </c>
      <c r="S152" s="317" t="s">
        <v>160</v>
      </c>
      <c r="T152" s="118">
        <f t="shared" si="19"/>
        <v>0</v>
      </c>
    </row>
    <row r="153" spans="2:20" x14ac:dyDescent="0.2">
      <c r="B153" s="129" t="s">
        <v>756</v>
      </c>
      <c r="C153" s="118">
        <v>0</v>
      </c>
      <c r="D153" s="118">
        <v>0</v>
      </c>
      <c r="E153" s="118">
        <v>0</v>
      </c>
      <c r="F153" s="118">
        <v>0</v>
      </c>
      <c r="G153" s="118">
        <v>0</v>
      </c>
      <c r="H153" s="118"/>
      <c r="I153" s="118"/>
      <c r="J153" s="317"/>
      <c r="K153" s="317" t="s">
        <v>160</v>
      </c>
      <c r="L153" s="317">
        <v>0</v>
      </c>
      <c r="M153" s="317">
        <v>0</v>
      </c>
      <c r="N153" s="317">
        <v>0</v>
      </c>
      <c r="O153" s="317">
        <v>0</v>
      </c>
      <c r="P153" s="317">
        <v>0</v>
      </c>
      <c r="Q153" s="317">
        <v>0</v>
      </c>
      <c r="R153" s="317" t="s">
        <v>160</v>
      </c>
      <c r="S153" s="317" t="s">
        <v>160</v>
      </c>
      <c r="T153" s="118">
        <f t="shared" si="19"/>
        <v>0</v>
      </c>
    </row>
    <row r="154" spans="2:20" ht="14.25" customHeight="1" x14ac:dyDescent="0.2">
      <c r="B154" s="129" t="s">
        <v>431</v>
      </c>
      <c r="C154" s="118">
        <v>0</v>
      </c>
      <c r="D154" s="118">
        <v>0</v>
      </c>
      <c r="E154" s="118">
        <v>0</v>
      </c>
      <c r="F154" s="118">
        <v>0</v>
      </c>
      <c r="G154" s="118">
        <v>0</v>
      </c>
      <c r="H154" s="118"/>
      <c r="I154" s="118"/>
      <c r="J154" s="317"/>
      <c r="K154" s="317" t="s">
        <v>160</v>
      </c>
      <c r="L154" s="317">
        <v>0</v>
      </c>
      <c r="M154" s="317">
        <v>0</v>
      </c>
      <c r="N154" s="317">
        <v>0</v>
      </c>
      <c r="O154" s="317">
        <v>0</v>
      </c>
      <c r="P154" s="317">
        <v>0</v>
      </c>
      <c r="Q154" s="317">
        <v>0</v>
      </c>
      <c r="R154" s="317" t="s">
        <v>160</v>
      </c>
      <c r="S154" s="317" t="s">
        <v>160</v>
      </c>
      <c r="T154" s="118">
        <f t="shared" si="19"/>
        <v>0</v>
      </c>
    </row>
    <row r="155" spans="2:20" ht="14.25" customHeight="1" x14ac:dyDescent="0.2">
      <c r="B155" s="129" t="s">
        <v>802</v>
      </c>
      <c r="C155" s="118">
        <v>6364</v>
      </c>
      <c r="D155" s="118">
        <v>0</v>
      </c>
      <c r="E155" s="118">
        <v>0</v>
      </c>
      <c r="F155" s="118">
        <v>0</v>
      </c>
      <c r="G155" s="118">
        <v>16693</v>
      </c>
      <c r="H155" s="118"/>
      <c r="I155" s="118"/>
      <c r="J155" s="317"/>
      <c r="K155" s="317" t="s">
        <v>160</v>
      </c>
      <c r="L155" s="317">
        <v>0</v>
      </c>
      <c r="M155" s="317">
        <v>0</v>
      </c>
      <c r="N155" s="317">
        <v>0</v>
      </c>
      <c r="O155" s="317">
        <v>0</v>
      </c>
      <c r="P155" s="317">
        <v>0</v>
      </c>
      <c r="Q155" s="317" t="s">
        <v>160</v>
      </c>
      <c r="R155" s="317" t="s">
        <v>160</v>
      </c>
      <c r="S155" s="317" t="s">
        <v>160</v>
      </c>
      <c r="T155" s="118">
        <f t="shared" si="19"/>
        <v>23057</v>
      </c>
    </row>
    <row r="156" spans="2:20" x14ac:dyDescent="0.2">
      <c r="B156" s="126" t="s">
        <v>831</v>
      </c>
      <c r="C156" s="120">
        <f>SUM(C147:C155)</f>
        <v>39897</v>
      </c>
      <c r="D156" s="120">
        <f>SUM(D147:D155)</f>
        <v>26099</v>
      </c>
      <c r="E156" s="120">
        <f>SUM(E147:E155)</f>
        <v>76452</v>
      </c>
      <c r="F156" s="120">
        <f>SUM(F147:F155)</f>
        <v>1448</v>
      </c>
      <c r="G156" s="120">
        <f>SUM(G147:G155)</f>
        <v>34531</v>
      </c>
      <c r="H156" s="120"/>
      <c r="I156" s="120"/>
      <c r="J156" s="120"/>
      <c r="K156" s="120">
        <f>SUM(K147:K155)</f>
        <v>0</v>
      </c>
      <c r="L156" s="120">
        <f t="shared" ref="L156:Q156" si="20">SUM(L147:L155)</f>
        <v>1413</v>
      </c>
      <c r="M156" s="120">
        <f t="shared" si="20"/>
        <v>15248</v>
      </c>
      <c r="N156" s="120">
        <f t="shared" si="20"/>
        <v>2640</v>
      </c>
      <c r="O156" s="120">
        <f t="shared" si="20"/>
        <v>0</v>
      </c>
      <c r="P156" s="120">
        <f t="shared" si="20"/>
        <v>0</v>
      </c>
      <c r="Q156" s="120">
        <f t="shared" si="20"/>
        <v>0</v>
      </c>
      <c r="R156" s="120">
        <f>SUM(R147:R155)</f>
        <v>0</v>
      </c>
      <c r="S156" s="120">
        <f>SUM(S147:S155)</f>
        <v>0</v>
      </c>
      <c r="T156" s="120">
        <f>SUM(T147:T155)</f>
        <v>197728</v>
      </c>
    </row>
    <row r="158" spans="2:20" x14ac:dyDescent="0.2">
      <c r="B158" s="129" t="s">
        <v>225</v>
      </c>
      <c r="C158" s="118">
        <v>2832</v>
      </c>
      <c r="D158" s="118">
        <v>-569</v>
      </c>
      <c r="E158" s="118">
        <v>454</v>
      </c>
      <c r="F158" s="118">
        <v>-22</v>
      </c>
      <c r="G158" s="118">
        <v>-430</v>
      </c>
      <c r="H158" s="118"/>
      <c r="I158" s="118"/>
      <c r="J158" s="317"/>
      <c r="K158" s="317" t="s">
        <v>160</v>
      </c>
      <c r="L158" s="317">
        <v>-99</v>
      </c>
      <c r="M158" s="317">
        <v>-222</v>
      </c>
      <c r="N158" s="317">
        <v>29</v>
      </c>
      <c r="O158" s="317">
        <v>0</v>
      </c>
      <c r="P158" s="317">
        <v>0</v>
      </c>
      <c r="Q158" s="317">
        <v>0</v>
      </c>
      <c r="R158" s="317" t="s">
        <v>160</v>
      </c>
      <c r="S158" s="317" t="s">
        <v>160</v>
      </c>
      <c r="T158" s="118">
        <f t="shared" ref="T158:T164" si="21">SUM(C158:S158)</f>
        <v>1973</v>
      </c>
    </row>
    <row r="159" spans="2:20" x14ac:dyDescent="0.2">
      <c r="B159" s="129" t="s">
        <v>680</v>
      </c>
      <c r="C159" s="118">
        <v>0</v>
      </c>
      <c r="D159" s="118">
        <v>0</v>
      </c>
      <c r="E159" s="118">
        <v>0</v>
      </c>
      <c r="F159" s="118">
        <v>0</v>
      </c>
      <c r="G159" s="118">
        <v>0</v>
      </c>
      <c r="H159" s="118"/>
      <c r="I159" s="118"/>
      <c r="J159" s="317"/>
      <c r="K159" s="317" t="s">
        <v>160</v>
      </c>
      <c r="L159" s="317">
        <v>0</v>
      </c>
      <c r="M159" s="317">
        <v>0</v>
      </c>
      <c r="N159" s="317">
        <v>0</v>
      </c>
      <c r="O159" s="317">
        <v>0</v>
      </c>
      <c r="P159" s="317">
        <v>0</v>
      </c>
      <c r="Q159" s="317">
        <v>0</v>
      </c>
      <c r="R159" s="317" t="s">
        <v>160</v>
      </c>
      <c r="S159" s="317" t="s">
        <v>160</v>
      </c>
      <c r="T159" s="118">
        <f t="shared" si="21"/>
        <v>0</v>
      </c>
    </row>
    <row r="160" spans="2:20" x14ac:dyDescent="0.2">
      <c r="B160" s="129" t="s">
        <v>764</v>
      </c>
      <c r="C160" s="118">
        <v>0</v>
      </c>
      <c r="D160" s="118">
        <v>0</v>
      </c>
      <c r="E160" s="118">
        <v>4000</v>
      </c>
      <c r="F160" s="118">
        <v>0</v>
      </c>
      <c r="G160" s="118">
        <v>0</v>
      </c>
      <c r="H160" s="118"/>
      <c r="I160" s="118"/>
      <c r="J160" s="317"/>
      <c r="K160" s="317" t="s">
        <v>160</v>
      </c>
      <c r="L160" s="317">
        <v>0</v>
      </c>
      <c r="M160" s="317">
        <v>0</v>
      </c>
      <c r="N160" s="317">
        <v>0</v>
      </c>
      <c r="O160" s="317">
        <v>0</v>
      </c>
      <c r="P160" s="317">
        <v>0</v>
      </c>
      <c r="Q160" s="317">
        <v>0</v>
      </c>
      <c r="R160" s="317" t="s">
        <v>160</v>
      </c>
      <c r="S160" s="317" t="s">
        <v>160</v>
      </c>
      <c r="T160" s="118">
        <f t="shared" si="21"/>
        <v>4000</v>
      </c>
    </row>
    <row r="161" spans="2:20" x14ac:dyDescent="0.2">
      <c r="B161" s="129" t="s">
        <v>371</v>
      </c>
      <c r="C161" s="118">
        <v>0</v>
      </c>
      <c r="D161" s="118">
        <v>0</v>
      </c>
      <c r="E161" s="118">
        <v>0</v>
      </c>
      <c r="F161" s="118">
        <v>0</v>
      </c>
      <c r="G161" s="118">
        <v>0</v>
      </c>
      <c r="H161" s="118"/>
      <c r="I161" s="118"/>
      <c r="J161" s="317"/>
      <c r="K161" s="317" t="s">
        <v>160</v>
      </c>
      <c r="L161" s="317">
        <v>0</v>
      </c>
      <c r="M161" s="317">
        <v>0</v>
      </c>
      <c r="N161" s="317">
        <v>0</v>
      </c>
      <c r="O161" s="317">
        <v>1</v>
      </c>
      <c r="P161" s="317">
        <v>0</v>
      </c>
      <c r="Q161" s="317">
        <v>0</v>
      </c>
      <c r="R161" s="317" t="s">
        <v>160</v>
      </c>
      <c r="S161" s="317" t="s">
        <v>160</v>
      </c>
      <c r="T161" s="118">
        <f t="shared" si="21"/>
        <v>1</v>
      </c>
    </row>
    <row r="162" spans="2:20" x14ac:dyDescent="0.2">
      <c r="B162" s="129" t="s">
        <v>756</v>
      </c>
      <c r="C162" s="118">
        <v>0</v>
      </c>
      <c r="D162" s="118">
        <v>0</v>
      </c>
      <c r="E162" s="118">
        <v>0</v>
      </c>
      <c r="F162" s="118">
        <v>0</v>
      </c>
      <c r="G162" s="118">
        <v>0</v>
      </c>
      <c r="H162" s="118"/>
      <c r="I162" s="118"/>
      <c r="J162" s="317"/>
      <c r="K162" s="317" t="s">
        <v>160</v>
      </c>
      <c r="L162" s="317">
        <v>0</v>
      </c>
      <c r="M162" s="317">
        <v>0</v>
      </c>
      <c r="N162" s="317">
        <v>0</v>
      </c>
      <c r="O162" s="317">
        <v>0</v>
      </c>
      <c r="P162" s="317">
        <v>0</v>
      </c>
      <c r="Q162" s="317">
        <v>0</v>
      </c>
      <c r="R162" s="317" t="s">
        <v>160</v>
      </c>
      <c r="S162" s="317" t="s">
        <v>160</v>
      </c>
      <c r="T162" s="118">
        <f t="shared" si="21"/>
        <v>0</v>
      </c>
    </row>
    <row r="163" spans="2:20" ht="14.25" customHeight="1" x14ac:dyDescent="0.2">
      <c r="B163" s="129" t="s">
        <v>431</v>
      </c>
      <c r="C163" s="118">
        <v>0</v>
      </c>
      <c r="D163" s="118">
        <v>0</v>
      </c>
      <c r="E163" s="118">
        <v>0</v>
      </c>
      <c r="F163" s="118">
        <v>0</v>
      </c>
      <c r="G163" s="118">
        <v>0</v>
      </c>
      <c r="H163" s="118"/>
      <c r="I163" s="118"/>
      <c r="J163" s="317"/>
      <c r="K163" s="317" t="s">
        <v>160</v>
      </c>
      <c r="L163" s="317">
        <v>-85</v>
      </c>
      <c r="M163" s="317">
        <v>0</v>
      </c>
      <c r="N163" s="317">
        <v>0</v>
      </c>
      <c r="O163" s="317">
        <v>0</v>
      </c>
      <c r="P163" s="317">
        <v>0</v>
      </c>
      <c r="Q163" s="317">
        <v>0</v>
      </c>
      <c r="R163" s="317" t="s">
        <v>160</v>
      </c>
      <c r="S163" s="317" t="s">
        <v>160</v>
      </c>
      <c r="T163" s="118">
        <f t="shared" si="21"/>
        <v>-85</v>
      </c>
    </row>
    <row r="164" spans="2:20" ht="14.25" customHeight="1" x14ac:dyDescent="0.2">
      <c r="B164" s="129" t="s">
        <v>802</v>
      </c>
      <c r="C164" s="118">
        <v>0</v>
      </c>
      <c r="D164" s="118">
        <v>0</v>
      </c>
      <c r="E164" s="118">
        <v>0</v>
      </c>
      <c r="F164" s="118">
        <v>0</v>
      </c>
      <c r="G164" s="118">
        <v>0</v>
      </c>
      <c r="H164" s="118"/>
      <c r="I164" s="118"/>
      <c r="J164" s="317"/>
      <c r="K164" s="317" t="s">
        <v>160</v>
      </c>
      <c r="L164" s="317">
        <v>0</v>
      </c>
      <c r="M164" s="317">
        <v>0</v>
      </c>
      <c r="N164" s="317">
        <v>0</v>
      </c>
      <c r="O164" s="317">
        <v>0</v>
      </c>
      <c r="P164" s="317">
        <v>0</v>
      </c>
      <c r="Q164" s="317">
        <v>0</v>
      </c>
      <c r="R164" s="317" t="s">
        <v>160</v>
      </c>
      <c r="S164" s="317" t="s">
        <v>160</v>
      </c>
      <c r="T164" s="118">
        <f t="shared" si="21"/>
        <v>0</v>
      </c>
    </row>
    <row r="165" spans="2:20" x14ac:dyDescent="0.2">
      <c r="B165" s="126" t="s">
        <v>810</v>
      </c>
      <c r="C165" s="120">
        <f>SUM(C156:C164)</f>
        <v>42729</v>
      </c>
      <c r="D165" s="120">
        <f>SUM(D156:D164)</f>
        <v>25530</v>
      </c>
      <c r="E165" s="120">
        <f>SUM(E156:E164)</f>
        <v>80906</v>
      </c>
      <c r="F165" s="120">
        <f>SUM(F156:F164)</f>
        <v>1426</v>
      </c>
      <c r="G165" s="120">
        <f>SUM(G156:G164)</f>
        <v>34101</v>
      </c>
      <c r="H165" s="120"/>
      <c r="I165" s="120"/>
      <c r="J165" s="120"/>
      <c r="K165" s="120">
        <f>SUM(K147:K164)</f>
        <v>0</v>
      </c>
      <c r="L165" s="120">
        <f t="shared" ref="L165:Q165" si="22">SUM(L156:L164)</f>
        <v>1229</v>
      </c>
      <c r="M165" s="120">
        <f t="shared" si="22"/>
        <v>15026</v>
      </c>
      <c r="N165" s="120">
        <f t="shared" si="22"/>
        <v>2669</v>
      </c>
      <c r="O165" s="120">
        <f t="shared" si="22"/>
        <v>1</v>
      </c>
      <c r="P165" s="120">
        <f t="shared" si="22"/>
        <v>0</v>
      </c>
      <c r="Q165" s="120">
        <f t="shared" si="22"/>
        <v>0</v>
      </c>
      <c r="R165" s="120">
        <f>SUM(R147:R164)</f>
        <v>0</v>
      </c>
      <c r="S165" s="120">
        <f>SUM(S147:S164)</f>
        <v>0</v>
      </c>
      <c r="T165" s="120">
        <f>SUM(T156:T164)</f>
        <v>203617</v>
      </c>
    </row>
    <row r="167" spans="2:20" x14ac:dyDescent="0.2">
      <c r="B167" s="129" t="s">
        <v>225</v>
      </c>
      <c r="C167" s="118">
        <v>2414</v>
      </c>
      <c r="D167" s="118">
        <v>-673</v>
      </c>
      <c r="E167" s="118">
        <v>855</v>
      </c>
      <c r="F167" s="118">
        <v>4</v>
      </c>
      <c r="G167" s="118">
        <v>523</v>
      </c>
      <c r="H167" s="118"/>
      <c r="I167" s="118"/>
      <c r="J167" s="317"/>
      <c r="K167" s="317">
        <v>0</v>
      </c>
      <c r="L167" s="317">
        <v>-201</v>
      </c>
      <c r="M167" s="317">
        <v>974</v>
      </c>
      <c r="N167" s="317">
        <v>17</v>
      </c>
      <c r="O167" s="317">
        <v>0</v>
      </c>
      <c r="P167" s="317">
        <v>0</v>
      </c>
      <c r="Q167" s="317">
        <v>0</v>
      </c>
      <c r="R167" s="317">
        <v>0</v>
      </c>
      <c r="S167" s="317">
        <v>0</v>
      </c>
      <c r="T167" s="118">
        <f t="shared" ref="T167:T173" si="23">SUM(C167:S167)</f>
        <v>3913</v>
      </c>
    </row>
    <row r="168" spans="2:20" x14ac:dyDescent="0.2">
      <c r="B168" s="129" t="s">
        <v>680</v>
      </c>
      <c r="C168" s="118">
        <v>0</v>
      </c>
      <c r="D168" s="118">
        <v>0</v>
      </c>
      <c r="E168" s="118">
        <v>0</v>
      </c>
      <c r="F168" s="118">
        <v>0</v>
      </c>
      <c r="G168" s="118">
        <v>0</v>
      </c>
      <c r="H168" s="118"/>
      <c r="I168" s="118"/>
      <c r="J168" s="317"/>
      <c r="K168" s="317">
        <v>0</v>
      </c>
      <c r="L168" s="317">
        <v>0</v>
      </c>
      <c r="M168" s="317">
        <v>0</v>
      </c>
      <c r="N168" s="317">
        <v>0</v>
      </c>
      <c r="O168" s="317">
        <v>0</v>
      </c>
      <c r="P168" s="317">
        <v>0</v>
      </c>
      <c r="Q168" s="317">
        <v>0</v>
      </c>
      <c r="R168" s="317">
        <v>0</v>
      </c>
      <c r="S168" s="317">
        <v>0</v>
      </c>
      <c r="T168" s="118">
        <f t="shared" si="23"/>
        <v>0</v>
      </c>
    </row>
    <row r="169" spans="2:20" x14ac:dyDescent="0.2">
      <c r="B169" s="129" t="s">
        <v>764</v>
      </c>
      <c r="C169" s="118">
        <v>0</v>
      </c>
      <c r="D169" s="118">
        <v>0</v>
      </c>
      <c r="E169" s="118">
        <v>2500</v>
      </c>
      <c r="F169" s="118">
        <v>0</v>
      </c>
      <c r="G169" s="118">
        <v>0</v>
      </c>
      <c r="H169" s="118"/>
      <c r="I169" s="118"/>
      <c r="J169" s="317"/>
      <c r="K169" s="317">
        <v>0</v>
      </c>
      <c r="L169" s="317">
        <v>0</v>
      </c>
      <c r="M169" s="317">
        <v>0</v>
      </c>
      <c r="N169" s="317">
        <v>0</v>
      </c>
      <c r="O169" s="317">
        <v>0</v>
      </c>
      <c r="P169" s="317">
        <v>0</v>
      </c>
      <c r="Q169" s="317">
        <v>0</v>
      </c>
      <c r="R169" s="317">
        <v>0</v>
      </c>
      <c r="S169" s="317">
        <v>0</v>
      </c>
      <c r="T169" s="118">
        <f t="shared" si="23"/>
        <v>2500</v>
      </c>
    </row>
    <row r="170" spans="2:20" x14ac:dyDescent="0.2">
      <c r="B170" s="129" t="s">
        <v>371</v>
      </c>
      <c r="C170" s="118">
        <v>0</v>
      </c>
      <c r="D170" s="118">
        <v>0</v>
      </c>
      <c r="E170" s="118">
        <v>0</v>
      </c>
      <c r="F170" s="118">
        <v>0</v>
      </c>
      <c r="G170" s="118">
        <v>0</v>
      </c>
      <c r="H170" s="118"/>
      <c r="I170" s="118"/>
      <c r="J170" s="317"/>
      <c r="K170" s="317">
        <v>0</v>
      </c>
      <c r="L170" s="317">
        <v>0</v>
      </c>
      <c r="M170" s="317">
        <v>0</v>
      </c>
      <c r="N170" s="317">
        <v>0</v>
      </c>
      <c r="O170" s="317">
        <v>0</v>
      </c>
      <c r="P170" s="317">
        <v>0</v>
      </c>
      <c r="Q170" s="317">
        <v>0</v>
      </c>
      <c r="R170" s="317">
        <v>0</v>
      </c>
      <c r="S170" s="317">
        <v>0</v>
      </c>
      <c r="T170" s="118">
        <f t="shared" si="23"/>
        <v>0</v>
      </c>
    </row>
    <row r="171" spans="2:20" x14ac:dyDescent="0.2">
      <c r="B171" s="129" t="s">
        <v>756</v>
      </c>
      <c r="C171" s="118">
        <v>0</v>
      </c>
      <c r="D171" s="118">
        <v>0</v>
      </c>
      <c r="E171" s="118">
        <v>0</v>
      </c>
      <c r="F171" s="118">
        <v>0</v>
      </c>
      <c r="G171" s="118">
        <v>0</v>
      </c>
      <c r="H171" s="118"/>
      <c r="I171" s="118"/>
      <c r="J171" s="317"/>
      <c r="K171" s="317">
        <v>0</v>
      </c>
      <c r="L171" s="317">
        <v>0</v>
      </c>
      <c r="M171" s="317">
        <v>0</v>
      </c>
      <c r="N171" s="317">
        <v>0</v>
      </c>
      <c r="O171" s="317">
        <v>0</v>
      </c>
      <c r="P171" s="317">
        <v>0</v>
      </c>
      <c r="Q171" s="317">
        <v>0</v>
      </c>
      <c r="R171" s="317">
        <v>0</v>
      </c>
      <c r="S171" s="317">
        <v>0</v>
      </c>
      <c r="T171" s="118">
        <f t="shared" si="23"/>
        <v>0</v>
      </c>
    </row>
    <row r="172" spans="2:20" ht="14.25" customHeight="1" x14ac:dyDescent="0.2">
      <c r="B172" s="129" t="s">
        <v>431</v>
      </c>
      <c r="C172" s="118">
        <v>0</v>
      </c>
      <c r="D172" s="118">
        <v>0</v>
      </c>
      <c r="E172" s="118">
        <v>0</v>
      </c>
      <c r="F172" s="118">
        <v>0</v>
      </c>
      <c r="G172" s="118">
        <v>0</v>
      </c>
      <c r="H172" s="118"/>
      <c r="I172" s="118"/>
      <c r="J172" s="317"/>
      <c r="K172" s="317">
        <v>0</v>
      </c>
      <c r="L172" s="317">
        <v>-182</v>
      </c>
      <c r="M172" s="317">
        <v>0</v>
      </c>
      <c r="N172" s="317">
        <v>0</v>
      </c>
      <c r="O172" s="317">
        <v>0</v>
      </c>
      <c r="P172" s="317">
        <v>0</v>
      </c>
      <c r="Q172" s="317">
        <v>0</v>
      </c>
      <c r="R172" s="317">
        <v>0</v>
      </c>
      <c r="S172" s="317">
        <v>0</v>
      </c>
      <c r="T172" s="118">
        <f t="shared" si="23"/>
        <v>-182</v>
      </c>
    </row>
    <row r="173" spans="2:20" ht="14.25" customHeight="1" x14ac:dyDescent="0.2">
      <c r="B173" s="129" t="s">
        <v>802</v>
      </c>
      <c r="C173" s="118">
        <v>0</v>
      </c>
      <c r="D173" s="118">
        <v>0</v>
      </c>
      <c r="E173" s="118">
        <v>0</v>
      </c>
      <c r="F173" s="118">
        <v>0</v>
      </c>
      <c r="G173" s="118">
        <v>0</v>
      </c>
      <c r="H173" s="118"/>
      <c r="I173" s="118"/>
      <c r="J173" s="317"/>
      <c r="K173" s="317">
        <v>0</v>
      </c>
      <c r="L173" s="317">
        <v>0</v>
      </c>
      <c r="M173" s="317">
        <v>0</v>
      </c>
      <c r="N173" s="317">
        <v>0</v>
      </c>
      <c r="O173" s="317">
        <v>0</v>
      </c>
      <c r="P173" s="317">
        <v>0</v>
      </c>
      <c r="Q173" s="317">
        <v>0</v>
      </c>
      <c r="R173" s="317">
        <v>0</v>
      </c>
      <c r="S173" s="317">
        <v>0</v>
      </c>
      <c r="T173" s="118">
        <f t="shared" si="23"/>
        <v>0</v>
      </c>
    </row>
    <row r="174" spans="2:20" x14ac:dyDescent="0.2">
      <c r="B174" s="126" t="s">
        <v>849</v>
      </c>
      <c r="C174" s="120">
        <f>SUM(C165:C173)</f>
        <v>45143</v>
      </c>
      <c r="D174" s="120">
        <f>SUM(D165:D173)</f>
        <v>24857</v>
      </c>
      <c r="E174" s="120">
        <f>SUM(E165:E173)</f>
        <v>84261</v>
      </c>
      <c r="F174" s="120">
        <f>SUM(F165:F173)</f>
        <v>1430</v>
      </c>
      <c r="G174" s="120">
        <f>SUM(G165:G173)</f>
        <v>34624</v>
      </c>
      <c r="H174" s="120"/>
      <c r="I174" s="120"/>
      <c r="J174" s="120"/>
      <c r="K174" s="120">
        <f>SUM(K147:K173)</f>
        <v>0</v>
      </c>
      <c r="L174" s="120">
        <f t="shared" ref="L174:Q174" si="24">SUM(L165:L173)</f>
        <v>846</v>
      </c>
      <c r="M174" s="120">
        <f t="shared" si="24"/>
        <v>16000</v>
      </c>
      <c r="N174" s="120">
        <f t="shared" si="24"/>
        <v>2686</v>
      </c>
      <c r="O174" s="120">
        <f t="shared" si="24"/>
        <v>1</v>
      </c>
      <c r="P174" s="120">
        <f t="shared" si="24"/>
        <v>0</v>
      </c>
      <c r="Q174" s="120">
        <f t="shared" si="24"/>
        <v>0</v>
      </c>
      <c r="R174" s="120">
        <f>SUM(R147:R173)</f>
        <v>0</v>
      </c>
      <c r="S174" s="120">
        <f>SUM(S147:S173)</f>
        <v>0</v>
      </c>
      <c r="T174" s="120">
        <f>SUM(T165:T173)</f>
        <v>209848</v>
      </c>
    </row>
    <row r="176" spans="2:20" x14ac:dyDescent="0.2">
      <c r="B176" s="129" t="s">
        <v>225</v>
      </c>
      <c r="C176" s="118">
        <v>3476</v>
      </c>
      <c r="D176" s="118">
        <v>-331</v>
      </c>
      <c r="E176" s="118">
        <v>620</v>
      </c>
      <c r="F176" s="118">
        <v>-95</v>
      </c>
      <c r="G176" s="118">
        <v>846</v>
      </c>
      <c r="H176" s="118"/>
      <c r="I176" s="118"/>
      <c r="J176" s="317"/>
      <c r="K176" s="317" t="s">
        <v>160</v>
      </c>
      <c r="L176" s="317">
        <v>-2</v>
      </c>
      <c r="M176" s="317">
        <v>817</v>
      </c>
      <c r="N176" s="317">
        <v>-40</v>
      </c>
      <c r="O176" s="317">
        <v>0</v>
      </c>
      <c r="P176" s="317">
        <v>0</v>
      </c>
      <c r="Q176" s="317">
        <v>0</v>
      </c>
      <c r="R176" s="317" t="s">
        <v>160</v>
      </c>
      <c r="S176" s="317" t="s">
        <v>160</v>
      </c>
      <c r="T176" s="118">
        <f t="shared" ref="T176:T182" si="25">SUM(C176:S176)</f>
        <v>5291</v>
      </c>
    </row>
    <row r="177" spans="2:20" x14ac:dyDescent="0.2">
      <c r="B177" s="129" t="s">
        <v>680</v>
      </c>
      <c r="C177" s="118">
        <v>0</v>
      </c>
      <c r="D177" s="118">
        <v>0</v>
      </c>
      <c r="E177" s="118">
        <v>0</v>
      </c>
      <c r="F177" s="118">
        <v>0</v>
      </c>
      <c r="G177" s="118">
        <v>0</v>
      </c>
      <c r="H177" s="118"/>
      <c r="I177" s="118"/>
      <c r="J177" s="317"/>
      <c r="K177" s="317" t="s">
        <v>160</v>
      </c>
      <c r="L177" s="317">
        <v>0</v>
      </c>
      <c r="M177" s="317">
        <v>0</v>
      </c>
      <c r="N177" s="317">
        <v>0</v>
      </c>
      <c r="O177" s="317">
        <v>0</v>
      </c>
      <c r="P177" s="317">
        <v>0</v>
      </c>
      <c r="Q177" s="317">
        <v>0</v>
      </c>
      <c r="R177" s="317" t="s">
        <v>160</v>
      </c>
      <c r="S177" s="317" t="s">
        <v>160</v>
      </c>
      <c r="T177" s="118">
        <f t="shared" si="25"/>
        <v>0</v>
      </c>
    </row>
    <row r="178" spans="2:20" x14ac:dyDescent="0.2">
      <c r="B178" s="129" t="s">
        <v>764</v>
      </c>
      <c r="C178" s="118">
        <v>1020</v>
      </c>
      <c r="D178" s="118">
        <v>0</v>
      </c>
      <c r="E178" s="118">
        <v>0</v>
      </c>
      <c r="F178" s="261">
        <v>3202</v>
      </c>
      <c r="G178" s="118">
        <v>0</v>
      </c>
      <c r="H178" s="118"/>
      <c r="I178" s="118"/>
      <c r="J178" s="317"/>
      <c r="K178" s="317" t="s">
        <v>160</v>
      </c>
      <c r="L178" s="317">
        <v>-320</v>
      </c>
      <c r="M178" s="317">
        <v>0</v>
      </c>
      <c r="N178" s="317">
        <v>0</v>
      </c>
      <c r="O178" s="317">
        <v>0</v>
      </c>
      <c r="P178" s="317">
        <v>0</v>
      </c>
      <c r="Q178" s="317">
        <v>0</v>
      </c>
      <c r="R178" s="317" t="s">
        <v>160</v>
      </c>
      <c r="S178" s="317" t="s">
        <v>160</v>
      </c>
      <c r="T178" s="118">
        <f t="shared" si="25"/>
        <v>3902</v>
      </c>
    </row>
    <row r="179" spans="2:20" x14ac:dyDescent="0.2">
      <c r="B179" s="129" t="s">
        <v>371</v>
      </c>
      <c r="C179" s="118">
        <v>0</v>
      </c>
      <c r="D179" s="118">
        <v>0</v>
      </c>
      <c r="E179" s="118">
        <v>0</v>
      </c>
      <c r="F179" s="118">
        <v>0</v>
      </c>
      <c r="G179" s="118">
        <v>0</v>
      </c>
      <c r="H179" s="118"/>
      <c r="I179" s="118"/>
      <c r="J179" s="317"/>
      <c r="K179" s="317" t="s">
        <v>160</v>
      </c>
      <c r="L179" s="317">
        <v>0</v>
      </c>
      <c r="M179" s="317">
        <v>0</v>
      </c>
      <c r="N179" s="317">
        <v>0</v>
      </c>
      <c r="O179" s="317">
        <v>0</v>
      </c>
      <c r="P179" s="317">
        <v>0</v>
      </c>
      <c r="Q179" s="317">
        <v>0</v>
      </c>
      <c r="R179" s="317" t="s">
        <v>160</v>
      </c>
      <c r="S179" s="317" t="s">
        <v>160</v>
      </c>
      <c r="T179" s="118">
        <f t="shared" si="25"/>
        <v>0</v>
      </c>
    </row>
    <row r="180" spans="2:20" x14ac:dyDescent="0.2">
      <c r="B180" s="129" t="s">
        <v>756</v>
      </c>
      <c r="C180" s="118">
        <v>0</v>
      </c>
      <c r="D180" s="118">
        <v>0</v>
      </c>
      <c r="E180" s="118">
        <v>0</v>
      </c>
      <c r="F180" s="118">
        <v>0</v>
      </c>
      <c r="G180" s="118">
        <v>0</v>
      </c>
      <c r="H180" s="118"/>
      <c r="I180" s="118"/>
      <c r="J180" s="317"/>
      <c r="K180" s="317" t="s">
        <v>160</v>
      </c>
      <c r="L180" s="317">
        <v>0</v>
      </c>
      <c r="M180" s="317">
        <v>0</v>
      </c>
      <c r="N180" s="317">
        <v>0</v>
      </c>
      <c r="O180" s="317">
        <v>0</v>
      </c>
      <c r="P180" s="317">
        <v>0</v>
      </c>
      <c r="Q180" s="317">
        <v>0</v>
      </c>
      <c r="R180" s="317" t="s">
        <v>160</v>
      </c>
      <c r="S180" s="317" t="s">
        <v>160</v>
      </c>
      <c r="T180" s="118">
        <f t="shared" si="25"/>
        <v>0</v>
      </c>
    </row>
    <row r="181" spans="2:20" ht="14.25" customHeight="1" x14ac:dyDescent="0.2">
      <c r="B181" s="129" t="s">
        <v>431</v>
      </c>
      <c r="C181" s="118">
        <v>0</v>
      </c>
      <c r="D181" s="118">
        <v>0</v>
      </c>
      <c r="E181" s="118">
        <v>0</v>
      </c>
      <c r="F181" s="118">
        <v>0</v>
      </c>
      <c r="G181" s="118">
        <v>0</v>
      </c>
      <c r="H181" s="118"/>
      <c r="I181" s="118"/>
      <c r="J181" s="317"/>
      <c r="K181" s="317" t="s">
        <v>160</v>
      </c>
      <c r="L181" s="317">
        <v>0</v>
      </c>
      <c r="M181" s="317">
        <v>0</v>
      </c>
      <c r="N181" s="317">
        <v>0</v>
      </c>
      <c r="O181" s="317">
        <v>0</v>
      </c>
      <c r="P181" s="317">
        <v>0</v>
      </c>
      <c r="Q181" s="317">
        <v>0</v>
      </c>
      <c r="R181" s="317" t="s">
        <v>160</v>
      </c>
      <c r="S181" s="317" t="s">
        <v>160</v>
      </c>
      <c r="T181" s="118">
        <f t="shared" si="25"/>
        <v>0</v>
      </c>
    </row>
    <row r="182" spans="2:20" ht="14.25" customHeight="1" x14ac:dyDescent="0.2">
      <c r="B182" s="129" t="s">
        <v>802</v>
      </c>
      <c r="C182" s="118">
        <v>0</v>
      </c>
      <c r="D182" s="118">
        <v>0</v>
      </c>
      <c r="E182" s="118">
        <v>0</v>
      </c>
      <c r="F182" s="118">
        <v>0</v>
      </c>
      <c r="G182" s="118">
        <v>0</v>
      </c>
      <c r="H182" s="118"/>
      <c r="I182" s="118"/>
      <c r="J182" s="317"/>
      <c r="K182" s="317" t="s">
        <v>160</v>
      </c>
      <c r="L182" s="317">
        <v>0</v>
      </c>
      <c r="M182" s="317">
        <v>0</v>
      </c>
      <c r="N182" s="317">
        <v>0</v>
      </c>
      <c r="O182" s="317">
        <v>0</v>
      </c>
      <c r="P182" s="317">
        <v>0</v>
      </c>
      <c r="Q182" s="317">
        <v>0</v>
      </c>
      <c r="R182" s="317" t="s">
        <v>160</v>
      </c>
      <c r="S182" s="317" t="s">
        <v>160</v>
      </c>
      <c r="T182" s="118">
        <f t="shared" si="25"/>
        <v>0</v>
      </c>
    </row>
    <row r="183" spans="2:20" x14ac:dyDescent="0.2">
      <c r="B183" s="126" t="s">
        <v>863</v>
      </c>
      <c r="C183" s="120">
        <f>SUM(C174:C182)</f>
        <v>49639</v>
      </c>
      <c r="D183" s="120">
        <f t="shared" ref="D183:T183" si="26">SUM(D174:D182)</f>
        <v>24526</v>
      </c>
      <c r="E183" s="120">
        <f t="shared" si="26"/>
        <v>84881</v>
      </c>
      <c r="F183" s="120">
        <f t="shared" si="26"/>
        <v>4537</v>
      </c>
      <c r="G183" s="120">
        <f t="shared" si="26"/>
        <v>35470</v>
      </c>
      <c r="H183" s="120"/>
      <c r="I183" s="120"/>
      <c r="J183" s="120"/>
      <c r="K183" s="120">
        <f t="shared" si="26"/>
        <v>0</v>
      </c>
      <c r="L183" s="120">
        <f t="shared" ref="L183:Q183" si="27">SUM(L174:L182)</f>
        <v>524</v>
      </c>
      <c r="M183" s="120">
        <f t="shared" si="27"/>
        <v>16817</v>
      </c>
      <c r="N183" s="120">
        <f t="shared" si="27"/>
        <v>2646</v>
      </c>
      <c r="O183" s="120">
        <f t="shared" si="27"/>
        <v>1</v>
      </c>
      <c r="P183" s="120">
        <f t="shared" si="27"/>
        <v>0</v>
      </c>
      <c r="Q183" s="120">
        <f t="shared" si="27"/>
        <v>0</v>
      </c>
      <c r="R183" s="120">
        <f t="shared" si="26"/>
        <v>0</v>
      </c>
      <c r="S183" s="120">
        <f t="shared" si="26"/>
        <v>0</v>
      </c>
      <c r="T183" s="120">
        <f t="shared" si="26"/>
        <v>219041</v>
      </c>
    </row>
    <row r="185" spans="2:20" customFormat="1" x14ac:dyDescent="0.2">
      <c r="B185" s="129" t="s">
        <v>225</v>
      </c>
      <c r="C185" s="118">
        <v>9982</v>
      </c>
      <c r="D185" s="118">
        <v>-1103</v>
      </c>
      <c r="E185" s="118">
        <v>667</v>
      </c>
      <c r="F185" s="118">
        <v>-20</v>
      </c>
      <c r="G185" s="118">
        <v>2380</v>
      </c>
      <c r="H185" s="118"/>
      <c r="I185" s="118"/>
      <c r="J185" s="317"/>
      <c r="K185" s="317">
        <v>0</v>
      </c>
      <c r="L185" s="317">
        <v>-31</v>
      </c>
      <c r="M185" s="317">
        <v>-2065</v>
      </c>
      <c r="N185" s="317">
        <v>18</v>
      </c>
      <c r="O185" s="317">
        <v>0</v>
      </c>
      <c r="P185" s="317">
        <v>0</v>
      </c>
      <c r="Q185" s="317">
        <v>0</v>
      </c>
      <c r="R185" s="317">
        <v>0</v>
      </c>
      <c r="S185" s="317">
        <v>0</v>
      </c>
      <c r="T185" s="118">
        <f t="shared" ref="T185:T191" si="28">SUM(C185:S185)</f>
        <v>9828</v>
      </c>
    </row>
    <row r="186" spans="2:20" customFormat="1" x14ac:dyDescent="0.2">
      <c r="B186" s="129" t="s">
        <v>680</v>
      </c>
      <c r="C186" s="118">
        <v>0</v>
      </c>
      <c r="D186" s="118">
        <v>0</v>
      </c>
      <c r="E186" s="118">
        <v>0</v>
      </c>
      <c r="F186" s="118">
        <v>0</v>
      </c>
      <c r="G186" s="118">
        <v>0</v>
      </c>
      <c r="H186" s="118"/>
      <c r="I186" s="118"/>
      <c r="J186" s="317"/>
      <c r="K186" s="317">
        <v>0</v>
      </c>
      <c r="L186" s="317">
        <v>0</v>
      </c>
      <c r="M186" s="317">
        <v>0</v>
      </c>
      <c r="N186" s="317">
        <v>0</v>
      </c>
      <c r="O186" s="317">
        <v>0</v>
      </c>
      <c r="P186" s="317">
        <v>0</v>
      </c>
      <c r="Q186" s="317">
        <v>0</v>
      </c>
      <c r="R186" s="317">
        <v>0</v>
      </c>
      <c r="S186" s="317">
        <v>0</v>
      </c>
      <c r="T186" s="118">
        <f t="shared" si="28"/>
        <v>0</v>
      </c>
    </row>
    <row r="187" spans="2:20" customFormat="1" x14ac:dyDescent="0.2">
      <c r="B187" s="129" t="s">
        <v>764</v>
      </c>
      <c r="C187" s="118">
        <v>0</v>
      </c>
      <c r="D187" s="118">
        <v>0</v>
      </c>
      <c r="E187" s="118">
        <v>22031</v>
      </c>
      <c r="F187" s="118">
        <v>0</v>
      </c>
      <c r="G187" s="118">
        <v>0</v>
      </c>
      <c r="H187" s="118"/>
      <c r="I187" s="118"/>
      <c r="J187" s="317"/>
      <c r="K187" s="317">
        <v>0</v>
      </c>
      <c r="L187" s="317">
        <v>0</v>
      </c>
      <c r="M187" s="317">
        <v>0</v>
      </c>
      <c r="N187" s="317">
        <v>0</v>
      </c>
      <c r="O187" s="317">
        <v>0</v>
      </c>
      <c r="P187" s="317">
        <v>0</v>
      </c>
      <c r="Q187" s="317">
        <v>0</v>
      </c>
      <c r="R187" s="317">
        <v>0</v>
      </c>
      <c r="S187" s="317">
        <v>0</v>
      </c>
      <c r="T187" s="118">
        <f t="shared" si="28"/>
        <v>22031</v>
      </c>
    </row>
    <row r="188" spans="2:20" customFormat="1" x14ac:dyDescent="0.2">
      <c r="B188" s="129" t="s">
        <v>371</v>
      </c>
      <c r="C188" s="118">
        <v>0</v>
      </c>
      <c r="D188" s="118">
        <v>0</v>
      </c>
      <c r="E188" s="118">
        <v>0</v>
      </c>
      <c r="F188" s="118">
        <v>0</v>
      </c>
      <c r="G188" s="118">
        <v>0</v>
      </c>
      <c r="H188" s="118"/>
      <c r="I188" s="118"/>
      <c r="J188" s="317"/>
      <c r="K188" s="317">
        <v>0</v>
      </c>
      <c r="L188" s="317">
        <v>0</v>
      </c>
      <c r="M188" s="317">
        <v>0</v>
      </c>
      <c r="N188" s="317">
        <v>0</v>
      </c>
      <c r="O188" s="317">
        <v>0</v>
      </c>
      <c r="P188" s="317">
        <v>0</v>
      </c>
      <c r="Q188" s="317">
        <v>0</v>
      </c>
      <c r="R188" s="317">
        <v>0</v>
      </c>
      <c r="S188" s="317">
        <v>0</v>
      </c>
      <c r="T188" s="118">
        <f t="shared" si="28"/>
        <v>0</v>
      </c>
    </row>
    <row r="189" spans="2:20" customFormat="1" x14ac:dyDescent="0.2">
      <c r="B189" s="129" t="s">
        <v>756</v>
      </c>
      <c r="C189" s="118">
        <v>0</v>
      </c>
      <c r="D189" s="118">
        <v>0</v>
      </c>
      <c r="E189" s="118">
        <v>0</v>
      </c>
      <c r="F189" s="118">
        <v>0</v>
      </c>
      <c r="G189" s="118">
        <v>0</v>
      </c>
      <c r="H189" s="118"/>
      <c r="I189" s="118"/>
      <c r="J189" s="317"/>
      <c r="K189" s="317">
        <v>0</v>
      </c>
      <c r="L189" s="317">
        <v>0</v>
      </c>
      <c r="M189" s="317">
        <v>0</v>
      </c>
      <c r="N189" s="317">
        <v>0</v>
      </c>
      <c r="O189" s="317">
        <v>0</v>
      </c>
      <c r="P189" s="317">
        <v>0</v>
      </c>
      <c r="Q189" s="317">
        <v>0</v>
      </c>
      <c r="R189" s="317">
        <v>0</v>
      </c>
      <c r="S189" s="317">
        <v>0</v>
      </c>
      <c r="T189" s="118">
        <f t="shared" si="28"/>
        <v>0</v>
      </c>
    </row>
    <row r="190" spans="2:20" customFormat="1" ht="14.25" customHeight="1" x14ac:dyDescent="0.2">
      <c r="B190" s="129" t="s">
        <v>431</v>
      </c>
      <c r="C190" s="118">
        <v>0</v>
      </c>
      <c r="D190" s="118">
        <v>0</v>
      </c>
      <c r="E190" s="118">
        <v>0</v>
      </c>
      <c r="F190" s="118">
        <v>0</v>
      </c>
      <c r="G190" s="118">
        <v>0</v>
      </c>
      <c r="H190" s="118"/>
      <c r="I190" s="118"/>
      <c r="J190" s="317"/>
      <c r="K190" s="317">
        <v>0</v>
      </c>
      <c r="L190" s="317">
        <v>0</v>
      </c>
      <c r="M190" s="317">
        <v>0</v>
      </c>
      <c r="N190" s="317">
        <v>0</v>
      </c>
      <c r="O190" s="317">
        <v>0</v>
      </c>
      <c r="P190" s="317">
        <v>0</v>
      </c>
      <c r="Q190" s="317">
        <v>0</v>
      </c>
      <c r="R190" s="317">
        <v>0</v>
      </c>
      <c r="S190" s="317">
        <v>0</v>
      </c>
      <c r="T190" s="118">
        <f t="shared" si="28"/>
        <v>0</v>
      </c>
    </row>
    <row r="191" spans="2:20" customFormat="1" ht="14.25" customHeight="1" x14ac:dyDescent="0.2">
      <c r="B191" s="129" t="s">
        <v>802</v>
      </c>
      <c r="C191" s="118">
        <v>0</v>
      </c>
      <c r="D191" s="118">
        <v>0</v>
      </c>
      <c r="E191" s="118">
        <v>0</v>
      </c>
      <c r="F191" s="118">
        <v>0</v>
      </c>
      <c r="G191" s="118">
        <v>0</v>
      </c>
      <c r="H191" s="118"/>
      <c r="I191" s="118"/>
      <c r="J191" s="317"/>
      <c r="K191" s="317">
        <v>0</v>
      </c>
      <c r="L191" s="317">
        <v>0</v>
      </c>
      <c r="M191" s="317">
        <v>0</v>
      </c>
      <c r="N191" s="317">
        <v>0</v>
      </c>
      <c r="O191" s="317">
        <v>0</v>
      </c>
      <c r="P191" s="317">
        <v>0</v>
      </c>
      <c r="Q191" s="317">
        <v>0</v>
      </c>
      <c r="R191" s="317">
        <v>0</v>
      </c>
      <c r="S191" s="317">
        <v>0</v>
      </c>
      <c r="T191" s="118">
        <f t="shared" si="28"/>
        <v>0</v>
      </c>
    </row>
    <row r="192" spans="2:20" customFormat="1" x14ac:dyDescent="0.2">
      <c r="B192" s="126" t="s">
        <v>889</v>
      </c>
      <c r="C192" s="120">
        <f>SUM(C183:C191)</f>
        <v>59621</v>
      </c>
      <c r="D192" s="120">
        <f t="shared" ref="D192:T192" si="29">SUM(D183:D191)</f>
        <v>23423</v>
      </c>
      <c r="E192" s="120">
        <f t="shared" si="29"/>
        <v>107579</v>
      </c>
      <c r="F192" s="120">
        <f t="shared" si="29"/>
        <v>4517</v>
      </c>
      <c r="G192" s="120">
        <f t="shared" si="29"/>
        <v>37850</v>
      </c>
      <c r="H192" s="120"/>
      <c r="I192" s="120"/>
      <c r="J192" s="120"/>
      <c r="K192" s="120">
        <f t="shared" si="29"/>
        <v>0</v>
      </c>
      <c r="L192" s="120">
        <f t="shared" ref="L192:Q192" si="30">SUM(L183:L191)</f>
        <v>493</v>
      </c>
      <c r="M192" s="120">
        <f t="shared" si="30"/>
        <v>14752</v>
      </c>
      <c r="N192" s="120">
        <f t="shared" si="30"/>
        <v>2664</v>
      </c>
      <c r="O192" s="120">
        <f t="shared" si="30"/>
        <v>1</v>
      </c>
      <c r="P192" s="120">
        <f t="shared" si="30"/>
        <v>0</v>
      </c>
      <c r="Q192" s="120">
        <f t="shared" si="30"/>
        <v>0</v>
      </c>
      <c r="R192" s="120">
        <f t="shared" si="29"/>
        <v>0</v>
      </c>
      <c r="S192" s="120">
        <f t="shared" si="29"/>
        <v>0</v>
      </c>
      <c r="T192" s="120">
        <f t="shared" si="29"/>
        <v>250900</v>
      </c>
    </row>
    <row r="193" spans="1:20" customFormat="1" x14ac:dyDescent="0.2"/>
    <row r="194" spans="1:20" customFormat="1" x14ac:dyDescent="0.2">
      <c r="A194" t="s">
        <v>948</v>
      </c>
      <c r="B194" s="129" t="s">
        <v>225</v>
      </c>
      <c r="C194" s="118">
        <v>3433</v>
      </c>
      <c r="D194" s="118">
        <v>104</v>
      </c>
      <c r="E194" s="118">
        <v>582</v>
      </c>
      <c r="F194" s="118">
        <v>-21</v>
      </c>
      <c r="G194" s="118">
        <v>1464</v>
      </c>
      <c r="H194" s="118"/>
      <c r="I194" s="118"/>
      <c r="J194" s="317"/>
      <c r="K194" s="317">
        <v>0</v>
      </c>
      <c r="L194" s="317">
        <v>-70</v>
      </c>
      <c r="M194" s="317">
        <v>3331</v>
      </c>
      <c r="N194" s="317">
        <v>12</v>
      </c>
      <c r="O194" s="317">
        <v>0</v>
      </c>
      <c r="P194" s="317" t="s">
        <v>160</v>
      </c>
      <c r="Q194" s="317">
        <v>0</v>
      </c>
      <c r="R194" s="317">
        <v>0</v>
      </c>
      <c r="S194" s="317">
        <v>0</v>
      </c>
      <c r="T194" s="118">
        <v>8835</v>
      </c>
    </row>
    <row r="195" spans="1:20" customFormat="1" x14ac:dyDescent="0.2">
      <c r="B195" s="129" t="s">
        <v>680</v>
      </c>
      <c r="C195" s="118">
        <v>0</v>
      </c>
      <c r="D195" s="118">
        <v>0</v>
      </c>
      <c r="E195" s="118">
        <v>0</v>
      </c>
      <c r="F195" s="118">
        <v>0</v>
      </c>
      <c r="G195" s="118">
        <v>0</v>
      </c>
      <c r="H195" s="118"/>
      <c r="I195" s="118"/>
      <c r="J195" s="317"/>
      <c r="K195" s="317">
        <v>0</v>
      </c>
      <c r="L195" s="317">
        <v>0</v>
      </c>
      <c r="M195" s="317">
        <v>0</v>
      </c>
      <c r="N195" s="317">
        <v>0</v>
      </c>
      <c r="O195" s="317">
        <v>0</v>
      </c>
      <c r="P195" s="317" t="s">
        <v>160</v>
      </c>
      <c r="Q195" s="317">
        <v>1</v>
      </c>
      <c r="R195" s="317">
        <v>0</v>
      </c>
      <c r="S195" s="317">
        <v>0</v>
      </c>
      <c r="T195" s="118">
        <v>1</v>
      </c>
    </row>
    <row r="196" spans="1:20" customFormat="1" x14ac:dyDescent="0.2">
      <c r="B196" s="129" t="s">
        <v>764</v>
      </c>
      <c r="C196" s="118">
        <v>8726</v>
      </c>
      <c r="D196" s="118">
        <v>-5746</v>
      </c>
      <c r="E196" s="118">
        <v>0</v>
      </c>
      <c r="F196" s="118">
        <v>0</v>
      </c>
      <c r="G196" s="118">
        <v>0</v>
      </c>
      <c r="H196" s="118"/>
      <c r="I196" s="118"/>
      <c r="J196" s="317"/>
      <c r="K196" s="317">
        <v>0</v>
      </c>
      <c r="L196" s="317">
        <v>0</v>
      </c>
      <c r="M196" s="317">
        <v>0</v>
      </c>
      <c r="N196" s="317">
        <v>0</v>
      </c>
      <c r="O196" s="317">
        <v>0</v>
      </c>
      <c r="P196" s="317" t="s">
        <v>160</v>
      </c>
      <c r="Q196" s="317">
        <v>0</v>
      </c>
      <c r="R196" s="317">
        <v>0</v>
      </c>
      <c r="S196" s="317">
        <v>0</v>
      </c>
      <c r="T196" s="118">
        <v>2980</v>
      </c>
    </row>
    <row r="197" spans="1:20" customFormat="1" x14ac:dyDescent="0.2">
      <c r="B197" s="129" t="s">
        <v>371</v>
      </c>
      <c r="C197" s="118">
        <v>0</v>
      </c>
      <c r="D197" s="118">
        <v>0</v>
      </c>
      <c r="E197" s="118">
        <v>0</v>
      </c>
      <c r="F197" s="118">
        <v>0</v>
      </c>
      <c r="G197" s="118">
        <v>0</v>
      </c>
      <c r="H197" s="118"/>
      <c r="I197" s="118"/>
      <c r="J197" s="317"/>
      <c r="K197" s="317">
        <v>0</v>
      </c>
      <c r="L197" s="317">
        <v>0</v>
      </c>
      <c r="M197" s="317">
        <v>0</v>
      </c>
      <c r="N197" s="317">
        <v>0</v>
      </c>
      <c r="O197" s="317">
        <v>0</v>
      </c>
      <c r="P197" s="317" t="s">
        <v>160</v>
      </c>
      <c r="Q197" s="317">
        <v>0</v>
      </c>
      <c r="R197" s="317">
        <v>0</v>
      </c>
      <c r="S197" s="317">
        <v>0</v>
      </c>
      <c r="T197" s="118">
        <v>0</v>
      </c>
    </row>
    <row r="198" spans="1:20" customFormat="1" x14ac:dyDescent="0.2">
      <c r="B198" s="129" t="s">
        <v>756</v>
      </c>
      <c r="C198" s="118">
        <v>0</v>
      </c>
      <c r="D198" s="118">
        <v>0</v>
      </c>
      <c r="E198" s="118">
        <v>0</v>
      </c>
      <c r="F198" s="118">
        <v>0</v>
      </c>
      <c r="G198" s="118">
        <v>0</v>
      </c>
      <c r="H198" s="118"/>
      <c r="I198" s="118"/>
      <c r="J198" s="317"/>
      <c r="K198" s="317">
        <v>0</v>
      </c>
      <c r="L198" s="317">
        <v>0</v>
      </c>
      <c r="M198" s="317">
        <v>0</v>
      </c>
      <c r="N198" s="317">
        <v>0</v>
      </c>
      <c r="O198" s="317">
        <v>0</v>
      </c>
      <c r="P198" s="317" t="s">
        <v>160</v>
      </c>
      <c r="Q198" s="317">
        <v>0</v>
      </c>
      <c r="R198" s="317">
        <v>0</v>
      </c>
      <c r="S198" s="317">
        <v>0</v>
      </c>
      <c r="T198" s="118">
        <v>0</v>
      </c>
    </row>
    <row r="199" spans="1:20" customFormat="1" ht="14.25" customHeight="1" x14ac:dyDescent="0.2">
      <c r="B199" s="129" t="s">
        <v>431</v>
      </c>
      <c r="C199" s="118">
        <v>0</v>
      </c>
      <c r="D199" s="118">
        <v>0</v>
      </c>
      <c r="E199" s="118">
        <v>0</v>
      </c>
      <c r="F199" s="118">
        <v>0</v>
      </c>
      <c r="G199" s="118">
        <v>0</v>
      </c>
      <c r="H199" s="118"/>
      <c r="I199" s="118"/>
      <c r="J199" s="317"/>
      <c r="K199" s="317">
        <v>0</v>
      </c>
      <c r="L199" s="317">
        <v>0</v>
      </c>
      <c r="M199" s="317">
        <v>0</v>
      </c>
      <c r="N199" s="317">
        <v>0</v>
      </c>
      <c r="O199" s="317">
        <v>0</v>
      </c>
      <c r="P199" s="317" t="s">
        <v>160</v>
      </c>
      <c r="Q199" s="317">
        <v>0</v>
      </c>
      <c r="R199" s="317">
        <v>0</v>
      </c>
      <c r="S199" s="317">
        <v>0</v>
      </c>
      <c r="T199" s="118">
        <v>0</v>
      </c>
    </row>
    <row r="200" spans="1:20" customFormat="1" ht="14.25" customHeight="1" x14ac:dyDescent="0.2">
      <c r="B200" s="129" t="s">
        <v>802</v>
      </c>
      <c r="C200" s="118">
        <v>0</v>
      </c>
      <c r="D200" s="118">
        <v>0</v>
      </c>
      <c r="E200" s="118">
        <v>0</v>
      </c>
      <c r="F200" s="118">
        <v>0</v>
      </c>
      <c r="G200" s="118">
        <v>0</v>
      </c>
      <c r="H200" s="118"/>
      <c r="I200" s="118"/>
      <c r="J200" s="317"/>
      <c r="K200" s="317">
        <v>0</v>
      </c>
      <c r="L200" s="317">
        <v>0</v>
      </c>
      <c r="M200" s="317">
        <v>0</v>
      </c>
      <c r="N200" s="317">
        <v>0</v>
      </c>
      <c r="O200" s="317">
        <v>0</v>
      </c>
      <c r="P200" s="317" t="s">
        <v>160</v>
      </c>
      <c r="Q200" s="317">
        <v>0</v>
      </c>
      <c r="R200" s="317">
        <v>0</v>
      </c>
      <c r="S200" s="317">
        <v>0</v>
      </c>
      <c r="T200" s="118">
        <v>0</v>
      </c>
    </row>
    <row r="201" spans="1:20" customFormat="1" x14ac:dyDescent="0.2">
      <c r="B201" s="126" t="s">
        <v>916</v>
      </c>
      <c r="C201" s="120">
        <f>SUM(C192:C200)</f>
        <v>71780</v>
      </c>
      <c r="D201" s="120">
        <f t="shared" ref="D201:T201" si="31">SUM(D192:D200)</f>
        <v>17781</v>
      </c>
      <c r="E201" s="120">
        <f t="shared" si="31"/>
        <v>108161</v>
      </c>
      <c r="F201" s="120">
        <f t="shared" si="31"/>
        <v>4496</v>
      </c>
      <c r="G201" s="120">
        <f t="shared" si="31"/>
        <v>39314</v>
      </c>
      <c r="H201" s="120"/>
      <c r="I201" s="120"/>
      <c r="J201" s="120"/>
      <c r="K201" s="120">
        <f t="shared" si="31"/>
        <v>0</v>
      </c>
      <c r="L201" s="120">
        <f t="shared" ref="L201:Q201" si="32">SUM(L192:L200)</f>
        <v>423</v>
      </c>
      <c r="M201" s="120">
        <f t="shared" si="32"/>
        <v>18083</v>
      </c>
      <c r="N201" s="120">
        <f t="shared" si="32"/>
        <v>2676</v>
      </c>
      <c r="O201" s="120">
        <f t="shared" si="32"/>
        <v>1</v>
      </c>
      <c r="P201" s="120">
        <f t="shared" si="32"/>
        <v>0</v>
      </c>
      <c r="Q201" s="120">
        <f t="shared" si="32"/>
        <v>1</v>
      </c>
      <c r="R201" s="120">
        <f t="shared" si="31"/>
        <v>0</v>
      </c>
      <c r="S201" s="120">
        <f t="shared" si="31"/>
        <v>0</v>
      </c>
      <c r="T201" s="120">
        <f t="shared" si="31"/>
        <v>262716</v>
      </c>
    </row>
    <row r="203" spans="1:20" customFormat="1" x14ac:dyDescent="0.2">
      <c r="A203" t="s">
        <v>948</v>
      </c>
      <c r="B203" s="129" t="s">
        <v>225</v>
      </c>
      <c r="C203" s="118">
        <v>4704</v>
      </c>
      <c r="D203" s="118">
        <v>1368</v>
      </c>
      <c r="E203" s="118">
        <v>582</v>
      </c>
      <c r="F203" s="118">
        <v>-6</v>
      </c>
      <c r="G203" s="118">
        <v>2477</v>
      </c>
      <c r="H203" s="118"/>
      <c r="I203" s="118"/>
      <c r="J203" s="317"/>
      <c r="K203" s="317">
        <v>0</v>
      </c>
      <c r="L203" s="317">
        <v>-65</v>
      </c>
      <c r="M203" s="317">
        <v>1766</v>
      </c>
      <c r="N203" s="317">
        <v>7</v>
      </c>
      <c r="O203" s="317">
        <v>0</v>
      </c>
      <c r="P203" s="317" t="s">
        <v>160</v>
      </c>
      <c r="Q203" s="317">
        <v>0</v>
      </c>
      <c r="R203" s="317">
        <v>0</v>
      </c>
      <c r="S203" s="317">
        <v>0</v>
      </c>
      <c r="T203" s="118">
        <f t="shared" ref="T203:T209" si="33">SUM(C203:S203)</f>
        <v>10833</v>
      </c>
    </row>
    <row r="204" spans="1:20" customFormat="1" x14ac:dyDescent="0.2">
      <c r="B204" s="129" t="s">
        <v>680</v>
      </c>
      <c r="C204" s="118">
        <v>0</v>
      </c>
      <c r="D204" s="118">
        <v>0</v>
      </c>
      <c r="E204" s="118">
        <v>0</v>
      </c>
      <c r="F204" s="118">
        <v>0</v>
      </c>
      <c r="G204" s="118">
        <v>0</v>
      </c>
      <c r="H204" s="118"/>
      <c r="I204" s="118"/>
      <c r="J204" s="317"/>
      <c r="K204" s="317">
        <v>0</v>
      </c>
      <c r="L204" s="317">
        <v>0</v>
      </c>
      <c r="M204" s="317">
        <v>0</v>
      </c>
      <c r="N204" s="317">
        <v>0</v>
      </c>
      <c r="O204" s="317">
        <v>0</v>
      </c>
      <c r="P204" s="317" t="s">
        <v>160</v>
      </c>
      <c r="Q204" s="317">
        <v>0</v>
      </c>
      <c r="R204" s="317">
        <v>0</v>
      </c>
      <c r="S204" s="317">
        <v>0</v>
      </c>
      <c r="T204" s="118">
        <f t="shared" si="33"/>
        <v>0</v>
      </c>
    </row>
    <row r="205" spans="1:20" customFormat="1" x14ac:dyDescent="0.2">
      <c r="B205" s="129" t="s">
        <v>764</v>
      </c>
      <c r="C205" s="118">
        <v>0</v>
      </c>
      <c r="D205" s="118">
        <v>0</v>
      </c>
      <c r="E205" s="118">
        <v>0</v>
      </c>
      <c r="F205" s="118">
        <v>134</v>
      </c>
      <c r="G205" s="118">
        <v>0</v>
      </c>
      <c r="H205" s="118"/>
      <c r="I205" s="118"/>
      <c r="J205" s="317"/>
      <c r="K205" s="317">
        <v>0</v>
      </c>
      <c r="L205" s="317">
        <v>0</v>
      </c>
      <c r="M205" s="317">
        <v>0</v>
      </c>
      <c r="N205" s="317">
        <v>0</v>
      </c>
      <c r="O205" s="317">
        <v>0</v>
      </c>
      <c r="P205" s="317" t="s">
        <v>160</v>
      </c>
      <c r="Q205" s="317">
        <v>0</v>
      </c>
      <c r="R205" s="317">
        <v>0</v>
      </c>
      <c r="S205" s="317">
        <v>0</v>
      </c>
      <c r="T205" s="118">
        <f t="shared" si="33"/>
        <v>134</v>
      </c>
    </row>
    <row r="206" spans="1:20" customFormat="1" x14ac:dyDescent="0.2">
      <c r="B206" s="129" t="s">
        <v>371</v>
      </c>
      <c r="C206" s="118">
        <v>0</v>
      </c>
      <c r="D206" s="118">
        <v>0</v>
      </c>
      <c r="E206" s="118">
        <v>0</v>
      </c>
      <c r="F206" s="118">
        <v>0</v>
      </c>
      <c r="G206" s="118">
        <v>0</v>
      </c>
      <c r="H206" s="118"/>
      <c r="I206" s="118"/>
      <c r="J206" s="317"/>
      <c r="K206" s="317">
        <v>0</v>
      </c>
      <c r="L206" s="317">
        <v>0</v>
      </c>
      <c r="M206" s="317">
        <v>0</v>
      </c>
      <c r="N206" s="317">
        <v>0</v>
      </c>
      <c r="O206" s="317">
        <v>0</v>
      </c>
      <c r="P206" s="317" t="s">
        <v>160</v>
      </c>
      <c r="Q206" s="317">
        <v>0</v>
      </c>
      <c r="R206" s="317">
        <v>0</v>
      </c>
      <c r="S206" s="317">
        <v>0</v>
      </c>
      <c r="T206" s="118">
        <f t="shared" si="33"/>
        <v>0</v>
      </c>
    </row>
    <row r="207" spans="1:20" customFormat="1" x14ac:dyDescent="0.2">
      <c r="B207" s="129" t="s">
        <v>756</v>
      </c>
      <c r="C207" s="118">
        <v>0</v>
      </c>
      <c r="D207" s="118">
        <v>0</v>
      </c>
      <c r="E207" s="118">
        <v>0</v>
      </c>
      <c r="F207" s="118">
        <v>0</v>
      </c>
      <c r="G207" s="118">
        <v>0</v>
      </c>
      <c r="H207" s="118"/>
      <c r="I207" s="118"/>
      <c r="J207" s="317"/>
      <c r="K207" s="317">
        <v>0</v>
      </c>
      <c r="L207" s="317">
        <v>0</v>
      </c>
      <c r="M207" s="317">
        <v>0</v>
      </c>
      <c r="N207" s="317">
        <v>0</v>
      </c>
      <c r="O207" s="317">
        <v>0</v>
      </c>
      <c r="P207" s="317" t="s">
        <v>160</v>
      </c>
      <c r="Q207" s="317">
        <v>0</v>
      </c>
      <c r="R207" s="317">
        <v>0</v>
      </c>
      <c r="S207" s="317">
        <v>0</v>
      </c>
      <c r="T207" s="118">
        <f t="shared" si="33"/>
        <v>0</v>
      </c>
    </row>
    <row r="208" spans="1:20" customFormat="1" ht="14.25" customHeight="1" x14ac:dyDescent="0.2">
      <c r="B208" s="129" t="s">
        <v>431</v>
      </c>
      <c r="C208" s="118">
        <v>-21317</v>
      </c>
      <c r="D208" s="118">
        <v>0</v>
      </c>
      <c r="E208" s="118">
        <v>-1878</v>
      </c>
      <c r="F208" s="118">
        <v>0</v>
      </c>
      <c r="G208" s="118">
        <v>-1567</v>
      </c>
      <c r="H208" s="118"/>
      <c r="I208" s="118"/>
      <c r="J208" s="317"/>
      <c r="K208" s="317">
        <v>0</v>
      </c>
      <c r="L208" s="317">
        <v>0</v>
      </c>
      <c r="M208" s="317">
        <v>0</v>
      </c>
      <c r="N208" s="317">
        <v>-150</v>
      </c>
      <c r="O208" s="317">
        <v>0</v>
      </c>
      <c r="P208" s="317" t="s">
        <v>160</v>
      </c>
      <c r="Q208" s="317">
        <v>0</v>
      </c>
      <c r="R208" s="317">
        <v>0</v>
      </c>
      <c r="S208" s="317">
        <v>0</v>
      </c>
      <c r="T208" s="118">
        <f t="shared" si="33"/>
        <v>-24912</v>
      </c>
    </row>
    <row r="209" spans="1:20" customFormat="1" ht="14.25" customHeight="1" x14ac:dyDescent="0.2">
      <c r="B209" s="129" t="s">
        <v>802</v>
      </c>
      <c r="C209" s="118">
        <v>0</v>
      </c>
      <c r="D209" s="118">
        <v>0</v>
      </c>
      <c r="E209" s="118">
        <v>0</v>
      </c>
      <c r="F209" s="118">
        <v>0</v>
      </c>
      <c r="G209" s="118">
        <v>0</v>
      </c>
      <c r="H209" s="118"/>
      <c r="I209" s="118"/>
      <c r="J209" s="317"/>
      <c r="K209" s="317">
        <v>0</v>
      </c>
      <c r="L209" s="317">
        <v>0</v>
      </c>
      <c r="M209" s="317">
        <v>0</v>
      </c>
      <c r="N209" s="317">
        <v>0</v>
      </c>
      <c r="O209" s="317">
        <v>0</v>
      </c>
      <c r="P209" s="317" t="s">
        <v>160</v>
      </c>
      <c r="Q209" s="317">
        <v>0</v>
      </c>
      <c r="R209" s="317">
        <v>0</v>
      </c>
      <c r="S209" s="317">
        <v>0</v>
      </c>
      <c r="T209" s="118">
        <f t="shared" si="33"/>
        <v>0</v>
      </c>
    </row>
    <row r="210" spans="1:20" customFormat="1" x14ac:dyDescent="0.2">
      <c r="B210" s="126" t="s">
        <v>949</v>
      </c>
      <c r="C210" s="120">
        <f>SUM(C201:C209)</f>
        <v>55167</v>
      </c>
      <c r="D210" s="120">
        <f t="shared" ref="D210:T210" si="34">SUM(D201:D209)</f>
        <v>19149</v>
      </c>
      <c r="E210" s="120">
        <f t="shared" si="34"/>
        <v>106865</v>
      </c>
      <c r="F210" s="120">
        <f t="shared" si="34"/>
        <v>4624</v>
      </c>
      <c r="G210" s="120">
        <f t="shared" si="34"/>
        <v>40224</v>
      </c>
      <c r="H210" s="120"/>
      <c r="I210" s="120"/>
      <c r="J210" s="120"/>
      <c r="K210" s="120">
        <f t="shared" si="34"/>
        <v>0</v>
      </c>
      <c r="L210" s="120">
        <f t="shared" ref="L210:Q210" si="35">SUM(L201:L209)</f>
        <v>358</v>
      </c>
      <c r="M210" s="120">
        <f t="shared" si="35"/>
        <v>19849</v>
      </c>
      <c r="N210" s="120">
        <f t="shared" si="35"/>
        <v>2533</v>
      </c>
      <c r="O210" s="120">
        <f t="shared" si="35"/>
        <v>1</v>
      </c>
      <c r="P210" s="120">
        <f t="shared" si="35"/>
        <v>0</v>
      </c>
      <c r="Q210" s="120">
        <f t="shared" si="35"/>
        <v>1</v>
      </c>
      <c r="R210" s="120">
        <f t="shared" si="34"/>
        <v>0</v>
      </c>
      <c r="S210" s="120">
        <f t="shared" si="34"/>
        <v>0</v>
      </c>
      <c r="T210" s="120">
        <f t="shared" si="34"/>
        <v>248771</v>
      </c>
    </row>
    <row r="212" spans="1:20" customFormat="1" x14ac:dyDescent="0.2">
      <c r="A212" t="s">
        <v>948</v>
      </c>
      <c r="B212" s="129" t="s">
        <v>225</v>
      </c>
      <c r="C212" s="118">
        <v>4443</v>
      </c>
      <c r="D212" s="118">
        <v>479</v>
      </c>
      <c r="E212" s="118">
        <v>568</v>
      </c>
      <c r="F212" s="118">
        <v>-13</v>
      </c>
      <c r="G212" s="118">
        <v>2561</v>
      </c>
      <c r="H212" s="118"/>
      <c r="I212" s="118"/>
      <c r="J212" s="317"/>
      <c r="K212" s="317">
        <v>0</v>
      </c>
      <c r="L212" s="317">
        <v>71</v>
      </c>
      <c r="M212" s="317">
        <v>2468</v>
      </c>
      <c r="N212" s="317">
        <v>3</v>
      </c>
      <c r="O212" s="317">
        <v>0</v>
      </c>
      <c r="P212" s="317" t="s">
        <v>160</v>
      </c>
      <c r="Q212" s="317">
        <v>0</v>
      </c>
      <c r="R212" s="317">
        <v>0</v>
      </c>
      <c r="S212" s="317">
        <v>0</v>
      </c>
      <c r="T212" s="118">
        <f t="shared" ref="T212:T218" si="36">SUM(C212:S212)</f>
        <v>10580</v>
      </c>
    </row>
    <row r="213" spans="1:20" customFormat="1" x14ac:dyDescent="0.2">
      <c r="B213" s="129" t="s">
        <v>680</v>
      </c>
      <c r="C213" s="118">
        <v>0</v>
      </c>
      <c r="D213" s="118">
        <v>0</v>
      </c>
      <c r="E213" s="118">
        <v>0</v>
      </c>
      <c r="F213" s="118">
        <v>0</v>
      </c>
      <c r="G213" s="118">
        <v>0</v>
      </c>
      <c r="H213" s="118"/>
      <c r="I213" s="118"/>
      <c r="J213" s="317"/>
      <c r="K213" s="317">
        <v>0</v>
      </c>
      <c r="L213" s="317">
        <v>0</v>
      </c>
      <c r="M213" s="317">
        <v>0</v>
      </c>
      <c r="N213" s="317">
        <v>0</v>
      </c>
      <c r="O213" s="317">
        <v>0</v>
      </c>
      <c r="P213" s="317" t="s">
        <v>160</v>
      </c>
      <c r="Q213" s="317">
        <v>0</v>
      </c>
      <c r="R213" s="317">
        <v>0</v>
      </c>
      <c r="S213" s="317">
        <v>0</v>
      </c>
      <c r="T213" s="118">
        <f t="shared" si="36"/>
        <v>0</v>
      </c>
    </row>
    <row r="214" spans="1:20" customFormat="1" x14ac:dyDescent="0.2">
      <c r="B214" s="129" t="s">
        <v>764</v>
      </c>
      <c r="C214" s="118">
        <v>0</v>
      </c>
      <c r="D214" s="118">
        <v>0</v>
      </c>
      <c r="E214" s="118">
        <v>0</v>
      </c>
      <c r="F214" s="118">
        <v>30</v>
      </c>
      <c r="G214" s="118">
        <v>0</v>
      </c>
      <c r="H214" s="118"/>
      <c r="I214" s="118"/>
      <c r="J214" s="317"/>
      <c r="K214" s="317">
        <v>0</v>
      </c>
      <c r="L214" s="317">
        <v>0</v>
      </c>
      <c r="M214" s="317">
        <v>0</v>
      </c>
      <c r="N214" s="317">
        <v>0</v>
      </c>
      <c r="O214" s="317">
        <v>0</v>
      </c>
      <c r="P214" s="317" t="s">
        <v>160</v>
      </c>
      <c r="Q214" s="317">
        <v>0</v>
      </c>
      <c r="R214" s="317">
        <v>0</v>
      </c>
      <c r="S214" s="317">
        <v>0</v>
      </c>
      <c r="T214" s="118">
        <f t="shared" si="36"/>
        <v>30</v>
      </c>
    </row>
    <row r="215" spans="1:20" customFormat="1" x14ac:dyDescent="0.2">
      <c r="B215" s="129" t="s">
        <v>371</v>
      </c>
      <c r="C215" s="118">
        <v>0</v>
      </c>
      <c r="D215" s="118">
        <v>0</v>
      </c>
      <c r="E215" s="118">
        <v>0</v>
      </c>
      <c r="F215" s="118">
        <v>0</v>
      </c>
      <c r="G215" s="118">
        <v>0</v>
      </c>
      <c r="H215" s="118"/>
      <c r="I215" s="118"/>
      <c r="J215" s="317"/>
      <c r="K215" s="317">
        <v>0</v>
      </c>
      <c r="L215" s="317">
        <v>0</v>
      </c>
      <c r="M215" s="317">
        <v>0</v>
      </c>
      <c r="N215" s="317">
        <v>0</v>
      </c>
      <c r="O215" s="317">
        <v>0</v>
      </c>
      <c r="P215" s="317" t="s">
        <v>160</v>
      </c>
      <c r="Q215" s="317">
        <v>0</v>
      </c>
      <c r="R215" s="317">
        <v>0</v>
      </c>
      <c r="S215" s="317">
        <v>0</v>
      </c>
      <c r="T215" s="118">
        <f t="shared" si="36"/>
        <v>0</v>
      </c>
    </row>
    <row r="216" spans="1:20" customFormat="1" x14ac:dyDescent="0.2">
      <c r="B216" s="129" t="s">
        <v>756</v>
      </c>
      <c r="C216" s="118">
        <v>0</v>
      </c>
      <c r="D216" s="118">
        <v>0</v>
      </c>
      <c r="E216" s="118">
        <v>0</v>
      </c>
      <c r="F216" s="118">
        <v>0</v>
      </c>
      <c r="G216" s="118">
        <v>0</v>
      </c>
      <c r="H216" s="118"/>
      <c r="I216" s="118"/>
      <c r="J216" s="317"/>
      <c r="K216" s="317">
        <v>0</v>
      </c>
      <c r="L216" s="317">
        <v>0</v>
      </c>
      <c r="M216" s="317">
        <v>0</v>
      </c>
      <c r="N216" s="317">
        <v>0</v>
      </c>
      <c r="O216" s="317">
        <v>0</v>
      </c>
      <c r="P216" s="317" t="s">
        <v>160</v>
      </c>
      <c r="Q216" s="317">
        <v>0</v>
      </c>
      <c r="R216" s="317">
        <v>0</v>
      </c>
      <c r="S216" s="317">
        <v>0</v>
      </c>
      <c r="T216" s="118">
        <f t="shared" si="36"/>
        <v>0</v>
      </c>
    </row>
    <row r="217" spans="1:20" customFormat="1" ht="14.25" customHeight="1" x14ac:dyDescent="0.2">
      <c r="B217" s="129" t="s">
        <v>431</v>
      </c>
      <c r="C217" s="118">
        <v>0</v>
      </c>
      <c r="D217" s="118">
        <v>0</v>
      </c>
      <c r="E217" s="118">
        <v>0</v>
      </c>
      <c r="F217" s="118">
        <v>0</v>
      </c>
      <c r="G217" s="118">
        <v>-3775</v>
      </c>
      <c r="H217" s="118"/>
      <c r="I217" s="118"/>
      <c r="J217" s="317"/>
      <c r="K217" s="317">
        <v>0</v>
      </c>
      <c r="L217" s="317">
        <v>0</v>
      </c>
      <c r="M217" s="317">
        <v>0</v>
      </c>
      <c r="N217" s="317">
        <v>0</v>
      </c>
      <c r="O217" s="317">
        <v>0</v>
      </c>
      <c r="P217" s="317" t="s">
        <v>160</v>
      </c>
      <c r="Q217" s="317">
        <v>0</v>
      </c>
      <c r="R217" s="317">
        <v>0</v>
      </c>
      <c r="S217" s="317">
        <v>0</v>
      </c>
      <c r="T217" s="118">
        <f t="shared" si="36"/>
        <v>-3775</v>
      </c>
    </row>
    <row r="218" spans="1:20" customFormat="1" ht="14.25" customHeight="1" x14ac:dyDescent="0.2">
      <c r="B218" s="129" t="s">
        <v>802</v>
      </c>
      <c r="C218" s="118">
        <v>0</v>
      </c>
      <c r="D218" s="118">
        <v>0</v>
      </c>
      <c r="E218" s="118">
        <v>0</v>
      </c>
      <c r="F218" s="118">
        <v>0</v>
      </c>
      <c r="G218" s="118">
        <v>0</v>
      </c>
      <c r="H218" s="118"/>
      <c r="I218" s="118"/>
      <c r="J218" s="317"/>
      <c r="K218" s="317">
        <v>0</v>
      </c>
      <c r="L218" s="317">
        <v>0</v>
      </c>
      <c r="M218" s="317">
        <v>0</v>
      </c>
      <c r="N218" s="317">
        <v>0</v>
      </c>
      <c r="O218" s="317">
        <v>0</v>
      </c>
      <c r="P218" s="317" t="s">
        <v>160</v>
      </c>
      <c r="Q218" s="317">
        <v>0</v>
      </c>
      <c r="R218" s="317">
        <v>0</v>
      </c>
      <c r="S218" s="317">
        <v>0</v>
      </c>
      <c r="T218" s="118">
        <f t="shared" si="36"/>
        <v>0</v>
      </c>
    </row>
    <row r="219" spans="1:20" customFormat="1" x14ac:dyDescent="0.2">
      <c r="B219" s="126" t="s">
        <v>1020</v>
      </c>
      <c r="C219" s="120">
        <f>SUM(C210:C218)</f>
        <v>59610</v>
      </c>
      <c r="D219" s="120">
        <f t="shared" ref="D219:T219" si="37">SUM(D210:D218)</f>
        <v>19628</v>
      </c>
      <c r="E219" s="120">
        <f t="shared" si="37"/>
        <v>107433</v>
      </c>
      <c r="F219" s="120">
        <f t="shared" si="37"/>
        <v>4641</v>
      </c>
      <c r="G219" s="120">
        <f t="shared" si="37"/>
        <v>39010</v>
      </c>
      <c r="H219" s="120"/>
      <c r="I219" s="120"/>
      <c r="J219" s="120"/>
      <c r="K219" s="120">
        <f t="shared" si="37"/>
        <v>0</v>
      </c>
      <c r="L219" s="120">
        <f t="shared" ref="L219:Q219" si="38">SUM(L210:L218)</f>
        <v>429</v>
      </c>
      <c r="M219" s="120">
        <f t="shared" si="38"/>
        <v>22317</v>
      </c>
      <c r="N219" s="120">
        <f t="shared" si="38"/>
        <v>2536</v>
      </c>
      <c r="O219" s="120">
        <f t="shared" si="38"/>
        <v>1</v>
      </c>
      <c r="P219" s="120">
        <f t="shared" si="38"/>
        <v>0</v>
      </c>
      <c r="Q219" s="120">
        <f t="shared" si="38"/>
        <v>1</v>
      </c>
      <c r="R219" s="120">
        <f t="shared" si="37"/>
        <v>0</v>
      </c>
      <c r="S219" s="120">
        <f t="shared" si="37"/>
        <v>0</v>
      </c>
      <c r="T219" s="120">
        <f t="shared" si="37"/>
        <v>255606</v>
      </c>
    </row>
    <row r="221" spans="1:20" customFormat="1" x14ac:dyDescent="0.2">
      <c r="A221" t="s">
        <v>948</v>
      </c>
      <c r="B221" s="129" t="s">
        <v>225</v>
      </c>
      <c r="C221" s="118">
        <v>4383</v>
      </c>
      <c r="D221" s="118">
        <v>-3653</v>
      </c>
      <c r="E221" s="118">
        <v>1095</v>
      </c>
      <c r="F221" s="118">
        <v>31</v>
      </c>
      <c r="G221" s="118">
        <v>-143</v>
      </c>
      <c r="H221" s="118"/>
      <c r="I221" s="118"/>
      <c r="J221" s="317"/>
      <c r="K221" s="317">
        <v>0</v>
      </c>
      <c r="L221" s="317">
        <v>-19</v>
      </c>
      <c r="M221" s="317">
        <v>3009</v>
      </c>
      <c r="N221" s="317">
        <v>11</v>
      </c>
      <c r="O221" s="317">
        <v>0</v>
      </c>
      <c r="P221" s="317" t="s">
        <v>160</v>
      </c>
      <c r="Q221" s="317">
        <v>0</v>
      </c>
      <c r="R221" s="317">
        <v>0</v>
      </c>
      <c r="S221" s="317">
        <v>0</v>
      </c>
      <c r="T221" s="118">
        <f t="shared" ref="T221:T226" si="39">SUM(C221:S221)</f>
        <v>4714</v>
      </c>
    </row>
    <row r="222" spans="1:20" customFormat="1" x14ac:dyDescent="0.2">
      <c r="B222" s="129" t="s">
        <v>1056</v>
      </c>
      <c r="C222" s="118">
        <v>0</v>
      </c>
      <c r="D222" s="118">
        <v>0</v>
      </c>
      <c r="E222" s="118">
        <v>0</v>
      </c>
      <c r="F222" s="118">
        <v>0</v>
      </c>
      <c r="G222" s="118">
        <v>0</v>
      </c>
      <c r="H222" s="118"/>
      <c r="I222" s="118"/>
      <c r="J222" s="317"/>
      <c r="K222" s="317">
        <v>0</v>
      </c>
      <c r="L222" s="317">
        <v>0</v>
      </c>
      <c r="M222" s="317">
        <v>0</v>
      </c>
      <c r="N222" s="317">
        <v>0</v>
      </c>
      <c r="O222" s="317">
        <v>0</v>
      </c>
      <c r="P222" s="317" t="s">
        <v>160</v>
      </c>
      <c r="Q222" s="317">
        <v>-1</v>
      </c>
      <c r="R222" s="317">
        <v>0</v>
      </c>
      <c r="S222" s="317">
        <v>0</v>
      </c>
      <c r="T222" s="118">
        <f t="shared" si="39"/>
        <v>-1</v>
      </c>
    </row>
    <row r="223" spans="1:20" customFormat="1" x14ac:dyDescent="0.2">
      <c r="B223" s="129" t="s">
        <v>1055</v>
      </c>
      <c r="C223" s="118">
        <v>1</v>
      </c>
      <c r="D223" s="118">
        <v>0</v>
      </c>
      <c r="E223" s="118">
        <v>0</v>
      </c>
      <c r="F223" s="118">
        <v>235</v>
      </c>
      <c r="G223" s="118">
        <v>0</v>
      </c>
      <c r="H223" s="118"/>
      <c r="I223" s="118"/>
      <c r="J223" s="317"/>
      <c r="K223" s="317">
        <v>0</v>
      </c>
      <c r="L223" s="317">
        <v>0</v>
      </c>
      <c r="M223" s="317">
        <v>0</v>
      </c>
      <c r="N223" s="317">
        <v>-1170</v>
      </c>
      <c r="O223" s="317">
        <v>0</v>
      </c>
      <c r="P223" s="317" t="s">
        <v>160</v>
      </c>
      <c r="Q223" s="317">
        <v>0</v>
      </c>
      <c r="R223" s="317">
        <v>0</v>
      </c>
      <c r="S223" s="317">
        <v>0</v>
      </c>
      <c r="T223" s="118">
        <f t="shared" si="39"/>
        <v>-934</v>
      </c>
    </row>
    <row r="224" spans="1:20" customFormat="1" x14ac:dyDescent="0.2">
      <c r="B224" s="129" t="s">
        <v>756</v>
      </c>
      <c r="C224" s="118">
        <v>0</v>
      </c>
      <c r="D224" s="118">
        <v>0</v>
      </c>
      <c r="E224" s="118">
        <v>0</v>
      </c>
      <c r="F224" s="118">
        <v>0</v>
      </c>
      <c r="G224" s="118">
        <v>0</v>
      </c>
      <c r="H224" s="118"/>
      <c r="I224" s="118"/>
      <c r="J224" s="317"/>
      <c r="K224" s="317">
        <v>0</v>
      </c>
      <c r="L224" s="317">
        <v>0</v>
      </c>
      <c r="M224" s="317">
        <v>0</v>
      </c>
      <c r="N224" s="317">
        <v>0</v>
      </c>
      <c r="O224" s="317">
        <v>0</v>
      </c>
      <c r="P224" s="317" t="s">
        <v>160</v>
      </c>
      <c r="Q224" s="317">
        <v>0</v>
      </c>
      <c r="R224" s="317">
        <v>0</v>
      </c>
      <c r="S224" s="317">
        <v>0</v>
      </c>
      <c r="T224" s="118">
        <f t="shared" si="39"/>
        <v>0</v>
      </c>
    </row>
    <row r="225" spans="1:20" customFormat="1" ht="14.25" customHeight="1" x14ac:dyDescent="0.2">
      <c r="B225" s="129" t="s">
        <v>431</v>
      </c>
      <c r="C225" s="118">
        <v>0</v>
      </c>
      <c r="D225" s="118">
        <v>0</v>
      </c>
      <c r="E225" s="118">
        <v>0</v>
      </c>
      <c r="F225" s="118">
        <v>0</v>
      </c>
      <c r="G225" s="118">
        <v>-2000</v>
      </c>
      <c r="H225" s="118"/>
      <c r="I225" s="118"/>
      <c r="J225" s="317"/>
      <c r="K225" s="317">
        <v>0</v>
      </c>
      <c r="L225" s="317">
        <v>0</v>
      </c>
      <c r="M225" s="317">
        <v>0</v>
      </c>
      <c r="N225" s="317">
        <v>0</v>
      </c>
      <c r="O225" s="317">
        <v>0</v>
      </c>
      <c r="P225" s="317" t="s">
        <v>160</v>
      </c>
      <c r="Q225" s="317">
        <v>0</v>
      </c>
      <c r="R225" s="317">
        <v>0</v>
      </c>
      <c r="S225" s="317">
        <v>0</v>
      </c>
      <c r="T225" s="118">
        <f t="shared" si="39"/>
        <v>-2000</v>
      </c>
    </row>
    <row r="226" spans="1:20" customFormat="1" ht="14.25" customHeight="1" x14ac:dyDescent="0.2">
      <c r="B226" s="129" t="s">
        <v>802</v>
      </c>
      <c r="C226" s="118">
        <v>0</v>
      </c>
      <c r="D226" s="118">
        <v>0</v>
      </c>
      <c r="E226" s="118">
        <v>0</v>
      </c>
      <c r="F226" s="118">
        <v>0</v>
      </c>
      <c r="G226" s="118">
        <v>0</v>
      </c>
      <c r="H226" s="118"/>
      <c r="I226" s="118"/>
      <c r="J226" s="317"/>
      <c r="K226" s="317">
        <v>0</v>
      </c>
      <c r="L226" s="317">
        <v>0</v>
      </c>
      <c r="M226" s="317">
        <v>0</v>
      </c>
      <c r="N226" s="317">
        <v>0</v>
      </c>
      <c r="O226" s="317">
        <v>0</v>
      </c>
      <c r="P226" s="317" t="s">
        <v>160</v>
      </c>
      <c r="Q226" s="317">
        <v>0</v>
      </c>
      <c r="R226" s="317">
        <v>0</v>
      </c>
      <c r="S226" s="317">
        <v>0</v>
      </c>
      <c r="T226" s="118">
        <f t="shared" si="39"/>
        <v>0</v>
      </c>
    </row>
    <row r="227" spans="1:20" customFormat="1" x14ac:dyDescent="0.2">
      <c r="B227" s="126" t="s">
        <v>1045</v>
      </c>
      <c r="C227" s="120">
        <f>SUM(C219:C226)</f>
        <v>63994</v>
      </c>
      <c r="D227" s="120">
        <f t="shared" ref="D227:T227" si="40">SUM(D219:D226)</f>
        <v>15975</v>
      </c>
      <c r="E227" s="120">
        <f t="shared" si="40"/>
        <v>108528</v>
      </c>
      <c r="F227" s="120">
        <f t="shared" si="40"/>
        <v>4907</v>
      </c>
      <c r="G227" s="120">
        <f t="shared" si="40"/>
        <v>36867</v>
      </c>
      <c r="H227" s="120"/>
      <c r="I227" s="120"/>
      <c r="J227" s="120"/>
      <c r="K227" s="120">
        <f t="shared" si="40"/>
        <v>0</v>
      </c>
      <c r="L227" s="120">
        <f t="shared" ref="L227:Q227" si="41">SUM(L219:L226)</f>
        <v>410</v>
      </c>
      <c r="M227" s="120">
        <f t="shared" si="41"/>
        <v>25326</v>
      </c>
      <c r="N227" s="120">
        <f t="shared" si="41"/>
        <v>1377</v>
      </c>
      <c r="O227" s="120">
        <f t="shared" si="41"/>
        <v>1</v>
      </c>
      <c r="P227" s="120">
        <f t="shared" si="41"/>
        <v>0</v>
      </c>
      <c r="Q227" s="120">
        <f t="shared" si="41"/>
        <v>0</v>
      </c>
      <c r="R227" s="120">
        <f t="shared" si="40"/>
        <v>0</v>
      </c>
      <c r="S227" s="120">
        <f t="shared" si="40"/>
        <v>0</v>
      </c>
      <c r="T227" s="120">
        <f t="shared" si="40"/>
        <v>257385</v>
      </c>
    </row>
    <row r="229" spans="1:20" customFormat="1" x14ac:dyDescent="0.2">
      <c r="A229" t="s">
        <v>948</v>
      </c>
      <c r="B229" s="129" t="s">
        <v>225</v>
      </c>
      <c r="C229" s="118">
        <v>2185</v>
      </c>
      <c r="D229" s="118">
        <v>-439</v>
      </c>
      <c r="E229" s="118">
        <v>1069</v>
      </c>
      <c r="F229" s="118">
        <v>-18</v>
      </c>
      <c r="G229" s="118">
        <v>818</v>
      </c>
      <c r="H229" s="118"/>
      <c r="I229" s="118"/>
      <c r="J229" s="317"/>
      <c r="K229" s="317">
        <v>0</v>
      </c>
      <c r="L229" s="317">
        <v>-7</v>
      </c>
      <c r="M229" s="317">
        <v>1624</v>
      </c>
      <c r="N229" s="317">
        <v>1</v>
      </c>
      <c r="O229" s="317">
        <v>0</v>
      </c>
      <c r="P229" s="317">
        <v>0</v>
      </c>
      <c r="Q229" s="317">
        <v>0</v>
      </c>
      <c r="R229" s="317">
        <v>0</v>
      </c>
      <c r="S229" s="317">
        <v>0</v>
      </c>
      <c r="T229" s="118">
        <f t="shared" ref="T229:T234" si="42">SUM(C229:S229)</f>
        <v>5233</v>
      </c>
    </row>
    <row r="230" spans="1:20" customFormat="1" x14ac:dyDescent="0.2">
      <c r="B230" s="129" t="s">
        <v>1056</v>
      </c>
      <c r="C230" s="118">
        <v>0</v>
      </c>
      <c r="D230" s="118">
        <v>0</v>
      </c>
      <c r="E230" s="118">
        <v>0</v>
      </c>
      <c r="F230" s="118">
        <v>0</v>
      </c>
      <c r="G230" s="118">
        <v>0</v>
      </c>
      <c r="H230" s="118"/>
      <c r="I230" s="118"/>
      <c r="J230" s="317"/>
      <c r="K230" s="317">
        <v>0</v>
      </c>
      <c r="L230" s="317">
        <v>0</v>
      </c>
      <c r="M230" s="317">
        <v>0</v>
      </c>
      <c r="N230" s="317">
        <v>0</v>
      </c>
      <c r="O230" s="317">
        <v>0</v>
      </c>
      <c r="P230" s="317" t="s">
        <v>160</v>
      </c>
      <c r="Q230" s="317">
        <v>0</v>
      </c>
      <c r="R230" s="317">
        <v>0</v>
      </c>
      <c r="S230" s="317">
        <v>0</v>
      </c>
      <c r="T230" s="118">
        <f t="shared" si="42"/>
        <v>0</v>
      </c>
    </row>
    <row r="231" spans="1:20" customFormat="1" x14ac:dyDescent="0.2">
      <c r="B231" s="129" t="s">
        <v>1055</v>
      </c>
      <c r="C231" s="118">
        <v>0</v>
      </c>
      <c r="D231" s="118">
        <v>0</v>
      </c>
      <c r="E231" s="118">
        <v>0</v>
      </c>
      <c r="F231" s="118">
        <v>0</v>
      </c>
      <c r="G231" s="118">
        <v>0</v>
      </c>
      <c r="H231" s="118"/>
      <c r="I231" s="118"/>
      <c r="J231" s="317"/>
      <c r="K231" s="317">
        <v>0</v>
      </c>
      <c r="L231" s="317">
        <v>0</v>
      </c>
      <c r="M231" s="317">
        <v>0</v>
      </c>
      <c r="N231" s="317">
        <v>0</v>
      </c>
      <c r="O231" s="317">
        <v>0</v>
      </c>
      <c r="P231" s="317" t="s">
        <v>160</v>
      </c>
      <c r="Q231" s="317">
        <v>0</v>
      </c>
      <c r="R231" s="317">
        <v>0</v>
      </c>
      <c r="S231" s="317">
        <v>0</v>
      </c>
      <c r="T231" s="118">
        <f t="shared" si="42"/>
        <v>0</v>
      </c>
    </row>
    <row r="232" spans="1:20" customFormat="1" x14ac:dyDescent="0.2">
      <c r="B232" s="129" t="s">
        <v>756</v>
      </c>
      <c r="C232" s="118">
        <v>0</v>
      </c>
      <c r="D232" s="118">
        <v>0</v>
      </c>
      <c r="E232" s="118">
        <v>0</v>
      </c>
      <c r="F232" s="118">
        <v>0</v>
      </c>
      <c r="G232" s="118">
        <v>0</v>
      </c>
      <c r="H232" s="118"/>
      <c r="I232" s="118"/>
      <c r="J232" s="317"/>
      <c r="K232" s="317">
        <v>0</v>
      </c>
      <c r="L232" s="317">
        <v>0</v>
      </c>
      <c r="M232" s="317">
        <v>0</v>
      </c>
      <c r="N232" s="317">
        <v>0</v>
      </c>
      <c r="O232" s="317">
        <v>0</v>
      </c>
      <c r="P232" s="317" t="s">
        <v>160</v>
      </c>
      <c r="Q232" s="317">
        <v>0</v>
      </c>
      <c r="R232" s="317">
        <v>0</v>
      </c>
      <c r="S232" s="317">
        <v>0</v>
      </c>
      <c r="T232" s="118">
        <f t="shared" si="42"/>
        <v>0</v>
      </c>
    </row>
    <row r="233" spans="1:20" customFormat="1" ht="14.25" customHeight="1" x14ac:dyDescent="0.2">
      <c r="B233" s="129" t="s">
        <v>431</v>
      </c>
      <c r="C233" s="118">
        <v>0</v>
      </c>
      <c r="D233" s="118">
        <v>0</v>
      </c>
      <c r="E233" s="118">
        <v>0</v>
      </c>
      <c r="F233" s="118">
        <v>0</v>
      </c>
      <c r="G233" s="118">
        <v>0</v>
      </c>
      <c r="H233" s="118"/>
      <c r="I233" s="118"/>
      <c r="J233" s="317"/>
      <c r="K233" s="317">
        <v>0</v>
      </c>
      <c r="L233" s="317">
        <v>0</v>
      </c>
      <c r="M233" s="317">
        <v>0</v>
      </c>
      <c r="N233" s="317">
        <v>0</v>
      </c>
      <c r="O233" s="317">
        <v>0</v>
      </c>
      <c r="P233" s="317">
        <v>0</v>
      </c>
      <c r="Q233" s="317">
        <v>0</v>
      </c>
      <c r="R233" s="317">
        <v>0</v>
      </c>
      <c r="S233" s="317">
        <v>0</v>
      </c>
      <c r="T233" s="118">
        <f t="shared" si="42"/>
        <v>0</v>
      </c>
    </row>
    <row r="234" spans="1:20" customFormat="1" ht="14.25" customHeight="1" x14ac:dyDescent="0.2">
      <c r="B234" s="129" t="s">
        <v>802</v>
      </c>
      <c r="C234" s="118">
        <v>0</v>
      </c>
      <c r="D234" s="118">
        <v>0</v>
      </c>
      <c r="E234" s="118">
        <v>0</v>
      </c>
      <c r="F234" s="118">
        <v>0</v>
      </c>
      <c r="G234" s="118">
        <v>0</v>
      </c>
      <c r="H234" s="118"/>
      <c r="I234" s="118"/>
      <c r="J234" s="317"/>
      <c r="K234" s="317">
        <v>0</v>
      </c>
      <c r="L234" s="317">
        <v>0</v>
      </c>
      <c r="M234" s="317">
        <v>0</v>
      </c>
      <c r="N234" s="317">
        <v>0</v>
      </c>
      <c r="O234" s="317">
        <v>0</v>
      </c>
      <c r="P234" s="317" t="s">
        <v>160</v>
      </c>
      <c r="Q234" s="317">
        <v>0</v>
      </c>
      <c r="R234" s="317">
        <v>0</v>
      </c>
      <c r="S234" s="317">
        <v>0</v>
      </c>
      <c r="T234" s="118">
        <f t="shared" si="42"/>
        <v>0</v>
      </c>
    </row>
    <row r="235" spans="1:20" customFormat="1" x14ac:dyDescent="0.2">
      <c r="B235" s="126" t="s">
        <v>1068</v>
      </c>
      <c r="C235" s="120">
        <f>SUM(C227:C234)</f>
        <v>66179</v>
      </c>
      <c r="D235" s="120">
        <f>SUM(D227:D234)</f>
        <v>15536</v>
      </c>
      <c r="E235" s="120">
        <f>SUM(E227:E234)</f>
        <v>109597</v>
      </c>
      <c r="F235" s="120">
        <f>SUM(F227:F234)</f>
        <v>4889</v>
      </c>
      <c r="G235" s="120">
        <f>SUM(G227:G234)</f>
        <v>37685</v>
      </c>
      <c r="H235" s="120"/>
      <c r="I235" s="120"/>
      <c r="J235" s="120"/>
      <c r="K235" s="120">
        <f>SUM(K227:K234)</f>
        <v>0</v>
      </c>
      <c r="L235" s="120">
        <f t="shared" ref="L235:Q235" si="43">SUM(L227:L234)</f>
        <v>403</v>
      </c>
      <c r="M235" s="120">
        <f t="shared" si="43"/>
        <v>26950</v>
      </c>
      <c r="N235" s="120">
        <f t="shared" si="43"/>
        <v>1378</v>
      </c>
      <c r="O235" s="120">
        <f t="shared" si="43"/>
        <v>1</v>
      </c>
      <c r="P235" s="120">
        <f t="shared" si="43"/>
        <v>0</v>
      </c>
      <c r="Q235" s="120">
        <f t="shared" si="43"/>
        <v>0</v>
      </c>
      <c r="R235" s="120">
        <f>SUM(R227:R234)</f>
        <v>0</v>
      </c>
      <c r="S235" s="120">
        <f>SUM(S227:S234)</f>
        <v>0</v>
      </c>
      <c r="T235" s="120">
        <f>SUM(T227:T234)</f>
        <v>262618</v>
      </c>
    </row>
    <row r="237" spans="1:20" customFormat="1" x14ac:dyDescent="0.2">
      <c r="A237" t="s">
        <v>948</v>
      </c>
      <c r="B237" s="129" t="s">
        <v>225</v>
      </c>
      <c r="C237" s="118">
        <v>9166</v>
      </c>
      <c r="D237" s="118">
        <v>-880</v>
      </c>
      <c r="E237" s="118">
        <v>-213</v>
      </c>
      <c r="F237" s="118">
        <v>208</v>
      </c>
      <c r="G237" s="118">
        <v>2395</v>
      </c>
      <c r="H237" s="118"/>
      <c r="I237" s="118"/>
      <c r="J237" s="118"/>
      <c r="K237" s="118">
        <v>0</v>
      </c>
      <c r="L237" s="118">
        <v>-5</v>
      </c>
      <c r="M237" s="118">
        <v>2321</v>
      </c>
      <c r="N237" s="118">
        <v>-17</v>
      </c>
      <c r="O237" s="118">
        <v>0</v>
      </c>
      <c r="P237" s="118">
        <v>0</v>
      </c>
      <c r="Q237" s="118">
        <v>0</v>
      </c>
      <c r="R237" s="118">
        <v>0</v>
      </c>
      <c r="S237" s="118">
        <v>0</v>
      </c>
      <c r="T237" s="118">
        <f t="shared" ref="T237:T242" si="44">SUM(C237:S237)</f>
        <v>12975</v>
      </c>
    </row>
    <row r="238" spans="1:20" customFormat="1" x14ac:dyDescent="0.2">
      <c r="B238" s="129" t="s">
        <v>1056</v>
      </c>
      <c r="C238" s="118">
        <v>0</v>
      </c>
      <c r="D238" s="118">
        <v>0</v>
      </c>
      <c r="E238" s="118">
        <v>0</v>
      </c>
      <c r="F238" s="118">
        <v>0</v>
      </c>
      <c r="G238" s="118">
        <v>0</v>
      </c>
      <c r="H238" s="118"/>
      <c r="I238" s="118"/>
      <c r="J238" s="118"/>
      <c r="K238" s="118">
        <v>0</v>
      </c>
      <c r="L238" s="118">
        <v>0</v>
      </c>
      <c r="M238" s="118">
        <v>0</v>
      </c>
      <c r="N238" s="118">
        <v>0</v>
      </c>
      <c r="O238" s="118">
        <v>0</v>
      </c>
      <c r="P238" s="118">
        <v>0</v>
      </c>
      <c r="Q238" s="118">
        <v>0</v>
      </c>
      <c r="R238" s="118">
        <v>0</v>
      </c>
      <c r="S238" s="118">
        <v>0</v>
      </c>
      <c r="T238" s="118">
        <f t="shared" si="44"/>
        <v>0</v>
      </c>
    </row>
    <row r="239" spans="1:20" customFormat="1" x14ac:dyDescent="0.2">
      <c r="B239" s="129" t="s">
        <v>1055</v>
      </c>
      <c r="C239" s="118">
        <v>0</v>
      </c>
      <c r="D239" s="118">
        <v>0</v>
      </c>
      <c r="E239" s="118">
        <v>0</v>
      </c>
      <c r="F239" s="118">
        <v>0</v>
      </c>
      <c r="G239" s="118">
        <v>0</v>
      </c>
      <c r="H239" s="118"/>
      <c r="I239" s="118"/>
      <c r="J239" s="118"/>
      <c r="K239" s="118">
        <v>0</v>
      </c>
      <c r="L239" s="118">
        <v>0</v>
      </c>
      <c r="M239" s="118">
        <v>0</v>
      </c>
      <c r="N239" s="118">
        <v>0</v>
      </c>
      <c r="O239" s="118">
        <v>0</v>
      </c>
      <c r="P239" s="118">
        <v>0</v>
      </c>
      <c r="Q239" s="118">
        <v>0</v>
      </c>
      <c r="R239" s="118">
        <v>0</v>
      </c>
      <c r="S239" s="118">
        <v>0</v>
      </c>
      <c r="T239" s="118">
        <f t="shared" si="44"/>
        <v>0</v>
      </c>
    </row>
    <row r="240" spans="1:20" customFormat="1" x14ac:dyDescent="0.2">
      <c r="B240" s="129" t="s">
        <v>756</v>
      </c>
      <c r="C240" s="118">
        <v>0</v>
      </c>
      <c r="D240" s="118">
        <v>0</v>
      </c>
      <c r="E240" s="118">
        <v>0</v>
      </c>
      <c r="F240" s="118">
        <v>0</v>
      </c>
      <c r="G240" s="118">
        <v>0</v>
      </c>
      <c r="H240" s="118"/>
      <c r="I240" s="118"/>
      <c r="J240" s="118"/>
      <c r="K240" s="118">
        <v>0</v>
      </c>
      <c r="L240" s="118">
        <v>0</v>
      </c>
      <c r="M240" s="118">
        <v>0</v>
      </c>
      <c r="N240" s="118">
        <v>0</v>
      </c>
      <c r="O240" s="118">
        <v>0</v>
      </c>
      <c r="P240" s="118">
        <v>0</v>
      </c>
      <c r="Q240" s="118">
        <v>0</v>
      </c>
      <c r="R240" s="118">
        <v>0</v>
      </c>
      <c r="S240" s="118">
        <v>0</v>
      </c>
      <c r="T240" s="118">
        <f t="shared" si="44"/>
        <v>0</v>
      </c>
    </row>
    <row r="241" spans="1:20" customFormat="1" ht="14.25" customHeight="1" x14ac:dyDescent="0.2">
      <c r="B241" s="129" t="s">
        <v>431</v>
      </c>
      <c r="C241" s="118">
        <v>-10000</v>
      </c>
      <c r="D241" s="118">
        <v>0</v>
      </c>
      <c r="E241" s="118">
        <v>-2685</v>
      </c>
      <c r="F241" s="118">
        <v>0</v>
      </c>
      <c r="G241" s="118">
        <v>-1811</v>
      </c>
      <c r="H241" s="118"/>
      <c r="I241" s="118"/>
      <c r="J241" s="118"/>
      <c r="K241" s="118">
        <v>0</v>
      </c>
      <c r="L241" s="118">
        <v>0</v>
      </c>
      <c r="M241" s="118">
        <v>-662</v>
      </c>
      <c r="N241" s="118">
        <v>-33</v>
      </c>
      <c r="O241" s="118">
        <v>0</v>
      </c>
      <c r="P241" s="118">
        <v>0</v>
      </c>
      <c r="Q241" s="118">
        <v>0</v>
      </c>
      <c r="R241" s="118">
        <v>0</v>
      </c>
      <c r="S241" s="118">
        <v>0</v>
      </c>
      <c r="T241" s="118">
        <f t="shared" si="44"/>
        <v>-15191</v>
      </c>
    </row>
    <row r="242" spans="1:20" customFormat="1" ht="14.25" customHeight="1" x14ac:dyDescent="0.2">
      <c r="B242" s="129" t="s">
        <v>802</v>
      </c>
      <c r="C242" s="118">
        <v>0</v>
      </c>
      <c r="D242" s="118">
        <v>0</v>
      </c>
      <c r="E242" s="118">
        <v>0</v>
      </c>
      <c r="F242" s="118">
        <v>0</v>
      </c>
      <c r="G242" s="118">
        <v>0</v>
      </c>
      <c r="H242" s="118"/>
      <c r="I242" s="118"/>
      <c r="J242" s="118"/>
      <c r="K242" s="118">
        <v>0</v>
      </c>
      <c r="L242" s="118">
        <v>0</v>
      </c>
      <c r="M242" s="118">
        <v>0</v>
      </c>
      <c r="N242" s="118">
        <v>0</v>
      </c>
      <c r="O242" s="118">
        <v>0</v>
      </c>
      <c r="P242" s="118">
        <v>0</v>
      </c>
      <c r="Q242" s="118">
        <v>0</v>
      </c>
      <c r="R242" s="118">
        <v>0</v>
      </c>
      <c r="S242" s="118">
        <v>0</v>
      </c>
      <c r="T242" s="118">
        <f t="shared" si="44"/>
        <v>0</v>
      </c>
    </row>
    <row r="243" spans="1:20" customFormat="1" x14ac:dyDescent="0.2">
      <c r="B243" s="126" t="s">
        <v>1072</v>
      </c>
      <c r="C243" s="120">
        <f>SUM(C235:C242)</f>
        <v>65345</v>
      </c>
      <c r="D243" s="120">
        <f>SUM(D235:D242)</f>
        <v>14656</v>
      </c>
      <c r="E243" s="120">
        <f>SUM(E235:E242)</f>
        <v>106699</v>
      </c>
      <c r="F243" s="120">
        <f>SUM(F235:F242)</f>
        <v>5097</v>
      </c>
      <c r="G243" s="120">
        <f>SUM(G235:G242)</f>
        <v>38269</v>
      </c>
      <c r="H243" s="120"/>
      <c r="I243" s="120"/>
      <c r="J243" s="120"/>
      <c r="K243" s="120">
        <f>SUM(K235:K242)</f>
        <v>0</v>
      </c>
      <c r="L243" s="120">
        <f t="shared" ref="L243:Q243" si="45">SUM(L235:L242)</f>
        <v>398</v>
      </c>
      <c r="M243" s="120">
        <f t="shared" si="45"/>
        <v>28609</v>
      </c>
      <c r="N243" s="120">
        <f t="shared" si="45"/>
        <v>1328</v>
      </c>
      <c r="O243" s="120">
        <f t="shared" si="45"/>
        <v>1</v>
      </c>
      <c r="P243" s="120">
        <f t="shared" si="45"/>
        <v>0</v>
      </c>
      <c r="Q243" s="120">
        <f t="shared" si="45"/>
        <v>0</v>
      </c>
      <c r="R243" s="120">
        <f>SUM(R235:R242)</f>
        <v>0</v>
      </c>
      <c r="S243" s="120">
        <f>SUM(S235:S242)</f>
        <v>0</v>
      </c>
      <c r="T243" s="120">
        <f>SUM(T235:T242)</f>
        <v>260402</v>
      </c>
    </row>
    <row r="245" spans="1:20" customFormat="1" x14ac:dyDescent="0.2">
      <c r="A245" t="s">
        <v>948</v>
      </c>
      <c r="B245" s="129" t="s">
        <v>225</v>
      </c>
      <c r="C245" s="118">
        <v>4498</v>
      </c>
      <c r="D245" s="118">
        <v>-10</v>
      </c>
      <c r="E245" s="118">
        <v>1379</v>
      </c>
      <c r="F245" s="118">
        <v>58</v>
      </c>
      <c r="G245" s="118">
        <v>1857</v>
      </c>
      <c r="H245" s="118"/>
      <c r="I245" s="118"/>
      <c r="J245" s="118"/>
      <c r="K245" s="118">
        <v>0</v>
      </c>
      <c r="L245" s="118">
        <v>-72</v>
      </c>
      <c r="M245" s="118">
        <v>2118</v>
      </c>
      <c r="N245" s="118">
        <v>21</v>
      </c>
      <c r="O245" s="118">
        <v>0</v>
      </c>
      <c r="P245" s="118">
        <v>0</v>
      </c>
      <c r="Q245" s="118">
        <v>0</v>
      </c>
      <c r="R245" s="118">
        <v>0</v>
      </c>
      <c r="S245" s="118">
        <v>0</v>
      </c>
      <c r="T245" s="118">
        <f t="shared" ref="T245:T250" si="46">SUM(C245:S245)</f>
        <v>9849</v>
      </c>
    </row>
    <row r="246" spans="1:20" customFormat="1" ht="16.5" customHeight="1" x14ac:dyDescent="0.2">
      <c r="B246" s="129" t="s">
        <v>1056</v>
      </c>
      <c r="C246" s="118">
        <v>0</v>
      </c>
      <c r="D246" s="118">
        <v>0</v>
      </c>
      <c r="E246" s="118">
        <v>0</v>
      </c>
      <c r="F246" s="118">
        <v>0</v>
      </c>
      <c r="G246" s="118">
        <v>0</v>
      </c>
      <c r="H246" s="118"/>
      <c r="I246" s="118"/>
      <c r="J246" s="118"/>
      <c r="K246" s="118">
        <v>0</v>
      </c>
      <c r="L246" s="118">
        <v>0</v>
      </c>
      <c r="M246" s="118">
        <v>0</v>
      </c>
      <c r="N246" s="118">
        <v>0</v>
      </c>
      <c r="O246" s="118">
        <v>0</v>
      </c>
      <c r="P246" s="118">
        <v>0</v>
      </c>
      <c r="Q246" s="118">
        <v>0</v>
      </c>
      <c r="R246" s="118">
        <v>0</v>
      </c>
      <c r="S246" s="118">
        <v>0</v>
      </c>
      <c r="T246" s="118">
        <f t="shared" si="46"/>
        <v>0</v>
      </c>
    </row>
    <row r="247" spans="1:20" customFormat="1" x14ac:dyDescent="0.2">
      <c r="B247" s="129" t="s">
        <v>1055</v>
      </c>
      <c r="C247" s="118">
        <v>0</v>
      </c>
      <c r="D247" s="118">
        <v>0</v>
      </c>
      <c r="E247" s="118">
        <v>0</v>
      </c>
      <c r="F247" s="118">
        <v>0</v>
      </c>
      <c r="G247" s="118">
        <v>0</v>
      </c>
      <c r="H247" s="118"/>
      <c r="I247" s="118"/>
      <c r="J247" s="118"/>
      <c r="K247" s="118">
        <v>0</v>
      </c>
      <c r="L247" s="118">
        <v>0</v>
      </c>
      <c r="M247" s="118">
        <v>12008</v>
      </c>
      <c r="N247" s="118">
        <v>0</v>
      </c>
      <c r="O247" s="118">
        <v>0</v>
      </c>
      <c r="P247" s="118">
        <v>0</v>
      </c>
      <c r="Q247" s="118">
        <v>0</v>
      </c>
      <c r="R247" s="118">
        <v>0</v>
      </c>
      <c r="S247" s="118">
        <v>0</v>
      </c>
      <c r="T247" s="118">
        <f t="shared" si="46"/>
        <v>12008</v>
      </c>
    </row>
    <row r="248" spans="1:20" customFormat="1" x14ac:dyDescent="0.2">
      <c r="B248" s="129" t="s">
        <v>756</v>
      </c>
      <c r="C248" s="118">
        <v>0</v>
      </c>
      <c r="D248" s="118">
        <v>0</v>
      </c>
      <c r="E248" s="118">
        <v>0</v>
      </c>
      <c r="F248" s="118">
        <v>0</v>
      </c>
      <c r="G248" s="118">
        <v>0</v>
      </c>
      <c r="H248" s="118"/>
      <c r="I248" s="118"/>
      <c r="J248" s="118"/>
      <c r="K248" s="118">
        <v>0</v>
      </c>
      <c r="L248" s="118">
        <v>0</v>
      </c>
      <c r="M248" s="118">
        <v>0</v>
      </c>
      <c r="N248" s="118">
        <v>0</v>
      </c>
      <c r="O248" s="118">
        <v>0</v>
      </c>
      <c r="P248" s="118">
        <v>0</v>
      </c>
      <c r="Q248" s="118">
        <v>0</v>
      </c>
      <c r="R248" s="118">
        <v>0</v>
      </c>
      <c r="S248" s="118">
        <v>0</v>
      </c>
      <c r="T248" s="118">
        <f t="shared" si="46"/>
        <v>0</v>
      </c>
    </row>
    <row r="249" spans="1:20" customFormat="1" ht="14.25" customHeight="1" x14ac:dyDescent="0.2">
      <c r="B249" s="129" t="s">
        <v>431</v>
      </c>
      <c r="C249" s="118">
        <v>0</v>
      </c>
      <c r="D249" s="118">
        <v>0</v>
      </c>
      <c r="E249" s="118">
        <v>-1</v>
      </c>
      <c r="F249" s="118">
        <v>0</v>
      </c>
      <c r="G249" s="118">
        <v>-2627</v>
      </c>
      <c r="H249" s="118"/>
      <c r="I249" s="118"/>
      <c r="J249" s="118"/>
      <c r="K249" s="118">
        <v>0</v>
      </c>
      <c r="L249" s="118">
        <v>0</v>
      </c>
      <c r="M249" s="118">
        <v>0</v>
      </c>
      <c r="N249" s="118">
        <v>0</v>
      </c>
      <c r="O249" s="118">
        <v>0</v>
      </c>
      <c r="P249" s="118">
        <v>0</v>
      </c>
      <c r="Q249" s="118">
        <v>0</v>
      </c>
      <c r="R249" s="118">
        <v>0</v>
      </c>
      <c r="S249" s="118">
        <v>0</v>
      </c>
      <c r="T249" s="118">
        <f t="shared" si="46"/>
        <v>-2628</v>
      </c>
    </row>
    <row r="250" spans="1:20" customFormat="1" ht="14.25" customHeight="1" x14ac:dyDescent="0.2">
      <c r="B250" s="129" t="s">
        <v>802</v>
      </c>
      <c r="C250" s="118">
        <v>0</v>
      </c>
      <c r="D250" s="118">
        <v>0</v>
      </c>
      <c r="E250" s="118">
        <v>0</v>
      </c>
      <c r="F250" s="118">
        <v>0</v>
      </c>
      <c r="G250" s="118">
        <v>0</v>
      </c>
      <c r="H250" s="118"/>
      <c r="I250" s="118"/>
      <c r="J250" s="118"/>
      <c r="K250" s="118">
        <v>0</v>
      </c>
      <c r="L250" s="118">
        <v>0</v>
      </c>
      <c r="M250" s="118">
        <v>0</v>
      </c>
      <c r="N250" s="118">
        <v>0</v>
      </c>
      <c r="O250" s="118">
        <v>0</v>
      </c>
      <c r="P250" s="118">
        <v>0</v>
      </c>
      <c r="Q250" s="118">
        <v>0</v>
      </c>
      <c r="R250" s="118">
        <v>0</v>
      </c>
      <c r="S250" s="118">
        <v>0</v>
      </c>
      <c r="T250" s="118">
        <f t="shared" si="46"/>
        <v>0</v>
      </c>
    </row>
    <row r="251" spans="1:20" customFormat="1" x14ac:dyDescent="0.2">
      <c r="B251" s="126" t="s">
        <v>1099</v>
      </c>
      <c r="C251" s="120">
        <f>SUM(C243:C250)</f>
        <v>69843</v>
      </c>
      <c r="D251" s="120">
        <f>SUM(D243:D250)</f>
        <v>14646</v>
      </c>
      <c r="E251" s="120">
        <f>SUM(E243:E250)</f>
        <v>108077</v>
      </c>
      <c r="F251" s="120">
        <f>SUM(F243:F250)</f>
        <v>5155</v>
      </c>
      <c r="G251" s="120">
        <f>SUM(G243:G250)</f>
        <v>37499</v>
      </c>
      <c r="H251" s="120"/>
      <c r="I251" s="120"/>
      <c r="J251" s="120"/>
      <c r="K251" s="120">
        <f>SUM(K243:K250)</f>
        <v>0</v>
      </c>
      <c r="L251" s="120">
        <f t="shared" ref="L251:Q251" si="47">SUM(L243:L250)</f>
        <v>326</v>
      </c>
      <c r="M251" s="120">
        <f t="shared" si="47"/>
        <v>42735</v>
      </c>
      <c r="N251" s="120">
        <f t="shared" si="47"/>
        <v>1349</v>
      </c>
      <c r="O251" s="120">
        <f t="shared" si="47"/>
        <v>1</v>
      </c>
      <c r="P251" s="120">
        <f t="shared" si="47"/>
        <v>0</v>
      </c>
      <c r="Q251" s="120">
        <f t="shared" si="47"/>
        <v>0</v>
      </c>
      <c r="R251" s="120">
        <f>SUM(R243:R250)</f>
        <v>0</v>
      </c>
      <c r="S251" s="120">
        <f>SUM(S243:S250)</f>
        <v>0</v>
      </c>
      <c r="T251" s="120">
        <f>SUM(T243:T250)</f>
        <v>279631</v>
      </c>
    </row>
    <row r="253" spans="1:20" customFormat="1" x14ac:dyDescent="0.2">
      <c r="B253" s="129" t="s">
        <v>225</v>
      </c>
      <c r="C253" s="118">
        <v>2733</v>
      </c>
      <c r="D253" s="118">
        <v>4</v>
      </c>
      <c r="E253" s="118">
        <v>1339</v>
      </c>
      <c r="F253" s="118">
        <v>1543</v>
      </c>
      <c r="G253" s="118">
        <v>1609</v>
      </c>
      <c r="H253" s="118"/>
      <c r="I253" s="118"/>
      <c r="J253" s="118"/>
      <c r="K253" s="118">
        <v>0</v>
      </c>
      <c r="L253" s="118">
        <v>2789</v>
      </c>
      <c r="M253" s="118">
        <v>2594</v>
      </c>
      <c r="N253" s="118">
        <v>-6</v>
      </c>
      <c r="O253" s="118">
        <v>0</v>
      </c>
      <c r="P253" s="118">
        <v>0</v>
      </c>
      <c r="Q253" s="118">
        <v>0</v>
      </c>
      <c r="R253" s="118">
        <v>0</v>
      </c>
      <c r="S253" s="118">
        <v>0</v>
      </c>
      <c r="T253" s="118">
        <f t="shared" ref="T253:T258" si="48">SUM(C253:S253)</f>
        <v>12605</v>
      </c>
    </row>
    <row r="254" spans="1:20" customFormat="1" ht="16.5" customHeight="1" x14ac:dyDescent="0.2">
      <c r="B254" s="129" t="s">
        <v>1056</v>
      </c>
      <c r="C254" s="118">
        <v>0</v>
      </c>
      <c r="D254" s="118">
        <v>0</v>
      </c>
      <c r="E254" s="118">
        <v>0</v>
      </c>
      <c r="F254" s="118">
        <v>0</v>
      </c>
      <c r="G254" s="118">
        <v>0</v>
      </c>
      <c r="H254" s="118"/>
      <c r="I254" s="118"/>
      <c r="J254" s="118"/>
      <c r="K254" s="118">
        <v>0</v>
      </c>
      <c r="L254" s="118">
        <v>0</v>
      </c>
      <c r="M254" s="118">
        <v>0</v>
      </c>
      <c r="N254" s="118">
        <v>0</v>
      </c>
      <c r="O254" s="118">
        <v>0</v>
      </c>
      <c r="P254" s="118">
        <v>0</v>
      </c>
      <c r="Q254" s="118">
        <v>0</v>
      </c>
      <c r="R254" s="118">
        <v>0</v>
      </c>
      <c r="S254" s="118">
        <v>0</v>
      </c>
      <c r="T254" s="118">
        <f t="shared" si="48"/>
        <v>0</v>
      </c>
    </row>
    <row r="255" spans="1:20" customFormat="1" x14ac:dyDescent="0.2">
      <c r="B255" s="129" t="s">
        <v>1055</v>
      </c>
      <c r="C255" s="118">
        <v>0</v>
      </c>
      <c r="D255" s="118">
        <v>0</v>
      </c>
      <c r="E255" s="118">
        <v>0</v>
      </c>
      <c r="F255" s="118">
        <v>0</v>
      </c>
      <c r="G255" s="118">
        <v>0</v>
      </c>
      <c r="H255" s="118"/>
      <c r="I255" s="118"/>
      <c r="J255" s="118"/>
      <c r="K255" s="118">
        <v>0</v>
      </c>
      <c r="L255" s="118">
        <v>0</v>
      </c>
      <c r="M255" s="118">
        <v>17712</v>
      </c>
      <c r="N255" s="118">
        <v>0</v>
      </c>
      <c r="O255" s="118">
        <v>0</v>
      </c>
      <c r="P255" s="118">
        <v>0</v>
      </c>
      <c r="Q255" s="118">
        <v>0</v>
      </c>
      <c r="R255" s="118">
        <v>0</v>
      </c>
      <c r="S255" s="118">
        <v>0</v>
      </c>
      <c r="T255" s="118">
        <f t="shared" si="48"/>
        <v>17712</v>
      </c>
    </row>
    <row r="256" spans="1:20" customFormat="1" x14ac:dyDescent="0.2">
      <c r="B256" s="129" t="s">
        <v>756</v>
      </c>
      <c r="C256" s="118">
        <v>0</v>
      </c>
      <c r="D256" s="118">
        <v>0</v>
      </c>
      <c r="E256" s="118">
        <v>0</v>
      </c>
      <c r="F256" s="118">
        <v>0</v>
      </c>
      <c r="G256" s="118">
        <v>0</v>
      </c>
      <c r="H256" s="118"/>
      <c r="I256" s="118"/>
      <c r="J256" s="118"/>
      <c r="K256" s="118">
        <v>0</v>
      </c>
      <c r="L256" s="118">
        <v>0</v>
      </c>
      <c r="M256" s="118">
        <v>0</v>
      </c>
      <c r="N256" s="118">
        <v>0</v>
      </c>
      <c r="O256" s="118">
        <v>0</v>
      </c>
      <c r="P256" s="118">
        <v>0</v>
      </c>
      <c r="Q256" s="118">
        <v>0</v>
      </c>
      <c r="R256" s="118">
        <v>0</v>
      </c>
      <c r="S256" s="118">
        <v>0</v>
      </c>
      <c r="T256" s="118">
        <f t="shared" si="48"/>
        <v>0</v>
      </c>
    </row>
    <row r="257" spans="2:20" customFormat="1" ht="14.25" customHeight="1" x14ac:dyDescent="0.2">
      <c r="B257" s="129" t="s">
        <v>431</v>
      </c>
      <c r="C257" s="118">
        <v>0</v>
      </c>
      <c r="D257" s="118">
        <v>0</v>
      </c>
      <c r="E257" s="118">
        <v>0</v>
      </c>
      <c r="F257" s="118">
        <v>0</v>
      </c>
      <c r="G257" s="118">
        <v>-2150</v>
      </c>
      <c r="H257" s="118"/>
      <c r="I257" s="118"/>
      <c r="J257" s="118"/>
      <c r="K257" s="118">
        <v>0</v>
      </c>
      <c r="L257" s="118">
        <v>0</v>
      </c>
      <c r="M257" s="118">
        <v>0</v>
      </c>
      <c r="N257" s="118">
        <v>0</v>
      </c>
      <c r="O257" s="118">
        <v>0</v>
      </c>
      <c r="P257" s="118">
        <v>0</v>
      </c>
      <c r="Q257" s="118">
        <v>0</v>
      </c>
      <c r="R257" s="118">
        <v>0</v>
      </c>
      <c r="S257" s="118">
        <v>0</v>
      </c>
      <c r="T257" s="118">
        <f t="shared" si="48"/>
        <v>-2150</v>
      </c>
    </row>
    <row r="258" spans="2:20" customFormat="1" ht="14.25" customHeight="1" x14ac:dyDescent="0.2">
      <c r="B258" s="129" t="s">
        <v>802</v>
      </c>
      <c r="C258" s="118">
        <v>0</v>
      </c>
      <c r="D258" s="118">
        <v>0</v>
      </c>
      <c r="E258" s="118">
        <v>0</v>
      </c>
      <c r="F258" s="118">
        <v>0</v>
      </c>
      <c r="G258" s="118">
        <v>0</v>
      </c>
      <c r="H258" s="118"/>
      <c r="I258" s="118"/>
      <c r="J258" s="118"/>
      <c r="K258" s="118">
        <v>0</v>
      </c>
      <c r="L258" s="118">
        <v>0</v>
      </c>
      <c r="M258" s="118">
        <v>101</v>
      </c>
      <c r="N258" s="118">
        <v>0</v>
      </c>
      <c r="O258" s="118">
        <v>0</v>
      </c>
      <c r="P258" s="118">
        <v>0</v>
      </c>
      <c r="Q258" s="118">
        <v>0</v>
      </c>
      <c r="R258" s="118">
        <v>0</v>
      </c>
      <c r="S258" s="118">
        <v>0</v>
      </c>
      <c r="T258" s="118">
        <f t="shared" si="48"/>
        <v>101</v>
      </c>
    </row>
    <row r="259" spans="2:20" customFormat="1" x14ac:dyDescent="0.2">
      <c r="B259" s="126" t="s">
        <v>1106</v>
      </c>
      <c r="C259" s="120">
        <f>SUM(C251:C258)</f>
        <v>72576</v>
      </c>
      <c r="D259" s="120">
        <f t="shared" ref="D259:T259" si="49">SUM(D251:D258)</f>
        <v>14650</v>
      </c>
      <c r="E259" s="120">
        <f t="shared" si="49"/>
        <v>109416</v>
      </c>
      <c r="F259" s="120">
        <f t="shared" si="49"/>
        <v>6698</v>
      </c>
      <c r="G259" s="120">
        <f t="shared" si="49"/>
        <v>36958</v>
      </c>
      <c r="H259" s="120"/>
      <c r="I259" s="120"/>
      <c r="J259" s="120"/>
      <c r="K259" s="120">
        <f t="shared" si="49"/>
        <v>0</v>
      </c>
      <c r="L259" s="120">
        <f t="shared" ref="L259:Q259" si="50">SUM(L251:L258)</f>
        <v>3115</v>
      </c>
      <c r="M259" s="120">
        <f t="shared" si="50"/>
        <v>63142</v>
      </c>
      <c r="N259" s="120">
        <f t="shared" si="50"/>
        <v>1343</v>
      </c>
      <c r="O259" s="120">
        <f t="shared" si="50"/>
        <v>1</v>
      </c>
      <c r="P259" s="120">
        <f t="shared" si="50"/>
        <v>0</v>
      </c>
      <c r="Q259" s="120">
        <f t="shared" si="50"/>
        <v>0</v>
      </c>
      <c r="R259" s="120">
        <f t="shared" si="49"/>
        <v>0</v>
      </c>
      <c r="S259" s="120">
        <f t="shared" si="49"/>
        <v>0</v>
      </c>
      <c r="T259" s="120">
        <f t="shared" si="49"/>
        <v>307899</v>
      </c>
    </row>
    <row r="261" spans="2:20" customFormat="1" x14ac:dyDescent="0.2">
      <c r="B261" s="129" t="s">
        <v>225</v>
      </c>
      <c r="C261" s="118">
        <v>5624</v>
      </c>
      <c r="D261" s="118">
        <v>229</v>
      </c>
      <c r="E261" s="118">
        <v>1562</v>
      </c>
      <c r="F261" s="118">
        <v>133</v>
      </c>
      <c r="G261" s="118">
        <v>2987</v>
      </c>
      <c r="H261" s="118"/>
      <c r="I261" s="118"/>
      <c r="J261" s="118"/>
      <c r="K261" s="118">
        <v>0</v>
      </c>
      <c r="L261" s="118">
        <v>26</v>
      </c>
      <c r="M261" s="118">
        <v>2983</v>
      </c>
      <c r="N261" s="118">
        <v>6</v>
      </c>
      <c r="O261" s="118">
        <v>0</v>
      </c>
      <c r="P261" s="118">
        <v>0</v>
      </c>
      <c r="Q261" s="118">
        <v>0</v>
      </c>
      <c r="R261" s="118">
        <v>0</v>
      </c>
      <c r="S261" s="118">
        <v>0</v>
      </c>
      <c r="T261" s="118">
        <f t="shared" ref="T261:T266" si="51">SUM(C261:S261)</f>
        <v>13550</v>
      </c>
    </row>
    <row r="262" spans="2:20" customFormat="1" ht="16.5" customHeight="1" x14ac:dyDescent="0.2">
      <c r="B262" s="129" t="s">
        <v>1056</v>
      </c>
      <c r="C262" s="118" t="s">
        <v>160</v>
      </c>
      <c r="D262" s="118">
        <v>0</v>
      </c>
      <c r="E262" s="118">
        <v>0</v>
      </c>
      <c r="F262" s="118">
        <v>0</v>
      </c>
      <c r="G262" s="118">
        <v>0</v>
      </c>
      <c r="H262" s="118"/>
      <c r="I262" s="118"/>
      <c r="J262" s="118"/>
      <c r="K262" s="118">
        <v>0</v>
      </c>
      <c r="L262" s="118">
        <v>0</v>
      </c>
      <c r="M262" s="118">
        <v>0</v>
      </c>
      <c r="N262" s="118">
        <v>0</v>
      </c>
      <c r="O262" s="118">
        <v>0</v>
      </c>
      <c r="P262" s="118">
        <v>0</v>
      </c>
      <c r="Q262" s="118">
        <v>0</v>
      </c>
      <c r="R262" s="118">
        <v>0</v>
      </c>
      <c r="S262" s="118">
        <v>0</v>
      </c>
      <c r="T262" s="118">
        <f t="shared" si="51"/>
        <v>0</v>
      </c>
    </row>
    <row r="263" spans="2:20" customFormat="1" x14ac:dyDescent="0.2">
      <c r="B263" s="129" t="s">
        <v>1055</v>
      </c>
      <c r="C263" s="118">
        <v>0</v>
      </c>
      <c r="D263" s="118">
        <v>0</v>
      </c>
      <c r="E263" s="118">
        <v>0</v>
      </c>
      <c r="F263" s="118">
        <v>0</v>
      </c>
      <c r="G263" s="118">
        <v>0</v>
      </c>
      <c r="H263" s="118"/>
      <c r="I263" s="118"/>
      <c r="J263" s="118"/>
      <c r="K263" s="118">
        <v>0</v>
      </c>
      <c r="L263" s="118">
        <v>0</v>
      </c>
      <c r="M263" s="118">
        <v>11235</v>
      </c>
      <c r="N263" s="118">
        <v>0</v>
      </c>
      <c r="O263" s="118">
        <v>0</v>
      </c>
      <c r="P263" s="118">
        <v>0</v>
      </c>
      <c r="Q263" s="118">
        <v>0</v>
      </c>
      <c r="R263" s="118">
        <v>0</v>
      </c>
      <c r="S263" s="118">
        <v>0</v>
      </c>
      <c r="T263" s="118">
        <f t="shared" si="51"/>
        <v>11235</v>
      </c>
    </row>
    <row r="264" spans="2:20" customFormat="1" x14ac:dyDescent="0.2">
      <c r="B264" s="129" t="s">
        <v>756</v>
      </c>
      <c r="C264" s="118">
        <v>0</v>
      </c>
      <c r="D264" s="118">
        <v>0</v>
      </c>
      <c r="E264" s="118">
        <v>0</v>
      </c>
      <c r="F264" s="118">
        <v>0</v>
      </c>
      <c r="G264" s="118">
        <v>0</v>
      </c>
      <c r="H264" s="118"/>
      <c r="I264" s="118"/>
      <c r="J264" s="118"/>
      <c r="K264" s="118">
        <v>0</v>
      </c>
      <c r="L264" s="118">
        <v>0</v>
      </c>
      <c r="M264" s="118">
        <v>0</v>
      </c>
      <c r="N264" s="118">
        <v>0</v>
      </c>
      <c r="O264" s="118">
        <v>0</v>
      </c>
      <c r="P264" s="118">
        <v>0</v>
      </c>
      <c r="Q264" s="118">
        <v>0</v>
      </c>
      <c r="R264" s="118">
        <v>0</v>
      </c>
      <c r="S264" s="118">
        <v>0</v>
      </c>
      <c r="T264" s="118">
        <f t="shared" si="51"/>
        <v>0</v>
      </c>
    </row>
    <row r="265" spans="2:20" customFormat="1" ht="14.25" customHeight="1" x14ac:dyDescent="0.2">
      <c r="B265" s="129" t="s">
        <v>431</v>
      </c>
      <c r="C265" s="118">
        <v>0</v>
      </c>
      <c r="D265" s="118">
        <v>0</v>
      </c>
      <c r="E265" s="118">
        <v>0</v>
      </c>
      <c r="F265" s="118">
        <v>0</v>
      </c>
      <c r="G265" s="118">
        <v>-1144</v>
      </c>
      <c r="H265" s="118"/>
      <c r="I265" s="118"/>
      <c r="J265" s="118"/>
      <c r="K265" s="118">
        <v>0</v>
      </c>
      <c r="L265" s="118">
        <v>0</v>
      </c>
      <c r="M265" s="118">
        <v>0</v>
      </c>
      <c r="N265" s="118">
        <v>0</v>
      </c>
      <c r="O265" s="118">
        <v>0</v>
      </c>
      <c r="P265" s="118">
        <v>0</v>
      </c>
      <c r="Q265" s="118">
        <v>0</v>
      </c>
      <c r="R265" s="118">
        <v>0</v>
      </c>
      <c r="S265" s="118">
        <v>0</v>
      </c>
      <c r="T265" s="118">
        <f t="shared" si="51"/>
        <v>-1144</v>
      </c>
    </row>
    <row r="266" spans="2:20" customFormat="1" ht="14.25" customHeight="1" x14ac:dyDescent="0.2">
      <c r="B266" s="129" t="s">
        <v>802</v>
      </c>
      <c r="C266" s="118">
        <v>0</v>
      </c>
      <c r="D266" s="118">
        <v>0</v>
      </c>
      <c r="E266" s="118">
        <v>0</v>
      </c>
      <c r="F266" s="118">
        <v>0</v>
      </c>
      <c r="G266" s="118">
        <v>0</v>
      </c>
      <c r="H266" s="118"/>
      <c r="I266" s="118"/>
      <c r="J266" s="118"/>
      <c r="K266" s="118">
        <v>0</v>
      </c>
      <c r="L266" s="118">
        <v>0</v>
      </c>
      <c r="M266" s="118">
        <v>0</v>
      </c>
      <c r="N266" s="118">
        <v>0</v>
      </c>
      <c r="O266" s="118">
        <v>0</v>
      </c>
      <c r="P266" s="118">
        <v>0</v>
      </c>
      <c r="Q266" s="118">
        <v>0</v>
      </c>
      <c r="R266" s="118">
        <v>0</v>
      </c>
      <c r="S266" s="118">
        <v>0</v>
      </c>
      <c r="T266" s="118">
        <f t="shared" si="51"/>
        <v>0</v>
      </c>
    </row>
    <row r="267" spans="2:20" customFormat="1" x14ac:dyDescent="0.2">
      <c r="B267" s="126" t="s">
        <v>1129</v>
      </c>
      <c r="C267" s="120">
        <f>SUM(C259:C266)</f>
        <v>78200</v>
      </c>
      <c r="D267" s="120">
        <f>SUM(D259:D266)</f>
        <v>14879</v>
      </c>
      <c r="E267" s="120">
        <f>SUM(E259:E266)</f>
        <v>110978</v>
      </c>
      <c r="F267" s="120">
        <f>SUM(F259:F266)</f>
        <v>6831</v>
      </c>
      <c r="G267" s="120">
        <f>SUM(G259:G266)</f>
        <v>38801</v>
      </c>
      <c r="H267" s="120"/>
      <c r="I267" s="120"/>
      <c r="J267" s="120"/>
      <c r="K267" s="120">
        <f>SUM(K251:K266)</f>
        <v>0</v>
      </c>
      <c r="L267" s="120">
        <f>SUM(L259:L266)</f>
        <v>3141</v>
      </c>
      <c r="M267" s="120">
        <f>SUM(M259:M266)</f>
        <v>77360</v>
      </c>
      <c r="N267" s="120">
        <f>SUM(N259:N266)</f>
        <v>1349</v>
      </c>
      <c r="O267" s="120">
        <f>SUM(O259:O266)</f>
        <v>1</v>
      </c>
      <c r="P267" s="120">
        <f>SUM(P251:P266)</f>
        <v>0</v>
      </c>
      <c r="Q267" s="120">
        <f>SUM(Q251:Q266)</f>
        <v>0</v>
      </c>
      <c r="R267" s="120">
        <f>SUM(R251:R266)</f>
        <v>0</v>
      </c>
      <c r="S267" s="120">
        <f>SUM(S251:S266)</f>
        <v>0</v>
      </c>
      <c r="T267" s="120">
        <f>SUM(T259:T266)</f>
        <v>331540</v>
      </c>
    </row>
    <row r="269" spans="2:20" customFormat="1" x14ac:dyDescent="0.2">
      <c r="B269" s="129" t="s">
        <v>225</v>
      </c>
      <c r="C269" s="118">
        <v>3773</v>
      </c>
      <c r="D269" s="118">
        <v>362</v>
      </c>
      <c r="E269" s="118">
        <v>1662</v>
      </c>
      <c r="F269" s="118">
        <v>-570</v>
      </c>
      <c r="G269" s="118">
        <v>2977</v>
      </c>
      <c r="H269" s="118"/>
      <c r="I269" s="118"/>
      <c r="J269" s="118"/>
      <c r="K269" s="118">
        <v>0</v>
      </c>
      <c r="L269" s="118">
        <v>29</v>
      </c>
      <c r="M269" s="118">
        <v>3234</v>
      </c>
      <c r="N269" s="118">
        <v>17</v>
      </c>
      <c r="O269" s="118">
        <v>0</v>
      </c>
      <c r="P269" s="118">
        <v>0</v>
      </c>
      <c r="Q269" s="118">
        <v>0</v>
      </c>
      <c r="R269" s="118">
        <v>0</v>
      </c>
      <c r="S269" s="118">
        <v>0</v>
      </c>
      <c r="T269" s="118">
        <f t="shared" ref="T269:T276" si="52">SUM(C269:S269)</f>
        <v>11484</v>
      </c>
    </row>
    <row r="270" spans="2:20" customFormat="1" ht="16.5" customHeight="1" x14ac:dyDescent="0.2">
      <c r="B270" s="129" t="s">
        <v>1056</v>
      </c>
      <c r="C270" s="118" t="s">
        <v>160</v>
      </c>
      <c r="D270" s="118">
        <v>0</v>
      </c>
      <c r="E270" s="118">
        <v>0</v>
      </c>
      <c r="F270" s="118">
        <v>0</v>
      </c>
      <c r="G270" s="118">
        <v>0</v>
      </c>
      <c r="H270" s="118"/>
      <c r="I270" s="118"/>
      <c r="J270" s="118"/>
      <c r="K270" s="118">
        <v>0</v>
      </c>
      <c r="L270" s="118">
        <v>0</v>
      </c>
      <c r="M270" s="118">
        <v>0</v>
      </c>
      <c r="N270" s="118">
        <v>0</v>
      </c>
      <c r="O270" s="118">
        <v>0</v>
      </c>
      <c r="P270" s="118">
        <v>0</v>
      </c>
      <c r="Q270" s="118">
        <v>0</v>
      </c>
      <c r="R270" s="118">
        <v>0</v>
      </c>
      <c r="S270" s="118">
        <v>0</v>
      </c>
      <c r="T270" s="118">
        <f t="shared" si="52"/>
        <v>0</v>
      </c>
    </row>
    <row r="271" spans="2:20" customFormat="1" x14ac:dyDescent="0.2">
      <c r="B271" s="129" t="s">
        <v>1055</v>
      </c>
      <c r="C271" s="118">
        <v>0</v>
      </c>
      <c r="D271" s="118">
        <v>0</v>
      </c>
      <c r="E271" s="118">
        <v>0</v>
      </c>
      <c r="F271" s="118">
        <v>1100</v>
      </c>
      <c r="G271" s="118">
        <v>0</v>
      </c>
      <c r="H271" s="118"/>
      <c r="I271" s="118"/>
      <c r="J271" s="118"/>
      <c r="K271" s="118">
        <v>0</v>
      </c>
      <c r="L271" s="118">
        <v>0</v>
      </c>
      <c r="M271" s="118">
        <v>-28947</v>
      </c>
      <c r="N271" s="118">
        <v>0</v>
      </c>
      <c r="O271" s="118">
        <v>0</v>
      </c>
      <c r="P271" s="118">
        <v>0</v>
      </c>
      <c r="Q271" s="118">
        <v>0</v>
      </c>
      <c r="R271" s="118">
        <v>0</v>
      </c>
      <c r="S271" s="118">
        <v>0</v>
      </c>
      <c r="T271" s="118">
        <f t="shared" si="52"/>
        <v>-27847</v>
      </c>
    </row>
    <row r="272" spans="2:20" customFormat="1" x14ac:dyDescent="0.2">
      <c r="B272" s="129" t="s">
        <v>1142</v>
      </c>
      <c r="C272" s="118">
        <v>0</v>
      </c>
      <c r="D272" s="118">
        <v>0</v>
      </c>
      <c r="E272" s="118">
        <v>0</v>
      </c>
      <c r="F272" s="118">
        <v>0</v>
      </c>
      <c r="G272" s="118">
        <v>0</v>
      </c>
      <c r="H272" s="118"/>
      <c r="I272" s="118"/>
      <c r="J272" s="118"/>
      <c r="K272" s="118">
        <v>0</v>
      </c>
      <c r="L272" s="118">
        <v>0</v>
      </c>
      <c r="M272" s="118">
        <v>0</v>
      </c>
      <c r="N272" s="118">
        <v>0</v>
      </c>
      <c r="O272" s="118">
        <v>0</v>
      </c>
      <c r="P272" s="118">
        <v>0</v>
      </c>
      <c r="Q272" s="118">
        <v>0</v>
      </c>
      <c r="R272" s="118">
        <v>0</v>
      </c>
      <c r="S272" s="118">
        <v>0</v>
      </c>
      <c r="T272" s="118">
        <f t="shared" si="52"/>
        <v>0</v>
      </c>
    </row>
    <row r="273" spans="2:20" customFormat="1" x14ac:dyDescent="0.2">
      <c r="B273" s="129" t="s">
        <v>756</v>
      </c>
      <c r="C273" s="118">
        <v>0</v>
      </c>
      <c r="D273" s="118">
        <v>0</v>
      </c>
      <c r="E273" s="118">
        <v>0</v>
      </c>
      <c r="F273" s="118">
        <v>0</v>
      </c>
      <c r="G273" s="118">
        <v>0</v>
      </c>
      <c r="H273" s="118"/>
      <c r="I273" s="118"/>
      <c r="J273" s="118"/>
      <c r="K273" s="118">
        <v>0</v>
      </c>
      <c r="L273" s="118">
        <v>0</v>
      </c>
      <c r="M273" s="118">
        <v>0</v>
      </c>
      <c r="N273" s="118">
        <v>0</v>
      </c>
      <c r="O273" s="118">
        <v>0</v>
      </c>
      <c r="P273" s="118">
        <v>0</v>
      </c>
      <c r="Q273" s="118">
        <v>0</v>
      </c>
      <c r="R273" s="118">
        <v>0</v>
      </c>
      <c r="S273" s="118">
        <v>0</v>
      </c>
      <c r="T273" s="118">
        <f t="shared" si="52"/>
        <v>0</v>
      </c>
    </row>
    <row r="274" spans="2:20" customFormat="1" ht="14.25" customHeight="1" x14ac:dyDescent="0.2">
      <c r="B274" s="129" t="s">
        <v>431</v>
      </c>
      <c r="C274" s="118">
        <v>-10000</v>
      </c>
      <c r="D274" s="118">
        <v>0</v>
      </c>
      <c r="E274" s="118">
        <v>-5915</v>
      </c>
      <c r="F274" s="118">
        <v>0</v>
      </c>
      <c r="G274" s="118">
        <v>-2195</v>
      </c>
      <c r="H274" s="118"/>
      <c r="I274" s="118"/>
      <c r="J274" s="118"/>
      <c r="K274" s="118">
        <v>0</v>
      </c>
      <c r="L274" s="118">
        <v>0</v>
      </c>
      <c r="M274" s="118">
        <v>0</v>
      </c>
      <c r="N274" s="118">
        <v>0</v>
      </c>
      <c r="O274" s="118">
        <v>0</v>
      </c>
      <c r="P274" s="118">
        <v>0</v>
      </c>
      <c r="Q274" s="118">
        <v>0</v>
      </c>
      <c r="R274" s="118">
        <v>0</v>
      </c>
      <c r="S274" s="118">
        <v>0</v>
      </c>
      <c r="T274" s="118">
        <f t="shared" si="52"/>
        <v>-18110</v>
      </c>
    </row>
    <row r="275" spans="2:20" customFormat="1" ht="14.25" customHeight="1" x14ac:dyDescent="0.2">
      <c r="B275" s="129" t="s">
        <v>802</v>
      </c>
      <c r="C275" s="118">
        <v>0</v>
      </c>
      <c r="D275" s="118">
        <v>0</v>
      </c>
      <c r="E275" s="118">
        <v>0</v>
      </c>
      <c r="F275" s="118">
        <v>0</v>
      </c>
      <c r="G275" s="118">
        <v>0</v>
      </c>
      <c r="H275" s="118"/>
      <c r="I275" s="118"/>
      <c r="J275" s="118"/>
      <c r="K275" s="118">
        <v>0</v>
      </c>
      <c r="L275" s="118">
        <v>0</v>
      </c>
      <c r="M275" s="118">
        <v>0</v>
      </c>
      <c r="N275" s="118">
        <v>0</v>
      </c>
      <c r="O275" s="118">
        <v>0</v>
      </c>
      <c r="P275" s="118">
        <v>0</v>
      </c>
      <c r="Q275" s="118">
        <v>0</v>
      </c>
      <c r="R275" s="118">
        <v>0</v>
      </c>
      <c r="S275" s="118">
        <v>0</v>
      </c>
      <c r="T275" s="118">
        <f t="shared" si="52"/>
        <v>0</v>
      </c>
    </row>
    <row r="276" spans="2:20" customFormat="1" ht="14.25" customHeight="1" x14ac:dyDescent="0.2">
      <c r="B276" s="129" t="s">
        <v>49</v>
      </c>
      <c r="C276" s="118">
        <v>-1</v>
      </c>
      <c r="D276" s="118" t="s">
        <v>160</v>
      </c>
      <c r="E276" s="118" t="s">
        <v>160</v>
      </c>
      <c r="F276" s="118" t="s">
        <v>160</v>
      </c>
      <c r="G276" s="118">
        <v>0</v>
      </c>
      <c r="H276" s="118"/>
      <c r="I276" s="118"/>
      <c r="J276" s="118"/>
      <c r="K276" s="118" t="s">
        <v>160</v>
      </c>
      <c r="L276" s="118">
        <v>0</v>
      </c>
      <c r="M276" s="118">
        <v>0</v>
      </c>
      <c r="N276" s="118" t="s">
        <v>160</v>
      </c>
      <c r="O276" s="118" t="s">
        <v>160</v>
      </c>
      <c r="P276" s="118" t="s">
        <v>160</v>
      </c>
      <c r="Q276" s="118" t="s">
        <v>160</v>
      </c>
      <c r="R276" s="118" t="s">
        <v>160</v>
      </c>
      <c r="S276" s="118" t="s">
        <v>160</v>
      </c>
      <c r="T276" s="118">
        <f t="shared" si="52"/>
        <v>-1</v>
      </c>
    </row>
    <row r="277" spans="2:20" customFormat="1" x14ac:dyDescent="0.2">
      <c r="B277" s="126" t="s">
        <v>1136</v>
      </c>
      <c r="C277" s="120">
        <f>SUM(C267:C276)</f>
        <v>71972</v>
      </c>
      <c r="D277" s="120">
        <f t="shared" ref="D277:T277" si="53">SUM(D267:D276)</f>
        <v>15241</v>
      </c>
      <c r="E277" s="120">
        <f t="shared" si="53"/>
        <v>106725</v>
      </c>
      <c r="F277" s="120">
        <f t="shared" si="53"/>
        <v>7361</v>
      </c>
      <c r="G277" s="120">
        <f t="shared" si="53"/>
        <v>39583</v>
      </c>
      <c r="H277" s="120"/>
      <c r="I277" s="120"/>
      <c r="J277" s="120"/>
      <c r="K277" s="120">
        <f t="shared" si="53"/>
        <v>0</v>
      </c>
      <c r="L277" s="120">
        <f>SUM(L267:L276)</f>
        <v>3170</v>
      </c>
      <c r="M277" s="120">
        <f>SUM(M267:M276)</f>
        <v>51647</v>
      </c>
      <c r="N277" s="120">
        <f>SUM(N267:N276)</f>
        <v>1366</v>
      </c>
      <c r="O277" s="120">
        <f>SUM(O267:O276)</f>
        <v>1</v>
      </c>
      <c r="P277" s="120">
        <f t="shared" si="53"/>
        <v>0</v>
      </c>
      <c r="Q277" s="120">
        <f t="shared" si="53"/>
        <v>0</v>
      </c>
      <c r="R277" s="120">
        <f t="shared" si="53"/>
        <v>0</v>
      </c>
      <c r="S277" s="120">
        <f t="shared" si="53"/>
        <v>0</v>
      </c>
      <c r="T277" s="120">
        <f t="shared" si="53"/>
        <v>297066</v>
      </c>
    </row>
    <row r="279" spans="2:20" customFormat="1" x14ac:dyDescent="0.2">
      <c r="B279" s="129" t="s">
        <v>225</v>
      </c>
      <c r="C279" s="118">
        <v>4833</v>
      </c>
      <c r="D279" s="118">
        <v>385</v>
      </c>
      <c r="E279" s="118">
        <v>1123</v>
      </c>
      <c r="F279" s="118">
        <v>231</v>
      </c>
      <c r="G279" s="118">
        <v>2344</v>
      </c>
      <c r="H279" s="118"/>
      <c r="I279" s="118"/>
      <c r="J279" s="118"/>
      <c r="K279" s="118">
        <v>0</v>
      </c>
      <c r="L279" s="118">
        <v>84</v>
      </c>
      <c r="M279" s="118">
        <v>4071</v>
      </c>
      <c r="N279" s="118">
        <v>19</v>
      </c>
      <c r="O279" s="118">
        <v>0</v>
      </c>
      <c r="P279" s="118">
        <v>0</v>
      </c>
      <c r="Q279" s="118">
        <v>0</v>
      </c>
      <c r="R279" s="118">
        <v>0</v>
      </c>
      <c r="S279" s="118">
        <v>0</v>
      </c>
      <c r="T279" s="118">
        <f t="shared" ref="T279:T286" si="54">SUM(C279:S279)</f>
        <v>13090</v>
      </c>
    </row>
    <row r="280" spans="2:20" customFormat="1" ht="16.5" customHeight="1" x14ac:dyDescent="0.2">
      <c r="B280" s="129" t="s">
        <v>1056</v>
      </c>
      <c r="C280" s="118" t="s">
        <v>160</v>
      </c>
      <c r="D280" s="118">
        <v>0</v>
      </c>
      <c r="E280" s="118">
        <v>0</v>
      </c>
      <c r="F280" s="118">
        <v>0</v>
      </c>
      <c r="G280" s="118">
        <v>0</v>
      </c>
      <c r="H280" s="118"/>
      <c r="I280" s="118"/>
      <c r="J280" s="118"/>
      <c r="K280" s="118">
        <v>0</v>
      </c>
      <c r="L280" s="118">
        <v>0</v>
      </c>
      <c r="M280" s="118">
        <v>0</v>
      </c>
      <c r="N280" s="118">
        <v>0</v>
      </c>
      <c r="O280" s="118">
        <v>0</v>
      </c>
      <c r="P280" s="118">
        <v>0</v>
      </c>
      <c r="Q280" s="118">
        <v>0</v>
      </c>
      <c r="R280" s="118">
        <v>0</v>
      </c>
      <c r="S280" s="118">
        <v>0</v>
      </c>
      <c r="T280" s="118">
        <f t="shared" si="54"/>
        <v>0</v>
      </c>
    </row>
    <row r="281" spans="2:20" customFormat="1" x14ac:dyDescent="0.2">
      <c r="B281" s="129" t="s">
        <v>1055</v>
      </c>
      <c r="C281" s="118">
        <v>0</v>
      </c>
      <c r="D281" s="118">
        <v>0</v>
      </c>
      <c r="E281" s="118">
        <v>0</v>
      </c>
      <c r="F281" s="118">
        <v>300</v>
      </c>
      <c r="G281" s="118">
        <v>0</v>
      </c>
      <c r="H281" s="118"/>
      <c r="I281" s="118"/>
      <c r="J281" s="118"/>
      <c r="K281" s="118">
        <v>0</v>
      </c>
      <c r="L281" s="118">
        <v>0</v>
      </c>
      <c r="M281" s="118">
        <v>0</v>
      </c>
      <c r="N281" s="118">
        <v>0</v>
      </c>
      <c r="O281" s="118">
        <v>0</v>
      </c>
      <c r="P281" s="118">
        <v>0</v>
      </c>
      <c r="Q281" s="118">
        <v>0</v>
      </c>
      <c r="R281" s="118">
        <v>0</v>
      </c>
      <c r="S281" s="118">
        <v>0</v>
      </c>
      <c r="T281" s="118">
        <f t="shared" si="54"/>
        <v>300</v>
      </c>
    </row>
    <row r="282" spans="2:20" customFormat="1" x14ac:dyDescent="0.2">
      <c r="B282" s="129" t="s">
        <v>1142</v>
      </c>
      <c r="C282" s="118">
        <v>0</v>
      </c>
      <c r="D282" s="118">
        <v>0</v>
      </c>
      <c r="E282" s="118">
        <v>0</v>
      </c>
      <c r="F282" s="118">
        <v>0</v>
      </c>
      <c r="G282" s="118">
        <v>0</v>
      </c>
      <c r="H282" s="118"/>
      <c r="I282" s="118"/>
      <c r="J282" s="118"/>
      <c r="K282" s="118">
        <v>0</v>
      </c>
      <c r="L282" s="118">
        <v>0</v>
      </c>
      <c r="M282" s="118">
        <v>0</v>
      </c>
      <c r="N282" s="118">
        <v>0</v>
      </c>
      <c r="O282" s="118">
        <v>0</v>
      </c>
      <c r="P282" s="118">
        <v>0</v>
      </c>
      <c r="Q282" s="118">
        <v>0</v>
      </c>
      <c r="R282" s="118">
        <v>0</v>
      </c>
      <c r="S282" s="118">
        <v>0</v>
      </c>
      <c r="T282" s="118">
        <f t="shared" si="54"/>
        <v>0</v>
      </c>
    </row>
    <row r="283" spans="2:20" customFormat="1" x14ac:dyDescent="0.2">
      <c r="B283" s="129" t="s">
        <v>756</v>
      </c>
      <c r="C283" s="118">
        <v>0</v>
      </c>
      <c r="D283" s="118">
        <v>0</v>
      </c>
      <c r="E283" s="118">
        <v>0</v>
      </c>
      <c r="F283" s="118">
        <v>0</v>
      </c>
      <c r="G283" s="118">
        <v>0</v>
      </c>
      <c r="H283" s="118"/>
      <c r="I283" s="118"/>
      <c r="J283" s="118"/>
      <c r="K283" s="118">
        <v>0</v>
      </c>
      <c r="L283" s="118">
        <v>0</v>
      </c>
      <c r="M283" s="118">
        <v>0</v>
      </c>
      <c r="N283" s="118">
        <v>0</v>
      </c>
      <c r="O283" s="118">
        <v>0</v>
      </c>
      <c r="P283" s="118">
        <v>0</v>
      </c>
      <c r="Q283" s="118">
        <v>0</v>
      </c>
      <c r="R283" s="118">
        <v>0</v>
      </c>
      <c r="S283" s="118">
        <v>0</v>
      </c>
      <c r="T283" s="118">
        <f t="shared" si="54"/>
        <v>0</v>
      </c>
    </row>
    <row r="284" spans="2:20" customFormat="1" ht="14.25" customHeight="1" x14ac:dyDescent="0.2">
      <c r="B284" s="129" t="s">
        <v>431</v>
      </c>
      <c r="C284" s="118">
        <v>-10600</v>
      </c>
      <c r="D284" s="118">
        <v>0</v>
      </c>
      <c r="E284" s="118">
        <v>-3225</v>
      </c>
      <c r="F284" s="118">
        <v>0</v>
      </c>
      <c r="G284" s="118">
        <v>-2043</v>
      </c>
      <c r="H284" s="118"/>
      <c r="I284" s="118"/>
      <c r="J284" s="118"/>
      <c r="K284" s="118">
        <v>0</v>
      </c>
      <c r="L284" s="118">
        <v>0</v>
      </c>
      <c r="M284" s="118">
        <v>-14895</v>
      </c>
      <c r="N284" s="118">
        <v>0</v>
      </c>
      <c r="O284" s="118">
        <v>0</v>
      </c>
      <c r="P284" s="118">
        <v>0</v>
      </c>
      <c r="Q284" s="118">
        <v>0</v>
      </c>
      <c r="R284" s="118">
        <v>0</v>
      </c>
      <c r="S284" s="118">
        <v>0</v>
      </c>
      <c r="T284" s="118">
        <f t="shared" si="54"/>
        <v>-30763</v>
      </c>
    </row>
    <row r="285" spans="2:20" customFormat="1" ht="14.25" customHeight="1" x14ac:dyDescent="0.2">
      <c r="B285" s="129" t="s">
        <v>802</v>
      </c>
      <c r="C285" s="118">
        <v>0</v>
      </c>
      <c r="D285" s="118">
        <v>0</v>
      </c>
      <c r="E285" s="118">
        <v>0</v>
      </c>
      <c r="F285" s="118">
        <v>0</v>
      </c>
      <c r="G285" s="118">
        <v>0</v>
      </c>
      <c r="H285" s="118"/>
      <c r="I285" s="118"/>
      <c r="J285" s="118"/>
      <c r="K285" s="118">
        <v>0</v>
      </c>
      <c r="L285" s="118">
        <v>0</v>
      </c>
      <c r="M285" s="118">
        <v>0</v>
      </c>
      <c r="N285" s="118">
        <v>0</v>
      </c>
      <c r="O285" s="118">
        <v>0</v>
      </c>
      <c r="P285" s="118">
        <v>0</v>
      </c>
      <c r="Q285" s="118">
        <v>0</v>
      </c>
      <c r="R285" s="118">
        <v>0</v>
      </c>
      <c r="S285" s="118">
        <v>0</v>
      </c>
      <c r="T285" s="118">
        <f t="shared" si="54"/>
        <v>0</v>
      </c>
    </row>
    <row r="286" spans="2:20" customFormat="1" ht="14.25" customHeight="1" x14ac:dyDescent="0.2">
      <c r="B286" s="129" t="s">
        <v>49</v>
      </c>
      <c r="C286" s="118">
        <v>0</v>
      </c>
      <c r="D286" s="118" t="s">
        <v>160</v>
      </c>
      <c r="E286" s="118" t="s">
        <v>160</v>
      </c>
      <c r="F286" s="118" t="s">
        <v>160</v>
      </c>
      <c r="G286" s="118" t="s">
        <v>160</v>
      </c>
      <c r="H286" s="118"/>
      <c r="I286" s="118"/>
      <c r="J286" s="118"/>
      <c r="K286" s="118" t="s">
        <v>160</v>
      </c>
      <c r="L286" s="118">
        <v>3345</v>
      </c>
      <c r="M286" s="118">
        <v>-3</v>
      </c>
      <c r="N286" s="118" t="s">
        <v>160</v>
      </c>
      <c r="O286" s="118" t="s">
        <v>160</v>
      </c>
      <c r="P286" s="118" t="s">
        <v>160</v>
      </c>
      <c r="Q286" s="118" t="s">
        <v>160</v>
      </c>
      <c r="R286" s="118" t="s">
        <v>160</v>
      </c>
      <c r="S286" s="118" t="s">
        <v>160</v>
      </c>
      <c r="T286" s="118">
        <f t="shared" si="54"/>
        <v>3342</v>
      </c>
    </row>
    <row r="287" spans="2:20" customFormat="1" x14ac:dyDescent="0.2">
      <c r="B287" s="126" t="s">
        <v>1152</v>
      </c>
      <c r="C287" s="120">
        <f>SUM(C277:C286)</f>
        <v>66205</v>
      </c>
      <c r="D287" s="120">
        <f t="shared" ref="D287:T287" si="55">SUM(D277:D286)</f>
        <v>15626</v>
      </c>
      <c r="E287" s="120">
        <f t="shared" si="55"/>
        <v>104623</v>
      </c>
      <c r="F287" s="120">
        <f t="shared" si="55"/>
        <v>7892</v>
      </c>
      <c r="G287" s="120">
        <f t="shared" si="55"/>
        <v>39884</v>
      </c>
      <c r="H287" s="120"/>
      <c r="I287" s="120"/>
      <c r="J287" s="120"/>
      <c r="K287" s="120">
        <f t="shared" si="55"/>
        <v>0</v>
      </c>
      <c r="L287" s="120">
        <f>SUM(L277:L286)</f>
        <v>6599</v>
      </c>
      <c r="M287" s="120">
        <f>SUM(M277:M286)</f>
        <v>40820</v>
      </c>
      <c r="N287" s="120">
        <f>SUM(N277:N286)</f>
        <v>1385</v>
      </c>
      <c r="O287" s="120">
        <f>SUM(O277:O286)</f>
        <v>1</v>
      </c>
      <c r="P287" s="120">
        <f t="shared" si="55"/>
        <v>0</v>
      </c>
      <c r="Q287" s="120">
        <f t="shared" si="55"/>
        <v>0</v>
      </c>
      <c r="R287" s="120">
        <f t="shared" si="55"/>
        <v>0</v>
      </c>
      <c r="S287" s="120">
        <f t="shared" si="55"/>
        <v>0</v>
      </c>
      <c r="T287" s="120">
        <f t="shared" si="55"/>
        <v>283035</v>
      </c>
    </row>
    <row r="289" spans="2:25" x14ac:dyDescent="0.2">
      <c r="B289" s="129" t="s">
        <v>225</v>
      </c>
      <c r="C289" s="118">
        <v>3135</v>
      </c>
      <c r="D289" s="118">
        <v>82</v>
      </c>
      <c r="E289" s="118">
        <v>1036</v>
      </c>
      <c r="F289" s="118">
        <v>-350</v>
      </c>
      <c r="G289" s="118">
        <v>2477</v>
      </c>
      <c r="H289" s="118"/>
      <c r="I289" s="118"/>
      <c r="J289" s="118"/>
      <c r="K289" s="118">
        <v>0</v>
      </c>
      <c r="L289" s="118">
        <v>8886</v>
      </c>
      <c r="M289" s="118">
        <v>3052</v>
      </c>
      <c r="N289" s="118">
        <v>-11</v>
      </c>
      <c r="O289" s="118">
        <v>0</v>
      </c>
      <c r="P289" s="118">
        <v>0</v>
      </c>
      <c r="Q289" s="118">
        <v>0</v>
      </c>
      <c r="R289" s="118">
        <v>0</v>
      </c>
      <c r="S289" s="118">
        <v>0</v>
      </c>
      <c r="T289" s="118">
        <f t="shared" ref="T289:T296" si="56">SUM(C289:S289)</f>
        <v>18307</v>
      </c>
    </row>
    <row r="290" spans="2:25" x14ac:dyDescent="0.2">
      <c r="B290" s="129" t="s">
        <v>1056</v>
      </c>
      <c r="C290" s="118" t="s">
        <v>160</v>
      </c>
      <c r="D290" s="118">
        <v>0</v>
      </c>
      <c r="E290" s="118">
        <v>0</v>
      </c>
      <c r="F290" s="118">
        <v>0</v>
      </c>
      <c r="G290" s="118">
        <v>0</v>
      </c>
      <c r="H290" s="118"/>
      <c r="I290" s="118"/>
      <c r="J290" s="118"/>
      <c r="K290" s="118">
        <v>0</v>
      </c>
      <c r="L290" s="118">
        <v>0</v>
      </c>
      <c r="M290" s="118">
        <v>0</v>
      </c>
      <c r="N290" s="118">
        <v>0</v>
      </c>
      <c r="O290" s="118">
        <v>0</v>
      </c>
      <c r="P290" s="118">
        <v>0</v>
      </c>
      <c r="Q290" s="118">
        <v>0</v>
      </c>
      <c r="R290" s="118">
        <v>0</v>
      </c>
      <c r="S290" s="118">
        <v>0</v>
      </c>
      <c r="T290" s="118">
        <f t="shared" si="56"/>
        <v>0</v>
      </c>
    </row>
    <row r="291" spans="2:25" x14ac:dyDescent="0.2">
      <c r="B291" s="129" t="s">
        <v>1055</v>
      </c>
      <c r="C291" s="118">
        <v>0</v>
      </c>
      <c r="D291" s="118">
        <v>0</v>
      </c>
      <c r="E291" s="118">
        <v>0</v>
      </c>
      <c r="F291" s="118">
        <v>0</v>
      </c>
      <c r="G291" s="118">
        <v>0</v>
      </c>
      <c r="H291" s="118"/>
      <c r="I291" s="118"/>
      <c r="J291" s="118"/>
      <c r="K291" s="118">
        <v>0</v>
      </c>
      <c r="L291" s="118">
        <v>0</v>
      </c>
      <c r="M291" s="118">
        <v>-2</v>
      </c>
      <c r="N291" s="118">
        <v>0</v>
      </c>
      <c r="O291" s="118">
        <v>0</v>
      </c>
      <c r="P291" s="118">
        <v>0</v>
      </c>
      <c r="Q291" s="118">
        <v>0</v>
      </c>
      <c r="R291" s="118">
        <v>0</v>
      </c>
      <c r="S291" s="118">
        <v>0</v>
      </c>
      <c r="T291" s="118">
        <f t="shared" si="56"/>
        <v>-2</v>
      </c>
    </row>
    <row r="292" spans="2:25" x14ac:dyDescent="0.2">
      <c r="B292" s="129" t="s">
        <v>1142</v>
      </c>
      <c r="C292" s="118">
        <v>0</v>
      </c>
      <c r="D292" s="118">
        <v>0</v>
      </c>
      <c r="E292" s="118">
        <v>0</v>
      </c>
      <c r="F292" s="118">
        <v>0</v>
      </c>
      <c r="G292" s="118">
        <v>0</v>
      </c>
      <c r="H292" s="118"/>
      <c r="I292" s="118"/>
      <c r="J292" s="118"/>
      <c r="K292" s="118">
        <v>0</v>
      </c>
      <c r="L292" s="118">
        <v>0</v>
      </c>
      <c r="M292" s="118">
        <v>0</v>
      </c>
      <c r="N292" s="118">
        <v>0</v>
      </c>
      <c r="O292" s="118">
        <v>0</v>
      </c>
      <c r="P292" s="118">
        <v>0</v>
      </c>
      <c r="Q292" s="118">
        <v>0</v>
      </c>
      <c r="R292" s="118">
        <v>0</v>
      </c>
      <c r="S292" s="118">
        <v>0</v>
      </c>
      <c r="T292" s="118">
        <f t="shared" si="56"/>
        <v>0</v>
      </c>
    </row>
    <row r="293" spans="2:25" x14ac:dyDescent="0.2">
      <c r="B293" s="129" t="s">
        <v>756</v>
      </c>
      <c r="C293" s="118">
        <v>0</v>
      </c>
      <c r="D293" s="118">
        <v>0</v>
      </c>
      <c r="E293" s="118">
        <v>0</v>
      </c>
      <c r="F293" s="118">
        <v>0</v>
      </c>
      <c r="G293" s="118">
        <v>0</v>
      </c>
      <c r="H293" s="118"/>
      <c r="I293" s="118"/>
      <c r="J293" s="118"/>
      <c r="K293" s="118">
        <v>0</v>
      </c>
      <c r="L293" s="118">
        <v>0</v>
      </c>
      <c r="M293" s="118">
        <v>0</v>
      </c>
      <c r="N293" s="118">
        <v>0</v>
      </c>
      <c r="O293" s="118">
        <v>0</v>
      </c>
      <c r="P293" s="118">
        <v>0</v>
      </c>
      <c r="Q293" s="118">
        <v>0</v>
      </c>
      <c r="R293" s="118">
        <v>0</v>
      </c>
      <c r="S293" s="118">
        <v>0</v>
      </c>
      <c r="T293" s="118">
        <f t="shared" si="56"/>
        <v>0</v>
      </c>
    </row>
    <row r="294" spans="2:25" x14ac:dyDescent="0.2">
      <c r="B294" s="129" t="s">
        <v>431</v>
      </c>
      <c r="C294" s="118">
        <v>0</v>
      </c>
      <c r="D294" s="118">
        <v>0</v>
      </c>
      <c r="E294" s="118">
        <v>0</v>
      </c>
      <c r="F294" s="118">
        <v>0</v>
      </c>
      <c r="G294" s="118">
        <v>-1300</v>
      </c>
      <c r="H294" s="118"/>
      <c r="I294" s="118"/>
      <c r="J294" s="118"/>
      <c r="K294" s="118">
        <v>0</v>
      </c>
      <c r="L294" s="118">
        <v>0</v>
      </c>
      <c r="M294" s="118">
        <v>0</v>
      </c>
      <c r="N294" s="118">
        <v>0</v>
      </c>
      <c r="O294" s="118">
        <v>0</v>
      </c>
      <c r="P294" s="118">
        <v>0</v>
      </c>
      <c r="Q294" s="118">
        <v>0</v>
      </c>
      <c r="R294" s="118">
        <v>0</v>
      </c>
      <c r="S294" s="118">
        <v>0</v>
      </c>
      <c r="T294" s="118">
        <f t="shared" si="56"/>
        <v>-1300</v>
      </c>
    </row>
    <row r="295" spans="2:25" x14ac:dyDescent="0.2">
      <c r="B295" s="129" t="s">
        <v>802</v>
      </c>
      <c r="C295" s="118">
        <v>0</v>
      </c>
      <c r="D295" s="118">
        <v>0</v>
      </c>
      <c r="E295" s="118">
        <v>0</v>
      </c>
      <c r="F295" s="118">
        <v>0</v>
      </c>
      <c r="G295" s="118">
        <v>0</v>
      </c>
      <c r="H295" s="118"/>
      <c r="I295" s="118"/>
      <c r="J295" s="118"/>
      <c r="K295" s="118">
        <v>0</v>
      </c>
      <c r="L295" s="118">
        <v>0</v>
      </c>
      <c r="M295" s="118">
        <v>0</v>
      </c>
      <c r="N295" s="118">
        <v>0</v>
      </c>
      <c r="O295" s="118">
        <v>0</v>
      </c>
      <c r="P295" s="118">
        <v>0</v>
      </c>
      <c r="Q295" s="118">
        <v>0</v>
      </c>
      <c r="R295" s="118">
        <v>0</v>
      </c>
      <c r="S295" s="118">
        <v>0</v>
      </c>
      <c r="T295" s="118">
        <f t="shared" si="56"/>
        <v>0</v>
      </c>
    </row>
    <row r="296" spans="2:25" x14ac:dyDescent="0.2">
      <c r="B296" s="129" t="s">
        <v>49</v>
      </c>
      <c r="C296" s="118">
        <v>0</v>
      </c>
      <c r="D296" s="118" t="s">
        <v>160</v>
      </c>
      <c r="E296" s="118" t="s">
        <v>160</v>
      </c>
      <c r="F296" s="118" t="s">
        <v>160</v>
      </c>
      <c r="G296" s="118" t="s">
        <v>160</v>
      </c>
      <c r="H296" s="118"/>
      <c r="I296" s="118"/>
      <c r="J296" s="118"/>
      <c r="K296" s="118" t="s">
        <v>160</v>
      </c>
      <c r="L296" s="118">
        <v>0</v>
      </c>
      <c r="M296" s="118">
        <v>664</v>
      </c>
      <c r="N296" s="118" t="s">
        <v>160</v>
      </c>
      <c r="O296" s="118" t="s">
        <v>160</v>
      </c>
      <c r="P296" s="118" t="s">
        <v>160</v>
      </c>
      <c r="Q296" s="118" t="s">
        <v>160</v>
      </c>
      <c r="R296" s="118" t="s">
        <v>160</v>
      </c>
      <c r="S296" s="118" t="s">
        <v>160</v>
      </c>
      <c r="T296" s="118">
        <f t="shared" si="56"/>
        <v>664</v>
      </c>
    </row>
    <row r="297" spans="2:25" x14ac:dyDescent="0.2">
      <c r="B297" s="126" t="s">
        <v>1160</v>
      </c>
      <c r="C297" s="120">
        <f>SUM(C287:C296)</f>
        <v>69340</v>
      </c>
      <c r="D297" s="120">
        <f t="shared" ref="D297:T297" si="57">SUM(D287:D296)</f>
        <v>15708</v>
      </c>
      <c r="E297" s="120">
        <f t="shared" si="57"/>
        <v>105659</v>
      </c>
      <c r="F297" s="120">
        <f t="shared" si="57"/>
        <v>7542</v>
      </c>
      <c r="G297" s="120">
        <f t="shared" si="57"/>
        <v>41061</v>
      </c>
      <c r="H297" s="120"/>
      <c r="I297" s="120"/>
      <c r="J297" s="120"/>
      <c r="K297" s="120">
        <f t="shared" si="57"/>
        <v>0</v>
      </c>
      <c r="L297" s="120">
        <f>SUM(L287:L296)</f>
        <v>15485</v>
      </c>
      <c r="M297" s="120">
        <f>SUM(M287:M296)</f>
        <v>44534</v>
      </c>
      <c r="N297" s="120">
        <f>SUM(N287:N296)</f>
        <v>1374</v>
      </c>
      <c r="O297" s="120">
        <f>SUM(O287:O296)</f>
        <v>1</v>
      </c>
      <c r="P297" s="120">
        <f t="shared" si="57"/>
        <v>0</v>
      </c>
      <c r="Q297" s="120">
        <f t="shared" si="57"/>
        <v>0</v>
      </c>
      <c r="R297" s="120">
        <f t="shared" si="57"/>
        <v>0</v>
      </c>
      <c r="S297" s="120">
        <f t="shared" si="57"/>
        <v>0</v>
      </c>
      <c r="T297" s="120">
        <f t="shared" si="57"/>
        <v>300704</v>
      </c>
      <c r="V297" s="126" t="s">
        <v>1160</v>
      </c>
      <c r="W297" s="120">
        <v>41061</v>
      </c>
      <c r="X297" s="120">
        <v>6889</v>
      </c>
      <c r="Y297" s="120">
        <v>47950</v>
      </c>
    </row>
    <row r="299" spans="2:25" x14ac:dyDescent="0.2">
      <c r="B299" s="129" t="s">
        <v>225</v>
      </c>
      <c r="C299" s="118">
        <v>2799</v>
      </c>
      <c r="D299" s="118">
        <v>1751</v>
      </c>
      <c r="E299" s="118">
        <v>932</v>
      </c>
      <c r="F299" s="118">
        <v>-142</v>
      </c>
      <c r="G299" s="118">
        <v>3987</v>
      </c>
      <c r="H299" s="118"/>
      <c r="I299" s="118"/>
      <c r="J299" s="118"/>
      <c r="K299" s="118">
        <v>0</v>
      </c>
      <c r="L299" s="118">
        <v>4701</v>
      </c>
      <c r="M299" s="118">
        <v>257</v>
      </c>
      <c r="N299" s="118">
        <v>17</v>
      </c>
      <c r="O299" s="118">
        <v>0</v>
      </c>
      <c r="P299" s="118">
        <v>0</v>
      </c>
      <c r="Q299" s="118">
        <v>0</v>
      </c>
      <c r="R299" s="118">
        <v>0</v>
      </c>
      <c r="S299" s="118">
        <v>0</v>
      </c>
      <c r="T299" s="118">
        <f>SUM(C299:S299)</f>
        <v>14302</v>
      </c>
      <c r="U299" s="605" t="s">
        <v>1258</v>
      </c>
      <c r="V299" s="129" t="s">
        <v>225</v>
      </c>
      <c r="W299" s="118">
        <v>3987</v>
      </c>
      <c r="X299" s="118">
        <v>-149</v>
      </c>
      <c r="Y299" s="118">
        <f>SUM(W299:X299)</f>
        <v>3838</v>
      </c>
    </row>
    <row r="300" spans="2:25" x14ac:dyDescent="0.2">
      <c r="B300" s="129" t="s">
        <v>1056</v>
      </c>
      <c r="C300" s="118">
        <v>0</v>
      </c>
      <c r="D300" s="118">
        <v>0</v>
      </c>
      <c r="E300" s="118">
        <v>0</v>
      </c>
      <c r="F300" s="118">
        <v>0</v>
      </c>
      <c r="G300" s="118">
        <v>0</v>
      </c>
      <c r="H300" s="118"/>
      <c r="I300" s="118"/>
      <c r="J300" s="118"/>
      <c r="K300" s="118">
        <v>0</v>
      </c>
      <c r="L300" s="118">
        <v>0</v>
      </c>
      <c r="M300" s="118">
        <v>0</v>
      </c>
      <c r="N300" s="118">
        <v>0</v>
      </c>
      <c r="O300" s="118">
        <v>0</v>
      </c>
      <c r="P300" s="118">
        <v>0</v>
      </c>
      <c r="Q300" s="118">
        <v>0</v>
      </c>
      <c r="R300" s="118">
        <v>0</v>
      </c>
      <c r="S300" s="118">
        <v>0</v>
      </c>
      <c r="T300" s="118">
        <f>SUM(C300:S300)</f>
        <v>0</v>
      </c>
      <c r="V300" s="129" t="s">
        <v>1056</v>
      </c>
      <c r="W300" s="118">
        <v>0</v>
      </c>
      <c r="X300" s="118"/>
      <c r="Y300" s="118">
        <f t="shared" ref="Y300:Y306" si="58">SUM(W300:X300)</f>
        <v>0</v>
      </c>
    </row>
    <row r="301" spans="2:25" x14ac:dyDescent="0.2">
      <c r="B301" s="129" t="s">
        <v>1055</v>
      </c>
      <c r="C301" s="118">
        <v>253</v>
      </c>
      <c r="D301" s="118">
        <v>-253</v>
      </c>
      <c r="E301" s="118">
        <v>27468</v>
      </c>
      <c r="F301" s="118"/>
      <c r="G301" s="118">
        <v>0</v>
      </c>
      <c r="H301" s="118"/>
      <c r="I301" s="118"/>
      <c r="J301" s="118"/>
      <c r="K301" s="118">
        <v>0</v>
      </c>
      <c r="L301" s="118">
        <v>0</v>
      </c>
      <c r="M301" s="118">
        <v>0</v>
      </c>
      <c r="N301" s="118">
        <v>0</v>
      </c>
      <c r="O301" s="118">
        <v>0</v>
      </c>
      <c r="P301" s="118">
        <v>0</v>
      </c>
      <c r="Q301" s="118">
        <v>0</v>
      </c>
      <c r="R301" s="118">
        <v>0</v>
      </c>
      <c r="S301" s="118">
        <v>0</v>
      </c>
      <c r="T301" s="118">
        <f>SUM(C301:O301)</f>
        <v>27468</v>
      </c>
      <c r="V301" s="129" t="s">
        <v>1055</v>
      </c>
      <c r="W301" s="118">
        <v>0</v>
      </c>
      <c r="X301" s="118"/>
      <c r="Y301" s="118">
        <f t="shared" si="58"/>
        <v>0</v>
      </c>
    </row>
    <row r="302" spans="2:25" x14ac:dyDescent="0.2">
      <c r="B302" s="129" t="s">
        <v>1142</v>
      </c>
      <c r="C302" s="118">
        <v>0</v>
      </c>
      <c r="D302" s="118">
        <v>0</v>
      </c>
      <c r="E302" s="118">
        <v>0</v>
      </c>
      <c r="F302" s="118">
        <v>0</v>
      </c>
      <c r="G302" s="118">
        <v>0</v>
      </c>
      <c r="H302" s="118"/>
      <c r="I302" s="118"/>
      <c r="J302" s="118"/>
      <c r="K302" s="118">
        <v>0</v>
      </c>
      <c r="L302" s="118">
        <v>0</v>
      </c>
      <c r="M302" s="118">
        <v>0</v>
      </c>
      <c r="N302" s="118">
        <v>0</v>
      </c>
      <c r="O302" s="118">
        <v>0</v>
      </c>
      <c r="P302" s="118">
        <v>0</v>
      </c>
      <c r="Q302" s="118">
        <v>0</v>
      </c>
      <c r="R302" s="118">
        <v>0</v>
      </c>
      <c r="S302" s="118">
        <v>0</v>
      </c>
      <c r="T302" s="118">
        <f>SUM(C302:S302)</f>
        <v>0</v>
      </c>
      <c r="V302" s="129" t="s">
        <v>1142</v>
      </c>
      <c r="W302" s="118">
        <v>0</v>
      </c>
      <c r="X302" s="118"/>
      <c r="Y302" s="118">
        <f t="shared" si="58"/>
        <v>0</v>
      </c>
    </row>
    <row r="303" spans="2:25" x14ac:dyDescent="0.2">
      <c r="B303" s="129" t="s">
        <v>756</v>
      </c>
      <c r="C303" s="118">
        <v>0</v>
      </c>
      <c r="D303" s="118">
        <v>0</v>
      </c>
      <c r="E303" s="118">
        <v>0</v>
      </c>
      <c r="F303" s="118">
        <v>0</v>
      </c>
      <c r="G303" s="118">
        <v>0</v>
      </c>
      <c r="H303" s="118"/>
      <c r="I303" s="118"/>
      <c r="J303" s="118"/>
      <c r="K303" s="118">
        <v>0</v>
      </c>
      <c r="L303" s="118">
        <v>0</v>
      </c>
      <c r="M303" s="118">
        <v>0</v>
      </c>
      <c r="N303" s="118">
        <v>0</v>
      </c>
      <c r="O303" s="118">
        <v>0</v>
      </c>
      <c r="P303" s="118">
        <v>0</v>
      </c>
      <c r="Q303" s="118">
        <v>0</v>
      </c>
      <c r="R303" s="118">
        <v>0</v>
      </c>
      <c r="S303" s="118">
        <v>0</v>
      </c>
      <c r="T303" s="118">
        <f>SUM(C303:S303)</f>
        <v>0</v>
      </c>
      <c r="V303" s="129" t="s">
        <v>756</v>
      </c>
      <c r="W303" s="118">
        <v>0</v>
      </c>
      <c r="X303" s="118"/>
      <c r="Y303" s="118">
        <f t="shared" si="58"/>
        <v>0</v>
      </c>
    </row>
    <row r="304" spans="2:25" x14ac:dyDescent="0.2">
      <c r="B304" s="129" t="s">
        <v>431</v>
      </c>
      <c r="C304" s="118">
        <v>0</v>
      </c>
      <c r="D304" s="118">
        <v>0</v>
      </c>
      <c r="E304" s="118">
        <v>0</v>
      </c>
      <c r="F304" s="118">
        <v>0</v>
      </c>
      <c r="G304" s="118">
        <v>-2100</v>
      </c>
      <c r="H304" s="118"/>
      <c r="I304" s="118"/>
      <c r="J304" s="118"/>
      <c r="K304" s="118">
        <v>0</v>
      </c>
      <c r="L304" s="118">
        <v>0</v>
      </c>
      <c r="M304" s="118">
        <v>0</v>
      </c>
      <c r="N304" s="118">
        <v>0</v>
      </c>
      <c r="O304" s="118">
        <v>0</v>
      </c>
      <c r="P304" s="118">
        <v>0</v>
      </c>
      <c r="Q304" s="118">
        <v>0</v>
      </c>
      <c r="R304" s="118">
        <v>0</v>
      </c>
      <c r="S304" s="118">
        <v>0</v>
      </c>
      <c r="T304" s="118">
        <f>SUM(C304:O304)</f>
        <v>-2100</v>
      </c>
      <c r="V304" s="129" t="s">
        <v>431</v>
      </c>
      <c r="W304" s="118">
        <v>-2100</v>
      </c>
      <c r="X304" s="118"/>
      <c r="Y304" s="118">
        <f t="shared" si="58"/>
        <v>-2100</v>
      </c>
    </row>
    <row r="305" spans="2:25" x14ac:dyDescent="0.2">
      <c r="B305" s="129" t="s">
        <v>802</v>
      </c>
      <c r="C305" s="118">
        <v>0</v>
      </c>
      <c r="D305" s="118">
        <v>0</v>
      </c>
      <c r="E305" s="118">
        <v>0</v>
      </c>
      <c r="F305" s="118">
        <v>0</v>
      </c>
      <c r="G305" s="118">
        <v>0</v>
      </c>
      <c r="H305" s="118"/>
      <c r="I305" s="118"/>
      <c r="J305" s="118"/>
      <c r="K305" s="118">
        <v>0</v>
      </c>
      <c r="L305" s="118">
        <v>0</v>
      </c>
      <c r="M305" s="118">
        <v>0</v>
      </c>
      <c r="N305" s="118">
        <v>0</v>
      </c>
      <c r="O305" s="118">
        <v>0</v>
      </c>
      <c r="P305" s="118">
        <v>0</v>
      </c>
      <c r="Q305" s="118">
        <v>0</v>
      </c>
      <c r="R305" s="118">
        <v>0</v>
      </c>
      <c r="S305" s="118">
        <v>0</v>
      </c>
      <c r="T305" s="118">
        <f>SUM(C305:S305)</f>
        <v>0</v>
      </c>
      <c r="V305" s="129" t="s">
        <v>802</v>
      </c>
      <c r="W305" s="118">
        <v>0</v>
      </c>
      <c r="X305" s="118"/>
      <c r="Y305" s="118">
        <f t="shared" si="58"/>
        <v>0</v>
      </c>
    </row>
    <row r="306" spans="2:25" x14ac:dyDescent="0.2">
      <c r="B306" s="129" t="s">
        <v>49</v>
      </c>
      <c r="C306" s="118">
        <v>0</v>
      </c>
      <c r="D306" s="118">
        <v>0</v>
      </c>
      <c r="E306" s="118">
        <v>0</v>
      </c>
      <c r="F306" s="118">
        <v>0</v>
      </c>
      <c r="G306" s="118">
        <v>-156</v>
      </c>
      <c r="H306" s="118"/>
      <c r="I306" s="118"/>
      <c r="J306" s="118"/>
      <c r="K306" s="118" t="s">
        <v>160</v>
      </c>
      <c r="L306" s="118">
        <v>44791</v>
      </c>
      <c r="M306" s="118">
        <v>-44791</v>
      </c>
      <c r="N306" s="118">
        <v>0</v>
      </c>
      <c r="O306" s="118" t="s">
        <v>160</v>
      </c>
      <c r="P306" s="118" t="s">
        <v>160</v>
      </c>
      <c r="Q306" s="118" t="s">
        <v>160</v>
      </c>
      <c r="R306" s="118" t="s">
        <v>160</v>
      </c>
      <c r="S306" s="118" t="s">
        <v>160</v>
      </c>
      <c r="T306" s="118">
        <f>SUM(C306:S306)</f>
        <v>-156</v>
      </c>
      <c r="V306" s="129" t="s">
        <v>49</v>
      </c>
      <c r="W306" s="118">
        <v>-156</v>
      </c>
      <c r="X306" s="118"/>
      <c r="Y306" s="118">
        <f t="shared" si="58"/>
        <v>-156</v>
      </c>
    </row>
    <row r="307" spans="2:25" x14ac:dyDescent="0.2">
      <c r="B307" s="126" t="s">
        <v>1184</v>
      </c>
      <c r="C307" s="120">
        <f>SUM(C297:C306)</f>
        <v>72392</v>
      </c>
      <c r="D307" s="120">
        <f t="shared" ref="D307:T307" si="59">SUM(D297:D306)</f>
        <v>17206</v>
      </c>
      <c r="E307" s="120">
        <f t="shared" si="59"/>
        <v>134059</v>
      </c>
      <c r="F307" s="120">
        <f t="shared" si="59"/>
        <v>7400</v>
      </c>
      <c r="G307" s="120">
        <f t="shared" si="59"/>
        <v>42792</v>
      </c>
      <c r="H307" s="120"/>
      <c r="I307" s="120"/>
      <c r="J307" s="120"/>
      <c r="K307" s="120">
        <f t="shared" si="59"/>
        <v>0</v>
      </c>
      <c r="L307" s="120">
        <f>SUM(L297:L306)</f>
        <v>64977</v>
      </c>
      <c r="M307" s="120">
        <f>SUM(M297:M306)</f>
        <v>0</v>
      </c>
      <c r="N307" s="120">
        <f>SUM(N297:N306)</f>
        <v>1391</v>
      </c>
      <c r="O307" s="120">
        <f>SUM(O297:O306)</f>
        <v>1</v>
      </c>
      <c r="P307" s="120">
        <f t="shared" si="59"/>
        <v>0</v>
      </c>
      <c r="Q307" s="120">
        <f t="shared" si="59"/>
        <v>0</v>
      </c>
      <c r="R307" s="120">
        <f t="shared" si="59"/>
        <v>0</v>
      </c>
      <c r="S307" s="120">
        <f t="shared" si="59"/>
        <v>0</v>
      </c>
      <c r="T307" s="120">
        <f t="shared" si="59"/>
        <v>340218</v>
      </c>
      <c r="V307" s="126" t="s">
        <v>1184</v>
      </c>
      <c r="W307" s="120">
        <f>SUM(W297:W306)</f>
        <v>42792</v>
      </c>
      <c r="X307" s="120">
        <f>SUM(X297:X306)</f>
        <v>6740</v>
      </c>
      <c r="Y307" s="120">
        <f>SUM(Y297:Y306)</f>
        <v>49532</v>
      </c>
    </row>
    <row r="308" spans="2:25" x14ac:dyDescent="0.2">
      <c r="U308" s="605"/>
    </row>
    <row r="309" spans="2:25" x14ac:dyDescent="0.2">
      <c r="B309" s="129" t="s">
        <v>225</v>
      </c>
      <c r="C309" s="118">
        <v>3168</v>
      </c>
      <c r="D309" s="118">
        <v>1776</v>
      </c>
      <c r="E309" s="118">
        <v>731</v>
      </c>
      <c r="F309" s="118">
        <v>-426</v>
      </c>
      <c r="G309" s="118">
        <v>3318</v>
      </c>
      <c r="H309" s="118"/>
      <c r="I309" s="118"/>
      <c r="J309" s="118"/>
      <c r="K309" s="118">
        <v>0</v>
      </c>
      <c r="L309" s="118">
        <v>4515</v>
      </c>
      <c r="M309" s="118">
        <v>0</v>
      </c>
      <c r="N309" s="118">
        <v>20</v>
      </c>
      <c r="O309" s="118">
        <v>0</v>
      </c>
      <c r="P309" s="118">
        <v>0</v>
      </c>
      <c r="Q309" s="118">
        <v>0</v>
      </c>
      <c r="R309" s="118">
        <v>0</v>
      </c>
      <c r="S309" s="118">
        <v>0</v>
      </c>
      <c r="T309" s="118">
        <f t="shared" ref="T309:T316" si="60">SUM(C309:S309)</f>
        <v>13102</v>
      </c>
      <c r="U309" s="605" t="s">
        <v>1177</v>
      </c>
      <c r="V309" s="129" t="s">
        <v>225</v>
      </c>
      <c r="W309" s="118">
        <v>3318</v>
      </c>
      <c r="X309" s="118">
        <f>-584-X299</f>
        <v>-435</v>
      </c>
      <c r="Y309" s="118">
        <f>SUM(W309:X309)</f>
        <v>2883</v>
      </c>
    </row>
    <row r="310" spans="2:25" x14ac:dyDescent="0.2">
      <c r="B310" s="129" t="s">
        <v>1056</v>
      </c>
      <c r="C310" s="118">
        <v>0</v>
      </c>
      <c r="D310" s="118">
        <v>0</v>
      </c>
      <c r="E310" s="118">
        <v>0</v>
      </c>
      <c r="F310" s="118">
        <v>0</v>
      </c>
      <c r="G310" s="118">
        <v>0</v>
      </c>
      <c r="H310" s="118"/>
      <c r="I310" s="118"/>
      <c r="J310" s="118"/>
      <c r="K310" s="118">
        <v>0</v>
      </c>
      <c r="L310" s="118">
        <v>0</v>
      </c>
      <c r="M310" s="118">
        <v>0</v>
      </c>
      <c r="N310" s="118">
        <v>0</v>
      </c>
      <c r="O310" s="118">
        <v>0</v>
      </c>
      <c r="P310" s="118">
        <v>0</v>
      </c>
      <c r="Q310" s="118">
        <v>0</v>
      </c>
      <c r="R310" s="118">
        <v>0</v>
      </c>
      <c r="S310" s="118">
        <v>0</v>
      </c>
      <c r="T310" s="118">
        <f t="shared" si="60"/>
        <v>0</v>
      </c>
      <c r="U310" s="605"/>
      <c r="V310" s="129" t="s">
        <v>1056</v>
      </c>
      <c r="W310" s="118">
        <v>0</v>
      </c>
      <c r="X310" s="118"/>
      <c r="Y310" s="118">
        <f t="shared" ref="Y310:Y316" si="61">SUM(W310:X310)</f>
        <v>0</v>
      </c>
    </row>
    <row r="311" spans="2:25" x14ac:dyDescent="0.2">
      <c r="B311" s="129" t="s">
        <v>1055</v>
      </c>
      <c r="C311" s="118">
        <v>0</v>
      </c>
      <c r="D311" s="118">
        <f>248-D301</f>
        <v>501</v>
      </c>
      <c r="E311" s="118">
        <v>0</v>
      </c>
      <c r="F311" s="118">
        <v>0</v>
      </c>
      <c r="G311" s="118">
        <v>0</v>
      </c>
      <c r="H311" s="118"/>
      <c r="I311" s="118"/>
      <c r="J311" s="118"/>
      <c r="K311" s="118">
        <v>0</v>
      </c>
      <c r="L311" s="118">
        <v>0</v>
      </c>
      <c r="M311" s="118">
        <v>0</v>
      </c>
      <c r="N311" s="118">
        <v>0</v>
      </c>
      <c r="O311" s="118">
        <v>0</v>
      </c>
      <c r="P311" s="118">
        <v>0</v>
      </c>
      <c r="Q311" s="118">
        <v>0</v>
      </c>
      <c r="R311" s="118">
        <v>0</v>
      </c>
      <c r="S311" s="118">
        <v>0</v>
      </c>
      <c r="T311" s="118">
        <f t="shared" si="60"/>
        <v>501</v>
      </c>
      <c r="U311" s="605"/>
      <c r="V311" s="129" t="s">
        <v>1055</v>
      </c>
      <c r="W311" s="118">
        <v>0</v>
      </c>
      <c r="X311" s="118"/>
      <c r="Y311" s="118">
        <f t="shared" si="61"/>
        <v>0</v>
      </c>
    </row>
    <row r="312" spans="2:25" x14ac:dyDescent="0.2">
      <c r="B312" s="129" t="s">
        <v>1142</v>
      </c>
      <c r="C312" s="118">
        <v>0</v>
      </c>
      <c r="D312" s="118">
        <v>0</v>
      </c>
      <c r="E312" s="118">
        <v>0</v>
      </c>
      <c r="F312" s="118">
        <v>0</v>
      </c>
      <c r="G312" s="118">
        <v>0</v>
      </c>
      <c r="H312" s="118"/>
      <c r="I312" s="118"/>
      <c r="J312" s="118"/>
      <c r="K312" s="118">
        <v>0</v>
      </c>
      <c r="L312" s="118">
        <v>0</v>
      </c>
      <c r="M312" s="118">
        <v>0</v>
      </c>
      <c r="N312" s="118">
        <v>0</v>
      </c>
      <c r="O312" s="118">
        <v>0</v>
      </c>
      <c r="P312" s="118">
        <v>0</v>
      </c>
      <c r="Q312" s="118">
        <v>0</v>
      </c>
      <c r="R312" s="118">
        <v>0</v>
      </c>
      <c r="S312" s="118">
        <v>0</v>
      </c>
      <c r="T312" s="118">
        <f t="shared" si="60"/>
        <v>0</v>
      </c>
      <c r="U312" s="605"/>
      <c r="V312" s="129" t="s">
        <v>1142</v>
      </c>
      <c r="W312" s="118">
        <v>0</v>
      </c>
      <c r="X312" s="118"/>
      <c r="Y312" s="118">
        <f t="shared" si="61"/>
        <v>0</v>
      </c>
    </row>
    <row r="313" spans="2:25" x14ac:dyDescent="0.2">
      <c r="B313" s="129" t="s">
        <v>756</v>
      </c>
      <c r="C313" s="118">
        <v>0</v>
      </c>
      <c r="D313" s="118">
        <v>0</v>
      </c>
      <c r="E313" s="118">
        <v>0</v>
      </c>
      <c r="F313" s="118">
        <v>0</v>
      </c>
      <c r="G313" s="118">
        <v>0</v>
      </c>
      <c r="H313" s="118"/>
      <c r="I313" s="118"/>
      <c r="J313" s="118"/>
      <c r="K313" s="118">
        <v>0</v>
      </c>
      <c r="L313" s="118">
        <v>0</v>
      </c>
      <c r="M313" s="118">
        <v>0</v>
      </c>
      <c r="N313" s="118">
        <v>0</v>
      </c>
      <c r="O313" s="118">
        <v>0</v>
      </c>
      <c r="P313" s="118">
        <v>0</v>
      </c>
      <c r="Q313" s="118">
        <v>0</v>
      </c>
      <c r="R313" s="118">
        <v>0</v>
      </c>
      <c r="S313" s="118">
        <v>0</v>
      </c>
      <c r="T313" s="118">
        <f t="shared" si="60"/>
        <v>0</v>
      </c>
      <c r="U313" s="605"/>
      <c r="V313" s="129" t="s">
        <v>756</v>
      </c>
      <c r="W313" s="118">
        <v>0</v>
      </c>
      <c r="X313" s="118"/>
      <c r="Y313" s="118">
        <f t="shared" si="61"/>
        <v>0</v>
      </c>
    </row>
    <row r="314" spans="2:25" ht="12.75" customHeight="1" x14ac:dyDescent="0.2">
      <c r="B314" s="129" t="s">
        <v>431</v>
      </c>
      <c r="C314" s="118">
        <v>0</v>
      </c>
      <c r="D314" s="118">
        <v>0</v>
      </c>
      <c r="E314" s="118">
        <v>-1890</v>
      </c>
      <c r="F314" s="118">
        <v>0</v>
      </c>
      <c r="G314" s="118">
        <f>-5202-G304</f>
        <v>-3102</v>
      </c>
      <c r="H314" s="118"/>
      <c r="I314" s="118"/>
      <c r="J314" s="118"/>
      <c r="K314" s="118">
        <v>0</v>
      </c>
      <c r="L314" s="118">
        <v>-9129</v>
      </c>
      <c r="M314" s="118">
        <v>0</v>
      </c>
      <c r="N314" s="118">
        <v>-31</v>
      </c>
      <c r="O314" s="118">
        <v>0</v>
      </c>
      <c r="P314" s="118">
        <v>0</v>
      </c>
      <c r="Q314" s="118">
        <v>0</v>
      </c>
      <c r="R314" s="118">
        <v>0</v>
      </c>
      <c r="S314" s="118">
        <v>0</v>
      </c>
      <c r="T314" s="118">
        <f t="shared" si="60"/>
        <v>-14152</v>
      </c>
      <c r="U314" s="605"/>
      <c r="V314" s="129" t="s">
        <v>431</v>
      </c>
      <c r="W314" s="118">
        <v>-3102</v>
      </c>
      <c r="X314" s="118"/>
      <c r="Y314" s="118">
        <f t="shared" si="61"/>
        <v>-3102</v>
      </c>
    </row>
    <row r="315" spans="2:25" x14ac:dyDescent="0.2">
      <c r="B315" s="129" t="s">
        <v>802</v>
      </c>
      <c r="C315" s="118">
        <v>0</v>
      </c>
      <c r="D315" s="118">
        <v>0</v>
      </c>
      <c r="E315" s="118">
        <v>0</v>
      </c>
      <c r="F315" s="118">
        <v>0</v>
      </c>
      <c r="G315" s="118">
        <v>0</v>
      </c>
      <c r="H315" s="118"/>
      <c r="I315" s="118"/>
      <c r="J315" s="118"/>
      <c r="K315" s="118">
        <v>0</v>
      </c>
      <c r="L315" s="118">
        <v>0</v>
      </c>
      <c r="M315" s="118">
        <v>0</v>
      </c>
      <c r="N315" s="118">
        <v>0</v>
      </c>
      <c r="O315" s="118">
        <v>0</v>
      </c>
      <c r="P315" s="118">
        <v>0</v>
      </c>
      <c r="Q315" s="118">
        <v>0</v>
      </c>
      <c r="R315" s="118">
        <v>0</v>
      </c>
      <c r="S315" s="118">
        <v>0</v>
      </c>
      <c r="T315" s="118">
        <f t="shared" si="60"/>
        <v>0</v>
      </c>
      <c r="U315" s="605"/>
      <c r="V315" s="129" t="s">
        <v>802</v>
      </c>
      <c r="W315" s="118">
        <v>0</v>
      </c>
      <c r="X315" s="118"/>
      <c r="Y315" s="118">
        <f t="shared" si="61"/>
        <v>0</v>
      </c>
    </row>
    <row r="316" spans="2:25" x14ac:dyDescent="0.2">
      <c r="B316" s="129" t="s">
        <v>49</v>
      </c>
      <c r="C316" s="118">
        <v>0</v>
      </c>
      <c r="D316" s="118">
        <v>0</v>
      </c>
      <c r="E316" s="118">
        <v>0</v>
      </c>
      <c r="F316" s="118">
        <v>0</v>
      </c>
      <c r="G316" s="118"/>
      <c r="H316" s="118"/>
      <c r="I316" s="118"/>
      <c r="J316" s="118"/>
      <c r="K316" s="118" t="s">
        <v>160</v>
      </c>
      <c r="L316" s="118">
        <v>0</v>
      </c>
      <c r="M316" s="118">
        <v>0</v>
      </c>
      <c r="N316" s="118">
        <v>0</v>
      </c>
      <c r="O316" s="118" t="s">
        <v>160</v>
      </c>
      <c r="P316" s="118" t="s">
        <v>160</v>
      </c>
      <c r="Q316" s="118" t="s">
        <v>160</v>
      </c>
      <c r="R316" s="118" t="s">
        <v>160</v>
      </c>
      <c r="S316" s="118" t="s">
        <v>160</v>
      </c>
      <c r="T316" s="118">
        <f t="shared" si="60"/>
        <v>0</v>
      </c>
      <c r="U316" s="605"/>
      <c r="V316" s="129" t="s">
        <v>49</v>
      </c>
      <c r="W316" s="118">
        <v>0</v>
      </c>
      <c r="X316" s="118"/>
      <c r="Y316" s="118">
        <f t="shared" si="61"/>
        <v>0</v>
      </c>
    </row>
    <row r="317" spans="2:25" x14ac:dyDescent="0.2">
      <c r="B317" s="126" t="s">
        <v>1211</v>
      </c>
      <c r="C317" s="120">
        <f>SUM(C307:C316)</f>
        <v>75560</v>
      </c>
      <c r="D317" s="120">
        <f t="shared" ref="D317:T317" si="62">SUM(D307:D316)</f>
        <v>19483</v>
      </c>
      <c r="E317" s="120">
        <f t="shared" si="62"/>
        <v>132900</v>
      </c>
      <c r="F317" s="120">
        <f t="shared" si="62"/>
        <v>6974</v>
      </c>
      <c r="G317" s="120">
        <f t="shared" si="62"/>
        <v>43008</v>
      </c>
      <c r="H317" s="120"/>
      <c r="I317" s="120"/>
      <c r="J317" s="120"/>
      <c r="K317" s="120">
        <f t="shared" si="62"/>
        <v>0</v>
      </c>
      <c r="L317" s="120">
        <f>SUM(L307:L316)</f>
        <v>60363</v>
      </c>
      <c r="M317" s="120">
        <f>SUM(M307:M316)</f>
        <v>0</v>
      </c>
      <c r="N317" s="120">
        <f>SUM(N307:N316)</f>
        <v>1380</v>
      </c>
      <c r="O317" s="120">
        <f>SUM(O307:O316)</f>
        <v>1</v>
      </c>
      <c r="P317" s="120">
        <f t="shared" si="62"/>
        <v>0</v>
      </c>
      <c r="Q317" s="120">
        <f t="shared" si="62"/>
        <v>0</v>
      </c>
      <c r="R317" s="120">
        <f t="shared" si="62"/>
        <v>0</v>
      </c>
      <c r="S317" s="120">
        <f t="shared" si="62"/>
        <v>0</v>
      </c>
      <c r="T317" s="120">
        <f t="shared" si="62"/>
        <v>339669</v>
      </c>
      <c r="V317" s="126" t="s">
        <v>1211</v>
      </c>
      <c r="W317" s="120">
        <f>SUM(W307:W316)</f>
        <v>43008</v>
      </c>
      <c r="X317" s="120">
        <f>SUM(X307:X316)</f>
        <v>6305</v>
      </c>
      <c r="Y317" s="120">
        <f>SUM(Y307:Y316)</f>
        <v>49313</v>
      </c>
    </row>
    <row r="318" spans="2:25" x14ac:dyDescent="0.2">
      <c r="U318" s="605"/>
    </row>
    <row r="319" spans="2:25" x14ac:dyDescent="0.2">
      <c r="B319" s="129" t="s">
        <v>225</v>
      </c>
      <c r="C319" s="118">
        <v>3538</v>
      </c>
      <c r="D319" s="118">
        <v>1942</v>
      </c>
      <c r="E319" s="118">
        <v>824</v>
      </c>
      <c r="F319" s="118">
        <v>-87</v>
      </c>
      <c r="G319" s="118">
        <f>12496-G309-G299</f>
        <v>5191</v>
      </c>
      <c r="H319" s="118"/>
      <c r="I319" s="118"/>
      <c r="J319" s="118"/>
      <c r="K319" s="118">
        <v>0</v>
      </c>
      <c r="L319" s="118">
        <v>4493</v>
      </c>
      <c r="M319" s="118">
        <v>0</v>
      </c>
      <c r="N319" s="118">
        <v>18</v>
      </c>
      <c r="O319" s="118">
        <v>0</v>
      </c>
      <c r="P319" s="118">
        <v>0</v>
      </c>
      <c r="Q319" s="118">
        <v>0</v>
      </c>
      <c r="R319" s="118">
        <v>0</v>
      </c>
      <c r="S319" s="118">
        <v>0</v>
      </c>
      <c r="T319" s="118">
        <f t="shared" ref="T319:T326" si="63">SUM(C319:O319)</f>
        <v>15919</v>
      </c>
      <c r="U319" s="605" t="s">
        <v>1179</v>
      </c>
      <c r="V319" s="129" t="s">
        <v>225</v>
      </c>
      <c r="W319" s="118">
        <f>12496-W309-W299</f>
        <v>5191</v>
      </c>
      <c r="X319" s="118">
        <f>-680-X309-X299</f>
        <v>-96</v>
      </c>
      <c r="Y319" s="118">
        <f>SUM(W319:X319)</f>
        <v>5095</v>
      </c>
    </row>
    <row r="320" spans="2:25" x14ac:dyDescent="0.2">
      <c r="B320" s="129" t="s">
        <v>1056</v>
      </c>
      <c r="C320" s="118">
        <v>0</v>
      </c>
      <c r="D320" s="118">
        <v>0</v>
      </c>
      <c r="E320" s="118">
        <v>0</v>
      </c>
      <c r="F320" s="118">
        <v>0</v>
      </c>
      <c r="G320" s="118">
        <v>0</v>
      </c>
      <c r="H320" s="118"/>
      <c r="I320" s="118"/>
      <c r="J320" s="118"/>
      <c r="K320" s="118">
        <v>0</v>
      </c>
      <c r="L320" s="118">
        <v>0</v>
      </c>
      <c r="M320" s="118">
        <v>0</v>
      </c>
      <c r="N320" s="118">
        <v>0</v>
      </c>
      <c r="O320" s="118">
        <v>0</v>
      </c>
      <c r="P320" s="118">
        <v>0</v>
      </c>
      <c r="Q320" s="118">
        <v>0</v>
      </c>
      <c r="R320" s="118">
        <v>0</v>
      </c>
      <c r="S320" s="118">
        <v>0</v>
      </c>
      <c r="T320" s="118">
        <f t="shared" si="63"/>
        <v>0</v>
      </c>
      <c r="U320" s="605"/>
      <c r="V320" s="129" t="s">
        <v>1056</v>
      </c>
      <c r="W320" s="118">
        <v>0</v>
      </c>
      <c r="X320" s="118"/>
      <c r="Y320" s="118">
        <f t="shared" ref="Y320:Y326" si="64">SUM(W320:X320)</f>
        <v>0</v>
      </c>
    </row>
    <row r="321" spans="2:28" x14ac:dyDescent="0.2">
      <c r="B321" s="129" t="s">
        <v>1055</v>
      </c>
      <c r="C321" s="118">
        <v>0</v>
      </c>
      <c r="D321" s="118">
        <f>-253-D311-D301</f>
        <v>-501</v>
      </c>
      <c r="E321" s="118">
        <v>0</v>
      </c>
      <c r="F321" s="118"/>
      <c r="G321" s="118">
        <v>0</v>
      </c>
      <c r="H321" s="118"/>
      <c r="I321" s="118"/>
      <c r="J321" s="118"/>
      <c r="K321" s="118">
        <v>0</v>
      </c>
      <c r="L321" s="118">
        <v>0</v>
      </c>
      <c r="M321" s="118">
        <v>17714</v>
      </c>
      <c r="N321" s="118">
        <v>0</v>
      </c>
      <c r="O321" s="118">
        <v>0</v>
      </c>
      <c r="P321" s="118">
        <v>0</v>
      </c>
      <c r="Q321" s="118">
        <v>0</v>
      </c>
      <c r="R321" s="118">
        <v>0</v>
      </c>
      <c r="S321" s="118">
        <v>0</v>
      </c>
      <c r="T321" s="118">
        <f t="shared" si="63"/>
        <v>17213</v>
      </c>
      <c r="U321" s="605"/>
      <c r="V321" s="129" t="s">
        <v>1055</v>
      </c>
      <c r="W321" s="118">
        <v>0</v>
      </c>
      <c r="X321" s="118"/>
      <c r="Y321" s="118">
        <f t="shared" si="64"/>
        <v>0</v>
      </c>
    </row>
    <row r="322" spans="2:28" x14ac:dyDescent="0.2">
      <c r="B322" s="129" t="s">
        <v>1142</v>
      </c>
      <c r="C322" s="118">
        <v>0</v>
      </c>
      <c r="D322" s="118">
        <v>0</v>
      </c>
      <c r="E322" s="118">
        <v>0</v>
      </c>
      <c r="F322" s="118">
        <v>0</v>
      </c>
      <c r="G322" s="118">
        <v>0</v>
      </c>
      <c r="H322" s="118"/>
      <c r="I322" s="118"/>
      <c r="J322" s="118"/>
      <c r="K322" s="118">
        <v>0</v>
      </c>
      <c r="L322" s="118">
        <v>0</v>
      </c>
      <c r="M322" s="118">
        <v>0</v>
      </c>
      <c r="N322" s="118">
        <v>0</v>
      </c>
      <c r="O322" s="118">
        <v>0</v>
      </c>
      <c r="P322" s="118">
        <v>0</v>
      </c>
      <c r="Q322" s="118">
        <v>0</v>
      </c>
      <c r="R322" s="118">
        <v>0</v>
      </c>
      <c r="S322" s="118">
        <v>0</v>
      </c>
      <c r="T322" s="118">
        <f t="shared" si="63"/>
        <v>0</v>
      </c>
      <c r="U322" s="605"/>
      <c r="V322" s="129" t="s">
        <v>1142</v>
      </c>
      <c r="W322" s="118">
        <v>0</v>
      </c>
      <c r="X322" s="118"/>
      <c r="Y322" s="118">
        <f t="shared" si="64"/>
        <v>0</v>
      </c>
    </row>
    <row r="323" spans="2:28" x14ac:dyDescent="0.2">
      <c r="B323" s="129" t="s">
        <v>756</v>
      </c>
      <c r="C323" s="118">
        <v>0</v>
      </c>
      <c r="D323" s="118">
        <v>0</v>
      </c>
      <c r="E323" s="118">
        <v>0</v>
      </c>
      <c r="F323" s="118">
        <v>0</v>
      </c>
      <c r="G323" s="118">
        <v>0</v>
      </c>
      <c r="H323" s="118"/>
      <c r="I323" s="118"/>
      <c r="J323" s="118"/>
      <c r="K323" s="118">
        <v>0</v>
      </c>
      <c r="L323" s="118">
        <v>0</v>
      </c>
      <c r="M323" s="118">
        <v>0</v>
      </c>
      <c r="N323" s="118">
        <v>0</v>
      </c>
      <c r="O323" s="118">
        <v>0</v>
      </c>
      <c r="P323" s="118">
        <v>0</v>
      </c>
      <c r="Q323" s="118">
        <v>0</v>
      </c>
      <c r="R323" s="118">
        <v>0</v>
      </c>
      <c r="S323" s="118">
        <v>0</v>
      </c>
      <c r="T323" s="118">
        <f t="shared" si="63"/>
        <v>0</v>
      </c>
      <c r="U323" s="605"/>
      <c r="V323" s="129" t="s">
        <v>756</v>
      </c>
      <c r="W323" s="118">
        <v>0</v>
      </c>
      <c r="X323" s="118"/>
      <c r="Y323" s="118">
        <f t="shared" si="64"/>
        <v>0</v>
      </c>
    </row>
    <row r="324" spans="2:28" x14ac:dyDescent="0.2">
      <c r="B324" s="129" t="s">
        <v>431</v>
      </c>
      <c r="C324" s="118">
        <v>0</v>
      </c>
      <c r="D324" s="118">
        <v>0</v>
      </c>
      <c r="E324" s="118">
        <v>0</v>
      </c>
      <c r="F324" s="118">
        <v>0</v>
      </c>
      <c r="G324" s="118">
        <f>-9202-G314-G304</f>
        <v>-4000</v>
      </c>
      <c r="H324" s="118"/>
      <c r="I324" s="118"/>
      <c r="J324" s="118"/>
      <c r="K324" s="118">
        <v>0</v>
      </c>
      <c r="L324" s="118">
        <f>-15586-L314</f>
        <v>-6457</v>
      </c>
      <c r="M324" s="118">
        <v>14895</v>
      </c>
      <c r="N324" s="118">
        <v>0</v>
      </c>
      <c r="O324" s="118">
        <v>0</v>
      </c>
      <c r="P324" s="118">
        <v>0</v>
      </c>
      <c r="Q324" s="118">
        <v>0</v>
      </c>
      <c r="R324" s="118">
        <v>0</v>
      </c>
      <c r="S324" s="118">
        <v>0</v>
      </c>
      <c r="T324" s="118">
        <f t="shared" si="63"/>
        <v>4438</v>
      </c>
      <c r="U324" s="605"/>
      <c r="V324" s="129" t="s">
        <v>431</v>
      </c>
      <c r="W324" s="118">
        <f>-9202-W314-W304</f>
        <v>-4000</v>
      </c>
      <c r="X324" s="118"/>
      <c r="Y324" s="118">
        <f t="shared" si="64"/>
        <v>-4000</v>
      </c>
    </row>
    <row r="325" spans="2:28" x14ac:dyDescent="0.2">
      <c r="B325" s="129" t="s">
        <v>802</v>
      </c>
      <c r="C325" s="118">
        <v>0</v>
      </c>
      <c r="D325" s="118">
        <v>0</v>
      </c>
      <c r="E325" s="118">
        <v>0</v>
      </c>
      <c r="F325" s="118">
        <v>0</v>
      </c>
      <c r="G325" s="118">
        <v>0</v>
      </c>
      <c r="H325" s="118"/>
      <c r="I325" s="118"/>
      <c r="J325" s="118"/>
      <c r="K325" s="118">
        <v>0</v>
      </c>
      <c r="L325" s="118">
        <v>0</v>
      </c>
      <c r="M325" s="118">
        <v>0</v>
      </c>
      <c r="N325" s="118">
        <v>0</v>
      </c>
      <c r="O325" s="118">
        <v>0</v>
      </c>
      <c r="P325" s="118">
        <v>0</v>
      </c>
      <c r="Q325" s="118">
        <v>0</v>
      </c>
      <c r="R325" s="118">
        <v>0</v>
      </c>
      <c r="S325" s="118">
        <v>0</v>
      </c>
      <c r="T325" s="118">
        <f t="shared" si="63"/>
        <v>0</v>
      </c>
      <c r="U325" s="605"/>
      <c r="V325" s="129" t="s">
        <v>802</v>
      </c>
      <c r="W325" s="118">
        <v>0</v>
      </c>
      <c r="X325" s="118"/>
      <c r="Y325" s="118">
        <f t="shared" si="64"/>
        <v>0</v>
      </c>
      <c r="AA325" s="1132"/>
      <c r="AB325" s="1131"/>
    </row>
    <row r="326" spans="2:28" x14ac:dyDescent="0.2">
      <c r="B326" s="129" t="s">
        <v>49</v>
      </c>
      <c r="C326" s="118">
        <v>0</v>
      </c>
      <c r="D326" s="118">
        <v>0</v>
      </c>
      <c r="E326" s="118">
        <v>0</v>
      </c>
      <c r="F326" s="118">
        <v>0</v>
      </c>
      <c r="G326" s="118">
        <v>-1</v>
      </c>
      <c r="H326" s="118"/>
      <c r="I326" s="118"/>
      <c r="J326" s="118"/>
      <c r="K326" s="118">
        <v>0</v>
      </c>
      <c r="L326" s="118">
        <v>0</v>
      </c>
      <c r="M326" s="118">
        <v>-45452</v>
      </c>
      <c r="N326" s="118">
        <v>0</v>
      </c>
      <c r="O326" s="118">
        <v>0</v>
      </c>
      <c r="P326" s="118">
        <v>0</v>
      </c>
      <c r="Q326" s="118">
        <v>0</v>
      </c>
      <c r="R326" s="118">
        <v>0</v>
      </c>
      <c r="S326" s="118">
        <v>0</v>
      </c>
      <c r="T326" s="118">
        <f t="shared" si="63"/>
        <v>-45453</v>
      </c>
      <c r="U326" s="605"/>
      <c r="V326" s="129" t="s">
        <v>49</v>
      </c>
      <c r="W326" s="118">
        <v>-1</v>
      </c>
      <c r="X326" s="118"/>
      <c r="Y326" s="118">
        <f t="shared" si="64"/>
        <v>-1</v>
      </c>
      <c r="AA326" s="1132"/>
    </row>
    <row r="327" spans="2:28" x14ac:dyDescent="0.2">
      <c r="B327" s="126" t="s">
        <v>1224</v>
      </c>
      <c r="C327" s="120">
        <f>SUM(C317:C326)</f>
        <v>79098</v>
      </c>
      <c r="D327" s="120">
        <f t="shared" ref="D327:T327" si="65">SUM(D317:D326)</f>
        <v>20924</v>
      </c>
      <c r="E327" s="120">
        <f t="shared" si="65"/>
        <v>133724</v>
      </c>
      <c r="F327" s="120">
        <f t="shared" si="65"/>
        <v>6887</v>
      </c>
      <c r="G327" s="120">
        <f t="shared" si="65"/>
        <v>44198</v>
      </c>
      <c r="H327" s="120"/>
      <c r="I327" s="120"/>
      <c r="J327" s="120"/>
      <c r="K327" s="120">
        <f t="shared" si="65"/>
        <v>0</v>
      </c>
      <c r="L327" s="120">
        <f>SUM(L317:L326)</f>
        <v>58399</v>
      </c>
      <c r="M327" s="120">
        <f>SUM(M317:M326)</f>
        <v>-12843</v>
      </c>
      <c r="N327" s="120">
        <f>SUM(N317:N326)</f>
        <v>1398</v>
      </c>
      <c r="O327" s="120">
        <f>SUM(O317:O326)</f>
        <v>1</v>
      </c>
      <c r="P327" s="120">
        <f t="shared" si="65"/>
        <v>0</v>
      </c>
      <c r="Q327" s="120">
        <f t="shared" si="65"/>
        <v>0</v>
      </c>
      <c r="R327" s="120">
        <f t="shared" si="65"/>
        <v>0</v>
      </c>
      <c r="S327" s="120">
        <f t="shared" si="65"/>
        <v>0</v>
      </c>
      <c r="T327" s="120">
        <f t="shared" si="65"/>
        <v>331786</v>
      </c>
      <c r="V327" s="126" t="s">
        <v>1224</v>
      </c>
      <c r="W327" s="120">
        <f>SUM(W317:W326)</f>
        <v>44198</v>
      </c>
      <c r="X327" s="120">
        <f>SUM(X317:X326)</f>
        <v>6209</v>
      </c>
      <c r="Y327" s="120">
        <f>SUM(Y317:Y326)</f>
        <v>50407</v>
      </c>
    </row>
    <row r="328" spans="2:28" x14ac:dyDescent="0.2">
      <c r="U328" s="605"/>
    </row>
    <row r="329" spans="2:28" x14ac:dyDescent="0.2">
      <c r="B329" s="129" t="s">
        <v>225</v>
      </c>
      <c r="C329" s="118">
        <v>2664</v>
      </c>
      <c r="D329" s="118">
        <v>1174</v>
      </c>
      <c r="E329" s="118">
        <v>881</v>
      </c>
      <c r="F329" s="118">
        <v>-54</v>
      </c>
      <c r="G329" s="118">
        <v>4503</v>
      </c>
      <c r="H329" s="118"/>
      <c r="I329" s="118"/>
      <c r="J329" s="118"/>
      <c r="K329" s="118">
        <v>0</v>
      </c>
      <c r="L329" s="118">
        <v>2970</v>
      </c>
      <c r="M329" s="118">
        <v>-257</v>
      </c>
      <c r="N329" s="118">
        <v>17</v>
      </c>
      <c r="O329" s="118">
        <v>0</v>
      </c>
      <c r="P329" s="118">
        <v>0</v>
      </c>
      <c r="Q329" s="118">
        <v>0</v>
      </c>
      <c r="R329" s="118">
        <v>0</v>
      </c>
      <c r="S329" s="118">
        <v>0</v>
      </c>
      <c r="T329" s="118">
        <f t="shared" ref="T329:T336" si="66">SUM(C329:O329)</f>
        <v>11898</v>
      </c>
      <c r="U329" s="605" t="s">
        <v>1181</v>
      </c>
      <c r="V329" s="129" t="s">
        <v>225</v>
      </c>
      <c r="W329" s="118">
        <v>4503</v>
      </c>
      <c r="X329" s="118">
        <v>-64</v>
      </c>
      <c r="Y329" s="118">
        <f>SUM(W329:X329)</f>
        <v>4439</v>
      </c>
      <c r="Z329" s="1132"/>
      <c r="AA329" s="1131"/>
    </row>
    <row r="330" spans="2:28" x14ac:dyDescent="0.2">
      <c r="B330" s="129" t="s">
        <v>1056</v>
      </c>
      <c r="C330" s="118">
        <v>0</v>
      </c>
      <c r="D330" s="118">
        <v>0</v>
      </c>
      <c r="E330" s="118">
        <v>0</v>
      </c>
      <c r="F330" s="118">
        <v>0</v>
      </c>
      <c r="G330" s="118">
        <v>0</v>
      </c>
      <c r="H330" s="118"/>
      <c r="I330" s="118"/>
      <c r="J330" s="118"/>
      <c r="K330" s="118">
        <v>0</v>
      </c>
      <c r="L330" s="118">
        <v>0</v>
      </c>
      <c r="M330" s="118">
        <v>0</v>
      </c>
      <c r="N330" s="118">
        <v>0</v>
      </c>
      <c r="O330" s="118">
        <v>0</v>
      </c>
      <c r="P330" s="118">
        <v>0</v>
      </c>
      <c r="Q330" s="118">
        <v>0</v>
      </c>
      <c r="R330" s="118">
        <v>0</v>
      </c>
      <c r="S330" s="118">
        <v>0</v>
      </c>
      <c r="T330" s="118">
        <f t="shared" si="66"/>
        <v>0</v>
      </c>
      <c r="U330" s="605"/>
      <c r="V330" s="129" t="s">
        <v>1056</v>
      </c>
      <c r="W330" s="118">
        <v>0</v>
      </c>
      <c r="X330" s="118">
        <v>0</v>
      </c>
      <c r="Y330" s="118">
        <f t="shared" ref="Y330:Y336" si="67">SUM(W330:X330)</f>
        <v>0</v>
      </c>
      <c r="Z330" s="1132"/>
    </row>
    <row r="331" spans="2:28" x14ac:dyDescent="0.2">
      <c r="B331" s="129" t="s">
        <v>1055</v>
      </c>
      <c r="C331" s="118">
        <v>0</v>
      </c>
      <c r="D331" s="118">
        <v>2980</v>
      </c>
      <c r="E331" s="118">
        <v>0</v>
      </c>
      <c r="F331" s="118"/>
      <c r="G331" s="118">
        <v>0</v>
      </c>
      <c r="H331" s="118"/>
      <c r="I331" s="118"/>
      <c r="J331" s="118"/>
      <c r="K331" s="118">
        <v>0</v>
      </c>
      <c r="L331" s="118">
        <v>0</v>
      </c>
      <c r="M331" s="118">
        <v>-17714</v>
      </c>
      <c r="N331" s="118">
        <v>0</v>
      </c>
      <c r="O331" s="118">
        <v>0</v>
      </c>
      <c r="P331" s="118">
        <v>0</v>
      </c>
      <c r="Q331" s="118">
        <v>0</v>
      </c>
      <c r="R331" s="118">
        <v>0</v>
      </c>
      <c r="S331" s="118">
        <v>0</v>
      </c>
      <c r="T331" s="118">
        <f t="shared" si="66"/>
        <v>-14734</v>
      </c>
      <c r="U331" s="605"/>
      <c r="V331" s="129" t="s">
        <v>1055</v>
      </c>
      <c r="W331" s="118">
        <v>0</v>
      </c>
      <c r="X331" s="118">
        <v>0</v>
      </c>
      <c r="Y331" s="118">
        <f t="shared" si="67"/>
        <v>0</v>
      </c>
    </row>
    <row r="332" spans="2:28" x14ac:dyDescent="0.2">
      <c r="B332" s="129" t="s">
        <v>1142</v>
      </c>
      <c r="C332" s="118">
        <v>0</v>
      </c>
      <c r="D332" s="118">
        <v>0</v>
      </c>
      <c r="E332" s="118">
        <v>0</v>
      </c>
      <c r="F332" s="118">
        <v>0</v>
      </c>
      <c r="G332" s="118">
        <v>0</v>
      </c>
      <c r="H332" s="118"/>
      <c r="I332" s="118"/>
      <c r="J332" s="118"/>
      <c r="K332" s="118">
        <v>0</v>
      </c>
      <c r="L332" s="118">
        <v>0</v>
      </c>
      <c r="M332" s="118">
        <v>0</v>
      </c>
      <c r="N332" s="118">
        <v>0</v>
      </c>
      <c r="O332" s="118">
        <v>0</v>
      </c>
      <c r="P332" s="118">
        <v>0</v>
      </c>
      <c r="Q332" s="118">
        <v>0</v>
      </c>
      <c r="R332" s="118">
        <v>0</v>
      </c>
      <c r="S332" s="118">
        <v>0</v>
      </c>
      <c r="T332" s="118">
        <f t="shared" si="66"/>
        <v>0</v>
      </c>
      <c r="U332" s="605"/>
      <c r="V332" s="129" t="s">
        <v>1142</v>
      </c>
      <c r="W332" s="118">
        <v>0</v>
      </c>
      <c r="X332" s="118">
        <v>0</v>
      </c>
      <c r="Y332" s="118">
        <f t="shared" si="67"/>
        <v>0</v>
      </c>
    </row>
    <row r="333" spans="2:28" x14ac:dyDescent="0.2">
      <c r="B333" s="129" t="s">
        <v>756</v>
      </c>
      <c r="C333" s="118">
        <v>0</v>
      </c>
      <c r="D333" s="118">
        <v>0</v>
      </c>
      <c r="E333" s="118">
        <v>0</v>
      </c>
      <c r="F333" s="118">
        <v>0</v>
      </c>
      <c r="G333" s="118">
        <v>0</v>
      </c>
      <c r="H333" s="118"/>
      <c r="I333" s="118"/>
      <c r="J333" s="118"/>
      <c r="K333" s="118">
        <v>0</v>
      </c>
      <c r="L333" s="118">
        <v>0</v>
      </c>
      <c r="M333" s="118">
        <v>0</v>
      </c>
      <c r="N333" s="118">
        <v>0</v>
      </c>
      <c r="O333" s="118">
        <v>0</v>
      </c>
      <c r="P333" s="118">
        <v>0</v>
      </c>
      <c r="Q333" s="118">
        <v>0</v>
      </c>
      <c r="R333" s="118">
        <v>0</v>
      </c>
      <c r="S333" s="118">
        <v>0</v>
      </c>
      <c r="T333" s="118">
        <f t="shared" si="66"/>
        <v>0</v>
      </c>
      <c r="U333" s="605"/>
      <c r="V333" s="129" t="s">
        <v>756</v>
      </c>
      <c r="W333" s="118">
        <v>0</v>
      </c>
      <c r="X333" s="118">
        <v>0</v>
      </c>
      <c r="Y333" s="118">
        <f t="shared" si="67"/>
        <v>0</v>
      </c>
    </row>
    <row r="334" spans="2:28" x14ac:dyDescent="0.2">
      <c r="B334" s="129" t="s">
        <v>431</v>
      </c>
      <c r="C334" s="118">
        <v>0</v>
      </c>
      <c r="D334" s="118">
        <v>0</v>
      </c>
      <c r="E334" s="118">
        <v>0</v>
      </c>
      <c r="F334" s="118">
        <v>0</v>
      </c>
      <c r="G334" s="118">
        <v>-5500</v>
      </c>
      <c r="H334" s="118"/>
      <c r="I334" s="118"/>
      <c r="J334" s="118"/>
      <c r="K334" s="118">
        <v>0</v>
      </c>
      <c r="L334" s="118">
        <v>0</v>
      </c>
      <c r="M334" s="118">
        <v>-14895</v>
      </c>
      <c r="N334" s="118">
        <v>0</v>
      </c>
      <c r="O334" s="118">
        <v>0</v>
      </c>
      <c r="P334" s="118">
        <v>0</v>
      </c>
      <c r="Q334" s="118">
        <v>0</v>
      </c>
      <c r="R334" s="118">
        <v>0</v>
      </c>
      <c r="S334" s="118">
        <v>0</v>
      </c>
      <c r="T334" s="118">
        <f t="shared" si="66"/>
        <v>-20395</v>
      </c>
      <c r="U334" s="605"/>
      <c r="V334" s="129" t="s">
        <v>431</v>
      </c>
      <c r="W334" s="118">
        <v>-5500</v>
      </c>
      <c r="X334" s="118">
        <v>0</v>
      </c>
      <c r="Y334" s="118">
        <f t="shared" si="67"/>
        <v>-5500</v>
      </c>
    </row>
    <row r="335" spans="2:28" x14ac:dyDescent="0.2">
      <c r="B335" s="129" t="s">
        <v>802</v>
      </c>
      <c r="C335" s="118">
        <v>0</v>
      </c>
      <c r="D335" s="118">
        <v>0</v>
      </c>
      <c r="E335" s="118">
        <v>0</v>
      </c>
      <c r="F335" s="118">
        <v>0</v>
      </c>
      <c r="G335" s="118">
        <v>0</v>
      </c>
      <c r="H335" s="118"/>
      <c r="I335" s="118"/>
      <c r="J335" s="118"/>
      <c r="K335" s="118">
        <v>0</v>
      </c>
      <c r="L335" s="118">
        <v>0</v>
      </c>
      <c r="M335" s="118">
        <v>0</v>
      </c>
      <c r="N335" s="118">
        <v>0</v>
      </c>
      <c r="O335" s="118">
        <v>0</v>
      </c>
      <c r="P335" s="118">
        <v>0</v>
      </c>
      <c r="Q335" s="118">
        <v>0</v>
      </c>
      <c r="R335" s="118">
        <v>0</v>
      </c>
      <c r="S335" s="118">
        <v>0</v>
      </c>
      <c r="T335" s="118">
        <f t="shared" si="66"/>
        <v>0</v>
      </c>
      <c r="U335" s="605"/>
      <c r="V335" s="129" t="s">
        <v>802</v>
      </c>
      <c r="W335" s="118">
        <v>0</v>
      </c>
      <c r="X335" s="118">
        <v>0</v>
      </c>
      <c r="Y335" s="118">
        <f t="shared" si="67"/>
        <v>0</v>
      </c>
    </row>
    <row r="336" spans="2:28" x14ac:dyDescent="0.2">
      <c r="B336" s="129" t="s">
        <v>49</v>
      </c>
      <c r="C336" s="118">
        <v>0</v>
      </c>
      <c r="D336" s="118">
        <v>0</v>
      </c>
      <c r="E336" s="118">
        <v>0</v>
      </c>
      <c r="F336" s="118">
        <v>0</v>
      </c>
      <c r="G336" s="118">
        <v>0</v>
      </c>
      <c r="H336" s="118"/>
      <c r="I336" s="118"/>
      <c r="J336" s="118"/>
      <c r="K336" s="118">
        <v>0</v>
      </c>
      <c r="L336" s="118">
        <v>0</v>
      </c>
      <c r="M336" s="118">
        <v>90243</v>
      </c>
      <c r="N336" s="118">
        <v>0</v>
      </c>
      <c r="O336" s="118">
        <v>0</v>
      </c>
      <c r="P336" s="118">
        <v>0</v>
      </c>
      <c r="Q336" s="118">
        <v>0</v>
      </c>
      <c r="R336" s="118">
        <v>0</v>
      </c>
      <c r="S336" s="118">
        <v>0</v>
      </c>
      <c r="T336" s="118">
        <f t="shared" si="66"/>
        <v>90243</v>
      </c>
      <c r="U336" s="605"/>
      <c r="V336" s="129" t="s">
        <v>49</v>
      </c>
      <c r="W336" s="118">
        <v>0</v>
      </c>
      <c r="X336" s="118">
        <v>0</v>
      </c>
      <c r="Y336" s="118">
        <f t="shared" si="67"/>
        <v>0</v>
      </c>
    </row>
    <row r="337" spans="2:25" x14ac:dyDescent="0.2">
      <c r="B337" s="126" t="s">
        <v>1246</v>
      </c>
      <c r="C337" s="120">
        <f>SUM(C327:C336)</f>
        <v>81762</v>
      </c>
      <c r="D337" s="120">
        <f t="shared" ref="D337:T337" si="68">SUM(D327:D336)</f>
        <v>25078</v>
      </c>
      <c r="E337" s="120">
        <f t="shared" si="68"/>
        <v>134605</v>
      </c>
      <c r="F337" s="120">
        <f t="shared" si="68"/>
        <v>6833</v>
      </c>
      <c r="G337" s="120">
        <f t="shared" si="68"/>
        <v>43201</v>
      </c>
      <c r="H337" s="120"/>
      <c r="I337" s="120"/>
      <c r="J337" s="120">
        <v>0</v>
      </c>
      <c r="K337" s="120">
        <f t="shared" si="68"/>
        <v>0</v>
      </c>
      <c r="L337" s="120">
        <f>SUM(L327:L336)</f>
        <v>61369</v>
      </c>
      <c r="M337" s="120">
        <f>SUM(M327:M336)</f>
        <v>44534</v>
      </c>
      <c r="N337" s="120">
        <f>SUM(N327:N336)</f>
        <v>1415</v>
      </c>
      <c r="O337" s="120">
        <f>SUM(O327:O336)</f>
        <v>1</v>
      </c>
      <c r="P337" s="120">
        <f t="shared" si="68"/>
        <v>0</v>
      </c>
      <c r="Q337" s="120">
        <f t="shared" si="68"/>
        <v>0</v>
      </c>
      <c r="R337" s="120">
        <f t="shared" si="68"/>
        <v>0</v>
      </c>
      <c r="S337" s="120">
        <f t="shared" si="68"/>
        <v>0</v>
      </c>
      <c r="T337" s="120">
        <f t="shared" si="68"/>
        <v>398798</v>
      </c>
      <c r="U337" s="605"/>
      <c r="V337" s="126" t="s">
        <v>1246</v>
      </c>
      <c r="W337" s="120">
        <f>SUM(W327:W336)</f>
        <v>43201</v>
      </c>
      <c r="X337" s="120">
        <f>SUM(X327:X336)</f>
        <v>6145</v>
      </c>
      <c r="Y337" s="120">
        <f>SUM(Y327:Y336)</f>
        <v>49346</v>
      </c>
    </row>
    <row r="339" spans="2:25" x14ac:dyDescent="0.2">
      <c r="B339" s="129" t="s">
        <v>225</v>
      </c>
      <c r="C339" s="118">
        <v>1577</v>
      </c>
      <c r="D339" s="118">
        <v>1855</v>
      </c>
      <c r="E339" s="118">
        <v>846</v>
      </c>
      <c r="F339" s="118">
        <v>-30</v>
      </c>
      <c r="G339" s="118">
        <v>6641</v>
      </c>
      <c r="H339" s="118"/>
      <c r="I339" s="118"/>
      <c r="J339" s="118" t="s">
        <v>160</v>
      </c>
      <c r="K339" s="118">
        <v>0</v>
      </c>
      <c r="L339" s="118">
        <v>3688</v>
      </c>
      <c r="M339" s="118">
        <v>257</v>
      </c>
      <c r="N339" s="118">
        <v>4</v>
      </c>
      <c r="O339" s="118">
        <v>0</v>
      </c>
      <c r="P339" s="118">
        <v>0</v>
      </c>
      <c r="Q339" s="118">
        <v>0</v>
      </c>
      <c r="R339" s="118">
        <v>0</v>
      </c>
      <c r="S339" s="118">
        <v>0</v>
      </c>
      <c r="T339" s="118">
        <f t="shared" ref="T339:T346" si="69">SUM(C339:O339)</f>
        <v>14838</v>
      </c>
      <c r="U339" s="605" t="s">
        <v>1243</v>
      </c>
      <c r="V339" s="129" t="s">
        <v>225</v>
      </c>
      <c r="W339" s="118">
        <v>6641</v>
      </c>
      <c r="X339" s="118">
        <v>-38</v>
      </c>
      <c r="Y339" s="118">
        <f>SUM(W339:X339)</f>
        <v>6603</v>
      </c>
    </row>
    <row r="340" spans="2:25" x14ac:dyDescent="0.2">
      <c r="B340" s="129" t="s">
        <v>1056</v>
      </c>
      <c r="C340" s="118">
        <v>0</v>
      </c>
      <c r="D340" s="118">
        <v>0</v>
      </c>
      <c r="E340" s="118">
        <v>0</v>
      </c>
      <c r="F340" s="118">
        <v>0</v>
      </c>
      <c r="G340" s="118">
        <v>0</v>
      </c>
      <c r="H340" s="118"/>
      <c r="I340" s="118"/>
      <c r="J340" s="118" t="s">
        <v>160</v>
      </c>
      <c r="K340" s="118">
        <v>0</v>
      </c>
      <c r="L340" s="118">
        <v>0</v>
      </c>
      <c r="M340" s="118">
        <v>0</v>
      </c>
      <c r="N340" s="118">
        <v>0</v>
      </c>
      <c r="O340" s="118">
        <v>0</v>
      </c>
      <c r="P340" s="118">
        <v>0</v>
      </c>
      <c r="Q340" s="118">
        <v>0</v>
      </c>
      <c r="R340" s="118">
        <v>0</v>
      </c>
      <c r="S340" s="118">
        <v>0</v>
      </c>
      <c r="T340" s="118">
        <f t="shared" si="69"/>
        <v>0</v>
      </c>
      <c r="U340" s="605"/>
      <c r="V340" s="129" t="s">
        <v>1056</v>
      </c>
      <c r="W340" s="118">
        <v>0</v>
      </c>
      <c r="X340" s="118">
        <v>0</v>
      </c>
      <c r="Y340" s="118">
        <f t="shared" ref="Y340:Y346" si="70">SUM(W340:X340)</f>
        <v>0</v>
      </c>
    </row>
    <row r="341" spans="2:25" x14ac:dyDescent="0.2">
      <c r="B341" s="129" t="s">
        <v>1055</v>
      </c>
      <c r="C341" s="118">
        <v>0</v>
      </c>
      <c r="D341" s="118">
        <v>5038</v>
      </c>
      <c r="E341" s="118">
        <v>0</v>
      </c>
      <c r="F341" s="118"/>
      <c r="G341" s="118">
        <v>0</v>
      </c>
      <c r="H341" s="118"/>
      <c r="I341" s="118"/>
      <c r="J341" s="118" t="s">
        <v>160</v>
      </c>
      <c r="K341" s="118">
        <v>0</v>
      </c>
      <c r="L341" s="118">
        <v>0</v>
      </c>
      <c r="M341" s="118">
        <v>0</v>
      </c>
      <c r="N341" s="118">
        <v>0</v>
      </c>
      <c r="O341" s="118">
        <v>0</v>
      </c>
      <c r="P341" s="118">
        <v>0</v>
      </c>
      <c r="Q341" s="118">
        <v>0</v>
      </c>
      <c r="R341" s="118">
        <v>0</v>
      </c>
      <c r="S341" s="118">
        <v>0</v>
      </c>
      <c r="T341" s="118">
        <f t="shared" si="69"/>
        <v>5038</v>
      </c>
      <c r="U341" s="605"/>
      <c r="V341" s="129" t="s">
        <v>1055</v>
      </c>
      <c r="W341" s="118">
        <v>0</v>
      </c>
      <c r="X341" s="118">
        <v>0</v>
      </c>
      <c r="Y341" s="118">
        <f t="shared" si="70"/>
        <v>0</v>
      </c>
    </row>
    <row r="342" spans="2:25" x14ac:dyDescent="0.2">
      <c r="B342" s="129" t="s">
        <v>1142</v>
      </c>
      <c r="C342" s="118">
        <v>0</v>
      </c>
      <c r="D342" s="118">
        <v>0</v>
      </c>
      <c r="E342" s="118">
        <v>0</v>
      </c>
      <c r="F342" s="118">
        <v>0</v>
      </c>
      <c r="G342" s="118">
        <v>0</v>
      </c>
      <c r="H342" s="118"/>
      <c r="I342" s="118"/>
      <c r="J342" s="118" t="s">
        <v>160</v>
      </c>
      <c r="K342" s="118">
        <v>0</v>
      </c>
      <c r="L342" s="118">
        <v>0</v>
      </c>
      <c r="M342" s="118">
        <v>0</v>
      </c>
      <c r="N342" s="118">
        <v>0</v>
      </c>
      <c r="O342" s="118">
        <v>0</v>
      </c>
      <c r="P342" s="118">
        <v>0</v>
      </c>
      <c r="Q342" s="118">
        <v>0</v>
      </c>
      <c r="R342" s="118">
        <v>0</v>
      </c>
      <c r="S342" s="118">
        <v>0</v>
      </c>
      <c r="T342" s="118">
        <f t="shared" si="69"/>
        <v>0</v>
      </c>
      <c r="U342" s="605"/>
      <c r="V342" s="129" t="s">
        <v>1142</v>
      </c>
      <c r="W342" s="118">
        <v>0</v>
      </c>
      <c r="X342" s="118">
        <v>0</v>
      </c>
      <c r="Y342" s="118">
        <f t="shared" si="70"/>
        <v>0</v>
      </c>
    </row>
    <row r="343" spans="2:25" x14ac:dyDescent="0.2">
      <c r="B343" s="129" t="s">
        <v>756</v>
      </c>
      <c r="C343" s="118">
        <v>0</v>
      </c>
      <c r="D343" s="118">
        <v>0</v>
      </c>
      <c r="E343" s="118">
        <v>0</v>
      </c>
      <c r="F343" s="118">
        <v>0</v>
      </c>
      <c r="G343" s="118">
        <v>0</v>
      </c>
      <c r="H343" s="118"/>
      <c r="I343" s="118"/>
      <c r="J343" s="118" t="s">
        <v>160</v>
      </c>
      <c r="K343" s="118">
        <v>0</v>
      </c>
      <c r="L343" s="118">
        <v>0</v>
      </c>
      <c r="M343" s="118">
        <v>0</v>
      </c>
      <c r="N343" s="118">
        <v>0</v>
      </c>
      <c r="O343" s="118">
        <v>0</v>
      </c>
      <c r="P343" s="118">
        <v>0</v>
      </c>
      <c r="Q343" s="118">
        <v>0</v>
      </c>
      <c r="R343" s="118">
        <v>0</v>
      </c>
      <c r="S343" s="118">
        <v>0</v>
      </c>
      <c r="T343" s="118">
        <f t="shared" si="69"/>
        <v>0</v>
      </c>
      <c r="U343" s="605"/>
      <c r="V343" s="129" t="s">
        <v>756</v>
      </c>
      <c r="W343" s="118">
        <v>0</v>
      </c>
      <c r="X343" s="118">
        <v>0</v>
      </c>
      <c r="Y343" s="118">
        <f t="shared" si="70"/>
        <v>0</v>
      </c>
    </row>
    <row r="344" spans="2:25" x14ac:dyDescent="0.2">
      <c r="B344" s="129" t="s">
        <v>431</v>
      </c>
      <c r="C344" s="118">
        <v>0</v>
      </c>
      <c r="D344" s="118">
        <v>0</v>
      </c>
      <c r="E344" s="118">
        <v>0</v>
      </c>
      <c r="F344" s="118">
        <v>0</v>
      </c>
      <c r="G344" s="118">
        <v>0</v>
      </c>
      <c r="H344" s="118"/>
      <c r="I344" s="118"/>
      <c r="J344" s="118" t="s">
        <v>160</v>
      </c>
      <c r="K344" s="118">
        <v>0</v>
      </c>
      <c r="L344" s="118">
        <v>0</v>
      </c>
      <c r="M344" s="118">
        <v>0</v>
      </c>
      <c r="N344" s="118">
        <v>0</v>
      </c>
      <c r="O344" s="118">
        <v>0</v>
      </c>
      <c r="P344" s="118">
        <v>0</v>
      </c>
      <c r="Q344" s="118">
        <v>0</v>
      </c>
      <c r="R344" s="118">
        <v>0</v>
      </c>
      <c r="S344" s="118">
        <v>0</v>
      </c>
      <c r="T344" s="118">
        <f t="shared" si="69"/>
        <v>0</v>
      </c>
      <c r="U344" s="605"/>
      <c r="V344" s="129" t="s">
        <v>431</v>
      </c>
      <c r="W344" s="118">
        <v>0</v>
      </c>
      <c r="X344" s="118">
        <v>0</v>
      </c>
      <c r="Y344" s="118">
        <f t="shared" si="70"/>
        <v>0</v>
      </c>
    </row>
    <row r="345" spans="2:25" x14ac:dyDescent="0.2">
      <c r="B345" s="129" t="s">
        <v>802</v>
      </c>
      <c r="C345" s="118">
        <v>0</v>
      </c>
      <c r="D345" s="118">
        <v>0</v>
      </c>
      <c r="E345" s="118">
        <v>0</v>
      </c>
      <c r="F345" s="118">
        <v>0</v>
      </c>
      <c r="G345" s="118">
        <v>0</v>
      </c>
      <c r="H345" s="118"/>
      <c r="I345" s="118"/>
      <c r="J345" s="118" t="s">
        <v>160</v>
      </c>
      <c r="K345" s="118">
        <v>0</v>
      </c>
      <c r="L345" s="118">
        <v>0</v>
      </c>
      <c r="M345" s="118">
        <v>0</v>
      </c>
      <c r="N345" s="118">
        <v>0</v>
      </c>
      <c r="O345" s="118">
        <v>0</v>
      </c>
      <c r="P345" s="118">
        <v>0</v>
      </c>
      <c r="Q345" s="118">
        <v>0</v>
      </c>
      <c r="R345" s="118">
        <v>0</v>
      </c>
      <c r="S345" s="118">
        <v>0</v>
      </c>
      <c r="T345" s="118">
        <f t="shared" si="69"/>
        <v>0</v>
      </c>
      <c r="U345" s="605"/>
      <c r="V345" s="129" t="s">
        <v>802</v>
      </c>
      <c r="W345" s="118">
        <v>0</v>
      </c>
      <c r="X345" s="118">
        <v>0</v>
      </c>
      <c r="Y345" s="118">
        <f t="shared" si="70"/>
        <v>0</v>
      </c>
    </row>
    <row r="346" spans="2:25" x14ac:dyDescent="0.2">
      <c r="B346" s="129" t="s">
        <v>49</v>
      </c>
      <c r="C346" s="118">
        <v>0</v>
      </c>
      <c r="D346" s="118">
        <v>0</v>
      </c>
      <c r="E346" s="118">
        <v>0</v>
      </c>
      <c r="F346" s="118">
        <v>0</v>
      </c>
      <c r="G346" s="118">
        <v>0</v>
      </c>
      <c r="H346" s="118"/>
      <c r="I346" s="118"/>
      <c r="J346" s="118" t="s">
        <v>160</v>
      </c>
      <c r="K346" s="118">
        <v>0</v>
      </c>
      <c r="L346" s="118">
        <v>0</v>
      </c>
      <c r="M346" s="118">
        <v>-44791</v>
      </c>
      <c r="N346" s="118">
        <v>0</v>
      </c>
      <c r="O346" s="118">
        <v>0</v>
      </c>
      <c r="P346" s="118">
        <v>0</v>
      </c>
      <c r="Q346" s="118">
        <v>0</v>
      </c>
      <c r="R346" s="118">
        <v>0</v>
      </c>
      <c r="S346" s="118">
        <v>0</v>
      </c>
      <c r="T346" s="118">
        <f t="shared" si="69"/>
        <v>-44791</v>
      </c>
      <c r="U346" s="605"/>
      <c r="V346" s="129" t="s">
        <v>49</v>
      </c>
      <c r="W346" s="118">
        <v>0</v>
      </c>
      <c r="X346" s="118">
        <v>0</v>
      </c>
      <c r="Y346" s="118">
        <f t="shared" si="70"/>
        <v>0</v>
      </c>
    </row>
    <row r="347" spans="2:25" x14ac:dyDescent="0.2">
      <c r="B347" s="126" t="s">
        <v>1262</v>
      </c>
      <c r="C347" s="120">
        <f>SUM(C337:C346)</f>
        <v>83339</v>
      </c>
      <c r="D347" s="120">
        <f t="shared" ref="D347:T347" si="71">SUM(D337:D346)</f>
        <v>31971</v>
      </c>
      <c r="E347" s="120">
        <f t="shared" si="71"/>
        <v>135451</v>
      </c>
      <c r="F347" s="120">
        <f t="shared" si="71"/>
        <v>6803</v>
      </c>
      <c r="G347" s="120">
        <f t="shared" si="71"/>
        <v>49842</v>
      </c>
      <c r="H347" s="120"/>
      <c r="I347" s="120"/>
      <c r="J347" s="120">
        <f t="shared" si="71"/>
        <v>0</v>
      </c>
      <c r="K347" s="120">
        <f t="shared" si="71"/>
        <v>0</v>
      </c>
      <c r="L347" s="120">
        <f>SUM(L337:L346)</f>
        <v>65057</v>
      </c>
      <c r="M347" s="120">
        <f>SUM(M337:M346)</f>
        <v>0</v>
      </c>
      <c r="N347" s="120">
        <v>2</v>
      </c>
      <c r="O347" s="120">
        <v>0</v>
      </c>
      <c r="P347" s="120">
        <f t="shared" si="71"/>
        <v>0</v>
      </c>
      <c r="Q347" s="120">
        <f t="shared" si="71"/>
        <v>0</v>
      </c>
      <c r="R347" s="120">
        <f t="shared" si="71"/>
        <v>0</v>
      </c>
      <c r="S347" s="120">
        <f t="shared" si="71"/>
        <v>0</v>
      </c>
      <c r="T347" s="120">
        <f t="shared" si="71"/>
        <v>373883</v>
      </c>
      <c r="U347" s="605"/>
      <c r="V347" s="126" t="s">
        <v>1262</v>
      </c>
      <c r="W347" s="120">
        <f>SUM(W337:W346)</f>
        <v>49842</v>
      </c>
      <c r="X347" s="120">
        <f>SUM(X337:X346)</f>
        <v>6107</v>
      </c>
      <c r="Y347" s="120">
        <f>SUM(Y337:Y346)</f>
        <v>55949</v>
      </c>
    </row>
    <row r="349" spans="2:25" x14ac:dyDescent="0.2">
      <c r="B349" s="129" t="s">
        <v>225</v>
      </c>
      <c r="C349" s="118">
        <v>3013</v>
      </c>
      <c r="D349" s="118">
        <v>1309</v>
      </c>
      <c r="E349" s="118">
        <v>882</v>
      </c>
      <c r="F349" s="118">
        <v>-231</v>
      </c>
      <c r="G349" s="118">
        <v>9597</v>
      </c>
      <c r="H349" s="118"/>
      <c r="I349" s="118"/>
      <c r="J349" s="118">
        <v>894</v>
      </c>
      <c r="K349" s="118">
        <v>0</v>
      </c>
      <c r="L349" s="118">
        <v>1338</v>
      </c>
      <c r="M349" s="118">
        <v>0</v>
      </c>
      <c r="N349" s="118" t="s">
        <v>160</v>
      </c>
      <c r="O349" s="118">
        <v>0</v>
      </c>
      <c r="P349" s="118">
        <v>0</v>
      </c>
      <c r="Q349" s="118">
        <v>0</v>
      </c>
      <c r="R349" s="118">
        <v>0</v>
      </c>
      <c r="S349" s="118">
        <v>0</v>
      </c>
      <c r="T349" s="118">
        <f t="shared" ref="T349:T357" si="72">SUM(C349:J349)</f>
        <v>15464</v>
      </c>
      <c r="U349" s="605"/>
      <c r="V349" s="129" t="s">
        <v>225</v>
      </c>
      <c r="W349" s="118">
        <v>9597</v>
      </c>
      <c r="X349" s="118">
        <v>-234</v>
      </c>
      <c r="Y349" s="118">
        <f t="shared" ref="Y349:Y357" si="73">SUM(W349:X349)</f>
        <v>9363</v>
      </c>
    </row>
    <row r="350" spans="2:25" x14ac:dyDescent="0.2">
      <c r="B350" s="129" t="s">
        <v>1056</v>
      </c>
      <c r="C350" s="118">
        <v>0</v>
      </c>
      <c r="D350" s="118">
        <v>0</v>
      </c>
      <c r="E350" s="118">
        <v>0</v>
      </c>
      <c r="F350" s="118">
        <v>0</v>
      </c>
      <c r="G350" s="118">
        <v>0</v>
      </c>
      <c r="H350" s="118"/>
      <c r="I350" s="118"/>
      <c r="J350" s="118" t="s">
        <v>160</v>
      </c>
      <c r="K350" s="118">
        <v>0</v>
      </c>
      <c r="L350" s="118">
        <v>0</v>
      </c>
      <c r="M350" s="118">
        <v>0</v>
      </c>
      <c r="N350" s="118">
        <v>0</v>
      </c>
      <c r="O350" s="118">
        <v>0</v>
      </c>
      <c r="P350" s="118">
        <v>0</v>
      </c>
      <c r="Q350" s="118">
        <v>0</v>
      </c>
      <c r="R350" s="118">
        <v>0</v>
      </c>
      <c r="S350" s="118">
        <v>0</v>
      </c>
      <c r="T350" s="118">
        <f t="shared" si="72"/>
        <v>0</v>
      </c>
      <c r="U350" s="605"/>
      <c r="V350" s="129" t="s">
        <v>1056</v>
      </c>
      <c r="W350" s="118">
        <v>0</v>
      </c>
      <c r="X350" s="118">
        <v>0</v>
      </c>
      <c r="Y350" s="118">
        <f t="shared" si="73"/>
        <v>0</v>
      </c>
    </row>
    <row r="351" spans="2:25" x14ac:dyDescent="0.2">
      <c r="B351" s="129" t="s">
        <v>1277</v>
      </c>
      <c r="C351" s="118" t="s">
        <v>160</v>
      </c>
      <c r="D351" s="118" t="s">
        <v>160</v>
      </c>
      <c r="E351" s="118" t="s">
        <v>160</v>
      </c>
      <c r="F351" s="118" t="s">
        <v>160</v>
      </c>
      <c r="G351" s="118" t="s">
        <v>160</v>
      </c>
      <c r="H351" s="118"/>
      <c r="I351" s="118"/>
      <c r="J351" s="118">
        <v>8254</v>
      </c>
      <c r="K351" s="118" t="s">
        <v>160</v>
      </c>
      <c r="L351" s="118">
        <v>-66395</v>
      </c>
      <c r="M351" s="118" t="s">
        <v>160</v>
      </c>
      <c r="N351" s="118" t="s">
        <v>160</v>
      </c>
      <c r="O351" s="118" t="s">
        <v>160</v>
      </c>
      <c r="P351" s="118" t="s">
        <v>160</v>
      </c>
      <c r="Q351" s="118" t="s">
        <v>160</v>
      </c>
      <c r="R351" s="118"/>
      <c r="S351" s="118"/>
      <c r="T351" s="118">
        <f t="shared" si="72"/>
        <v>8254</v>
      </c>
      <c r="U351" s="605"/>
      <c r="V351" s="129" t="s">
        <v>1277</v>
      </c>
      <c r="W351" s="118"/>
      <c r="X351" s="118"/>
      <c r="Y351" s="118">
        <f t="shared" si="73"/>
        <v>0</v>
      </c>
    </row>
    <row r="352" spans="2:25" x14ac:dyDescent="0.2">
      <c r="B352" s="129" t="s">
        <v>1055</v>
      </c>
      <c r="C352" s="118" t="s">
        <v>160</v>
      </c>
      <c r="D352" s="118" t="s">
        <v>160</v>
      </c>
      <c r="E352" s="118" t="s">
        <v>160</v>
      </c>
      <c r="F352" s="118"/>
      <c r="G352" s="118">
        <v>0</v>
      </c>
      <c r="H352" s="118"/>
      <c r="I352" s="118"/>
      <c r="J352" s="118" t="s">
        <v>160</v>
      </c>
      <c r="K352" s="118">
        <v>0</v>
      </c>
      <c r="L352" s="118">
        <v>0</v>
      </c>
      <c r="M352" s="118">
        <v>0</v>
      </c>
      <c r="N352" s="118">
        <v>0</v>
      </c>
      <c r="O352" s="118">
        <v>0</v>
      </c>
      <c r="P352" s="118">
        <v>0</v>
      </c>
      <c r="Q352" s="118">
        <v>0</v>
      </c>
      <c r="R352" s="118">
        <v>0</v>
      </c>
      <c r="S352" s="118">
        <v>0</v>
      </c>
      <c r="T352" s="118">
        <f t="shared" si="72"/>
        <v>0</v>
      </c>
      <c r="U352" s="605"/>
      <c r="V352" s="129" t="s">
        <v>1055</v>
      </c>
      <c r="W352" s="118">
        <v>0</v>
      </c>
      <c r="X352" s="118">
        <v>0</v>
      </c>
      <c r="Y352" s="118">
        <f t="shared" si="73"/>
        <v>0</v>
      </c>
    </row>
    <row r="353" spans="2:25" x14ac:dyDescent="0.2">
      <c r="B353" s="129" t="s">
        <v>1142</v>
      </c>
      <c r="C353" s="118">
        <v>0</v>
      </c>
      <c r="D353" s="118">
        <v>0</v>
      </c>
      <c r="E353" s="118">
        <v>0</v>
      </c>
      <c r="F353" s="118">
        <v>0</v>
      </c>
      <c r="G353" s="118">
        <v>0</v>
      </c>
      <c r="H353" s="118"/>
      <c r="I353" s="118"/>
      <c r="J353" s="118" t="s">
        <v>160</v>
      </c>
      <c r="K353" s="118">
        <v>0</v>
      </c>
      <c r="L353" s="118">
        <v>0</v>
      </c>
      <c r="M353" s="118">
        <v>0</v>
      </c>
      <c r="N353" s="118">
        <v>0</v>
      </c>
      <c r="O353" s="118">
        <v>0</v>
      </c>
      <c r="P353" s="118">
        <v>0</v>
      </c>
      <c r="Q353" s="118">
        <v>0</v>
      </c>
      <c r="R353" s="118">
        <v>0</v>
      </c>
      <c r="S353" s="118">
        <v>0</v>
      </c>
      <c r="T353" s="118">
        <f t="shared" si="72"/>
        <v>0</v>
      </c>
      <c r="U353" s="605"/>
      <c r="V353" s="129" t="s">
        <v>1142</v>
      </c>
      <c r="W353" s="118">
        <v>0</v>
      </c>
      <c r="X353" s="118">
        <v>0</v>
      </c>
      <c r="Y353" s="118">
        <f t="shared" si="73"/>
        <v>0</v>
      </c>
    </row>
    <row r="354" spans="2:25" x14ac:dyDescent="0.2">
      <c r="B354" s="129" t="s">
        <v>756</v>
      </c>
      <c r="C354" s="118">
        <v>0</v>
      </c>
      <c r="D354" s="118">
        <v>0</v>
      </c>
      <c r="E354" s="118">
        <v>0</v>
      </c>
      <c r="F354" s="118">
        <v>0</v>
      </c>
      <c r="G354" s="118">
        <v>0</v>
      </c>
      <c r="H354" s="118"/>
      <c r="I354" s="118"/>
      <c r="J354" s="118" t="s">
        <v>160</v>
      </c>
      <c r="K354" s="118">
        <v>0</v>
      </c>
      <c r="L354" s="118">
        <v>0</v>
      </c>
      <c r="M354" s="118">
        <v>0</v>
      </c>
      <c r="N354" s="118">
        <v>0</v>
      </c>
      <c r="O354" s="118">
        <v>0</v>
      </c>
      <c r="P354" s="118">
        <v>0</v>
      </c>
      <c r="Q354" s="118">
        <v>0</v>
      </c>
      <c r="R354" s="118">
        <v>0</v>
      </c>
      <c r="S354" s="118">
        <v>0</v>
      </c>
      <c r="T354" s="118">
        <f t="shared" si="72"/>
        <v>0</v>
      </c>
      <c r="U354" s="605"/>
      <c r="V354" s="129" t="s">
        <v>756</v>
      </c>
      <c r="W354" s="118">
        <v>0</v>
      </c>
      <c r="X354" s="118">
        <v>0</v>
      </c>
      <c r="Y354" s="118">
        <f t="shared" si="73"/>
        <v>0</v>
      </c>
    </row>
    <row r="355" spans="2:25" x14ac:dyDescent="0.2">
      <c r="B355" s="129" t="s">
        <v>431</v>
      </c>
      <c r="C355" s="118">
        <v>-9829</v>
      </c>
      <c r="D355" s="118">
        <v>-1823</v>
      </c>
      <c r="E355" s="118">
        <v>-3199</v>
      </c>
      <c r="F355" s="118">
        <v>0</v>
      </c>
      <c r="G355" s="118">
        <v>-3181</v>
      </c>
      <c r="H355" s="118"/>
      <c r="I355" s="118"/>
      <c r="J355" s="118">
        <v>-1161</v>
      </c>
      <c r="K355" s="118">
        <v>0</v>
      </c>
      <c r="L355" s="118">
        <v>0</v>
      </c>
      <c r="M355" s="118">
        <v>0</v>
      </c>
      <c r="N355" s="118">
        <v>0</v>
      </c>
      <c r="O355" s="118">
        <v>0</v>
      </c>
      <c r="P355" s="118">
        <v>0</v>
      </c>
      <c r="Q355" s="118">
        <v>0</v>
      </c>
      <c r="R355" s="118">
        <v>0</v>
      </c>
      <c r="S355" s="118">
        <v>0</v>
      </c>
      <c r="T355" s="118">
        <f t="shared" si="72"/>
        <v>-19193</v>
      </c>
      <c r="U355" s="605"/>
      <c r="V355" s="129" t="s">
        <v>431</v>
      </c>
      <c r="W355" s="118">
        <v>0</v>
      </c>
      <c r="X355" s="118">
        <v>0</v>
      </c>
      <c r="Y355" s="118">
        <f t="shared" si="73"/>
        <v>0</v>
      </c>
    </row>
    <row r="356" spans="2:25" x14ac:dyDescent="0.2">
      <c r="B356" s="129" t="s">
        <v>802</v>
      </c>
      <c r="C356" s="118">
        <v>0</v>
      </c>
      <c r="D356" s="118">
        <v>0</v>
      </c>
      <c r="E356" s="118">
        <v>0</v>
      </c>
      <c r="F356" s="118">
        <v>0</v>
      </c>
      <c r="G356" s="118">
        <v>0</v>
      </c>
      <c r="H356" s="118"/>
      <c r="I356" s="118"/>
      <c r="J356" s="118" t="s">
        <v>160</v>
      </c>
      <c r="K356" s="118">
        <v>0</v>
      </c>
      <c r="L356" s="118">
        <v>0</v>
      </c>
      <c r="M356" s="118">
        <v>0</v>
      </c>
      <c r="N356" s="118">
        <v>0</v>
      </c>
      <c r="O356" s="118">
        <v>0</v>
      </c>
      <c r="P356" s="118">
        <v>0</v>
      </c>
      <c r="Q356" s="118">
        <v>0</v>
      </c>
      <c r="R356" s="118">
        <v>0</v>
      </c>
      <c r="S356" s="118">
        <v>0</v>
      </c>
      <c r="T356" s="118">
        <f t="shared" si="72"/>
        <v>0</v>
      </c>
      <c r="U356" s="605"/>
      <c r="V356" s="129" t="s">
        <v>802</v>
      </c>
      <c r="W356" s="118">
        <v>0</v>
      </c>
      <c r="X356" s="118">
        <v>0</v>
      </c>
      <c r="Y356" s="118">
        <f t="shared" si="73"/>
        <v>0</v>
      </c>
    </row>
    <row r="357" spans="2:25" x14ac:dyDescent="0.2">
      <c r="B357" s="129" t="s">
        <v>49</v>
      </c>
      <c r="C357" s="118">
        <v>0</v>
      </c>
      <c r="D357" s="118">
        <v>0</v>
      </c>
      <c r="E357" s="118">
        <v>0</v>
      </c>
      <c r="F357" s="118">
        <v>0</v>
      </c>
      <c r="G357" s="118">
        <v>0</v>
      </c>
      <c r="H357" s="118"/>
      <c r="I357" s="118"/>
      <c r="J357" s="118" t="s">
        <v>160</v>
      </c>
      <c r="K357" s="118">
        <v>0</v>
      </c>
      <c r="L357" s="118">
        <v>0</v>
      </c>
      <c r="M357" s="118">
        <v>0</v>
      </c>
      <c r="N357" s="118">
        <v>0</v>
      </c>
      <c r="O357" s="118">
        <v>0</v>
      </c>
      <c r="P357" s="118">
        <v>0</v>
      </c>
      <c r="Q357" s="118">
        <v>0</v>
      </c>
      <c r="R357" s="118">
        <v>0</v>
      </c>
      <c r="S357" s="118">
        <v>0</v>
      </c>
      <c r="T357" s="118">
        <f t="shared" si="72"/>
        <v>0</v>
      </c>
      <c r="U357" s="605"/>
      <c r="V357" s="129" t="s">
        <v>49</v>
      </c>
      <c r="W357" s="118">
        <v>0</v>
      </c>
      <c r="X357" s="118">
        <v>0</v>
      </c>
      <c r="Y357" s="118">
        <f t="shared" si="73"/>
        <v>0</v>
      </c>
    </row>
    <row r="358" spans="2:25" x14ac:dyDescent="0.2">
      <c r="B358" s="126" t="s">
        <v>1273</v>
      </c>
      <c r="C358" s="120">
        <f>+SUM(C347:C357)</f>
        <v>76523</v>
      </c>
      <c r="D358" s="120">
        <f t="shared" ref="D358:S358" si="74">+SUM(D347:D357)</f>
        <v>31457</v>
      </c>
      <c r="E358" s="120">
        <f t="shared" si="74"/>
        <v>133134</v>
      </c>
      <c r="F358" s="120">
        <f t="shared" si="74"/>
        <v>6572</v>
      </c>
      <c r="G358" s="120">
        <f t="shared" si="74"/>
        <v>56258</v>
      </c>
      <c r="H358" s="120"/>
      <c r="I358" s="120"/>
      <c r="J358" s="120">
        <f t="shared" si="74"/>
        <v>7987</v>
      </c>
      <c r="K358" s="120">
        <f t="shared" si="74"/>
        <v>0</v>
      </c>
      <c r="L358" s="120">
        <f>+SUM(L347:L357)</f>
        <v>0</v>
      </c>
      <c r="M358" s="120">
        <f>+SUM(M347:M357)</f>
        <v>0</v>
      </c>
      <c r="N358" s="120">
        <f t="shared" si="74"/>
        <v>2</v>
      </c>
      <c r="O358" s="120">
        <f t="shared" si="74"/>
        <v>0</v>
      </c>
      <c r="P358" s="120">
        <f t="shared" si="74"/>
        <v>0</v>
      </c>
      <c r="Q358" s="120">
        <f t="shared" si="74"/>
        <v>0</v>
      </c>
      <c r="R358" s="120">
        <f t="shared" si="74"/>
        <v>0</v>
      </c>
      <c r="S358" s="120">
        <f t="shared" si="74"/>
        <v>0</v>
      </c>
      <c r="T358" s="120">
        <f>+SUM(C358:S358)</f>
        <v>311933</v>
      </c>
      <c r="U358" s="605"/>
      <c r="V358" s="126" t="s">
        <v>1273</v>
      </c>
      <c r="W358" s="120">
        <f>SUM(W347:W357)</f>
        <v>59439</v>
      </c>
      <c r="X358" s="120">
        <f>SUM(X347:X357)</f>
        <v>5873</v>
      </c>
      <c r="Y358" s="120">
        <f>SUM(Y347:Y357)</f>
        <v>65312</v>
      </c>
    </row>
    <row r="360" spans="2:25" x14ac:dyDescent="0.2">
      <c r="B360" s="129" t="s">
        <v>225</v>
      </c>
      <c r="C360" s="118">
        <v>1612</v>
      </c>
      <c r="D360" s="118">
        <v>1283</v>
      </c>
      <c r="E360" s="118">
        <v>868</v>
      </c>
      <c r="F360" s="118">
        <v>-394</v>
      </c>
      <c r="G360" s="118">
        <v>7809</v>
      </c>
      <c r="H360" s="118"/>
      <c r="I360" s="118"/>
      <c r="J360" s="118">
        <v>1087</v>
      </c>
      <c r="K360" s="118">
        <v>0</v>
      </c>
      <c r="L360" s="118">
        <v>0</v>
      </c>
      <c r="M360" s="118">
        <v>0</v>
      </c>
      <c r="N360" s="118" t="s">
        <v>160</v>
      </c>
      <c r="O360" s="118">
        <v>0</v>
      </c>
      <c r="P360" s="118">
        <v>0</v>
      </c>
      <c r="Q360" s="118">
        <v>0</v>
      </c>
      <c r="R360" s="118">
        <v>0</v>
      </c>
      <c r="S360" s="118">
        <v>0</v>
      </c>
      <c r="T360" s="118">
        <f t="shared" ref="T360:T369" si="75">SUM(C360:J360)</f>
        <v>12265</v>
      </c>
      <c r="U360" s="605"/>
      <c r="V360" s="129" t="s">
        <v>225</v>
      </c>
      <c r="W360" s="118">
        <v>7809</v>
      </c>
      <c r="X360" s="118">
        <v>-376</v>
      </c>
      <c r="Y360" s="118">
        <f>SUM(W360:X360)</f>
        <v>7433</v>
      </c>
    </row>
    <row r="361" spans="2:25" x14ac:dyDescent="0.2">
      <c r="B361" s="129" t="s">
        <v>1056</v>
      </c>
      <c r="C361" s="118">
        <v>0</v>
      </c>
      <c r="D361" s="118">
        <v>0</v>
      </c>
      <c r="E361" s="118">
        <v>0</v>
      </c>
      <c r="F361" s="118">
        <v>0</v>
      </c>
      <c r="G361" s="118">
        <v>0</v>
      </c>
      <c r="H361" s="118"/>
      <c r="I361" s="118"/>
      <c r="J361" s="118" t="s">
        <v>160</v>
      </c>
      <c r="K361" s="118">
        <v>0</v>
      </c>
      <c r="L361" s="118">
        <v>0</v>
      </c>
      <c r="M361" s="118">
        <v>0</v>
      </c>
      <c r="N361" s="118">
        <v>0</v>
      </c>
      <c r="O361" s="118">
        <v>0</v>
      </c>
      <c r="P361" s="118">
        <v>0</v>
      </c>
      <c r="Q361" s="118">
        <v>0</v>
      </c>
      <c r="R361" s="118">
        <v>0</v>
      </c>
      <c r="S361" s="118">
        <v>0</v>
      </c>
      <c r="T361" s="118">
        <f t="shared" si="75"/>
        <v>0</v>
      </c>
      <c r="U361" s="605"/>
      <c r="V361" s="129" t="s">
        <v>1056</v>
      </c>
      <c r="W361" s="118">
        <v>0</v>
      </c>
      <c r="X361" s="118">
        <v>0</v>
      </c>
      <c r="Y361" s="118">
        <f t="shared" ref="Y361:Y369" si="76">SUM(W361:X361)</f>
        <v>0</v>
      </c>
    </row>
    <row r="362" spans="2:25" x14ac:dyDescent="0.2">
      <c r="B362" s="129" t="s">
        <v>1277</v>
      </c>
      <c r="C362" s="118" t="s">
        <v>160</v>
      </c>
      <c r="D362" s="118" t="s">
        <v>160</v>
      </c>
      <c r="E362" s="118" t="s">
        <v>160</v>
      </c>
      <c r="F362" s="118" t="s">
        <v>160</v>
      </c>
      <c r="G362" s="118" t="s">
        <v>160</v>
      </c>
      <c r="H362" s="118"/>
      <c r="I362" s="118"/>
      <c r="J362" s="118">
        <v>1</v>
      </c>
      <c r="K362" s="118" t="s">
        <v>160</v>
      </c>
      <c r="L362" s="118">
        <v>0</v>
      </c>
      <c r="M362" s="118" t="s">
        <v>160</v>
      </c>
      <c r="N362" s="118" t="s">
        <v>160</v>
      </c>
      <c r="O362" s="118" t="s">
        <v>160</v>
      </c>
      <c r="P362" s="118" t="s">
        <v>160</v>
      </c>
      <c r="Q362" s="118" t="s">
        <v>160</v>
      </c>
      <c r="R362" s="118" t="s">
        <v>160</v>
      </c>
      <c r="S362" s="118" t="s">
        <v>160</v>
      </c>
      <c r="T362" s="118">
        <f t="shared" si="75"/>
        <v>1</v>
      </c>
      <c r="U362" s="605"/>
      <c r="V362" s="129" t="s">
        <v>1277</v>
      </c>
      <c r="W362" s="118"/>
      <c r="X362" s="118"/>
      <c r="Y362" s="118"/>
    </row>
    <row r="363" spans="2:25" x14ac:dyDescent="0.2">
      <c r="B363" s="129" t="s">
        <v>1055</v>
      </c>
      <c r="C363" s="118" t="s">
        <v>160</v>
      </c>
      <c r="D363" s="118" t="s">
        <v>160</v>
      </c>
      <c r="E363" s="118" t="s">
        <v>160</v>
      </c>
      <c r="F363" s="118">
        <v>10000</v>
      </c>
      <c r="G363" s="118">
        <v>0</v>
      </c>
      <c r="H363" s="118"/>
      <c r="I363" s="118"/>
      <c r="J363" s="118" t="s">
        <v>160</v>
      </c>
      <c r="K363" s="118">
        <v>0</v>
      </c>
      <c r="L363" s="118">
        <v>0</v>
      </c>
      <c r="M363" s="118">
        <v>0</v>
      </c>
      <c r="N363" s="118">
        <v>0</v>
      </c>
      <c r="O363" s="118">
        <v>0</v>
      </c>
      <c r="P363" s="118">
        <v>0</v>
      </c>
      <c r="Q363" s="118">
        <v>0</v>
      </c>
      <c r="R363" s="118">
        <v>0</v>
      </c>
      <c r="S363" s="118">
        <v>0</v>
      </c>
      <c r="T363" s="118">
        <f t="shared" si="75"/>
        <v>10000</v>
      </c>
      <c r="U363" s="605"/>
      <c r="V363" s="129" t="s">
        <v>1055</v>
      </c>
      <c r="W363" s="118">
        <v>0</v>
      </c>
      <c r="X363" s="118">
        <v>0</v>
      </c>
      <c r="Y363" s="118">
        <f t="shared" si="76"/>
        <v>0</v>
      </c>
    </row>
    <row r="364" spans="2:25" x14ac:dyDescent="0.2">
      <c r="B364" s="129" t="s">
        <v>1296</v>
      </c>
      <c r="C364" s="118" t="s">
        <v>160</v>
      </c>
      <c r="D364" s="118" t="s">
        <v>160</v>
      </c>
      <c r="E364" s="118" t="s">
        <v>160</v>
      </c>
      <c r="F364" s="118" t="s">
        <v>160</v>
      </c>
      <c r="G364" s="118" t="s">
        <v>160</v>
      </c>
      <c r="H364" s="118"/>
      <c r="I364" s="118"/>
      <c r="J364" s="118" t="s">
        <v>160</v>
      </c>
      <c r="K364" s="118" t="s">
        <v>160</v>
      </c>
      <c r="L364" s="118" t="s">
        <v>160</v>
      </c>
      <c r="M364" s="118" t="s">
        <v>160</v>
      </c>
      <c r="N364" s="118" t="s">
        <v>160</v>
      </c>
      <c r="O364" s="118" t="s">
        <v>160</v>
      </c>
      <c r="P364" s="118" t="s">
        <v>160</v>
      </c>
      <c r="Q364" s="118" t="s">
        <v>160</v>
      </c>
      <c r="R364" s="118" t="s">
        <v>160</v>
      </c>
      <c r="S364" s="118" t="s">
        <v>160</v>
      </c>
      <c r="T364" s="118">
        <f t="shared" si="75"/>
        <v>0</v>
      </c>
      <c r="U364" s="605"/>
      <c r="V364" s="129" t="s">
        <v>1296</v>
      </c>
      <c r="W364" s="118"/>
      <c r="X364" s="118">
        <v>10000</v>
      </c>
      <c r="Y364" s="118">
        <f t="shared" si="76"/>
        <v>10000</v>
      </c>
    </row>
    <row r="365" spans="2:25" x14ac:dyDescent="0.2">
      <c r="B365" s="129" t="s">
        <v>1142</v>
      </c>
      <c r="C365" s="118">
        <v>0</v>
      </c>
      <c r="D365" s="118">
        <v>0</v>
      </c>
      <c r="E365" s="118">
        <v>0</v>
      </c>
      <c r="F365" s="118">
        <v>0</v>
      </c>
      <c r="G365" s="118">
        <v>0</v>
      </c>
      <c r="H365" s="118"/>
      <c r="I365" s="118"/>
      <c r="J365" s="118" t="s">
        <v>160</v>
      </c>
      <c r="K365" s="118">
        <v>0</v>
      </c>
      <c r="L365" s="118">
        <v>0</v>
      </c>
      <c r="M365" s="118">
        <v>0</v>
      </c>
      <c r="N365" s="118">
        <v>0</v>
      </c>
      <c r="O365" s="118">
        <v>0</v>
      </c>
      <c r="P365" s="118">
        <v>0</v>
      </c>
      <c r="Q365" s="118">
        <v>0</v>
      </c>
      <c r="R365" s="118">
        <v>0</v>
      </c>
      <c r="S365" s="118">
        <v>0</v>
      </c>
      <c r="T365" s="118">
        <f t="shared" si="75"/>
        <v>0</v>
      </c>
      <c r="U365" s="605"/>
      <c r="V365" s="129" t="s">
        <v>1142</v>
      </c>
      <c r="W365" s="118">
        <v>0</v>
      </c>
      <c r="X365" s="118">
        <v>0</v>
      </c>
      <c r="Y365" s="118">
        <f t="shared" si="76"/>
        <v>0</v>
      </c>
    </row>
    <row r="366" spans="2:25" x14ac:dyDescent="0.2">
      <c r="B366" s="129" t="s">
        <v>756</v>
      </c>
      <c r="C366" s="118">
        <v>0</v>
      </c>
      <c r="D366" s="118">
        <v>0</v>
      </c>
      <c r="E366" s="118">
        <v>0</v>
      </c>
      <c r="F366" s="118">
        <v>0</v>
      </c>
      <c r="G366" s="118">
        <v>0</v>
      </c>
      <c r="H366" s="118"/>
      <c r="I366" s="118"/>
      <c r="J366" s="118" t="s">
        <v>160</v>
      </c>
      <c r="K366" s="118">
        <v>0</v>
      </c>
      <c r="L366" s="118">
        <v>0</v>
      </c>
      <c r="M366" s="118">
        <v>0</v>
      </c>
      <c r="N366" s="118">
        <v>0</v>
      </c>
      <c r="O366" s="118">
        <v>0</v>
      </c>
      <c r="P366" s="118">
        <v>0</v>
      </c>
      <c r="Q366" s="118">
        <v>0</v>
      </c>
      <c r="R366" s="118">
        <v>0</v>
      </c>
      <c r="S366" s="118">
        <v>0</v>
      </c>
      <c r="T366" s="118">
        <f t="shared" si="75"/>
        <v>0</v>
      </c>
      <c r="U366" s="605"/>
      <c r="V366" s="129" t="s">
        <v>756</v>
      </c>
      <c r="W366" s="118">
        <v>0</v>
      </c>
      <c r="X366" s="118">
        <v>0</v>
      </c>
      <c r="Y366" s="118">
        <f t="shared" si="76"/>
        <v>0</v>
      </c>
    </row>
    <row r="367" spans="2:25" x14ac:dyDescent="0.2">
      <c r="B367" s="129" t="s">
        <v>431</v>
      </c>
      <c r="C367" s="118">
        <v>1</v>
      </c>
      <c r="D367" s="118">
        <v>0</v>
      </c>
      <c r="E367" s="118">
        <v>-1</v>
      </c>
      <c r="F367" s="118">
        <v>0</v>
      </c>
      <c r="G367" s="118">
        <v>-17473</v>
      </c>
      <c r="H367" s="118"/>
      <c r="I367" s="118"/>
      <c r="J367" s="118">
        <v>0</v>
      </c>
      <c r="K367" s="118">
        <v>0</v>
      </c>
      <c r="L367" s="118">
        <v>0</v>
      </c>
      <c r="M367" s="118">
        <v>0</v>
      </c>
      <c r="N367" s="118">
        <v>0</v>
      </c>
      <c r="O367" s="118">
        <v>0</v>
      </c>
      <c r="P367" s="118">
        <v>0</v>
      </c>
      <c r="Q367" s="118">
        <v>0</v>
      </c>
      <c r="R367" s="118">
        <v>0</v>
      </c>
      <c r="S367" s="118">
        <v>0</v>
      </c>
      <c r="T367" s="118">
        <f t="shared" si="75"/>
        <v>-17473</v>
      </c>
      <c r="U367" s="605"/>
      <c r="V367" s="129" t="s">
        <v>431</v>
      </c>
      <c r="W367" s="118">
        <v>-20654</v>
      </c>
      <c r="X367" s="118">
        <v>0</v>
      </c>
      <c r="Y367" s="118">
        <f t="shared" si="76"/>
        <v>-20654</v>
      </c>
    </row>
    <row r="368" spans="2:25" x14ac:dyDescent="0.2">
      <c r="B368" s="129" t="s">
        <v>802</v>
      </c>
      <c r="C368" s="118">
        <v>0</v>
      </c>
      <c r="D368" s="118">
        <v>0</v>
      </c>
      <c r="E368" s="118">
        <v>0</v>
      </c>
      <c r="F368" s="118">
        <v>0</v>
      </c>
      <c r="G368" s="118">
        <v>0</v>
      </c>
      <c r="H368" s="118"/>
      <c r="I368" s="118"/>
      <c r="J368" s="118" t="s">
        <v>160</v>
      </c>
      <c r="K368" s="118">
        <v>0</v>
      </c>
      <c r="L368" s="118">
        <v>0</v>
      </c>
      <c r="M368" s="118">
        <v>0</v>
      </c>
      <c r="N368" s="118">
        <v>0</v>
      </c>
      <c r="O368" s="118">
        <v>0</v>
      </c>
      <c r="P368" s="118">
        <v>0</v>
      </c>
      <c r="Q368" s="118">
        <v>0</v>
      </c>
      <c r="R368" s="118">
        <v>0</v>
      </c>
      <c r="S368" s="118">
        <v>0</v>
      </c>
      <c r="T368" s="118">
        <f t="shared" si="75"/>
        <v>0</v>
      </c>
      <c r="U368" s="605"/>
      <c r="V368" s="129" t="s">
        <v>802</v>
      </c>
      <c r="W368" s="118">
        <v>0</v>
      </c>
      <c r="X368" s="118">
        <v>0</v>
      </c>
      <c r="Y368" s="118">
        <f t="shared" si="76"/>
        <v>0</v>
      </c>
    </row>
    <row r="369" spans="2:25" x14ac:dyDescent="0.2">
      <c r="B369" s="129" t="s">
        <v>49</v>
      </c>
      <c r="C369" s="118">
        <v>0</v>
      </c>
      <c r="D369" s="118">
        <v>0</v>
      </c>
      <c r="E369" s="118">
        <v>0</v>
      </c>
      <c r="F369" s="118">
        <v>0</v>
      </c>
      <c r="G369" s="118">
        <v>0</v>
      </c>
      <c r="H369" s="118"/>
      <c r="I369" s="118"/>
      <c r="J369" s="118" t="s">
        <v>160</v>
      </c>
      <c r="K369" s="118">
        <v>0</v>
      </c>
      <c r="L369" s="118">
        <v>0</v>
      </c>
      <c r="M369" s="118">
        <v>0</v>
      </c>
      <c r="N369" s="118">
        <v>0</v>
      </c>
      <c r="O369" s="118">
        <v>0</v>
      </c>
      <c r="P369" s="118">
        <v>0</v>
      </c>
      <c r="Q369" s="118">
        <v>0</v>
      </c>
      <c r="R369" s="118">
        <v>0</v>
      </c>
      <c r="S369" s="118">
        <v>0</v>
      </c>
      <c r="T369" s="118">
        <f t="shared" si="75"/>
        <v>0</v>
      </c>
      <c r="U369" s="605"/>
      <c r="V369" s="129" t="s">
        <v>49</v>
      </c>
      <c r="W369" s="118">
        <v>0</v>
      </c>
      <c r="X369" s="118">
        <v>0</v>
      </c>
      <c r="Y369" s="118">
        <f t="shared" si="76"/>
        <v>0</v>
      </c>
    </row>
    <row r="370" spans="2:25" x14ac:dyDescent="0.2">
      <c r="B370" s="126" t="s">
        <v>1292</v>
      </c>
      <c r="C370" s="120">
        <f>SUM(C358:C369)</f>
        <v>78136</v>
      </c>
      <c r="D370" s="120">
        <f t="shared" ref="D370:J370" si="77">SUM(D358:D369)</f>
        <v>32740</v>
      </c>
      <c r="E370" s="120">
        <f t="shared" si="77"/>
        <v>134001</v>
      </c>
      <c r="F370" s="120">
        <f t="shared" si="77"/>
        <v>16178</v>
      </c>
      <c r="G370" s="120">
        <f t="shared" si="77"/>
        <v>46594</v>
      </c>
      <c r="H370" s="120"/>
      <c r="I370" s="120"/>
      <c r="J370" s="120">
        <f t="shared" si="77"/>
        <v>9075</v>
      </c>
      <c r="K370" s="120">
        <f>SUM(K347:K369)</f>
        <v>0</v>
      </c>
      <c r="L370" s="120">
        <f>SUM(L358:L369)</f>
        <v>0</v>
      </c>
      <c r="M370" s="120">
        <f>SUM(M358:M369)</f>
        <v>0</v>
      </c>
      <c r="N370" s="120" t="s">
        <v>160</v>
      </c>
      <c r="O370" s="120">
        <v>0</v>
      </c>
      <c r="P370" s="120">
        <f>SUM(P347:P369)</f>
        <v>0</v>
      </c>
      <c r="Q370" s="120">
        <f>SUM(Q347:Q369)</f>
        <v>0</v>
      </c>
      <c r="R370" s="120">
        <f>SUM(R347:R369)</f>
        <v>0</v>
      </c>
      <c r="S370" s="120">
        <f>SUM(S347:S369)</f>
        <v>0</v>
      </c>
      <c r="T370" s="120">
        <f>+SUM(C370:S370)</f>
        <v>316724</v>
      </c>
      <c r="U370" s="605"/>
      <c r="V370" s="126" t="s">
        <v>1292</v>
      </c>
      <c r="W370" s="120">
        <f>SUM(W358:W369)</f>
        <v>46594</v>
      </c>
      <c r="X370" s="120">
        <f>SUM(X358:X369)</f>
        <v>15497</v>
      </c>
      <c r="Y370" s="120">
        <f>SUM(Y358:Y369)</f>
        <v>62091</v>
      </c>
    </row>
    <row r="372" spans="2:25" x14ac:dyDescent="0.2">
      <c r="B372" s="129" t="s">
        <v>225</v>
      </c>
      <c r="C372" s="118">
        <v>1013</v>
      </c>
      <c r="D372" s="118">
        <v>1058</v>
      </c>
      <c r="E372" s="118">
        <v>910</v>
      </c>
      <c r="F372" s="118">
        <v>-377</v>
      </c>
      <c r="G372" s="118">
        <v>6251</v>
      </c>
      <c r="H372" s="118" t="s">
        <v>160</v>
      </c>
      <c r="I372" s="118" t="s">
        <v>160</v>
      </c>
      <c r="J372" s="118">
        <v>668</v>
      </c>
      <c r="K372" s="118">
        <v>0</v>
      </c>
      <c r="L372" s="118">
        <v>0</v>
      </c>
      <c r="M372" s="118">
        <v>0</v>
      </c>
      <c r="N372" s="118" t="s">
        <v>160</v>
      </c>
      <c r="O372" s="118">
        <v>0</v>
      </c>
      <c r="P372" s="118">
        <v>0</v>
      </c>
      <c r="Q372" s="118">
        <v>0</v>
      </c>
      <c r="R372" s="118">
        <v>0</v>
      </c>
      <c r="S372" s="118">
        <v>0</v>
      </c>
      <c r="T372" s="118">
        <v>9523</v>
      </c>
      <c r="U372" s="605" t="s">
        <v>1250</v>
      </c>
      <c r="V372" s="129" t="s">
        <v>225</v>
      </c>
      <c r="W372" s="118">
        <v>6250</v>
      </c>
      <c r="X372" s="118">
        <v>-385</v>
      </c>
      <c r="Y372" s="118">
        <v>5865</v>
      </c>
    </row>
    <row r="373" spans="2:25" x14ac:dyDescent="0.2">
      <c r="B373" s="129" t="s">
        <v>1056</v>
      </c>
      <c r="C373" s="118">
        <v>0</v>
      </c>
      <c r="D373" s="118">
        <v>0</v>
      </c>
      <c r="E373" s="118">
        <v>0</v>
      </c>
      <c r="F373" s="118">
        <v>0</v>
      </c>
      <c r="G373" s="118">
        <v>0</v>
      </c>
      <c r="H373" s="118" t="s">
        <v>160</v>
      </c>
      <c r="I373" s="118" t="s">
        <v>160</v>
      </c>
      <c r="J373" s="118" t="s">
        <v>160</v>
      </c>
      <c r="K373" s="118">
        <v>0</v>
      </c>
      <c r="L373" s="118">
        <v>0</v>
      </c>
      <c r="M373" s="118">
        <v>0</v>
      </c>
      <c r="N373" s="118">
        <v>0</v>
      </c>
      <c r="O373" s="118">
        <v>0</v>
      </c>
      <c r="P373" s="118">
        <v>0</v>
      </c>
      <c r="Q373" s="118">
        <v>0</v>
      </c>
      <c r="R373" s="118">
        <v>0</v>
      </c>
      <c r="S373" s="118">
        <v>0</v>
      </c>
      <c r="T373" s="118">
        <v>0</v>
      </c>
      <c r="U373" s="605"/>
      <c r="V373" s="129" t="s">
        <v>1056</v>
      </c>
      <c r="W373" s="118">
        <v>0</v>
      </c>
      <c r="X373" s="118">
        <v>0</v>
      </c>
      <c r="Y373" s="118">
        <v>0</v>
      </c>
    </row>
    <row r="374" spans="2:25" x14ac:dyDescent="0.2">
      <c r="B374" s="129" t="s">
        <v>1277</v>
      </c>
      <c r="C374" s="118" t="s">
        <v>160</v>
      </c>
      <c r="D374" s="118" t="s">
        <v>160</v>
      </c>
      <c r="E374" s="118" t="s">
        <v>160</v>
      </c>
      <c r="F374" s="118" t="s">
        <v>160</v>
      </c>
      <c r="G374" s="118" t="s">
        <v>160</v>
      </c>
      <c r="H374" s="118" t="s">
        <v>160</v>
      </c>
      <c r="I374" s="118" t="s">
        <v>160</v>
      </c>
      <c r="J374" s="118">
        <v>704</v>
      </c>
      <c r="K374" s="118" t="s">
        <v>160</v>
      </c>
      <c r="L374" s="118">
        <v>0</v>
      </c>
      <c r="M374" s="118" t="s">
        <v>160</v>
      </c>
      <c r="N374" s="118" t="s">
        <v>160</v>
      </c>
      <c r="O374" s="118" t="s">
        <v>160</v>
      </c>
      <c r="P374" s="118" t="s">
        <v>160</v>
      </c>
      <c r="Q374" s="118" t="s">
        <v>160</v>
      </c>
      <c r="R374" s="118" t="s">
        <v>160</v>
      </c>
      <c r="S374" s="118" t="s">
        <v>160</v>
      </c>
      <c r="T374" s="118">
        <v>704</v>
      </c>
      <c r="U374" s="605"/>
      <c r="V374" s="129" t="s">
        <v>1277</v>
      </c>
      <c r="W374" s="118"/>
      <c r="X374" s="118"/>
      <c r="Y374" s="118"/>
    </row>
    <row r="375" spans="2:25" x14ac:dyDescent="0.2">
      <c r="B375" s="129" t="s">
        <v>1055</v>
      </c>
      <c r="C375" s="118" t="s">
        <v>160</v>
      </c>
      <c r="D375" s="118" t="s">
        <v>160</v>
      </c>
      <c r="E375" s="118" t="s">
        <v>160</v>
      </c>
      <c r="F375" s="118">
        <v>0</v>
      </c>
      <c r="G375" s="118">
        <v>0</v>
      </c>
      <c r="H375" s="118" t="s">
        <v>160</v>
      </c>
      <c r="I375" s="118" t="s">
        <v>160</v>
      </c>
      <c r="J375" s="118" t="s">
        <v>160</v>
      </c>
      <c r="K375" s="118">
        <v>0</v>
      </c>
      <c r="L375" s="118">
        <v>0</v>
      </c>
      <c r="M375" s="118">
        <v>0</v>
      </c>
      <c r="N375" s="118">
        <v>0</v>
      </c>
      <c r="O375" s="118">
        <v>0</v>
      </c>
      <c r="P375" s="118">
        <v>0</v>
      </c>
      <c r="Q375" s="118">
        <v>0</v>
      </c>
      <c r="R375" s="118">
        <v>0</v>
      </c>
      <c r="S375" s="118">
        <v>0</v>
      </c>
      <c r="T375" s="118">
        <v>0</v>
      </c>
      <c r="U375" s="605"/>
      <c r="V375" s="129" t="s">
        <v>1055</v>
      </c>
      <c r="W375" s="118">
        <v>0</v>
      </c>
      <c r="X375" s="118">
        <v>0</v>
      </c>
      <c r="Y375" s="118">
        <v>0</v>
      </c>
    </row>
    <row r="376" spans="2:25" x14ac:dyDescent="0.2">
      <c r="B376" s="129" t="s">
        <v>1296</v>
      </c>
      <c r="C376" s="118" t="s">
        <v>160</v>
      </c>
      <c r="D376" s="118" t="s">
        <v>160</v>
      </c>
      <c r="E376" s="118" t="s">
        <v>160</v>
      </c>
      <c r="F376" s="118" t="s">
        <v>160</v>
      </c>
      <c r="G376" s="118" t="s">
        <v>160</v>
      </c>
      <c r="H376" s="118" t="s">
        <v>160</v>
      </c>
      <c r="I376" s="118" t="s">
        <v>160</v>
      </c>
      <c r="J376" s="118" t="s">
        <v>160</v>
      </c>
      <c r="K376" s="118" t="s">
        <v>160</v>
      </c>
      <c r="L376" s="118" t="s">
        <v>160</v>
      </c>
      <c r="M376" s="118" t="s">
        <v>160</v>
      </c>
      <c r="N376" s="118" t="s">
        <v>160</v>
      </c>
      <c r="O376" s="118" t="s">
        <v>160</v>
      </c>
      <c r="P376" s="118" t="s">
        <v>160</v>
      </c>
      <c r="Q376" s="118" t="s">
        <v>160</v>
      </c>
      <c r="R376" s="118" t="s">
        <v>160</v>
      </c>
      <c r="S376" s="118" t="s">
        <v>160</v>
      </c>
      <c r="T376" s="118">
        <v>0</v>
      </c>
      <c r="U376" s="605"/>
      <c r="V376" s="129" t="s">
        <v>1296</v>
      </c>
      <c r="W376" s="118"/>
      <c r="X376" s="118">
        <v>0</v>
      </c>
      <c r="Y376" s="118">
        <v>0</v>
      </c>
    </row>
    <row r="377" spans="2:25" x14ac:dyDescent="0.2">
      <c r="B377" s="129" t="s">
        <v>1142</v>
      </c>
      <c r="C377" s="118">
        <v>0</v>
      </c>
      <c r="D377" s="118">
        <v>0</v>
      </c>
      <c r="E377" s="118">
        <v>0</v>
      </c>
      <c r="F377" s="118">
        <v>0</v>
      </c>
      <c r="G377" s="118">
        <v>0</v>
      </c>
      <c r="H377" s="118" t="s">
        <v>160</v>
      </c>
      <c r="I377" s="118" t="s">
        <v>160</v>
      </c>
      <c r="J377" s="118" t="s">
        <v>160</v>
      </c>
      <c r="K377" s="118">
        <v>0</v>
      </c>
      <c r="L377" s="118">
        <v>0</v>
      </c>
      <c r="M377" s="118">
        <v>0</v>
      </c>
      <c r="N377" s="118">
        <v>0</v>
      </c>
      <c r="O377" s="118">
        <v>0</v>
      </c>
      <c r="P377" s="118">
        <v>0</v>
      </c>
      <c r="Q377" s="118">
        <v>0</v>
      </c>
      <c r="R377" s="118">
        <v>0</v>
      </c>
      <c r="S377" s="118">
        <v>0</v>
      </c>
      <c r="T377" s="118">
        <v>0</v>
      </c>
      <c r="U377" s="605"/>
      <c r="V377" s="129" t="s">
        <v>1142</v>
      </c>
      <c r="W377" s="118">
        <v>0</v>
      </c>
      <c r="X377" s="118">
        <v>0</v>
      </c>
      <c r="Y377" s="118">
        <v>0</v>
      </c>
    </row>
    <row r="378" spans="2:25" x14ac:dyDescent="0.2">
      <c r="B378" s="129" t="s">
        <v>756</v>
      </c>
      <c r="C378" s="118">
        <v>0</v>
      </c>
      <c r="D378" s="118">
        <v>0</v>
      </c>
      <c r="E378" s="118">
        <v>0</v>
      </c>
      <c r="F378" s="118">
        <v>0</v>
      </c>
      <c r="G378" s="118">
        <v>0</v>
      </c>
      <c r="H378" s="118" t="s">
        <v>160</v>
      </c>
      <c r="I378" s="118" t="s">
        <v>160</v>
      </c>
      <c r="J378" s="118" t="s">
        <v>160</v>
      </c>
      <c r="K378" s="118">
        <v>0</v>
      </c>
      <c r="L378" s="118">
        <v>0</v>
      </c>
      <c r="M378" s="118">
        <v>0</v>
      </c>
      <c r="N378" s="118">
        <v>0</v>
      </c>
      <c r="O378" s="118">
        <v>0</v>
      </c>
      <c r="P378" s="118">
        <v>0</v>
      </c>
      <c r="Q378" s="118">
        <v>0</v>
      </c>
      <c r="R378" s="118">
        <v>0</v>
      </c>
      <c r="S378" s="118">
        <v>0</v>
      </c>
      <c r="T378" s="118">
        <v>0</v>
      </c>
      <c r="U378" s="605"/>
      <c r="V378" s="129" t="s">
        <v>756</v>
      </c>
      <c r="W378" s="118">
        <v>0</v>
      </c>
      <c r="X378" s="118">
        <v>0</v>
      </c>
      <c r="Y378" s="118">
        <v>0</v>
      </c>
    </row>
    <row r="379" spans="2:25" x14ac:dyDescent="0.2">
      <c r="B379" s="129" t="s">
        <v>431</v>
      </c>
      <c r="C379" s="118">
        <v>0</v>
      </c>
      <c r="D379" s="118">
        <v>1</v>
      </c>
      <c r="E379" s="118">
        <v>0</v>
      </c>
      <c r="F379" s="118">
        <v>0</v>
      </c>
      <c r="G379" s="118">
        <v>-6500</v>
      </c>
      <c r="H379" s="118" t="s">
        <v>160</v>
      </c>
      <c r="I379" s="118" t="s">
        <v>160</v>
      </c>
      <c r="J379" s="118">
        <v>0</v>
      </c>
      <c r="K379" s="118">
        <v>0</v>
      </c>
      <c r="L379" s="118">
        <v>0</v>
      </c>
      <c r="M379" s="118">
        <v>0</v>
      </c>
      <c r="N379" s="118">
        <v>0</v>
      </c>
      <c r="O379" s="118">
        <v>0</v>
      </c>
      <c r="P379" s="118">
        <v>0</v>
      </c>
      <c r="Q379" s="118">
        <v>0</v>
      </c>
      <c r="R379" s="118">
        <v>0</v>
      </c>
      <c r="S379" s="118">
        <v>0</v>
      </c>
      <c r="T379" s="118">
        <v>-6499</v>
      </c>
      <c r="U379" s="605"/>
      <c r="V379" s="129" t="s">
        <v>431</v>
      </c>
      <c r="W379" s="118">
        <v>-6500</v>
      </c>
      <c r="X379" s="118">
        <v>0</v>
      </c>
      <c r="Y379" s="118">
        <v>-6500</v>
      </c>
    </row>
    <row r="380" spans="2:25" x14ac:dyDescent="0.2">
      <c r="B380" s="129" t="s">
        <v>802</v>
      </c>
      <c r="C380" s="118">
        <v>0</v>
      </c>
      <c r="D380" s="118">
        <v>0</v>
      </c>
      <c r="E380" s="118">
        <v>0</v>
      </c>
      <c r="F380" s="118">
        <v>0</v>
      </c>
      <c r="G380" s="118">
        <v>0</v>
      </c>
      <c r="H380" s="118" t="s">
        <v>160</v>
      </c>
      <c r="I380" s="118" t="s">
        <v>160</v>
      </c>
      <c r="J380" s="118" t="s">
        <v>160</v>
      </c>
      <c r="K380" s="118">
        <v>0</v>
      </c>
      <c r="L380" s="118">
        <v>0</v>
      </c>
      <c r="M380" s="118">
        <v>0</v>
      </c>
      <c r="N380" s="118">
        <v>0</v>
      </c>
      <c r="O380" s="118">
        <v>0</v>
      </c>
      <c r="P380" s="118">
        <v>0</v>
      </c>
      <c r="Q380" s="118">
        <v>0</v>
      </c>
      <c r="R380" s="118">
        <v>0</v>
      </c>
      <c r="S380" s="118">
        <v>0</v>
      </c>
      <c r="T380" s="118">
        <v>0</v>
      </c>
      <c r="U380" s="605"/>
      <c r="V380" s="129" t="s">
        <v>802</v>
      </c>
      <c r="W380" s="118">
        <v>0</v>
      </c>
      <c r="X380" s="118">
        <v>0</v>
      </c>
      <c r="Y380" s="118">
        <v>0</v>
      </c>
    </row>
    <row r="381" spans="2:25" x14ac:dyDescent="0.2">
      <c r="B381" s="129" t="s">
        <v>49</v>
      </c>
      <c r="C381" s="118">
        <v>0</v>
      </c>
      <c r="D381" s="118">
        <v>0</v>
      </c>
      <c r="E381" s="118">
        <v>0</v>
      </c>
      <c r="F381" s="118">
        <v>0</v>
      </c>
      <c r="G381" s="118">
        <v>0</v>
      </c>
      <c r="H381" s="118" t="s">
        <v>160</v>
      </c>
      <c r="I381" s="118" t="s">
        <v>160</v>
      </c>
      <c r="J381" s="118" t="s">
        <v>160</v>
      </c>
      <c r="K381" s="118">
        <v>0</v>
      </c>
      <c r="L381" s="118">
        <v>0</v>
      </c>
      <c r="M381" s="118">
        <v>0</v>
      </c>
      <c r="N381" s="118">
        <v>0</v>
      </c>
      <c r="O381" s="118">
        <v>0</v>
      </c>
      <c r="P381" s="118">
        <v>0</v>
      </c>
      <c r="Q381" s="118">
        <v>0</v>
      </c>
      <c r="R381" s="118">
        <v>0</v>
      </c>
      <c r="S381" s="118">
        <v>0</v>
      </c>
      <c r="T381" s="118">
        <v>0</v>
      </c>
      <c r="U381" s="605"/>
      <c r="V381" s="129" t="s">
        <v>49</v>
      </c>
      <c r="W381" s="118">
        <v>0</v>
      </c>
      <c r="X381" s="118">
        <v>0</v>
      </c>
      <c r="Y381" s="118">
        <v>0</v>
      </c>
    </row>
    <row r="382" spans="2:25" x14ac:dyDescent="0.2">
      <c r="B382" s="126" t="s">
        <v>1305</v>
      </c>
      <c r="C382" s="120">
        <f>SUM(C370:C381)</f>
        <v>79149</v>
      </c>
      <c r="D382" s="120">
        <f>SUM(D370:D381)</f>
        <v>33799</v>
      </c>
      <c r="E382" s="120">
        <f>SUM(E370:E381)</f>
        <v>134911</v>
      </c>
      <c r="F382" s="120">
        <f>SUM(F370:F381)</f>
        <v>15801</v>
      </c>
      <c r="G382" s="120">
        <f>SUM(G370:G381)</f>
        <v>46345</v>
      </c>
      <c r="H382" s="120">
        <v>10425</v>
      </c>
      <c r="I382" s="120">
        <v>1437</v>
      </c>
      <c r="J382" s="120">
        <v>0</v>
      </c>
      <c r="K382" s="120">
        <f>SUM(K335:K381)</f>
        <v>0</v>
      </c>
      <c r="L382" s="120">
        <f>SUM(L370:L381)</f>
        <v>0</v>
      </c>
      <c r="M382" s="120">
        <f>SUM(M370:M381)</f>
        <v>0</v>
      </c>
      <c r="N382" s="120" t="s">
        <v>160</v>
      </c>
      <c r="O382" s="120">
        <v>0</v>
      </c>
      <c r="P382" s="120">
        <f>SUM(P335:P381)</f>
        <v>0</v>
      </c>
      <c r="Q382" s="120">
        <f>SUM(Q335:Q381)</f>
        <v>0</v>
      </c>
      <c r="R382" s="120">
        <f>SUM(R335:R381)</f>
        <v>0</v>
      </c>
      <c r="S382" s="120">
        <f>SUM(S335:S381)</f>
        <v>0</v>
      </c>
      <c r="T382" s="120">
        <f>+SUM(C382:S382)</f>
        <v>321867</v>
      </c>
      <c r="U382" s="605"/>
      <c r="V382" s="126" t="s">
        <v>1305</v>
      </c>
      <c r="W382" s="120">
        <f>SUM(W370:W381)</f>
        <v>46344</v>
      </c>
      <c r="X382" s="120">
        <f>SUM(X370:X381)</f>
        <v>15112</v>
      </c>
      <c r="Y382" s="120">
        <f>SUM(Y370:Y381)</f>
        <v>61456</v>
      </c>
    </row>
    <row r="384" spans="2:25" x14ac:dyDescent="0.2">
      <c r="B384" s="129" t="s">
        <v>225</v>
      </c>
      <c r="C384" s="118">
        <v>2079</v>
      </c>
      <c r="D384" s="118">
        <v>1615</v>
      </c>
      <c r="E384" s="118">
        <v>1003</v>
      </c>
      <c r="F384" s="118">
        <v>-393</v>
      </c>
      <c r="G384" s="118">
        <v>6709</v>
      </c>
      <c r="H384" s="118">
        <v>991</v>
      </c>
      <c r="I384" s="118">
        <v>16</v>
      </c>
      <c r="J384" s="118" t="s">
        <v>160</v>
      </c>
      <c r="K384" s="118">
        <v>0</v>
      </c>
      <c r="L384" s="118" t="s">
        <v>160</v>
      </c>
      <c r="M384" s="118" t="s">
        <v>160</v>
      </c>
      <c r="N384" s="118" t="s">
        <v>160</v>
      </c>
      <c r="O384" s="118">
        <v>0</v>
      </c>
      <c r="P384" s="118">
        <v>0</v>
      </c>
      <c r="Q384" s="118">
        <v>0</v>
      </c>
      <c r="R384" s="118">
        <v>0</v>
      </c>
      <c r="S384" s="118">
        <v>0</v>
      </c>
      <c r="T384" s="118">
        <f t="shared" ref="T384:T393" si="78">SUM(C384:J384)</f>
        <v>12020</v>
      </c>
      <c r="U384" s="605" t="s">
        <v>1250</v>
      </c>
      <c r="V384" s="129" t="s">
        <v>225</v>
      </c>
      <c r="W384" s="118">
        <v>6709</v>
      </c>
      <c r="X384" s="118">
        <v>-402</v>
      </c>
      <c r="Y384" s="118">
        <f>SUM(W384:X384)</f>
        <v>6307</v>
      </c>
    </row>
    <row r="385" spans="2:25" x14ac:dyDescent="0.2">
      <c r="B385" s="129" t="s">
        <v>1056</v>
      </c>
      <c r="C385" s="118" t="s">
        <v>160</v>
      </c>
      <c r="D385" s="118" t="s">
        <v>160</v>
      </c>
      <c r="E385" s="118" t="s">
        <v>160</v>
      </c>
      <c r="F385" s="118" t="s">
        <v>160</v>
      </c>
      <c r="G385" s="118" t="s">
        <v>160</v>
      </c>
      <c r="H385" s="118" t="s">
        <v>160</v>
      </c>
      <c r="I385" s="118" t="s">
        <v>160</v>
      </c>
      <c r="J385" s="118" t="s">
        <v>160</v>
      </c>
      <c r="K385" s="118">
        <v>0</v>
      </c>
      <c r="L385" s="118" t="s">
        <v>160</v>
      </c>
      <c r="M385" s="118" t="s">
        <v>160</v>
      </c>
      <c r="N385" s="118">
        <v>0</v>
      </c>
      <c r="O385" s="118">
        <v>0</v>
      </c>
      <c r="P385" s="118">
        <v>0</v>
      </c>
      <c r="Q385" s="118">
        <v>0</v>
      </c>
      <c r="R385" s="118">
        <v>0</v>
      </c>
      <c r="S385" s="118">
        <v>0</v>
      </c>
      <c r="T385" s="118">
        <f t="shared" si="78"/>
        <v>0</v>
      </c>
      <c r="U385" s="605"/>
      <c r="V385" s="129" t="s">
        <v>1056</v>
      </c>
      <c r="W385" s="118">
        <v>0</v>
      </c>
      <c r="X385" s="118">
        <v>0</v>
      </c>
      <c r="Y385" s="118">
        <v>0</v>
      </c>
    </row>
    <row r="386" spans="2:25" x14ac:dyDescent="0.2">
      <c r="B386" s="129" t="s">
        <v>1277</v>
      </c>
      <c r="C386" s="118" t="s">
        <v>160</v>
      </c>
      <c r="D386" s="118" t="s">
        <v>160</v>
      </c>
      <c r="E386" s="118" t="s">
        <v>160</v>
      </c>
      <c r="F386" s="118" t="s">
        <v>160</v>
      </c>
      <c r="G386" s="118" t="s">
        <v>160</v>
      </c>
      <c r="H386" s="118" t="s">
        <v>160</v>
      </c>
      <c r="I386" s="118" t="s">
        <v>160</v>
      </c>
      <c r="J386" s="118" t="s">
        <v>160</v>
      </c>
      <c r="K386" s="118" t="s">
        <v>160</v>
      </c>
      <c r="L386" s="118" t="s">
        <v>160</v>
      </c>
      <c r="M386" s="118" t="s">
        <v>160</v>
      </c>
      <c r="N386" s="118" t="s">
        <v>160</v>
      </c>
      <c r="O386" s="118" t="s">
        <v>160</v>
      </c>
      <c r="P386" s="118" t="s">
        <v>160</v>
      </c>
      <c r="Q386" s="118" t="s">
        <v>160</v>
      </c>
      <c r="R386" s="118" t="s">
        <v>160</v>
      </c>
      <c r="S386" s="118" t="s">
        <v>160</v>
      </c>
      <c r="T386" s="118">
        <f t="shared" si="78"/>
        <v>0</v>
      </c>
      <c r="U386" s="605"/>
      <c r="V386" s="129" t="s">
        <v>1277</v>
      </c>
      <c r="W386" s="118">
        <v>0</v>
      </c>
      <c r="X386" s="118">
        <v>0</v>
      </c>
      <c r="Y386" s="118">
        <v>0</v>
      </c>
    </row>
    <row r="387" spans="2:25" x14ac:dyDescent="0.2">
      <c r="B387" s="129" t="s">
        <v>1055</v>
      </c>
      <c r="C387" s="118" t="s">
        <v>160</v>
      </c>
      <c r="D387" s="118" t="s">
        <v>160</v>
      </c>
      <c r="E387" s="118" t="s">
        <v>160</v>
      </c>
      <c r="F387" s="118" t="s">
        <v>160</v>
      </c>
      <c r="G387" s="118" t="s">
        <v>160</v>
      </c>
      <c r="H387" s="118" t="s">
        <v>160</v>
      </c>
      <c r="I387" s="118" t="s">
        <v>160</v>
      </c>
      <c r="J387" s="118" t="s">
        <v>160</v>
      </c>
      <c r="K387" s="118">
        <v>0</v>
      </c>
      <c r="L387" s="118" t="s">
        <v>160</v>
      </c>
      <c r="M387" s="118" t="s">
        <v>160</v>
      </c>
      <c r="N387" s="118">
        <v>0</v>
      </c>
      <c r="O387" s="118">
        <v>0</v>
      </c>
      <c r="P387" s="118">
        <v>0</v>
      </c>
      <c r="Q387" s="118">
        <v>0</v>
      </c>
      <c r="R387" s="118">
        <v>0</v>
      </c>
      <c r="S387" s="118">
        <v>0</v>
      </c>
      <c r="T387" s="118">
        <f t="shared" si="78"/>
        <v>0</v>
      </c>
      <c r="U387" s="605"/>
      <c r="V387" s="129" t="s">
        <v>1055</v>
      </c>
      <c r="W387" s="118">
        <v>0</v>
      </c>
      <c r="X387" s="118">
        <v>0</v>
      </c>
      <c r="Y387" s="118">
        <v>0</v>
      </c>
    </row>
    <row r="388" spans="2:25" x14ac:dyDescent="0.2">
      <c r="B388" s="129" t="s">
        <v>1296</v>
      </c>
      <c r="C388" s="118" t="s">
        <v>160</v>
      </c>
      <c r="D388" s="118" t="s">
        <v>160</v>
      </c>
      <c r="E388" s="118" t="s">
        <v>160</v>
      </c>
      <c r="F388" s="118" t="s">
        <v>160</v>
      </c>
      <c r="G388" s="118" t="s">
        <v>160</v>
      </c>
      <c r="H388" s="118" t="s">
        <v>160</v>
      </c>
      <c r="I388" s="118" t="s">
        <v>160</v>
      </c>
      <c r="J388" s="118" t="s">
        <v>160</v>
      </c>
      <c r="K388" s="118" t="s">
        <v>160</v>
      </c>
      <c r="L388" s="118" t="s">
        <v>160</v>
      </c>
      <c r="M388" s="118" t="s">
        <v>160</v>
      </c>
      <c r="N388" s="118" t="s">
        <v>160</v>
      </c>
      <c r="O388" s="118" t="s">
        <v>160</v>
      </c>
      <c r="P388" s="118" t="s">
        <v>160</v>
      </c>
      <c r="Q388" s="118" t="s">
        <v>160</v>
      </c>
      <c r="R388" s="118" t="s">
        <v>160</v>
      </c>
      <c r="S388" s="118" t="s">
        <v>160</v>
      </c>
      <c r="T388" s="118">
        <f t="shared" si="78"/>
        <v>0</v>
      </c>
      <c r="U388" s="605"/>
      <c r="V388" s="129" t="s">
        <v>1296</v>
      </c>
      <c r="W388" s="118">
        <v>0</v>
      </c>
      <c r="X388" s="118">
        <v>0</v>
      </c>
      <c r="Y388" s="118">
        <v>0</v>
      </c>
    </row>
    <row r="389" spans="2:25" x14ac:dyDescent="0.2">
      <c r="B389" s="129" t="s">
        <v>1142</v>
      </c>
      <c r="C389" s="118" t="s">
        <v>160</v>
      </c>
      <c r="D389" s="118" t="s">
        <v>160</v>
      </c>
      <c r="E389" s="118" t="s">
        <v>160</v>
      </c>
      <c r="F389" s="118" t="s">
        <v>160</v>
      </c>
      <c r="G389" s="118" t="s">
        <v>160</v>
      </c>
      <c r="H389" s="118" t="s">
        <v>160</v>
      </c>
      <c r="I389" s="118" t="s">
        <v>160</v>
      </c>
      <c r="J389" s="118" t="s">
        <v>160</v>
      </c>
      <c r="K389" s="118">
        <v>0</v>
      </c>
      <c r="L389" s="118" t="s">
        <v>160</v>
      </c>
      <c r="M389" s="118" t="s">
        <v>160</v>
      </c>
      <c r="N389" s="118">
        <v>0</v>
      </c>
      <c r="O389" s="118">
        <v>0</v>
      </c>
      <c r="P389" s="118">
        <v>0</v>
      </c>
      <c r="Q389" s="118">
        <v>0</v>
      </c>
      <c r="R389" s="118">
        <v>0</v>
      </c>
      <c r="S389" s="118">
        <v>0</v>
      </c>
      <c r="T389" s="118">
        <f t="shared" si="78"/>
        <v>0</v>
      </c>
      <c r="U389" s="605"/>
      <c r="V389" s="129" t="s">
        <v>1142</v>
      </c>
      <c r="W389" s="118">
        <v>0</v>
      </c>
      <c r="X389" s="118">
        <v>0</v>
      </c>
      <c r="Y389" s="118">
        <v>0</v>
      </c>
    </row>
    <row r="390" spans="2:25" x14ac:dyDescent="0.2">
      <c r="B390" s="129" t="s">
        <v>756</v>
      </c>
      <c r="C390" s="118" t="s">
        <v>160</v>
      </c>
      <c r="D390" s="118" t="s">
        <v>160</v>
      </c>
      <c r="E390" s="118" t="s">
        <v>160</v>
      </c>
      <c r="F390" s="118" t="s">
        <v>160</v>
      </c>
      <c r="G390" s="118" t="s">
        <v>160</v>
      </c>
      <c r="H390" s="118" t="s">
        <v>160</v>
      </c>
      <c r="I390" s="118" t="s">
        <v>160</v>
      </c>
      <c r="J390" s="118" t="s">
        <v>160</v>
      </c>
      <c r="K390" s="118">
        <v>0</v>
      </c>
      <c r="L390" s="118" t="s">
        <v>160</v>
      </c>
      <c r="M390" s="118" t="s">
        <v>160</v>
      </c>
      <c r="N390" s="118">
        <v>0</v>
      </c>
      <c r="O390" s="118">
        <v>0</v>
      </c>
      <c r="P390" s="118">
        <v>0</v>
      </c>
      <c r="Q390" s="118">
        <v>0</v>
      </c>
      <c r="R390" s="118">
        <v>0</v>
      </c>
      <c r="S390" s="118">
        <v>0</v>
      </c>
      <c r="T390" s="118">
        <f t="shared" si="78"/>
        <v>0</v>
      </c>
      <c r="U390" s="605"/>
      <c r="V390" s="129" t="s">
        <v>756</v>
      </c>
      <c r="W390" s="118">
        <v>0</v>
      </c>
      <c r="X390" s="118">
        <v>0</v>
      </c>
      <c r="Y390" s="118">
        <v>0</v>
      </c>
    </row>
    <row r="391" spans="2:25" x14ac:dyDescent="0.2">
      <c r="B391" s="129" t="s">
        <v>431</v>
      </c>
      <c r="C391" s="118" t="s">
        <v>160</v>
      </c>
      <c r="D391" s="118" t="s">
        <v>160</v>
      </c>
      <c r="E391" s="118" t="s">
        <v>160</v>
      </c>
      <c r="F391" s="118" t="s">
        <v>160</v>
      </c>
      <c r="G391" s="118" t="s">
        <v>160</v>
      </c>
      <c r="H391" s="118" t="s">
        <v>160</v>
      </c>
      <c r="I391" s="118" t="s">
        <v>160</v>
      </c>
      <c r="J391" s="118" t="s">
        <v>160</v>
      </c>
      <c r="K391" s="118">
        <v>0</v>
      </c>
      <c r="L391" s="118" t="s">
        <v>160</v>
      </c>
      <c r="M391" s="118" t="s">
        <v>160</v>
      </c>
      <c r="N391" s="118">
        <v>0</v>
      </c>
      <c r="O391" s="118">
        <v>0</v>
      </c>
      <c r="P391" s="118">
        <v>0</v>
      </c>
      <c r="Q391" s="118">
        <v>0</v>
      </c>
      <c r="R391" s="118">
        <v>0</v>
      </c>
      <c r="S391" s="118">
        <v>0</v>
      </c>
      <c r="T391" s="118">
        <f t="shared" si="78"/>
        <v>0</v>
      </c>
      <c r="U391" s="605"/>
      <c r="V391" s="129" t="s">
        <v>431</v>
      </c>
      <c r="W391" s="118">
        <v>0</v>
      </c>
      <c r="X391" s="118">
        <v>0</v>
      </c>
      <c r="Y391" s="118">
        <f>SUM(W391:X391)</f>
        <v>0</v>
      </c>
    </row>
    <row r="392" spans="2:25" x14ac:dyDescent="0.2">
      <c r="B392" s="129" t="s">
        <v>802</v>
      </c>
      <c r="C392" s="118" t="s">
        <v>160</v>
      </c>
      <c r="D392" s="118" t="s">
        <v>160</v>
      </c>
      <c r="E392" s="118" t="s">
        <v>160</v>
      </c>
      <c r="F392" s="118" t="s">
        <v>160</v>
      </c>
      <c r="G392" s="118" t="s">
        <v>160</v>
      </c>
      <c r="H392" s="118" t="s">
        <v>160</v>
      </c>
      <c r="I392" s="118" t="s">
        <v>160</v>
      </c>
      <c r="J392" s="118" t="s">
        <v>160</v>
      </c>
      <c r="K392" s="118">
        <v>0</v>
      </c>
      <c r="L392" s="118" t="s">
        <v>160</v>
      </c>
      <c r="M392" s="118" t="s">
        <v>160</v>
      </c>
      <c r="N392" s="118">
        <v>0</v>
      </c>
      <c r="O392" s="118">
        <v>0</v>
      </c>
      <c r="P392" s="118">
        <v>0</v>
      </c>
      <c r="Q392" s="118">
        <v>0</v>
      </c>
      <c r="R392" s="118">
        <v>0</v>
      </c>
      <c r="S392" s="118">
        <v>0</v>
      </c>
      <c r="T392" s="118">
        <f t="shared" si="78"/>
        <v>0</v>
      </c>
      <c r="U392" s="605"/>
      <c r="V392" s="129" t="s">
        <v>802</v>
      </c>
      <c r="W392" s="118">
        <v>0</v>
      </c>
      <c r="X392" s="118">
        <v>0</v>
      </c>
      <c r="Y392" s="118">
        <v>0</v>
      </c>
    </row>
    <row r="393" spans="2:25" x14ac:dyDescent="0.2">
      <c r="B393" s="129" t="s">
        <v>49</v>
      </c>
      <c r="C393" s="118" t="s">
        <v>160</v>
      </c>
      <c r="D393" s="118" t="s">
        <v>160</v>
      </c>
      <c r="E393" s="118" t="s">
        <v>160</v>
      </c>
      <c r="F393" s="118" t="s">
        <v>160</v>
      </c>
      <c r="G393" s="118" t="s">
        <v>160</v>
      </c>
      <c r="H393" s="118" t="s">
        <v>160</v>
      </c>
      <c r="I393" s="118" t="s">
        <v>160</v>
      </c>
      <c r="J393" s="118" t="s">
        <v>160</v>
      </c>
      <c r="K393" s="118">
        <v>0</v>
      </c>
      <c r="L393" s="118" t="s">
        <v>160</v>
      </c>
      <c r="M393" s="118" t="s">
        <v>160</v>
      </c>
      <c r="N393" s="118">
        <v>0</v>
      </c>
      <c r="O393" s="118">
        <v>0</v>
      </c>
      <c r="P393" s="118">
        <v>0</v>
      </c>
      <c r="Q393" s="118">
        <v>0</v>
      </c>
      <c r="R393" s="118">
        <v>0</v>
      </c>
      <c r="S393" s="118">
        <v>0</v>
      </c>
      <c r="T393" s="118">
        <f t="shared" si="78"/>
        <v>0</v>
      </c>
      <c r="U393" s="605"/>
      <c r="V393" s="129" t="s">
        <v>49</v>
      </c>
      <c r="W393" s="118">
        <v>0</v>
      </c>
      <c r="X393" s="118">
        <v>0</v>
      </c>
      <c r="Y393" s="118">
        <v>0</v>
      </c>
    </row>
    <row r="394" spans="2:25" x14ac:dyDescent="0.2">
      <c r="B394" s="126" t="s">
        <v>1326</v>
      </c>
      <c r="C394" s="120">
        <f>SUM(C382:C393)</f>
        <v>81228</v>
      </c>
      <c r="D394" s="120">
        <f t="shared" ref="D394:T394" si="79">SUM(D382:D393)</f>
        <v>35414</v>
      </c>
      <c r="E394" s="120">
        <f t="shared" si="79"/>
        <v>135914</v>
      </c>
      <c r="F394" s="120">
        <f t="shared" si="79"/>
        <v>15408</v>
      </c>
      <c r="G394" s="120">
        <f t="shared" si="79"/>
        <v>53054</v>
      </c>
      <c r="H394" s="120">
        <f>SUM(H382:H393)</f>
        <v>11416</v>
      </c>
      <c r="I394" s="120">
        <f t="shared" si="79"/>
        <v>1453</v>
      </c>
      <c r="J394" s="120">
        <f t="shared" si="79"/>
        <v>0</v>
      </c>
      <c r="K394" s="120">
        <f t="shared" si="79"/>
        <v>0</v>
      </c>
      <c r="L394" s="120">
        <f t="shared" si="79"/>
        <v>0</v>
      </c>
      <c r="M394" s="120">
        <f t="shared" si="79"/>
        <v>0</v>
      </c>
      <c r="N394" s="120">
        <f t="shared" si="79"/>
        <v>0</v>
      </c>
      <c r="O394" s="120">
        <f t="shared" si="79"/>
        <v>0</v>
      </c>
      <c r="P394" s="120">
        <f t="shared" si="79"/>
        <v>0</v>
      </c>
      <c r="Q394" s="120">
        <f t="shared" si="79"/>
        <v>0</v>
      </c>
      <c r="R394" s="120">
        <f t="shared" si="79"/>
        <v>0</v>
      </c>
      <c r="S394" s="120">
        <f t="shared" si="79"/>
        <v>0</v>
      </c>
      <c r="T394" s="120">
        <f t="shared" si="79"/>
        <v>333887</v>
      </c>
      <c r="U394" s="605"/>
      <c r="V394" s="126" t="s">
        <v>1326</v>
      </c>
      <c r="W394" s="120">
        <f>SUM(W382:W393)</f>
        <v>53053</v>
      </c>
      <c r="X394" s="120">
        <f>SUM(X382:X393)</f>
        <v>14710</v>
      </c>
      <c r="Y394" s="120">
        <f>SUM(Y382:Y393)</f>
        <v>67763</v>
      </c>
    </row>
    <row r="396" spans="2:25" x14ac:dyDescent="0.2">
      <c r="B396" s="129" t="s">
        <v>225</v>
      </c>
      <c r="C396" s="118">
        <v>2210</v>
      </c>
      <c r="D396" s="118">
        <v>1608</v>
      </c>
      <c r="E396" s="118">
        <v>1097</v>
      </c>
      <c r="F396" s="118">
        <v>-379</v>
      </c>
      <c r="G396" s="118">
        <v>9330</v>
      </c>
      <c r="H396" s="118">
        <v>3156</v>
      </c>
      <c r="I396" s="118">
        <v>22</v>
      </c>
      <c r="J396" s="118" t="s">
        <v>160</v>
      </c>
      <c r="K396" s="118">
        <v>0</v>
      </c>
      <c r="L396" s="118" t="s">
        <v>160</v>
      </c>
      <c r="M396" s="118" t="s">
        <v>160</v>
      </c>
      <c r="N396" s="118" t="s">
        <v>160</v>
      </c>
      <c r="O396" s="118">
        <v>0</v>
      </c>
      <c r="P396" s="118">
        <v>0</v>
      </c>
      <c r="Q396" s="118">
        <v>0</v>
      </c>
      <c r="R396" s="118">
        <v>0</v>
      </c>
      <c r="S396" s="118">
        <v>0</v>
      </c>
      <c r="T396" s="118">
        <v>17044</v>
      </c>
      <c r="U396" s="605" t="s">
        <v>1250</v>
      </c>
      <c r="V396" s="129" t="s">
        <v>225</v>
      </c>
      <c r="W396" s="118">
        <v>9330</v>
      </c>
      <c r="X396" s="118">
        <v>-388</v>
      </c>
      <c r="Y396" s="118">
        <v>8942</v>
      </c>
    </row>
    <row r="397" spans="2:25" x14ac:dyDescent="0.2">
      <c r="B397" s="129" t="s">
        <v>1056</v>
      </c>
      <c r="C397" s="118" t="s">
        <v>160</v>
      </c>
      <c r="D397" s="118" t="s">
        <v>160</v>
      </c>
      <c r="E397" s="118" t="s">
        <v>160</v>
      </c>
      <c r="F397" s="118" t="s">
        <v>160</v>
      </c>
      <c r="G397" s="118" t="s">
        <v>160</v>
      </c>
      <c r="H397" s="118" t="s">
        <v>160</v>
      </c>
      <c r="I397" s="118" t="s">
        <v>160</v>
      </c>
      <c r="J397" s="118" t="s">
        <v>160</v>
      </c>
      <c r="K397" s="118">
        <v>0</v>
      </c>
      <c r="L397" s="118" t="s">
        <v>160</v>
      </c>
      <c r="M397" s="118" t="s">
        <v>160</v>
      </c>
      <c r="N397" s="118">
        <v>0</v>
      </c>
      <c r="O397" s="118">
        <v>0</v>
      </c>
      <c r="P397" s="118">
        <v>0</v>
      </c>
      <c r="Q397" s="118">
        <v>0</v>
      </c>
      <c r="R397" s="118">
        <v>0</v>
      </c>
      <c r="S397" s="118">
        <v>0</v>
      </c>
      <c r="T397" s="118">
        <v>0</v>
      </c>
      <c r="U397" s="605"/>
      <c r="V397" s="129" t="s">
        <v>1056</v>
      </c>
      <c r="W397" s="118">
        <v>0</v>
      </c>
      <c r="X397" s="118">
        <v>0</v>
      </c>
      <c r="Y397" s="118">
        <v>0</v>
      </c>
    </row>
    <row r="398" spans="2:25" x14ac:dyDescent="0.2">
      <c r="B398" s="129" t="s">
        <v>1277</v>
      </c>
      <c r="C398" s="118" t="s">
        <v>160</v>
      </c>
      <c r="D398" s="118" t="s">
        <v>160</v>
      </c>
      <c r="E398" s="118" t="s">
        <v>160</v>
      </c>
      <c r="F398" s="118" t="s">
        <v>160</v>
      </c>
      <c r="G398" s="118" t="s">
        <v>160</v>
      </c>
      <c r="H398" s="118">
        <v>0</v>
      </c>
      <c r="I398" s="118" t="s">
        <v>160</v>
      </c>
      <c r="J398" s="118" t="s">
        <v>160</v>
      </c>
      <c r="K398" s="118" t="s">
        <v>160</v>
      </c>
      <c r="L398" s="118" t="s">
        <v>160</v>
      </c>
      <c r="M398" s="118" t="s">
        <v>160</v>
      </c>
      <c r="N398" s="118" t="s">
        <v>160</v>
      </c>
      <c r="O398" s="118" t="s">
        <v>160</v>
      </c>
      <c r="P398" s="118" t="s">
        <v>160</v>
      </c>
      <c r="Q398" s="118" t="s">
        <v>160</v>
      </c>
      <c r="R398" s="118" t="s">
        <v>160</v>
      </c>
      <c r="S398" s="118" t="s">
        <v>160</v>
      </c>
      <c r="T398" s="118">
        <v>0</v>
      </c>
      <c r="U398" s="605"/>
      <c r="V398" s="129" t="s">
        <v>1277</v>
      </c>
      <c r="W398" s="118">
        <v>0</v>
      </c>
      <c r="X398" s="118">
        <v>0</v>
      </c>
      <c r="Y398" s="118">
        <v>0</v>
      </c>
    </row>
    <row r="399" spans="2:25" x14ac:dyDescent="0.2">
      <c r="B399" s="129" t="s">
        <v>1055</v>
      </c>
      <c r="C399" s="118" t="s">
        <v>160</v>
      </c>
      <c r="D399" s="118" t="s">
        <v>160</v>
      </c>
      <c r="E399" s="118" t="s">
        <v>160</v>
      </c>
      <c r="F399" s="118" t="s">
        <v>160</v>
      </c>
      <c r="G399" s="118">
        <v>0</v>
      </c>
      <c r="H399" s="118">
        <v>12850</v>
      </c>
      <c r="I399" s="118" t="s">
        <v>160</v>
      </c>
      <c r="J399" s="118" t="s">
        <v>160</v>
      </c>
      <c r="K399" s="118">
        <v>0</v>
      </c>
      <c r="L399" s="118" t="s">
        <v>160</v>
      </c>
      <c r="M399" s="118" t="s">
        <v>160</v>
      </c>
      <c r="N399" s="118">
        <v>0</v>
      </c>
      <c r="O399" s="118">
        <v>0</v>
      </c>
      <c r="P399" s="118">
        <v>0</v>
      </c>
      <c r="Q399" s="118">
        <v>0</v>
      </c>
      <c r="R399" s="118">
        <v>0</v>
      </c>
      <c r="S399" s="118">
        <v>0</v>
      </c>
      <c r="T399" s="118">
        <v>12850</v>
      </c>
      <c r="U399" s="605"/>
      <c r="V399" s="129" t="s">
        <v>1055</v>
      </c>
      <c r="W399" s="118">
        <v>0</v>
      </c>
      <c r="X399" s="118">
        <v>0</v>
      </c>
      <c r="Y399" s="118">
        <v>0</v>
      </c>
    </row>
    <row r="400" spans="2:25" x14ac:dyDescent="0.2">
      <c r="B400" s="129" t="s">
        <v>1296</v>
      </c>
      <c r="C400" s="118" t="s">
        <v>160</v>
      </c>
      <c r="D400" s="118" t="s">
        <v>160</v>
      </c>
      <c r="E400" s="118" t="s">
        <v>160</v>
      </c>
      <c r="F400" s="118" t="s">
        <v>160</v>
      </c>
      <c r="G400" s="118" t="s">
        <v>160</v>
      </c>
      <c r="H400" s="118" t="s">
        <v>160</v>
      </c>
      <c r="I400" s="118" t="s">
        <v>160</v>
      </c>
      <c r="J400" s="118" t="s">
        <v>160</v>
      </c>
      <c r="K400" s="118" t="s">
        <v>160</v>
      </c>
      <c r="L400" s="118" t="s">
        <v>160</v>
      </c>
      <c r="M400" s="118" t="s">
        <v>160</v>
      </c>
      <c r="N400" s="118" t="s">
        <v>160</v>
      </c>
      <c r="O400" s="118" t="s">
        <v>160</v>
      </c>
      <c r="P400" s="118" t="s">
        <v>160</v>
      </c>
      <c r="Q400" s="118" t="s">
        <v>160</v>
      </c>
      <c r="R400" s="118" t="s">
        <v>160</v>
      </c>
      <c r="S400" s="118" t="s">
        <v>160</v>
      </c>
      <c r="T400" s="118">
        <v>0</v>
      </c>
      <c r="U400" s="605"/>
      <c r="V400" s="129" t="s">
        <v>1296</v>
      </c>
      <c r="W400" s="118">
        <v>0</v>
      </c>
      <c r="X400" s="118" t="s">
        <v>160</v>
      </c>
      <c r="Y400" s="118">
        <v>0</v>
      </c>
    </row>
    <row r="401" spans="2:25" x14ac:dyDescent="0.2">
      <c r="B401" s="129" t="s">
        <v>1142</v>
      </c>
      <c r="C401" s="118" t="s">
        <v>160</v>
      </c>
      <c r="D401" s="118" t="s">
        <v>160</v>
      </c>
      <c r="E401" s="118" t="s">
        <v>160</v>
      </c>
      <c r="F401" s="118" t="s">
        <v>160</v>
      </c>
      <c r="G401" s="118" t="s">
        <v>160</v>
      </c>
      <c r="H401" s="118" t="s">
        <v>160</v>
      </c>
      <c r="I401" s="118" t="s">
        <v>160</v>
      </c>
      <c r="J401" s="118" t="s">
        <v>160</v>
      </c>
      <c r="K401" s="118">
        <v>0</v>
      </c>
      <c r="L401" s="118" t="s">
        <v>160</v>
      </c>
      <c r="M401" s="118" t="s">
        <v>160</v>
      </c>
      <c r="N401" s="118">
        <v>0</v>
      </c>
      <c r="O401" s="118">
        <v>0</v>
      </c>
      <c r="P401" s="118">
        <v>0</v>
      </c>
      <c r="Q401" s="118">
        <v>0</v>
      </c>
      <c r="R401" s="118">
        <v>0</v>
      </c>
      <c r="S401" s="118">
        <v>0</v>
      </c>
      <c r="T401" s="118">
        <v>0</v>
      </c>
      <c r="U401" s="605"/>
      <c r="V401" s="129" t="s">
        <v>1142</v>
      </c>
      <c r="W401" s="118">
        <v>0</v>
      </c>
      <c r="X401" s="118">
        <v>0</v>
      </c>
      <c r="Y401" s="118">
        <v>0</v>
      </c>
    </row>
    <row r="402" spans="2:25" x14ac:dyDescent="0.2">
      <c r="B402" s="129" t="s">
        <v>756</v>
      </c>
      <c r="C402" s="118" t="s">
        <v>160</v>
      </c>
      <c r="D402" s="118" t="s">
        <v>160</v>
      </c>
      <c r="E402" s="118" t="s">
        <v>160</v>
      </c>
      <c r="F402" s="118" t="s">
        <v>160</v>
      </c>
      <c r="G402" s="118" t="s">
        <v>160</v>
      </c>
      <c r="H402" s="118" t="s">
        <v>160</v>
      </c>
      <c r="I402" s="118" t="s">
        <v>160</v>
      </c>
      <c r="J402" s="118" t="s">
        <v>160</v>
      </c>
      <c r="K402" s="118">
        <v>0</v>
      </c>
      <c r="L402" s="118" t="s">
        <v>160</v>
      </c>
      <c r="M402" s="118" t="s">
        <v>160</v>
      </c>
      <c r="N402" s="118">
        <v>0</v>
      </c>
      <c r="O402" s="118">
        <v>0</v>
      </c>
      <c r="P402" s="118">
        <v>0</v>
      </c>
      <c r="Q402" s="118">
        <v>0</v>
      </c>
      <c r="R402" s="118">
        <v>0</v>
      </c>
      <c r="S402" s="118">
        <v>0</v>
      </c>
      <c r="T402" s="118">
        <v>0</v>
      </c>
      <c r="U402" s="605"/>
      <c r="V402" s="129" t="s">
        <v>756</v>
      </c>
      <c r="W402" s="118">
        <v>0</v>
      </c>
      <c r="X402" s="118">
        <v>0</v>
      </c>
      <c r="Y402" s="118">
        <v>0</v>
      </c>
    </row>
    <row r="403" spans="2:25" x14ac:dyDescent="0.2">
      <c r="B403" s="129" t="s">
        <v>431</v>
      </c>
      <c r="C403" s="118">
        <v>-21493</v>
      </c>
      <c r="D403" s="118">
        <v>-1569</v>
      </c>
      <c r="E403" s="118">
        <v>-3331</v>
      </c>
      <c r="F403" s="118" t="s">
        <v>160</v>
      </c>
      <c r="G403" s="118">
        <v>-5526</v>
      </c>
      <c r="H403" s="118">
        <v>-1178</v>
      </c>
      <c r="I403" s="118">
        <v>-23</v>
      </c>
      <c r="J403" s="118" t="s">
        <v>160</v>
      </c>
      <c r="K403" s="118">
        <v>0</v>
      </c>
      <c r="L403" s="118" t="s">
        <v>160</v>
      </c>
      <c r="M403" s="118" t="s">
        <v>160</v>
      </c>
      <c r="N403" s="118">
        <v>0</v>
      </c>
      <c r="O403" s="118">
        <v>0</v>
      </c>
      <c r="P403" s="118">
        <v>0</v>
      </c>
      <c r="Q403" s="118">
        <v>0</v>
      </c>
      <c r="R403" s="118">
        <v>0</v>
      </c>
      <c r="S403" s="118">
        <v>0</v>
      </c>
      <c r="T403" s="118">
        <v>-33120</v>
      </c>
      <c r="U403" s="605"/>
      <c r="V403" s="129" t="s">
        <v>431</v>
      </c>
      <c r="W403" s="118">
        <v>-5526</v>
      </c>
      <c r="X403" s="118">
        <v>0</v>
      </c>
      <c r="Y403" s="118">
        <v>-5526</v>
      </c>
    </row>
    <row r="404" spans="2:25" x14ac:dyDescent="0.2">
      <c r="B404" s="129" t="s">
        <v>802</v>
      </c>
      <c r="C404" s="118" t="s">
        <v>160</v>
      </c>
      <c r="D404" s="118" t="s">
        <v>160</v>
      </c>
      <c r="E404" s="118" t="s">
        <v>160</v>
      </c>
      <c r="F404" s="118" t="s">
        <v>160</v>
      </c>
      <c r="G404" s="118" t="s">
        <v>160</v>
      </c>
      <c r="H404" s="118" t="s">
        <v>160</v>
      </c>
      <c r="I404" s="118" t="s">
        <v>160</v>
      </c>
      <c r="J404" s="118" t="s">
        <v>160</v>
      </c>
      <c r="K404" s="118">
        <v>0</v>
      </c>
      <c r="L404" s="118" t="s">
        <v>160</v>
      </c>
      <c r="M404" s="118" t="s">
        <v>160</v>
      </c>
      <c r="N404" s="118">
        <v>0</v>
      </c>
      <c r="O404" s="118">
        <v>0</v>
      </c>
      <c r="P404" s="118">
        <v>0</v>
      </c>
      <c r="Q404" s="118">
        <v>0</v>
      </c>
      <c r="R404" s="118">
        <v>0</v>
      </c>
      <c r="S404" s="118">
        <v>0</v>
      </c>
      <c r="T404" s="118">
        <v>0</v>
      </c>
      <c r="U404" s="605"/>
      <c r="V404" s="129" t="s">
        <v>802</v>
      </c>
      <c r="W404" s="118">
        <v>0</v>
      </c>
      <c r="X404" s="118">
        <v>0</v>
      </c>
      <c r="Y404" s="118">
        <v>0</v>
      </c>
    </row>
    <row r="405" spans="2:25" x14ac:dyDescent="0.2">
      <c r="B405" s="129" t="s">
        <v>49</v>
      </c>
      <c r="C405" s="118" t="s">
        <v>160</v>
      </c>
      <c r="D405" s="118" t="s">
        <v>160</v>
      </c>
      <c r="E405" s="118" t="s">
        <v>160</v>
      </c>
      <c r="F405" s="118" t="s">
        <v>160</v>
      </c>
      <c r="G405" s="118" t="s">
        <v>160</v>
      </c>
      <c r="H405" s="118" t="s">
        <v>160</v>
      </c>
      <c r="I405" s="118" t="s">
        <v>160</v>
      </c>
      <c r="J405" s="118" t="s">
        <v>160</v>
      </c>
      <c r="K405" s="118">
        <v>0</v>
      </c>
      <c r="L405" s="118" t="s">
        <v>160</v>
      </c>
      <c r="M405" s="118" t="s">
        <v>160</v>
      </c>
      <c r="N405" s="118">
        <v>0</v>
      </c>
      <c r="O405" s="118">
        <v>0</v>
      </c>
      <c r="P405" s="118">
        <v>0</v>
      </c>
      <c r="Q405" s="118">
        <v>0</v>
      </c>
      <c r="R405" s="118">
        <v>0</v>
      </c>
      <c r="S405" s="118">
        <v>0</v>
      </c>
      <c r="T405" s="118">
        <v>0</v>
      </c>
      <c r="U405" s="605"/>
      <c r="V405" s="129" t="s">
        <v>49</v>
      </c>
      <c r="W405" s="118">
        <v>0</v>
      </c>
      <c r="X405" s="118">
        <v>0</v>
      </c>
      <c r="Y405" s="118">
        <v>0</v>
      </c>
    </row>
    <row r="406" spans="2:25" x14ac:dyDescent="0.2">
      <c r="B406" s="126" t="s">
        <v>1334</v>
      </c>
      <c r="C406" s="120">
        <f>SUM(C394:C405)</f>
        <v>61945</v>
      </c>
      <c r="D406" s="120">
        <f t="shared" ref="D406:T406" si="80">SUM(D394:D405)</f>
        <v>35453</v>
      </c>
      <c r="E406" s="120">
        <f t="shared" si="80"/>
        <v>133680</v>
      </c>
      <c r="F406" s="120">
        <f t="shared" si="80"/>
        <v>15029</v>
      </c>
      <c r="G406" s="120">
        <f t="shared" si="80"/>
        <v>56858</v>
      </c>
      <c r="H406" s="120">
        <f t="shared" si="80"/>
        <v>26244</v>
      </c>
      <c r="I406" s="120">
        <f t="shared" si="80"/>
        <v>1452</v>
      </c>
      <c r="J406" s="120">
        <f t="shared" si="80"/>
        <v>0</v>
      </c>
      <c r="K406" s="120">
        <f t="shared" si="80"/>
        <v>0</v>
      </c>
      <c r="L406" s="120">
        <f t="shared" si="80"/>
        <v>0</v>
      </c>
      <c r="M406" s="120">
        <f t="shared" si="80"/>
        <v>0</v>
      </c>
      <c r="N406" s="120">
        <f t="shared" si="80"/>
        <v>0</v>
      </c>
      <c r="O406" s="120">
        <f t="shared" si="80"/>
        <v>0</v>
      </c>
      <c r="P406" s="120">
        <f t="shared" si="80"/>
        <v>0</v>
      </c>
      <c r="Q406" s="120">
        <f t="shared" si="80"/>
        <v>0</v>
      </c>
      <c r="R406" s="120">
        <f t="shared" si="80"/>
        <v>0</v>
      </c>
      <c r="S406" s="120">
        <f t="shared" si="80"/>
        <v>0</v>
      </c>
      <c r="T406" s="120">
        <f t="shared" si="80"/>
        <v>330661</v>
      </c>
      <c r="U406" s="605"/>
      <c r="V406" s="126" t="s">
        <v>1334</v>
      </c>
      <c r="W406" s="120">
        <f>SUM(W394:W405)</f>
        <v>56857</v>
      </c>
      <c r="X406" s="120">
        <f>SUM(X394:X405)</f>
        <v>14322</v>
      </c>
      <c r="Y406" s="120">
        <f>SUM(Y394:Y405)</f>
        <v>71179</v>
      </c>
    </row>
    <row r="408" spans="2:25" x14ac:dyDescent="0.2">
      <c r="B408" s="129" t="s">
        <v>225</v>
      </c>
      <c r="C408" s="118">
        <v>-794</v>
      </c>
      <c r="D408" s="118">
        <v>1808</v>
      </c>
      <c r="E408" s="118">
        <v>1045</v>
      </c>
      <c r="F408" s="118">
        <v>-374</v>
      </c>
      <c r="G408" s="118">
        <v>7762</v>
      </c>
      <c r="H408" s="118">
        <v>2205</v>
      </c>
      <c r="I408" s="118">
        <v>68</v>
      </c>
      <c r="J408" s="118" t="s">
        <v>160</v>
      </c>
      <c r="K408" s="118">
        <v>0</v>
      </c>
      <c r="L408" s="118" t="s">
        <v>160</v>
      </c>
      <c r="M408" s="118" t="s">
        <v>160</v>
      </c>
      <c r="N408" s="118" t="s">
        <v>160</v>
      </c>
      <c r="O408" s="118">
        <v>0</v>
      </c>
      <c r="P408" s="118">
        <v>0</v>
      </c>
      <c r="Q408" s="118">
        <v>0</v>
      </c>
      <c r="R408" s="118">
        <v>0</v>
      </c>
      <c r="S408" s="118">
        <v>0</v>
      </c>
      <c r="T408" s="118">
        <v>11720</v>
      </c>
      <c r="U408" s="605" t="s">
        <v>1250</v>
      </c>
      <c r="V408" s="129" t="s">
        <v>225</v>
      </c>
      <c r="W408" s="118">
        <v>7762</v>
      </c>
      <c r="X408" s="118">
        <v>-387</v>
      </c>
      <c r="Y408" s="118">
        <v>7375</v>
      </c>
    </row>
    <row r="409" spans="2:25" x14ac:dyDescent="0.2">
      <c r="B409" s="129" t="s">
        <v>1056</v>
      </c>
      <c r="C409" s="118" t="s">
        <v>160</v>
      </c>
      <c r="D409" s="118" t="s">
        <v>160</v>
      </c>
      <c r="E409" s="118" t="s">
        <v>160</v>
      </c>
      <c r="F409" s="118" t="s">
        <v>160</v>
      </c>
      <c r="G409" s="118" t="s">
        <v>160</v>
      </c>
      <c r="H409" s="118" t="s">
        <v>160</v>
      </c>
      <c r="I409" s="118" t="s">
        <v>160</v>
      </c>
      <c r="J409" s="118" t="s">
        <v>160</v>
      </c>
      <c r="K409" s="118">
        <v>0</v>
      </c>
      <c r="L409" s="118" t="s">
        <v>160</v>
      </c>
      <c r="M409" s="118" t="s">
        <v>160</v>
      </c>
      <c r="N409" s="118">
        <v>0</v>
      </c>
      <c r="O409" s="118">
        <v>0</v>
      </c>
      <c r="P409" s="118">
        <v>0</v>
      </c>
      <c r="Q409" s="118">
        <v>0</v>
      </c>
      <c r="R409" s="118">
        <v>0</v>
      </c>
      <c r="S409" s="118">
        <v>0</v>
      </c>
      <c r="T409" s="118">
        <v>0</v>
      </c>
      <c r="U409" s="605"/>
      <c r="V409" s="129" t="s">
        <v>1056</v>
      </c>
      <c r="W409" s="118">
        <v>0</v>
      </c>
      <c r="X409" s="118">
        <v>0</v>
      </c>
      <c r="Y409" s="118">
        <v>0</v>
      </c>
    </row>
    <row r="410" spans="2:25" x14ac:dyDescent="0.2">
      <c r="B410" s="129" t="s">
        <v>1277</v>
      </c>
      <c r="C410" s="118" t="s">
        <v>160</v>
      </c>
      <c r="D410" s="118" t="s">
        <v>160</v>
      </c>
      <c r="E410" s="118" t="s">
        <v>160</v>
      </c>
      <c r="F410" s="118" t="s">
        <v>160</v>
      </c>
      <c r="G410" s="118" t="s">
        <v>160</v>
      </c>
      <c r="H410" s="118">
        <v>0</v>
      </c>
      <c r="I410" s="118" t="s">
        <v>160</v>
      </c>
      <c r="J410" s="118" t="s">
        <v>160</v>
      </c>
      <c r="K410" s="118" t="s">
        <v>160</v>
      </c>
      <c r="L410" s="118" t="s">
        <v>160</v>
      </c>
      <c r="M410" s="118" t="s">
        <v>160</v>
      </c>
      <c r="N410" s="118" t="s">
        <v>160</v>
      </c>
      <c r="O410" s="118" t="s">
        <v>160</v>
      </c>
      <c r="P410" s="118" t="s">
        <v>160</v>
      </c>
      <c r="Q410" s="118" t="s">
        <v>160</v>
      </c>
      <c r="R410" s="118" t="s">
        <v>160</v>
      </c>
      <c r="S410" s="118" t="s">
        <v>160</v>
      </c>
      <c r="T410" s="118">
        <v>0</v>
      </c>
      <c r="U410" s="605"/>
      <c r="V410" s="129" t="s">
        <v>1277</v>
      </c>
      <c r="W410" s="118">
        <v>0</v>
      </c>
      <c r="X410" s="118">
        <v>0</v>
      </c>
      <c r="Y410" s="118">
        <v>0</v>
      </c>
    </row>
    <row r="411" spans="2:25" x14ac:dyDescent="0.2">
      <c r="B411" s="129" t="s">
        <v>1055</v>
      </c>
      <c r="C411" s="118" t="s">
        <v>160</v>
      </c>
      <c r="D411" s="118" t="s">
        <v>160</v>
      </c>
      <c r="E411" s="118" t="s">
        <v>160</v>
      </c>
      <c r="F411" s="118" t="s">
        <v>160</v>
      </c>
      <c r="G411" s="118">
        <v>0</v>
      </c>
      <c r="H411" s="118">
        <v>0</v>
      </c>
      <c r="I411" s="118" t="s">
        <v>160</v>
      </c>
      <c r="J411" s="118" t="s">
        <v>160</v>
      </c>
      <c r="K411" s="118">
        <v>0</v>
      </c>
      <c r="L411" s="118" t="s">
        <v>160</v>
      </c>
      <c r="M411" s="118" t="s">
        <v>160</v>
      </c>
      <c r="N411" s="118">
        <v>0</v>
      </c>
      <c r="O411" s="118">
        <v>0</v>
      </c>
      <c r="P411" s="118">
        <v>0</v>
      </c>
      <c r="Q411" s="118">
        <v>0</v>
      </c>
      <c r="R411" s="118">
        <v>0</v>
      </c>
      <c r="S411" s="118">
        <v>0</v>
      </c>
      <c r="T411" s="118">
        <v>0</v>
      </c>
      <c r="U411" s="605"/>
      <c r="V411" s="129" t="s">
        <v>1055</v>
      </c>
      <c r="W411" s="118">
        <v>0</v>
      </c>
      <c r="X411" s="118">
        <v>0</v>
      </c>
      <c r="Y411" s="118">
        <v>0</v>
      </c>
    </row>
    <row r="412" spans="2:25" x14ac:dyDescent="0.2">
      <c r="B412" s="129" t="s">
        <v>1296</v>
      </c>
      <c r="C412" s="118" t="s">
        <v>160</v>
      </c>
      <c r="D412" s="118" t="s">
        <v>160</v>
      </c>
      <c r="E412" s="118" t="s">
        <v>160</v>
      </c>
      <c r="F412" s="118" t="s">
        <v>160</v>
      </c>
      <c r="G412" s="118" t="s">
        <v>160</v>
      </c>
      <c r="H412" s="118" t="s">
        <v>160</v>
      </c>
      <c r="I412" s="118" t="s">
        <v>160</v>
      </c>
      <c r="J412" s="118" t="s">
        <v>160</v>
      </c>
      <c r="K412" s="118" t="s">
        <v>160</v>
      </c>
      <c r="L412" s="118" t="s">
        <v>160</v>
      </c>
      <c r="M412" s="118" t="s">
        <v>160</v>
      </c>
      <c r="N412" s="118" t="s">
        <v>160</v>
      </c>
      <c r="O412" s="118" t="s">
        <v>160</v>
      </c>
      <c r="P412" s="118" t="s">
        <v>160</v>
      </c>
      <c r="Q412" s="118" t="s">
        <v>160</v>
      </c>
      <c r="R412" s="118" t="s">
        <v>160</v>
      </c>
      <c r="S412" s="118" t="s">
        <v>160</v>
      </c>
      <c r="T412" s="118">
        <v>0</v>
      </c>
      <c r="U412" s="605"/>
      <c r="V412" s="129" t="s">
        <v>1296</v>
      </c>
      <c r="W412" s="118">
        <v>0</v>
      </c>
      <c r="X412" s="118" t="s">
        <v>160</v>
      </c>
      <c r="Y412" s="118">
        <v>0</v>
      </c>
    </row>
    <row r="413" spans="2:25" x14ac:dyDescent="0.2">
      <c r="B413" s="129" t="s">
        <v>1142</v>
      </c>
      <c r="C413" s="118" t="s">
        <v>160</v>
      </c>
      <c r="D413" s="118" t="s">
        <v>160</v>
      </c>
      <c r="E413" s="118" t="s">
        <v>160</v>
      </c>
      <c r="F413" s="118" t="s">
        <v>160</v>
      </c>
      <c r="G413" s="118" t="s">
        <v>160</v>
      </c>
      <c r="H413" s="118" t="s">
        <v>160</v>
      </c>
      <c r="I413" s="118" t="s">
        <v>160</v>
      </c>
      <c r="J413" s="118" t="s">
        <v>160</v>
      </c>
      <c r="K413" s="118">
        <v>0</v>
      </c>
      <c r="L413" s="118" t="s">
        <v>160</v>
      </c>
      <c r="M413" s="118" t="s">
        <v>160</v>
      </c>
      <c r="N413" s="118">
        <v>0</v>
      </c>
      <c r="O413" s="118">
        <v>0</v>
      </c>
      <c r="P413" s="118">
        <v>0</v>
      </c>
      <c r="Q413" s="118">
        <v>0</v>
      </c>
      <c r="R413" s="118">
        <v>0</v>
      </c>
      <c r="S413" s="118">
        <v>0</v>
      </c>
      <c r="T413" s="118">
        <v>0</v>
      </c>
      <c r="U413" s="605"/>
      <c r="V413" s="129" t="s">
        <v>1142</v>
      </c>
      <c r="W413" s="118">
        <v>0</v>
      </c>
      <c r="X413" s="118">
        <v>0</v>
      </c>
      <c r="Y413" s="118">
        <v>0</v>
      </c>
    </row>
    <row r="414" spans="2:25" x14ac:dyDescent="0.2">
      <c r="B414" s="129" t="s">
        <v>756</v>
      </c>
      <c r="C414" s="118" t="s">
        <v>160</v>
      </c>
      <c r="D414" s="118" t="s">
        <v>160</v>
      </c>
      <c r="E414" s="118" t="s">
        <v>160</v>
      </c>
      <c r="F414" s="118" t="s">
        <v>160</v>
      </c>
      <c r="G414" s="118" t="s">
        <v>160</v>
      </c>
      <c r="H414" s="118" t="s">
        <v>160</v>
      </c>
      <c r="I414" s="118" t="s">
        <v>160</v>
      </c>
      <c r="J414" s="118" t="s">
        <v>160</v>
      </c>
      <c r="K414" s="118">
        <v>0</v>
      </c>
      <c r="L414" s="118" t="s">
        <v>160</v>
      </c>
      <c r="M414" s="118" t="s">
        <v>160</v>
      </c>
      <c r="N414" s="118">
        <v>0</v>
      </c>
      <c r="O414" s="118">
        <v>0</v>
      </c>
      <c r="P414" s="118">
        <v>0</v>
      </c>
      <c r="Q414" s="118">
        <v>0</v>
      </c>
      <c r="R414" s="118">
        <v>0</v>
      </c>
      <c r="S414" s="118">
        <v>0</v>
      </c>
      <c r="T414" s="118">
        <v>0</v>
      </c>
      <c r="U414" s="605"/>
      <c r="V414" s="129" t="s">
        <v>756</v>
      </c>
      <c r="W414" s="118">
        <v>0</v>
      </c>
      <c r="X414" s="118">
        <v>0</v>
      </c>
      <c r="Y414" s="118">
        <v>0</v>
      </c>
    </row>
    <row r="415" spans="2:25" x14ac:dyDescent="0.2">
      <c r="B415" s="129" t="s">
        <v>431</v>
      </c>
      <c r="C415" s="118">
        <v>0</v>
      </c>
      <c r="D415" s="118">
        <v>0</v>
      </c>
      <c r="E415" s="118">
        <v>1</v>
      </c>
      <c r="F415" s="118" t="s">
        <v>160</v>
      </c>
      <c r="G415" s="118">
        <v>-4750</v>
      </c>
      <c r="H415" s="118">
        <v>0</v>
      </c>
      <c r="I415" s="118">
        <v>0</v>
      </c>
      <c r="J415" s="118" t="s">
        <v>160</v>
      </c>
      <c r="K415" s="118">
        <v>0</v>
      </c>
      <c r="L415" s="118" t="s">
        <v>160</v>
      </c>
      <c r="M415" s="118" t="s">
        <v>160</v>
      </c>
      <c r="N415" s="118">
        <v>0</v>
      </c>
      <c r="O415" s="118">
        <v>0</v>
      </c>
      <c r="P415" s="118">
        <v>0</v>
      </c>
      <c r="Q415" s="118">
        <v>0</v>
      </c>
      <c r="R415" s="118">
        <v>0</v>
      </c>
      <c r="S415" s="118">
        <v>0</v>
      </c>
      <c r="T415" s="118">
        <v>-4749</v>
      </c>
      <c r="U415" s="605"/>
      <c r="V415" s="129" t="s">
        <v>431</v>
      </c>
      <c r="W415" s="118">
        <v>-4750</v>
      </c>
      <c r="X415" s="118">
        <v>0</v>
      </c>
      <c r="Y415" s="118">
        <v>-4750</v>
      </c>
    </row>
    <row r="416" spans="2:25" x14ac:dyDescent="0.2">
      <c r="B416" s="129" t="s">
        <v>802</v>
      </c>
      <c r="C416" s="118" t="s">
        <v>160</v>
      </c>
      <c r="D416" s="118" t="s">
        <v>160</v>
      </c>
      <c r="E416" s="118" t="s">
        <v>160</v>
      </c>
      <c r="F416" s="118" t="s">
        <v>160</v>
      </c>
      <c r="G416" s="118" t="s">
        <v>160</v>
      </c>
      <c r="H416" s="118" t="s">
        <v>160</v>
      </c>
      <c r="I416" s="118" t="s">
        <v>160</v>
      </c>
      <c r="J416" s="118" t="s">
        <v>160</v>
      </c>
      <c r="K416" s="118">
        <v>0</v>
      </c>
      <c r="L416" s="118" t="s">
        <v>160</v>
      </c>
      <c r="M416" s="118" t="s">
        <v>160</v>
      </c>
      <c r="N416" s="118">
        <v>0</v>
      </c>
      <c r="O416" s="118">
        <v>0</v>
      </c>
      <c r="P416" s="118">
        <v>0</v>
      </c>
      <c r="Q416" s="118">
        <v>0</v>
      </c>
      <c r="R416" s="118">
        <v>0</v>
      </c>
      <c r="S416" s="118">
        <v>0</v>
      </c>
      <c r="T416" s="118">
        <v>0</v>
      </c>
      <c r="U416" s="605"/>
      <c r="V416" s="129" t="s">
        <v>802</v>
      </c>
      <c r="W416" s="118">
        <v>0</v>
      </c>
      <c r="X416" s="118">
        <v>0</v>
      </c>
      <c r="Y416" s="118">
        <v>0</v>
      </c>
    </row>
    <row r="417" spans="2:25" x14ac:dyDescent="0.2">
      <c r="B417" s="129" t="s">
        <v>49</v>
      </c>
      <c r="C417" s="118" t="s">
        <v>160</v>
      </c>
      <c r="D417" s="118" t="s">
        <v>160</v>
      </c>
      <c r="E417" s="118" t="s">
        <v>160</v>
      </c>
      <c r="F417" s="118" t="s">
        <v>160</v>
      </c>
      <c r="G417" s="118" t="s">
        <v>160</v>
      </c>
      <c r="H417" s="118" t="s">
        <v>160</v>
      </c>
      <c r="I417" s="118" t="s">
        <v>160</v>
      </c>
      <c r="J417" s="118" t="s">
        <v>160</v>
      </c>
      <c r="K417" s="118">
        <v>0</v>
      </c>
      <c r="L417" s="118" t="s">
        <v>160</v>
      </c>
      <c r="M417" s="118" t="s">
        <v>160</v>
      </c>
      <c r="N417" s="118">
        <v>0</v>
      </c>
      <c r="O417" s="118">
        <v>0</v>
      </c>
      <c r="P417" s="118">
        <v>0</v>
      </c>
      <c r="Q417" s="118">
        <v>0</v>
      </c>
      <c r="R417" s="118">
        <v>0</v>
      </c>
      <c r="S417" s="118">
        <v>0</v>
      </c>
      <c r="T417" s="118">
        <v>0</v>
      </c>
      <c r="U417" s="605"/>
      <c r="V417" s="129" t="s">
        <v>49</v>
      </c>
      <c r="W417" s="118">
        <v>0</v>
      </c>
      <c r="X417" s="118">
        <v>0</v>
      </c>
      <c r="Y417" s="118">
        <v>0</v>
      </c>
    </row>
    <row r="418" spans="2:25" x14ac:dyDescent="0.2">
      <c r="B418" s="126" t="s">
        <v>1341</v>
      </c>
      <c r="C418" s="120">
        <f>SUM(C406:C417)</f>
        <v>61151</v>
      </c>
      <c r="D418" s="120">
        <f t="shared" ref="D418:T418" si="81">SUM(D406:D417)</f>
        <v>37261</v>
      </c>
      <c r="E418" s="120">
        <f t="shared" si="81"/>
        <v>134726</v>
      </c>
      <c r="F418" s="120">
        <f t="shared" si="81"/>
        <v>14655</v>
      </c>
      <c r="G418" s="120">
        <f t="shared" si="81"/>
        <v>59870</v>
      </c>
      <c r="H418" s="120">
        <f t="shared" si="81"/>
        <v>28449</v>
      </c>
      <c r="I418" s="120">
        <f t="shared" si="81"/>
        <v>1520</v>
      </c>
      <c r="J418" s="120">
        <f t="shared" si="81"/>
        <v>0</v>
      </c>
      <c r="K418" s="120">
        <f t="shared" si="81"/>
        <v>0</v>
      </c>
      <c r="L418" s="120">
        <f t="shared" si="81"/>
        <v>0</v>
      </c>
      <c r="M418" s="120">
        <f t="shared" si="81"/>
        <v>0</v>
      </c>
      <c r="N418" s="120">
        <f t="shared" si="81"/>
        <v>0</v>
      </c>
      <c r="O418" s="120">
        <f t="shared" si="81"/>
        <v>0</v>
      </c>
      <c r="P418" s="120">
        <f t="shared" si="81"/>
        <v>0</v>
      </c>
      <c r="Q418" s="120">
        <f t="shared" si="81"/>
        <v>0</v>
      </c>
      <c r="R418" s="120">
        <f t="shared" si="81"/>
        <v>0</v>
      </c>
      <c r="S418" s="120">
        <f t="shared" si="81"/>
        <v>0</v>
      </c>
      <c r="T418" s="120">
        <f t="shared" si="81"/>
        <v>337632</v>
      </c>
      <c r="U418" s="605"/>
      <c r="V418" s="126" t="s">
        <v>1341</v>
      </c>
      <c r="W418" s="120">
        <f>SUM(W406:W417)</f>
        <v>59869</v>
      </c>
      <c r="X418" s="120">
        <f>SUM(X406:X417)</f>
        <v>13935</v>
      </c>
      <c r="Y418" s="120">
        <f>SUM(Y406:Y417)</f>
        <v>73804</v>
      </c>
    </row>
    <row r="419" spans="2:25" x14ac:dyDescent="0.2">
      <c r="J419"/>
      <c r="K419"/>
      <c r="L419"/>
      <c r="M419"/>
      <c r="N419"/>
      <c r="O419"/>
      <c r="P419"/>
      <c r="Q419"/>
      <c r="R419"/>
      <c r="S419"/>
    </row>
    <row r="420" spans="2:25" x14ac:dyDescent="0.2">
      <c r="B420" s="129" t="s">
        <v>225</v>
      </c>
      <c r="C420" s="118">
        <v>-2008</v>
      </c>
      <c r="D420" s="118">
        <v>2176</v>
      </c>
      <c r="E420" s="118">
        <v>722</v>
      </c>
      <c r="F420" s="118">
        <v>-196</v>
      </c>
      <c r="G420" s="118">
        <v>4394</v>
      </c>
      <c r="H420" s="118">
        <v>612</v>
      </c>
      <c r="I420" s="118">
        <v>28</v>
      </c>
      <c r="J420" s="118" t="s">
        <v>160</v>
      </c>
      <c r="K420" s="118">
        <v>0</v>
      </c>
      <c r="L420" s="118" t="s">
        <v>160</v>
      </c>
      <c r="M420" s="118" t="s">
        <v>160</v>
      </c>
      <c r="N420" s="118" t="s">
        <v>160</v>
      </c>
      <c r="O420" s="118">
        <v>0</v>
      </c>
      <c r="P420" s="118">
        <v>0</v>
      </c>
      <c r="Q420" s="118">
        <v>0</v>
      </c>
      <c r="R420" s="118">
        <v>0</v>
      </c>
      <c r="S420" s="118">
        <v>0</v>
      </c>
      <c r="T420" s="118">
        <v>5728</v>
      </c>
      <c r="U420" s="605" t="s">
        <v>1250</v>
      </c>
      <c r="V420" s="129" t="s">
        <v>225</v>
      </c>
      <c r="W420" s="118">
        <v>4394</v>
      </c>
      <c r="X420" s="118">
        <v>-206</v>
      </c>
      <c r="Y420" s="118">
        <v>4187</v>
      </c>
    </row>
    <row r="421" spans="2:25" x14ac:dyDescent="0.2">
      <c r="B421" s="129" t="s">
        <v>1056</v>
      </c>
      <c r="C421" s="118" t="s">
        <v>160</v>
      </c>
      <c r="D421" s="118" t="s">
        <v>160</v>
      </c>
      <c r="E421" s="118" t="s">
        <v>160</v>
      </c>
      <c r="F421" s="118" t="s">
        <v>160</v>
      </c>
      <c r="G421" s="118" t="s">
        <v>160</v>
      </c>
      <c r="H421" s="118" t="s">
        <v>160</v>
      </c>
      <c r="I421" s="118" t="s">
        <v>160</v>
      </c>
      <c r="J421" s="118" t="s">
        <v>160</v>
      </c>
      <c r="K421" s="118">
        <v>0</v>
      </c>
      <c r="L421" s="118" t="s">
        <v>160</v>
      </c>
      <c r="M421" s="118" t="s">
        <v>160</v>
      </c>
      <c r="N421" s="118">
        <v>0</v>
      </c>
      <c r="O421" s="118">
        <v>0</v>
      </c>
      <c r="P421" s="118">
        <v>0</v>
      </c>
      <c r="Q421" s="118">
        <v>0</v>
      </c>
      <c r="R421" s="118">
        <v>0</v>
      </c>
      <c r="S421" s="118">
        <v>0</v>
      </c>
      <c r="T421" s="118">
        <v>0</v>
      </c>
      <c r="U421" s="605"/>
      <c r="V421" s="129" t="s">
        <v>1056</v>
      </c>
      <c r="W421" s="118">
        <v>0</v>
      </c>
      <c r="X421" s="118">
        <v>0</v>
      </c>
      <c r="Y421" s="118">
        <v>0</v>
      </c>
    </row>
    <row r="422" spans="2:25" x14ac:dyDescent="0.2">
      <c r="B422" s="129" t="s">
        <v>1277</v>
      </c>
      <c r="C422" s="118" t="s">
        <v>160</v>
      </c>
      <c r="D422" s="118" t="s">
        <v>160</v>
      </c>
      <c r="E422" s="118" t="s">
        <v>160</v>
      </c>
      <c r="F422" s="118" t="s">
        <v>160</v>
      </c>
      <c r="G422" s="118" t="s">
        <v>160</v>
      </c>
      <c r="H422" s="118">
        <v>0</v>
      </c>
      <c r="I422" s="118" t="s">
        <v>160</v>
      </c>
      <c r="J422" s="118" t="s">
        <v>160</v>
      </c>
      <c r="K422" s="118" t="s">
        <v>160</v>
      </c>
      <c r="L422" s="118" t="s">
        <v>160</v>
      </c>
      <c r="M422" s="118" t="s">
        <v>160</v>
      </c>
      <c r="N422" s="118" t="s">
        <v>160</v>
      </c>
      <c r="O422" s="118" t="s">
        <v>160</v>
      </c>
      <c r="P422" s="118" t="s">
        <v>160</v>
      </c>
      <c r="Q422" s="118" t="s">
        <v>160</v>
      </c>
      <c r="R422" s="118" t="s">
        <v>160</v>
      </c>
      <c r="S422" s="118" t="s">
        <v>160</v>
      </c>
      <c r="T422" s="118">
        <v>0</v>
      </c>
      <c r="U422" s="605"/>
      <c r="V422" s="129" t="s">
        <v>1277</v>
      </c>
      <c r="W422" s="118">
        <v>0</v>
      </c>
      <c r="X422" s="118">
        <v>0</v>
      </c>
      <c r="Y422" s="118">
        <v>0</v>
      </c>
    </row>
    <row r="423" spans="2:25" x14ac:dyDescent="0.2">
      <c r="B423" s="129" t="s">
        <v>1055</v>
      </c>
      <c r="C423" s="118" t="s">
        <v>160</v>
      </c>
      <c r="D423" s="118" t="s">
        <v>160</v>
      </c>
      <c r="E423" s="118" t="s">
        <v>160</v>
      </c>
      <c r="F423" s="118" t="s">
        <v>160</v>
      </c>
      <c r="G423" s="118">
        <v>0</v>
      </c>
      <c r="H423" s="118">
        <v>0</v>
      </c>
      <c r="I423" s="118" t="s">
        <v>160</v>
      </c>
      <c r="J423" s="118" t="s">
        <v>160</v>
      </c>
      <c r="K423" s="118">
        <v>0</v>
      </c>
      <c r="L423" s="118" t="s">
        <v>160</v>
      </c>
      <c r="M423" s="118" t="s">
        <v>160</v>
      </c>
      <c r="N423" s="118">
        <v>0</v>
      </c>
      <c r="O423" s="118">
        <v>0</v>
      </c>
      <c r="P423" s="118">
        <v>0</v>
      </c>
      <c r="Q423" s="118">
        <v>0</v>
      </c>
      <c r="R423" s="118">
        <v>0</v>
      </c>
      <c r="S423" s="118">
        <v>0</v>
      </c>
      <c r="T423" s="118">
        <v>0</v>
      </c>
      <c r="U423" s="605"/>
      <c r="V423" s="129" t="s">
        <v>1055</v>
      </c>
      <c r="W423" s="118">
        <v>0</v>
      </c>
      <c r="X423" s="118">
        <v>0</v>
      </c>
      <c r="Y423" s="118">
        <v>0</v>
      </c>
    </row>
    <row r="424" spans="2:25" x14ac:dyDescent="0.2">
      <c r="B424" s="129" t="s">
        <v>1296</v>
      </c>
      <c r="C424" s="118" t="s">
        <v>160</v>
      </c>
      <c r="D424" s="118" t="s">
        <v>160</v>
      </c>
      <c r="E424" s="118" t="s">
        <v>160</v>
      </c>
      <c r="F424" s="118" t="s">
        <v>160</v>
      </c>
      <c r="G424" s="118" t="s">
        <v>160</v>
      </c>
      <c r="H424" s="118" t="s">
        <v>160</v>
      </c>
      <c r="I424" s="118" t="s">
        <v>160</v>
      </c>
      <c r="J424" s="118" t="s">
        <v>160</v>
      </c>
      <c r="K424" s="118" t="s">
        <v>160</v>
      </c>
      <c r="L424" s="118" t="s">
        <v>160</v>
      </c>
      <c r="M424" s="118" t="s">
        <v>160</v>
      </c>
      <c r="N424" s="118" t="s">
        <v>160</v>
      </c>
      <c r="O424" s="118" t="s">
        <v>160</v>
      </c>
      <c r="P424" s="118" t="s">
        <v>160</v>
      </c>
      <c r="Q424" s="118" t="s">
        <v>160</v>
      </c>
      <c r="R424" s="118" t="s">
        <v>160</v>
      </c>
      <c r="S424" s="118" t="s">
        <v>160</v>
      </c>
      <c r="T424" s="118">
        <v>0</v>
      </c>
      <c r="U424" s="605"/>
      <c r="V424" s="129" t="s">
        <v>1296</v>
      </c>
      <c r="W424" s="118">
        <v>0</v>
      </c>
      <c r="X424" s="118" t="s">
        <v>160</v>
      </c>
      <c r="Y424" s="118">
        <v>0</v>
      </c>
    </row>
    <row r="425" spans="2:25" x14ac:dyDescent="0.2">
      <c r="B425" s="129" t="s">
        <v>1142</v>
      </c>
      <c r="C425" s="118" t="s">
        <v>160</v>
      </c>
      <c r="D425" s="118" t="s">
        <v>160</v>
      </c>
      <c r="E425" s="118" t="s">
        <v>160</v>
      </c>
      <c r="F425" s="118" t="s">
        <v>160</v>
      </c>
      <c r="G425" s="118" t="s">
        <v>160</v>
      </c>
      <c r="H425" s="118" t="s">
        <v>160</v>
      </c>
      <c r="I425" s="118" t="s">
        <v>160</v>
      </c>
      <c r="J425" s="118" t="s">
        <v>160</v>
      </c>
      <c r="K425" s="118">
        <v>0</v>
      </c>
      <c r="L425" s="118" t="s">
        <v>160</v>
      </c>
      <c r="M425" s="118" t="s">
        <v>160</v>
      </c>
      <c r="N425" s="118">
        <v>0</v>
      </c>
      <c r="O425" s="118">
        <v>0</v>
      </c>
      <c r="P425" s="118">
        <v>0</v>
      </c>
      <c r="Q425" s="118">
        <v>0</v>
      </c>
      <c r="R425" s="118">
        <v>0</v>
      </c>
      <c r="S425" s="118">
        <v>0</v>
      </c>
      <c r="T425" s="118">
        <v>0</v>
      </c>
      <c r="U425" s="605"/>
      <c r="V425" s="129" t="s">
        <v>1142</v>
      </c>
      <c r="W425" s="118">
        <v>0</v>
      </c>
      <c r="X425" s="118">
        <v>0</v>
      </c>
      <c r="Y425" s="118">
        <v>0</v>
      </c>
    </row>
    <row r="426" spans="2:25" x14ac:dyDescent="0.2">
      <c r="B426" s="129" t="s">
        <v>756</v>
      </c>
      <c r="C426" s="118" t="s">
        <v>160</v>
      </c>
      <c r="D426" s="118" t="s">
        <v>160</v>
      </c>
      <c r="E426" s="118" t="s">
        <v>160</v>
      </c>
      <c r="F426" s="118" t="s">
        <v>160</v>
      </c>
      <c r="G426" s="118" t="s">
        <v>160</v>
      </c>
      <c r="H426" s="118" t="s">
        <v>160</v>
      </c>
      <c r="I426" s="118" t="s">
        <v>160</v>
      </c>
      <c r="J426" s="118" t="s">
        <v>160</v>
      </c>
      <c r="K426" s="118">
        <v>0</v>
      </c>
      <c r="L426" s="118" t="s">
        <v>160</v>
      </c>
      <c r="M426" s="118" t="s">
        <v>160</v>
      </c>
      <c r="N426" s="118">
        <v>0</v>
      </c>
      <c r="O426" s="118">
        <v>0</v>
      </c>
      <c r="P426" s="118">
        <v>0</v>
      </c>
      <c r="Q426" s="118">
        <v>0</v>
      </c>
      <c r="R426" s="118">
        <v>0</v>
      </c>
      <c r="S426" s="118">
        <v>0</v>
      </c>
      <c r="T426" s="118">
        <v>0</v>
      </c>
      <c r="U426" s="605"/>
      <c r="V426" s="129" t="s">
        <v>756</v>
      </c>
      <c r="W426" s="118">
        <v>0</v>
      </c>
      <c r="X426" s="118">
        <v>0</v>
      </c>
      <c r="Y426" s="118">
        <v>0</v>
      </c>
    </row>
    <row r="427" spans="2:25" x14ac:dyDescent="0.2">
      <c r="B427" s="129" t="s">
        <v>431</v>
      </c>
      <c r="C427" s="118">
        <v>0</v>
      </c>
      <c r="D427" s="118">
        <v>0</v>
      </c>
      <c r="E427" s="118">
        <v>0</v>
      </c>
      <c r="F427" s="118" t="s">
        <v>160</v>
      </c>
      <c r="G427" s="118">
        <v>-14351</v>
      </c>
      <c r="H427" s="118">
        <v>0</v>
      </c>
      <c r="I427" s="118">
        <v>0</v>
      </c>
      <c r="J427" s="118" t="s">
        <v>160</v>
      </c>
      <c r="K427" s="118">
        <v>0</v>
      </c>
      <c r="L427" s="118" t="s">
        <v>160</v>
      </c>
      <c r="M427" s="118" t="s">
        <v>160</v>
      </c>
      <c r="N427" s="118">
        <v>0</v>
      </c>
      <c r="O427" s="118">
        <v>0</v>
      </c>
      <c r="P427" s="118">
        <v>0</v>
      </c>
      <c r="Q427" s="118">
        <v>0</v>
      </c>
      <c r="R427" s="118">
        <v>0</v>
      </c>
      <c r="S427" s="118">
        <v>0</v>
      </c>
      <c r="T427" s="118">
        <v>-14351</v>
      </c>
      <c r="U427" s="605"/>
      <c r="V427" s="129" t="s">
        <v>431</v>
      </c>
      <c r="W427" s="118">
        <v>-14350</v>
      </c>
      <c r="X427" s="118">
        <v>0</v>
      </c>
      <c r="Y427" s="118">
        <v>-14350</v>
      </c>
    </row>
    <row r="428" spans="2:25" x14ac:dyDescent="0.2">
      <c r="B428" s="129" t="s">
        <v>802</v>
      </c>
      <c r="C428" s="118" t="s">
        <v>160</v>
      </c>
      <c r="D428" s="118" t="s">
        <v>160</v>
      </c>
      <c r="E428" s="118" t="s">
        <v>160</v>
      </c>
      <c r="F428" s="118" t="s">
        <v>160</v>
      </c>
      <c r="G428" s="118" t="s">
        <v>160</v>
      </c>
      <c r="H428" s="118" t="s">
        <v>160</v>
      </c>
      <c r="I428" s="118" t="s">
        <v>160</v>
      </c>
      <c r="J428" s="118" t="s">
        <v>160</v>
      </c>
      <c r="K428" s="118">
        <v>0</v>
      </c>
      <c r="L428" s="118" t="s">
        <v>160</v>
      </c>
      <c r="M428" s="118" t="s">
        <v>160</v>
      </c>
      <c r="N428" s="118">
        <v>0</v>
      </c>
      <c r="O428" s="118">
        <v>0</v>
      </c>
      <c r="P428" s="118">
        <v>0</v>
      </c>
      <c r="Q428" s="118">
        <v>0</v>
      </c>
      <c r="R428" s="118">
        <v>0</v>
      </c>
      <c r="S428" s="118">
        <v>0</v>
      </c>
      <c r="T428" s="118">
        <v>0</v>
      </c>
      <c r="U428" s="605"/>
      <c r="V428" s="129" t="s">
        <v>802</v>
      </c>
      <c r="W428" s="118">
        <v>0</v>
      </c>
      <c r="X428" s="118">
        <v>0</v>
      </c>
      <c r="Y428" s="118">
        <v>0</v>
      </c>
    </row>
    <row r="429" spans="2:25" x14ac:dyDescent="0.2">
      <c r="B429" s="129" t="s">
        <v>49</v>
      </c>
      <c r="C429" s="118" t="s">
        <v>160</v>
      </c>
      <c r="D429" s="118" t="s">
        <v>160</v>
      </c>
      <c r="E429" s="118" t="s">
        <v>160</v>
      </c>
      <c r="F429" s="118" t="s">
        <v>160</v>
      </c>
      <c r="G429" s="118" t="s">
        <v>160</v>
      </c>
      <c r="H429" s="118" t="s">
        <v>160</v>
      </c>
      <c r="I429" s="118" t="s">
        <v>160</v>
      </c>
      <c r="J429" s="118" t="s">
        <v>160</v>
      </c>
      <c r="K429" s="118">
        <v>0</v>
      </c>
      <c r="L429" s="118" t="s">
        <v>160</v>
      </c>
      <c r="M429" s="118" t="s">
        <v>160</v>
      </c>
      <c r="N429" s="118">
        <v>0</v>
      </c>
      <c r="O429" s="118">
        <v>0</v>
      </c>
      <c r="P429" s="118">
        <v>0</v>
      </c>
      <c r="Q429" s="118">
        <v>0</v>
      </c>
      <c r="R429" s="118">
        <v>0</v>
      </c>
      <c r="S429" s="118">
        <v>0</v>
      </c>
      <c r="T429" s="118">
        <v>0</v>
      </c>
      <c r="U429" s="605"/>
      <c r="V429" s="129" t="s">
        <v>49</v>
      </c>
      <c r="W429" s="118">
        <v>0</v>
      </c>
      <c r="X429" s="118">
        <v>0</v>
      </c>
      <c r="Y429" s="118">
        <v>0</v>
      </c>
    </row>
    <row r="430" spans="2:25" x14ac:dyDescent="0.2">
      <c r="B430" s="126" t="s">
        <v>1356</v>
      </c>
      <c r="C430" s="120">
        <f>SUM(C418:C429)</f>
        <v>59143</v>
      </c>
      <c r="D430" s="120">
        <f t="shared" ref="D430:T430" si="82">SUM(D418:D429)</f>
        <v>39437</v>
      </c>
      <c r="E430" s="120">
        <f t="shared" si="82"/>
        <v>135448</v>
      </c>
      <c r="F430" s="120">
        <f t="shared" si="82"/>
        <v>14459</v>
      </c>
      <c r="G430" s="120">
        <f t="shared" si="82"/>
        <v>49913</v>
      </c>
      <c r="H430" s="120">
        <f t="shared" si="82"/>
        <v>29061</v>
      </c>
      <c r="I430" s="120">
        <f t="shared" si="82"/>
        <v>1548</v>
      </c>
      <c r="J430" s="120">
        <f t="shared" si="82"/>
        <v>0</v>
      </c>
      <c r="K430" s="120">
        <f t="shared" si="82"/>
        <v>0</v>
      </c>
      <c r="L430" s="120">
        <f t="shared" si="82"/>
        <v>0</v>
      </c>
      <c r="M430" s="120">
        <f t="shared" si="82"/>
        <v>0</v>
      </c>
      <c r="N430" s="120">
        <f t="shared" si="82"/>
        <v>0</v>
      </c>
      <c r="O430" s="120">
        <f t="shared" si="82"/>
        <v>0</v>
      </c>
      <c r="P430" s="120">
        <f t="shared" si="82"/>
        <v>0</v>
      </c>
      <c r="Q430" s="120">
        <f t="shared" si="82"/>
        <v>0</v>
      </c>
      <c r="R430" s="120">
        <f t="shared" si="82"/>
        <v>0</v>
      </c>
      <c r="S430" s="120">
        <f t="shared" si="82"/>
        <v>0</v>
      </c>
      <c r="T430" s="120">
        <f t="shared" si="82"/>
        <v>329009</v>
      </c>
      <c r="U430" s="605"/>
      <c r="V430" s="126" t="s">
        <v>1356</v>
      </c>
      <c r="W430" s="120">
        <f>SUM(W418:W429)</f>
        <v>49913</v>
      </c>
      <c r="X430" s="120">
        <f>SUM(X418:X429)</f>
        <v>13729</v>
      </c>
      <c r="Y430" s="120">
        <f>SUM(Y418:Y429)</f>
        <v>63641</v>
      </c>
    </row>
    <row r="432" spans="2:25" x14ac:dyDescent="0.2">
      <c r="B432" s="129" t="s">
        <v>225</v>
      </c>
      <c r="C432" s="118">
        <v>1306</v>
      </c>
      <c r="D432" s="118">
        <v>2270</v>
      </c>
      <c r="E432" s="118">
        <v>1057</v>
      </c>
      <c r="F432" s="118">
        <v>-106</v>
      </c>
      <c r="G432" s="118">
        <v>1548</v>
      </c>
      <c r="H432" s="118">
        <v>1231</v>
      </c>
      <c r="I432" s="118">
        <v>26</v>
      </c>
      <c r="J432" s="118" t="s">
        <v>160</v>
      </c>
      <c r="K432" s="118">
        <v>0</v>
      </c>
      <c r="L432" s="118" t="s">
        <v>160</v>
      </c>
      <c r="M432" s="118" t="s">
        <v>160</v>
      </c>
      <c r="N432" s="118" t="s">
        <v>160</v>
      </c>
      <c r="O432" s="118">
        <v>0</v>
      </c>
      <c r="P432" s="118">
        <v>0</v>
      </c>
      <c r="Q432" s="118">
        <v>0</v>
      </c>
      <c r="R432" s="118">
        <v>0</v>
      </c>
      <c r="S432" s="118">
        <v>0</v>
      </c>
      <c r="T432" s="118">
        <f>SUM(C432:J432)</f>
        <v>7332</v>
      </c>
      <c r="U432" s="605" t="s">
        <v>1250</v>
      </c>
      <c r="V432" s="129" t="s">
        <v>225</v>
      </c>
      <c r="W432" s="118">
        <v>1548</v>
      </c>
      <c r="X432" s="118">
        <v>-116</v>
      </c>
      <c r="Y432" s="118">
        <f>SUM(W432:X432)</f>
        <v>1432</v>
      </c>
    </row>
    <row r="433" spans="2:25" x14ac:dyDescent="0.2">
      <c r="B433" s="129" t="s">
        <v>1056</v>
      </c>
      <c r="C433" s="118" t="s">
        <v>160</v>
      </c>
      <c r="D433" s="118" t="s">
        <v>160</v>
      </c>
      <c r="E433" s="118" t="s">
        <v>160</v>
      </c>
      <c r="F433" s="118" t="s">
        <v>160</v>
      </c>
      <c r="G433" s="118" t="s">
        <v>160</v>
      </c>
      <c r="H433" s="118" t="s">
        <v>160</v>
      </c>
      <c r="I433" s="118" t="s">
        <v>160</v>
      </c>
      <c r="J433" s="118" t="s">
        <v>160</v>
      </c>
      <c r="K433" s="118">
        <v>0</v>
      </c>
      <c r="L433" s="118" t="s">
        <v>160</v>
      </c>
      <c r="M433" s="118" t="s">
        <v>160</v>
      </c>
      <c r="N433" s="118">
        <v>0</v>
      </c>
      <c r="O433" s="118">
        <v>0</v>
      </c>
      <c r="P433" s="118">
        <v>0</v>
      </c>
      <c r="Q433" s="118">
        <v>0</v>
      </c>
      <c r="R433" s="118">
        <v>0</v>
      </c>
      <c r="S433" s="118">
        <v>0</v>
      </c>
      <c r="T433" s="118">
        <f t="shared" ref="T433:T441" si="83">SUM(C433:J433)</f>
        <v>0</v>
      </c>
      <c r="U433" s="605"/>
      <c r="V433" s="129" t="s">
        <v>1056</v>
      </c>
      <c r="W433" s="118">
        <v>0</v>
      </c>
      <c r="X433" s="118">
        <v>0</v>
      </c>
      <c r="Y433" s="118">
        <f>SUM(W433:X433)</f>
        <v>0</v>
      </c>
    </row>
    <row r="434" spans="2:25" x14ac:dyDescent="0.2">
      <c r="B434" s="129" t="s">
        <v>1277</v>
      </c>
      <c r="C434" s="118" t="s">
        <v>160</v>
      </c>
      <c r="D434" s="118" t="s">
        <v>160</v>
      </c>
      <c r="E434" s="118" t="s">
        <v>160</v>
      </c>
      <c r="F434" s="118" t="s">
        <v>160</v>
      </c>
      <c r="G434" s="118" t="s">
        <v>160</v>
      </c>
      <c r="H434" s="118">
        <v>0</v>
      </c>
      <c r="I434" s="118" t="s">
        <v>160</v>
      </c>
      <c r="J434" s="118" t="s">
        <v>160</v>
      </c>
      <c r="K434" s="118" t="s">
        <v>160</v>
      </c>
      <c r="L434" s="118" t="s">
        <v>160</v>
      </c>
      <c r="M434" s="118" t="s">
        <v>160</v>
      </c>
      <c r="N434" s="118" t="s">
        <v>160</v>
      </c>
      <c r="O434" s="118" t="s">
        <v>160</v>
      </c>
      <c r="P434" s="118" t="s">
        <v>160</v>
      </c>
      <c r="Q434" s="118" t="s">
        <v>160</v>
      </c>
      <c r="R434" s="118" t="s">
        <v>160</v>
      </c>
      <c r="S434" s="118" t="s">
        <v>160</v>
      </c>
      <c r="T434" s="118">
        <f t="shared" si="83"/>
        <v>0</v>
      </c>
      <c r="U434" s="605"/>
      <c r="V434" s="129" t="s">
        <v>1277</v>
      </c>
      <c r="W434" s="118">
        <v>0</v>
      </c>
      <c r="X434" s="118">
        <v>0</v>
      </c>
      <c r="Y434" s="118">
        <v>0</v>
      </c>
    </row>
    <row r="435" spans="2:25" x14ac:dyDescent="0.2">
      <c r="B435" s="129" t="s">
        <v>1055</v>
      </c>
      <c r="C435" s="118" t="s">
        <v>160</v>
      </c>
      <c r="D435" s="118" t="s">
        <v>160</v>
      </c>
      <c r="E435" s="261">
        <v>28000</v>
      </c>
      <c r="F435" s="118" t="s">
        <v>160</v>
      </c>
      <c r="G435" s="118">
        <v>0</v>
      </c>
      <c r="H435" s="118">
        <v>0</v>
      </c>
      <c r="I435" s="118" t="s">
        <v>160</v>
      </c>
      <c r="J435" s="118" t="s">
        <v>160</v>
      </c>
      <c r="K435" s="118">
        <v>0</v>
      </c>
      <c r="L435" s="118" t="s">
        <v>160</v>
      </c>
      <c r="M435" s="118" t="s">
        <v>160</v>
      </c>
      <c r="N435" s="118">
        <v>0</v>
      </c>
      <c r="O435" s="118">
        <v>0</v>
      </c>
      <c r="P435" s="118">
        <v>0</v>
      </c>
      <c r="Q435" s="118">
        <v>0</v>
      </c>
      <c r="R435" s="118">
        <v>0</v>
      </c>
      <c r="S435" s="118">
        <v>0</v>
      </c>
      <c r="T435" s="118">
        <f t="shared" si="83"/>
        <v>28000</v>
      </c>
      <c r="U435" s="605"/>
      <c r="V435" s="129" t="s">
        <v>1055</v>
      </c>
      <c r="W435" s="118">
        <v>0</v>
      </c>
      <c r="X435" s="118">
        <v>0</v>
      </c>
      <c r="Y435" s="118">
        <f t="shared" ref="Y435:Y441" si="84">SUM(W435:X435)</f>
        <v>0</v>
      </c>
    </row>
    <row r="436" spans="2:25" x14ac:dyDescent="0.2">
      <c r="B436" s="129" t="s">
        <v>1296</v>
      </c>
      <c r="C436" s="118" t="s">
        <v>160</v>
      </c>
      <c r="D436" s="118" t="s">
        <v>160</v>
      </c>
      <c r="E436" s="118" t="s">
        <v>160</v>
      </c>
      <c r="F436" s="118" t="s">
        <v>160</v>
      </c>
      <c r="G436" s="118" t="s">
        <v>160</v>
      </c>
      <c r="H436" s="118" t="s">
        <v>160</v>
      </c>
      <c r="I436" s="118" t="s">
        <v>160</v>
      </c>
      <c r="J436" s="118" t="s">
        <v>160</v>
      </c>
      <c r="K436" s="118" t="s">
        <v>160</v>
      </c>
      <c r="L436" s="118" t="s">
        <v>160</v>
      </c>
      <c r="M436" s="118" t="s">
        <v>160</v>
      </c>
      <c r="N436" s="118" t="s">
        <v>160</v>
      </c>
      <c r="O436" s="118" t="s">
        <v>160</v>
      </c>
      <c r="P436" s="118" t="s">
        <v>160</v>
      </c>
      <c r="Q436" s="118" t="s">
        <v>160</v>
      </c>
      <c r="R436" s="118" t="s">
        <v>160</v>
      </c>
      <c r="S436" s="118" t="s">
        <v>160</v>
      </c>
      <c r="T436" s="118">
        <f t="shared" si="83"/>
        <v>0</v>
      </c>
      <c r="U436" s="605"/>
      <c r="V436" s="129" t="s">
        <v>1296</v>
      </c>
      <c r="W436" s="118">
        <v>0</v>
      </c>
      <c r="X436" s="118" t="s">
        <v>160</v>
      </c>
      <c r="Y436" s="118">
        <f t="shared" si="84"/>
        <v>0</v>
      </c>
    </row>
    <row r="437" spans="2:25" x14ac:dyDescent="0.2">
      <c r="B437" s="129" t="s">
        <v>1142</v>
      </c>
      <c r="C437" s="118" t="s">
        <v>160</v>
      </c>
      <c r="D437" s="118" t="s">
        <v>160</v>
      </c>
      <c r="E437" s="118" t="s">
        <v>160</v>
      </c>
      <c r="F437" s="118" t="s">
        <v>160</v>
      </c>
      <c r="G437" s="118" t="s">
        <v>160</v>
      </c>
      <c r="H437" s="118" t="s">
        <v>160</v>
      </c>
      <c r="I437" s="118" t="s">
        <v>160</v>
      </c>
      <c r="J437" s="118" t="s">
        <v>160</v>
      </c>
      <c r="K437" s="118">
        <v>0</v>
      </c>
      <c r="L437" s="118" t="s">
        <v>160</v>
      </c>
      <c r="M437" s="118" t="s">
        <v>160</v>
      </c>
      <c r="N437" s="118">
        <v>0</v>
      </c>
      <c r="O437" s="118">
        <v>0</v>
      </c>
      <c r="P437" s="118">
        <v>0</v>
      </c>
      <c r="Q437" s="118">
        <v>0</v>
      </c>
      <c r="R437" s="118">
        <v>0</v>
      </c>
      <c r="S437" s="118">
        <v>0</v>
      </c>
      <c r="T437" s="118">
        <f t="shared" si="83"/>
        <v>0</v>
      </c>
      <c r="U437" s="605"/>
      <c r="V437" s="129" t="s">
        <v>1142</v>
      </c>
      <c r="W437" s="118">
        <v>0</v>
      </c>
      <c r="X437" s="118">
        <v>0</v>
      </c>
      <c r="Y437" s="118">
        <f t="shared" si="84"/>
        <v>0</v>
      </c>
    </row>
    <row r="438" spans="2:25" x14ac:dyDescent="0.2">
      <c r="B438" s="129" t="s">
        <v>756</v>
      </c>
      <c r="C438" s="118" t="s">
        <v>160</v>
      </c>
      <c r="D438" s="118" t="s">
        <v>160</v>
      </c>
      <c r="E438" s="118" t="s">
        <v>160</v>
      </c>
      <c r="F438" s="118" t="s">
        <v>160</v>
      </c>
      <c r="G438" s="118" t="s">
        <v>160</v>
      </c>
      <c r="H438" s="118" t="s">
        <v>160</v>
      </c>
      <c r="I438" s="118" t="s">
        <v>160</v>
      </c>
      <c r="J438" s="118" t="s">
        <v>160</v>
      </c>
      <c r="K438" s="118">
        <v>0</v>
      </c>
      <c r="L438" s="118" t="s">
        <v>160</v>
      </c>
      <c r="M438" s="118" t="s">
        <v>160</v>
      </c>
      <c r="N438" s="118">
        <v>0</v>
      </c>
      <c r="O438" s="118">
        <v>0</v>
      </c>
      <c r="P438" s="118">
        <v>0</v>
      </c>
      <c r="Q438" s="118">
        <v>0</v>
      </c>
      <c r="R438" s="118">
        <v>0</v>
      </c>
      <c r="S438" s="118">
        <v>0</v>
      </c>
      <c r="T438" s="118">
        <f t="shared" si="83"/>
        <v>0</v>
      </c>
      <c r="U438" s="605"/>
      <c r="V438" s="129" t="s">
        <v>756</v>
      </c>
      <c r="W438" s="118">
        <v>0</v>
      </c>
      <c r="X438" s="118">
        <v>0</v>
      </c>
      <c r="Y438" s="118">
        <f t="shared" si="84"/>
        <v>0</v>
      </c>
    </row>
    <row r="439" spans="2:25" x14ac:dyDescent="0.2">
      <c r="B439" s="129" t="s">
        <v>431</v>
      </c>
      <c r="C439" s="118">
        <v>0</v>
      </c>
      <c r="D439" s="118">
        <v>0</v>
      </c>
      <c r="E439" s="118">
        <v>0</v>
      </c>
      <c r="F439" s="118" t="s">
        <v>160</v>
      </c>
      <c r="G439" s="118">
        <v>0</v>
      </c>
      <c r="H439" s="118">
        <v>0</v>
      </c>
      <c r="I439" s="118">
        <v>0</v>
      </c>
      <c r="J439" s="118" t="s">
        <v>160</v>
      </c>
      <c r="K439" s="118">
        <v>0</v>
      </c>
      <c r="L439" s="118" t="s">
        <v>160</v>
      </c>
      <c r="M439" s="118" t="s">
        <v>160</v>
      </c>
      <c r="N439" s="118">
        <v>0</v>
      </c>
      <c r="O439" s="118">
        <v>0</v>
      </c>
      <c r="P439" s="118">
        <v>0</v>
      </c>
      <c r="Q439" s="118">
        <v>0</v>
      </c>
      <c r="R439" s="118">
        <v>0</v>
      </c>
      <c r="S439" s="118">
        <v>0</v>
      </c>
      <c r="T439" s="118">
        <f t="shared" si="83"/>
        <v>0</v>
      </c>
      <c r="U439" s="605"/>
      <c r="V439" s="129" t="s">
        <v>431</v>
      </c>
      <c r="W439" s="118">
        <v>0</v>
      </c>
      <c r="X439" s="118">
        <v>0</v>
      </c>
      <c r="Y439" s="118">
        <f t="shared" si="84"/>
        <v>0</v>
      </c>
    </row>
    <row r="440" spans="2:25" x14ac:dyDescent="0.2">
      <c r="B440" s="129" t="s">
        <v>802</v>
      </c>
      <c r="C440" s="118" t="s">
        <v>160</v>
      </c>
      <c r="D440" s="118" t="s">
        <v>160</v>
      </c>
      <c r="E440" s="118" t="s">
        <v>160</v>
      </c>
      <c r="F440" s="118" t="s">
        <v>160</v>
      </c>
      <c r="G440" s="118" t="s">
        <v>160</v>
      </c>
      <c r="H440" s="118" t="s">
        <v>160</v>
      </c>
      <c r="I440" s="118" t="s">
        <v>160</v>
      </c>
      <c r="J440" s="118" t="s">
        <v>160</v>
      </c>
      <c r="K440" s="118">
        <v>0</v>
      </c>
      <c r="L440" s="118" t="s">
        <v>160</v>
      </c>
      <c r="M440" s="118" t="s">
        <v>160</v>
      </c>
      <c r="N440" s="118">
        <v>0</v>
      </c>
      <c r="O440" s="118">
        <v>0</v>
      </c>
      <c r="P440" s="118">
        <v>0</v>
      </c>
      <c r="Q440" s="118">
        <v>0</v>
      </c>
      <c r="R440" s="118">
        <v>0</v>
      </c>
      <c r="S440" s="118">
        <v>0</v>
      </c>
      <c r="T440" s="118">
        <f t="shared" si="83"/>
        <v>0</v>
      </c>
      <c r="U440" s="605"/>
      <c r="V440" s="129" t="s">
        <v>802</v>
      </c>
      <c r="W440" s="118">
        <v>0</v>
      </c>
      <c r="X440" s="118">
        <v>0</v>
      </c>
      <c r="Y440" s="118">
        <f t="shared" si="84"/>
        <v>0</v>
      </c>
    </row>
    <row r="441" spans="2:25" x14ac:dyDescent="0.2">
      <c r="B441" s="129" t="s">
        <v>49</v>
      </c>
      <c r="C441" s="118" t="s">
        <v>160</v>
      </c>
      <c r="D441" s="118" t="s">
        <v>160</v>
      </c>
      <c r="E441" s="118" t="s">
        <v>160</v>
      </c>
      <c r="F441" s="118" t="s">
        <v>160</v>
      </c>
      <c r="G441" s="118" t="s">
        <v>160</v>
      </c>
      <c r="H441" s="118" t="s">
        <v>160</v>
      </c>
      <c r="I441" s="118" t="s">
        <v>160</v>
      </c>
      <c r="J441" s="118" t="s">
        <v>160</v>
      </c>
      <c r="K441" s="118">
        <v>0</v>
      </c>
      <c r="L441" s="118" t="s">
        <v>160</v>
      </c>
      <c r="M441" s="118" t="s">
        <v>160</v>
      </c>
      <c r="N441" s="118">
        <v>0</v>
      </c>
      <c r="O441" s="118">
        <v>0</v>
      </c>
      <c r="P441" s="118">
        <v>0</v>
      </c>
      <c r="Q441" s="118">
        <v>0</v>
      </c>
      <c r="R441" s="118">
        <v>0</v>
      </c>
      <c r="S441" s="118">
        <v>0</v>
      </c>
      <c r="T441" s="118">
        <f t="shared" si="83"/>
        <v>0</v>
      </c>
      <c r="U441" s="605"/>
      <c r="V441" s="129" t="s">
        <v>49</v>
      </c>
      <c r="W441" s="118">
        <v>0</v>
      </c>
      <c r="X441" s="118">
        <v>0</v>
      </c>
      <c r="Y441" s="118">
        <f t="shared" si="84"/>
        <v>0</v>
      </c>
    </row>
    <row r="442" spans="2:25" x14ac:dyDescent="0.2">
      <c r="B442" s="126" t="s">
        <v>1374</v>
      </c>
      <c r="C442" s="120">
        <f>SUM(C430:C441)</f>
        <v>60449</v>
      </c>
      <c r="D442" s="120">
        <f t="shared" ref="D442:T442" si="85">SUM(D430:D441)</f>
        <v>41707</v>
      </c>
      <c r="E442" s="120">
        <f t="shared" si="85"/>
        <v>164505</v>
      </c>
      <c r="F442" s="120">
        <f t="shared" si="85"/>
        <v>14353</v>
      </c>
      <c r="G442" s="120">
        <f t="shared" si="85"/>
        <v>51461</v>
      </c>
      <c r="H442" s="120">
        <f t="shared" si="85"/>
        <v>30292</v>
      </c>
      <c r="I442" s="120">
        <f t="shared" si="85"/>
        <v>1574</v>
      </c>
      <c r="J442" s="120">
        <f t="shared" si="85"/>
        <v>0</v>
      </c>
      <c r="K442" s="120">
        <f t="shared" si="85"/>
        <v>0</v>
      </c>
      <c r="L442" s="120">
        <f t="shared" si="85"/>
        <v>0</v>
      </c>
      <c r="M442" s="120">
        <f t="shared" si="85"/>
        <v>0</v>
      </c>
      <c r="N442" s="120">
        <f t="shared" si="85"/>
        <v>0</v>
      </c>
      <c r="O442" s="120">
        <f t="shared" si="85"/>
        <v>0</v>
      </c>
      <c r="P442" s="120">
        <f t="shared" si="85"/>
        <v>0</v>
      </c>
      <c r="Q442" s="120">
        <f t="shared" si="85"/>
        <v>0</v>
      </c>
      <c r="R442" s="120">
        <f t="shared" si="85"/>
        <v>0</v>
      </c>
      <c r="S442" s="120">
        <f t="shared" si="85"/>
        <v>0</v>
      </c>
      <c r="T442" s="120">
        <f t="shared" si="85"/>
        <v>364341</v>
      </c>
      <c r="U442" s="605"/>
      <c r="V442" s="126" t="s">
        <v>1374</v>
      </c>
      <c r="W442" s="120">
        <f>SUM(W430:W441)</f>
        <v>51461</v>
      </c>
      <c r="X442" s="120">
        <f>SUM(X430:X441)</f>
        <v>13613</v>
      </c>
      <c r="Y442" s="120">
        <f>SUM(Y430:Y441)</f>
        <v>65073</v>
      </c>
    </row>
  </sheetData>
  <pageMargins left="0.511811024" right="0.511811024" top="0.78740157499999996" bottom="0.78740157499999996" header="0.31496062000000002" footer="0.31496062000000002"/>
  <pageSetup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34">
    <pageSetUpPr autoPageBreaks="0"/>
  </sheetPr>
  <dimension ref="A1:L432"/>
  <sheetViews>
    <sheetView showGridLines="0" zoomScaleNormal="100" workbookViewId="0">
      <pane xSplit="1" ySplit="5" topLeftCell="B6" activePane="bottomRight" state="frozen"/>
      <selection activeCell="N57" sqref="N57"/>
      <selection pane="topRight" activeCell="N57" sqref="N57"/>
      <selection pane="bottomLeft" activeCell="N57" sqref="N57"/>
      <selection pane="bottomRight" activeCell="E2" sqref="E2"/>
    </sheetView>
  </sheetViews>
  <sheetFormatPr defaultRowHeight="12.75" outlineLevelCol="1" x14ac:dyDescent="0.2"/>
  <cols>
    <col min="1" max="1" width="1.42578125" customWidth="1"/>
    <col min="2" max="2" width="21.42578125" customWidth="1"/>
    <col min="3" max="6" width="10.85546875" customWidth="1"/>
    <col min="7" max="8" width="10.85546875" customWidth="1" outlineLevel="1"/>
    <col min="9" max="9" width="10.85546875" customWidth="1"/>
    <col min="10" max="10" width="10.140625" bestFit="1" customWidth="1"/>
    <col min="11" max="11" width="11.140625" bestFit="1" customWidth="1"/>
    <col min="13" max="13" width="10.140625" bestFit="1" customWidth="1"/>
  </cols>
  <sheetData>
    <row r="1" spans="2:9" ht="7.5" customHeight="1" x14ac:dyDescent="0.2"/>
    <row r="2" spans="2:9" ht="12.75" customHeight="1" x14ac:dyDescent="0.2"/>
    <row r="3" spans="2:9" ht="12.75" customHeight="1" x14ac:dyDescent="0.2"/>
    <row r="4" spans="2:9" ht="12.75" customHeight="1" x14ac:dyDescent="0.2"/>
    <row r="5" spans="2:9" ht="38.25" x14ac:dyDescent="0.2">
      <c r="B5" s="141" t="s">
        <v>89</v>
      </c>
      <c r="C5" s="139" t="s">
        <v>234</v>
      </c>
      <c r="D5" s="139" t="s">
        <v>1429</v>
      </c>
      <c r="E5" s="139" t="s">
        <v>43</v>
      </c>
      <c r="F5" s="139" t="s">
        <v>1430</v>
      </c>
      <c r="G5" s="139" t="s">
        <v>13</v>
      </c>
      <c r="H5" s="139" t="s">
        <v>1431</v>
      </c>
      <c r="I5" s="139" t="s">
        <v>1432</v>
      </c>
    </row>
    <row r="6" spans="2:9" x14ac:dyDescent="0.2">
      <c r="B6" s="129" t="s">
        <v>213</v>
      </c>
      <c r="C6" s="118">
        <v>107279</v>
      </c>
      <c r="D6" s="118">
        <v>53193</v>
      </c>
      <c r="E6" s="118">
        <v>54086</v>
      </c>
      <c r="F6" s="118">
        <v>22794</v>
      </c>
      <c r="G6" s="118">
        <v>3190</v>
      </c>
      <c r="H6" s="118">
        <v>2525</v>
      </c>
      <c r="I6" s="118">
        <v>1306</v>
      </c>
    </row>
    <row r="7" spans="2:9" x14ac:dyDescent="0.2">
      <c r="B7" s="129" t="s">
        <v>599</v>
      </c>
      <c r="C7" s="118">
        <v>53642</v>
      </c>
      <c r="D7" s="118">
        <v>11935</v>
      </c>
      <c r="E7" s="118">
        <v>41707</v>
      </c>
      <c r="F7" s="118">
        <v>17933</v>
      </c>
      <c r="G7" s="118">
        <v>4428</v>
      </c>
      <c r="H7" s="118">
        <v>3291</v>
      </c>
      <c r="I7" s="118">
        <v>2270</v>
      </c>
    </row>
    <row r="8" spans="2:9" x14ac:dyDescent="0.2">
      <c r="B8" s="129" t="s">
        <v>215</v>
      </c>
      <c r="C8" s="118">
        <v>185696</v>
      </c>
      <c r="D8" s="118">
        <v>21191</v>
      </c>
      <c r="E8" s="118">
        <v>164505</v>
      </c>
      <c r="F8" s="118">
        <v>1769</v>
      </c>
      <c r="G8" s="118">
        <v>979</v>
      </c>
      <c r="H8" s="118">
        <v>952</v>
      </c>
      <c r="I8" s="118">
        <v>1057</v>
      </c>
    </row>
    <row r="9" spans="2:9" x14ac:dyDescent="0.2">
      <c r="B9" s="129" t="s">
        <v>766</v>
      </c>
      <c r="C9" s="118">
        <v>14356</v>
      </c>
      <c r="D9" s="118">
        <v>3</v>
      </c>
      <c r="E9" s="118">
        <v>14353</v>
      </c>
      <c r="F9" s="118">
        <v>0</v>
      </c>
      <c r="G9" s="118">
        <v>-1</v>
      </c>
      <c r="H9" s="118">
        <v>-1</v>
      </c>
      <c r="I9" s="118">
        <v>-106</v>
      </c>
    </row>
    <row r="10" spans="2:9" x14ac:dyDescent="0.2">
      <c r="B10" s="129" t="s">
        <v>1337</v>
      </c>
      <c r="C10" s="118">
        <v>47199</v>
      </c>
      <c r="D10" s="118">
        <v>16907</v>
      </c>
      <c r="E10" s="118">
        <v>30292</v>
      </c>
      <c r="F10" s="118">
        <v>16975</v>
      </c>
      <c r="G10" s="118">
        <v>5192</v>
      </c>
      <c r="H10" s="118">
        <v>1976</v>
      </c>
      <c r="I10" s="118">
        <v>1231</v>
      </c>
    </row>
    <row r="11" spans="2:9" x14ac:dyDescent="0.2">
      <c r="B11" s="129" t="s">
        <v>1354</v>
      </c>
      <c r="C11" s="118">
        <v>3991</v>
      </c>
      <c r="D11" s="118">
        <v>1442</v>
      </c>
      <c r="E11" s="118">
        <v>2549</v>
      </c>
      <c r="F11" s="118">
        <v>2654</v>
      </c>
      <c r="G11" s="118">
        <v>247</v>
      </c>
      <c r="H11" s="118">
        <v>-323</v>
      </c>
      <c r="I11" s="118">
        <v>-161</v>
      </c>
    </row>
    <row r="12" spans="2:9" x14ac:dyDescent="0.2">
      <c r="B12" s="129" t="s">
        <v>1285</v>
      </c>
      <c r="C12" s="118">
        <v>1615</v>
      </c>
      <c r="D12" s="118">
        <v>40</v>
      </c>
      <c r="E12" s="118">
        <v>1575</v>
      </c>
      <c r="F12" s="118">
        <v>0</v>
      </c>
      <c r="G12" s="118">
        <v>0</v>
      </c>
      <c r="H12" s="118">
        <v>-1</v>
      </c>
      <c r="I12" s="118">
        <v>26</v>
      </c>
    </row>
    <row r="13" spans="2:9" x14ac:dyDescent="0.2">
      <c r="B13" s="126" t="s">
        <v>1376</v>
      </c>
      <c r="C13" s="120">
        <f t="shared" ref="C13:H13" si="0">SUM(C6:C12)</f>
        <v>413778</v>
      </c>
      <c r="D13" s="120">
        <f t="shared" si="0"/>
        <v>104711</v>
      </c>
      <c r="E13" s="120">
        <f t="shared" si="0"/>
        <v>309067</v>
      </c>
      <c r="F13" s="120">
        <f t="shared" si="0"/>
        <v>62125</v>
      </c>
      <c r="G13" s="120">
        <f t="shared" si="0"/>
        <v>14035</v>
      </c>
      <c r="H13" s="120">
        <f t="shared" si="0"/>
        <v>8419</v>
      </c>
      <c r="I13" s="120">
        <f>SUM(I6:I12)</f>
        <v>5623</v>
      </c>
    </row>
    <row r="14" spans="2:9" x14ac:dyDescent="0.2">
      <c r="B14" s="1154" t="s">
        <v>1340</v>
      </c>
      <c r="C14" s="183"/>
      <c r="D14" s="183"/>
      <c r="E14" s="183"/>
      <c r="F14" s="183"/>
      <c r="G14" s="183"/>
      <c r="H14" s="183"/>
      <c r="I14" s="183"/>
    </row>
    <row r="15" spans="2:9" x14ac:dyDescent="0.2">
      <c r="B15" s="129" t="s">
        <v>213</v>
      </c>
      <c r="C15" s="118">
        <v>107041</v>
      </c>
      <c r="D15" s="118">
        <v>54261</v>
      </c>
      <c r="E15" s="118">
        <v>52780</v>
      </c>
      <c r="F15" s="118">
        <v>99327</v>
      </c>
      <c r="G15" s="118">
        <v>13433</v>
      </c>
      <c r="H15" s="118">
        <v>3764</v>
      </c>
      <c r="I15" s="118">
        <v>1487</v>
      </c>
    </row>
    <row r="16" spans="2:9" x14ac:dyDescent="0.2">
      <c r="B16" s="129" t="s">
        <v>599</v>
      </c>
      <c r="C16" s="118">
        <v>51150</v>
      </c>
      <c r="D16" s="118">
        <v>11713</v>
      </c>
      <c r="E16" s="118">
        <v>39437</v>
      </c>
      <c r="F16" s="118">
        <v>63728</v>
      </c>
      <c r="G16" s="118">
        <v>13377</v>
      </c>
      <c r="H16" s="118">
        <v>10178</v>
      </c>
      <c r="I16" s="118">
        <v>7207</v>
      </c>
    </row>
    <row r="17" spans="2:9" x14ac:dyDescent="0.2">
      <c r="B17" s="129" t="s">
        <v>215</v>
      </c>
      <c r="C17" s="118">
        <v>158445</v>
      </c>
      <c r="D17" s="118">
        <v>22997</v>
      </c>
      <c r="E17" s="118">
        <v>135448</v>
      </c>
      <c r="F17" s="118">
        <v>6889</v>
      </c>
      <c r="G17" s="118">
        <v>3574</v>
      </c>
      <c r="H17" s="118">
        <v>3345</v>
      </c>
      <c r="I17" s="118">
        <v>3867</v>
      </c>
    </row>
    <row r="18" spans="2:9" x14ac:dyDescent="0.2">
      <c r="B18" s="129" t="s">
        <v>766</v>
      </c>
      <c r="C18" s="118">
        <v>14460</v>
      </c>
      <c r="D18" s="118">
        <v>1</v>
      </c>
      <c r="E18" s="118">
        <v>14459</v>
      </c>
      <c r="F18" s="118">
        <v>0</v>
      </c>
      <c r="G18" s="118">
        <v>-1</v>
      </c>
      <c r="H18" s="118">
        <v>-3</v>
      </c>
      <c r="I18" s="118">
        <v>-1342</v>
      </c>
    </row>
    <row r="19" spans="2:9" x14ac:dyDescent="0.2">
      <c r="B19" s="129" t="s">
        <v>1337</v>
      </c>
      <c r="C19" s="118">
        <v>44746</v>
      </c>
      <c r="D19" s="118">
        <v>15685</v>
      </c>
      <c r="E19" s="118">
        <v>29061</v>
      </c>
      <c r="F19" s="118">
        <v>58567</v>
      </c>
      <c r="G19" s="118">
        <v>19567</v>
      </c>
      <c r="H19" s="118">
        <v>11875</v>
      </c>
      <c r="I19" s="118">
        <v>6964</v>
      </c>
    </row>
    <row r="20" spans="2:9" x14ac:dyDescent="0.2">
      <c r="B20" s="129" t="s">
        <v>1354</v>
      </c>
      <c r="C20" s="118">
        <v>3961</v>
      </c>
      <c r="D20" s="118">
        <v>1252</v>
      </c>
      <c r="E20" s="118">
        <v>2709</v>
      </c>
      <c r="F20" s="118">
        <v>4795</v>
      </c>
      <c r="G20" s="118">
        <v>-227</v>
      </c>
      <c r="H20" s="118">
        <v>-1420</v>
      </c>
      <c r="I20" s="118">
        <v>-1568</v>
      </c>
    </row>
    <row r="21" spans="2:9" x14ac:dyDescent="0.2">
      <c r="B21" s="129" t="s">
        <v>1285</v>
      </c>
      <c r="C21" s="118">
        <v>1588</v>
      </c>
      <c r="D21" s="118">
        <v>39</v>
      </c>
      <c r="E21" s="118">
        <v>1549</v>
      </c>
      <c r="F21" s="118">
        <v>0</v>
      </c>
      <c r="G21" s="118">
        <v>0</v>
      </c>
      <c r="H21" s="118">
        <v>-18</v>
      </c>
      <c r="I21" s="118">
        <v>134</v>
      </c>
    </row>
    <row r="22" spans="2:9" x14ac:dyDescent="0.2">
      <c r="B22" s="126" t="s">
        <v>1363</v>
      </c>
      <c r="C22" s="120">
        <f t="shared" ref="C22:H22" si="1">SUM(C15:C21)</f>
        <v>381391</v>
      </c>
      <c r="D22" s="120">
        <f t="shared" si="1"/>
        <v>105948</v>
      </c>
      <c r="E22" s="120">
        <f t="shared" si="1"/>
        <v>275443</v>
      </c>
      <c r="F22" s="120">
        <f t="shared" si="1"/>
        <v>233306</v>
      </c>
      <c r="G22" s="120">
        <f t="shared" si="1"/>
        <v>49723</v>
      </c>
      <c r="H22" s="120">
        <f t="shared" si="1"/>
        <v>27721</v>
      </c>
      <c r="I22" s="120">
        <f>SUM(I15:I21)</f>
        <v>16749</v>
      </c>
    </row>
    <row r="23" spans="2:9" x14ac:dyDescent="0.2">
      <c r="B23" s="1154" t="s">
        <v>1340</v>
      </c>
      <c r="C23" s="183"/>
      <c r="D23" s="183"/>
      <c r="E23" s="183"/>
      <c r="F23" s="183"/>
      <c r="G23" s="183"/>
      <c r="H23" s="183"/>
      <c r="I23" s="183"/>
    </row>
    <row r="24" spans="2:9" x14ac:dyDescent="0.2">
      <c r="B24" s="129" t="s">
        <v>213</v>
      </c>
      <c r="C24" s="118">
        <v>111865</v>
      </c>
      <c r="D24" s="118">
        <v>57078</v>
      </c>
      <c r="E24" s="118">
        <v>54787</v>
      </c>
      <c r="F24" s="118">
        <v>78712</v>
      </c>
      <c r="G24" s="118">
        <v>13124</v>
      </c>
      <c r="H24" s="118">
        <v>6223</v>
      </c>
      <c r="I24" s="118">
        <v>3495</v>
      </c>
    </row>
    <row r="25" spans="2:9" x14ac:dyDescent="0.2">
      <c r="B25" s="129" t="s">
        <v>599</v>
      </c>
      <c r="C25" s="118">
        <v>47059</v>
      </c>
      <c r="D25" s="118">
        <v>9798</v>
      </c>
      <c r="E25" s="118">
        <v>37261</v>
      </c>
      <c r="F25" s="118">
        <v>45989</v>
      </c>
      <c r="G25" s="118">
        <v>9329</v>
      </c>
      <c r="H25" s="118">
        <v>7033</v>
      </c>
      <c r="I25" s="118">
        <v>5031</v>
      </c>
    </row>
    <row r="26" spans="2:9" x14ac:dyDescent="0.2">
      <c r="B26" s="129" t="s">
        <v>215</v>
      </c>
      <c r="C26" s="118">
        <v>134994</v>
      </c>
      <c r="D26" s="118">
        <v>268</v>
      </c>
      <c r="E26" s="118">
        <v>134726</v>
      </c>
      <c r="F26" s="118">
        <v>5139</v>
      </c>
      <c r="G26" s="118">
        <v>2770</v>
      </c>
      <c r="H26" s="118">
        <v>2552</v>
      </c>
      <c r="I26" s="118">
        <v>3145</v>
      </c>
    </row>
    <row r="27" spans="2:9" x14ac:dyDescent="0.2">
      <c r="B27" s="129" t="s">
        <v>766</v>
      </c>
      <c r="C27" s="118">
        <v>14656</v>
      </c>
      <c r="D27" s="118">
        <v>1</v>
      </c>
      <c r="E27" s="118">
        <v>14655</v>
      </c>
      <c r="F27" s="118">
        <v>0</v>
      </c>
      <c r="G27" s="118">
        <v>-1</v>
      </c>
      <c r="H27" s="118">
        <v>-2</v>
      </c>
      <c r="I27" s="118">
        <v>-1146</v>
      </c>
    </row>
    <row r="28" spans="2:9" x14ac:dyDescent="0.2">
      <c r="B28" s="129" t="s">
        <v>1337</v>
      </c>
      <c r="C28" s="118">
        <v>43495</v>
      </c>
      <c r="D28" s="118">
        <v>15046</v>
      </c>
      <c r="E28" s="118">
        <v>28449</v>
      </c>
      <c r="F28" s="118">
        <v>42271</v>
      </c>
      <c r="G28" s="118">
        <v>14315</v>
      </c>
      <c r="H28" s="118">
        <v>8940</v>
      </c>
      <c r="I28" s="118">
        <v>6352</v>
      </c>
    </row>
    <row r="29" spans="2:9" x14ac:dyDescent="0.2">
      <c r="B29" s="129" t="s">
        <v>1354</v>
      </c>
      <c r="C29" s="118">
        <v>5037</v>
      </c>
      <c r="D29" s="118">
        <v>892</v>
      </c>
      <c r="E29" s="118">
        <v>4145</v>
      </c>
      <c r="F29" s="118">
        <v>1916</v>
      </c>
      <c r="G29" s="118">
        <v>253</v>
      </c>
      <c r="H29" s="118">
        <v>-60</v>
      </c>
      <c r="I29" s="118">
        <v>-132</v>
      </c>
    </row>
    <row r="30" spans="2:9" x14ac:dyDescent="0.2">
      <c r="B30" s="129" t="s">
        <v>1285</v>
      </c>
      <c r="C30" s="118">
        <v>1582</v>
      </c>
      <c r="D30" s="118">
        <v>61</v>
      </c>
      <c r="E30" s="118">
        <v>1521</v>
      </c>
      <c r="F30" s="118">
        <v>0</v>
      </c>
      <c r="G30" s="118">
        <v>0</v>
      </c>
      <c r="H30" s="118">
        <v>-17</v>
      </c>
      <c r="I30" s="118">
        <v>106</v>
      </c>
    </row>
    <row r="31" spans="2:9" x14ac:dyDescent="0.2">
      <c r="B31" s="126" t="s">
        <v>1343</v>
      </c>
      <c r="C31" s="120">
        <f t="shared" ref="C31:H31" si="2">SUM(C24:C30)</f>
        <v>358688</v>
      </c>
      <c r="D31" s="120">
        <f t="shared" si="2"/>
        <v>83144</v>
      </c>
      <c r="E31" s="120">
        <f t="shared" si="2"/>
        <v>275544</v>
      </c>
      <c r="F31" s="120">
        <f t="shared" si="2"/>
        <v>174027</v>
      </c>
      <c r="G31" s="120">
        <f t="shared" si="2"/>
        <v>39790</v>
      </c>
      <c r="H31" s="120">
        <f t="shared" si="2"/>
        <v>24669</v>
      </c>
      <c r="I31" s="120">
        <f>SUM(I24:I30)</f>
        <v>16851</v>
      </c>
    </row>
    <row r="32" spans="2:9" x14ac:dyDescent="0.2">
      <c r="B32" s="1154" t="s">
        <v>1340</v>
      </c>
      <c r="C32" s="183"/>
      <c r="D32" s="183"/>
      <c r="E32" s="183"/>
      <c r="F32" s="183"/>
      <c r="G32" s="183"/>
      <c r="H32" s="183"/>
      <c r="I32" s="183"/>
    </row>
    <row r="33" spans="1:9" x14ac:dyDescent="0.2">
      <c r="B33" s="129" t="s">
        <v>213</v>
      </c>
      <c r="C33" s="118">
        <v>115548</v>
      </c>
      <c r="D33" s="118">
        <v>59967</v>
      </c>
      <c r="E33" s="118">
        <v>55581</v>
      </c>
      <c r="F33" s="118">
        <v>59927</v>
      </c>
      <c r="G33" s="118">
        <v>11654</v>
      </c>
      <c r="H33" s="118">
        <v>6824</v>
      </c>
      <c r="I33" s="118">
        <v>4289</v>
      </c>
    </row>
    <row r="34" spans="1:9" x14ac:dyDescent="0.2">
      <c r="B34" s="129" t="s">
        <v>599</v>
      </c>
      <c r="C34" s="118">
        <v>44709</v>
      </c>
      <c r="D34" s="118">
        <v>9256</v>
      </c>
      <c r="E34" s="118">
        <v>35453</v>
      </c>
      <c r="F34" s="118">
        <v>30456</v>
      </c>
      <c r="G34" s="118">
        <v>6235</v>
      </c>
      <c r="H34" s="118">
        <v>4566</v>
      </c>
      <c r="I34" s="118">
        <v>3223</v>
      </c>
    </row>
    <row r="35" spans="1:9" x14ac:dyDescent="0.2">
      <c r="B35" s="129" t="s">
        <v>215</v>
      </c>
      <c r="C35" s="118">
        <v>134093</v>
      </c>
      <c r="D35" s="118">
        <v>413</v>
      </c>
      <c r="E35" s="118">
        <v>133680</v>
      </c>
      <c r="F35" s="118">
        <v>3407</v>
      </c>
      <c r="G35" s="118">
        <v>1828</v>
      </c>
      <c r="H35" s="118">
        <v>1717</v>
      </c>
      <c r="I35" s="118">
        <v>2100</v>
      </c>
    </row>
    <row r="36" spans="1:9" x14ac:dyDescent="0.2">
      <c r="B36" s="129" t="s">
        <v>766</v>
      </c>
      <c r="C36" s="118">
        <v>15032</v>
      </c>
      <c r="D36" s="118">
        <v>3</v>
      </c>
      <c r="E36" s="118">
        <v>15029</v>
      </c>
      <c r="F36" s="118">
        <v>0</v>
      </c>
      <c r="G36" s="118">
        <v>-1</v>
      </c>
      <c r="H36" s="118">
        <v>-2</v>
      </c>
      <c r="I36" s="118">
        <v>-772</v>
      </c>
    </row>
    <row r="37" spans="1:9" x14ac:dyDescent="0.2">
      <c r="B37" s="129" t="s">
        <v>1337</v>
      </c>
      <c r="C37" s="118">
        <v>33905</v>
      </c>
      <c r="D37" s="118">
        <v>7661</v>
      </c>
      <c r="E37" s="118">
        <v>26244</v>
      </c>
      <c r="F37" s="118">
        <v>27231</v>
      </c>
      <c r="G37" s="118">
        <v>9662</v>
      </c>
      <c r="H37" s="118">
        <v>5840</v>
      </c>
      <c r="I37" s="118">
        <v>4147</v>
      </c>
    </row>
    <row r="38" spans="1:9" x14ac:dyDescent="0.2">
      <c r="B38" s="129" t="s">
        <v>1285</v>
      </c>
      <c r="C38" s="118">
        <v>1560</v>
      </c>
      <c r="D38" s="118">
        <v>107</v>
      </c>
      <c r="E38" s="118">
        <v>1453</v>
      </c>
      <c r="F38" s="118">
        <v>0</v>
      </c>
      <c r="G38" s="118">
        <v>0</v>
      </c>
      <c r="H38" s="118">
        <v>-11</v>
      </c>
      <c r="I38" s="118">
        <v>38</v>
      </c>
    </row>
    <row r="39" spans="1:9" x14ac:dyDescent="0.2">
      <c r="B39" s="126" t="s">
        <v>1336</v>
      </c>
      <c r="C39" s="120">
        <f t="shared" ref="C39:I39" si="3">SUM(C33:C38)</f>
        <v>344847</v>
      </c>
      <c r="D39" s="120">
        <f t="shared" si="3"/>
        <v>77407</v>
      </c>
      <c r="E39" s="120">
        <f t="shared" si="3"/>
        <v>267440</v>
      </c>
      <c r="F39" s="120">
        <f t="shared" si="3"/>
        <v>121021</v>
      </c>
      <c r="G39" s="120">
        <f t="shared" si="3"/>
        <v>29378</v>
      </c>
      <c r="H39" s="120">
        <f t="shared" si="3"/>
        <v>18934</v>
      </c>
      <c r="I39" s="120">
        <f t="shared" si="3"/>
        <v>13025</v>
      </c>
    </row>
    <row r="40" spans="1:9" x14ac:dyDescent="0.2">
      <c r="A40" s="28"/>
      <c r="B40" s="1154" t="s">
        <v>1340</v>
      </c>
      <c r="C40" s="183"/>
      <c r="D40" s="183"/>
      <c r="E40" s="183"/>
      <c r="F40" s="183"/>
      <c r="G40" s="183"/>
      <c r="H40" s="183"/>
      <c r="I40" s="183"/>
    </row>
    <row r="41" spans="1:9" x14ac:dyDescent="0.2">
      <c r="B41" s="129" t="s">
        <v>213</v>
      </c>
      <c r="C41" s="118">
        <v>137054</v>
      </c>
      <c r="D41" s="118">
        <v>62190</v>
      </c>
      <c r="E41" s="118">
        <v>74864</v>
      </c>
      <c r="F41" s="118">
        <v>30747</v>
      </c>
      <c r="G41" s="118">
        <v>5704</v>
      </c>
      <c r="H41" s="118">
        <v>3347</v>
      </c>
      <c r="I41" s="118">
        <v>2080</v>
      </c>
    </row>
    <row r="42" spans="1:9" x14ac:dyDescent="0.2">
      <c r="B42" s="129" t="s">
        <v>599</v>
      </c>
      <c r="C42" s="118">
        <v>44352</v>
      </c>
      <c r="D42" s="118">
        <v>8938</v>
      </c>
      <c r="E42" s="118">
        <v>35414</v>
      </c>
      <c r="F42" s="118">
        <v>15054</v>
      </c>
      <c r="G42" s="118">
        <v>3142</v>
      </c>
      <c r="H42" s="118">
        <v>2311</v>
      </c>
      <c r="I42" s="118">
        <v>1615</v>
      </c>
    </row>
    <row r="43" spans="1:9" x14ac:dyDescent="0.2">
      <c r="B43" s="129" t="s">
        <v>215</v>
      </c>
      <c r="C43" s="118">
        <v>136129</v>
      </c>
      <c r="D43" s="118">
        <v>215</v>
      </c>
      <c r="E43" s="118">
        <v>135914</v>
      </c>
      <c r="F43" s="118">
        <v>1692</v>
      </c>
      <c r="G43" s="118">
        <v>902</v>
      </c>
      <c r="H43" s="118">
        <v>846</v>
      </c>
      <c r="I43" s="118">
        <v>1003</v>
      </c>
    </row>
    <row r="44" spans="1:9" x14ac:dyDescent="0.2">
      <c r="B44" s="129" t="s">
        <v>766</v>
      </c>
      <c r="C44" s="118">
        <v>15410</v>
      </c>
      <c r="D44" s="118">
        <v>2</v>
      </c>
      <c r="E44" s="118">
        <v>15408</v>
      </c>
      <c r="F44" s="118">
        <v>0</v>
      </c>
      <c r="G44" s="118">
        <v>-1</v>
      </c>
      <c r="H44" s="118">
        <v>-2</v>
      </c>
      <c r="I44" s="118">
        <v>-393</v>
      </c>
    </row>
    <row r="45" spans="1:9" x14ac:dyDescent="0.2">
      <c r="B45" s="129" t="s">
        <v>1337</v>
      </c>
      <c r="C45" s="118">
        <v>18505</v>
      </c>
      <c r="D45" s="118">
        <v>7089</v>
      </c>
      <c r="E45" s="118">
        <v>11416</v>
      </c>
      <c r="F45" s="118">
        <v>10647</v>
      </c>
      <c r="G45" s="118">
        <v>3088</v>
      </c>
      <c r="H45" s="118">
        <v>1256</v>
      </c>
      <c r="I45" s="118">
        <v>991</v>
      </c>
    </row>
    <row r="46" spans="1:9" x14ac:dyDescent="0.2">
      <c r="B46" s="129" t="s">
        <v>1285</v>
      </c>
      <c r="C46" s="118">
        <v>1560</v>
      </c>
      <c r="D46" s="118">
        <v>106</v>
      </c>
      <c r="E46" s="118">
        <v>1454</v>
      </c>
      <c r="F46" s="118">
        <v>0</v>
      </c>
      <c r="G46" s="118">
        <v>0</v>
      </c>
      <c r="H46" s="118">
        <v>-7</v>
      </c>
      <c r="I46" s="118">
        <v>16</v>
      </c>
    </row>
    <row r="47" spans="1:9" x14ac:dyDescent="0.2">
      <c r="B47" s="126" t="s">
        <v>1332</v>
      </c>
      <c r="C47" s="120">
        <f t="shared" ref="C47:I47" si="4">SUM(C41:C46)</f>
        <v>353010</v>
      </c>
      <c r="D47" s="120">
        <f t="shared" si="4"/>
        <v>78540</v>
      </c>
      <c r="E47" s="120">
        <f>SUM(E41:E46)</f>
        <v>274470</v>
      </c>
      <c r="F47" s="120">
        <f t="shared" si="4"/>
        <v>58140</v>
      </c>
      <c r="G47" s="120">
        <f t="shared" si="4"/>
        <v>12835</v>
      </c>
      <c r="H47" s="120">
        <f t="shared" si="4"/>
        <v>7751</v>
      </c>
      <c r="I47" s="120">
        <f t="shared" si="4"/>
        <v>5312</v>
      </c>
    </row>
    <row r="48" spans="1:9" x14ac:dyDescent="0.2">
      <c r="A48" s="28"/>
      <c r="B48" s="1154" t="s">
        <v>1286</v>
      </c>
      <c r="C48" s="183"/>
      <c r="D48" s="183"/>
      <c r="E48" s="183"/>
      <c r="F48" s="183"/>
      <c r="G48" s="183"/>
      <c r="H48" s="183"/>
      <c r="I48" s="183"/>
    </row>
    <row r="49" spans="1:9" x14ac:dyDescent="0.2">
      <c r="B49" s="129" t="s">
        <v>213</v>
      </c>
      <c r="C49" s="118">
        <v>116601</v>
      </c>
      <c r="D49" s="118">
        <v>43815</v>
      </c>
      <c r="E49" s="118">
        <v>72786</v>
      </c>
      <c r="F49" s="118">
        <v>115261</v>
      </c>
      <c r="G49" s="118">
        <v>18577</v>
      </c>
      <c r="H49" s="118">
        <v>10047</v>
      </c>
      <c r="I49" s="118">
        <v>7215</v>
      </c>
    </row>
    <row r="50" spans="1:9" x14ac:dyDescent="0.2">
      <c r="B50" s="129" t="s">
        <v>599</v>
      </c>
      <c r="C50" s="118">
        <v>39462</v>
      </c>
      <c r="D50" s="118">
        <v>5663</v>
      </c>
      <c r="E50" s="118">
        <v>33799</v>
      </c>
      <c r="F50" s="118">
        <v>54905</v>
      </c>
      <c r="G50" s="118">
        <v>11067</v>
      </c>
      <c r="H50" s="118">
        <v>7811</v>
      </c>
      <c r="I50" s="118">
        <v>5506</v>
      </c>
    </row>
    <row r="51" spans="1:9" x14ac:dyDescent="0.2">
      <c r="B51" s="129" t="s">
        <v>215</v>
      </c>
      <c r="C51" s="118">
        <v>135206</v>
      </c>
      <c r="D51" s="118">
        <v>295</v>
      </c>
      <c r="E51" s="118">
        <v>134911</v>
      </c>
      <c r="F51" s="118">
        <v>6574</v>
      </c>
      <c r="G51" s="118">
        <v>3410</v>
      </c>
      <c r="H51" s="118">
        <v>3225</v>
      </c>
      <c r="I51" s="118">
        <v>3506</v>
      </c>
    </row>
    <row r="52" spans="1:9" x14ac:dyDescent="0.2">
      <c r="B52" s="129" t="s">
        <v>766</v>
      </c>
      <c r="C52" s="118">
        <v>15802</v>
      </c>
      <c r="D52" s="118">
        <v>1</v>
      </c>
      <c r="E52" s="118">
        <v>15801</v>
      </c>
      <c r="F52" s="118">
        <v>0</v>
      </c>
      <c r="G52" s="118">
        <v>-1</v>
      </c>
      <c r="H52" s="118">
        <v>-8</v>
      </c>
      <c r="I52" s="118">
        <v>-1032</v>
      </c>
    </row>
    <row r="53" spans="1:9" x14ac:dyDescent="0.2">
      <c r="B53" s="129" t="s">
        <v>217</v>
      </c>
      <c r="C53" s="118" t="s">
        <v>160</v>
      </c>
      <c r="D53" s="118" t="s">
        <v>160</v>
      </c>
      <c r="E53" s="118" t="s">
        <v>160</v>
      </c>
      <c r="F53" s="118">
        <v>32712</v>
      </c>
      <c r="G53" s="118">
        <v>4664</v>
      </c>
      <c r="H53" s="118">
        <v>3571</v>
      </c>
      <c r="I53" s="118">
        <v>5025</v>
      </c>
    </row>
    <row r="54" spans="1:9" x14ac:dyDescent="0.2">
      <c r="B54" s="129" t="s">
        <v>1285</v>
      </c>
      <c r="C54" s="118">
        <v>17240</v>
      </c>
      <c r="D54" s="118">
        <v>5377</v>
      </c>
      <c r="E54" s="118">
        <v>11863</v>
      </c>
      <c r="F54" s="118">
        <v>42747</v>
      </c>
      <c r="G54" s="118">
        <v>13733</v>
      </c>
      <c r="H54" s="118">
        <v>7161</v>
      </c>
      <c r="I54" s="118">
        <v>4984</v>
      </c>
    </row>
    <row r="55" spans="1:9" x14ac:dyDescent="0.2">
      <c r="B55" s="126" t="s">
        <v>1309</v>
      </c>
      <c r="C55" s="120">
        <f t="shared" ref="C55:I55" si="5">SUM(C49:C54)</f>
        <v>324311</v>
      </c>
      <c r="D55" s="120">
        <f t="shared" si="5"/>
        <v>55151</v>
      </c>
      <c r="E55" s="120">
        <f t="shared" si="5"/>
        <v>269160</v>
      </c>
      <c r="F55" s="120">
        <f t="shared" si="5"/>
        <v>252199</v>
      </c>
      <c r="G55" s="120">
        <f t="shared" si="5"/>
        <v>51450</v>
      </c>
      <c r="H55" s="120">
        <f t="shared" si="5"/>
        <v>31807</v>
      </c>
      <c r="I55" s="120">
        <f t="shared" si="5"/>
        <v>25204</v>
      </c>
    </row>
    <row r="56" spans="1:9" x14ac:dyDescent="0.2">
      <c r="A56" s="28"/>
      <c r="B56" s="1154" t="s">
        <v>1286</v>
      </c>
      <c r="C56" s="183"/>
      <c r="D56" s="183"/>
      <c r="E56" s="183"/>
      <c r="F56" s="183"/>
      <c r="G56" s="183"/>
      <c r="H56" s="183"/>
      <c r="I56" s="183"/>
    </row>
    <row r="57" spans="1:9" x14ac:dyDescent="0.2">
      <c r="B57" s="129" t="s">
        <v>213</v>
      </c>
      <c r="C57" s="118">
        <v>121288</v>
      </c>
      <c r="D57" s="118">
        <v>49515</v>
      </c>
      <c r="E57" s="118">
        <v>71773</v>
      </c>
      <c r="F57" s="118">
        <v>88783</v>
      </c>
      <c r="G57" s="118">
        <v>14744</v>
      </c>
      <c r="H57" s="118">
        <v>8783</v>
      </c>
      <c r="I57" s="118">
        <v>6204</v>
      </c>
    </row>
    <row r="58" spans="1:9" x14ac:dyDescent="0.2">
      <c r="B58" s="129" t="s">
        <v>599</v>
      </c>
      <c r="C58" s="118">
        <v>38539</v>
      </c>
      <c r="D58" s="118">
        <v>5799</v>
      </c>
      <c r="E58" s="118">
        <v>32740</v>
      </c>
      <c r="F58" s="118">
        <v>40365</v>
      </c>
      <c r="G58" s="118">
        <v>8745</v>
      </c>
      <c r="H58" s="118">
        <v>6374</v>
      </c>
      <c r="I58" s="118">
        <v>4447</v>
      </c>
    </row>
    <row r="59" spans="1:9" x14ac:dyDescent="0.2">
      <c r="B59" s="129" t="s">
        <v>215</v>
      </c>
      <c r="C59" s="118">
        <v>134339</v>
      </c>
      <c r="D59" s="118">
        <v>338</v>
      </c>
      <c r="E59" s="118">
        <v>134001</v>
      </c>
      <c r="F59" s="118">
        <v>4909</v>
      </c>
      <c r="G59" s="118">
        <v>2534</v>
      </c>
      <c r="H59" s="118">
        <v>2403</v>
      </c>
      <c r="I59" s="118">
        <v>2596</v>
      </c>
    </row>
    <row r="60" spans="1:9" x14ac:dyDescent="0.2">
      <c r="B60" s="129" t="s">
        <v>766</v>
      </c>
      <c r="C60" s="118">
        <v>16178</v>
      </c>
      <c r="D60" s="118">
        <v>0</v>
      </c>
      <c r="E60" s="118">
        <v>16178</v>
      </c>
      <c r="F60" s="118">
        <v>0</v>
      </c>
      <c r="G60" s="118">
        <v>-1</v>
      </c>
      <c r="H60" s="118">
        <v>-7</v>
      </c>
      <c r="I60" s="118">
        <v>-654</v>
      </c>
    </row>
    <row r="61" spans="1:9" x14ac:dyDescent="0.2">
      <c r="B61" s="129" t="s">
        <v>217</v>
      </c>
      <c r="C61" s="118" t="s">
        <v>160</v>
      </c>
      <c r="D61" s="118" t="s">
        <v>160</v>
      </c>
      <c r="E61" s="118" t="s">
        <v>160</v>
      </c>
      <c r="F61" s="118">
        <v>32712</v>
      </c>
      <c r="G61" s="118">
        <v>4664</v>
      </c>
      <c r="H61" s="118">
        <v>3571</v>
      </c>
      <c r="I61" s="118">
        <v>5025</v>
      </c>
    </row>
    <row r="62" spans="1:9" x14ac:dyDescent="0.2">
      <c r="B62" s="129" t="s">
        <v>1285</v>
      </c>
      <c r="C62" s="118">
        <v>18547</v>
      </c>
      <c r="D62" s="118">
        <v>6199</v>
      </c>
      <c r="E62" s="118">
        <v>12348</v>
      </c>
      <c r="F62" s="118">
        <v>33137</v>
      </c>
      <c r="G62" s="118">
        <v>10759</v>
      </c>
      <c r="H62" s="118">
        <v>6047</v>
      </c>
      <c r="I62" s="118">
        <v>4239</v>
      </c>
    </row>
    <row r="63" spans="1:9" x14ac:dyDescent="0.2">
      <c r="B63" s="126" t="s">
        <v>1294</v>
      </c>
      <c r="C63" s="120">
        <f t="shared" ref="C63:I63" si="6">SUM(C57:C62)</f>
        <v>328891</v>
      </c>
      <c r="D63" s="120">
        <f t="shared" si="6"/>
        <v>61851</v>
      </c>
      <c r="E63" s="120">
        <f t="shared" si="6"/>
        <v>267040</v>
      </c>
      <c r="F63" s="120">
        <f t="shared" si="6"/>
        <v>199906</v>
      </c>
      <c r="G63" s="120">
        <f t="shared" si="6"/>
        <v>41445</v>
      </c>
      <c r="H63" s="120">
        <f t="shared" si="6"/>
        <v>27171</v>
      </c>
      <c r="I63" s="120">
        <f t="shared" si="6"/>
        <v>21857</v>
      </c>
    </row>
    <row r="64" spans="1:9" x14ac:dyDescent="0.2">
      <c r="A64" s="28"/>
      <c r="B64" s="1154" t="s">
        <v>1286</v>
      </c>
      <c r="C64" s="183"/>
      <c r="D64" s="183"/>
      <c r="E64" s="183"/>
      <c r="F64" s="183"/>
      <c r="G64" s="183"/>
      <c r="H64" s="183"/>
      <c r="I64" s="183"/>
    </row>
    <row r="65" spans="1:12" x14ac:dyDescent="0.2">
      <c r="B65" s="129" t="s">
        <v>213</v>
      </c>
      <c r="C65" s="118">
        <v>124705</v>
      </c>
      <c r="D65" s="118">
        <v>54545</v>
      </c>
      <c r="E65" s="118">
        <v>70160</v>
      </c>
      <c r="F65" s="118">
        <v>61036</v>
      </c>
      <c r="G65" s="118">
        <v>10019</v>
      </c>
      <c r="H65" s="118">
        <v>6433</v>
      </c>
      <c r="I65" s="118">
        <v>4590</v>
      </c>
    </row>
    <row r="66" spans="1:12" x14ac:dyDescent="0.2">
      <c r="B66" s="129" t="s">
        <v>599</v>
      </c>
      <c r="C66" s="118">
        <v>38166</v>
      </c>
      <c r="D66" s="118">
        <v>6709</v>
      </c>
      <c r="E66" s="118">
        <v>31457</v>
      </c>
      <c r="F66" s="118">
        <v>26290</v>
      </c>
      <c r="G66" s="118">
        <v>6071</v>
      </c>
      <c r="H66" s="118">
        <v>4544</v>
      </c>
      <c r="I66" s="118">
        <v>3164</v>
      </c>
      <c r="L66">
        <v>3616</v>
      </c>
    </row>
    <row r="67" spans="1:12" x14ac:dyDescent="0.2">
      <c r="B67" s="129" t="s">
        <v>215</v>
      </c>
      <c r="C67" s="118">
        <v>133382</v>
      </c>
      <c r="D67" s="118">
        <v>248</v>
      </c>
      <c r="E67" s="118">
        <v>133134</v>
      </c>
      <c r="F67" s="118">
        <v>3259</v>
      </c>
      <c r="G67" s="118">
        <v>1676</v>
      </c>
      <c r="H67" s="118">
        <v>1593</v>
      </c>
      <c r="I67" s="118">
        <v>1728</v>
      </c>
    </row>
    <row r="68" spans="1:12" x14ac:dyDescent="0.2">
      <c r="B68" s="129" t="s">
        <v>766</v>
      </c>
      <c r="C68" s="118">
        <v>6576</v>
      </c>
      <c r="D68" s="118">
        <v>4</v>
      </c>
      <c r="E68" s="118">
        <v>6572</v>
      </c>
      <c r="F68" s="118">
        <v>0</v>
      </c>
      <c r="G68" s="118">
        <v>-1</v>
      </c>
      <c r="H68" s="118">
        <v>-6</v>
      </c>
      <c r="I68" s="118">
        <v>-260</v>
      </c>
    </row>
    <row r="69" spans="1:12" x14ac:dyDescent="0.2">
      <c r="B69" s="129" t="s">
        <v>217</v>
      </c>
      <c r="C69" s="118" t="s">
        <v>160</v>
      </c>
      <c r="D69" s="118" t="s">
        <v>160</v>
      </c>
      <c r="E69" s="118" t="s">
        <v>160</v>
      </c>
      <c r="F69" s="118">
        <v>32712</v>
      </c>
      <c r="G69" s="118">
        <v>4664</v>
      </c>
      <c r="H69" s="118">
        <v>3571</v>
      </c>
      <c r="I69" s="118">
        <v>5025</v>
      </c>
    </row>
    <row r="70" spans="1:12" x14ac:dyDescent="0.2">
      <c r="B70" s="129" t="s">
        <v>1285</v>
      </c>
      <c r="C70" s="118">
        <v>17521</v>
      </c>
      <c r="D70" s="118">
        <v>6485</v>
      </c>
      <c r="E70" s="118">
        <v>11036</v>
      </c>
      <c r="F70" s="118">
        <v>21409</v>
      </c>
      <c r="G70" s="118">
        <v>6964</v>
      </c>
      <c r="H70" s="118">
        <v>4181</v>
      </c>
      <c r="I70" s="118">
        <v>2928</v>
      </c>
    </row>
    <row r="71" spans="1:12" x14ac:dyDescent="0.2">
      <c r="B71" s="126" t="s">
        <v>1274</v>
      </c>
      <c r="C71" s="120">
        <f t="shared" ref="C71:I71" si="7">SUM(C65:C70)</f>
        <v>320350</v>
      </c>
      <c r="D71" s="120">
        <f t="shared" si="7"/>
        <v>67991</v>
      </c>
      <c r="E71" s="120">
        <f t="shared" si="7"/>
        <v>252359</v>
      </c>
      <c r="F71" s="120">
        <f t="shared" si="7"/>
        <v>144706</v>
      </c>
      <c r="G71" s="120">
        <f t="shared" si="7"/>
        <v>29393</v>
      </c>
      <c r="H71" s="120">
        <f t="shared" si="7"/>
        <v>20316</v>
      </c>
      <c r="I71" s="120">
        <f t="shared" si="7"/>
        <v>17175</v>
      </c>
    </row>
    <row r="72" spans="1:12" x14ac:dyDescent="0.2">
      <c r="A72" s="28"/>
      <c r="B72" s="1154" t="s">
        <v>1286</v>
      </c>
      <c r="C72" s="183"/>
      <c r="D72" s="183"/>
      <c r="E72" s="183"/>
      <c r="F72" s="183"/>
      <c r="G72" s="183"/>
      <c r="H72" s="183"/>
      <c r="I72" s="183"/>
    </row>
    <row r="73" spans="1:12" x14ac:dyDescent="0.2">
      <c r="B73" s="129" t="s">
        <v>213</v>
      </c>
      <c r="C73" s="118">
        <v>121485</v>
      </c>
      <c r="D73" s="118">
        <v>44509</v>
      </c>
      <c r="E73" s="118">
        <v>76976</v>
      </c>
      <c r="F73" s="118">
        <v>28913</v>
      </c>
      <c r="G73" s="118">
        <v>3365</v>
      </c>
      <c r="H73" s="118">
        <v>2140</v>
      </c>
      <c r="I73" s="118">
        <v>1577</v>
      </c>
    </row>
    <row r="74" spans="1:12" x14ac:dyDescent="0.2">
      <c r="B74" s="129" t="s">
        <v>217</v>
      </c>
      <c r="C74" s="118">
        <v>74306</v>
      </c>
      <c r="D74" s="118">
        <v>9247</v>
      </c>
      <c r="E74" s="118">
        <v>1417</v>
      </c>
      <c r="F74" s="118">
        <v>23712</v>
      </c>
      <c r="G74" s="118">
        <v>3365</v>
      </c>
      <c r="H74" s="118">
        <v>2519</v>
      </c>
      <c r="I74" s="118">
        <v>3688</v>
      </c>
    </row>
    <row r="75" spans="1:12" x14ac:dyDescent="0.2">
      <c r="B75" s="129" t="s">
        <v>599</v>
      </c>
      <c r="C75" s="118">
        <v>36974</v>
      </c>
      <c r="D75" s="118">
        <v>5003</v>
      </c>
      <c r="E75" s="118">
        <v>31971</v>
      </c>
      <c r="F75" s="118">
        <v>12746</v>
      </c>
      <c r="G75" s="118">
        <f>SUM(F75:F75)</f>
        <v>12746</v>
      </c>
      <c r="H75" s="118">
        <v>2675</v>
      </c>
      <c r="I75" s="118">
        <v>1856</v>
      </c>
    </row>
    <row r="76" spans="1:12" x14ac:dyDescent="0.2">
      <c r="B76" s="129" t="s">
        <v>215</v>
      </c>
      <c r="C76" s="118">
        <v>135717</v>
      </c>
      <c r="D76" s="118">
        <v>266</v>
      </c>
      <c r="E76" s="118">
        <v>135451</v>
      </c>
      <c r="F76" s="118">
        <v>1620</v>
      </c>
      <c r="G76" s="118">
        <f>SUM(F76:F76)</f>
        <v>1620</v>
      </c>
      <c r="H76" s="118">
        <v>786</v>
      </c>
      <c r="I76" s="118">
        <v>846</v>
      </c>
    </row>
    <row r="77" spans="1:12" x14ac:dyDescent="0.2">
      <c r="B77" s="129" t="s">
        <v>218</v>
      </c>
      <c r="C77" s="118">
        <v>1515</v>
      </c>
      <c r="D77" s="118">
        <v>98</v>
      </c>
      <c r="E77" s="118">
        <v>1417</v>
      </c>
      <c r="F77" s="118">
        <v>0</v>
      </c>
      <c r="G77" s="118">
        <f>SUM(F77:F77)</f>
        <v>0</v>
      </c>
      <c r="H77" s="118">
        <v>-15</v>
      </c>
      <c r="I77" s="118">
        <v>3</v>
      </c>
    </row>
    <row r="78" spans="1:12" x14ac:dyDescent="0.2">
      <c r="B78" s="129" t="s">
        <v>819</v>
      </c>
      <c r="C78" s="118">
        <v>1</v>
      </c>
      <c r="D78" s="118">
        <v>0</v>
      </c>
      <c r="E78" s="118">
        <v>1</v>
      </c>
      <c r="F78" s="118">
        <v>0</v>
      </c>
      <c r="G78" s="118">
        <f>SUM(F78:F78)</f>
        <v>0</v>
      </c>
      <c r="H78" s="118" t="s">
        <v>160</v>
      </c>
      <c r="I78" s="118" t="s">
        <v>160</v>
      </c>
    </row>
    <row r="79" spans="1:12" x14ac:dyDescent="0.2">
      <c r="B79" s="129" t="s">
        <v>766</v>
      </c>
      <c r="C79" s="118">
        <v>6805</v>
      </c>
      <c r="D79" s="118">
        <v>2</v>
      </c>
      <c r="E79" s="118">
        <v>6803</v>
      </c>
      <c r="F79" s="118">
        <v>0</v>
      </c>
      <c r="G79" s="118">
        <v>-1</v>
      </c>
      <c r="H79" s="118">
        <v>-1</v>
      </c>
      <c r="I79" s="118">
        <v>-29</v>
      </c>
    </row>
    <row r="80" spans="1:12" x14ac:dyDescent="0.2">
      <c r="B80" s="126" t="s">
        <v>1261</v>
      </c>
      <c r="C80" s="120">
        <f t="shared" ref="C80:H80" si="8">SUM(C73:C79)</f>
        <v>376803</v>
      </c>
      <c r="D80" s="120">
        <f t="shared" si="8"/>
        <v>59125</v>
      </c>
      <c r="E80" s="120">
        <f t="shared" si="8"/>
        <v>254036</v>
      </c>
      <c r="F80" s="120">
        <f t="shared" si="8"/>
        <v>66991</v>
      </c>
      <c r="G80" s="120">
        <f t="shared" si="8"/>
        <v>21095</v>
      </c>
      <c r="H80" s="120">
        <f t="shared" si="8"/>
        <v>8104</v>
      </c>
      <c r="I80" s="120">
        <f>SUM(I73:I79)</f>
        <v>7941</v>
      </c>
    </row>
    <row r="81" spans="1:9" x14ac:dyDescent="0.2">
      <c r="A81" s="28"/>
      <c r="B81" s="182"/>
      <c r="C81" s="183"/>
      <c r="D81" s="183"/>
      <c r="E81" s="183"/>
      <c r="F81" s="183"/>
      <c r="G81" s="183"/>
      <c r="H81" s="183"/>
      <c r="I81" s="183"/>
    </row>
    <row r="82" spans="1:9" x14ac:dyDescent="0.2">
      <c r="B82" s="129" t="s">
        <v>213</v>
      </c>
      <c r="C82" s="118">
        <v>118091</v>
      </c>
      <c r="D82" s="118">
        <v>42692</v>
      </c>
      <c r="E82" s="118">
        <v>75399</v>
      </c>
      <c r="F82" s="118">
        <v>102257</v>
      </c>
      <c r="G82" s="118">
        <v>18557</v>
      </c>
      <c r="H82" s="118">
        <v>16727</v>
      </c>
      <c r="I82" s="118">
        <v>12168</v>
      </c>
    </row>
    <row r="83" spans="1:9" x14ac:dyDescent="0.2">
      <c r="B83" s="129" t="s">
        <v>217</v>
      </c>
      <c r="C83" s="118">
        <v>74272</v>
      </c>
      <c r="D83" s="118">
        <v>12901</v>
      </c>
      <c r="E83" s="118">
        <v>61371</v>
      </c>
      <c r="F83" s="118">
        <v>103173</v>
      </c>
      <c r="G83" s="118">
        <v>12119</v>
      </c>
      <c r="H83" s="118">
        <v>15681</v>
      </c>
      <c r="I83" s="118">
        <v>16681</v>
      </c>
    </row>
    <row r="84" spans="1:9" x14ac:dyDescent="0.2">
      <c r="B84" s="129" t="s">
        <v>599</v>
      </c>
      <c r="C84" s="118">
        <v>27679</v>
      </c>
      <c r="D84" s="118">
        <v>2602</v>
      </c>
      <c r="E84" s="118">
        <v>25078</v>
      </c>
      <c r="F84" s="118">
        <v>34235</v>
      </c>
      <c r="G84" s="118">
        <v>9767</v>
      </c>
      <c r="H84" s="118">
        <v>9500</v>
      </c>
      <c r="I84" s="118">
        <v>6642</v>
      </c>
    </row>
    <row r="85" spans="1:9" x14ac:dyDescent="0.2">
      <c r="B85" s="129" t="s">
        <v>215</v>
      </c>
      <c r="C85" s="118">
        <v>134872</v>
      </c>
      <c r="D85" s="118">
        <v>267</v>
      </c>
      <c r="E85" s="118">
        <v>134605</v>
      </c>
      <c r="F85" s="118">
        <v>6532</v>
      </c>
      <c r="G85" s="118">
        <v>3545</v>
      </c>
      <c r="H85" s="118">
        <v>3205</v>
      </c>
      <c r="I85" s="118">
        <v>3368</v>
      </c>
    </row>
    <row r="86" spans="1:9" x14ac:dyDescent="0.2">
      <c r="B86" s="129" t="s">
        <v>218</v>
      </c>
      <c r="C86" s="118">
        <v>1516</v>
      </c>
      <c r="D86" s="118">
        <v>101</v>
      </c>
      <c r="E86" s="118">
        <v>1415</v>
      </c>
      <c r="F86" s="118">
        <v>0</v>
      </c>
      <c r="G86" s="118" t="s">
        <v>160</v>
      </c>
      <c r="H86" s="118">
        <v>-7</v>
      </c>
      <c r="I86" s="118">
        <v>72</v>
      </c>
    </row>
    <row r="87" spans="1:9" x14ac:dyDescent="0.2">
      <c r="B87" s="129" t="s">
        <v>819</v>
      </c>
      <c r="C87" s="118">
        <v>1</v>
      </c>
      <c r="D87" s="118">
        <v>0</v>
      </c>
      <c r="E87" s="118">
        <v>1</v>
      </c>
      <c r="F87" s="118">
        <v>0</v>
      </c>
      <c r="G87" s="118" t="s">
        <v>160</v>
      </c>
      <c r="H87" s="118" t="s">
        <v>160</v>
      </c>
      <c r="I87" s="118" t="s">
        <v>160</v>
      </c>
    </row>
    <row r="88" spans="1:9" x14ac:dyDescent="0.2">
      <c r="B88" s="129" t="s">
        <v>477</v>
      </c>
      <c r="C88" s="118">
        <v>0</v>
      </c>
      <c r="D88" s="118">
        <v>0</v>
      </c>
      <c r="E88" s="118">
        <v>0</v>
      </c>
      <c r="F88" s="118">
        <v>3041</v>
      </c>
      <c r="G88" s="118">
        <v>-60</v>
      </c>
      <c r="H88" s="118">
        <v>-61</v>
      </c>
      <c r="I88" s="118">
        <v>257</v>
      </c>
    </row>
    <row r="89" spans="1:9" x14ac:dyDescent="0.2">
      <c r="B89" s="129" t="s">
        <v>766</v>
      </c>
      <c r="C89" s="118">
        <v>6833</v>
      </c>
      <c r="D89" s="118">
        <v>0</v>
      </c>
      <c r="E89" s="118">
        <v>6833</v>
      </c>
      <c r="F89" s="118">
        <v>0</v>
      </c>
      <c r="G89" s="118">
        <v>-2</v>
      </c>
      <c r="H89" s="118">
        <v>-3</v>
      </c>
      <c r="I89" s="118">
        <v>-709</v>
      </c>
    </row>
    <row r="90" spans="1:9" x14ac:dyDescent="0.2">
      <c r="B90" s="126" t="s">
        <v>1247</v>
      </c>
      <c r="C90" s="120">
        <f t="shared" ref="C90:I90" si="9">SUM(C82:C89)</f>
        <v>363264</v>
      </c>
      <c r="D90" s="120">
        <f t="shared" si="9"/>
        <v>58563</v>
      </c>
      <c r="E90" s="120">
        <f t="shared" si="9"/>
        <v>304702</v>
      </c>
      <c r="F90" s="120">
        <f t="shared" si="9"/>
        <v>249238</v>
      </c>
      <c r="G90" s="120">
        <f t="shared" si="9"/>
        <v>43926</v>
      </c>
      <c r="H90" s="120">
        <f t="shared" si="9"/>
        <v>45042</v>
      </c>
      <c r="I90" s="120">
        <f t="shared" si="9"/>
        <v>38479</v>
      </c>
    </row>
    <row r="91" spans="1:9" x14ac:dyDescent="0.2">
      <c r="A91" s="28"/>
      <c r="B91" s="182"/>
      <c r="C91" s="183"/>
      <c r="D91" s="183"/>
      <c r="E91" s="183"/>
      <c r="F91" s="183"/>
      <c r="G91" s="183"/>
      <c r="H91" s="183"/>
      <c r="I91" s="183"/>
    </row>
    <row r="92" spans="1:9" x14ac:dyDescent="0.2">
      <c r="B92" s="129" t="s">
        <v>213</v>
      </c>
      <c r="C92" s="118">
        <v>111564</v>
      </c>
      <c r="D92" s="118">
        <v>38829</v>
      </c>
      <c r="E92" s="118">
        <v>72735</v>
      </c>
      <c r="F92" s="118">
        <v>75502</v>
      </c>
      <c r="G92" s="118" t="s">
        <v>160</v>
      </c>
      <c r="H92" s="118" t="s">
        <v>160</v>
      </c>
      <c r="I92" s="118" t="s">
        <v>160</v>
      </c>
    </row>
    <row r="93" spans="1:9" x14ac:dyDescent="0.2">
      <c r="B93" s="129" t="s">
        <v>217</v>
      </c>
      <c r="C93" s="118">
        <v>71122</v>
      </c>
      <c r="D93" s="118">
        <v>12723</v>
      </c>
      <c r="E93" s="118">
        <v>58399</v>
      </c>
      <c r="F93" s="118">
        <v>71974</v>
      </c>
      <c r="G93" s="118" t="s">
        <v>160</v>
      </c>
      <c r="H93" s="118" t="s">
        <v>160</v>
      </c>
      <c r="I93" s="118" t="s">
        <v>160</v>
      </c>
    </row>
    <row r="94" spans="1:9" x14ac:dyDescent="0.2">
      <c r="B94" s="129" t="s">
        <v>599</v>
      </c>
      <c r="C94" s="118">
        <v>25278</v>
      </c>
      <c r="D94" s="118">
        <v>4354</v>
      </c>
      <c r="E94" s="118">
        <v>20924</v>
      </c>
      <c r="F94" s="118">
        <v>25506</v>
      </c>
      <c r="G94" s="118" t="s">
        <v>160</v>
      </c>
      <c r="H94" s="118" t="s">
        <v>160</v>
      </c>
      <c r="I94" s="118" t="s">
        <v>160</v>
      </c>
    </row>
    <row r="95" spans="1:9" x14ac:dyDescent="0.2">
      <c r="B95" s="129" t="s">
        <v>215</v>
      </c>
      <c r="C95" s="118">
        <v>133921</v>
      </c>
      <c r="D95" s="118">
        <v>197</v>
      </c>
      <c r="E95" s="118">
        <v>133724</v>
      </c>
      <c r="F95" s="118">
        <v>4935</v>
      </c>
      <c r="G95" s="118" t="s">
        <v>160</v>
      </c>
      <c r="H95" s="118" t="s">
        <v>160</v>
      </c>
      <c r="I95" s="118" t="s">
        <v>160</v>
      </c>
    </row>
    <row r="96" spans="1:9" x14ac:dyDescent="0.2">
      <c r="B96" s="129" t="s">
        <v>218</v>
      </c>
      <c r="C96" s="118">
        <v>1499</v>
      </c>
      <c r="D96" s="118">
        <v>101</v>
      </c>
      <c r="E96" s="118">
        <v>1398</v>
      </c>
      <c r="F96" s="118">
        <v>0</v>
      </c>
      <c r="G96" s="118" t="s">
        <v>160</v>
      </c>
      <c r="H96" s="118" t="s">
        <v>160</v>
      </c>
      <c r="I96" s="118" t="s">
        <v>160</v>
      </c>
    </row>
    <row r="97" spans="1:10" x14ac:dyDescent="0.2">
      <c r="B97" s="129" t="s">
        <v>819</v>
      </c>
      <c r="C97" s="118">
        <v>1</v>
      </c>
      <c r="D97" s="118">
        <v>0</v>
      </c>
      <c r="E97" s="118">
        <v>1</v>
      </c>
      <c r="F97" s="118">
        <v>0</v>
      </c>
      <c r="G97" s="118" t="s">
        <v>160</v>
      </c>
      <c r="H97" s="118" t="s">
        <v>160</v>
      </c>
      <c r="I97" s="118" t="s">
        <v>160</v>
      </c>
    </row>
    <row r="98" spans="1:10" x14ac:dyDescent="0.2">
      <c r="B98" s="129" t="s">
        <v>477</v>
      </c>
      <c r="C98" s="118">
        <v>0</v>
      </c>
      <c r="D98" s="118">
        <v>0</v>
      </c>
      <c r="E98" s="118">
        <v>0</v>
      </c>
      <c r="F98" s="118">
        <v>3041</v>
      </c>
      <c r="G98" s="118" t="s">
        <v>160</v>
      </c>
      <c r="H98" s="118" t="s">
        <v>160</v>
      </c>
      <c r="I98" s="118" t="s">
        <v>160</v>
      </c>
    </row>
    <row r="99" spans="1:10" x14ac:dyDescent="0.2">
      <c r="B99" s="129" t="s">
        <v>766</v>
      </c>
      <c r="C99" s="118">
        <v>6888</v>
      </c>
      <c r="D99" s="118">
        <v>1</v>
      </c>
      <c r="E99" s="118">
        <v>6887</v>
      </c>
      <c r="F99" s="118">
        <v>0</v>
      </c>
      <c r="G99" s="118" t="s">
        <v>160</v>
      </c>
      <c r="H99" s="118" t="s">
        <v>160</v>
      </c>
      <c r="I99" s="118" t="s">
        <v>160</v>
      </c>
    </row>
    <row r="100" spans="1:10" x14ac:dyDescent="0.2">
      <c r="B100" s="126" t="s">
        <v>1225</v>
      </c>
      <c r="C100" s="120">
        <f t="shared" ref="C100:I100" si="10">SUM(C92:C99)</f>
        <v>350273</v>
      </c>
      <c r="D100" s="120">
        <f t="shared" si="10"/>
        <v>56205</v>
      </c>
      <c r="E100" s="120">
        <f t="shared" si="10"/>
        <v>294068</v>
      </c>
      <c r="F100" s="120">
        <f t="shared" si="10"/>
        <v>180958</v>
      </c>
      <c r="G100" s="120">
        <f t="shared" si="10"/>
        <v>0</v>
      </c>
      <c r="H100" s="120">
        <f t="shared" si="10"/>
        <v>0</v>
      </c>
      <c r="I100" s="120">
        <f t="shared" si="10"/>
        <v>0</v>
      </c>
    </row>
    <row r="101" spans="1:10" x14ac:dyDescent="0.2">
      <c r="A101" s="28"/>
      <c r="B101" s="182"/>
      <c r="C101" s="183"/>
      <c r="D101" s="183"/>
      <c r="E101" s="183"/>
      <c r="F101" s="183"/>
      <c r="G101" s="183"/>
      <c r="H101" s="183"/>
      <c r="I101" s="183"/>
      <c r="J101" s="28"/>
    </row>
    <row r="102" spans="1:10" x14ac:dyDescent="0.2">
      <c r="B102" s="129" t="s">
        <v>213</v>
      </c>
      <c r="C102" s="118">
        <v>100875</v>
      </c>
      <c r="D102" s="118">
        <v>31678</v>
      </c>
      <c r="E102" s="118">
        <v>69197</v>
      </c>
      <c r="F102" s="118">
        <v>48401</v>
      </c>
      <c r="G102" s="118" t="s">
        <v>160</v>
      </c>
      <c r="H102" s="118" t="s">
        <v>160</v>
      </c>
      <c r="I102" s="118" t="s">
        <v>160</v>
      </c>
    </row>
    <row r="103" spans="1:10" x14ac:dyDescent="0.2">
      <c r="B103" s="129" t="s">
        <v>217</v>
      </c>
      <c r="C103" s="118">
        <v>81005</v>
      </c>
      <c r="D103" s="118">
        <v>20641</v>
      </c>
      <c r="E103" s="118">
        <v>60364</v>
      </c>
      <c r="F103" s="118">
        <v>43411</v>
      </c>
      <c r="G103" s="118" t="s">
        <v>160</v>
      </c>
      <c r="H103" s="118" t="s">
        <v>160</v>
      </c>
      <c r="I103" s="118" t="s">
        <v>160</v>
      </c>
    </row>
    <row r="104" spans="1:10" x14ac:dyDescent="0.2">
      <c r="B104" s="129" t="s">
        <v>599</v>
      </c>
      <c r="C104" s="118">
        <v>23451</v>
      </c>
      <c r="D104" s="118">
        <v>3969</v>
      </c>
      <c r="E104" s="118">
        <v>19482</v>
      </c>
      <c r="F104" s="118">
        <v>16398</v>
      </c>
      <c r="G104" s="118" t="s">
        <v>160</v>
      </c>
      <c r="H104" s="118" t="s">
        <v>160</v>
      </c>
      <c r="I104" s="118" t="s">
        <v>160</v>
      </c>
    </row>
    <row r="105" spans="1:10" x14ac:dyDescent="0.2">
      <c r="B105" s="129" t="s">
        <v>215</v>
      </c>
      <c r="C105" s="118">
        <v>135064</v>
      </c>
      <c r="D105" s="118">
        <v>2164</v>
      </c>
      <c r="E105" s="118">
        <v>132900</v>
      </c>
      <c r="F105" s="118">
        <v>3353</v>
      </c>
      <c r="G105" s="118" t="s">
        <v>160</v>
      </c>
      <c r="H105" s="118" t="s">
        <v>160</v>
      </c>
      <c r="I105" s="118" t="s">
        <v>160</v>
      </c>
    </row>
    <row r="106" spans="1:10" x14ac:dyDescent="0.2">
      <c r="B106" s="129" t="s">
        <v>218</v>
      </c>
      <c r="C106" s="118">
        <v>1509</v>
      </c>
      <c r="D106" s="118">
        <v>129</v>
      </c>
      <c r="E106" s="118">
        <v>1380</v>
      </c>
      <c r="F106" s="118">
        <v>0</v>
      </c>
      <c r="G106" s="118" t="s">
        <v>160</v>
      </c>
      <c r="H106" s="118" t="s">
        <v>160</v>
      </c>
      <c r="I106" s="118" t="s">
        <v>160</v>
      </c>
    </row>
    <row r="107" spans="1:10" x14ac:dyDescent="0.2">
      <c r="B107" s="129" t="s">
        <v>819</v>
      </c>
      <c r="C107" s="118">
        <v>1</v>
      </c>
      <c r="D107" s="118">
        <v>0</v>
      </c>
      <c r="E107" s="118">
        <v>1</v>
      </c>
      <c r="F107" s="118">
        <v>0</v>
      </c>
      <c r="G107" s="118" t="s">
        <v>160</v>
      </c>
      <c r="H107" s="118" t="s">
        <v>160</v>
      </c>
      <c r="I107" s="118" t="s">
        <v>160</v>
      </c>
    </row>
    <row r="108" spans="1:10" x14ac:dyDescent="0.2">
      <c r="B108" s="129" t="s">
        <v>477</v>
      </c>
      <c r="C108" s="118">
        <v>0</v>
      </c>
      <c r="D108" s="118">
        <v>0</v>
      </c>
      <c r="E108" s="118">
        <v>0</v>
      </c>
      <c r="F108" s="118">
        <v>3041</v>
      </c>
      <c r="G108" s="118" t="s">
        <v>160</v>
      </c>
      <c r="H108" s="118" t="s">
        <v>160</v>
      </c>
      <c r="I108" s="118" t="s">
        <v>160</v>
      </c>
    </row>
    <row r="109" spans="1:10" x14ac:dyDescent="0.2">
      <c r="B109" s="129" t="s">
        <v>766</v>
      </c>
      <c r="C109" s="118">
        <v>6976</v>
      </c>
      <c r="D109" s="118">
        <v>2</v>
      </c>
      <c r="E109" s="118">
        <v>6974</v>
      </c>
      <c r="F109" s="118">
        <v>0</v>
      </c>
      <c r="G109" s="118" t="s">
        <v>160</v>
      </c>
      <c r="H109" s="118" t="s">
        <v>160</v>
      </c>
      <c r="I109" s="118" t="s">
        <v>160</v>
      </c>
    </row>
    <row r="110" spans="1:10" x14ac:dyDescent="0.2">
      <c r="B110" s="126" t="s">
        <v>1212</v>
      </c>
      <c r="C110" s="120">
        <f t="shared" ref="C110:I110" si="11">SUM(C102:C109)</f>
        <v>348881</v>
      </c>
      <c r="D110" s="120">
        <f t="shared" si="11"/>
        <v>58583</v>
      </c>
      <c r="E110" s="120">
        <f t="shared" si="11"/>
        <v>290298</v>
      </c>
      <c r="F110" s="120">
        <f t="shared" si="11"/>
        <v>114604</v>
      </c>
      <c r="G110" s="120">
        <f t="shared" si="11"/>
        <v>0</v>
      </c>
      <c r="H110" s="120">
        <f t="shared" si="11"/>
        <v>0</v>
      </c>
      <c r="I110" s="120">
        <f t="shared" si="11"/>
        <v>0</v>
      </c>
    </row>
    <row r="111" spans="1:10" x14ac:dyDescent="0.2">
      <c r="A111" s="28"/>
      <c r="B111" s="182"/>
      <c r="C111" s="183"/>
      <c r="D111" s="183"/>
      <c r="E111" s="183"/>
      <c r="F111" s="183"/>
      <c r="G111" s="183"/>
      <c r="H111" s="183"/>
      <c r="I111" s="183"/>
      <c r="J111" s="28"/>
    </row>
    <row r="112" spans="1:10" x14ac:dyDescent="0.2">
      <c r="B112" s="129" t="s">
        <v>213</v>
      </c>
      <c r="C112" s="118">
        <v>103292</v>
      </c>
      <c r="D112" s="118">
        <v>37263</v>
      </c>
      <c r="E112" s="118">
        <v>66029</v>
      </c>
      <c r="F112" s="118">
        <v>25742</v>
      </c>
      <c r="G112" s="118" t="s">
        <v>160</v>
      </c>
      <c r="H112" s="118" t="s">
        <v>160</v>
      </c>
      <c r="I112" s="118" t="s">
        <v>160</v>
      </c>
    </row>
    <row r="113" spans="2:9" x14ac:dyDescent="0.2">
      <c r="B113" s="129" t="s">
        <v>217</v>
      </c>
      <c r="C113" s="118">
        <v>81739</v>
      </c>
      <c r="D113" s="118">
        <v>16762</v>
      </c>
      <c r="E113" s="118">
        <v>64977</v>
      </c>
      <c r="F113" s="118">
        <v>20082</v>
      </c>
      <c r="G113" s="118" t="s">
        <v>160</v>
      </c>
      <c r="H113" s="118" t="s">
        <v>160</v>
      </c>
      <c r="I113" s="118" t="s">
        <v>160</v>
      </c>
    </row>
    <row r="114" spans="2:9" x14ac:dyDescent="0.2">
      <c r="B114" s="129" t="s">
        <v>599</v>
      </c>
      <c r="C114" s="118">
        <v>21015</v>
      </c>
      <c r="D114" s="118">
        <v>3810</v>
      </c>
      <c r="E114" s="118">
        <v>17205</v>
      </c>
      <c r="F114" s="118">
        <v>8226</v>
      </c>
      <c r="G114" s="118" t="s">
        <v>160</v>
      </c>
      <c r="H114" s="118" t="s">
        <v>160</v>
      </c>
      <c r="I114" s="118" t="s">
        <v>160</v>
      </c>
    </row>
    <row r="115" spans="2:9" x14ac:dyDescent="0.2">
      <c r="B115" s="129" t="s">
        <v>215</v>
      </c>
      <c r="C115" s="118">
        <v>134384</v>
      </c>
      <c r="D115" s="118">
        <v>325</v>
      </c>
      <c r="E115" s="118">
        <v>134059</v>
      </c>
      <c r="F115" s="118">
        <v>1895</v>
      </c>
      <c r="G115" s="118" t="s">
        <v>160</v>
      </c>
      <c r="H115" s="118" t="s">
        <v>160</v>
      </c>
      <c r="I115" s="118" t="s">
        <v>160</v>
      </c>
    </row>
    <row r="116" spans="2:9" x14ac:dyDescent="0.2">
      <c r="B116" s="129" t="s">
        <v>218</v>
      </c>
      <c r="C116" s="118">
        <v>1487</v>
      </c>
      <c r="D116" s="118">
        <v>96</v>
      </c>
      <c r="E116" s="118">
        <v>1391</v>
      </c>
      <c r="F116" s="118">
        <v>0</v>
      </c>
      <c r="G116" s="118" t="s">
        <v>160</v>
      </c>
      <c r="H116" s="118" t="s">
        <v>160</v>
      </c>
      <c r="I116" s="118" t="s">
        <v>160</v>
      </c>
    </row>
    <row r="117" spans="2:9" x14ac:dyDescent="0.2">
      <c r="B117" s="129" t="s">
        <v>819</v>
      </c>
      <c r="C117" s="118">
        <v>1</v>
      </c>
      <c r="D117" s="118">
        <v>0</v>
      </c>
      <c r="E117" s="118">
        <v>1</v>
      </c>
      <c r="F117" s="118">
        <v>0</v>
      </c>
      <c r="G117" s="118" t="s">
        <v>160</v>
      </c>
      <c r="H117" s="118" t="s">
        <v>160</v>
      </c>
      <c r="I117" s="118" t="s">
        <v>160</v>
      </c>
    </row>
    <row r="118" spans="2:9" x14ac:dyDescent="0.2">
      <c r="B118" s="129" t="s">
        <v>477</v>
      </c>
      <c r="C118" s="118">
        <v>0</v>
      </c>
      <c r="D118" s="118">
        <v>0</v>
      </c>
      <c r="E118" s="118">
        <v>0</v>
      </c>
      <c r="F118" s="118">
        <v>3041</v>
      </c>
      <c r="G118" s="118" t="s">
        <v>160</v>
      </c>
      <c r="H118" s="118" t="s">
        <v>160</v>
      </c>
      <c r="I118" s="118" t="s">
        <v>160</v>
      </c>
    </row>
    <row r="119" spans="2:9" x14ac:dyDescent="0.2">
      <c r="B119" s="129" t="s">
        <v>766</v>
      </c>
      <c r="C119" s="118">
        <v>7403</v>
      </c>
      <c r="D119" s="118">
        <v>3</v>
      </c>
      <c r="E119" s="118">
        <v>7400</v>
      </c>
      <c r="F119" s="118">
        <v>0</v>
      </c>
      <c r="G119" s="118" t="s">
        <v>160</v>
      </c>
      <c r="H119" s="118" t="s">
        <v>160</v>
      </c>
      <c r="I119" s="118" t="s">
        <v>160</v>
      </c>
    </row>
    <row r="120" spans="2:9" x14ac:dyDescent="0.2">
      <c r="B120" s="126" t="s">
        <v>1185</v>
      </c>
      <c r="C120" s="120">
        <f>SUM(C112:C119)</f>
        <v>349321</v>
      </c>
      <c r="D120" s="120">
        <f>SUM(D112:D119)</f>
        <v>58259</v>
      </c>
      <c r="E120" s="120">
        <f>SUM(E112:E119)</f>
        <v>291062</v>
      </c>
      <c r="F120" s="120">
        <f>SUM(F112:F119)</f>
        <v>58986</v>
      </c>
      <c r="G120" s="120"/>
      <c r="H120" s="120"/>
      <c r="I120" s="120">
        <f>SUM(I112:I119)</f>
        <v>0</v>
      </c>
    </row>
    <row r="121" spans="2:9" x14ac:dyDescent="0.2">
      <c r="B121" s="149"/>
      <c r="C121" s="150"/>
      <c r="D121" s="150"/>
      <c r="E121" s="150"/>
      <c r="F121" s="150"/>
      <c r="G121" s="150"/>
      <c r="H121" s="150"/>
      <c r="I121" s="150"/>
    </row>
    <row r="122" spans="2:9" x14ac:dyDescent="0.2">
      <c r="B122" s="129" t="s">
        <v>213</v>
      </c>
      <c r="C122" s="118">
        <v>85148</v>
      </c>
      <c r="D122" s="118">
        <v>22171</v>
      </c>
      <c r="E122" s="118">
        <v>62977</v>
      </c>
      <c r="F122" s="118">
        <v>109239</v>
      </c>
      <c r="G122" s="118">
        <v>0</v>
      </c>
      <c r="H122" s="118">
        <v>0</v>
      </c>
      <c r="I122" s="118">
        <v>17365</v>
      </c>
    </row>
    <row r="123" spans="2:9" x14ac:dyDescent="0.2">
      <c r="B123" s="129" t="s">
        <v>217</v>
      </c>
      <c r="C123" s="118">
        <v>24544</v>
      </c>
      <c r="D123" s="118">
        <v>9058</v>
      </c>
      <c r="E123" s="118">
        <v>15486</v>
      </c>
      <c r="F123" s="118">
        <v>0</v>
      </c>
      <c r="G123" s="118">
        <v>0</v>
      </c>
      <c r="H123" s="118">
        <v>0</v>
      </c>
      <c r="I123" s="118">
        <v>8927</v>
      </c>
    </row>
    <row r="124" spans="2:9" x14ac:dyDescent="0.2">
      <c r="B124" s="129" t="s">
        <v>599</v>
      </c>
      <c r="C124" s="118">
        <v>18883</v>
      </c>
      <c r="D124" s="118">
        <v>3175</v>
      </c>
      <c r="E124" s="118">
        <v>15708</v>
      </c>
      <c r="F124" s="118">
        <v>7703</v>
      </c>
      <c r="G124" s="118">
        <v>0</v>
      </c>
      <c r="H124" s="118">
        <v>0</v>
      </c>
      <c r="I124" s="118">
        <v>1060</v>
      </c>
    </row>
    <row r="125" spans="2:9" x14ac:dyDescent="0.2">
      <c r="B125" s="129" t="s">
        <v>215</v>
      </c>
      <c r="C125" s="118">
        <v>105945</v>
      </c>
      <c r="D125" s="118">
        <v>286</v>
      </c>
      <c r="E125" s="118">
        <v>105659</v>
      </c>
      <c r="F125" s="118">
        <v>8044</v>
      </c>
      <c r="G125" s="118">
        <v>0</v>
      </c>
      <c r="H125" s="118">
        <v>0</v>
      </c>
      <c r="I125" s="118">
        <v>5383</v>
      </c>
    </row>
    <row r="126" spans="2:9" x14ac:dyDescent="0.2">
      <c r="B126" s="129" t="s">
        <v>218</v>
      </c>
      <c r="C126" s="118">
        <v>1473</v>
      </c>
      <c r="D126" s="118">
        <v>99</v>
      </c>
      <c r="E126" s="118">
        <v>1374</v>
      </c>
      <c r="F126" s="118">
        <v>0</v>
      </c>
      <c r="G126" s="118">
        <v>0</v>
      </c>
      <c r="H126" s="118">
        <v>0</v>
      </c>
      <c r="I126" s="118">
        <v>31</v>
      </c>
    </row>
    <row r="127" spans="2:9" x14ac:dyDescent="0.2">
      <c r="B127" s="129" t="s">
        <v>819</v>
      </c>
      <c r="C127" s="118">
        <v>1</v>
      </c>
      <c r="D127" s="118">
        <v>0</v>
      </c>
      <c r="E127" s="118">
        <v>1</v>
      </c>
      <c r="F127" s="118">
        <v>0</v>
      </c>
      <c r="G127" s="118">
        <v>0</v>
      </c>
      <c r="H127" s="118">
        <v>0</v>
      </c>
      <c r="I127" s="118">
        <v>0</v>
      </c>
    </row>
    <row r="128" spans="2:9" x14ac:dyDescent="0.2">
      <c r="B128" s="129" t="s">
        <v>477</v>
      </c>
      <c r="C128" s="118">
        <v>55408</v>
      </c>
      <c r="D128" s="118">
        <v>10874</v>
      </c>
      <c r="E128" s="118">
        <v>44534</v>
      </c>
      <c r="F128" s="118">
        <v>105679</v>
      </c>
      <c r="G128" s="118">
        <v>0</v>
      </c>
      <c r="H128" s="118">
        <v>0</v>
      </c>
      <c r="I128" s="118">
        <v>13340</v>
      </c>
    </row>
    <row r="129" spans="2:9" x14ac:dyDescent="0.2">
      <c r="B129" s="129" t="s">
        <v>766</v>
      </c>
      <c r="C129" s="118">
        <v>7543</v>
      </c>
      <c r="D129" s="118">
        <v>1</v>
      </c>
      <c r="E129" s="118">
        <v>7542</v>
      </c>
      <c r="F129" s="118">
        <v>0</v>
      </c>
      <c r="G129" s="118">
        <v>0</v>
      </c>
      <c r="H129" s="118">
        <v>0</v>
      </c>
      <c r="I129" s="118">
        <v>-557</v>
      </c>
    </row>
    <row r="130" spans="2:9" x14ac:dyDescent="0.2">
      <c r="B130" s="126" t="s">
        <v>1161</v>
      </c>
      <c r="C130" s="120">
        <f>SUM(C122:C129)</f>
        <v>298945</v>
      </c>
      <c r="D130" s="120">
        <f>SUM(D122:D129)</f>
        <v>45664</v>
      </c>
      <c r="E130" s="120">
        <f>SUM(E122:E129)</f>
        <v>253281</v>
      </c>
      <c r="F130" s="120">
        <f>SUM(F122:F129)</f>
        <v>230665</v>
      </c>
      <c r="G130" s="120"/>
      <c r="H130" s="120"/>
      <c r="I130" s="120">
        <f>SUM(I122:I129)</f>
        <v>45549</v>
      </c>
    </row>
    <row r="131" spans="2:9" x14ac:dyDescent="0.2">
      <c r="B131" s="149"/>
      <c r="C131" s="150"/>
      <c r="D131" s="150"/>
      <c r="E131" s="150"/>
      <c r="F131" s="150"/>
      <c r="G131" s="150"/>
      <c r="H131" s="150"/>
      <c r="I131" s="150"/>
    </row>
    <row r="132" spans="2:9" x14ac:dyDescent="0.2">
      <c r="B132" s="129" t="s">
        <v>213</v>
      </c>
      <c r="C132" s="118">
        <v>86605</v>
      </c>
      <c r="D132" s="118">
        <v>26763</v>
      </c>
      <c r="E132" s="118">
        <v>59842</v>
      </c>
      <c r="F132" s="118">
        <v>84163</v>
      </c>
      <c r="G132" s="118">
        <v>0</v>
      </c>
      <c r="H132" s="118">
        <v>0</v>
      </c>
      <c r="I132" s="118">
        <v>14230</v>
      </c>
    </row>
    <row r="133" spans="2:9" x14ac:dyDescent="0.2">
      <c r="B133" s="129" t="s">
        <v>599</v>
      </c>
      <c r="C133" s="118">
        <v>18268</v>
      </c>
      <c r="D133" s="118">
        <v>2642</v>
      </c>
      <c r="E133" s="118">
        <v>15626</v>
      </c>
      <c r="F133" s="118">
        <v>2613</v>
      </c>
      <c r="G133" s="118">
        <v>0</v>
      </c>
      <c r="H133" s="118">
        <v>0</v>
      </c>
      <c r="I133" s="118">
        <v>976</v>
      </c>
    </row>
    <row r="134" spans="2:9" x14ac:dyDescent="0.2">
      <c r="B134" s="129" t="s">
        <v>215</v>
      </c>
      <c r="C134" s="118">
        <v>104873</v>
      </c>
      <c r="D134" s="118">
        <v>250</v>
      </c>
      <c r="E134" s="118">
        <v>104623</v>
      </c>
      <c r="F134" s="118">
        <v>6331</v>
      </c>
      <c r="G134" s="118">
        <v>0</v>
      </c>
      <c r="H134" s="118">
        <v>0</v>
      </c>
      <c r="I134" s="118">
        <v>4347</v>
      </c>
    </row>
    <row r="135" spans="2:9" x14ac:dyDescent="0.2">
      <c r="B135" s="129" t="s">
        <v>218</v>
      </c>
      <c r="C135" s="118">
        <v>1444</v>
      </c>
      <c r="D135" s="118">
        <v>59</v>
      </c>
      <c r="E135" s="118">
        <v>1385</v>
      </c>
      <c r="F135" s="118">
        <v>0</v>
      </c>
      <c r="G135" s="118">
        <v>0</v>
      </c>
      <c r="H135" s="118">
        <v>0</v>
      </c>
      <c r="I135" s="118">
        <v>42</v>
      </c>
    </row>
    <row r="136" spans="2:9" x14ac:dyDescent="0.2">
      <c r="B136" s="129" t="s">
        <v>819</v>
      </c>
      <c r="C136" s="118">
        <v>1</v>
      </c>
      <c r="D136" s="118">
        <v>0</v>
      </c>
      <c r="E136" s="118">
        <v>1</v>
      </c>
      <c r="F136" s="118">
        <v>0</v>
      </c>
      <c r="G136" s="118">
        <v>0</v>
      </c>
      <c r="H136" s="118">
        <v>0</v>
      </c>
      <c r="I136" s="118">
        <v>0</v>
      </c>
    </row>
    <row r="137" spans="2:9" x14ac:dyDescent="0.2">
      <c r="B137" s="129" t="s">
        <v>477</v>
      </c>
      <c r="C137" s="118">
        <v>55186</v>
      </c>
      <c r="D137" s="118">
        <v>14366</v>
      </c>
      <c r="E137" s="118">
        <v>40820</v>
      </c>
      <c r="F137" s="118">
        <v>77165</v>
      </c>
      <c r="G137" s="118">
        <v>0</v>
      </c>
      <c r="H137" s="118">
        <v>0</v>
      </c>
      <c r="I137" s="118">
        <v>10288</v>
      </c>
    </row>
    <row r="138" spans="2:9" x14ac:dyDescent="0.2">
      <c r="B138" s="129" t="s">
        <v>766</v>
      </c>
      <c r="C138" s="118">
        <v>7894</v>
      </c>
      <c r="D138" s="118">
        <v>2</v>
      </c>
      <c r="E138" s="118">
        <v>7892</v>
      </c>
      <c r="F138" s="118">
        <v>0</v>
      </c>
      <c r="G138" s="118">
        <v>0</v>
      </c>
      <c r="H138" s="118">
        <v>0</v>
      </c>
      <c r="I138" s="118">
        <v>-206</v>
      </c>
    </row>
    <row r="139" spans="2:9" x14ac:dyDescent="0.2">
      <c r="B139" s="126" t="s">
        <v>1153</v>
      </c>
      <c r="C139" s="120">
        <f>SUM(C132:C138)</f>
        <v>274271</v>
      </c>
      <c r="D139" s="120">
        <f>SUM(D132:D138)</f>
        <v>44082</v>
      </c>
      <c r="E139" s="120">
        <f>SUM(E132:E138)</f>
        <v>230189</v>
      </c>
      <c r="F139" s="120">
        <f>SUM(F132:F138)</f>
        <v>170272</v>
      </c>
      <c r="G139" s="120"/>
      <c r="H139" s="120"/>
      <c r="I139" s="120">
        <f>SUM(I132:I138)</f>
        <v>29677</v>
      </c>
    </row>
    <row r="140" spans="2:9" x14ac:dyDescent="0.2">
      <c r="B140" s="149"/>
      <c r="C140" s="150"/>
      <c r="D140" s="150"/>
      <c r="E140" s="150"/>
      <c r="F140" s="150"/>
      <c r="G140" s="150"/>
      <c r="H140" s="150"/>
      <c r="I140" s="150"/>
    </row>
    <row r="141" spans="2:9" x14ac:dyDescent="0.2">
      <c r="B141" s="129" t="s">
        <v>213</v>
      </c>
      <c r="C141" s="118">
        <v>95448</v>
      </c>
      <c r="D141" s="118">
        <v>29839</v>
      </c>
      <c r="E141" s="118">
        <v>65609</v>
      </c>
      <c r="F141" s="118">
        <v>54604</v>
      </c>
      <c r="G141" s="118">
        <v>0</v>
      </c>
      <c r="H141" s="118">
        <v>0</v>
      </c>
      <c r="I141" s="118">
        <v>9397</v>
      </c>
    </row>
    <row r="142" spans="2:9" x14ac:dyDescent="0.2">
      <c r="B142" s="129" t="s">
        <v>599</v>
      </c>
      <c r="C142" s="118">
        <v>18084</v>
      </c>
      <c r="D142" s="118">
        <v>2843</v>
      </c>
      <c r="E142" s="118">
        <v>15241</v>
      </c>
      <c r="F142" s="118">
        <v>1667</v>
      </c>
      <c r="G142" s="118">
        <v>0</v>
      </c>
      <c r="H142" s="118">
        <v>0</v>
      </c>
      <c r="I142" s="118">
        <v>591</v>
      </c>
    </row>
    <row r="143" spans="2:9" x14ac:dyDescent="0.2">
      <c r="B143" s="129" t="s">
        <v>215</v>
      </c>
      <c r="C143" s="118">
        <v>107041</v>
      </c>
      <c r="D143" s="118">
        <v>316</v>
      </c>
      <c r="E143" s="118">
        <v>106725</v>
      </c>
      <c r="F143" s="118">
        <v>4553</v>
      </c>
      <c r="G143" s="118">
        <v>0</v>
      </c>
      <c r="H143" s="118">
        <v>0</v>
      </c>
      <c r="I143" s="118">
        <v>3224</v>
      </c>
    </row>
    <row r="144" spans="2:9" x14ac:dyDescent="0.2">
      <c r="B144" s="129" t="s">
        <v>218</v>
      </c>
      <c r="C144" s="118">
        <v>1424</v>
      </c>
      <c r="D144" s="118">
        <v>58</v>
      </c>
      <c r="E144" s="118">
        <v>1366</v>
      </c>
      <c r="F144" s="118">
        <v>0</v>
      </c>
      <c r="G144" s="118">
        <v>0</v>
      </c>
      <c r="H144" s="118">
        <v>0</v>
      </c>
      <c r="I144" s="118">
        <v>23</v>
      </c>
    </row>
    <row r="145" spans="2:9" x14ac:dyDescent="0.2">
      <c r="B145" s="129" t="s">
        <v>819</v>
      </c>
      <c r="C145" s="118">
        <v>1</v>
      </c>
      <c r="D145" s="118">
        <v>0</v>
      </c>
      <c r="E145" s="118">
        <v>1</v>
      </c>
      <c r="F145" s="118">
        <v>0</v>
      </c>
      <c r="G145" s="118">
        <v>0</v>
      </c>
      <c r="H145" s="118">
        <v>0</v>
      </c>
      <c r="I145" s="118">
        <v>0</v>
      </c>
    </row>
    <row r="146" spans="2:9" x14ac:dyDescent="0.2">
      <c r="B146" s="129" t="s">
        <v>477</v>
      </c>
      <c r="C146" s="118">
        <v>67868</v>
      </c>
      <c r="D146" s="118">
        <v>16224</v>
      </c>
      <c r="E146" s="118">
        <v>51644</v>
      </c>
      <c r="F146" s="118">
        <v>47689</v>
      </c>
      <c r="G146" s="118">
        <v>0</v>
      </c>
      <c r="H146" s="118">
        <v>0</v>
      </c>
      <c r="I146" s="118">
        <v>6217</v>
      </c>
    </row>
    <row r="147" spans="2:9" x14ac:dyDescent="0.2">
      <c r="B147" s="129" t="s">
        <v>766</v>
      </c>
      <c r="C147" s="118">
        <v>7361</v>
      </c>
      <c r="D147" s="118">
        <v>0</v>
      </c>
      <c r="E147" s="118">
        <v>7361</v>
      </c>
      <c r="F147" s="118">
        <v>0</v>
      </c>
      <c r="G147" s="118">
        <v>0</v>
      </c>
      <c r="H147" s="118">
        <v>0</v>
      </c>
      <c r="I147" s="118">
        <v>-437</v>
      </c>
    </row>
    <row r="148" spans="2:9" x14ac:dyDescent="0.2">
      <c r="B148" s="126" t="s">
        <v>1137</v>
      </c>
      <c r="C148" s="120">
        <f>SUM(C141:C147)</f>
        <v>297227</v>
      </c>
      <c r="D148" s="120">
        <f>SUM(D141:D147)</f>
        <v>49280</v>
      </c>
      <c r="E148" s="120">
        <f>SUM(E141:E147)</f>
        <v>247947</v>
      </c>
      <c r="F148" s="120">
        <f>SUM(F141:F147)</f>
        <v>108513</v>
      </c>
      <c r="G148" s="120"/>
      <c r="H148" s="120"/>
      <c r="I148" s="120">
        <f>SUM(I141:I147)</f>
        <v>19015</v>
      </c>
    </row>
    <row r="150" spans="2:9" x14ac:dyDescent="0.2">
      <c r="B150" s="129" t="s">
        <v>213</v>
      </c>
      <c r="C150" s="118">
        <v>100409</v>
      </c>
      <c r="D150" s="118">
        <v>28573</v>
      </c>
      <c r="E150" s="118">
        <v>71836</v>
      </c>
      <c r="F150" s="118">
        <v>28155</v>
      </c>
      <c r="G150" s="118">
        <v>0</v>
      </c>
      <c r="H150" s="118">
        <v>0</v>
      </c>
      <c r="I150" s="118">
        <v>5624</v>
      </c>
    </row>
    <row r="151" spans="2:9" x14ac:dyDescent="0.2">
      <c r="B151" s="129" t="s">
        <v>599</v>
      </c>
      <c r="C151" s="118">
        <v>17795</v>
      </c>
      <c r="D151" s="118">
        <v>2916</v>
      </c>
      <c r="E151" s="118">
        <v>14879</v>
      </c>
      <c r="F151" s="118">
        <v>826</v>
      </c>
      <c r="G151" s="118">
        <v>0</v>
      </c>
      <c r="H151" s="118">
        <v>0</v>
      </c>
      <c r="I151" s="118">
        <v>229</v>
      </c>
    </row>
    <row r="152" spans="2:9" x14ac:dyDescent="0.2">
      <c r="B152" s="129" t="s">
        <v>215</v>
      </c>
      <c r="C152" s="118">
        <v>111340</v>
      </c>
      <c r="D152" s="118">
        <v>362</v>
      </c>
      <c r="E152" s="118">
        <v>110978</v>
      </c>
      <c r="F152" s="118">
        <v>2250</v>
      </c>
      <c r="G152" s="118">
        <v>0</v>
      </c>
      <c r="H152" s="118">
        <v>0</v>
      </c>
      <c r="I152" s="118">
        <v>1562</v>
      </c>
    </row>
    <row r="153" spans="2:9" x14ac:dyDescent="0.2">
      <c r="B153" s="129" t="s">
        <v>218</v>
      </c>
      <c r="C153" s="118">
        <v>1405</v>
      </c>
      <c r="D153" s="118">
        <v>56</v>
      </c>
      <c r="E153" s="118">
        <v>1349</v>
      </c>
      <c r="F153" s="118">
        <v>0</v>
      </c>
      <c r="G153" s="118">
        <v>0</v>
      </c>
      <c r="H153" s="118">
        <v>0</v>
      </c>
      <c r="I153" s="118">
        <v>6</v>
      </c>
    </row>
    <row r="154" spans="2:9" x14ac:dyDescent="0.2">
      <c r="B154" s="129" t="s">
        <v>819</v>
      </c>
      <c r="C154" s="118">
        <v>1</v>
      </c>
      <c r="D154" s="118">
        <v>0</v>
      </c>
      <c r="E154" s="118">
        <v>1</v>
      </c>
      <c r="F154" s="118">
        <v>0</v>
      </c>
      <c r="G154" s="118">
        <v>0</v>
      </c>
      <c r="H154" s="118">
        <v>0</v>
      </c>
      <c r="I154" s="118">
        <v>0</v>
      </c>
    </row>
    <row r="155" spans="2:9" x14ac:dyDescent="0.2">
      <c r="B155" s="129" t="s">
        <v>477</v>
      </c>
      <c r="C155" s="118">
        <v>87660</v>
      </c>
      <c r="D155" s="118">
        <v>10300</v>
      </c>
      <c r="E155" s="118">
        <v>77360</v>
      </c>
      <c r="F155" s="118">
        <v>20847</v>
      </c>
      <c r="G155" s="118">
        <v>0</v>
      </c>
      <c r="H155" s="118">
        <v>0</v>
      </c>
      <c r="I155" s="118">
        <v>2983</v>
      </c>
    </row>
    <row r="156" spans="2:9" x14ac:dyDescent="0.2">
      <c r="B156" s="129" t="s">
        <v>766</v>
      </c>
      <c r="C156" s="118">
        <v>6889</v>
      </c>
      <c r="D156" s="118">
        <v>58</v>
      </c>
      <c r="E156" s="118">
        <v>6831</v>
      </c>
      <c r="F156" s="118">
        <v>0</v>
      </c>
      <c r="G156" s="118">
        <v>0</v>
      </c>
      <c r="H156" s="118">
        <v>0</v>
      </c>
      <c r="I156" s="118">
        <v>133</v>
      </c>
    </row>
    <row r="157" spans="2:9" x14ac:dyDescent="0.2">
      <c r="B157" s="126" t="s">
        <v>1130</v>
      </c>
      <c r="C157" s="120">
        <f>SUM(C150:C156)</f>
        <v>325499</v>
      </c>
      <c r="D157" s="120">
        <f>SUM(D150:D156)</f>
        <v>42265</v>
      </c>
      <c r="E157" s="120">
        <f>SUM(E150:E156)</f>
        <v>283234</v>
      </c>
      <c r="F157" s="120">
        <f>SUM(F150:F156)</f>
        <v>52078</v>
      </c>
      <c r="G157" s="120"/>
      <c r="H157" s="120"/>
      <c r="I157" s="120">
        <f>SUM(I150:I156)</f>
        <v>10537</v>
      </c>
    </row>
    <row r="159" spans="2:9" x14ac:dyDescent="0.2">
      <c r="B159" s="129" t="s">
        <v>213</v>
      </c>
      <c r="C159" s="118">
        <v>93089</v>
      </c>
      <c r="D159" s="118">
        <v>26877</v>
      </c>
      <c r="E159" s="118">
        <v>66212</v>
      </c>
      <c r="F159" s="118">
        <v>91519</v>
      </c>
      <c r="G159" s="118">
        <v>0</v>
      </c>
      <c r="H159" s="118">
        <v>0</v>
      </c>
      <c r="I159" s="118">
        <v>18582</v>
      </c>
    </row>
    <row r="160" spans="2:9" x14ac:dyDescent="0.2">
      <c r="B160" s="129" t="s">
        <v>599</v>
      </c>
      <c r="C160" s="118">
        <v>17264</v>
      </c>
      <c r="D160" s="118">
        <v>2614</v>
      </c>
      <c r="E160" s="118">
        <v>14650</v>
      </c>
      <c r="F160" s="118">
        <v>2322</v>
      </c>
      <c r="G160" s="118">
        <v>0</v>
      </c>
      <c r="H160" s="118">
        <v>0</v>
      </c>
      <c r="I160" s="118">
        <v>-1325</v>
      </c>
    </row>
    <row r="161" spans="2:9" x14ac:dyDescent="0.2">
      <c r="B161" s="129" t="s">
        <v>215</v>
      </c>
      <c r="C161" s="118">
        <v>109757</v>
      </c>
      <c r="D161" s="118">
        <v>341</v>
      </c>
      <c r="E161" s="118">
        <v>109416</v>
      </c>
      <c r="F161" s="118">
        <v>8266</v>
      </c>
      <c r="G161" s="118">
        <v>0</v>
      </c>
      <c r="H161" s="118">
        <v>0</v>
      </c>
      <c r="I161" s="118">
        <v>3574</v>
      </c>
    </row>
    <row r="162" spans="2:9" x14ac:dyDescent="0.2">
      <c r="B162" s="129" t="s">
        <v>218</v>
      </c>
      <c r="C162" s="118">
        <v>1415</v>
      </c>
      <c r="D162" s="118">
        <v>72</v>
      </c>
      <c r="E162" s="118">
        <v>1343</v>
      </c>
      <c r="F162" s="118">
        <v>0</v>
      </c>
      <c r="G162" s="118">
        <v>0</v>
      </c>
      <c r="H162" s="118">
        <v>0</v>
      </c>
      <c r="I162" s="118">
        <v>-1</v>
      </c>
    </row>
    <row r="163" spans="2:9" x14ac:dyDescent="0.2">
      <c r="B163" s="129" t="s">
        <v>819</v>
      </c>
      <c r="C163" s="118">
        <v>1</v>
      </c>
      <c r="D163" s="118">
        <v>0</v>
      </c>
      <c r="E163" s="118">
        <v>1</v>
      </c>
      <c r="F163" s="118">
        <v>0</v>
      </c>
      <c r="G163" s="118">
        <v>0</v>
      </c>
      <c r="H163" s="118">
        <v>0</v>
      </c>
      <c r="I163" s="118">
        <v>0</v>
      </c>
    </row>
    <row r="164" spans="2:9" x14ac:dyDescent="0.2">
      <c r="B164" s="129" t="s">
        <v>477</v>
      </c>
      <c r="C164" s="118">
        <v>74126</v>
      </c>
      <c r="D164" s="118">
        <v>10984</v>
      </c>
      <c r="E164" s="118">
        <v>63142</v>
      </c>
      <c r="F164" s="118">
        <v>82168</v>
      </c>
      <c r="G164" s="118">
        <v>0</v>
      </c>
      <c r="H164" s="118">
        <v>0</v>
      </c>
      <c r="I164" s="118">
        <v>8657</v>
      </c>
    </row>
    <row r="165" spans="2:9" x14ac:dyDescent="0.2">
      <c r="B165" s="129" t="s">
        <v>766</v>
      </c>
      <c r="C165" s="118">
        <v>7674</v>
      </c>
      <c r="D165" s="118">
        <v>976</v>
      </c>
      <c r="E165" s="118">
        <v>6698</v>
      </c>
      <c r="F165" s="118">
        <v>17</v>
      </c>
      <c r="G165" s="118">
        <v>0</v>
      </c>
      <c r="H165" s="118">
        <v>0</v>
      </c>
      <c r="I165" s="118">
        <v>1791</v>
      </c>
    </row>
    <row r="166" spans="2:9" x14ac:dyDescent="0.2">
      <c r="B166" s="126" t="s">
        <v>1109</v>
      </c>
      <c r="C166" s="120">
        <v>303326</v>
      </c>
      <c r="D166" s="120">
        <v>41864</v>
      </c>
      <c r="E166" s="120">
        <v>261462</v>
      </c>
      <c r="F166" s="120">
        <v>184292</v>
      </c>
      <c r="G166" s="120"/>
      <c r="H166" s="120"/>
      <c r="I166" s="120">
        <v>31278</v>
      </c>
    </row>
    <row r="168" spans="2:9" x14ac:dyDescent="0.2">
      <c r="B168" s="129" t="s">
        <v>213</v>
      </c>
      <c r="C168" s="118">
        <v>104162</v>
      </c>
      <c r="D168" s="118">
        <v>40683</v>
      </c>
      <c r="E168" s="118">
        <v>63479</v>
      </c>
      <c r="F168" s="118">
        <v>69594</v>
      </c>
      <c r="G168" s="118">
        <v>0</v>
      </c>
      <c r="H168" s="118">
        <v>0</v>
      </c>
      <c r="I168" s="118">
        <v>15849</v>
      </c>
    </row>
    <row r="169" spans="2:9" x14ac:dyDescent="0.2">
      <c r="B169" s="129" t="s">
        <v>599</v>
      </c>
      <c r="C169" s="118">
        <v>17240</v>
      </c>
      <c r="D169" s="118">
        <v>2594</v>
      </c>
      <c r="E169" s="118">
        <v>14646</v>
      </c>
      <c r="F169" s="118">
        <v>1755</v>
      </c>
      <c r="G169" s="118">
        <v>0</v>
      </c>
      <c r="H169" s="118">
        <v>0</v>
      </c>
      <c r="I169" s="118">
        <v>-1329</v>
      </c>
    </row>
    <row r="170" spans="2:9" x14ac:dyDescent="0.2">
      <c r="B170" s="129" t="s">
        <v>215</v>
      </c>
      <c r="C170" s="118">
        <v>111071</v>
      </c>
      <c r="D170" s="118">
        <v>2994</v>
      </c>
      <c r="E170" s="118">
        <v>108077</v>
      </c>
      <c r="F170" s="118">
        <v>6085</v>
      </c>
      <c r="G170" s="118">
        <v>0</v>
      </c>
      <c r="H170" s="118">
        <v>0</v>
      </c>
      <c r="I170" s="118">
        <v>2235</v>
      </c>
    </row>
    <row r="171" spans="2:9" x14ac:dyDescent="0.2">
      <c r="B171" s="129" t="s">
        <v>218</v>
      </c>
      <c r="C171" s="118">
        <v>1433</v>
      </c>
      <c r="D171" s="118">
        <v>84</v>
      </c>
      <c r="E171" s="118">
        <v>1349</v>
      </c>
      <c r="F171" s="118">
        <v>0</v>
      </c>
      <c r="G171" s="118">
        <v>0</v>
      </c>
      <c r="H171" s="118">
        <v>0</v>
      </c>
      <c r="I171" s="118">
        <v>5</v>
      </c>
    </row>
    <row r="172" spans="2:9" x14ac:dyDescent="0.2">
      <c r="B172" s="129" t="s">
        <v>819</v>
      </c>
      <c r="C172" s="118">
        <v>1</v>
      </c>
      <c r="D172" s="118">
        <v>0</v>
      </c>
      <c r="E172" s="118">
        <v>1</v>
      </c>
      <c r="F172" s="118">
        <v>0</v>
      </c>
      <c r="G172" s="118">
        <v>0</v>
      </c>
      <c r="H172" s="118">
        <v>0</v>
      </c>
      <c r="I172" s="118">
        <v>0</v>
      </c>
    </row>
    <row r="173" spans="2:9" x14ac:dyDescent="0.2">
      <c r="B173" s="129" t="s">
        <v>477</v>
      </c>
      <c r="C173" s="118">
        <v>52387</v>
      </c>
      <c r="D173" s="118">
        <v>9652</v>
      </c>
      <c r="E173" s="118">
        <v>42735</v>
      </c>
      <c r="F173" s="118">
        <v>60123</v>
      </c>
      <c r="G173" s="118">
        <v>0</v>
      </c>
      <c r="H173" s="118">
        <v>0</v>
      </c>
      <c r="I173" s="118">
        <v>6063</v>
      </c>
    </row>
    <row r="174" spans="2:9" x14ac:dyDescent="0.2">
      <c r="B174" s="129" t="s">
        <v>766</v>
      </c>
      <c r="C174" s="118">
        <v>5193</v>
      </c>
      <c r="D174" s="118">
        <v>38</v>
      </c>
      <c r="E174" s="118">
        <v>5155</v>
      </c>
      <c r="F174" s="118">
        <v>13</v>
      </c>
      <c r="G174" s="118">
        <v>0</v>
      </c>
      <c r="H174" s="118">
        <v>0</v>
      </c>
      <c r="I174" s="118">
        <v>248</v>
      </c>
    </row>
    <row r="175" spans="2:9" x14ac:dyDescent="0.2">
      <c r="B175" s="126" t="s">
        <v>1100</v>
      </c>
      <c r="C175" s="120">
        <f>SUM(C168:C174)</f>
        <v>291487</v>
      </c>
      <c r="D175" s="120">
        <f>SUM(D168:D174)</f>
        <v>56045</v>
      </c>
      <c r="E175" s="120">
        <f>SUM(E168:E174)</f>
        <v>235442</v>
      </c>
      <c r="F175" s="120">
        <f>SUM(F168:F174)</f>
        <v>137570</v>
      </c>
      <c r="G175" s="120"/>
      <c r="H175" s="120"/>
      <c r="I175" s="120">
        <f>SUM(I168:I174)</f>
        <v>23071</v>
      </c>
    </row>
    <row r="177" spans="2:9" x14ac:dyDescent="0.2">
      <c r="B177" s="129" t="s">
        <v>213</v>
      </c>
      <c r="C177" s="118">
        <v>101480</v>
      </c>
      <c r="D177" s="118">
        <v>42499</v>
      </c>
      <c r="E177" s="118">
        <v>58981</v>
      </c>
      <c r="F177" s="118">
        <v>44990</v>
      </c>
      <c r="G177" s="118">
        <v>0</v>
      </c>
      <c r="H177" s="118">
        <v>0</v>
      </c>
      <c r="I177" s="118">
        <v>11351</v>
      </c>
    </row>
    <row r="178" spans="2:9" x14ac:dyDescent="0.2">
      <c r="B178" s="129" t="s">
        <v>599</v>
      </c>
      <c r="C178" s="118">
        <v>17846</v>
      </c>
      <c r="D178" s="118">
        <v>3190</v>
      </c>
      <c r="E178" s="118">
        <v>14656</v>
      </c>
      <c r="F178" s="118">
        <v>1382</v>
      </c>
      <c r="G178" s="118">
        <v>0</v>
      </c>
      <c r="H178" s="118">
        <v>0</v>
      </c>
      <c r="I178" s="118">
        <v>-1319</v>
      </c>
    </row>
    <row r="179" spans="2:9" x14ac:dyDescent="0.2">
      <c r="B179" s="129" t="s">
        <v>215</v>
      </c>
      <c r="C179" s="118">
        <v>109717</v>
      </c>
      <c r="D179" s="118">
        <v>3018</v>
      </c>
      <c r="E179" s="118">
        <v>106699</v>
      </c>
      <c r="F179" s="118">
        <v>3933</v>
      </c>
      <c r="G179" s="118">
        <v>0</v>
      </c>
      <c r="H179" s="118">
        <v>0</v>
      </c>
      <c r="I179" s="118">
        <v>856</v>
      </c>
    </row>
    <row r="180" spans="2:9" x14ac:dyDescent="0.2">
      <c r="B180" s="129" t="s">
        <v>218</v>
      </c>
      <c r="C180" s="118">
        <v>1556</v>
      </c>
      <c r="D180" s="118">
        <v>228</v>
      </c>
      <c r="E180" s="118">
        <v>1328</v>
      </c>
      <c r="F180" s="118">
        <v>0</v>
      </c>
      <c r="G180" s="118">
        <v>0</v>
      </c>
      <c r="H180" s="118">
        <v>0</v>
      </c>
      <c r="I180" s="118">
        <v>-16</v>
      </c>
    </row>
    <row r="181" spans="2:9" x14ac:dyDescent="0.2">
      <c r="B181" s="129" t="s">
        <v>819</v>
      </c>
      <c r="C181" s="118">
        <v>1</v>
      </c>
      <c r="D181" s="118">
        <v>0</v>
      </c>
      <c r="E181" s="118">
        <v>1</v>
      </c>
      <c r="F181" s="118">
        <v>0</v>
      </c>
      <c r="G181" s="118">
        <v>0</v>
      </c>
      <c r="H181" s="118">
        <v>0</v>
      </c>
      <c r="I181" s="118">
        <v>0</v>
      </c>
    </row>
    <row r="182" spans="2:9" x14ac:dyDescent="0.2">
      <c r="B182" s="129" t="s">
        <v>477</v>
      </c>
      <c r="C182" s="118">
        <v>38086</v>
      </c>
      <c r="D182" s="118">
        <v>9477</v>
      </c>
      <c r="E182" s="118">
        <v>28609</v>
      </c>
      <c r="F182" s="118">
        <v>40632</v>
      </c>
      <c r="G182" s="118">
        <v>0</v>
      </c>
      <c r="H182" s="118">
        <v>0</v>
      </c>
      <c r="I182" s="118">
        <v>3945</v>
      </c>
    </row>
    <row r="183" spans="2:9" x14ac:dyDescent="0.2">
      <c r="B183" s="129" t="s">
        <v>766</v>
      </c>
      <c r="C183" s="118">
        <v>5162</v>
      </c>
      <c r="D183" s="118">
        <v>65</v>
      </c>
      <c r="E183" s="118">
        <v>5097</v>
      </c>
      <c r="F183" s="118">
        <v>8</v>
      </c>
      <c r="G183" s="118">
        <v>0</v>
      </c>
      <c r="H183" s="118">
        <v>0</v>
      </c>
      <c r="I183" s="118">
        <v>190</v>
      </c>
    </row>
    <row r="184" spans="2:9" x14ac:dyDescent="0.2">
      <c r="B184" s="126" t="s">
        <v>1073</v>
      </c>
      <c r="C184" s="120">
        <f>SUM(C177:C183)</f>
        <v>273848</v>
      </c>
      <c r="D184" s="120">
        <f>SUM(D177:D183)</f>
        <v>58477</v>
      </c>
      <c r="E184" s="120">
        <f>SUM(E177:E183)</f>
        <v>215371</v>
      </c>
      <c r="F184" s="120">
        <f>SUM(F177:F183)</f>
        <v>90945</v>
      </c>
      <c r="G184" s="120"/>
      <c r="H184" s="120"/>
      <c r="I184" s="120">
        <f>SUM(I177:I183)</f>
        <v>15007</v>
      </c>
    </row>
    <row r="186" spans="2:9" x14ac:dyDescent="0.2">
      <c r="B186" s="129" t="s">
        <v>213</v>
      </c>
      <c r="C186" s="118">
        <v>91938</v>
      </c>
      <c r="D186" s="118">
        <v>32123</v>
      </c>
      <c r="E186" s="118">
        <v>59815</v>
      </c>
      <c r="F186" s="118">
        <v>20486</v>
      </c>
      <c r="G186" s="118">
        <v>0</v>
      </c>
      <c r="H186" s="118">
        <v>0</v>
      </c>
      <c r="I186" s="118">
        <v>2185</v>
      </c>
    </row>
    <row r="187" spans="2:9" x14ac:dyDescent="0.2">
      <c r="B187" s="129" t="s">
        <v>599</v>
      </c>
      <c r="C187" s="118">
        <v>19886</v>
      </c>
      <c r="D187" s="118">
        <v>4350</v>
      </c>
      <c r="E187" s="118">
        <v>15536</v>
      </c>
      <c r="F187" s="118">
        <v>1132</v>
      </c>
      <c r="G187" s="118">
        <v>0</v>
      </c>
      <c r="H187" s="118">
        <v>0</v>
      </c>
      <c r="I187" s="118">
        <v>-439</v>
      </c>
    </row>
    <row r="188" spans="2:9" x14ac:dyDescent="0.2">
      <c r="B188" s="129" t="s">
        <v>215</v>
      </c>
      <c r="C188" s="118">
        <v>109844</v>
      </c>
      <c r="D188" s="118">
        <v>247</v>
      </c>
      <c r="E188" s="118">
        <v>109597</v>
      </c>
      <c r="F188" s="118">
        <v>1860</v>
      </c>
      <c r="G188" s="118">
        <v>0</v>
      </c>
      <c r="H188" s="118">
        <v>0</v>
      </c>
      <c r="I188" s="118">
        <v>1069</v>
      </c>
    </row>
    <row r="189" spans="2:9" x14ac:dyDescent="0.2">
      <c r="B189" s="129" t="s">
        <v>218</v>
      </c>
      <c r="C189" s="118">
        <v>1548</v>
      </c>
      <c r="D189" s="118">
        <v>170</v>
      </c>
      <c r="E189" s="118">
        <v>1378</v>
      </c>
      <c r="F189" s="118">
        <v>0</v>
      </c>
      <c r="G189" s="118">
        <v>0</v>
      </c>
      <c r="H189" s="118">
        <v>0</v>
      </c>
      <c r="I189" s="118">
        <v>1</v>
      </c>
    </row>
    <row r="190" spans="2:9" x14ac:dyDescent="0.2">
      <c r="B190" s="129" t="s">
        <v>819</v>
      </c>
      <c r="C190" s="118">
        <v>1</v>
      </c>
      <c r="D190" s="118">
        <v>0</v>
      </c>
      <c r="E190" s="118">
        <v>1</v>
      </c>
      <c r="F190" s="118">
        <v>0</v>
      </c>
      <c r="G190" s="118">
        <v>0</v>
      </c>
      <c r="H190" s="118">
        <v>0</v>
      </c>
      <c r="I190" s="118">
        <v>0</v>
      </c>
    </row>
    <row r="191" spans="2:9" x14ac:dyDescent="0.2">
      <c r="B191" s="129" t="s">
        <v>477</v>
      </c>
      <c r="C191" s="118">
        <v>34389</v>
      </c>
      <c r="D191" s="118">
        <v>7439</v>
      </c>
      <c r="E191" s="118">
        <v>26950</v>
      </c>
      <c r="F191" s="118">
        <v>19148</v>
      </c>
      <c r="G191" s="118">
        <v>0</v>
      </c>
      <c r="H191" s="118">
        <v>0</v>
      </c>
      <c r="I191" s="118">
        <v>1624</v>
      </c>
    </row>
    <row r="192" spans="2:9" x14ac:dyDescent="0.2">
      <c r="B192" s="129" t="s">
        <v>766</v>
      </c>
      <c r="C192" s="118">
        <v>4892</v>
      </c>
      <c r="D192" s="118">
        <v>3</v>
      </c>
      <c r="E192" s="118">
        <v>4889</v>
      </c>
      <c r="F192" s="118">
        <v>4</v>
      </c>
      <c r="G192" s="118">
        <v>0</v>
      </c>
      <c r="H192" s="118">
        <v>0</v>
      </c>
      <c r="I192" s="118">
        <v>-18</v>
      </c>
    </row>
    <row r="193" spans="2:9" x14ac:dyDescent="0.2">
      <c r="B193" s="126" t="s">
        <v>1069</v>
      </c>
      <c r="C193" s="120">
        <f>SUM(C186:C192)</f>
        <v>262498</v>
      </c>
      <c r="D193" s="120">
        <f>SUM(D186:D192)</f>
        <v>44332</v>
      </c>
      <c r="E193" s="120">
        <f>SUM(E186:E192)</f>
        <v>218166</v>
      </c>
      <c r="F193" s="120">
        <f>SUM(F186:F192)</f>
        <v>42630</v>
      </c>
      <c r="G193" s="120"/>
      <c r="H193" s="120"/>
      <c r="I193" s="120">
        <f>SUM(I186:I192)</f>
        <v>4422</v>
      </c>
    </row>
    <row r="195" spans="2:9" x14ac:dyDescent="0.2">
      <c r="B195" s="129" t="s">
        <v>213</v>
      </c>
      <c r="C195" s="118">
        <v>76338</v>
      </c>
      <c r="D195" s="118">
        <v>18708</v>
      </c>
      <c r="E195" s="118">
        <v>57630</v>
      </c>
      <c r="F195" s="118">
        <v>92878</v>
      </c>
      <c r="G195" s="118">
        <v>0</v>
      </c>
      <c r="H195" s="118">
        <v>0</v>
      </c>
      <c r="I195" s="118">
        <v>16963</v>
      </c>
    </row>
    <row r="196" spans="2:9" x14ac:dyDescent="0.2">
      <c r="B196" s="129" t="s">
        <v>599</v>
      </c>
      <c r="C196" s="118">
        <v>22415</v>
      </c>
      <c r="D196" s="118">
        <v>6440</v>
      </c>
      <c r="E196" s="118">
        <v>15975</v>
      </c>
      <c r="F196" s="118">
        <v>30786</v>
      </c>
      <c r="G196" s="118">
        <v>0</v>
      </c>
      <c r="H196" s="118">
        <v>0</v>
      </c>
      <c r="I196" s="118">
        <v>-1702</v>
      </c>
    </row>
    <row r="197" spans="2:9" x14ac:dyDescent="0.2">
      <c r="B197" s="129" t="s">
        <v>215</v>
      </c>
      <c r="C197" s="118">
        <v>108783</v>
      </c>
      <c r="D197" s="118">
        <v>255</v>
      </c>
      <c r="E197" s="118">
        <v>108528</v>
      </c>
      <c r="F197" s="118">
        <v>5733</v>
      </c>
      <c r="G197" s="118">
        <v>0</v>
      </c>
      <c r="H197" s="118">
        <v>0</v>
      </c>
      <c r="I197" s="118">
        <v>2827</v>
      </c>
    </row>
    <row r="198" spans="2:9" x14ac:dyDescent="0.2">
      <c r="B198" s="129" t="s">
        <v>218</v>
      </c>
      <c r="C198" s="118">
        <v>1547</v>
      </c>
      <c r="D198" s="118">
        <v>170</v>
      </c>
      <c r="E198" s="118">
        <v>1377</v>
      </c>
      <c r="F198" s="118">
        <v>0</v>
      </c>
      <c r="G198" s="118">
        <v>0</v>
      </c>
      <c r="H198" s="118">
        <v>0</v>
      </c>
      <c r="I198" s="118">
        <v>33</v>
      </c>
    </row>
    <row r="199" spans="2:9" x14ac:dyDescent="0.2">
      <c r="B199" s="129" t="s">
        <v>819</v>
      </c>
      <c r="C199" s="118">
        <v>1</v>
      </c>
      <c r="D199" s="118">
        <v>0</v>
      </c>
      <c r="E199" s="118">
        <v>1</v>
      </c>
      <c r="F199" s="118">
        <v>0</v>
      </c>
      <c r="G199" s="118">
        <v>0</v>
      </c>
      <c r="H199" s="118">
        <v>0</v>
      </c>
      <c r="I199" s="118">
        <v>0</v>
      </c>
    </row>
    <row r="200" spans="2:9" x14ac:dyDescent="0.2">
      <c r="B200" s="129" t="s">
        <v>477</v>
      </c>
      <c r="C200" s="118">
        <v>33564</v>
      </c>
      <c r="D200" s="118">
        <v>8238</v>
      </c>
      <c r="E200" s="118">
        <v>25326</v>
      </c>
      <c r="F200" s="118">
        <v>60107</v>
      </c>
      <c r="G200" s="118">
        <v>0</v>
      </c>
      <c r="H200" s="118">
        <v>0</v>
      </c>
      <c r="I200" s="118">
        <v>10574</v>
      </c>
    </row>
    <row r="201" spans="2:9" x14ac:dyDescent="0.2">
      <c r="B201" s="129" t="s">
        <v>766</v>
      </c>
      <c r="C201" s="118">
        <v>4924</v>
      </c>
      <c r="D201" s="118">
        <v>17</v>
      </c>
      <c r="E201" s="118">
        <v>4907</v>
      </c>
      <c r="F201" s="118">
        <v>17</v>
      </c>
      <c r="G201" s="118">
        <v>0</v>
      </c>
      <c r="H201" s="118">
        <v>0</v>
      </c>
      <c r="I201" s="118">
        <v>-9</v>
      </c>
    </row>
    <row r="202" spans="2:9" x14ac:dyDescent="0.2">
      <c r="B202" s="126" t="s">
        <v>1046</v>
      </c>
      <c r="C202" s="120">
        <f>SUM(C195:C201)</f>
        <v>247572</v>
      </c>
      <c r="D202" s="120">
        <f>SUM(D195:D201)</f>
        <v>33828</v>
      </c>
      <c r="E202" s="120">
        <f>SUM(E195:E201)</f>
        <v>213744</v>
      </c>
      <c r="F202" s="120">
        <f>SUM(F195:F201)</f>
        <v>189521</v>
      </c>
      <c r="G202" s="120"/>
      <c r="H202" s="120"/>
      <c r="I202" s="120">
        <f>SUM(I195:I201)</f>
        <v>28686</v>
      </c>
    </row>
    <row r="204" spans="2:9" x14ac:dyDescent="0.2">
      <c r="B204" s="129" t="s">
        <v>213</v>
      </c>
      <c r="C204" s="118">
        <v>96972</v>
      </c>
      <c r="D204" s="118">
        <v>43726</v>
      </c>
      <c r="E204" s="118">
        <v>53246</v>
      </c>
      <c r="F204" s="118">
        <v>69777</v>
      </c>
      <c r="G204" s="118">
        <v>0</v>
      </c>
      <c r="H204" s="118">
        <v>0</v>
      </c>
      <c r="I204" s="118">
        <v>12580</v>
      </c>
    </row>
    <row r="205" spans="2:9" x14ac:dyDescent="0.2">
      <c r="B205" s="129" t="s">
        <v>1014</v>
      </c>
      <c r="C205" s="118">
        <v>1</v>
      </c>
      <c r="D205" s="118">
        <v>0</v>
      </c>
      <c r="E205" s="118">
        <v>1</v>
      </c>
      <c r="F205" s="118">
        <v>0</v>
      </c>
      <c r="G205" s="118">
        <v>0</v>
      </c>
      <c r="H205" s="118">
        <v>0</v>
      </c>
      <c r="I205" s="118">
        <v>0</v>
      </c>
    </row>
    <row r="206" spans="2:9" x14ac:dyDescent="0.2">
      <c r="B206" s="129" t="s">
        <v>599</v>
      </c>
      <c r="C206" s="118">
        <v>28195</v>
      </c>
      <c r="D206" s="118">
        <v>8567</v>
      </c>
      <c r="E206" s="118">
        <v>19628</v>
      </c>
      <c r="F206" s="118">
        <v>26242</v>
      </c>
      <c r="G206" s="118">
        <v>0</v>
      </c>
      <c r="H206" s="118">
        <v>0</v>
      </c>
      <c r="I206" s="118">
        <v>1951</v>
      </c>
    </row>
    <row r="207" spans="2:9" x14ac:dyDescent="0.2">
      <c r="B207" s="129" t="s">
        <v>215</v>
      </c>
      <c r="C207" s="118">
        <v>107650</v>
      </c>
      <c r="D207" s="118">
        <v>217</v>
      </c>
      <c r="E207" s="118">
        <v>107433</v>
      </c>
      <c r="F207" s="118">
        <v>3822</v>
      </c>
      <c r="G207" s="118">
        <v>0</v>
      </c>
      <c r="H207" s="118">
        <v>0</v>
      </c>
      <c r="I207" s="118">
        <v>1732</v>
      </c>
    </row>
    <row r="208" spans="2:9" x14ac:dyDescent="0.2">
      <c r="B208" s="129" t="s">
        <v>218</v>
      </c>
      <c r="C208" s="118">
        <v>2726</v>
      </c>
      <c r="D208" s="118">
        <v>190</v>
      </c>
      <c r="E208" s="118">
        <v>2536</v>
      </c>
      <c r="F208" s="118">
        <v>0</v>
      </c>
      <c r="G208" s="118">
        <v>0</v>
      </c>
      <c r="H208" s="118">
        <v>0</v>
      </c>
      <c r="I208" s="118">
        <v>22</v>
      </c>
    </row>
    <row r="209" spans="2:9" x14ac:dyDescent="0.2">
      <c r="B209" s="129" t="s">
        <v>819</v>
      </c>
      <c r="C209" s="118">
        <v>1</v>
      </c>
      <c r="D209" s="118">
        <v>0</v>
      </c>
      <c r="E209" s="118">
        <v>1</v>
      </c>
      <c r="F209" s="118">
        <v>0</v>
      </c>
      <c r="G209" s="118">
        <v>0</v>
      </c>
      <c r="H209" s="118">
        <v>0</v>
      </c>
      <c r="I209" s="118">
        <v>0</v>
      </c>
    </row>
    <row r="210" spans="2:9" x14ac:dyDescent="0.2">
      <c r="B210" s="129" t="s">
        <v>477</v>
      </c>
      <c r="C210" s="118">
        <v>31405</v>
      </c>
      <c r="D210" s="118">
        <v>9088</v>
      </c>
      <c r="E210" s="118">
        <v>22317</v>
      </c>
      <c r="F210" s="118">
        <v>40255</v>
      </c>
      <c r="G210" s="118">
        <v>0</v>
      </c>
      <c r="H210" s="118">
        <v>0</v>
      </c>
      <c r="I210" s="118">
        <v>7565</v>
      </c>
    </row>
    <row r="211" spans="2:9" x14ac:dyDescent="0.2">
      <c r="B211" s="129" t="s">
        <v>766</v>
      </c>
      <c r="C211" s="118">
        <v>4648</v>
      </c>
      <c r="D211" s="118">
        <v>7</v>
      </c>
      <c r="E211" s="118">
        <v>4641</v>
      </c>
      <c r="F211" s="118">
        <v>13</v>
      </c>
      <c r="G211" s="118">
        <v>0</v>
      </c>
      <c r="H211" s="118">
        <v>0</v>
      </c>
      <c r="I211" s="118">
        <v>-40</v>
      </c>
    </row>
    <row r="212" spans="2:9" x14ac:dyDescent="0.2">
      <c r="B212" s="126" t="s">
        <v>1021</v>
      </c>
      <c r="C212" s="120">
        <f>SUM(C204:C211)</f>
        <v>271598</v>
      </c>
      <c r="D212" s="120">
        <f>SUM(D204:D211)</f>
        <v>61795</v>
      </c>
      <c r="E212" s="120">
        <f>SUM(E204:E211)</f>
        <v>209803</v>
      </c>
      <c r="F212" s="120">
        <f>SUM(F204:F211)</f>
        <v>140109</v>
      </c>
      <c r="G212" s="120"/>
      <c r="H212" s="120"/>
      <c r="I212" s="120">
        <f>SUM(I204:I211)</f>
        <v>23810</v>
      </c>
    </row>
    <row r="214" spans="2:9" x14ac:dyDescent="0.2">
      <c r="B214" s="129" t="s">
        <v>213</v>
      </c>
      <c r="C214" s="118">
        <v>94901</v>
      </c>
      <c r="D214" s="118">
        <v>46098</v>
      </c>
      <c r="E214" s="118">
        <v>48803</v>
      </c>
      <c r="F214" s="118">
        <v>46230</v>
      </c>
      <c r="G214" s="118">
        <v>0</v>
      </c>
      <c r="H214" s="118">
        <v>0</v>
      </c>
      <c r="I214" s="118">
        <v>8137</v>
      </c>
    </row>
    <row r="215" spans="2:9" x14ac:dyDescent="0.2">
      <c r="B215" s="129" t="s">
        <v>1014</v>
      </c>
      <c r="C215" s="118">
        <v>1</v>
      </c>
      <c r="D215" s="118">
        <v>0</v>
      </c>
      <c r="E215" s="118">
        <v>1</v>
      </c>
      <c r="F215" s="118">
        <v>0</v>
      </c>
      <c r="G215" s="118">
        <v>0</v>
      </c>
      <c r="H215" s="118">
        <v>0</v>
      </c>
      <c r="I215" s="118">
        <v>0</v>
      </c>
    </row>
    <row r="216" spans="2:9" x14ac:dyDescent="0.2">
      <c r="B216" s="129" t="s">
        <v>599</v>
      </c>
      <c r="C216" s="118">
        <v>31201</v>
      </c>
      <c r="D216" s="118">
        <v>12052</v>
      </c>
      <c r="E216" s="118">
        <v>19149</v>
      </c>
      <c r="F216" s="118">
        <v>18045</v>
      </c>
      <c r="G216" s="118">
        <v>0</v>
      </c>
      <c r="H216" s="118">
        <v>0</v>
      </c>
      <c r="I216" s="118">
        <v>1472</v>
      </c>
    </row>
    <row r="217" spans="2:9" x14ac:dyDescent="0.2">
      <c r="B217" s="129" t="s">
        <v>215</v>
      </c>
      <c r="C217" s="118">
        <v>107101</v>
      </c>
      <c r="D217" s="118">
        <v>236</v>
      </c>
      <c r="E217" s="118">
        <v>106865</v>
      </c>
      <c r="F217" s="118">
        <v>2525</v>
      </c>
      <c r="G217" s="118">
        <v>0</v>
      </c>
      <c r="H217" s="118">
        <v>0</v>
      </c>
      <c r="I217" s="118">
        <v>1164</v>
      </c>
    </row>
    <row r="218" spans="2:9" x14ac:dyDescent="0.2">
      <c r="B218" s="129" t="s">
        <v>218</v>
      </c>
      <c r="C218" s="118">
        <v>2724</v>
      </c>
      <c r="D218" s="118">
        <v>191</v>
      </c>
      <c r="E218" s="118">
        <v>2533</v>
      </c>
      <c r="F218" s="118">
        <v>0</v>
      </c>
      <c r="G218" s="118">
        <v>0</v>
      </c>
      <c r="H218" s="118">
        <v>0</v>
      </c>
      <c r="I218" s="118">
        <v>19</v>
      </c>
    </row>
    <row r="219" spans="2:9" x14ac:dyDescent="0.2">
      <c r="B219" s="129" t="s">
        <v>819</v>
      </c>
      <c r="C219" s="118">
        <v>1</v>
      </c>
      <c r="D219" s="118">
        <v>0</v>
      </c>
      <c r="E219" s="118">
        <v>1</v>
      </c>
      <c r="F219" s="118">
        <v>0</v>
      </c>
      <c r="G219" s="118">
        <v>0</v>
      </c>
      <c r="H219" s="118">
        <v>0</v>
      </c>
      <c r="I219" s="118">
        <v>0</v>
      </c>
    </row>
    <row r="220" spans="2:9" x14ac:dyDescent="0.2">
      <c r="B220" s="129" t="s">
        <v>477</v>
      </c>
      <c r="C220" s="118">
        <v>27614</v>
      </c>
      <c r="D220" s="118">
        <v>7765</v>
      </c>
      <c r="E220" s="118">
        <v>19849</v>
      </c>
      <c r="F220" s="118">
        <v>23591</v>
      </c>
      <c r="G220" s="118">
        <v>0</v>
      </c>
      <c r="H220" s="118">
        <v>0</v>
      </c>
      <c r="I220" s="118">
        <v>5097</v>
      </c>
    </row>
    <row r="221" spans="2:9" x14ac:dyDescent="0.2">
      <c r="B221" s="129" t="s">
        <v>766</v>
      </c>
      <c r="C221" s="118">
        <v>4634</v>
      </c>
      <c r="D221" s="118">
        <v>10</v>
      </c>
      <c r="E221" s="118">
        <v>4624</v>
      </c>
      <c r="F221" s="118">
        <v>8</v>
      </c>
      <c r="G221" s="118">
        <v>0</v>
      </c>
      <c r="H221" s="118">
        <v>0</v>
      </c>
      <c r="I221" s="118">
        <v>-27</v>
      </c>
    </row>
    <row r="222" spans="2:9" x14ac:dyDescent="0.2">
      <c r="B222" s="126" t="s">
        <v>951</v>
      </c>
      <c r="C222" s="120">
        <f>SUM(C214:C221)</f>
        <v>268177</v>
      </c>
      <c r="D222" s="120">
        <f>SUM(D214:D221)</f>
        <v>66352</v>
      </c>
      <c r="E222" s="120">
        <f>SUM(E214:E221)</f>
        <v>201825</v>
      </c>
      <c r="F222" s="120">
        <f>SUM(F214:F221)</f>
        <v>90399</v>
      </c>
      <c r="G222" s="120"/>
      <c r="H222" s="120"/>
      <c r="I222" s="120">
        <f>SUM(I214:I221)</f>
        <v>15862</v>
      </c>
    </row>
    <row r="224" spans="2:9" x14ac:dyDescent="0.2">
      <c r="B224" s="129" t="s">
        <v>213</v>
      </c>
      <c r="C224" s="118">
        <v>88814</v>
      </c>
      <c r="D224" s="118">
        <v>23398</v>
      </c>
      <c r="E224" s="118">
        <v>65416</v>
      </c>
      <c r="F224" s="118">
        <v>20579</v>
      </c>
      <c r="G224" s="118">
        <v>0</v>
      </c>
      <c r="H224" s="118">
        <v>0</v>
      </c>
      <c r="I224" s="118">
        <v>3433</v>
      </c>
    </row>
    <row r="225" spans="1:9" x14ac:dyDescent="0.2">
      <c r="B225" s="129" t="s">
        <v>1014</v>
      </c>
      <c r="C225" s="118">
        <v>1</v>
      </c>
      <c r="D225" s="118">
        <v>0</v>
      </c>
      <c r="E225" s="118">
        <v>1</v>
      </c>
      <c r="F225" s="118">
        <v>0</v>
      </c>
      <c r="G225" s="118">
        <v>0</v>
      </c>
      <c r="H225" s="118">
        <v>0</v>
      </c>
      <c r="I225" s="118">
        <v>0</v>
      </c>
    </row>
    <row r="226" spans="1:9" x14ac:dyDescent="0.2">
      <c r="B226" s="129" t="s">
        <v>599</v>
      </c>
      <c r="C226" s="118">
        <v>30460</v>
      </c>
      <c r="D226" s="118">
        <v>12679</v>
      </c>
      <c r="E226" s="118">
        <v>17781</v>
      </c>
      <c r="F226" s="118">
        <v>7641</v>
      </c>
      <c r="G226" s="118">
        <v>0</v>
      </c>
      <c r="H226" s="118">
        <v>0</v>
      </c>
      <c r="I226" s="118">
        <v>104</v>
      </c>
    </row>
    <row r="227" spans="1:9" x14ac:dyDescent="0.2">
      <c r="B227" s="129" t="s">
        <v>215</v>
      </c>
      <c r="C227" s="118">
        <v>108734</v>
      </c>
      <c r="D227" s="118">
        <v>573</v>
      </c>
      <c r="E227" s="118">
        <v>108161</v>
      </c>
      <c r="F227" s="118">
        <v>1240</v>
      </c>
      <c r="G227" s="118">
        <v>0</v>
      </c>
      <c r="H227" s="118">
        <v>0</v>
      </c>
      <c r="I227" s="118">
        <v>582</v>
      </c>
    </row>
    <row r="228" spans="1:9" x14ac:dyDescent="0.2">
      <c r="B228" s="129" t="s">
        <v>218</v>
      </c>
      <c r="C228" s="118">
        <v>2839</v>
      </c>
      <c r="D228" s="118">
        <v>163</v>
      </c>
      <c r="E228" s="118">
        <v>2676</v>
      </c>
      <c r="F228" s="118">
        <v>0</v>
      </c>
      <c r="G228" s="118">
        <v>0</v>
      </c>
      <c r="H228" s="118">
        <v>0</v>
      </c>
      <c r="I228" s="118">
        <v>12</v>
      </c>
    </row>
    <row r="229" spans="1:9" x14ac:dyDescent="0.2">
      <c r="B229" s="129" t="s">
        <v>819</v>
      </c>
      <c r="C229" s="118">
        <v>1</v>
      </c>
      <c r="D229" s="118">
        <v>0</v>
      </c>
      <c r="E229" s="118">
        <v>1</v>
      </c>
      <c r="F229" s="118">
        <v>0</v>
      </c>
      <c r="G229" s="118">
        <v>0</v>
      </c>
      <c r="H229" s="118">
        <v>0</v>
      </c>
      <c r="I229" s="118">
        <v>0</v>
      </c>
    </row>
    <row r="230" spans="1:9" x14ac:dyDescent="0.2">
      <c r="B230" s="129" t="s">
        <v>477</v>
      </c>
      <c r="C230" s="118">
        <v>26396</v>
      </c>
      <c r="D230" s="118">
        <v>8313</v>
      </c>
      <c r="E230" s="118">
        <v>18083</v>
      </c>
      <c r="F230" s="118">
        <v>15676</v>
      </c>
      <c r="G230" s="118">
        <v>0</v>
      </c>
      <c r="H230" s="118">
        <v>0</v>
      </c>
      <c r="I230" s="118">
        <v>3331</v>
      </c>
    </row>
    <row r="231" spans="1:9" x14ac:dyDescent="0.2">
      <c r="B231" s="129" t="s">
        <v>766</v>
      </c>
      <c r="C231" s="118">
        <v>4500</v>
      </c>
      <c r="D231" s="118">
        <v>4</v>
      </c>
      <c r="E231" s="118">
        <v>4496</v>
      </c>
      <c r="F231" s="118">
        <v>4</v>
      </c>
      <c r="G231" s="118">
        <v>0</v>
      </c>
      <c r="H231" s="118">
        <v>0</v>
      </c>
      <c r="I231" s="118">
        <v>-21</v>
      </c>
    </row>
    <row r="232" spans="1:9" x14ac:dyDescent="0.2">
      <c r="B232" s="126" t="s">
        <v>950</v>
      </c>
      <c r="C232" s="120">
        <f>SUM(C224:C231)</f>
        <v>261745</v>
      </c>
      <c r="D232" s="120">
        <f>SUM(D224:D231)</f>
        <v>45130</v>
      </c>
      <c r="E232" s="120">
        <f>SUM(E224:E231)</f>
        <v>216615</v>
      </c>
      <c r="F232" s="120">
        <f>SUM(F224:F231)</f>
        <v>45140</v>
      </c>
      <c r="G232" s="120"/>
      <c r="H232" s="120"/>
      <c r="I232" s="120">
        <f>SUM(I224:I231)</f>
        <v>7441</v>
      </c>
    </row>
    <row r="234" spans="1:9" x14ac:dyDescent="0.2">
      <c r="A234" s="809" t="s">
        <v>918</v>
      </c>
      <c r="B234" s="129" t="s">
        <v>213</v>
      </c>
      <c r="C234" s="118">
        <v>75911</v>
      </c>
      <c r="D234" s="118">
        <v>22654</v>
      </c>
      <c r="E234" s="118">
        <v>53257</v>
      </c>
      <c r="F234" s="118">
        <v>83993</v>
      </c>
      <c r="G234" s="118">
        <v>0</v>
      </c>
      <c r="H234" s="118">
        <v>0</v>
      </c>
      <c r="I234" s="118">
        <v>18704</v>
      </c>
    </row>
    <row r="235" spans="1:9" x14ac:dyDescent="0.2">
      <c r="B235" s="129" t="s">
        <v>599</v>
      </c>
      <c r="C235" s="118">
        <v>39365</v>
      </c>
      <c r="D235" s="118">
        <v>15942</v>
      </c>
      <c r="E235" s="118">
        <v>23423</v>
      </c>
      <c r="F235" s="118">
        <v>32165</v>
      </c>
      <c r="G235" s="118">
        <v>0</v>
      </c>
      <c r="H235" s="118">
        <v>0</v>
      </c>
      <c r="I235" s="118">
        <v>-2676</v>
      </c>
    </row>
    <row r="236" spans="1:9" x14ac:dyDescent="0.2">
      <c r="B236" s="129" t="s">
        <v>215</v>
      </c>
      <c r="C236" s="118">
        <v>107807</v>
      </c>
      <c r="D236" s="118">
        <v>228</v>
      </c>
      <c r="E236" s="118">
        <v>107579</v>
      </c>
      <c r="F236" s="118">
        <v>4776</v>
      </c>
      <c r="G236" s="118">
        <v>0</v>
      </c>
      <c r="H236" s="118">
        <v>0</v>
      </c>
      <c r="I236" s="118">
        <v>2596</v>
      </c>
    </row>
    <row r="237" spans="1:9" x14ac:dyDescent="0.2">
      <c r="B237" s="129" t="s">
        <v>218</v>
      </c>
      <c r="C237" s="118">
        <v>2827</v>
      </c>
      <c r="D237" s="118">
        <v>163</v>
      </c>
      <c r="E237" s="118">
        <v>2664</v>
      </c>
      <c r="F237" s="118">
        <v>0</v>
      </c>
      <c r="G237" s="118">
        <v>0</v>
      </c>
      <c r="H237" s="118">
        <v>0</v>
      </c>
      <c r="I237" s="118">
        <v>24</v>
      </c>
    </row>
    <row r="238" spans="1:9" x14ac:dyDescent="0.2">
      <c r="B238" s="129" t="s">
        <v>819</v>
      </c>
      <c r="C238" s="118">
        <v>1</v>
      </c>
      <c r="D238" s="118">
        <v>0</v>
      </c>
      <c r="E238" s="118">
        <v>1</v>
      </c>
      <c r="F238" s="118">
        <v>0</v>
      </c>
      <c r="G238" s="118">
        <v>0</v>
      </c>
      <c r="H238" s="118">
        <v>0</v>
      </c>
      <c r="I238" s="118">
        <v>0</v>
      </c>
    </row>
    <row r="239" spans="1:9" x14ac:dyDescent="0.2">
      <c r="B239" s="129" t="s">
        <v>477</v>
      </c>
      <c r="C239" s="118">
        <v>23956</v>
      </c>
      <c r="D239" s="118">
        <v>9204</v>
      </c>
      <c r="E239" s="118">
        <v>14752</v>
      </c>
      <c r="F239" s="118">
        <v>49416</v>
      </c>
      <c r="G239" s="118">
        <v>0</v>
      </c>
      <c r="H239" s="118">
        <v>0</v>
      </c>
      <c r="I239" s="118">
        <v>-496</v>
      </c>
    </row>
    <row r="240" spans="1:9" x14ac:dyDescent="0.2">
      <c r="B240" s="129" t="s">
        <v>766</v>
      </c>
      <c r="C240" s="118">
        <v>4525</v>
      </c>
      <c r="D240" s="118">
        <v>8</v>
      </c>
      <c r="E240" s="118">
        <v>4517</v>
      </c>
      <c r="F240" s="118">
        <v>25</v>
      </c>
      <c r="G240" s="118">
        <v>0</v>
      </c>
      <c r="H240" s="118">
        <v>0</v>
      </c>
      <c r="I240" s="118">
        <v>-133</v>
      </c>
    </row>
    <row r="241" spans="2:9" x14ac:dyDescent="0.2">
      <c r="B241" s="126" t="s">
        <v>890</v>
      </c>
      <c r="C241" s="120">
        <f>SUM(C234:C240)</f>
        <v>254392</v>
      </c>
      <c r="D241" s="120">
        <f>SUM(D234:D240)</f>
        <v>48199</v>
      </c>
      <c r="E241" s="120">
        <f>SUM(E234:E240)</f>
        <v>206193</v>
      </c>
      <c r="F241" s="120">
        <f>SUM(F234:F240)</f>
        <v>170375</v>
      </c>
      <c r="G241" s="120"/>
      <c r="H241" s="120"/>
      <c r="I241" s="120">
        <f>SUM(I234:I240)</f>
        <v>18019</v>
      </c>
    </row>
    <row r="243" spans="2:9" x14ac:dyDescent="0.2">
      <c r="B243" s="129" t="s">
        <v>213</v>
      </c>
      <c r="C243" s="118">
        <v>66495</v>
      </c>
      <c r="D243" s="118">
        <v>23220</v>
      </c>
      <c r="E243" s="118">
        <v>43275</v>
      </c>
      <c r="F243" s="118">
        <v>63548</v>
      </c>
      <c r="G243" s="118">
        <v>0</v>
      </c>
      <c r="H243" s="118">
        <v>0</v>
      </c>
      <c r="I243" s="118">
        <v>8722</v>
      </c>
    </row>
    <row r="244" spans="2:9" x14ac:dyDescent="0.2">
      <c r="B244" s="129" t="s">
        <v>599</v>
      </c>
      <c r="C244" s="118">
        <v>41646</v>
      </c>
      <c r="D244" s="118">
        <v>17120</v>
      </c>
      <c r="E244" s="118">
        <v>24526</v>
      </c>
      <c r="F244" s="118">
        <v>22828</v>
      </c>
      <c r="G244" s="118">
        <v>0</v>
      </c>
      <c r="H244" s="118">
        <v>0</v>
      </c>
      <c r="I244" s="118">
        <v>-1573</v>
      </c>
    </row>
    <row r="245" spans="2:9" x14ac:dyDescent="0.2">
      <c r="B245" s="129" t="s">
        <v>215</v>
      </c>
      <c r="C245" s="118">
        <v>85048</v>
      </c>
      <c r="D245" s="118">
        <v>167</v>
      </c>
      <c r="E245" s="118">
        <v>84881</v>
      </c>
      <c r="F245" s="118">
        <v>3562</v>
      </c>
      <c r="G245" s="118">
        <v>0</v>
      </c>
      <c r="H245" s="118">
        <v>0</v>
      </c>
      <c r="I245" s="118">
        <v>1929</v>
      </c>
    </row>
    <row r="246" spans="2:9" x14ac:dyDescent="0.2">
      <c r="B246" s="129" t="s">
        <v>218</v>
      </c>
      <c r="C246" s="118">
        <v>2811</v>
      </c>
      <c r="D246" s="118">
        <v>165</v>
      </c>
      <c r="E246" s="118">
        <v>2646</v>
      </c>
      <c r="F246" s="118">
        <v>0</v>
      </c>
      <c r="G246" s="118">
        <v>0</v>
      </c>
      <c r="H246" s="118">
        <v>0</v>
      </c>
      <c r="I246" s="118">
        <v>6</v>
      </c>
    </row>
    <row r="247" spans="2:9" x14ac:dyDescent="0.2">
      <c r="B247" s="129" t="s">
        <v>819</v>
      </c>
      <c r="C247" s="118">
        <v>1</v>
      </c>
      <c r="D247" s="118">
        <v>0</v>
      </c>
      <c r="E247" s="118">
        <v>1</v>
      </c>
      <c r="F247" s="118">
        <v>0</v>
      </c>
      <c r="G247" s="118">
        <v>0</v>
      </c>
      <c r="H247" s="118">
        <v>0</v>
      </c>
      <c r="I247" s="118">
        <v>0</v>
      </c>
    </row>
    <row r="248" spans="2:9" x14ac:dyDescent="0.2">
      <c r="B248" s="129" t="s">
        <v>477</v>
      </c>
      <c r="C248" s="118">
        <v>24646</v>
      </c>
      <c r="D248" s="118">
        <v>7829</v>
      </c>
      <c r="E248" s="118">
        <v>16817</v>
      </c>
      <c r="F248" s="118">
        <v>30576</v>
      </c>
      <c r="G248" s="118">
        <v>0</v>
      </c>
      <c r="H248" s="118">
        <v>0</v>
      </c>
      <c r="I248" s="118">
        <v>1569</v>
      </c>
    </row>
    <row r="249" spans="2:9" x14ac:dyDescent="0.2">
      <c r="B249" s="129" t="s">
        <v>766</v>
      </c>
      <c r="C249" s="118">
        <v>4546</v>
      </c>
      <c r="D249" s="118">
        <v>9</v>
      </c>
      <c r="E249" s="118">
        <v>4537</v>
      </c>
      <c r="F249" s="118">
        <v>21</v>
      </c>
      <c r="G249" s="118">
        <v>0</v>
      </c>
      <c r="H249" s="118">
        <v>0</v>
      </c>
      <c r="I249" s="118">
        <v>-113</v>
      </c>
    </row>
    <row r="250" spans="2:9" x14ac:dyDescent="0.2">
      <c r="B250" s="126" t="s">
        <v>864</v>
      </c>
      <c r="C250" s="120">
        <f>SUM(C243:C249)</f>
        <v>225193</v>
      </c>
      <c r="D250" s="120">
        <f>SUM(D243:D249)</f>
        <v>48510</v>
      </c>
      <c r="E250" s="120">
        <f>SUM(E243:E249)</f>
        <v>176683</v>
      </c>
      <c r="F250" s="120">
        <f>SUM(F243:F249)</f>
        <v>120535</v>
      </c>
      <c r="G250" s="120"/>
      <c r="H250" s="120"/>
      <c r="I250" s="120">
        <f>SUM(I243:I249)</f>
        <v>10540</v>
      </c>
    </row>
    <row r="251" spans="2:9" s="28" customFormat="1" x14ac:dyDescent="0.2">
      <c r="B251" s="153"/>
      <c r="C251" s="154"/>
      <c r="D251" s="154"/>
      <c r="E251" s="154"/>
      <c r="F251" s="154"/>
      <c r="G251" s="154"/>
      <c r="H251" s="154"/>
      <c r="I251" s="154"/>
    </row>
    <row r="252" spans="2:9" x14ac:dyDescent="0.2">
      <c r="B252" s="129" t="s">
        <v>213</v>
      </c>
      <c r="C252" s="118">
        <v>71943</v>
      </c>
      <c r="D252" s="118">
        <v>33164</v>
      </c>
      <c r="E252" s="118">
        <v>38779</v>
      </c>
      <c r="F252" s="118">
        <v>40877</v>
      </c>
      <c r="G252" s="118">
        <v>0</v>
      </c>
      <c r="H252" s="118">
        <v>0</v>
      </c>
      <c r="I252" s="118">
        <v>5246</v>
      </c>
    </row>
    <row r="253" spans="2:9" x14ac:dyDescent="0.2">
      <c r="B253" s="129" t="s">
        <v>599</v>
      </c>
      <c r="C253" s="118">
        <v>43879</v>
      </c>
      <c r="D253" s="118">
        <v>19022</v>
      </c>
      <c r="E253" s="118">
        <v>24857</v>
      </c>
      <c r="F253" s="118">
        <v>15105</v>
      </c>
      <c r="G253" s="118">
        <v>0</v>
      </c>
      <c r="H253" s="118">
        <v>0</v>
      </c>
      <c r="I253" s="118">
        <v>-1242</v>
      </c>
    </row>
    <row r="254" spans="2:9" x14ac:dyDescent="0.2">
      <c r="B254" s="129" t="s">
        <v>215</v>
      </c>
      <c r="C254" s="118">
        <v>84507</v>
      </c>
      <c r="D254" s="118">
        <v>246</v>
      </c>
      <c r="E254" s="118">
        <v>84261</v>
      </c>
      <c r="F254" s="118">
        <v>2375</v>
      </c>
      <c r="G254" s="118">
        <v>0</v>
      </c>
      <c r="H254" s="118">
        <v>0</v>
      </c>
      <c r="I254" s="118">
        <v>1309</v>
      </c>
    </row>
    <row r="255" spans="2:9" x14ac:dyDescent="0.2">
      <c r="B255" s="129" t="s">
        <v>218</v>
      </c>
      <c r="C255" s="118">
        <v>2756</v>
      </c>
      <c r="D255" s="118">
        <v>70</v>
      </c>
      <c r="E255" s="118">
        <v>2686</v>
      </c>
      <c r="F255" s="118">
        <v>0</v>
      </c>
      <c r="G255" s="118">
        <v>0</v>
      </c>
      <c r="H255" s="118">
        <v>0</v>
      </c>
      <c r="I255" s="118">
        <v>46</v>
      </c>
    </row>
    <row r="256" spans="2:9" x14ac:dyDescent="0.2">
      <c r="B256" s="129" t="s">
        <v>819</v>
      </c>
      <c r="C256" s="118">
        <v>1</v>
      </c>
      <c r="D256" s="118">
        <v>0</v>
      </c>
      <c r="E256" s="118">
        <v>1</v>
      </c>
      <c r="F256" s="118">
        <v>0</v>
      </c>
      <c r="G256" s="118">
        <v>0</v>
      </c>
      <c r="H256" s="118">
        <v>0</v>
      </c>
      <c r="I256" s="118">
        <v>0</v>
      </c>
    </row>
    <row r="257" spans="2:9" x14ac:dyDescent="0.2">
      <c r="B257" s="129" t="s">
        <v>477</v>
      </c>
      <c r="C257" s="118">
        <v>24725</v>
      </c>
      <c r="D257" s="118">
        <v>8725</v>
      </c>
      <c r="E257" s="118">
        <v>16000</v>
      </c>
      <c r="F257" s="118">
        <v>16499</v>
      </c>
      <c r="G257" s="118">
        <v>0</v>
      </c>
      <c r="H257" s="118">
        <v>0</v>
      </c>
      <c r="I257" s="118">
        <v>752</v>
      </c>
    </row>
    <row r="258" spans="2:9" x14ac:dyDescent="0.2">
      <c r="B258" s="129" t="s">
        <v>766</v>
      </c>
      <c r="C258" s="118">
        <v>1435</v>
      </c>
      <c r="D258" s="118">
        <v>5</v>
      </c>
      <c r="E258" s="118">
        <v>1430</v>
      </c>
      <c r="F258" s="118">
        <v>17</v>
      </c>
      <c r="G258" s="118">
        <v>0</v>
      </c>
      <c r="H258" s="118">
        <v>0</v>
      </c>
      <c r="I258" s="118">
        <v>-18</v>
      </c>
    </row>
    <row r="259" spans="2:9" x14ac:dyDescent="0.2">
      <c r="B259" s="126" t="s">
        <v>850</v>
      </c>
      <c r="C259" s="120">
        <f>SUM(C252:C258)</f>
        <v>229246</v>
      </c>
      <c r="D259" s="120">
        <f>SUM(D252:D258)</f>
        <v>61232</v>
      </c>
      <c r="E259" s="120">
        <f>SUM(E252:E258)</f>
        <v>168014</v>
      </c>
      <c r="F259" s="120">
        <f>SUM(F252:F258)</f>
        <v>74873</v>
      </c>
      <c r="G259" s="120"/>
      <c r="H259" s="120"/>
      <c r="I259" s="120">
        <f>SUM(I252:I258)</f>
        <v>6093</v>
      </c>
    </row>
    <row r="260" spans="2:9" x14ac:dyDescent="0.2">
      <c r="B260" s="129"/>
      <c r="C260" s="129"/>
      <c r="D260" s="129"/>
      <c r="E260" s="129"/>
      <c r="F260" s="129"/>
      <c r="G260" s="129"/>
      <c r="H260" s="129"/>
      <c r="I260" s="129"/>
    </row>
    <row r="261" spans="2:9" x14ac:dyDescent="0.2">
      <c r="B261" s="129" t="s">
        <v>213</v>
      </c>
      <c r="C261" s="118">
        <v>60705</v>
      </c>
      <c r="D261" s="118">
        <v>24340</v>
      </c>
      <c r="E261" s="118">
        <v>36365</v>
      </c>
      <c r="F261" s="118">
        <v>20871</v>
      </c>
      <c r="G261" s="118">
        <v>0</v>
      </c>
      <c r="H261" s="118">
        <v>0</v>
      </c>
      <c r="I261" s="118">
        <v>2832</v>
      </c>
    </row>
    <row r="262" spans="2:9" x14ac:dyDescent="0.2">
      <c r="B262" s="129" t="s">
        <v>599</v>
      </c>
      <c r="C262" s="118">
        <v>47302</v>
      </c>
      <c r="D262" s="118">
        <v>21772</v>
      </c>
      <c r="E262" s="118">
        <v>25530</v>
      </c>
      <c r="F262" s="118">
        <v>7452</v>
      </c>
      <c r="G262" s="118">
        <v>0</v>
      </c>
      <c r="H262" s="118">
        <v>0</v>
      </c>
      <c r="I262" s="118">
        <v>-569</v>
      </c>
    </row>
    <row r="263" spans="2:9" x14ac:dyDescent="0.2">
      <c r="B263" s="129" t="s">
        <v>215</v>
      </c>
      <c r="C263" s="118">
        <v>81378</v>
      </c>
      <c r="D263" s="118">
        <v>472</v>
      </c>
      <c r="E263" s="118">
        <v>80906</v>
      </c>
      <c r="F263" s="118">
        <v>915</v>
      </c>
      <c r="G263" s="118">
        <v>0</v>
      </c>
      <c r="H263" s="118">
        <v>0</v>
      </c>
      <c r="I263" s="118">
        <v>454</v>
      </c>
    </row>
    <row r="264" spans="2:9" x14ac:dyDescent="0.2">
      <c r="B264" s="129" t="s">
        <v>218</v>
      </c>
      <c r="C264" s="118">
        <v>2750</v>
      </c>
      <c r="D264" s="118">
        <v>81</v>
      </c>
      <c r="E264" s="118">
        <v>2669</v>
      </c>
      <c r="F264" s="118">
        <v>0</v>
      </c>
      <c r="G264" s="118">
        <v>0</v>
      </c>
      <c r="H264" s="118">
        <v>0</v>
      </c>
      <c r="I264" s="118">
        <v>29</v>
      </c>
    </row>
    <row r="265" spans="2:9" x14ac:dyDescent="0.2">
      <c r="B265" s="129" t="s">
        <v>819</v>
      </c>
      <c r="C265" s="118">
        <v>1</v>
      </c>
      <c r="D265" s="118">
        <v>0</v>
      </c>
      <c r="E265" s="118">
        <v>1</v>
      </c>
      <c r="F265" s="118">
        <v>0</v>
      </c>
      <c r="G265" s="118">
        <v>0</v>
      </c>
      <c r="H265" s="118">
        <v>0</v>
      </c>
      <c r="I265" s="118">
        <v>0</v>
      </c>
    </row>
    <row r="266" spans="2:9" x14ac:dyDescent="0.2">
      <c r="B266" s="129" t="s">
        <v>477</v>
      </c>
      <c r="C266" s="118">
        <v>17317</v>
      </c>
      <c r="D266" s="118">
        <v>2291</v>
      </c>
      <c r="E266" s="118">
        <v>15026</v>
      </c>
      <c r="F266" s="118">
        <v>2398</v>
      </c>
      <c r="G266" s="118">
        <v>0</v>
      </c>
      <c r="H266" s="118">
        <v>0</v>
      </c>
      <c r="I266" s="118">
        <v>-222</v>
      </c>
    </row>
    <row r="267" spans="2:9" x14ac:dyDescent="0.2">
      <c r="B267" s="129" t="s">
        <v>766</v>
      </c>
      <c r="C267" s="118">
        <v>1469</v>
      </c>
      <c r="D267" s="118">
        <v>43</v>
      </c>
      <c r="E267" s="118">
        <v>1426</v>
      </c>
      <c r="F267" s="118">
        <v>12</v>
      </c>
      <c r="G267" s="118">
        <v>0</v>
      </c>
      <c r="H267" s="118">
        <v>0</v>
      </c>
      <c r="I267" s="118">
        <v>-23</v>
      </c>
    </row>
    <row r="268" spans="2:9" x14ac:dyDescent="0.2">
      <c r="B268" s="126" t="s">
        <v>832</v>
      </c>
      <c r="C268" s="120">
        <f>SUM(C261:C267)</f>
        <v>210922</v>
      </c>
      <c r="D268" s="120">
        <f>SUM(D261:D267)</f>
        <v>48999</v>
      </c>
      <c r="E268" s="120">
        <f>SUM(E261:E267)</f>
        <v>161923</v>
      </c>
      <c r="F268" s="120">
        <f>SUM(F261:F267)</f>
        <v>31648</v>
      </c>
      <c r="G268" s="120"/>
      <c r="H268" s="120"/>
      <c r="I268" s="120">
        <f>SUM(I261:I267)</f>
        <v>2501</v>
      </c>
    </row>
    <row r="269" spans="2:9" x14ac:dyDescent="0.2">
      <c r="B269" s="129"/>
      <c r="C269" s="129"/>
      <c r="D269" s="129"/>
      <c r="E269" s="129"/>
      <c r="F269" s="129"/>
      <c r="G269" s="129"/>
      <c r="H269" s="129"/>
      <c r="I269" s="129"/>
    </row>
    <row r="270" spans="2:9" x14ac:dyDescent="0.2">
      <c r="B270" s="129" t="s">
        <v>213</v>
      </c>
      <c r="C270" s="118">
        <v>53384</v>
      </c>
      <c r="D270" s="118">
        <v>19851</v>
      </c>
      <c r="E270" s="118">
        <v>33533</v>
      </c>
      <c r="F270" s="118">
        <v>75975</v>
      </c>
      <c r="G270" s="118">
        <v>0</v>
      </c>
      <c r="H270" s="118">
        <v>0</v>
      </c>
      <c r="I270" s="118">
        <v>5219</v>
      </c>
    </row>
    <row r="271" spans="2:9" x14ac:dyDescent="0.2">
      <c r="B271" s="129" t="s">
        <v>214</v>
      </c>
      <c r="C271" s="118">
        <v>0</v>
      </c>
      <c r="D271" s="118">
        <v>0</v>
      </c>
      <c r="E271" s="118">
        <v>0</v>
      </c>
      <c r="F271" s="118">
        <v>2333</v>
      </c>
      <c r="G271" s="118">
        <v>0</v>
      </c>
      <c r="H271" s="118">
        <v>0</v>
      </c>
      <c r="I271" s="118">
        <v>-338</v>
      </c>
    </row>
    <row r="272" spans="2:9" x14ac:dyDescent="0.2">
      <c r="B272" s="129" t="s">
        <v>599</v>
      </c>
      <c r="C272" s="118">
        <v>32552</v>
      </c>
      <c r="D272" s="118">
        <v>6453</v>
      </c>
      <c r="E272" s="118">
        <v>26099</v>
      </c>
      <c r="F272" s="118">
        <v>39318</v>
      </c>
      <c r="G272" s="118">
        <v>0</v>
      </c>
      <c r="H272" s="118">
        <v>0</v>
      </c>
      <c r="I272" s="118">
        <v>-1388</v>
      </c>
    </row>
    <row r="273" spans="2:9" x14ac:dyDescent="0.2">
      <c r="B273" s="129" t="s">
        <v>215</v>
      </c>
      <c r="C273" s="118">
        <v>78440</v>
      </c>
      <c r="D273" s="118">
        <v>1988</v>
      </c>
      <c r="E273" s="118">
        <v>76452</v>
      </c>
      <c r="F273" s="118">
        <v>3606</v>
      </c>
      <c r="G273" s="118">
        <v>0</v>
      </c>
      <c r="H273" s="118">
        <v>0</v>
      </c>
      <c r="I273" s="118">
        <v>1979</v>
      </c>
    </row>
    <row r="274" spans="2:9" x14ac:dyDescent="0.2">
      <c r="B274" s="129" t="s">
        <v>218</v>
      </c>
      <c r="C274" s="118">
        <v>2731</v>
      </c>
      <c r="D274" s="118">
        <v>91</v>
      </c>
      <c r="E274" s="118">
        <v>2640</v>
      </c>
      <c r="F274" s="118">
        <v>77</v>
      </c>
      <c r="G274" s="118">
        <v>0</v>
      </c>
      <c r="H274" s="118">
        <v>0</v>
      </c>
      <c r="I274" s="118">
        <v>134</v>
      </c>
    </row>
    <row r="275" spans="2:9" x14ac:dyDescent="0.2">
      <c r="B275" s="129" t="s">
        <v>477</v>
      </c>
      <c r="C275" s="118">
        <v>16967</v>
      </c>
      <c r="D275" s="118">
        <v>1719</v>
      </c>
      <c r="E275" s="118">
        <v>15248</v>
      </c>
      <c r="F275" s="118">
        <v>0</v>
      </c>
      <c r="G275" s="118">
        <v>0</v>
      </c>
      <c r="H275" s="118">
        <v>0</v>
      </c>
      <c r="I275" s="118">
        <v>-1616</v>
      </c>
    </row>
    <row r="276" spans="2:9" x14ac:dyDescent="0.2">
      <c r="B276" s="129" t="s">
        <v>766</v>
      </c>
      <c r="C276" s="118">
        <v>1451</v>
      </c>
      <c r="D276" s="118">
        <v>3</v>
      </c>
      <c r="E276" s="118">
        <v>1448</v>
      </c>
      <c r="F276" s="118">
        <v>47</v>
      </c>
      <c r="G276" s="118">
        <v>0</v>
      </c>
      <c r="H276" s="118">
        <v>0</v>
      </c>
      <c r="I276" s="118">
        <v>47</v>
      </c>
    </row>
    <row r="277" spans="2:9" x14ac:dyDescent="0.2">
      <c r="B277" s="126" t="s">
        <v>833</v>
      </c>
      <c r="C277" s="120">
        <f>SUM(C270:C276)</f>
        <v>185525</v>
      </c>
      <c r="D277" s="120">
        <f>SUM(D270:D276)</f>
        <v>30105</v>
      </c>
      <c r="E277" s="120">
        <f>SUM(E270:E276)</f>
        <v>155420</v>
      </c>
      <c r="F277" s="120">
        <f>SUM(F270:F276)</f>
        <v>121356</v>
      </c>
      <c r="G277" s="120"/>
      <c r="H277" s="120"/>
      <c r="I277" s="120">
        <f>SUM(I270:I276)</f>
        <v>4037</v>
      </c>
    </row>
    <row r="278" spans="2:9" x14ac:dyDescent="0.2">
      <c r="B278" s="129"/>
      <c r="C278" s="129"/>
      <c r="D278" s="129"/>
      <c r="E278" s="129"/>
      <c r="F278" s="129"/>
      <c r="G278" s="129"/>
      <c r="H278" s="129"/>
      <c r="I278" s="129"/>
    </row>
    <row r="279" spans="2:9" x14ac:dyDescent="0.2">
      <c r="B279" s="129" t="s">
        <v>213</v>
      </c>
      <c r="C279" s="118">
        <v>51839</v>
      </c>
      <c r="D279" s="118">
        <v>20550</v>
      </c>
      <c r="E279" s="118">
        <v>31289</v>
      </c>
      <c r="F279" s="118">
        <v>54919</v>
      </c>
      <c r="G279" s="118">
        <v>0</v>
      </c>
      <c r="H279" s="118">
        <v>0</v>
      </c>
      <c r="I279" s="118">
        <v>2975</v>
      </c>
    </row>
    <row r="280" spans="2:9" x14ac:dyDescent="0.2">
      <c r="B280" s="129" t="s">
        <v>214</v>
      </c>
      <c r="C280" s="118">
        <v>0</v>
      </c>
      <c r="D280" s="118">
        <v>0</v>
      </c>
      <c r="E280" s="118">
        <v>0</v>
      </c>
      <c r="F280" s="118">
        <v>2333</v>
      </c>
      <c r="G280" s="118">
        <v>0</v>
      </c>
      <c r="H280" s="118">
        <v>0</v>
      </c>
      <c r="I280" s="118">
        <v>-338</v>
      </c>
    </row>
    <row r="281" spans="2:9" x14ac:dyDescent="0.2">
      <c r="B281" s="129" t="s">
        <v>599</v>
      </c>
      <c r="C281" s="118">
        <v>34086</v>
      </c>
      <c r="D281" s="118">
        <v>6688</v>
      </c>
      <c r="E281" s="118">
        <v>27398</v>
      </c>
      <c r="F281" s="118">
        <v>28686</v>
      </c>
      <c r="G281" s="118">
        <v>0</v>
      </c>
      <c r="H281" s="118">
        <v>0</v>
      </c>
      <c r="I281" s="118">
        <v>-89</v>
      </c>
    </row>
    <row r="282" spans="2:9" x14ac:dyDescent="0.2">
      <c r="B282" s="129" t="s">
        <v>215</v>
      </c>
      <c r="C282" s="118">
        <v>72140</v>
      </c>
      <c r="D282" s="118">
        <v>144</v>
      </c>
      <c r="E282" s="118">
        <v>71996</v>
      </c>
      <c r="F282" s="118">
        <v>2701</v>
      </c>
      <c r="G282" s="118">
        <v>0</v>
      </c>
      <c r="H282" s="118">
        <v>0</v>
      </c>
      <c r="I282" s="118">
        <v>1472</v>
      </c>
    </row>
    <row r="283" spans="2:9" x14ac:dyDescent="0.2">
      <c r="B283" s="129" t="s">
        <v>218</v>
      </c>
      <c r="C283" s="118">
        <v>2703</v>
      </c>
      <c r="D283" s="118">
        <v>83</v>
      </c>
      <c r="E283" s="118">
        <v>2620</v>
      </c>
      <c r="F283" s="118">
        <v>77</v>
      </c>
      <c r="G283" s="118">
        <v>0</v>
      </c>
      <c r="H283" s="118">
        <v>0</v>
      </c>
      <c r="I283" s="118">
        <v>114</v>
      </c>
    </row>
    <row r="284" spans="2:9" x14ac:dyDescent="0.2">
      <c r="B284" s="129" t="s">
        <v>477</v>
      </c>
      <c r="C284" s="118">
        <v>17833</v>
      </c>
      <c r="D284" s="118">
        <v>744</v>
      </c>
      <c r="E284" s="118">
        <v>17089</v>
      </c>
      <c r="F284" s="118">
        <v>0</v>
      </c>
      <c r="G284" s="118">
        <v>0</v>
      </c>
      <c r="H284" s="118">
        <v>0</v>
      </c>
      <c r="I284" s="118">
        <v>225</v>
      </c>
    </row>
    <row r="285" spans="2:9" x14ac:dyDescent="0.2">
      <c r="B285" s="129" t="s">
        <v>766</v>
      </c>
      <c r="C285" s="118">
        <v>1440</v>
      </c>
      <c r="D285" s="118">
        <v>7</v>
      </c>
      <c r="E285" s="118">
        <v>1433</v>
      </c>
      <c r="F285" s="118">
        <v>19</v>
      </c>
      <c r="G285" s="118">
        <v>0</v>
      </c>
      <c r="H285" s="118">
        <v>0</v>
      </c>
      <c r="I285" s="118">
        <v>32</v>
      </c>
    </row>
    <row r="286" spans="2:9" x14ac:dyDescent="0.2">
      <c r="B286" s="126" t="s">
        <v>771</v>
      </c>
      <c r="C286" s="120">
        <f>SUM(C279:C285)</f>
        <v>180041</v>
      </c>
      <c r="D286" s="120">
        <f>SUM(D279:D285)</f>
        <v>28216</v>
      </c>
      <c r="E286" s="120">
        <f>SUM(E279:E285)</f>
        <v>151825</v>
      </c>
      <c r="F286" s="120">
        <f>SUM(F279:F285)</f>
        <v>88735</v>
      </c>
      <c r="G286" s="120"/>
      <c r="H286" s="120"/>
      <c r="I286" s="120">
        <f>SUM(I279:I285)</f>
        <v>4391</v>
      </c>
    </row>
    <row r="287" spans="2:9" x14ac:dyDescent="0.2">
      <c r="B287" s="129"/>
      <c r="C287" s="129"/>
      <c r="D287" s="129"/>
      <c r="E287" s="129"/>
      <c r="F287" s="129"/>
      <c r="G287" s="129"/>
      <c r="H287" s="129"/>
      <c r="I287" s="129"/>
    </row>
    <row r="288" spans="2:9" x14ac:dyDescent="0.2">
      <c r="B288" s="129" t="s">
        <v>213</v>
      </c>
      <c r="C288" s="118">
        <v>69045</v>
      </c>
      <c r="D288" s="118">
        <v>19461</v>
      </c>
      <c r="E288" s="118">
        <v>49584</v>
      </c>
      <c r="F288" s="118">
        <v>38723</v>
      </c>
      <c r="G288" s="118">
        <v>0</v>
      </c>
      <c r="H288" s="118">
        <v>0</v>
      </c>
      <c r="I288" s="118">
        <v>4698</v>
      </c>
    </row>
    <row r="289" spans="2:9" x14ac:dyDescent="0.2">
      <c r="B289" s="129" t="s">
        <v>214</v>
      </c>
      <c r="C289" s="118">
        <v>0</v>
      </c>
      <c r="D289" s="118">
        <v>0</v>
      </c>
      <c r="E289" s="118">
        <v>0</v>
      </c>
      <c r="F289" s="118">
        <v>2333</v>
      </c>
      <c r="G289" s="118">
        <v>0</v>
      </c>
      <c r="H289" s="118">
        <v>0</v>
      </c>
      <c r="I289" s="118">
        <v>-338</v>
      </c>
    </row>
    <row r="290" spans="2:9" x14ac:dyDescent="0.2">
      <c r="B290" s="129" t="s">
        <v>599</v>
      </c>
      <c r="C290" s="118">
        <v>33476</v>
      </c>
      <c r="D290" s="118">
        <v>6598</v>
      </c>
      <c r="E290" s="118">
        <v>26878</v>
      </c>
      <c r="F290" s="118">
        <v>19316</v>
      </c>
      <c r="G290" s="118">
        <v>0</v>
      </c>
      <c r="H290" s="118">
        <v>0</v>
      </c>
      <c r="I290" s="118">
        <v>92</v>
      </c>
    </row>
    <row r="291" spans="2:9" x14ac:dyDescent="0.2">
      <c r="B291" s="129" t="s">
        <v>215</v>
      </c>
      <c r="C291" s="118">
        <v>64249</v>
      </c>
      <c r="D291" s="118">
        <v>139</v>
      </c>
      <c r="E291" s="118">
        <v>64110</v>
      </c>
      <c r="F291" s="118">
        <v>1796</v>
      </c>
      <c r="G291" s="118">
        <v>0</v>
      </c>
      <c r="H291" s="118">
        <v>0</v>
      </c>
      <c r="I291" s="118">
        <v>986</v>
      </c>
    </row>
    <row r="292" spans="2:9" x14ac:dyDescent="0.2">
      <c r="B292" s="129" t="s">
        <v>218</v>
      </c>
      <c r="C292" s="118">
        <v>2715</v>
      </c>
      <c r="D292" s="118">
        <v>96</v>
      </c>
      <c r="E292" s="118">
        <v>2619</v>
      </c>
      <c r="F292" s="118">
        <v>77</v>
      </c>
      <c r="G292" s="118">
        <v>0</v>
      </c>
      <c r="H292" s="118">
        <v>0</v>
      </c>
      <c r="I292" s="118">
        <v>113</v>
      </c>
    </row>
    <row r="293" spans="2:9" x14ac:dyDescent="0.2">
      <c r="B293" s="129" t="s">
        <v>477</v>
      </c>
      <c r="C293" s="118">
        <v>17384</v>
      </c>
      <c r="D293" s="118">
        <v>319</v>
      </c>
      <c r="E293" s="118">
        <v>17065</v>
      </c>
      <c r="F293" s="118">
        <v>0</v>
      </c>
      <c r="G293" s="118">
        <v>0</v>
      </c>
      <c r="H293" s="118">
        <v>0</v>
      </c>
      <c r="I293" s="118">
        <v>201</v>
      </c>
    </row>
    <row r="294" spans="2:9" x14ac:dyDescent="0.2">
      <c r="B294" s="129" t="s">
        <v>766</v>
      </c>
      <c r="C294" s="118">
        <v>1</v>
      </c>
      <c r="D294" s="118">
        <v>0</v>
      </c>
      <c r="E294" s="118">
        <v>1</v>
      </c>
      <c r="F294" s="118">
        <v>0</v>
      </c>
      <c r="G294" s="118">
        <v>0</v>
      </c>
      <c r="H294" s="118">
        <v>0</v>
      </c>
      <c r="I294" s="118">
        <v>0</v>
      </c>
    </row>
    <row r="295" spans="2:9" x14ac:dyDescent="0.2">
      <c r="B295" s="126" t="s">
        <v>754</v>
      </c>
      <c r="C295" s="120">
        <f>SUM(C288:C294)</f>
        <v>186870</v>
      </c>
      <c r="D295" s="120">
        <f>SUM(D288:D294)</f>
        <v>26613</v>
      </c>
      <c r="E295" s="120">
        <f>SUM(E288:E294)</f>
        <v>160257</v>
      </c>
      <c r="F295" s="120">
        <f>SUM(F288:F294)</f>
        <v>62245</v>
      </c>
      <c r="G295" s="120"/>
      <c r="H295" s="120"/>
      <c r="I295" s="120">
        <f>SUM(I288:I294)</f>
        <v>5752</v>
      </c>
    </row>
    <row r="296" spans="2:9" x14ac:dyDescent="0.2">
      <c r="B296" s="129"/>
      <c r="C296" s="129"/>
      <c r="D296" s="129"/>
      <c r="E296" s="129"/>
      <c r="F296" s="129"/>
      <c r="G296" s="129"/>
      <c r="H296" s="129"/>
      <c r="I296" s="129"/>
    </row>
    <row r="297" spans="2:9" x14ac:dyDescent="0.2">
      <c r="B297" s="129" t="s">
        <v>213</v>
      </c>
      <c r="C297" s="118">
        <v>129977</v>
      </c>
      <c r="D297" s="118">
        <v>82699</v>
      </c>
      <c r="E297" s="118">
        <v>47278</v>
      </c>
      <c r="F297" s="118">
        <v>19386</v>
      </c>
      <c r="G297" s="118">
        <v>0</v>
      </c>
      <c r="H297" s="118">
        <v>0</v>
      </c>
      <c r="I297" s="118">
        <v>2392</v>
      </c>
    </row>
    <row r="298" spans="2:9" x14ac:dyDescent="0.2">
      <c r="B298" s="129" t="s">
        <v>214</v>
      </c>
      <c r="C298" s="118">
        <v>0</v>
      </c>
      <c r="D298" s="118">
        <v>0</v>
      </c>
      <c r="E298" s="118">
        <v>0</v>
      </c>
      <c r="F298" s="118">
        <v>2333</v>
      </c>
      <c r="G298" s="118">
        <v>0</v>
      </c>
      <c r="H298" s="118">
        <v>0</v>
      </c>
      <c r="I298" s="118">
        <v>-338</v>
      </c>
    </row>
    <row r="299" spans="2:9" x14ac:dyDescent="0.2">
      <c r="B299" s="129" t="s">
        <v>599</v>
      </c>
      <c r="C299" s="118">
        <v>32839</v>
      </c>
      <c r="D299" s="118">
        <v>10553</v>
      </c>
      <c r="E299" s="118">
        <v>22286</v>
      </c>
      <c r="F299" s="118">
        <v>9281</v>
      </c>
      <c r="G299" s="118">
        <v>0</v>
      </c>
      <c r="H299" s="118">
        <v>0</v>
      </c>
      <c r="I299" s="118">
        <v>50</v>
      </c>
    </row>
    <row r="300" spans="2:9" x14ac:dyDescent="0.2">
      <c r="B300" s="129" t="s">
        <v>215</v>
      </c>
      <c r="C300" s="118">
        <v>64815</v>
      </c>
      <c r="D300" s="118">
        <v>110</v>
      </c>
      <c r="E300" s="118">
        <v>64705</v>
      </c>
      <c r="F300" s="118">
        <v>895</v>
      </c>
      <c r="G300" s="118">
        <v>0</v>
      </c>
      <c r="H300" s="118">
        <v>0</v>
      </c>
      <c r="I300" s="118">
        <v>502</v>
      </c>
    </row>
    <row r="301" spans="2:9" x14ac:dyDescent="0.2">
      <c r="B301" s="129" t="s">
        <v>218</v>
      </c>
      <c r="C301" s="118">
        <v>8586</v>
      </c>
      <c r="D301" s="118">
        <v>5666</v>
      </c>
      <c r="E301" s="118">
        <v>2920</v>
      </c>
      <c r="F301" s="118">
        <v>86</v>
      </c>
      <c r="G301" s="118">
        <v>0</v>
      </c>
      <c r="H301" s="118">
        <v>0</v>
      </c>
      <c r="I301" s="118">
        <v>101</v>
      </c>
    </row>
    <row r="302" spans="2:9" x14ac:dyDescent="0.2">
      <c r="B302" s="129" t="s">
        <v>477</v>
      </c>
      <c r="C302" s="118">
        <v>17463</v>
      </c>
      <c r="D302" s="118">
        <v>537</v>
      </c>
      <c r="E302" s="118">
        <v>16926</v>
      </c>
      <c r="F302" s="118">
        <v>0</v>
      </c>
      <c r="G302" s="118">
        <v>0</v>
      </c>
      <c r="H302" s="118">
        <v>0</v>
      </c>
      <c r="I302" s="118">
        <v>62</v>
      </c>
    </row>
    <row r="303" spans="2:9" x14ac:dyDescent="0.2">
      <c r="B303" s="126" t="s">
        <v>834</v>
      </c>
      <c r="C303" s="120">
        <f>SUM(C297:C302)</f>
        <v>253680</v>
      </c>
      <c r="D303" s="120">
        <f>SUM(D297:D302)</f>
        <v>99565</v>
      </c>
      <c r="E303" s="120">
        <f>SUM(E297:E302)</f>
        <v>154115</v>
      </c>
      <c r="F303" s="120">
        <f>SUM(F297:F302)</f>
        <v>31981</v>
      </c>
      <c r="G303" s="120"/>
      <c r="H303" s="120"/>
      <c r="I303" s="120">
        <f>SUM(I297:I302)</f>
        <v>2769</v>
      </c>
    </row>
    <row r="304" spans="2:9" x14ac:dyDescent="0.2">
      <c r="B304" s="129"/>
      <c r="C304" s="129"/>
      <c r="D304" s="129"/>
      <c r="E304" s="129"/>
      <c r="F304" s="129"/>
      <c r="G304" s="129"/>
      <c r="H304" s="129"/>
      <c r="I304" s="129"/>
    </row>
    <row r="305" spans="2:9" x14ac:dyDescent="0.2">
      <c r="B305" s="129" t="s">
        <v>213</v>
      </c>
      <c r="C305" s="118">
        <v>121642</v>
      </c>
      <c r="D305" s="118">
        <v>12756</v>
      </c>
      <c r="E305" s="118">
        <v>108886</v>
      </c>
      <c r="F305" s="118">
        <v>77060</v>
      </c>
      <c r="G305" s="118">
        <v>0</v>
      </c>
      <c r="H305" s="118">
        <v>0</v>
      </c>
      <c r="I305" s="118">
        <v>17443</v>
      </c>
    </row>
    <row r="306" spans="2:9" x14ac:dyDescent="0.2">
      <c r="B306" s="129" t="s">
        <v>214</v>
      </c>
      <c r="C306" s="118">
        <v>53295</v>
      </c>
      <c r="D306" s="118">
        <v>9830</v>
      </c>
      <c r="E306" s="118">
        <v>43465</v>
      </c>
      <c r="F306" s="118">
        <v>51090</v>
      </c>
      <c r="G306" s="118">
        <v>0</v>
      </c>
      <c r="H306" s="118">
        <v>0</v>
      </c>
      <c r="I306" s="118">
        <v>146</v>
      </c>
    </row>
    <row r="307" spans="2:9" x14ac:dyDescent="0.2">
      <c r="B307" s="129" t="s">
        <v>599</v>
      </c>
      <c r="C307" s="118">
        <v>33583</v>
      </c>
      <c r="D307" s="118">
        <v>11347</v>
      </c>
      <c r="E307" s="118">
        <v>22236</v>
      </c>
      <c r="F307" s="118">
        <v>11585</v>
      </c>
      <c r="G307" s="118">
        <v>0</v>
      </c>
      <c r="H307" s="118">
        <v>0</v>
      </c>
      <c r="I307" s="118">
        <v>1596</v>
      </c>
    </row>
    <row r="308" spans="2:9" x14ac:dyDescent="0.2">
      <c r="B308" s="129" t="s">
        <v>215</v>
      </c>
      <c r="C308" s="118">
        <v>64324</v>
      </c>
      <c r="D308" s="118">
        <v>121</v>
      </c>
      <c r="E308" s="118">
        <v>64203</v>
      </c>
      <c r="F308" s="118">
        <v>3296</v>
      </c>
      <c r="G308" s="118">
        <v>0</v>
      </c>
      <c r="H308" s="118">
        <v>0</v>
      </c>
      <c r="I308" s="118">
        <v>1756</v>
      </c>
    </row>
    <row r="309" spans="2:9" x14ac:dyDescent="0.2">
      <c r="B309" s="129" t="s">
        <v>218</v>
      </c>
      <c r="C309" s="118">
        <v>14575</v>
      </c>
      <c r="D309" s="118">
        <v>6256</v>
      </c>
      <c r="E309" s="118">
        <v>8319</v>
      </c>
      <c r="F309" s="118">
        <v>1317</v>
      </c>
      <c r="G309" s="118">
        <v>0</v>
      </c>
      <c r="H309" s="118">
        <v>0</v>
      </c>
      <c r="I309" s="118">
        <v>329</v>
      </c>
    </row>
    <row r="310" spans="2:9" x14ac:dyDescent="0.2">
      <c r="B310" s="129" t="s">
        <v>477</v>
      </c>
      <c r="C310" s="118">
        <v>23394</v>
      </c>
      <c r="D310" s="118">
        <v>530</v>
      </c>
      <c r="E310" s="118">
        <v>22864</v>
      </c>
      <c r="F310" s="118">
        <v>0</v>
      </c>
      <c r="G310" s="118">
        <v>0</v>
      </c>
      <c r="H310" s="118">
        <v>0</v>
      </c>
      <c r="I310" s="118">
        <v>-7272</v>
      </c>
    </row>
    <row r="311" spans="2:9" x14ac:dyDescent="0.2">
      <c r="B311" s="126" t="s">
        <v>835</v>
      </c>
      <c r="C311" s="120">
        <f>SUM(C305:C310)</f>
        <v>310813</v>
      </c>
      <c r="D311" s="120">
        <f>SUM(D305:D310)</f>
        <v>40840</v>
      </c>
      <c r="E311" s="120">
        <f>SUM(E305:E310)</f>
        <v>269973</v>
      </c>
      <c r="F311" s="120">
        <f>SUM(F305:F310)</f>
        <v>144348</v>
      </c>
      <c r="G311" s="120"/>
      <c r="H311" s="120"/>
      <c r="I311" s="120">
        <f>SUM(I305:I310)</f>
        <v>13998</v>
      </c>
    </row>
    <row r="312" spans="2:9" x14ac:dyDescent="0.2">
      <c r="B312" s="129"/>
      <c r="C312" s="129"/>
      <c r="D312" s="129"/>
      <c r="E312" s="129"/>
      <c r="F312" s="129"/>
      <c r="G312" s="129"/>
      <c r="H312" s="129"/>
      <c r="I312" s="129"/>
    </row>
    <row r="313" spans="2:9" x14ac:dyDescent="0.2">
      <c r="B313" s="129" t="s">
        <v>213</v>
      </c>
      <c r="C313" s="118">
        <v>117851</v>
      </c>
      <c r="D313" s="118">
        <v>20580</v>
      </c>
      <c r="E313" s="118">
        <v>97271</v>
      </c>
      <c r="F313" s="118">
        <v>57569</v>
      </c>
      <c r="G313" s="118">
        <v>0</v>
      </c>
      <c r="H313" s="118">
        <v>0</v>
      </c>
      <c r="I313" s="118">
        <v>5828</v>
      </c>
    </row>
    <row r="314" spans="2:9" x14ac:dyDescent="0.2">
      <c r="B314" s="129" t="s">
        <v>214</v>
      </c>
      <c r="C314" s="118">
        <v>76056</v>
      </c>
      <c r="D314" s="118">
        <v>8664</v>
      </c>
      <c r="E314" s="118">
        <v>67392</v>
      </c>
      <c r="F314" s="118">
        <v>44951</v>
      </c>
      <c r="G314" s="118">
        <v>0</v>
      </c>
      <c r="H314" s="118">
        <v>0</v>
      </c>
      <c r="I314" s="118">
        <v>3433</v>
      </c>
    </row>
    <row r="315" spans="2:9" x14ac:dyDescent="0.2">
      <c r="B315" s="129" t="s">
        <v>599</v>
      </c>
      <c r="C315" s="118">
        <v>34036</v>
      </c>
      <c r="D315" s="118">
        <v>12251</v>
      </c>
      <c r="E315" s="118">
        <v>21785</v>
      </c>
      <c r="F315" s="118">
        <v>2504</v>
      </c>
      <c r="G315" s="118">
        <v>0</v>
      </c>
      <c r="H315" s="118">
        <v>0</v>
      </c>
      <c r="I315" s="118">
        <v>42</v>
      </c>
    </row>
    <row r="316" spans="2:9" x14ac:dyDescent="0.2">
      <c r="B316" s="129" t="s">
        <v>215</v>
      </c>
      <c r="C316" s="118">
        <v>63806</v>
      </c>
      <c r="D316" s="118">
        <v>127</v>
      </c>
      <c r="E316" s="118">
        <v>63679</v>
      </c>
      <c r="F316" s="118">
        <v>2401</v>
      </c>
      <c r="G316" s="118">
        <v>0</v>
      </c>
      <c r="H316" s="118">
        <v>0</v>
      </c>
      <c r="I316" s="118">
        <v>1233</v>
      </c>
    </row>
    <row r="317" spans="2:9" x14ac:dyDescent="0.2">
      <c r="B317" s="129" t="s">
        <v>218</v>
      </c>
      <c r="C317" s="118">
        <v>14683</v>
      </c>
      <c r="D317" s="118">
        <v>318</v>
      </c>
      <c r="E317" s="118">
        <v>14365</v>
      </c>
      <c r="F317" s="118">
        <v>993</v>
      </c>
      <c r="G317" s="118">
        <v>0</v>
      </c>
      <c r="H317" s="118">
        <v>0</v>
      </c>
      <c r="I317" s="118">
        <v>340</v>
      </c>
    </row>
    <row r="318" spans="2:9" x14ac:dyDescent="0.2">
      <c r="B318" s="129" t="s">
        <v>221</v>
      </c>
      <c r="C318" s="118">
        <v>0</v>
      </c>
      <c r="D318" s="118">
        <v>0</v>
      </c>
      <c r="E318" s="118">
        <v>0</v>
      </c>
      <c r="F318" s="118">
        <v>0</v>
      </c>
      <c r="G318" s="118">
        <v>0</v>
      </c>
      <c r="H318" s="118">
        <v>0</v>
      </c>
      <c r="I318" s="118">
        <v>0</v>
      </c>
    </row>
    <row r="319" spans="2:9" x14ac:dyDescent="0.2">
      <c r="B319" s="129" t="s">
        <v>477</v>
      </c>
      <c r="C319" s="118">
        <v>27265</v>
      </c>
      <c r="D319" s="118">
        <v>610</v>
      </c>
      <c r="E319" s="118">
        <v>26655</v>
      </c>
      <c r="F319" s="118">
        <v>0</v>
      </c>
      <c r="G319" s="118">
        <v>0</v>
      </c>
      <c r="H319" s="118">
        <v>0</v>
      </c>
      <c r="I319" s="118">
        <v>-3481</v>
      </c>
    </row>
    <row r="320" spans="2:9" x14ac:dyDescent="0.2">
      <c r="B320" s="126" t="s">
        <v>597</v>
      </c>
      <c r="C320" s="120">
        <f>SUM(C313:C319)</f>
        <v>333697</v>
      </c>
      <c r="D320" s="120">
        <f>SUM(D313:D319)</f>
        <v>42550</v>
      </c>
      <c r="E320" s="120">
        <f>SUM(E313:E319)</f>
        <v>291147</v>
      </c>
      <c r="F320" s="120">
        <f>SUM(F313:F319)</f>
        <v>108418</v>
      </c>
      <c r="G320" s="120"/>
      <c r="H320" s="120"/>
      <c r="I320" s="120">
        <f>SUM(I313:I319)</f>
        <v>7395</v>
      </c>
    </row>
    <row r="321" spans="2:9" x14ac:dyDescent="0.2">
      <c r="B321" s="149"/>
      <c r="C321" s="150"/>
      <c r="D321" s="150"/>
      <c r="E321" s="150"/>
      <c r="F321" s="150"/>
      <c r="G321" s="150"/>
      <c r="H321" s="150"/>
      <c r="I321" s="150"/>
    </row>
    <row r="322" spans="2:9" x14ac:dyDescent="0.2">
      <c r="B322" s="129" t="s">
        <v>213</v>
      </c>
      <c r="C322" s="118">
        <v>116988</v>
      </c>
      <c r="D322" s="118">
        <v>19524</v>
      </c>
      <c r="E322" s="118">
        <v>97464</v>
      </c>
      <c r="F322" s="118">
        <v>38227</v>
      </c>
      <c r="G322" s="118">
        <v>0</v>
      </c>
      <c r="H322" s="118">
        <v>0</v>
      </c>
      <c r="I322" s="118">
        <v>4100</v>
      </c>
    </row>
    <row r="323" spans="2:9" x14ac:dyDescent="0.2">
      <c r="B323" s="129" t="s">
        <v>214</v>
      </c>
      <c r="C323" s="118">
        <v>85959</v>
      </c>
      <c r="D323" s="118">
        <v>17229</v>
      </c>
      <c r="E323" s="118">
        <v>68730</v>
      </c>
      <c r="F323" s="118">
        <v>34509</v>
      </c>
      <c r="G323" s="118">
        <v>0</v>
      </c>
      <c r="H323" s="118">
        <v>0</v>
      </c>
      <c r="I323" s="118">
        <v>4771</v>
      </c>
    </row>
    <row r="324" spans="2:9" x14ac:dyDescent="0.2">
      <c r="B324" s="129" t="s">
        <v>215</v>
      </c>
      <c r="C324" s="118">
        <v>63344</v>
      </c>
      <c r="D324" s="118">
        <v>129</v>
      </c>
      <c r="E324" s="118">
        <v>63215</v>
      </c>
      <c r="F324" s="118">
        <v>1506</v>
      </c>
      <c r="G324" s="118">
        <v>0</v>
      </c>
      <c r="H324" s="118">
        <v>0</v>
      </c>
      <c r="I324" s="118">
        <v>769</v>
      </c>
    </row>
    <row r="325" spans="2:9" x14ac:dyDescent="0.2">
      <c r="B325" s="129" t="s">
        <v>218</v>
      </c>
      <c r="C325" s="118">
        <v>14662</v>
      </c>
      <c r="D325" s="118">
        <v>354</v>
      </c>
      <c r="E325" s="118">
        <v>14308</v>
      </c>
      <c r="F325" s="118">
        <v>762</v>
      </c>
      <c r="G325" s="118">
        <v>0</v>
      </c>
      <c r="H325" s="118">
        <v>0</v>
      </c>
      <c r="I325" s="118">
        <v>283</v>
      </c>
    </row>
    <row r="326" spans="2:9" x14ac:dyDescent="0.2">
      <c r="B326" s="129" t="s">
        <v>221</v>
      </c>
      <c r="C326" s="118">
        <v>0</v>
      </c>
      <c r="D326" s="118">
        <v>0</v>
      </c>
      <c r="E326" s="118">
        <v>0</v>
      </c>
      <c r="F326" s="118">
        <v>0</v>
      </c>
      <c r="G326" s="118">
        <v>0</v>
      </c>
      <c r="H326" s="118">
        <v>0</v>
      </c>
      <c r="I326" s="118">
        <v>0</v>
      </c>
    </row>
    <row r="327" spans="2:9" x14ac:dyDescent="0.2">
      <c r="B327" s="129" t="s">
        <v>477</v>
      </c>
      <c r="C327" s="118">
        <v>30574</v>
      </c>
      <c r="D327" s="118">
        <v>522</v>
      </c>
      <c r="E327" s="118">
        <v>30052</v>
      </c>
      <c r="F327" s="118">
        <v>0</v>
      </c>
      <c r="G327" s="118">
        <v>0</v>
      </c>
      <c r="H327" s="118">
        <v>0</v>
      </c>
      <c r="I327" s="118">
        <v>-84</v>
      </c>
    </row>
    <row r="328" spans="2:9" x14ac:dyDescent="0.2">
      <c r="B328" s="126" t="s">
        <v>576</v>
      </c>
      <c r="C328" s="120">
        <f>SUM(C322:C327)</f>
        <v>311527</v>
      </c>
      <c r="D328" s="120">
        <f>SUM(D322:D327)</f>
        <v>37758</v>
      </c>
      <c r="E328" s="120">
        <f>SUM(E322:E327)</f>
        <v>273769</v>
      </c>
      <c r="F328" s="120">
        <f>SUM(F322:F327)</f>
        <v>75004</v>
      </c>
      <c r="G328" s="120"/>
      <c r="H328" s="120"/>
      <c r="I328" s="120">
        <f>SUM(I322:I327)</f>
        <v>9839</v>
      </c>
    </row>
    <row r="329" spans="2:9" x14ac:dyDescent="0.2">
      <c r="B329" s="149"/>
      <c r="C329" s="150"/>
      <c r="D329" s="150"/>
      <c r="E329" s="150"/>
      <c r="F329" s="150"/>
      <c r="G329" s="150"/>
      <c r="H329" s="150"/>
      <c r="I329" s="150"/>
    </row>
    <row r="330" spans="2:9" x14ac:dyDescent="0.2">
      <c r="B330" s="129" t="s">
        <v>213</v>
      </c>
      <c r="C330" s="118">
        <v>120094</v>
      </c>
      <c r="D330" s="118">
        <v>23226</v>
      </c>
      <c r="E330" s="118">
        <v>96868</v>
      </c>
      <c r="F330" s="118">
        <v>19807</v>
      </c>
      <c r="G330" s="118">
        <v>0</v>
      </c>
      <c r="H330" s="118">
        <v>0</v>
      </c>
      <c r="I330" s="118">
        <v>3504</v>
      </c>
    </row>
    <row r="331" spans="2:9" x14ac:dyDescent="0.2">
      <c r="B331" s="129" t="s">
        <v>214</v>
      </c>
      <c r="C331" s="118">
        <v>74864</v>
      </c>
      <c r="D331" s="118">
        <v>13506</v>
      </c>
      <c r="E331" s="118">
        <v>61358</v>
      </c>
      <c r="F331" s="118">
        <v>11988</v>
      </c>
      <c r="G331" s="118">
        <v>0</v>
      </c>
      <c r="H331" s="118">
        <v>0</v>
      </c>
      <c r="I331" s="118">
        <v>-2601</v>
      </c>
    </row>
    <row r="332" spans="2:9" x14ac:dyDescent="0.2">
      <c r="B332" s="129" t="s">
        <v>215</v>
      </c>
      <c r="C332" s="118">
        <v>62644</v>
      </c>
      <c r="D332" s="118">
        <v>52</v>
      </c>
      <c r="E332" s="118">
        <v>62592</v>
      </c>
      <c r="F332" s="118">
        <v>486</v>
      </c>
      <c r="G332" s="118">
        <v>0</v>
      </c>
      <c r="H332" s="118">
        <v>0</v>
      </c>
      <c r="I332" s="118">
        <v>145</v>
      </c>
    </row>
    <row r="333" spans="2:9" x14ac:dyDescent="0.2">
      <c r="B333" s="129" t="s">
        <v>218</v>
      </c>
      <c r="C333" s="118">
        <v>14541</v>
      </c>
      <c r="D333" s="118">
        <v>301</v>
      </c>
      <c r="E333" s="118">
        <v>14240</v>
      </c>
      <c r="F333" s="118">
        <v>520</v>
      </c>
      <c r="G333" s="118">
        <v>0</v>
      </c>
      <c r="H333" s="118">
        <v>0</v>
      </c>
      <c r="I333" s="118">
        <v>215</v>
      </c>
    </row>
    <row r="334" spans="2:9" x14ac:dyDescent="0.2">
      <c r="B334" s="129" t="s">
        <v>221</v>
      </c>
      <c r="C334" s="118">
        <v>0</v>
      </c>
      <c r="D334" s="118">
        <v>0</v>
      </c>
      <c r="E334" s="118">
        <v>0</v>
      </c>
      <c r="F334" s="118">
        <v>0</v>
      </c>
      <c r="G334" s="118">
        <v>0</v>
      </c>
      <c r="H334" s="118">
        <v>0</v>
      </c>
      <c r="I334" s="118">
        <v>0</v>
      </c>
    </row>
    <row r="335" spans="2:9" x14ac:dyDescent="0.2">
      <c r="B335" s="129" t="s">
        <v>477</v>
      </c>
      <c r="C335" s="118">
        <v>30572</v>
      </c>
      <c r="D335" s="118">
        <v>494</v>
      </c>
      <c r="E335" s="118">
        <v>30078</v>
      </c>
      <c r="F335" s="118">
        <v>0</v>
      </c>
      <c r="G335" s="118">
        <v>0</v>
      </c>
      <c r="H335" s="118">
        <v>0</v>
      </c>
      <c r="I335" s="118">
        <v>-58</v>
      </c>
    </row>
    <row r="336" spans="2:9" x14ac:dyDescent="0.2">
      <c r="B336" s="126" t="s">
        <v>836</v>
      </c>
      <c r="C336" s="120">
        <f>SUM(C330:C335)</f>
        <v>302715</v>
      </c>
      <c r="D336" s="120">
        <f>SUM(D330:D335)</f>
        <v>37579</v>
      </c>
      <c r="E336" s="120">
        <f>SUM(E330:E335)</f>
        <v>265136</v>
      </c>
      <c r="F336" s="120">
        <f>SUM(F330:F335)</f>
        <v>32801</v>
      </c>
      <c r="G336" s="120"/>
      <c r="H336" s="120"/>
      <c r="I336" s="120">
        <f>SUM(I330:I335)</f>
        <v>1205</v>
      </c>
    </row>
    <row r="337" spans="2:9" x14ac:dyDescent="0.2">
      <c r="B337" s="149"/>
      <c r="C337" s="150"/>
      <c r="D337" s="150"/>
      <c r="E337" s="150"/>
      <c r="F337" s="150"/>
      <c r="G337" s="150"/>
      <c r="H337" s="150"/>
      <c r="I337" s="150"/>
    </row>
    <row r="338" spans="2:9" x14ac:dyDescent="0.2">
      <c r="B338" s="129" t="s">
        <v>213</v>
      </c>
      <c r="C338" s="118">
        <v>114349</v>
      </c>
      <c r="D338" s="118">
        <v>20985</v>
      </c>
      <c r="E338" s="118">
        <v>93364</v>
      </c>
      <c r="F338" s="118">
        <v>78902</v>
      </c>
      <c r="G338" s="118">
        <v>0</v>
      </c>
      <c r="H338" s="118">
        <v>0</v>
      </c>
      <c r="I338" s="118">
        <v>9908</v>
      </c>
    </row>
    <row r="339" spans="2:9" x14ac:dyDescent="0.2">
      <c r="B339" s="129" t="s">
        <v>214</v>
      </c>
      <c r="C339" s="118">
        <v>75503</v>
      </c>
      <c r="D339" s="118">
        <v>11544</v>
      </c>
      <c r="E339" s="118">
        <v>63959</v>
      </c>
      <c r="F339" s="118">
        <v>52041</v>
      </c>
      <c r="G339" s="118">
        <v>0</v>
      </c>
      <c r="H339" s="118">
        <v>0</v>
      </c>
      <c r="I339" s="118">
        <v>-9657</v>
      </c>
    </row>
    <row r="340" spans="2:9" x14ac:dyDescent="0.2">
      <c r="B340" s="129" t="s">
        <v>215</v>
      </c>
      <c r="C340" s="118">
        <v>62862</v>
      </c>
      <c r="D340" s="118">
        <v>915</v>
      </c>
      <c r="E340" s="118">
        <v>61947</v>
      </c>
      <c r="F340" s="118">
        <v>1300</v>
      </c>
      <c r="G340" s="118">
        <v>0</v>
      </c>
      <c r="H340" s="118">
        <v>0</v>
      </c>
      <c r="I340" s="118">
        <v>-517</v>
      </c>
    </row>
    <row r="341" spans="2:9" x14ac:dyDescent="0.2">
      <c r="B341" s="129" t="s">
        <v>218</v>
      </c>
      <c r="C341" s="118">
        <v>14275</v>
      </c>
      <c r="D341" s="118">
        <v>250</v>
      </c>
      <c r="E341" s="118">
        <v>14025</v>
      </c>
      <c r="F341" s="118">
        <v>1497</v>
      </c>
      <c r="G341" s="118">
        <v>0</v>
      </c>
      <c r="H341" s="118">
        <v>0</v>
      </c>
      <c r="I341" s="118">
        <v>-220</v>
      </c>
    </row>
    <row r="342" spans="2:9" x14ac:dyDescent="0.2">
      <c r="B342" s="129" t="s">
        <v>221</v>
      </c>
      <c r="C342" s="118">
        <v>0</v>
      </c>
      <c r="D342" s="118">
        <v>0</v>
      </c>
      <c r="E342" s="118">
        <v>0</v>
      </c>
      <c r="F342" s="118">
        <v>0</v>
      </c>
      <c r="G342" s="118">
        <v>0</v>
      </c>
      <c r="H342" s="118">
        <v>0</v>
      </c>
      <c r="I342" s="118">
        <v>45</v>
      </c>
    </row>
    <row r="343" spans="2:9" x14ac:dyDescent="0.2">
      <c r="B343" s="129" t="s">
        <v>477</v>
      </c>
      <c r="C343" s="118">
        <v>42947</v>
      </c>
      <c r="D343" s="118">
        <v>12811</v>
      </c>
      <c r="E343" s="118">
        <v>30136</v>
      </c>
      <c r="F343" s="118">
        <v>0</v>
      </c>
      <c r="G343" s="118">
        <v>0</v>
      </c>
      <c r="H343" s="118">
        <v>0</v>
      </c>
      <c r="I343" s="118">
        <v>-215</v>
      </c>
    </row>
    <row r="344" spans="2:9" x14ac:dyDescent="0.2">
      <c r="B344" s="126" t="s">
        <v>555</v>
      </c>
      <c r="C344" s="120">
        <f>SUM(C338:C343)</f>
        <v>309936</v>
      </c>
      <c r="D344" s="120">
        <f>SUM(D338:D343)</f>
        <v>46505</v>
      </c>
      <c r="E344" s="120">
        <f>SUM(E338:E343)</f>
        <v>263431</v>
      </c>
      <c r="F344" s="120">
        <f>SUM(F338:F343)</f>
        <v>133740</v>
      </c>
      <c r="G344" s="120"/>
      <c r="H344" s="120"/>
      <c r="I344" s="120">
        <f>SUM(I338:I343)</f>
        <v>-656</v>
      </c>
    </row>
    <row r="346" spans="2:9" x14ac:dyDescent="0.2">
      <c r="B346" s="129" t="s">
        <v>213</v>
      </c>
      <c r="C346" s="118">
        <v>113130</v>
      </c>
      <c r="D346" s="118">
        <v>22355</v>
      </c>
      <c r="E346" s="118">
        <v>90775</v>
      </c>
      <c r="F346" s="118">
        <v>59169</v>
      </c>
      <c r="G346" s="118">
        <v>0</v>
      </c>
      <c r="H346" s="118">
        <v>0</v>
      </c>
      <c r="I346" s="118">
        <v>7319</v>
      </c>
    </row>
    <row r="347" spans="2:9" x14ac:dyDescent="0.2">
      <c r="B347" s="129" t="s">
        <v>214</v>
      </c>
      <c r="C347" s="118">
        <v>78209</v>
      </c>
      <c r="D347" s="118">
        <v>11975</v>
      </c>
      <c r="E347" s="118">
        <v>66234</v>
      </c>
      <c r="F347" s="118">
        <v>38878</v>
      </c>
      <c r="G347" s="118">
        <v>0</v>
      </c>
      <c r="H347" s="118">
        <v>0</v>
      </c>
      <c r="I347" s="118">
        <v>-7383</v>
      </c>
    </row>
    <row r="348" spans="2:9" x14ac:dyDescent="0.2">
      <c r="B348" s="129" t="s">
        <v>215</v>
      </c>
      <c r="C348" s="118">
        <v>69515</v>
      </c>
      <c r="D348" s="118">
        <v>6546</v>
      </c>
      <c r="E348" s="118">
        <v>62969</v>
      </c>
      <c r="F348" s="118">
        <v>815</v>
      </c>
      <c r="G348" s="118">
        <v>0</v>
      </c>
      <c r="H348" s="118">
        <v>0</v>
      </c>
      <c r="I348" s="118">
        <v>505</v>
      </c>
    </row>
    <row r="349" spans="2:9" x14ac:dyDescent="0.2">
      <c r="B349" s="129" t="s">
        <v>218</v>
      </c>
      <c r="C349" s="118">
        <v>14313</v>
      </c>
      <c r="D349" s="118">
        <v>350</v>
      </c>
      <c r="E349" s="118">
        <v>13963</v>
      </c>
      <c r="F349" s="118">
        <v>1146</v>
      </c>
      <c r="G349" s="118">
        <v>0</v>
      </c>
      <c r="H349" s="118">
        <v>0</v>
      </c>
      <c r="I349" s="118">
        <v>-282</v>
      </c>
    </row>
    <row r="350" spans="2:9" x14ac:dyDescent="0.2">
      <c r="B350" s="129" t="s">
        <v>221</v>
      </c>
      <c r="C350" s="118">
        <v>0</v>
      </c>
      <c r="D350" s="118">
        <v>0</v>
      </c>
      <c r="E350" s="118">
        <v>0</v>
      </c>
      <c r="F350" s="118">
        <v>0</v>
      </c>
      <c r="G350" s="118">
        <v>0</v>
      </c>
      <c r="H350" s="118">
        <v>0</v>
      </c>
      <c r="I350" s="118">
        <v>45</v>
      </c>
    </row>
    <row r="351" spans="2:9" x14ac:dyDescent="0.2">
      <c r="B351" s="129" t="s">
        <v>477</v>
      </c>
      <c r="C351" s="118">
        <v>43048</v>
      </c>
      <c r="D351" s="118">
        <v>12279</v>
      </c>
      <c r="E351" s="118">
        <v>30769</v>
      </c>
      <c r="F351" s="118">
        <v>0</v>
      </c>
      <c r="G351" s="118">
        <v>0</v>
      </c>
      <c r="H351" s="118">
        <v>0</v>
      </c>
      <c r="I351" s="118">
        <v>417</v>
      </c>
    </row>
    <row r="352" spans="2:9" x14ac:dyDescent="0.2">
      <c r="B352" s="126" t="s">
        <v>519</v>
      </c>
      <c r="C352" s="120">
        <f>SUM(C346:C351)</f>
        <v>318215</v>
      </c>
      <c r="D352" s="120">
        <f>SUM(D346:D351)</f>
        <v>53505</v>
      </c>
      <c r="E352" s="120">
        <f>SUM(E346:E351)</f>
        <v>264710</v>
      </c>
      <c r="F352" s="120">
        <f>SUM(F346:F351)</f>
        <v>100008</v>
      </c>
      <c r="G352" s="120"/>
      <c r="H352" s="120"/>
      <c r="I352" s="120">
        <f>SUM(I346:I351)</f>
        <v>621</v>
      </c>
    </row>
    <row r="354" spans="2:9" x14ac:dyDescent="0.2">
      <c r="B354" s="129" t="s">
        <v>213</v>
      </c>
      <c r="C354" s="118">
        <v>109408</v>
      </c>
      <c r="D354" s="118">
        <v>20442</v>
      </c>
      <c r="E354" s="118">
        <v>88966</v>
      </c>
      <c r="F354" s="118">
        <v>40110</v>
      </c>
      <c r="G354" s="118">
        <v>0</v>
      </c>
      <c r="H354" s="118">
        <v>0</v>
      </c>
      <c r="I354" s="118">
        <v>5510</v>
      </c>
    </row>
    <row r="355" spans="2:9" x14ac:dyDescent="0.2">
      <c r="B355" s="129" t="s">
        <v>214</v>
      </c>
      <c r="C355" s="118">
        <v>81321</v>
      </c>
      <c r="D355" s="118">
        <v>13395</v>
      </c>
      <c r="E355" s="118">
        <v>67926</v>
      </c>
      <c r="F355" s="118">
        <v>26311</v>
      </c>
      <c r="G355" s="118">
        <v>0</v>
      </c>
      <c r="H355" s="118">
        <v>0</v>
      </c>
      <c r="I355" s="118">
        <v>-5691</v>
      </c>
    </row>
    <row r="356" spans="2:9" x14ac:dyDescent="0.2">
      <c r="B356" s="129" t="s">
        <v>215</v>
      </c>
      <c r="C356" s="118">
        <v>68746</v>
      </c>
      <c r="D356" s="118">
        <v>11948</v>
      </c>
      <c r="E356" s="118">
        <v>56798</v>
      </c>
      <c r="F356" s="118">
        <v>329</v>
      </c>
      <c r="G356" s="118">
        <v>0</v>
      </c>
      <c r="H356" s="118">
        <v>0</v>
      </c>
      <c r="I356" s="118">
        <v>334</v>
      </c>
    </row>
    <row r="357" spans="2:9" x14ac:dyDescent="0.2">
      <c r="B357" s="129" t="s">
        <v>218</v>
      </c>
      <c r="C357" s="118">
        <v>14497</v>
      </c>
      <c r="D357" s="118">
        <v>387</v>
      </c>
      <c r="E357" s="118">
        <v>14110</v>
      </c>
      <c r="F357" s="118">
        <v>891</v>
      </c>
      <c r="G357" s="118">
        <v>0</v>
      </c>
      <c r="H357" s="118">
        <v>0</v>
      </c>
      <c r="I357" s="118">
        <v>-135</v>
      </c>
    </row>
    <row r="358" spans="2:9" x14ac:dyDescent="0.2">
      <c r="B358" s="129" t="s">
        <v>221</v>
      </c>
      <c r="C358" s="118">
        <v>0</v>
      </c>
      <c r="D358" s="118">
        <v>0</v>
      </c>
      <c r="E358" s="118">
        <v>0</v>
      </c>
      <c r="F358" s="118">
        <v>0</v>
      </c>
      <c r="G358" s="118">
        <v>0</v>
      </c>
      <c r="H358" s="118">
        <v>0</v>
      </c>
      <c r="I358" s="118">
        <v>45</v>
      </c>
    </row>
    <row r="359" spans="2:9" x14ac:dyDescent="0.2">
      <c r="B359" s="129" t="s">
        <v>477</v>
      </c>
      <c r="C359" s="118">
        <v>42494</v>
      </c>
      <c r="D359" s="118">
        <v>11867</v>
      </c>
      <c r="E359" s="118">
        <v>30627</v>
      </c>
      <c r="F359" s="118">
        <v>0</v>
      </c>
      <c r="G359" s="118">
        <v>0</v>
      </c>
      <c r="H359" s="118">
        <v>0</v>
      </c>
      <c r="I359" s="118">
        <v>276</v>
      </c>
    </row>
    <row r="360" spans="2:9" x14ac:dyDescent="0.2">
      <c r="B360" s="126" t="s">
        <v>503</v>
      </c>
      <c r="C360" s="120">
        <f>SUM(C354:C359)</f>
        <v>316466</v>
      </c>
      <c r="D360" s="120">
        <f>SUM(D354:D359)</f>
        <v>58039</v>
      </c>
      <c r="E360" s="120">
        <f>SUM(E354:E359)</f>
        <v>258427</v>
      </c>
      <c r="F360" s="120">
        <f>SUM(F354:F359)</f>
        <v>67641</v>
      </c>
      <c r="G360" s="120"/>
      <c r="H360" s="120"/>
      <c r="I360" s="120">
        <f>SUM(I354:I359)</f>
        <v>339</v>
      </c>
    </row>
    <row r="362" spans="2:9" x14ac:dyDescent="0.2">
      <c r="B362" s="129" t="s">
        <v>213</v>
      </c>
      <c r="C362" s="118">
        <v>110957</v>
      </c>
      <c r="D362" s="118">
        <v>24233</v>
      </c>
      <c r="E362" s="118">
        <v>86724</v>
      </c>
      <c r="F362" s="118">
        <v>19151</v>
      </c>
      <c r="G362" s="118">
        <v>0</v>
      </c>
      <c r="H362" s="118">
        <v>0</v>
      </c>
      <c r="I362" s="118">
        <v>3268</v>
      </c>
    </row>
    <row r="363" spans="2:9" x14ac:dyDescent="0.2">
      <c r="B363" s="129" t="s">
        <v>214</v>
      </c>
      <c r="C363" s="118">
        <v>93420</v>
      </c>
      <c r="D363" s="118">
        <v>22685</v>
      </c>
      <c r="E363" s="118">
        <v>70735</v>
      </c>
      <c r="F363" s="118">
        <v>14163</v>
      </c>
      <c r="G363" s="118">
        <v>0</v>
      </c>
      <c r="H363" s="118">
        <v>0</v>
      </c>
      <c r="I363" s="118">
        <v>-2904</v>
      </c>
    </row>
    <row r="364" spans="2:9" x14ac:dyDescent="0.2">
      <c r="B364" s="129" t="s">
        <v>215</v>
      </c>
      <c r="C364" s="118">
        <v>50087</v>
      </c>
      <c r="D364" s="118">
        <v>12244</v>
      </c>
      <c r="E364" s="118">
        <v>37843</v>
      </c>
      <c r="F364" s="118">
        <v>0</v>
      </c>
      <c r="G364" s="118">
        <v>0</v>
      </c>
      <c r="H364" s="118">
        <v>0</v>
      </c>
      <c r="I364" s="118">
        <v>-4</v>
      </c>
    </row>
    <row r="365" spans="2:9" x14ac:dyDescent="0.2">
      <c r="B365" s="129" t="s">
        <v>218</v>
      </c>
      <c r="C365" s="118">
        <v>15026</v>
      </c>
      <c r="D365" s="118">
        <v>333</v>
      </c>
      <c r="E365" s="118">
        <v>14693</v>
      </c>
      <c r="F365" s="118">
        <v>644</v>
      </c>
      <c r="G365" s="118">
        <v>0</v>
      </c>
      <c r="H365" s="118">
        <v>0</v>
      </c>
      <c r="I365" s="118">
        <v>133</v>
      </c>
    </row>
    <row r="366" spans="2:9" x14ac:dyDescent="0.2">
      <c r="B366" s="129" t="s">
        <v>221</v>
      </c>
      <c r="C366" s="118">
        <v>0</v>
      </c>
      <c r="D366" s="118">
        <v>0</v>
      </c>
      <c r="E366" s="118">
        <v>0</v>
      </c>
      <c r="F366" s="118">
        <v>0</v>
      </c>
      <c r="G366" s="118">
        <v>0</v>
      </c>
      <c r="H366" s="118">
        <v>0</v>
      </c>
      <c r="I366" s="118">
        <v>45</v>
      </c>
    </row>
    <row r="367" spans="2:9" x14ac:dyDescent="0.2">
      <c r="B367" s="129" t="s">
        <v>477</v>
      </c>
      <c r="C367" s="118">
        <v>42161</v>
      </c>
      <c r="D367" s="118">
        <v>11525</v>
      </c>
      <c r="E367" s="118">
        <v>30636</v>
      </c>
      <c r="F367" s="118">
        <v>0</v>
      </c>
      <c r="G367" s="118">
        <v>0</v>
      </c>
      <c r="H367" s="118">
        <v>0</v>
      </c>
      <c r="I367" s="118">
        <v>285</v>
      </c>
    </row>
    <row r="368" spans="2:9" x14ac:dyDescent="0.2">
      <c r="B368" s="126" t="s">
        <v>476</v>
      </c>
      <c r="C368" s="120">
        <f>SUM(C362:C367)</f>
        <v>311651</v>
      </c>
      <c r="D368" s="120">
        <f>SUM(D362:D367)</f>
        <v>71020</v>
      </c>
      <c r="E368" s="120">
        <f>SUM(E362:E367)</f>
        <v>240631</v>
      </c>
      <c r="F368" s="120">
        <f>SUM(F362:F367)</f>
        <v>33958</v>
      </c>
      <c r="G368" s="120"/>
      <c r="H368" s="120"/>
      <c r="I368" s="120">
        <f>SUM(I362:I367)</f>
        <v>823</v>
      </c>
    </row>
    <row r="370" spans="2:9" x14ac:dyDescent="0.2">
      <c r="B370" s="129" t="s">
        <v>213</v>
      </c>
      <c r="C370" s="118">
        <v>108312</v>
      </c>
      <c r="D370" s="118">
        <v>24856</v>
      </c>
      <c r="E370" s="118">
        <v>83456</v>
      </c>
      <c r="F370" s="118">
        <v>103065</v>
      </c>
      <c r="G370" s="118">
        <v>0</v>
      </c>
      <c r="H370" s="118">
        <v>0</v>
      </c>
      <c r="I370" s="118">
        <v>1647</v>
      </c>
    </row>
    <row r="371" spans="2:9" x14ac:dyDescent="0.2">
      <c r="B371" s="129" t="s">
        <v>214</v>
      </c>
      <c r="C371" s="118">
        <v>93094</v>
      </c>
      <c r="D371" s="118">
        <v>19455</v>
      </c>
      <c r="E371" s="118">
        <v>73639</v>
      </c>
      <c r="F371" s="118">
        <v>61462</v>
      </c>
      <c r="G371" s="118">
        <v>0</v>
      </c>
      <c r="H371" s="118">
        <v>0</v>
      </c>
      <c r="I371" s="118">
        <v>-15431</v>
      </c>
    </row>
    <row r="372" spans="2:9" x14ac:dyDescent="0.2">
      <c r="B372" s="129" t="s">
        <v>215</v>
      </c>
      <c r="C372" s="118">
        <v>46494</v>
      </c>
      <c r="D372" s="118">
        <v>12735</v>
      </c>
      <c r="E372" s="118">
        <v>33759</v>
      </c>
      <c r="F372" s="118">
        <v>0</v>
      </c>
      <c r="G372" s="118">
        <v>0</v>
      </c>
      <c r="H372" s="118">
        <v>0</v>
      </c>
      <c r="I372" s="118">
        <v>-35</v>
      </c>
    </row>
    <row r="373" spans="2:9" x14ac:dyDescent="0.2">
      <c r="B373" s="129" t="s">
        <v>218</v>
      </c>
      <c r="C373" s="118">
        <v>14880</v>
      </c>
      <c r="D373" s="118">
        <v>320</v>
      </c>
      <c r="E373" s="118">
        <v>14560</v>
      </c>
      <c r="F373" s="118">
        <v>5236</v>
      </c>
      <c r="G373" s="118">
        <v>0</v>
      </c>
      <c r="H373" s="118">
        <v>0</v>
      </c>
      <c r="I373" s="118">
        <v>333</v>
      </c>
    </row>
    <row r="374" spans="2:9" x14ac:dyDescent="0.2">
      <c r="B374" s="129" t="s">
        <v>221</v>
      </c>
      <c r="C374" s="118">
        <v>41367</v>
      </c>
      <c r="D374" s="118">
        <v>11014</v>
      </c>
      <c r="E374" s="118">
        <v>30353</v>
      </c>
      <c r="F374" s="118">
        <v>0</v>
      </c>
      <c r="G374" s="118">
        <v>0</v>
      </c>
      <c r="H374" s="118">
        <v>0</v>
      </c>
      <c r="I374" s="118">
        <v>-1177</v>
      </c>
    </row>
    <row r="375" spans="2:9" x14ac:dyDescent="0.2">
      <c r="B375" s="126" t="s">
        <v>837</v>
      </c>
      <c r="C375" s="120">
        <f>SUM(C370:C374)</f>
        <v>304147</v>
      </c>
      <c r="D375" s="120">
        <f>SUM(D370:D374)</f>
        <v>68380</v>
      </c>
      <c r="E375" s="120">
        <f>SUM(E370:E374)</f>
        <v>235767</v>
      </c>
      <c r="F375" s="120">
        <f>SUM(F370:F374)</f>
        <v>169763</v>
      </c>
      <c r="G375" s="120"/>
      <c r="H375" s="120"/>
      <c r="I375" s="120">
        <f>SUM(I370:I374)</f>
        <v>-14663</v>
      </c>
    </row>
    <row r="376" spans="2:9" x14ac:dyDescent="0.2">
      <c r="B376" s="182"/>
      <c r="C376" s="183"/>
      <c r="D376" s="183"/>
      <c r="E376" s="183"/>
      <c r="F376" s="183"/>
      <c r="G376" s="183"/>
      <c r="H376" s="183"/>
      <c r="I376" s="183"/>
    </row>
    <row r="377" spans="2:9" x14ac:dyDescent="0.2">
      <c r="B377" s="129" t="s">
        <v>213</v>
      </c>
      <c r="C377" s="118">
        <v>104461</v>
      </c>
      <c r="D377" s="118">
        <v>21059</v>
      </c>
      <c r="E377" s="118">
        <v>83402</v>
      </c>
      <c r="F377" s="118">
        <v>78125</v>
      </c>
      <c r="G377" s="118">
        <v>0</v>
      </c>
      <c r="H377" s="118">
        <v>0</v>
      </c>
      <c r="I377" s="118">
        <v>1593</v>
      </c>
    </row>
    <row r="378" spans="2:9" x14ac:dyDescent="0.2">
      <c r="B378" s="129" t="s">
        <v>214</v>
      </c>
      <c r="C378" s="118">
        <v>92629</v>
      </c>
      <c r="D378" s="118">
        <v>11962</v>
      </c>
      <c r="E378" s="118">
        <v>80667</v>
      </c>
      <c r="F378" s="118">
        <v>44179</v>
      </c>
      <c r="G378" s="118">
        <v>0</v>
      </c>
      <c r="H378" s="118">
        <v>0</v>
      </c>
      <c r="I378" s="118">
        <v>-8403</v>
      </c>
    </row>
    <row r="379" spans="2:9" x14ac:dyDescent="0.2">
      <c r="B379" s="129" t="s">
        <v>215</v>
      </c>
      <c r="C379" s="118">
        <v>40879</v>
      </c>
      <c r="D379" s="118">
        <v>12012</v>
      </c>
      <c r="E379" s="118">
        <v>28867</v>
      </c>
      <c r="F379" s="118">
        <v>0</v>
      </c>
      <c r="G379" s="118">
        <v>0</v>
      </c>
      <c r="H379" s="118">
        <v>0</v>
      </c>
      <c r="I379" s="118">
        <v>-68</v>
      </c>
    </row>
    <row r="380" spans="2:9" x14ac:dyDescent="0.2">
      <c r="B380" s="129" t="s">
        <v>218</v>
      </c>
      <c r="C380" s="118">
        <v>16075</v>
      </c>
      <c r="D380" s="118">
        <v>451</v>
      </c>
      <c r="E380" s="118">
        <v>15624</v>
      </c>
      <c r="F380" s="118">
        <v>4557</v>
      </c>
      <c r="G380" s="118">
        <v>0</v>
      </c>
      <c r="H380" s="118">
        <v>0</v>
      </c>
      <c r="I380" s="118">
        <v>1397</v>
      </c>
    </row>
    <row r="381" spans="2:9" x14ac:dyDescent="0.2">
      <c r="B381" s="129" t="s">
        <v>221</v>
      </c>
      <c r="C381" s="118">
        <v>41298</v>
      </c>
      <c r="D381" s="118">
        <v>10656</v>
      </c>
      <c r="E381" s="118">
        <v>30642</v>
      </c>
      <c r="F381" s="118">
        <v>0</v>
      </c>
      <c r="G381" s="118">
        <v>0</v>
      </c>
      <c r="H381" s="118">
        <v>0</v>
      </c>
      <c r="I381" s="118">
        <v>-888</v>
      </c>
    </row>
    <row r="382" spans="2:9" x14ac:dyDescent="0.2">
      <c r="B382" s="126" t="s">
        <v>384</v>
      </c>
      <c r="C382" s="120">
        <f>SUM(C377:C381)</f>
        <v>295342</v>
      </c>
      <c r="D382" s="120">
        <f>SUM(D377:D381)</f>
        <v>56140</v>
      </c>
      <c r="E382" s="120">
        <f>SUM(E377:E381)</f>
        <v>239202</v>
      </c>
      <c r="F382" s="120">
        <f>SUM(F377:F381)</f>
        <v>126861</v>
      </c>
      <c r="G382" s="120"/>
      <c r="H382" s="120"/>
      <c r="I382" s="120">
        <f>SUM(I377:I381)</f>
        <v>-6369</v>
      </c>
    </row>
    <row r="383" spans="2:9" x14ac:dyDescent="0.2">
      <c r="B383" s="182"/>
      <c r="C383" s="183"/>
      <c r="D383" s="183"/>
      <c r="E383" s="183"/>
      <c r="F383" s="183"/>
      <c r="G383" s="183"/>
      <c r="H383" s="183"/>
      <c r="I383" s="183"/>
    </row>
    <row r="384" spans="2:9" x14ac:dyDescent="0.2">
      <c r="B384" s="129" t="s">
        <v>213</v>
      </c>
      <c r="C384" s="118">
        <v>104832</v>
      </c>
      <c r="D384" s="118">
        <v>20973</v>
      </c>
      <c r="E384" s="118">
        <v>83859</v>
      </c>
      <c r="F384" s="118">
        <v>51369</v>
      </c>
      <c r="G384" s="118">
        <v>0</v>
      </c>
      <c r="H384" s="118">
        <v>0</v>
      </c>
      <c r="I384" s="118">
        <v>2050</v>
      </c>
    </row>
    <row r="385" spans="2:9" x14ac:dyDescent="0.2">
      <c r="B385" s="129" t="s">
        <v>214</v>
      </c>
      <c r="C385" s="118">
        <v>98521</v>
      </c>
      <c r="D385" s="118">
        <v>16406</v>
      </c>
      <c r="E385" s="118">
        <v>82115</v>
      </c>
      <c r="F385" s="118">
        <v>27983</v>
      </c>
      <c r="G385" s="118">
        <v>0</v>
      </c>
      <c r="H385" s="118">
        <v>0</v>
      </c>
      <c r="I385" s="118">
        <v>-6955</v>
      </c>
    </row>
    <row r="386" spans="2:9" x14ac:dyDescent="0.2">
      <c r="B386" s="129" t="s">
        <v>215</v>
      </c>
      <c r="C386" s="118">
        <v>29639</v>
      </c>
      <c r="D386" s="118">
        <v>6394</v>
      </c>
      <c r="E386" s="118">
        <v>23245</v>
      </c>
      <c r="F386" s="118">
        <v>0</v>
      </c>
      <c r="G386" s="118">
        <v>0</v>
      </c>
      <c r="H386" s="118">
        <v>0</v>
      </c>
      <c r="I386" s="118">
        <v>-17</v>
      </c>
    </row>
    <row r="387" spans="2:9" x14ac:dyDescent="0.2">
      <c r="B387" s="129" t="s">
        <v>218</v>
      </c>
      <c r="C387" s="118">
        <v>15628</v>
      </c>
      <c r="D387" s="118">
        <v>347</v>
      </c>
      <c r="E387" s="118">
        <v>15281</v>
      </c>
      <c r="F387" s="118">
        <v>3168</v>
      </c>
      <c r="G387" s="118">
        <v>0</v>
      </c>
      <c r="H387" s="118">
        <v>0</v>
      </c>
      <c r="I387" s="118">
        <v>1054</v>
      </c>
    </row>
    <row r="388" spans="2:9" x14ac:dyDescent="0.2">
      <c r="B388" s="129" t="s">
        <v>221</v>
      </c>
      <c r="C388" s="118">
        <v>41407</v>
      </c>
      <c r="D388" s="118">
        <v>10283</v>
      </c>
      <c r="E388" s="118">
        <v>31124</v>
      </c>
      <c r="F388" s="118">
        <v>0</v>
      </c>
      <c r="G388" s="118">
        <v>0</v>
      </c>
      <c r="H388" s="118">
        <v>0</v>
      </c>
      <c r="I388" s="118">
        <v>-406</v>
      </c>
    </row>
    <row r="389" spans="2:9" x14ac:dyDescent="0.2">
      <c r="B389" s="126" t="s">
        <v>178</v>
      </c>
      <c r="C389" s="120">
        <f>SUM(C384:C388)</f>
        <v>290027</v>
      </c>
      <c r="D389" s="120">
        <f>SUM(D384:D388)</f>
        <v>54403</v>
      </c>
      <c r="E389" s="120">
        <f>SUM(E384:E388)</f>
        <v>235624</v>
      </c>
      <c r="F389" s="120">
        <f>SUM(F384:F388)</f>
        <v>82520</v>
      </c>
      <c r="G389" s="120"/>
      <c r="H389" s="120"/>
      <c r="I389" s="120">
        <f>SUM(I384:I388)</f>
        <v>-4274</v>
      </c>
    </row>
    <row r="390" spans="2:9" x14ac:dyDescent="0.2">
      <c r="C390" s="91"/>
      <c r="D390" s="91"/>
      <c r="E390" s="91"/>
      <c r="F390" s="91"/>
      <c r="G390" s="91"/>
      <c r="H390" s="91"/>
      <c r="I390" s="90"/>
    </row>
    <row r="391" spans="2:9" x14ac:dyDescent="0.2">
      <c r="B391" s="129" t="s">
        <v>213</v>
      </c>
      <c r="C391" s="118">
        <v>102800</v>
      </c>
      <c r="D391" s="118">
        <v>19220</v>
      </c>
      <c r="E391" s="118">
        <v>83580</v>
      </c>
      <c r="F391" s="118">
        <v>24529</v>
      </c>
      <c r="G391" s="118">
        <v>0</v>
      </c>
      <c r="H391" s="118">
        <v>0</v>
      </c>
      <c r="I391" s="118">
        <v>1771</v>
      </c>
    </row>
    <row r="392" spans="2:9" x14ac:dyDescent="0.2">
      <c r="B392" s="129" t="s">
        <v>214</v>
      </c>
      <c r="C392" s="118">
        <v>99281</v>
      </c>
      <c r="D392" s="118">
        <v>11885</v>
      </c>
      <c r="E392" s="118">
        <v>87396</v>
      </c>
      <c r="F392" s="118">
        <v>14118</v>
      </c>
      <c r="G392" s="118">
        <v>0</v>
      </c>
      <c r="H392" s="118">
        <v>0</v>
      </c>
      <c r="I392" s="118">
        <v>-1674</v>
      </c>
    </row>
    <row r="393" spans="2:9" x14ac:dyDescent="0.2">
      <c r="B393" s="129" t="s">
        <v>215</v>
      </c>
      <c r="C393" s="118">
        <v>22239</v>
      </c>
      <c r="D393" s="118">
        <v>531</v>
      </c>
      <c r="E393" s="118">
        <v>21708</v>
      </c>
      <c r="F393" s="118">
        <v>0</v>
      </c>
      <c r="G393" s="118">
        <v>0</v>
      </c>
      <c r="H393" s="118">
        <v>0</v>
      </c>
      <c r="I393" s="118">
        <v>-16</v>
      </c>
    </row>
    <row r="394" spans="2:9" x14ac:dyDescent="0.2">
      <c r="B394" s="129" t="s">
        <v>218</v>
      </c>
      <c r="C394" s="118">
        <v>15668</v>
      </c>
      <c r="D394" s="118">
        <v>772</v>
      </c>
      <c r="E394" s="118">
        <v>14896</v>
      </c>
      <c r="F394" s="118">
        <v>2342</v>
      </c>
      <c r="G394" s="118">
        <v>0</v>
      </c>
      <c r="H394" s="118">
        <v>0</v>
      </c>
      <c r="I394" s="118">
        <v>710</v>
      </c>
    </row>
    <row r="395" spans="2:9" x14ac:dyDescent="0.2">
      <c r="B395" s="129" t="s">
        <v>221</v>
      </c>
      <c r="C395" s="118">
        <v>41246</v>
      </c>
      <c r="D395" s="118">
        <v>9981</v>
      </c>
      <c r="E395" s="118">
        <v>31265</v>
      </c>
      <c r="F395" s="118">
        <v>0</v>
      </c>
      <c r="G395" s="118">
        <v>0</v>
      </c>
      <c r="H395" s="118">
        <v>0</v>
      </c>
      <c r="I395" s="118">
        <v>-265</v>
      </c>
    </row>
    <row r="396" spans="2:9" x14ac:dyDescent="0.2">
      <c r="B396" s="126" t="s">
        <v>177</v>
      </c>
      <c r="C396" s="120">
        <f>SUM(C391:C395)</f>
        <v>281234</v>
      </c>
      <c r="D396" s="120">
        <f>SUM(D391:D395)</f>
        <v>42389</v>
      </c>
      <c r="E396" s="120">
        <f>SUM(E391:E395)</f>
        <v>238845</v>
      </c>
      <c r="F396" s="120">
        <f>SUM(F391:F395)</f>
        <v>40989</v>
      </c>
      <c r="G396" s="120"/>
      <c r="H396" s="120"/>
      <c r="I396" s="120">
        <f>SUM(I391:I395)</f>
        <v>526</v>
      </c>
    </row>
    <row r="397" spans="2:9" x14ac:dyDescent="0.2">
      <c r="C397" s="91"/>
      <c r="D397" s="91"/>
      <c r="E397" s="91"/>
      <c r="F397" s="91"/>
      <c r="G397" s="91"/>
      <c r="H397" s="91"/>
      <c r="I397" s="90"/>
    </row>
    <row r="398" spans="2:9" x14ac:dyDescent="0.2">
      <c r="B398" s="129" t="s">
        <v>213</v>
      </c>
      <c r="C398" s="118">
        <v>101309</v>
      </c>
      <c r="D398" s="118">
        <v>19500</v>
      </c>
      <c r="E398" s="118">
        <v>81809</v>
      </c>
      <c r="F398" s="118">
        <v>98741</v>
      </c>
      <c r="G398" s="118">
        <v>0</v>
      </c>
      <c r="H398" s="118">
        <v>0</v>
      </c>
      <c r="I398" s="118">
        <v>11551</v>
      </c>
    </row>
    <row r="399" spans="2:9" x14ac:dyDescent="0.2">
      <c r="B399" s="129" t="s">
        <v>214</v>
      </c>
      <c r="C399" s="118">
        <v>101066</v>
      </c>
      <c r="D399" s="118">
        <v>11996</v>
      </c>
      <c r="E399" s="118">
        <v>89070</v>
      </c>
      <c r="F399" s="118">
        <v>69602</v>
      </c>
      <c r="G399" s="118">
        <v>0</v>
      </c>
      <c r="H399" s="118">
        <v>0</v>
      </c>
      <c r="I399" s="118">
        <v>-6564</v>
      </c>
    </row>
    <row r="400" spans="2:9" x14ac:dyDescent="0.2">
      <c r="B400" s="129" t="s">
        <v>215</v>
      </c>
      <c r="C400" s="118">
        <v>22239</v>
      </c>
      <c r="D400" s="118">
        <v>619</v>
      </c>
      <c r="E400" s="118">
        <v>21620</v>
      </c>
      <c r="F400" s="118">
        <v>0</v>
      </c>
      <c r="G400" s="118">
        <v>0</v>
      </c>
      <c r="H400" s="118">
        <v>0</v>
      </c>
      <c r="I400" s="118">
        <v>-61</v>
      </c>
    </row>
    <row r="401" spans="2:9" x14ac:dyDescent="0.2">
      <c r="B401" s="129" t="s">
        <v>218</v>
      </c>
      <c r="C401" s="118">
        <v>14743</v>
      </c>
      <c r="D401" s="118">
        <v>480</v>
      </c>
      <c r="E401" s="118">
        <v>14263</v>
      </c>
      <c r="F401" s="118">
        <v>12592</v>
      </c>
      <c r="G401" s="118">
        <v>0</v>
      </c>
      <c r="H401" s="118">
        <v>0</v>
      </c>
      <c r="I401" s="118">
        <v>3125</v>
      </c>
    </row>
    <row r="402" spans="2:9" x14ac:dyDescent="0.2">
      <c r="B402" s="129" t="s">
        <v>221</v>
      </c>
      <c r="C402" s="118">
        <v>41239</v>
      </c>
      <c r="D402" s="118">
        <v>9709</v>
      </c>
      <c r="E402" s="118">
        <v>31530</v>
      </c>
      <c r="F402" s="118">
        <v>0</v>
      </c>
      <c r="G402" s="118">
        <v>0</v>
      </c>
      <c r="H402" s="118">
        <v>0</v>
      </c>
      <c r="I402" s="118">
        <v>-6495</v>
      </c>
    </row>
    <row r="403" spans="2:9" x14ac:dyDescent="0.2">
      <c r="B403" s="126" t="s">
        <v>176</v>
      </c>
      <c r="C403" s="120">
        <f>SUM(C398:C402)</f>
        <v>280596</v>
      </c>
      <c r="D403" s="120">
        <f>SUM(D398:D402)</f>
        <v>42304</v>
      </c>
      <c r="E403" s="120">
        <f>SUM(E398:E402)</f>
        <v>238292</v>
      </c>
      <c r="F403" s="120">
        <f>SUM(F398:F402)</f>
        <v>180935</v>
      </c>
      <c r="G403" s="120"/>
      <c r="H403" s="120"/>
      <c r="I403" s="120">
        <f>SUM(I398:I402)</f>
        <v>1556</v>
      </c>
    </row>
    <row r="404" spans="2:9" x14ac:dyDescent="0.2">
      <c r="C404" s="91"/>
      <c r="D404" s="91"/>
      <c r="E404" s="91"/>
      <c r="F404" s="91"/>
      <c r="G404" s="91"/>
      <c r="H404" s="91"/>
      <c r="I404" s="90"/>
    </row>
    <row r="405" spans="2:9" x14ac:dyDescent="0.2">
      <c r="B405" s="129" t="s">
        <v>213</v>
      </c>
      <c r="C405" s="118">
        <v>70161</v>
      </c>
      <c r="D405" s="118">
        <v>21423</v>
      </c>
      <c r="E405" s="118">
        <v>48738</v>
      </c>
      <c r="F405" s="118">
        <v>73853</v>
      </c>
      <c r="G405" s="118">
        <v>0</v>
      </c>
      <c r="H405" s="118">
        <v>0</v>
      </c>
      <c r="I405" s="118">
        <v>11840</v>
      </c>
    </row>
    <row r="406" spans="2:9" x14ac:dyDescent="0.2">
      <c r="B406" s="129" t="s">
        <v>214</v>
      </c>
      <c r="C406" s="118">
        <v>72883</v>
      </c>
      <c r="D406" s="118">
        <v>11536</v>
      </c>
      <c r="E406" s="118">
        <v>61347</v>
      </c>
      <c r="F406" s="118">
        <v>51817</v>
      </c>
      <c r="G406" s="118">
        <v>0</v>
      </c>
      <c r="H406" s="118">
        <v>0</v>
      </c>
      <c r="I406" s="118">
        <v>-4286</v>
      </c>
    </row>
    <row r="407" spans="2:9" x14ac:dyDescent="0.2">
      <c r="B407" s="129" t="s">
        <v>215</v>
      </c>
      <c r="C407" s="118">
        <v>22239</v>
      </c>
      <c r="D407" s="118">
        <v>619</v>
      </c>
      <c r="E407" s="118">
        <v>21620</v>
      </c>
      <c r="F407" s="118">
        <v>0</v>
      </c>
      <c r="G407" s="118">
        <v>0</v>
      </c>
      <c r="H407" s="118">
        <v>0</v>
      </c>
      <c r="I407" s="118">
        <v>-54</v>
      </c>
    </row>
    <row r="408" spans="2:9" x14ac:dyDescent="0.2">
      <c r="B408" s="129" t="s">
        <v>218</v>
      </c>
      <c r="C408" s="118">
        <v>14780</v>
      </c>
      <c r="D408" s="118">
        <v>882</v>
      </c>
      <c r="E408" s="118">
        <v>13898</v>
      </c>
      <c r="F408" s="118">
        <v>9926</v>
      </c>
      <c r="G408" s="118">
        <v>0</v>
      </c>
      <c r="H408" s="118">
        <v>0</v>
      </c>
      <c r="I408" s="118">
        <v>2759</v>
      </c>
    </row>
    <row r="409" spans="2:9" x14ac:dyDescent="0.2">
      <c r="B409" s="129" t="s">
        <v>221</v>
      </c>
      <c r="C409" s="118">
        <v>44869</v>
      </c>
      <c r="D409" s="118">
        <v>13229</v>
      </c>
      <c r="E409" s="118">
        <v>31640</v>
      </c>
      <c r="F409" s="118">
        <v>0</v>
      </c>
      <c r="G409" s="118">
        <v>0</v>
      </c>
      <c r="H409" s="118">
        <v>0</v>
      </c>
      <c r="I409" s="118">
        <v>-6385</v>
      </c>
    </row>
    <row r="410" spans="2:9" x14ac:dyDescent="0.2">
      <c r="B410" s="126" t="s">
        <v>175</v>
      </c>
      <c r="C410" s="120">
        <f>SUM(C405:C409)</f>
        <v>224932</v>
      </c>
      <c r="D410" s="120">
        <f>SUM(D405:D409)</f>
        <v>47689</v>
      </c>
      <c r="E410" s="120">
        <f>SUM(E405:E409)</f>
        <v>177243</v>
      </c>
      <c r="F410" s="120">
        <f>SUM(F405:F409)</f>
        <v>135596</v>
      </c>
      <c r="G410" s="120"/>
      <c r="H410" s="120"/>
      <c r="I410" s="120">
        <f>SUM(I405:I409)</f>
        <v>3874</v>
      </c>
    </row>
    <row r="411" spans="2:9" x14ac:dyDescent="0.2">
      <c r="C411" s="91"/>
      <c r="D411" s="91"/>
      <c r="E411" s="91"/>
      <c r="F411" s="91"/>
      <c r="G411" s="91"/>
      <c r="H411" s="91"/>
      <c r="I411" s="90"/>
    </row>
    <row r="412" spans="2:9" x14ac:dyDescent="0.2">
      <c r="B412" s="129" t="s">
        <v>130</v>
      </c>
      <c r="C412" s="118">
        <v>0</v>
      </c>
      <c r="D412" s="118">
        <v>1</v>
      </c>
      <c r="E412" s="118">
        <v>0</v>
      </c>
      <c r="F412" s="118">
        <v>0</v>
      </c>
      <c r="G412" s="118">
        <v>0</v>
      </c>
      <c r="H412" s="118">
        <v>0</v>
      </c>
      <c r="I412" s="118">
        <v>0</v>
      </c>
    </row>
    <row r="413" spans="2:9" x14ac:dyDescent="0.2">
      <c r="B413" s="129" t="s">
        <v>213</v>
      </c>
      <c r="C413" s="118">
        <v>0</v>
      </c>
      <c r="D413" s="118">
        <v>230</v>
      </c>
      <c r="E413" s="118">
        <v>-9815</v>
      </c>
      <c r="F413" s="118">
        <v>40032</v>
      </c>
      <c r="G413" s="118">
        <v>0</v>
      </c>
      <c r="H413" s="118">
        <v>0</v>
      </c>
      <c r="I413" s="118">
        <v>0</v>
      </c>
    </row>
    <row r="414" spans="2:9" x14ac:dyDescent="0.2">
      <c r="B414" s="129" t="s">
        <v>214</v>
      </c>
      <c r="C414" s="118">
        <v>0</v>
      </c>
      <c r="D414" s="118">
        <v>0</v>
      </c>
      <c r="E414" s="118">
        <v>0</v>
      </c>
      <c r="F414" s="118">
        <v>0</v>
      </c>
      <c r="G414" s="118">
        <v>0</v>
      </c>
      <c r="H414" s="118">
        <v>0</v>
      </c>
      <c r="I414" s="118">
        <v>5597</v>
      </c>
    </row>
    <row r="415" spans="2:9" x14ac:dyDescent="0.2">
      <c r="B415" s="129" t="s">
        <v>215</v>
      </c>
      <c r="C415" s="118">
        <v>-1</v>
      </c>
      <c r="D415" s="118">
        <v>0</v>
      </c>
      <c r="E415" s="118">
        <v>0</v>
      </c>
      <c r="F415" s="118">
        <v>0</v>
      </c>
      <c r="G415" s="118">
        <v>0</v>
      </c>
      <c r="H415" s="118">
        <v>0</v>
      </c>
      <c r="I415" s="118">
        <v>0</v>
      </c>
    </row>
    <row r="416" spans="2:9" x14ac:dyDescent="0.2">
      <c r="B416" s="129" t="s">
        <v>218</v>
      </c>
      <c r="C416" s="118">
        <v>0</v>
      </c>
      <c r="D416" s="118">
        <v>2862</v>
      </c>
      <c r="E416" s="118">
        <v>-21120</v>
      </c>
      <c r="F416" s="118">
        <v>21018</v>
      </c>
      <c r="G416" s="118">
        <v>0</v>
      </c>
      <c r="H416" s="118">
        <v>0</v>
      </c>
      <c r="I416" s="118">
        <v>1</v>
      </c>
    </row>
    <row r="417" spans="2:9" x14ac:dyDescent="0.2">
      <c r="B417" s="129" t="s">
        <v>221</v>
      </c>
      <c r="C417" s="118">
        <v>1</v>
      </c>
      <c r="D417" s="118">
        <v>0</v>
      </c>
      <c r="E417" s="118">
        <v>1</v>
      </c>
      <c r="F417" s="118">
        <v>59251</v>
      </c>
      <c r="G417" s="118">
        <v>0</v>
      </c>
      <c r="H417" s="118">
        <v>0</v>
      </c>
      <c r="I417" s="118">
        <v>0</v>
      </c>
    </row>
    <row r="418" spans="2:9" x14ac:dyDescent="0.2">
      <c r="B418" s="126" t="s">
        <v>174</v>
      </c>
      <c r="C418" s="120">
        <f>SUM(C412:C417)</f>
        <v>0</v>
      </c>
      <c r="D418" s="120">
        <f>SUM(D412:D417)</f>
        <v>3093</v>
      </c>
      <c r="E418" s="120">
        <f>SUM(E412:E417)</f>
        <v>-30934</v>
      </c>
      <c r="F418" s="120">
        <f>SUM(F412:F417)</f>
        <v>120301</v>
      </c>
      <c r="G418" s="120"/>
      <c r="H418" s="120"/>
      <c r="I418" s="120">
        <f>SUM(I412:I417)</f>
        <v>5598</v>
      </c>
    </row>
    <row r="419" spans="2:9" x14ac:dyDescent="0.2">
      <c r="C419" s="91"/>
      <c r="D419" s="91"/>
      <c r="E419" s="91"/>
      <c r="F419" s="91"/>
      <c r="G419" s="91"/>
      <c r="H419" s="91"/>
      <c r="I419" s="90"/>
    </row>
    <row r="420" spans="2:9" x14ac:dyDescent="0.2">
      <c r="B420" s="129" t="s">
        <v>235</v>
      </c>
      <c r="C420" s="118">
        <v>268287</v>
      </c>
      <c r="D420" s="118">
        <v>264341</v>
      </c>
      <c r="E420" s="118">
        <v>3946</v>
      </c>
      <c r="F420" s="118">
        <v>51117</v>
      </c>
      <c r="G420" s="118">
        <v>0</v>
      </c>
      <c r="H420" s="118">
        <v>0</v>
      </c>
      <c r="I420" s="118">
        <v>-11994</v>
      </c>
    </row>
    <row r="421" spans="2:9" x14ac:dyDescent="0.2">
      <c r="B421" s="129" t="s">
        <v>213</v>
      </c>
      <c r="C421" s="118">
        <v>62431</v>
      </c>
      <c r="D421" s="118">
        <v>29093</v>
      </c>
      <c r="E421" s="118">
        <v>33338</v>
      </c>
      <c r="F421" s="118">
        <v>25524</v>
      </c>
      <c r="G421" s="118">
        <v>0</v>
      </c>
      <c r="H421" s="118">
        <v>0</v>
      </c>
      <c r="I421" s="118">
        <v>3440</v>
      </c>
    </row>
    <row r="422" spans="2:9" x14ac:dyDescent="0.2">
      <c r="B422" s="129" t="s">
        <v>214</v>
      </c>
      <c r="C422" s="118">
        <v>76779</v>
      </c>
      <c r="D422" s="118">
        <v>14396</v>
      </c>
      <c r="E422" s="118">
        <v>62383</v>
      </c>
      <c r="F422" s="118">
        <v>15839</v>
      </c>
      <c r="G422" s="118">
        <v>0</v>
      </c>
      <c r="H422" s="118">
        <v>0</v>
      </c>
      <c r="I422" s="118">
        <v>-3253</v>
      </c>
    </row>
    <row r="423" spans="2:9" x14ac:dyDescent="0.2">
      <c r="B423" s="129" t="s">
        <v>215</v>
      </c>
      <c r="C423" s="118">
        <v>21597</v>
      </c>
      <c r="D423" s="118">
        <v>1628</v>
      </c>
      <c r="E423" s="118">
        <v>19969</v>
      </c>
      <c r="F423" s="118">
        <v>0</v>
      </c>
      <c r="G423" s="118">
        <v>0</v>
      </c>
      <c r="H423" s="118">
        <v>0</v>
      </c>
      <c r="I423" s="118">
        <v>0</v>
      </c>
    </row>
    <row r="424" spans="2:9" x14ac:dyDescent="0.2">
      <c r="B424" s="129" t="s">
        <v>218</v>
      </c>
      <c r="C424" s="118">
        <v>13567</v>
      </c>
      <c r="D424" s="118">
        <v>2110</v>
      </c>
      <c r="E424" s="118">
        <v>11457</v>
      </c>
      <c r="F424" s="118">
        <v>3770</v>
      </c>
      <c r="G424" s="118">
        <v>0</v>
      </c>
      <c r="H424" s="118">
        <v>0</v>
      </c>
      <c r="I424" s="118">
        <v>703</v>
      </c>
    </row>
    <row r="425" spans="2:9" x14ac:dyDescent="0.2">
      <c r="B425" s="126" t="s">
        <v>173</v>
      </c>
      <c r="C425" s="120">
        <f>SUM(C420:C424)</f>
        <v>442661</v>
      </c>
      <c r="D425" s="120">
        <f>SUM(D420:D424)</f>
        <v>311568</v>
      </c>
      <c r="E425" s="120">
        <f>SUM(E420:E424)</f>
        <v>131093</v>
      </c>
      <c r="F425" s="120">
        <f>SUM(F420:F424)</f>
        <v>96250</v>
      </c>
      <c r="G425" s="120"/>
      <c r="H425" s="120"/>
      <c r="I425" s="120">
        <f>SUM(I420:I424)</f>
        <v>-11104</v>
      </c>
    </row>
    <row r="426" spans="2:9" x14ac:dyDescent="0.2">
      <c r="C426" s="92"/>
      <c r="D426" s="92"/>
      <c r="E426" s="92"/>
      <c r="F426" s="92"/>
      <c r="G426" s="92"/>
      <c r="H426" s="92"/>
      <c r="I426" s="93"/>
    </row>
    <row r="427" spans="2:9" x14ac:dyDescent="0.2">
      <c r="B427" s="129" t="s">
        <v>235</v>
      </c>
      <c r="C427" s="118">
        <v>275441</v>
      </c>
      <c r="D427" s="118">
        <v>259501</v>
      </c>
      <c r="E427" s="118">
        <v>15940</v>
      </c>
      <c r="F427" s="118">
        <v>194580</v>
      </c>
      <c r="G427" s="118">
        <v>0</v>
      </c>
      <c r="H427" s="118">
        <v>0</v>
      </c>
      <c r="I427" s="118">
        <v>-57689</v>
      </c>
    </row>
    <row r="428" spans="2:9" x14ac:dyDescent="0.2">
      <c r="B428" s="129" t="s">
        <v>213</v>
      </c>
      <c r="C428" s="118">
        <v>62070</v>
      </c>
      <c r="D428" s="118">
        <v>32592</v>
      </c>
      <c r="E428" s="118">
        <v>29478</v>
      </c>
      <c r="F428" s="118">
        <v>87409</v>
      </c>
      <c r="G428" s="118">
        <v>0</v>
      </c>
      <c r="H428" s="118">
        <v>0</v>
      </c>
      <c r="I428" s="118">
        <v>-18549</v>
      </c>
    </row>
    <row r="429" spans="2:9" x14ac:dyDescent="0.2">
      <c r="B429" s="129" t="s">
        <v>214</v>
      </c>
      <c r="C429" s="118">
        <v>73988</v>
      </c>
      <c r="D429" s="118">
        <v>14392</v>
      </c>
      <c r="E429" s="118">
        <v>59596</v>
      </c>
      <c r="F429" s="118">
        <v>77160</v>
      </c>
      <c r="G429" s="118">
        <v>0</v>
      </c>
      <c r="H429" s="118">
        <v>0</v>
      </c>
      <c r="I429" s="118">
        <v>-9001</v>
      </c>
    </row>
    <row r="430" spans="2:9" x14ac:dyDescent="0.2">
      <c r="B430" s="129" t="s">
        <v>215</v>
      </c>
      <c r="C430" s="118">
        <v>21597</v>
      </c>
      <c r="D430" s="118">
        <v>2618</v>
      </c>
      <c r="E430" s="118">
        <v>18979</v>
      </c>
      <c r="F430" s="118">
        <v>0</v>
      </c>
      <c r="G430" s="118">
        <v>0</v>
      </c>
      <c r="H430" s="118">
        <v>0</v>
      </c>
      <c r="I430" s="118">
        <v>-9</v>
      </c>
    </row>
    <row r="431" spans="2:9" x14ac:dyDescent="0.2">
      <c r="B431" s="129" t="s">
        <v>218</v>
      </c>
      <c r="C431" s="118">
        <v>13161</v>
      </c>
      <c r="D431" s="118">
        <v>2372</v>
      </c>
      <c r="E431" s="118">
        <v>10789</v>
      </c>
      <c r="F431" s="118">
        <v>19777</v>
      </c>
      <c r="G431" s="118">
        <v>0</v>
      </c>
      <c r="H431" s="118">
        <v>0</v>
      </c>
      <c r="I431" s="118">
        <v>2993</v>
      </c>
    </row>
    <row r="432" spans="2:9" x14ac:dyDescent="0.2">
      <c r="B432" s="126" t="s">
        <v>236</v>
      </c>
      <c r="C432" s="120">
        <f>SUM(C427:C431)</f>
        <v>446257</v>
      </c>
      <c r="D432" s="120">
        <f>SUM(D427:D431)</f>
        <v>311475</v>
      </c>
      <c r="E432" s="120">
        <f>SUM(E427:E431)</f>
        <v>134782</v>
      </c>
      <c r="F432" s="120">
        <f>SUM(F427:F431)</f>
        <v>378926</v>
      </c>
      <c r="G432" s="120"/>
      <c r="H432" s="120"/>
      <c r="I432" s="120">
        <f>SUM(I427:I431)</f>
        <v>-82255</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35">
    <pageSetUpPr autoPageBreaks="0"/>
  </sheetPr>
  <dimension ref="B1:AZ90"/>
  <sheetViews>
    <sheetView showGridLines="0" zoomScale="115" zoomScaleNormal="115" workbookViewId="0">
      <pane xSplit="2" ySplit="4" topLeftCell="C5" activePane="bottomRight" state="frozen"/>
      <selection activeCell="N57" sqref="N57"/>
      <selection pane="topRight" activeCell="N57" sqref="N57"/>
      <selection pane="bottomLeft" activeCell="N57" sqref="N57"/>
      <selection pane="bottomRight" activeCell="E2" sqref="E2"/>
    </sheetView>
  </sheetViews>
  <sheetFormatPr defaultRowHeight="12.75" x14ac:dyDescent="0.2"/>
  <cols>
    <col min="1" max="1" width="1.42578125" customWidth="1"/>
    <col min="2" max="2" width="31.140625" bestFit="1" customWidth="1"/>
    <col min="3" max="21" width="10.85546875" customWidth="1"/>
    <col min="22" max="22" width="12.140625" customWidth="1"/>
    <col min="23" max="52" width="10.85546875" customWidth="1"/>
  </cols>
  <sheetData>
    <row r="1" spans="2:52" s="550" customFormat="1" ht="7.5" customHeight="1" x14ac:dyDescent="0.2"/>
    <row r="2" spans="2:52" s="550" customFormat="1" ht="12.75" customHeight="1" x14ac:dyDescent="0.2"/>
    <row r="3" spans="2:52" ht="12.75" customHeight="1" x14ac:dyDescent="0.2">
      <c r="W3" s="544"/>
      <c r="X3" s="544"/>
      <c r="Y3" s="544"/>
      <c r="Z3" s="544"/>
      <c r="AA3" s="544"/>
      <c r="AB3" s="544"/>
      <c r="AC3" s="544"/>
      <c r="AD3" s="544"/>
      <c r="AE3" s="544"/>
      <c r="AF3" s="544"/>
      <c r="AG3" s="544"/>
      <c r="AH3" s="544"/>
      <c r="AI3" s="544"/>
      <c r="AJ3" s="544"/>
      <c r="AK3" s="544"/>
      <c r="AL3" s="544"/>
      <c r="AM3" s="544"/>
      <c r="AN3" s="544"/>
      <c r="AO3" s="544"/>
      <c r="AP3" s="544"/>
      <c r="AQ3" s="328"/>
      <c r="AR3" s="328"/>
      <c r="AS3" s="328"/>
      <c r="AT3" s="328"/>
      <c r="AU3" s="328"/>
      <c r="AV3" s="328"/>
      <c r="AW3" s="328"/>
      <c r="AX3" s="328"/>
      <c r="AY3" s="328"/>
      <c r="AZ3" s="328"/>
    </row>
    <row r="4" spans="2:52" ht="12.75" customHeight="1" x14ac:dyDescent="0.2">
      <c r="AI4" s="1023"/>
      <c r="AJ4" s="1023"/>
      <c r="AK4" s="1023"/>
      <c r="AL4" s="1023"/>
      <c r="AM4" s="1023"/>
      <c r="AN4" s="1023"/>
      <c r="AO4" s="1023"/>
      <c r="AP4" s="1023"/>
      <c r="AQ4" s="1023"/>
      <c r="AR4" s="1023"/>
      <c r="AS4" s="1023"/>
      <c r="AT4" s="1023"/>
      <c r="AU4" s="1023"/>
      <c r="AV4" s="1023"/>
      <c r="AW4" s="1023"/>
      <c r="AX4" s="1023"/>
      <c r="AY4" s="1023"/>
      <c r="AZ4" s="1023"/>
    </row>
    <row r="5" spans="2:52" x14ac:dyDescent="0.2">
      <c r="B5" s="145" t="s">
        <v>767</v>
      </c>
      <c r="C5" s="246">
        <v>2013</v>
      </c>
      <c r="D5" s="246" t="s">
        <v>45</v>
      </c>
      <c r="E5" s="246" t="s">
        <v>55</v>
      </c>
      <c r="F5" s="246" t="s">
        <v>71</v>
      </c>
      <c r="G5" s="246" t="s">
        <v>77</v>
      </c>
      <c r="H5" s="246" t="s">
        <v>87</v>
      </c>
      <c r="I5" s="246" t="s">
        <v>88</v>
      </c>
      <c r="J5" s="246" t="s">
        <v>378</v>
      </c>
      <c r="K5" s="246" t="s">
        <v>406</v>
      </c>
      <c r="L5" s="246" t="s">
        <v>467</v>
      </c>
      <c r="M5" s="246" t="s">
        <v>501</v>
      </c>
      <c r="N5" s="246" t="s">
        <v>511</v>
      </c>
      <c r="O5" s="246" t="s">
        <v>538</v>
      </c>
      <c r="P5" s="246" t="s">
        <v>567</v>
      </c>
      <c r="Q5" s="246" t="s">
        <v>575</v>
      </c>
      <c r="R5" s="246" t="s">
        <v>595</v>
      </c>
      <c r="S5" s="246" t="s">
        <v>596</v>
      </c>
      <c r="T5" s="246" t="s">
        <v>623</v>
      </c>
      <c r="U5" s="246" t="s">
        <v>624</v>
      </c>
      <c r="V5" s="246" t="s">
        <v>625</v>
      </c>
      <c r="W5" s="246" t="s">
        <v>626</v>
      </c>
      <c r="X5" s="246" t="s">
        <v>798</v>
      </c>
      <c r="Y5" s="246" t="s">
        <v>799</v>
      </c>
      <c r="Z5" s="246" t="s">
        <v>800</v>
      </c>
      <c r="AA5" s="246" t="s">
        <v>801</v>
      </c>
      <c r="AB5" s="246" t="s">
        <v>913</v>
      </c>
      <c r="AC5" s="246" t="s">
        <v>914</v>
      </c>
      <c r="AD5" s="246" t="s">
        <v>923</v>
      </c>
      <c r="AE5" s="246" t="s">
        <v>924</v>
      </c>
      <c r="AF5" s="246" t="s">
        <v>1049</v>
      </c>
      <c r="AG5" s="246" t="s">
        <v>1023</v>
      </c>
      <c r="AH5" s="246" t="s">
        <v>1024</v>
      </c>
      <c r="AI5" s="246" t="s">
        <v>1050</v>
      </c>
      <c r="AJ5" s="246" t="s">
        <v>1114</v>
      </c>
      <c r="AK5" s="246" t="s">
        <v>1119</v>
      </c>
      <c r="AL5" s="246" t="s">
        <v>1121</v>
      </c>
      <c r="AM5" s="246" t="s">
        <v>1123</v>
      </c>
      <c r="AN5" s="246" t="s">
        <v>1176</v>
      </c>
      <c r="AO5" s="246" t="s">
        <v>1177</v>
      </c>
      <c r="AP5" s="246" t="s">
        <v>1179</v>
      </c>
      <c r="AQ5" s="246" t="s">
        <v>1181</v>
      </c>
      <c r="AR5" s="246" t="s">
        <v>1243</v>
      </c>
      <c r="AS5" s="246" t="s">
        <v>1250</v>
      </c>
      <c r="AT5" s="246" t="s">
        <v>1251</v>
      </c>
      <c r="AU5" s="246" t="s">
        <v>1252</v>
      </c>
      <c r="AV5" s="246" t="s">
        <v>1311</v>
      </c>
      <c r="AW5" s="246" t="s">
        <v>1313</v>
      </c>
      <c r="AX5" s="246" t="s">
        <v>1315</v>
      </c>
      <c r="AY5" s="246" t="s">
        <v>1317</v>
      </c>
      <c r="AZ5" s="246" t="s">
        <v>1344</v>
      </c>
    </row>
    <row r="6" spans="2:52" x14ac:dyDescent="0.2">
      <c r="B6" s="126" t="s">
        <v>234</v>
      </c>
      <c r="C6" s="207" t="s">
        <v>160</v>
      </c>
      <c r="D6" s="207" t="s">
        <v>160</v>
      </c>
      <c r="E6" s="207" t="s">
        <v>160</v>
      </c>
      <c r="F6" s="207" t="s">
        <v>160</v>
      </c>
      <c r="G6" s="207" t="s">
        <v>160</v>
      </c>
      <c r="H6" s="207" t="s">
        <v>160</v>
      </c>
      <c r="I6" s="207" t="s">
        <v>160</v>
      </c>
      <c r="J6" s="207" t="s">
        <v>160</v>
      </c>
      <c r="K6" s="207" t="s">
        <v>160</v>
      </c>
      <c r="L6" s="207" t="s">
        <v>160</v>
      </c>
      <c r="M6" s="207" t="s">
        <v>160</v>
      </c>
      <c r="N6" s="207" t="s">
        <v>160</v>
      </c>
      <c r="O6" s="207" t="s">
        <v>160</v>
      </c>
      <c r="P6" s="207" t="s">
        <v>160</v>
      </c>
      <c r="Q6" s="207" t="s">
        <v>160</v>
      </c>
      <c r="R6" s="207" t="s">
        <v>160</v>
      </c>
      <c r="S6" s="207" t="s">
        <v>160</v>
      </c>
      <c r="T6" s="120">
        <v>59584</v>
      </c>
      <c r="U6" s="120">
        <v>65665</v>
      </c>
      <c r="V6" s="120">
        <v>69328</v>
      </c>
      <c r="W6" s="120">
        <v>72562</v>
      </c>
      <c r="X6" s="120">
        <v>91284</v>
      </c>
      <c r="Y6" s="120">
        <v>87215</v>
      </c>
      <c r="Z6" s="120">
        <v>80413</v>
      </c>
      <c r="AA6" s="120">
        <v>63106</v>
      </c>
      <c r="AB6" s="120">
        <v>65580</v>
      </c>
      <c r="AC6" s="120">
        <v>69959</v>
      </c>
      <c r="AD6" s="120">
        <v>62305</v>
      </c>
      <c r="AE6" s="120">
        <v>57222</v>
      </c>
      <c r="AF6" s="120">
        <v>58534</v>
      </c>
      <c r="AG6" s="120">
        <v>59740</v>
      </c>
      <c r="AH6" s="120">
        <v>56265</v>
      </c>
      <c r="AI6" s="120">
        <v>54972</v>
      </c>
      <c r="AJ6" s="120">
        <v>59785</v>
      </c>
      <c r="AK6" s="120">
        <v>61388</v>
      </c>
      <c r="AL6" s="120">
        <v>61816</v>
      </c>
      <c r="AM6" s="120">
        <v>69173</v>
      </c>
      <c r="AN6" s="120">
        <v>74573</v>
      </c>
      <c r="AO6" s="120">
        <v>77781</v>
      </c>
      <c r="AP6" s="120">
        <v>87070</v>
      </c>
      <c r="AQ6" s="120">
        <v>87390</v>
      </c>
      <c r="AR6" s="120">
        <v>101296</v>
      </c>
      <c r="AS6" s="120">
        <v>120932</v>
      </c>
      <c r="AT6" s="120">
        <v>118750</v>
      </c>
      <c r="AU6" s="120">
        <v>114972</v>
      </c>
      <c r="AV6" s="120">
        <v>121696</v>
      </c>
      <c r="AW6" s="120">
        <v>136066</v>
      </c>
      <c r="AX6" s="120">
        <v>151554</v>
      </c>
      <c r="AY6" s="120">
        <v>139580</v>
      </c>
      <c r="AZ6" s="120">
        <v>129877</v>
      </c>
    </row>
    <row r="7" spans="2:52" x14ac:dyDescent="0.2">
      <c r="B7" s="129" t="s">
        <v>1229</v>
      </c>
      <c r="C7" s="118">
        <v>0</v>
      </c>
      <c r="D7" s="118">
        <v>0</v>
      </c>
      <c r="E7" s="118">
        <v>0</v>
      </c>
      <c r="F7" s="118">
        <v>0</v>
      </c>
      <c r="G7" s="118">
        <v>0</v>
      </c>
      <c r="H7" s="118">
        <v>0</v>
      </c>
      <c r="I7" s="118">
        <v>0</v>
      </c>
      <c r="J7" s="118">
        <v>0</v>
      </c>
      <c r="K7" s="118">
        <v>0</v>
      </c>
      <c r="L7" s="118">
        <v>0</v>
      </c>
      <c r="M7" s="118">
        <v>0</v>
      </c>
      <c r="N7" s="118">
        <v>0</v>
      </c>
      <c r="O7" s="118">
        <v>0</v>
      </c>
      <c r="P7" s="118">
        <v>0</v>
      </c>
      <c r="Q7" s="118">
        <v>0</v>
      </c>
      <c r="R7" s="118">
        <v>0</v>
      </c>
      <c r="S7" s="118">
        <v>0</v>
      </c>
      <c r="T7" s="118">
        <v>25373</v>
      </c>
      <c r="U7" s="118">
        <v>31933</v>
      </c>
      <c r="V7" s="118">
        <v>35066</v>
      </c>
      <c r="W7" s="118">
        <v>36885</v>
      </c>
      <c r="X7" s="118">
        <v>56464</v>
      </c>
      <c r="Y7" s="118">
        <v>51353</v>
      </c>
      <c r="Z7" s="118">
        <v>42860</v>
      </c>
      <c r="AA7" s="118">
        <v>20792</v>
      </c>
      <c r="AB7" s="118">
        <v>20337</v>
      </c>
      <c r="AC7" s="118">
        <v>22898</v>
      </c>
      <c r="AD7" s="118">
        <v>17672</v>
      </c>
      <c r="AE7" s="118">
        <v>16875</v>
      </c>
      <c r="AF7" s="118">
        <v>16550</v>
      </c>
      <c r="AG7" s="118">
        <v>16589</v>
      </c>
      <c r="AH7" s="118">
        <v>14653</v>
      </c>
      <c r="AI7" s="118">
        <v>14443</v>
      </c>
      <c r="AJ7" s="118">
        <v>15570</v>
      </c>
      <c r="AK7" s="118">
        <v>15609</v>
      </c>
      <c r="AL7" s="118">
        <v>15434</v>
      </c>
      <c r="AM7" s="118">
        <v>20438</v>
      </c>
      <c r="AN7" s="118">
        <v>22375</v>
      </c>
      <c r="AO7" s="118">
        <v>25149</v>
      </c>
      <c r="AP7" s="118">
        <v>32060</v>
      </c>
      <c r="AQ7" s="118">
        <v>34373</v>
      </c>
      <c r="AR7" s="118">
        <v>34998</v>
      </c>
      <c r="AS7" s="118">
        <v>41802</v>
      </c>
      <c r="AT7" s="118">
        <v>58949</v>
      </c>
      <c r="AU7" s="118">
        <v>55671</v>
      </c>
      <c r="AV7" s="118">
        <v>48977</v>
      </c>
      <c r="AW7" s="118">
        <v>55737</v>
      </c>
      <c r="AX7" s="118">
        <v>65203</v>
      </c>
      <c r="AY7" s="118">
        <v>73140</v>
      </c>
      <c r="AZ7" s="118">
        <v>60342</v>
      </c>
    </row>
    <row r="8" spans="2:52" x14ac:dyDescent="0.2">
      <c r="B8" s="129" t="s">
        <v>240</v>
      </c>
      <c r="C8" s="118" t="s">
        <v>160</v>
      </c>
      <c r="D8" s="118" t="s">
        <v>160</v>
      </c>
      <c r="E8" s="118" t="s">
        <v>160</v>
      </c>
      <c r="F8" s="118" t="s">
        <v>160</v>
      </c>
      <c r="G8" s="118" t="s">
        <v>160</v>
      </c>
      <c r="H8" s="118" t="s">
        <v>160</v>
      </c>
      <c r="I8" s="118" t="s">
        <v>160</v>
      </c>
      <c r="J8" s="118" t="s">
        <v>160</v>
      </c>
      <c r="K8" s="118" t="s">
        <v>160</v>
      </c>
      <c r="L8" s="118" t="s">
        <v>160</v>
      </c>
      <c r="M8" s="118" t="s">
        <v>160</v>
      </c>
      <c r="N8" s="118" t="s">
        <v>160</v>
      </c>
      <c r="O8" s="118" t="s">
        <v>160</v>
      </c>
      <c r="P8" s="118" t="s">
        <v>160</v>
      </c>
      <c r="Q8" s="118" t="s">
        <v>160</v>
      </c>
      <c r="R8" s="118" t="s">
        <v>160</v>
      </c>
      <c r="S8" s="118" t="s">
        <v>160</v>
      </c>
      <c r="T8" s="118">
        <v>34211</v>
      </c>
      <c r="U8" s="118">
        <v>33732</v>
      </c>
      <c r="V8" s="118">
        <v>34262</v>
      </c>
      <c r="W8" s="118">
        <v>35677</v>
      </c>
      <c r="X8" s="118">
        <v>34820</v>
      </c>
      <c r="Y8" s="118">
        <v>35862</v>
      </c>
      <c r="Z8" s="118">
        <v>37553</v>
      </c>
      <c r="AA8" s="118">
        <v>42314</v>
      </c>
      <c r="AB8" s="118">
        <v>45243</v>
      </c>
      <c r="AC8" s="118">
        <v>47061</v>
      </c>
      <c r="AD8" s="118">
        <v>44633</v>
      </c>
      <c r="AE8" s="118">
        <v>40347</v>
      </c>
      <c r="AF8" s="118">
        <v>41984</v>
      </c>
      <c r="AG8" s="118">
        <v>43151</v>
      </c>
      <c r="AH8" s="118">
        <v>41612</v>
      </c>
      <c r="AI8" s="118">
        <v>40529</v>
      </c>
      <c r="AJ8" s="118">
        <v>44215</v>
      </c>
      <c r="AK8" s="118">
        <v>45779</v>
      </c>
      <c r="AL8" s="118">
        <v>46382</v>
      </c>
      <c r="AM8" s="118">
        <v>48735</v>
      </c>
      <c r="AN8" s="118">
        <v>52198</v>
      </c>
      <c r="AO8" s="118">
        <v>52632</v>
      </c>
      <c r="AP8" s="118">
        <v>55010</v>
      </c>
      <c r="AQ8" s="118">
        <v>53017</v>
      </c>
      <c r="AR8" s="118">
        <v>66298</v>
      </c>
      <c r="AS8" s="118">
        <v>79129</v>
      </c>
      <c r="AT8" s="118">
        <v>59801</v>
      </c>
      <c r="AU8" s="118">
        <v>59301</v>
      </c>
      <c r="AV8" s="118">
        <v>72719</v>
      </c>
      <c r="AW8" s="118">
        <v>80328</v>
      </c>
      <c r="AX8" s="118">
        <v>86352</v>
      </c>
      <c r="AY8" s="118">
        <v>66440</v>
      </c>
      <c r="AZ8" s="118">
        <v>69535</v>
      </c>
    </row>
    <row r="9" spans="2:52" x14ac:dyDescent="0.2">
      <c r="B9" s="126" t="s">
        <v>239</v>
      </c>
      <c r="C9" s="207" t="s">
        <v>160</v>
      </c>
      <c r="D9" s="207" t="s">
        <v>160</v>
      </c>
      <c r="E9" s="207" t="s">
        <v>160</v>
      </c>
      <c r="F9" s="207" t="s">
        <v>160</v>
      </c>
      <c r="G9" s="207" t="s">
        <v>160</v>
      </c>
      <c r="H9" s="207" t="s">
        <v>160</v>
      </c>
      <c r="I9" s="207" t="s">
        <v>160</v>
      </c>
      <c r="J9" s="207" t="s">
        <v>160</v>
      </c>
      <c r="K9" s="207" t="s">
        <v>160</v>
      </c>
      <c r="L9" s="207" t="s">
        <v>160</v>
      </c>
      <c r="M9" s="207" t="s">
        <v>160</v>
      </c>
      <c r="N9" s="207" t="s">
        <v>160</v>
      </c>
      <c r="O9" s="207" t="s">
        <v>160</v>
      </c>
      <c r="P9" s="207" t="s">
        <v>160</v>
      </c>
      <c r="Q9" s="207" t="s">
        <v>160</v>
      </c>
      <c r="R9" s="207" t="s">
        <v>160</v>
      </c>
      <c r="S9" s="207" t="s">
        <v>160</v>
      </c>
      <c r="T9" s="120">
        <f t="shared" ref="T9:AP9" si="0">SUM(T7:T8)</f>
        <v>59584</v>
      </c>
      <c r="U9" s="120">
        <f t="shared" si="0"/>
        <v>65665</v>
      </c>
      <c r="V9" s="120">
        <f t="shared" si="0"/>
        <v>69328</v>
      </c>
      <c r="W9" s="120">
        <f t="shared" si="0"/>
        <v>72562</v>
      </c>
      <c r="X9" s="120">
        <f t="shared" si="0"/>
        <v>91284</v>
      </c>
      <c r="Y9" s="120">
        <f t="shared" si="0"/>
        <v>87215</v>
      </c>
      <c r="Z9" s="120">
        <f t="shared" si="0"/>
        <v>80413</v>
      </c>
      <c r="AA9" s="120">
        <f t="shared" si="0"/>
        <v>63106</v>
      </c>
      <c r="AB9" s="120">
        <f t="shared" si="0"/>
        <v>65580</v>
      </c>
      <c r="AC9" s="120">
        <f t="shared" si="0"/>
        <v>69959</v>
      </c>
      <c r="AD9" s="120">
        <f t="shared" si="0"/>
        <v>62305</v>
      </c>
      <c r="AE9" s="120">
        <f t="shared" si="0"/>
        <v>57222</v>
      </c>
      <c r="AF9" s="120">
        <f t="shared" si="0"/>
        <v>58534</v>
      </c>
      <c r="AG9" s="120">
        <f t="shared" si="0"/>
        <v>59740</v>
      </c>
      <c r="AH9" s="120">
        <f t="shared" si="0"/>
        <v>56265</v>
      </c>
      <c r="AI9" s="120">
        <f t="shared" si="0"/>
        <v>54972</v>
      </c>
      <c r="AJ9" s="120">
        <f t="shared" si="0"/>
        <v>59785</v>
      </c>
      <c r="AK9" s="120">
        <f t="shared" si="0"/>
        <v>61388</v>
      </c>
      <c r="AL9" s="120">
        <f t="shared" si="0"/>
        <v>61816</v>
      </c>
      <c r="AM9" s="120">
        <f t="shared" si="0"/>
        <v>69173</v>
      </c>
      <c r="AN9" s="120">
        <f t="shared" si="0"/>
        <v>74573</v>
      </c>
      <c r="AO9" s="120">
        <f t="shared" si="0"/>
        <v>77781</v>
      </c>
      <c r="AP9" s="120">
        <f t="shared" si="0"/>
        <v>87070</v>
      </c>
      <c r="AQ9" s="120">
        <f t="shared" ref="AQ9:AV9" si="1">SUM(AQ7:AQ8)</f>
        <v>87390</v>
      </c>
      <c r="AR9" s="120">
        <f t="shared" si="1"/>
        <v>101296</v>
      </c>
      <c r="AS9" s="120">
        <f t="shared" si="1"/>
        <v>120931</v>
      </c>
      <c r="AT9" s="120">
        <f t="shared" si="1"/>
        <v>118750</v>
      </c>
      <c r="AU9" s="120">
        <f>SUM(AU7:AU8)</f>
        <v>114972</v>
      </c>
      <c r="AV9" s="120">
        <f t="shared" si="1"/>
        <v>121696</v>
      </c>
      <c r="AW9" s="120">
        <v>136065</v>
      </c>
      <c r="AX9" s="120">
        <f>SUM(AX7:AX8)-1</f>
        <v>151554</v>
      </c>
      <c r="AY9" s="120">
        <f>SUM(AY7:AY8)</f>
        <v>139580</v>
      </c>
      <c r="AZ9" s="120">
        <f>SUM(AZ7:AZ8)</f>
        <v>129877</v>
      </c>
    </row>
    <row r="11" spans="2:52" x14ac:dyDescent="0.2">
      <c r="B11" s="145" t="s">
        <v>767</v>
      </c>
      <c r="C11" s="115">
        <f t="shared" ref="C11:AP11" si="2">C5</f>
        <v>2013</v>
      </c>
      <c r="D11" s="115" t="str">
        <f t="shared" si="2"/>
        <v>1T14</v>
      </c>
      <c r="E11" s="115" t="str">
        <f t="shared" si="2"/>
        <v>2T14</v>
      </c>
      <c r="F11" s="115" t="str">
        <f t="shared" si="2"/>
        <v>3T14</v>
      </c>
      <c r="G11" s="115" t="str">
        <f t="shared" si="2"/>
        <v>4T14</v>
      </c>
      <c r="H11" s="115" t="str">
        <f t="shared" si="2"/>
        <v>1T15</v>
      </c>
      <c r="I11" s="115" t="str">
        <f t="shared" si="2"/>
        <v>2T15</v>
      </c>
      <c r="J11" s="115" t="str">
        <f t="shared" si="2"/>
        <v>3T15</v>
      </c>
      <c r="K11" s="115" t="str">
        <f t="shared" si="2"/>
        <v>4T15</v>
      </c>
      <c r="L11" s="115" t="str">
        <f t="shared" si="2"/>
        <v>1T16</v>
      </c>
      <c r="M11" s="115" t="str">
        <f t="shared" si="2"/>
        <v>2T16</v>
      </c>
      <c r="N11" s="115" t="str">
        <f t="shared" si="2"/>
        <v>3T16</v>
      </c>
      <c r="O11" s="115" t="str">
        <f t="shared" si="2"/>
        <v>4T16</v>
      </c>
      <c r="P11" s="115" t="str">
        <f t="shared" si="2"/>
        <v>1T17</v>
      </c>
      <c r="Q11" s="115" t="str">
        <f t="shared" si="2"/>
        <v>2T17</v>
      </c>
      <c r="R11" s="115" t="str">
        <f t="shared" si="2"/>
        <v>3T17</v>
      </c>
      <c r="S11" s="115" t="str">
        <f t="shared" si="2"/>
        <v>4T17</v>
      </c>
      <c r="T11" s="115" t="str">
        <f t="shared" si="2"/>
        <v>1T18</v>
      </c>
      <c r="U11" s="115" t="str">
        <f t="shared" si="2"/>
        <v>2T18</v>
      </c>
      <c r="V11" s="115" t="str">
        <f t="shared" si="2"/>
        <v>3T18</v>
      </c>
      <c r="W11" s="115" t="str">
        <f t="shared" si="2"/>
        <v>4T18</v>
      </c>
      <c r="X11" s="115" t="str">
        <f t="shared" si="2"/>
        <v>1T19</v>
      </c>
      <c r="Y11" s="115" t="str">
        <f t="shared" si="2"/>
        <v>2T19</v>
      </c>
      <c r="Z11" s="115" t="str">
        <f t="shared" si="2"/>
        <v>3T19</v>
      </c>
      <c r="AA11" s="115" t="str">
        <f t="shared" si="2"/>
        <v>4T19</v>
      </c>
      <c r="AB11" s="115" t="str">
        <f t="shared" si="2"/>
        <v>1T20</v>
      </c>
      <c r="AC11" s="115" t="str">
        <f t="shared" si="2"/>
        <v>2T20</v>
      </c>
      <c r="AD11" s="115" t="str">
        <f t="shared" si="2"/>
        <v>3T20</v>
      </c>
      <c r="AE11" s="115" t="str">
        <f t="shared" si="2"/>
        <v>4T20</v>
      </c>
      <c r="AF11" s="115" t="str">
        <f t="shared" si="2"/>
        <v>1T21</v>
      </c>
      <c r="AG11" s="115" t="str">
        <f t="shared" si="2"/>
        <v>2T21</v>
      </c>
      <c r="AH11" s="115" t="str">
        <f t="shared" si="2"/>
        <v>3T21</v>
      </c>
      <c r="AI11" s="115" t="str">
        <f t="shared" si="2"/>
        <v>4T21</v>
      </c>
      <c r="AJ11" s="115" t="str">
        <f t="shared" si="2"/>
        <v>1T22</v>
      </c>
      <c r="AK11" s="115" t="str">
        <f t="shared" si="2"/>
        <v>2T22</v>
      </c>
      <c r="AL11" s="115" t="str">
        <f t="shared" si="2"/>
        <v>3T22</v>
      </c>
      <c r="AM11" s="115" t="str">
        <f t="shared" si="2"/>
        <v>4T22</v>
      </c>
      <c r="AN11" s="115" t="str">
        <f t="shared" si="2"/>
        <v>1T23</v>
      </c>
      <c r="AO11" s="115" t="str">
        <f t="shared" si="2"/>
        <v>2T23</v>
      </c>
      <c r="AP11" s="115" t="str">
        <f t="shared" si="2"/>
        <v>3T23</v>
      </c>
      <c r="AQ11" s="115" t="str">
        <f t="shared" ref="AQ11:AW11" si="3">AQ5</f>
        <v>4T23</v>
      </c>
      <c r="AR11" s="115" t="str">
        <f t="shared" si="3"/>
        <v>1T24</v>
      </c>
      <c r="AS11" s="115" t="str">
        <f t="shared" si="3"/>
        <v>2T24</v>
      </c>
      <c r="AT11" s="115" t="str">
        <f t="shared" si="3"/>
        <v>3T24</v>
      </c>
      <c r="AU11" s="115" t="str">
        <f t="shared" si="3"/>
        <v>4T24</v>
      </c>
      <c r="AV11" s="115" t="str">
        <f t="shared" si="3"/>
        <v>1T25</v>
      </c>
      <c r="AW11" s="115" t="str">
        <f t="shared" si="3"/>
        <v>2T25</v>
      </c>
      <c r="AX11" s="115" t="str">
        <f>AX5</f>
        <v>3T25</v>
      </c>
      <c r="AY11" s="115" t="str">
        <f>AY5</f>
        <v>4T25</v>
      </c>
      <c r="AZ11" s="115" t="str">
        <f>AZ5</f>
        <v>1T26</v>
      </c>
    </row>
    <row r="12" spans="2:52" x14ac:dyDescent="0.2">
      <c r="B12" s="126" t="s">
        <v>241</v>
      </c>
      <c r="C12" s="120">
        <v>0</v>
      </c>
      <c r="D12" s="120">
        <v>0</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7177</v>
      </c>
      <c r="U12" s="120">
        <v>12681</v>
      </c>
      <c r="V12" s="120">
        <v>14895</v>
      </c>
      <c r="W12" s="120">
        <v>17373</v>
      </c>
      <c r="X12" s="120">
        <v>15688</v>
      </c>
      <c r="Y12" s="120">
        <v>16298.599999999999</v>
      </c>
      <c r="Z12" s="120">
        <v>19398.511290000002</v>
      </c>
      <c r="AA12" s="120">
        <v>20352.888709999999</v>
      </c>
      <c r="AB12" s="120">
        <v>18364</v>
      </c>
      <c r="AC12" s="120">
        <v>19256</v>
      </c>
      <c r="AD12" s="120">
        <v>19150</v>
      </c>
      <c r="AE12" s="120">
        <v>16497</v>
      </c>
      <c r="AF12" s="120">
        <v>17226</v>
      </c>
      <c r="AG12" s="120">
        <v>23826</v>
      </c>
      <c r="AH12" s="120">
        <v>23339</v>
      </c>
      <c r="AI12" s="120">
        <v>26986</v>
      </c>
      <c r="AJ12" s="120">
        <v>28405</v>
      </c>
      <c r="AK12" s="120">
        <v>30037</v>
      </c>
      <c r="AL12" s="120">
        <v>28510</v>
      </c>
      <c r="AM12" s="120">
        <v>30684</v>
      </c>
      <c r="AN12" s="120">
        <v>36776</v>
      </c>
      <c r="AO12" s="120">
        <v>34967</v>
      </c>
      <c r="AP12" s="120">
        <v>41135</v>
      </c>
      <c r="AQ12" s="120">
        <v>47572</v>
      </c>
      <c r="AR12" s="120">
        <v>51826</v>
      </c>
      <c r="AS12" s="120">
        <v>70532</v>
      </c>
      <c r="AT12" s="120">
        <v>74528</v>
      </c>
      <c r="AU12" s="120">
        <v>65337</v>
      </c>
      <c r="AV12" s="120">
        <v>67061</v>
      </c>
      <c r="AW12" s="120">
        <v>78569</v>
      </c>
      <c r="AX12" s="120">
        <v>81039</v>
      </c>
      <c r="AY12" s="120">
        <v>61338</v>
      </c>
      <c r="AZ12" s="120">
        <v>53306</v>
      </c>
    </row>
    <row r="13" spans="2:52" x14ac:dyDescent="0.2">
      <c r="B13" s="129" t="s">
        <v>242</v>
      </c>
      <c r="C13" s="118">
        <v>0</v>
      </c>
      <c r="D13" s="118">
        <v>0</v>
      </c>
      <c r="E13" s="118">
        <v>0</v>
      </c>
      <c r="F13" s="118">
        <v>0</v>
      </c>
      <c r="G13" s="118">
        <v>0</v>
      </c>
      <c r="H13" s="118">
        <v>0</v>
      </c>
      <c r="I13" s="118">
        <v>0</v>
      </c>
      <c r="J13" s="118">
        <v>0</v>
      </c>
      <c r="K13" s="118">
        <v>0</v>
      </c>
      <c r="L13" s="118">
        <v>0</v>
      </c>
      <c r="M13" s="118">
        <v>0</v>
      </c>
      <c r="N13" s="118">
        <v>0</v>
      </c>
      <c r="O13" s="118">
        <v>0</v>
      </c>
      <c r="P13" s="118">
        <v>0</v>
      </c>
      <c r="Q13" s="118">
        <v>0</v>
      </c>
      <c r="R13" s="118">
        <v>0</v>
      </c>
      <c r="S13" s="118">
        <v>0</v>
      </c>
      <c r="T13" s="118">
        <v>-6795</v>
      </c>
      <c r="U13" s="118">
        <v>-11749</v>
      </c>
      <c r="V13" s="118">
        <v>-12648</v>
      </c>
      <c r="W13" s="118">
        <v>-14715</v>
      </c>
      <c r="X13" s="118">
        <v>-14812</v>
      </c>
      <c r="Y13" s="118">
        <v>-14546</v>
      </c>
      <c r="Z13" s="118">
        <v>-16155.160750000003</v>
      </c>
      <c r="AA13" s="118">
        <v>-11746.839249999997</v>
      </c>
      <c r="AB13" s="118">
        <v>-14649</v>
      </c>
      <c r="AC13" s="118">
        <v>-11342</v>
      </c>
      <c r="AD13" s="118">
        <v>-11562</v>
      </c>
      <c r="AE13" s="118">
        <v>-14333</v>
      </c>
      <c r="AF13" s="118">
        <v>-13958</v>
      </c>
      <c r="AG13" s="118">
        <v>-15910</v>
      </c>
      <c r="AH13" s="118">
        <v>-16933</v>
      </c>
      <c r="AI13" s="118">
        <v>-19224</v>
      </c>
      <c r="AJ13" s="118">
        <v>-17789</v>
      </c>
      <c r="AK13" s="118">
        <v>-19063</v>
      </c>
      <c r="AL13" s="118">
        <v>-19201</v>
      </c>
      <c r="AM13" s="118">
        <v>-20665</v>
      </c>
      <c r="AN13" s="118">
        <v>-22330</v>
      </c>
      <c r="AO13" s="118">
        <v>-21422</v>
      </c>
      <c r="AP13" s="118">
        <v>-22724</v>
      </c>
      <c r="AQ13" s="118">
        <v>-32486</v>
      </c>
      <c r="AR13" s="118">
        <v>-29352</v>
      </c>
      <c r="AS13" s="118">
        <v>-38343</v>
      </c>
      <c r="AT13" s="118">
        <v>-47138</v>
      </c>
      <c r="AU13" s="118">
        <v>-42628</v>
      </c>
      <c r="AV13" s="118">
        <v>-42273</v>
      </c>
      <c r="AW13" s="118">
        <v>-45875</v>
      </c>
      <c r="AX13" s="118">
        <v>-52355</v>
      </c>
      <c r="AY13" s="118">
        <v>-45657</v>
      </c>
      <c r="AZ13" s="118">
        <v>-43509</v>
      </c>
    </row>
    <row r="14" spans="2:52" x14ac:dyDescent="0.2">
      <c r="B14" s="129" t="s">
        <v>243</v>
      </c>
      <c r="C14" s="118">
        <v>0</v>
      </c>
      <c r="D14" s="118">
        <v>0</v>
      </c>
      <c r="E14" s="118">
        <v>0</v>
      </c>
      <c r="F14" s="118">
        <v>0</v>
      </c>
      <c r="G14" s="118">
        <v>0</v>
      </c>
      <c r="H14" s="118">
        <v>0</v>
      </c>
      <c r="I14" s="118">
        <v>0</v>
      </c>
      <c r="J14" s="118">
        <v>0</v>
      </c>
      <c r="K14" s="118">
        <v>0</v>
      </c>
      <c r="L14" s="118">
        <v>0</v>
      </c>
      <c r="M14" s="118">
        <v>0</v>
      </c>
      <c r="N14" s="118">
        <v>0</v>
      </c>
      <c r="O14" s="118">
        <v>0</v>
      </c>
      <c r="P14" s="118">
        <v>0</v>
      </c>
      <c r="Q14" s="118">
        <v>0</v>
      </c>
      <c r="R14" s="118">
        <v>0</v>
      </c>
      <c r="S14" s="118">
        <v>0</v>
      </c>
      <c r="T14" s="118">
        <v>-1602</v>
      </c>
      <c r="U14" s="118">
        <v>-1787</v>
      </c>
      <c r="V14" s="118">
        <v>-1421</v>
      </c>
      <c r="W14" s="118">
        <v>-530</v>
      </c>
      <c r="X14" s="118">
        <v>-1141</v>
      </c>
      <c r="Y14" s="118">
        <v>151</v>
      </c>
      <c r="Z14" s="118">
        <v>-1527.7054500000004</v>
      </c>
      <c r="AA14" s="118">
        <v>-6180.2945499999996</v>
      </c>
      <c r="AB14" s="118">
        <v>-2187</v>
      </c>
      <c r="AC14" s="118">
        <v>-463</v>
      </c>
      <c r="AD14" s="118">
        <v>-543</v>
      </c>
      <c r="AE14" s="118">
        <v>-1446</v>
      </c>
      <c r="AF14" s="118">
        <v>-3296</v>
      </c>
      <c r="AG14" s="118">
        <v>276</v>
      </c>
      <c r="AH14" s="118">
        <v>-1611</v>
      </c>
      <c r="AI14" s="118">
        <v>-3060</v>
      </c>
      <c r="AJ14" s="118">
        <v>-1841</v>
      </c>
      <c r="AK14" s="118">
        <v>-2158</v>
      </c>
      <c r="AL14" s="118">
        <v>-1969</v>
      </c>
      <c r="AM14" s="118">
        <v>-2693</v>
      </c>
      <c r="AN14" s="118">
        <v>-2369</v>
      </c>
      <c r="AO14" s="118">
        <v>-3598</v>
      </c>
      <c r="AP14" s="118">
        <v>-3041</v>
      </c>
      <c r="AQ14" s="118">
        <v>-2874</v>
      </c>
      <c r="AR14" s="118">
        <v>-2503</v>
      </c>
      <c r="AS14" s="118">
        <v>-3130</v>
      </c>
      <c r="AT14" s="118">
        <v>-3597</v>
      </c>
      <c r="AU14" s="118">
        <v>-3952</v>
      </c>
      <c r="AV14" s="118">
        <v>-3407</v>
      </c>
      <c r="AW14" s="118">
        <v>-3484</v>
      </c>
      <c r="AX14" s="118">
        <v>-3943</v>
      </c>
      <c r="AY14" s="118">
        <v>-4151</v>
      </c>
      <c r="AZ14" s="118">
        <v>-4729</v>
      </c>
    </row>
    <row r="15" spans="2:52" x14ac:dyDescent="0.2">
      <c r="B15" s="129" t="s">
        <v>244</v>
      </c>
      <c r="C15" s="118">
        <v>0</v>
      </c>
      <c r="D15" s="118">
        <v>0</v>
      </c>
      <c r="E15" s="118">
        <v>0</v>
      </c>
      <c r="F15" s="118">
        <v>0</v>
      </c>
      <c r="G15" s="118">
        <v>0</v>
      </c>
      <c r="H15" s="118">
        <v>0</v>
      </c>
      <c r="I15" s="118">
        <v>0</v>
      </c>
      <c r="J15" s="118">
        <v>0</v>
      </c>
      <c r="K15" s="118">
        <v>0</v>
      </c>
      <c r="L15" s="118">
        <v>0</v>
      </c>
      <c r="M15" s="118">
        <v>0</v>
      </c>
      <c r="N15" s="118">
        <v>0</v>
      </c>
      <c r="O15" s="118">
        <v>0</v>
      </c>
      <c r="P15" s="118">
        <v>0</v>
      </c>
      <c r="Q15" s="118">
        <v>0</v>
      </c>
      <c r="R15" s="118">
        <v>0</v>
      </c>
      <c r="S15" s="118">
        <v>0</v>
      </c>
      <c r="T15" s="118">
        <v>82</v>
      </c>
      <c r="U15" s="118">
        <v>308</v>
      </c>
      <c r="V15" s="118">
        <v>199</v>
      </c>
      <c r="W15" s="118">
        <v>117</v>
      </c>
      <c r="X15" s="118">
        <v>69</v>
      </c>
      <c r="Y15" s="118">
        <v>-1343</v>
      </c>
      <c r="Z15" s="118">
        <v>-617.01339479000035</v>
      </c>
      <c r="AA15" s="118">
        <v>199.01339479000035</v>
      </c>
      <c r="AB15" s="118">
        <v>-60</v>
      </c>
      <c r="AC15" s="118">
        <v>-7</v>
      </c>
      <c r="AD15" s="118">
        <v>-41</v>
      </c>
      <c r="AE15" s="118">
        <v>-63</v>
      </c>
      <c r="AF15" s="118">
        <v>-56</v>
      </c>
      <c r="AG15" s="118">
        <v>-100</v>
      </c>
      <c r="AH15" s="118">
        <v>-50</v>
      </c>
      <c r="AI15" s="118">
        <v>-28</v>
      </c>
      <c r="AJ15" s="118">
        <v>-9</v>
      </c>
      <c r="AK15" s="118">
        <v>35</v>
      </c>
      <c r="AL15" s="118">
        <v>-2</v>
      </c>
      <c r="AM15" s="118">
        <v>93</v>
      </c>
      <c r="AN15" s="118">
        <v>33</v>
      </c>
      <c r="AO15" s="118">
        <v>231</v>
      </c>
      <c r="AP15" s="118">
        <v>269</v>
      </c>
      <c r="AQ15" s="118">
        <v>183</v>
      </c>
      <c r="AR15" s="118">
        <v>8</v>
      </c>
      <c r="AS15" s="118">
        <v>148</v>
      </c>
      <c r="AT15" s="118">
        <v>-243</v>
      </c>
      <c r="AU15" s="118">
        <v>-195</v>
      </c>
      <c r="AV15" s="118">
        <v>-325</v>
      </c>
      <c r="AW15" s="118">
        <v>-368</v>
      </c>
      <c r="AX15" s="118">
        <v>-415</v>
      </c>
      <c r="AY15" s="118">
        <v>-438</v>
      </c>
      <c r="AZ15" s="118">
        <v>-374</v>
      </c>
    </row>
    <row r="16" spans="2:52" x14ac:dyDescent="0.2">
      <c r="B16" s="129" t="s">
        <v>245</v>
      </c>
      <c r="C16" s="118">
        <v>0</v>
      </c>
      <c r="D16" s="118">
        <v>0</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27</v>
      </c>
      <c r="U16" s="118">
        <v>-214</v>
      </c>
      <c r="V16" s="118">
        <v>-225</v>
      </c>
      <c r="W16" s="118">
        <v>-981</v>
      </c>
      <c r="X16" s="118">
        <v>-1007</v>
      </c>
      <c r="Y16" s="118">
        <v>1007</v>
      </c>
      <c r="Z16" s="118">
        <v>1426</v>
      </c>
      <c r="AA16" s="118">
        <v>4506</v>
      </c>
      <c r="AB16" s="118">
        <v>2966</v>
      </c>
      <c r="AC16" s="118">
        <v>0</v>
      </c>
      <c r="AD16" s="118">
        <v>0</v>
      </c>
      <c r="AE16" s="118">
        <v>-958</v>
      </c>
      <c r="AF16" s="118">
        <v>2008</v>
      </c>
      <c r="AG16" s="118">
        <v>-1599</v>
      </c>
      <c r="AH16" s="118">
        <v>355</v>
      </c>
      <c r="AI16" s="118">
        <v>374</v>
      </c>
      <c r="AJ16" s="118">
        <v>132</v>
      </c>
      <c r="AK16" s="118">
        <v>176</v>
      </c>
      <c r="AL16" s="118">
        <v>-308</v>
      </c>
      <c r="AM16" s="118">
        <v>0</v>
      </c>
      <c r="AN16" s="118">
        <v>0</v>
      </c>
      <c r="AO16" s="118">
        <v>0</v>
      </c>
      <c r="AP16" s="118">
        <v>0</v>
      </c>
      <c r="AQ16" s="118">
        <v>0</v>
      </c>
      <c r="AR16" s="118">
        <v>0</v>
      </c>
      <c r="AS16" s="118">
        <v>0</v>
      </c>
      <c r="AT16" s="118">
        <v>0</v>
      </c>
      <c r="AU16" s="118">
        <v>0</v>
      </c>
      <c r="AV16" s="118">
        <v>0</v>
      </c>
      <c r="AW16" s="118">
        <v>0</v>
      </c>
      <c r="AX16" s="118">
        <v>0</v>
      </c>
      <c r="AY16" s="118">
        <v>0</v>
      </c>
      <c r="AZ16" s="118">
        <v>0</v>
      </c>
    </row>
    <row r="17" spans="2:52" x14ac:dyDescent="0.2">
      <c r="B17" s="129" t="s">
        <v>15</v>
      </c>
      <c r="C17" s="118">
        <v>0</v>
      </c>
      <c r="D17" s="118">
        <v>0</v>
      </c>
      <c r="E17" s="118">
        <v>0</v>
      </c>
      <c r="F17" s="118">
        <v>0</v>
      </c>
      <c r="G17" s="118">
        <v>0</v>
      </c>
      <c r="H17" s="118">
        <v>0</v>
      </c>
      <c r="I17" s="118">
        <v>0</v>
      </c>
      <c r="J17" s="118">
        <v>0</v>
      </c>
      <c r="K17" s="118">
        <v>0</v>
      </c>
      <c r="L17" s="118">
        <v>0</v>
      </c>
      <c r="M17" s="118">
        <v>0</v>
      </c>
      <c r="N17" s="118">
        <v>0</v>
      </c>
      <c r="O17" s="118">
        <v>0</v>
      </c>
      <c r="P17" s="118">
        <v>0</v>
      </c>
      <c r="Q17" s="118">
        <v>0</v>
      </c>
      <c r="R17" s="118">
        <v>0</v>
      </c>
      <c r="S17" s="118">
        <v>0</v>
      </c>
      <c r="T17" s="118">
        <v>47</v>
      </c>
      <c r="U17" s="118">
        <v>285</v>
      </c>
      <c r="V17" s="118">
        <v>-270</v>
      </c>
      <c r="W17" s="118">
        <v>148</v>
      </c>
      <c r="X17" s="118">
        <v>343</v>
      </c>
      <c r="Y17" s="118">
        <v>-522</v>
      </c>
      <c r="Z17" s="118">
        <v>-831.94018637140061</v>
      </c>
      <c r="AA17" s="118">
        <v>-2371.0598136285994</v>
      </c>
      <c r="AB17" s="118">
        <v>-1506</v>
      </c>
      <c r="AC17" s="118">
        <v>-2490</v>
      </c>
      <c r="AD17" s="118">
        <v>-1882</v>
      </c>
      <c r="AE17" s="118">
        <v>17</v>
      </c>
      <c r="AF17" s="118">
        <v>-288</v>
      </c>
      <c r="AG17" s="118">
        <v>-1703</v>
      </c>
      <c r="AH17" s="118">
        <v>-1386</v>
      </c>
      <c r="AI17" s="118">
        <v>-1830</v>
      </c>
      <c r="AJ17" s="118">
        <v>-2924</v>
      </c>
      <c r="AK17" s="118">
        <v>-3073</v>
      </c>
      <c r="AL17" s="118">
        <v>-2342</v>
      </c>
      <c r="AM17" s="118">
        <v>-2466</v>
      </c>
      <c r="AN17" s="118">
        <v>-4055</v>
      </c>
      <c r="AO17" s="118">
        <v>-3542</v>
      </c>
      <c r="AP17" s="118">
        <v>-5260</v>
      </c>
      <c r="AQ17" s="118">
        <v>-3387</v>
      </c>
      <c r="AR17" s="118">
        <v>-6698</v>
      </c>
      <c r="AS17" s="118">
        <v>-10011</v>
      </c>
      <c r="AT17" s="118">
        <v>-7933</v>
      </c>
      <c r="AU17" s="118">
        <v>-6062</v>
      </c>
      <c r="AV17" s="118">
        <v>-7638</v>
      </c>
      <c r="AW17" s="118">
        <v>-10182</v>
      </c>
      <c r="AX17" s="118">
        <v>-8804</v>
      </c>
      <c r="AY17" s="118">
        <v>-2302</v>
      </c>
      <c r="AZ17" s="118">
        <v>-1598</v>
      </c>
    </row>
    <row r="18" spans="2:52" x14ac:dyDescent="0.2">
      <c r="B18" s="126" t="s">
        <v>246</v>
      </c>
      <c r="C18" s="120">
        <v>0</v>
      </c>
      <c r="D18" s="120">
        <v>0</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f t="shared" ref="T18:AA18" si="4">+SUM(T12:T17)</f>
        <v>-1064</v>
      </c>
      <c r="U18" s="120">
        <f t="shared" si="4"/>
        <v>-476</v>
      </c>
      <c r="V18" s="120">
        <f t="shared" si="4"/>
        <v>530</v>
      </c>
      <c r="W18" s="120">
        <f t="shared" si="4"/>
        <v>1412</v>
      </c>
      <c r="X18" s="120">
        <f t="shared" si="4"/>
        <v>-860</v>
      </c>
      <c r="Y18" s="120">
        <f t="shared" si="4"/>
        <v>1045.5999999999985</v>
      </c>
      <c r="Z18" s="120">
        <f t="shared" si="4"/>
        <v>1692.6915088385981</v>
      </c>
      <c r="AA18" s="120">
        <f t="shared" si="4"/>
        <v>4759.7084911614038</v>
      </c>
      <c r="AB18" s="120">
        <f t="shared" ref="AB18:AK18" si="5">+SUM(AB12:AB17)</f>
        <v>2928</v>
      </c>
      <c r="AC18" s="120">
        <f t="shared" si="5"/>
        <v>4954</v>
      </c>
      <c r="AD18" s="120">
        <f t="shared" si="5"/>
        <v>5122</v>
      </c>
      <c r="AE18" s="120">
        <f t="shared" si="5"/>
        <v>-286</v>
      </c>
      <c r="AF18" s="120">
        <f t="shared" si="5"/>
        <v>1636</v>
      </c>
      <c r="AG18" s="120">
        <f t="shared" si="5"/>
        <v>4790</v>
      </c>
      <c r="AH18" s="120">
        <f t="shared" si="5"/>
        <v>3714</v>
      </c>
      <c r="AI18" s="120">
        <f t="shared" si="5"/>
        <v>3218</v>
      </c>
      <c r="AJ18" s="120">
        <f t="shared" si="5"/>
        <v>5974</v>
      </c>
      <c r="AK18" s="120">
        <f t="shared" si="5"/>
        <v>5954</v>
      </c>
      <c r="AL18" s="120">
        <f t="shared" ref="AL18:AS18" si="6">+SUM(AL12:AL17)</f>
        <v>4688</v>
      </c>
      <c r="AM18" s="120">
        <f t="shared" si="6"/>
        <v>4953</v>
      </c>
      <c r="AN18" s="120">
        <f t="shared" si="6"/>
        <v>8055</v>
      </c>
      <c r="AO18" s="120">
        <f t="shared" si="6"/>
        <v>6636</v>
      </c>
      <c r="AP18" s="120">
        <f t="shared" si="6"/>
        <v>10379</v>
      </c>
      <c r="AQ18" s="120">
        <f t="shared" si="6"/>
        <v>9008</v>
      </c>
      <c r="AR18" s="120">
        <f t="shared" si="6"/>
        <v>13281</v>
      </c>
      <c r="AS18" s="120">
        <f t="shared" si="6"/>
        <v>19196</v>
      </c>
      <c r="AT18" s="120">
        <f>+SUM(AT12:AT17)</f>
        <v>15617</v>
      </c>
      <c r="AU18" s="120">
        <f>+SUM(AU12:AU17)</f>
        <v>12500</v>
      </c>
      <c r="AV18" s="120">
        <f>+SUM(AV12:AV17)</f>
        <v>13418</v>
      </c>
      <c r="AW18" s="120">
        <v>18660</v>
      </c>
      <c r="AX18" s="120">
        <f>+SUM(AX12:AX17)</f>
        <v>15522</v>
      </c>
      <c r="AY18" s="120">
        <f>+SUM(AY12:AY17)</f>
        <v>8790</v>
      </c>
      <c r="AZ18" s="120">
        <f>+SUM(AZ12:AZ17)</f>
        <v>3096</v>
      </c>
    </row>
    <row r="19" spans="2:52" x14ac:dyDescent="0.2">
      <c r="AL19" s="756"/>
      <c r="AP19" s="756"/>
      <c r="AR19" s="756"/>
      <c r="AT19" s="756"/>
      <c r="AU19" s="756"/>
      <c r="AW19" s="756"/>
      <c r="AX19" s="1213"/>
      <c r="AY19" s="1213"/>
      <c r="AZ19" s="743"/>
    </row>
    <row r="20" spans="2:52" x14ac:dyDescent="0.2">
      <c r="AO20" s="756"/>
      <c r="AS20" s="756"/>
      <c r="AW20" s="756"/>
      <c r="AX20" s="756"/>
      <c r="AY20" s="756"/>
      <c r="AZ20" s="756"/>
    </row>
    <row r="21" spans="2:52" x14ac:dyDescent="0.2">
      <c r="B21" s="145" t="s">
        <v>853</v>
      </c>
      <c r="C21" s="246">
        <f t="shared" ref="C21:AK21" si="7">C5</f>
        <v>2013</v>
      </c>
      <c r="D21" s="246" t="str">
        <f t="shared" si="7"/>
        <v>1T14</v>
      </c>
      <c r="E21" s="246" t="str">
        <f t="shared" si="7"/>
        <v>2T14</v>
      </c>
      <c r="F21" s="246" t="str">
        <f t="shared" si="7"/>
        <v>3T14</v>
      </c>
      <c r="G21" s="246" t="str">
        <f t="shared" si="7"/>
        <v>4T14</v>
      </c>
      <c r="H21" s="246" t="str">
        <f t="shared" si="7"/>
        <v>1T15</v>
      </c>
      <c r="I21" s="246" t="str">
        <f t="shared" si="7"/>
        <v>2T15</v>
      </c>
      <c r="J21" s="246" t="str">
        <f t="shared" si="7"/>
        <v>3T15</v>
      </c>
      <c r="K21" s="246" t="str">
        <f t="shared" si="7"/>
        <v>4T15</v>
      </c>
      <c r="L21" s="246" t="str">
        <f t="shared" si="7"/>
        <v>1T16</v>
      </c>
      <c r="M21" s="246" t="str">
        <f t="shared" si="7"/>
        <v>2T16</v>
      </c>
      <c r="N21" s="246" t="str">
        <f t="shared" si="7"/>
        <v>3T16</v>
      </c>
      <c r="O21" s="246" t="str">
        <f t="shared" si="7"/>
        <v>4T16</v>
      </c>
      <c r="P21" s="246" t="str">
        <f t="shared" si="7"/>
        <v>1T17</v>
      </c>
      <c r="Q21" s="246" t="str">
        <f t="shared" si="7"/>
        <v>2T17</v>
      </c>
      <c r="R21" s="246" t="str">
        <f t="shared" si="7"/>
        <v>3T17</v>
      </c>
      <c r="S21" s="246" t="str">
        <f t="shared" si="7"/>
        <v>4T17</v>
      </c>
      <c r="T21" s="246" t="str">
        <f t="shared" si="7"/>
        <v>1T18</v>
      </c>
      <c r="U21" s="246" t="str">
        <f t="shared" si="7"/>
        <v>2T18</v>
      </c>
      <c r="V21" s="246" t="str">
        <f t="shared" si="7"/>
        <v>3T18</v>
      </c>
      <c r="W21" s="246" t="str">
        <f t="shared" si="7"/>
        <v>4T18</v>
      </c>
      <c r="X21" s="246" t="str">
        <f t="shared" si="7"/>
        <v>1T19</v>
      </c>
      <c r="Y21" s="246" t="str">
        <f t="shared" si="7"/>
        <v>2T19</v>
      </c>
      <c r="Z21" s="246" t="str">
        <f t="shared" si="7"/>
        <v>3T19</v>
      </c>
      <c r="AA21" s="246" t="str">
        <f t="shared" si="7"/>
        <v>4T19</v>
      </c>
      <c r="AB21" s="246" t="str">
        <f t="shared" si="7"/>
        <v>1T20</v>
      </c>
      <c r="AC21" s="246" t="str">
        <f t="shared" si="7"/>
        <v>2T20</v>
      </c>
      <c r="AD21" s="246" t="str">
        <f t="shared" si="7"/>
        <v>3T20</v>
      </c>
      <c r="AE21" s="246" t="str">
        <f t="shared" si="7"/>
        <v>4T20</v>
      </c>
      <c r="AF21" s="246" t="str">
        <f t="shared" si="7"/>
        <v>1T21</v>
      </c>
      <c r="AG21" s="246" t="str">
        <f t="shared" si="7"/>
        <v>2T21</v>
      </c>
      <c r="AH21" s="246" t="str">
        <f t="shared" si="7"/>
        <v>3T21</v>
      </c>
      <c r="AI21" s="246" t="str">
        <f t="shared" si="7"/>
        <v>4T21</v>
      </c>
      <c r="AJ21" s="246" t="str">
        <f t="shared" si="7"/>
        <v>1T22</v>
      </c>
      <c r="AK21" s="246" t="str">
        <f t="shared" si="7"/>
        <v>2T22</v>
      </c>
    </row>
    <row r="22" spans="2:52" x14ac:dyDescent="0.2">
      <c r="B22" s="129" t="s">
        <v>840</v>
      </c>
      <c r="C22" s="118" t="s">
        <v>160</v>
      </c>
      <c r="D22" s="118" t="s">
        <v>160</v>
      </c>
      <c r="E22" s="118" t="s">
        <v>160</v>
      </c>
      <c r="F22" s="118" t="s">
        <v>160</v>
      </c>
      <c r="G22" s="118" t="s">
        <v>160</v>
      </c>
      <c r="H22" s="118" t="s">
        <v>160</v>
      </c>
      <c r="I22" s="118" t="s">
        <v>160</v>
      </c>
      <c r="J22" s="118" t="s">
        <v>160</v>
      </c>
      <c r="K22" s="118" t="s">
        <v>160</v>
      </c>
      <c r="L22" s="118" t="s">
        <v>160</v>
      </c>
      <c r="M22" s="118" t="s">
        <v>160</v>
      </c>
      <c r="N22" s="118" t="s">
        <v>160</v>
      </c>
      <c r="O22" s="118" t="s">
        <v>160</v>
      </c>
      <c r="P22" s="118" t="s">
        <v>160</v>
      </c>
      <c r="Q22" s="118" t="s">
        <v>160</v>
      </c>
      <c r="R22" s="118" t="s">
        <v>160</v>
      </c>
      <c r="S22" s="118" t="s">
        <v>160</v>
      </c>
      <c r="T22" s="118" t="s">
        <v>160</v>
      </c>
      <c r="U22" s="118" t="s">
        <v>160</v>
      </c>
      <c r="V22" s="118" t="s">
        <v>160</v>
      </c>
      <c r="W22" s="118">
        <v>3282</v>
      </c>
      <c r="X22" s="118">
        <v>2834</v>
      </c>
      <c r="Y22" s="118">
        <v>2168</v>
      </c>
      <c r="Z22" s="118">
        <v>1488</v>
      </c>
      <c r="AA22" s="118">
        <v>1263</v>
      </c>
      <c r="AB22" s="118">
        <v>1411</v>
      </c>
      <c r="AC22" s="118">
        <v>1315</v>
      </c>
      <c r="AD22" s="118">
        <v>1315</v>
      </c>
      <c r="AE22" s="118">
        <v>1278</v>
      </c>
      <c r="AF22" s="118">
        <v>1222</v>
      </c>
      <c r="AG22" s="118">
        <v>1227</v>
      </c>
      <c r="AH22" s="118">
        <v>1015</v>
      </c>
      <c r="AI22" s="118">
        <v>9035</v>
      </c>
      <c r="AJ22" s="118">
        <v>8822</v>
      </c>
      <c r="AK22" s="118">
        <v>8891</v>
      </c>
    </row>
    <row r="23" spans="2:52" x14ac:dyDescent="0.2">
      <c r="B23" s="129" t="s">
        <v>841</v>
      </c>
      <c r="C23" s="118" t="s">
        <v>160</v>
      </c>
      <c r="D23" s="118" t="s">
        <v>160</v>
      </c>
      <c r="E23" s="118" t="s">
        <v>160</v>
      </c>
      <c r="F23" s="118" t="s">
        <v>160</v>
      </c>
      <c r="G23" s="118" t="s">
        <v>160</v>
      </c>
      <c r="H23" s="118" t="s">
        <v>160</v>
      </c>
      <c r="I23" s="118" t="s">
        <v>160</v>
      </c>
      <c r="J23" s="118" t="s">
        <v>160</v>
      </c>
      <c r="K23" s="118" t="s">
        <v>160</v>
      </c>
      <c r="L23" s="118" t="s">
        <v>160</v>
      </c>
      <c r="M23" s="118" t="s">
        <v>160</v>
      </c>
      <c r="N23" s="118" t="s">
        <v>160</v>
      </c>
      <c r="O23" s="118" t="s">
        <v>160</v>
      </c>
      <c r="P23" s="118" t="s">
        <v>160</v>
      </c>
      <c r="Q23" s="118" t="s">
        <v>160</v>
      </c>
      <c r="R23" s="118" t="s">
        <v>160</v>
      </c>
      <c r="S23" s="118" t="s">
        <v>160</v>
      </c>
      <c r="T23" s="118" t="s">
        <v>160</v>
      </c>
      <c r="U23" s="118" t="s">
        <v>160</v>
      </c>
      <c r="V23" s="118" t="s">
        <v>160</v>
      </c>
      <c r="W23" s="118">
        <v>615</v>
      </c>
      <c r="X23" s="118">
        <v>578</v>
      </c>
      <c r="Y23" s="118">
        <v>627</v>
      </c>
      <c r="Z23" s="118">
        <v>574</v>
      </c>
      <c r="AA23" s="118">
        <v>654</v>
      </c>
      <c r="AB23" s="118">
        <v>470</v>
      </c>
      <c r="AC23" s="118">
        <v>343</v>
      </c>
      <c r="AD23" s="118">
        <v>292</v>
      </c>
      <c r="AE23" s="118">
        <v>254</v>
      </c>
      <c r="AF23" s="118">
        <v>307</v>
      </c>
      <c r="AG23" s="118">
        <v>258</v>
      </c>
      <c r="AH23" s="118">
        <v>124</v>
      </c>
      <c r="AI23" s="118">
        <v>113</v>
      </c>
      <c r="AJ23" s="118">
        <v>115</v>
      </c>
      <c r="AK23" s="118">
        <v>116</v>
      </c>
    </row>
    <row r="24" spans="2:52" x14ac:dyDescent="0.2">
      <c r="B24" s="129" t="s">
        <v>238</v>
      </c>
      <c r="C24" s="118" t="s">
        <v>160</v>
      </c>
      <c r="D24" s="118" t="s">
        <v>160</v>
      </c>
      <c r="E24" s="118" t="s">
        <v>160</v>
      </c>
      <c r="F24" s="118" t="s">
        <v>160</v>
      </c>
      <c r="G24" s="118" t="s">
        <v>160</v>
      </c>
      <c r="H24" s="118" t="s">
        <v>160</v>
      </c>
      <c r="I24" s="118" t="s">
        <v>160</v>
      </c>
      <c r="J24" s="118" t="s">
        <v>160</v>
      </c>
      <c r="K24" s="118" t="s">
        <v>160</v>
      </c>
      <c r="L24" s="118" t="s">
        <v>160</v>
      </c>
      <c r="M24" s="118" t="s">
        <v>160</v>
      </c>
      <c r="N24" s="118" t="s">
        <v>160</v>
      </c>
      <c r="O24" s="118" t="s">
        <v>160</v>
      </c>
      <c r="P24" s="118" t="s">
        <v>160</v>
      </c>
      <c r="Q24" s="118" t="s">
        <v>160</v>
      </c>
      <c r="R24" s="118" t="s">
        <v>160</v>
      </c>
      <c r="S24" s="118" t="s">
        <v>160</v>
      </c>
      <c r="T24" s="118" t="s">
        <v>160</v>
      </c>
      <c r="U24" s="118" t="s">
        <v>160</v>
      </c>
      <c r="V24" s="118" t="s">
        <v>160</v>
      </c>
      <c r="W24" s="118">
        <v>0</v>
      </c>
      <c r="X24" s="118">
        <v>0</v>
      </c>
      <c r="Y24" s="118">
        <v>0</v>
      </c>
      <c r="Z24" s="118">
        <v>0</v>
      </c>
      <c r="AA24" s="118">
        <v>0</v>
      </c>
      <c r="AB24" s="118">
        <v>0</v>
      </c>
      <c r="AC24" s="118">
        <v>0</v>
      </c>
      <c r="AD24" s="118">
        <v>0</v>
      </c>
      <c r="AE24" s="118">
        <v>0</v>
      </c>
      <c r="AF24" s="118">
        <v>0</v>
      </c>
      <c r="AG24" s="118">
        <v>0</v>
      </c>
      <c r="AH24" s="118">
        <v>0</v>
      </c>
      <c r="AI24" s="118"/>
      <c r="AJ24" s="118">
        <v>0</v>
      </c>
      <c r="AK24" s="118">
        <v>0</v>
      </c>
    </row>
    <row r="25" spans="2:52" x14ac:dyDescent="0.2">
      <c r="B25" s="129" t="s">
        <v>811</v>
      </c>
      <c r="C25" s="118">
        <v>0</v>
      </c>
      <c r="D25" s="118">
        <v>0</v>
      </c>
      <c r="E25" s="118">
        <v>0</v>
      </c>
      <c r="F25" s="118">
        <v>0</v>
      </c>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18">
        <v>0</v>
      </c>
      <c r="Y25" s="118">
        <v>0</v>
      </c>
      <c r="Z25" s="118">
        <v>0</v>
      </c>
      <c r="AA25" s="118">
        <v>0</v>
      </c>
      <c r="AB25" s="118">
        <v>0</v>
      </c>
      <c r="AC25" s="118">
        <v>0</v>
      </c>
      <c r="AD25" s="118">
        <v>0</v>
      </c>
      <c r="AE25" s="118">
        <v>0</v>
      </c>
      <c r="AF25" s="118">
        <v>0</v>
      </c>
      <c r="AG25" s="118">
        <v>0</v>
      </c>
      <c r="AH25" s="118">
        <v>0</v>
      </c>
      <c r="AI25" s="118"/>
      <c r="AJ25" s="118">
        <v>0</v>
      </c>
      <c r="AK25" s="118">
        <v>0</v>
      </c>
    </row>
    <row r="26" spans="2:52" x14ac:dyDescent="0.2">
      <c r="B26" s="129" t="s">
        <v>30</v>
      </c>
      <c r="C26" s="118" t="s">
        <v>160</v>
      </c>
      <c r="D26" s="118" t="s">
        <v>160</v>
      </c>
      <c r="E26" s="118" t="s">
        <v>160</v>
      </c>
      <c r="F26" s="118" t="s">
        <v>160</v>
      </c>
      <c r="G26" s="118" t="s">
        <v>160</v>
      </c>
      <c r="H26" s="118" t="s">
        <v>160</v>
      </c>
      <c r="I26" s="118" t="s">
        <v>160</v>
      </c>
      <c r="J26" s="118" t="s">
        <v>160</v>
      </c>
      <c r="K26" s="118" t="s">
        <v>160</v>
      </c>
      <c r="L26" s="118" t="s">
        <v>160</v>
      </c>
      <c r="M26" s="118" t="s">
        <v>160</v>
      </c>
      <c r="N26" s="118" t="s">
        <v>160</v>
      </c>
      <c r="O26" s="118" t="s">
        <v>160</v>
      </c>
      <c r="P26" s="118" t="s">
        <v>160</v>
      </c>
      <c r="Q26" s="118" t="s">
        <v>160</v>
      </c>
      <c r="R26" s="118" t="s">
        <v>160</v>
      </c>
      <c r="S26" s="118" t="s">
        <v>160</v>
      </c>
      <c r="T26" s="118" t="s">
        <v>160</v>
      </c>
      <c r="U26" s="118" t="s">
        <v>160</v>
      </c>
      <c r="V26" s="118" t="s">
        <v>160</v>
      </c>
      <c r="W26" s="118">
        <v>0</v>
      </c>
      <c r="X26" s="118">
        <v>0</v>
      </c>
      <c r="Y26" s="118">
        <v>0</v>
      </c>
      <c r="Z26" s="118">
        <v>0</v>
      </c>
      <c r="AA26" s="118">
        <v>0</v>
      </c>
      <c r="AB26" s="118">
        <v>0</v>
      </c>
      <c r="AC26" s="118">
        <v>0</v>
      </c>
      <c r="AD26" s="118">
        <v>0</v>
      </c>
      <c r="AE26" s="118">
        <v>0</v>
      </c>
      <c r="AF26" s="118">
        <v>0</v>
      </c>
      <c r="AG26" s="118">
        <v>0</v>
      </c>
      <c r="AH26" s="118">
        <v>0</v>
      </c>
      <c r="AI26" s="118"/>
      <c r="AJ26" s="118">
        <v>0</v>
      </c>
      <c r="AK26" s="118">
        <v>0</v>
      </c>
    </row>
    <row r="27" spans="2:52" x14ac:dyDescent="0.2">
      <c r="B27" s="126" t="s">
        <v>234</v>
      </c>
      <c r="C27" s="207" t="s">
        <v>160</v>
      </c>
      <c r="D27" s="207" t="s">
        <v>160</v>
      </c>
      <c r="E27" s="207" t="s">
        <v>160</v>
      </c>
      <c r="F27" s="207" t="s">
        <v>160</v>
      </c>
      <c r="G27" s="207" t="s">
        <v>160</v>
      </c>
      <c r="H27" s="207" t="s">
        <v>160</v>
      </c>
      <c r="I27" s="207" t="s">
        <v>160</v>
      </c>
      <c r="J27" s="207" t="s">
        <v>160</v>
      </c>
      <c r="K27" s="207" t="s">
        <v>160</v>
      </c>
      <c r="L27" s="207" t="s">
        <v>160</v>
      </c>
      <c r="M27" s="207" t="s">
        <v>160</v>
      </c>
      <c r="N27" s="207" t="s">
        <v>160</v>
      </c>
      <c r="O27" s="207" t="s">
        <v>160</v>
      </c>
      <c r="P27" s="207" t="s">
        <v>160</v>
      </c>
      <c r="Q27" s="207" t="s">
        <v>160</v>
      </c>
      <c r="R27" s="207" t="s">
        <v>160</v>
      </c>
      <c r="S27" s="207" t="s">
        <v>160</v>
      </c>
      <c r="T27" s="120">
        <f t="shared" ref="T27:AA27" si="8">SUM(T22:T26)</f>
        <v>0</v>
      </c>
      <c r="U27" s="120">
        <f t="shared" si="8"/>
        <v>0</v>
      </c>
      <c r="V27" s="120">
        <f t="shared" si="8"/>
        <v>0</v>
      </c>
      <c r="W27" s="120">
        <f t="shared" si="8"/>
        <v>3897</v>
      </c>
      <c r="X27" s="120">
        <f t="shared" si="8"/>
        <v>3412</v>
      </c>
      <c r="Y27" s="120">
        <f t="shared" si="8"/>
        <v>2795</v>
      </c>
      <c r="Z27" s="120">
        <f t="shared" si="8"/>
        <v>2062</v>
      </c>
      <c r="AA27" s="120">
        <f t="shared" si="8"/>
        <v>1917</v>
      </c>
      <c r="AB27" s="120">
        <f t="shared" ref="AB27:AJ27" si="9">SUM(AB22:AB26)</f>
        <v>1881</v>
      </c>
      <c r="AC27" s="120">
        <f t="shared" si="9"/>
        <v>1658</v>
      </c>
      <c r="AD27" s="120">
        <f t="shared" si="9"/>
        <v>1607</v>
      </c>
      <c r="AE27" s="120">
        <f t="shared" si="9"/>
        <v>1532</v>
      </c>
      <c r="AF27" s="120">
        <f t="shared" si="9"/>
        <v>1529</v>
      </c>
      <c r="AG27" s="120">
        <f t="shared" si="9"/>
        <v>1485</v>
      </c>
      <c r="AH27" s="120">
        <f t="shared" si="9"/>
        <v>1139</v>
      </c>
      <c r="AI27" s="120">
        <f t="shared" si="9"/>
        <v>9148</v>
      </c>
      <c r="AJ27" s="120">
        <f t="shared" si="9"/>
        <v>8937</v>
      </c>
      <c r="AK27" s="120">
        <f>SUM(AK22:AK26)</f>
        <v>9007</v>
      </c>
    </row>
    <row r="28" spans="2:52" x14ac:dyDescent="0.2">
      <c r="B28" s="129" t="s">
        <v>838</v>
      </c>
      <c r="C28" s="118" t="s">
        <v>160</v>
      </c>
      <c r="D28" s="118" t="s">
        <v>160</v>
      </c>
      <c r="E28" s="118" t="s">
        <v>160</v>
      </c>
      <c r="F28" s="118" t="s">
        <v>160</v>
      </c>
      <c r="G28" s="118" t="s">
        <v>160</v>
      </c>
      <c r="H28" s="118" t="s">
        <v>160</v>
      </c>
      <c r="I28" s="118" t="s">
        <v>160</v>
      </c>
      <c r="J28" s="118" t="s">
        <v>160</v>
      </c>
      <c r="K28" s="118" t="s">
        <v>160</v>
      </c>
      <c r="L28" s="118" t="s">
        <v>160</v>
      </c>
      <c r="M28" s="118" t="s">
        <v>160</v>
      </c>
      <c r="N28" s="118" t="s">
        <v>160</v>
      </c>
      <c r="O28" s="118" t="s">
        <v>160</v>
      </c>
      <c r="P28" s="118" t="s">
        <v>160</v>
      </c>
      <c r="Q28" s="118" t="s">
        <v>160</v>
      </c>
      <c r="R28" s="118" t="s">
        <v>160</v>
      </c>
      <c r="S28" s="118" t="s">
        <v>160</v>
      </c>
      <c r="T28" s="118" t="s">
        <v>160</v>
      </c>
      <c r="U28" s="118" t="s">
        <v>160</v>
      </c>
      <c r="V28" s="118" t="s">
        <v>160</v>
      </c>
      <c r="W28" s="118">
        <v>236</v>
      </c>
      <c r="X28" s="118">
        <v>211</v>
      </c>
      <c r="Y28" s="118">
        <v>49</v>
      </c>
      <c r="Z28" s="118">
        <v>19</v>
      </c>
      <c r="AA28" s="118">
        <v>18</v>
      </c>
      <c r="AB28" s="118">
        <v>21</v>
      </c>
      <c r="AC28" s="118">
        <v>36</v>
      </c>
      <c r="AD28" s="118">
        <v>27</v>
      </c>
      <c r="AE28" s="118">
        <v>37</v>
      </c>
      <c r="AF28" s="118">
        <v>26</v>
      </c>
      <c r="AG28" s="118">
        <v>22</v>
      </c>
      <c r="AH28" s="118">
        <v>54</v>
      </c>
      <c r="AI28" s="118">
        <v>833</v>
      </c>
      <c r="AJ28" s="118">
        <v>565</v>
      </c>
      <c r="AK28" s="118">
        <v>573</v>
      </c>
    </row>
    <row r="29" spans="2:52" x14ac:dyDescent="0.2">
      <c r="B29" s="129" t="s">
        <v>839</v>
      </c>
      <c r="C29" s="118" t="s">
        <v>160</v>
      </c>
      <c r="D29" s="118" t="s">
        <v>160</v>
      </c>
      <c r="E29" s="118" t="s">
        <v>160</v>
      </c>
      <c r="F29" s="118" t="s">
        <v>160</v>
      </c>
      <c r="G29" s="118" t="s">
        <v>160</v>
      </c>
      <c r="H29" s="118" t="s">
        <v>160</v>
      </c>
      <c r="I29" s="118" t="s">
        <v>160</v>
      </c>
      <c r="J29" s="118" t="s">
        <v>160</v>
      </c>
      <c r="K29" s="118" t="s">
        <v>160</v>
      </c>
      <c r="L29" s="118" t="s">
        <v>160</v>
      </c>
      <c r="M29" s="118" t="s">
        <v>160</v>
      </c>
      <c r="N29" s="118" t="s">
        <v>160</v>
      </c>
      <c r="O29" s="118" t="s">
        <v>160</v>
      </c>
      <c r="P29" s="118" t="s">
        <v>160</v>
      </c>
      <c r="Q29" s="118" t="s">
        <v>160</v>
      </c>
      <c r="R29" s="118" t="s">
        <v>160</v>
      </c>
      <c r="S29" s="118" t="s">
        <v>160</v>
      </c>
      <c r="T29" s="118" t="s">
        <v>160</v>
      </c>
      <c r="U29" s="118" t="s">
        <v>160</v>
      </c>
      <c r="V29" s="118" t="s">
        <v>160</v>
      </c>
      <c r="W29" s="118">
        <v>777</v>
      </c>
      <c r="X29" s="118">
        <v>694</v>
      </c>
      <c r="Y29" s="118">
        <v>1019</v>
      </c>
      <c r="Z29" s="118">
        <v>974</v>
      </c>
      <c r="AA29" s="118">
        <v>893</v>
      </c>
      <c r="AB29" s="118">
        <v>997</v>
      </c>
      <c r="AC29" s="118">
        <v>891</v>
      </c>
      <c r="AD29" s="118">
        <v>704</v>
      </c>
      <c r="AE29" s="118">
        <v>658</v>
      </c>
      <c r="AF29" s="118">
        <v>681</v>
      </c>
      <c r="AG29" s="118">
        <v>651</v>
      </c>
      <c r="AH29" s="118">
        <v>420</v>
      </c>
      <c r="AI29" s="118">
        <v>1959</v>
      </c>
      <c r="AJ29" s="118">
        <v>1961</v>
      </c>
      <c r="AK29" s="118">
        <v>1965</v>
      </c>
    </row>
    <row r="30" spans="2:52" ht="15" customHeight="1" x14ac:dyDescent="0.2">
      <c r="B30" s="129" t="s">
        <v>240</v>
      </c>
      <c r="C30" s="118" t="s">
        <v>160</v>
      </c>
      <c r="D30" s="118" t="s">
        <v>160</v>
      </c>
      <c r="E30" s="118" t="s">
        <v>160</v>
      </c>
      <c r="F30" s="118" t="s">
        <v>160</v>
      </c>
      <c r="G30" s="118" t="s">
        <v>160</v>
      </c>
      <c r="H30" s="118" t="s">
        <v>160</v>
      </c>
      <c r="I30" s="118" t="s">
        <v>160</v>
      </c>
      <c r="J30" s="118" t="s">
        <v>160</v>
      </c>
      <c r="K30" s="118" t="s">
        <v>160</v>
      </c>
      <c r="L30" s="118" t="s">
        <v>160</v>
      </c>
      <c r="M30" s="118" t="s">
        <v>160</v>
      </c>
      <c r="N30" s="118" t="s">
        <v>160</v>
      </c>
      <c r="O30" s="118" t="s">
        <v>160</v>
      </c>
      <c r="P30" s="118" t="s">
        <v>160</v>
      </c>
      <c r="Q30" s="118" t="s">
        <v>160</v>
      </c>
      <c r="R30" s="118" t="s">
        <v>160</v>
      </c>
      <c r="S30" s="118" t="s">
        <v>160</v>
      </c>
      <c r="T30" s="118" t="s">
        <v>160</v>
      </c>
      <c r="U30" s="118" t="s">
        <v>160</v>
      </c>
      <c r="V30" s="118" t="s">
        <v>160</v>
      </c>
      <c r="W30" s="118">
        <v>2884</v>
      </c>
      <c r="X30" s="118">
        <v>2507</v>
      </c>
      <c r="Y30" s="118">
        <v>1727</v>
      </c>
      <c r="Z30" s="118">
        <v>1069</v>
      </c>
      <c r="AA30" s="118">
        <v>1006</v>
      </c>
      <c r="AB30" s="118">
        <v>863</v>
      </c>
      <c r="AC30" s="118">
        <v>731</v>
      </c>
      <c r="AD30" s="118">
        <v>876</v>
      </c>
      <c r="AE30" s="118">
        <v>837</v>
      </c>
      <c r="AF30" s="118">
        <v>822</v>
      </c>
      <c r="AG30" s="118">
        <v>812</v>
      </c>
      <c r="AH30" s="118">
        <v>665</v>
      </c>
      <c r="AI30" s="118">
        <v>6356</v>
      </c>
      <c r="AJ30" s="118">
        <v>6411</v>
      </c>
      <c r="AK30" s="118">
        <v>6469</v>
      </c>
    </row>
    <row r="31" spans="2:52" x14ac:dyDescent="0.2">
      <c r="B31" s="126" t="s">
        <v>239</v>
      </c>
      <c r="C31" s="207" t="s">
        <v>160</v>
      </c>
      <c r="D31" s="207" t="s">
        <v>160</v>
      </c>
      <c r="E31" s="207" t="s">
        <v>160</v>
      </c>
      <c r="F31" s="207" t="s">
        <v>160</v>
      </c>
      <c r="G31" s="207" t="s">
        <v>160</v>
      </c>
      <c r="H31" s="207" t="s">
        <v>160</v>
      </c>
      <c r="I31" s="207" t="s">
        <v>160</v>
      </c>
      <c r="J31" s="207" t="s">
        <v>160</v>
      </c>
      <c r="K31" s="207" t="s">
        <v>160</v>
      </c>
      <c r="L31" s="207" t="s">
        <v>160</v>
      </c>
      <c r="M31" s="207" t="s">
        <v>160</v>
      </c>
      <c r="N31" s="207" t="s">
        <v>160</v>
      </c>
      <c r="O31" s="207" t="s">
        <v>160</v>
      </c>
      <c r="P31" s="207" t="s">
        <v>160</v>
      </c>
      <c r="Q31" s="207" t="s">
        <v>160</v>
      </c>
      <c r="R31" s="207" t="s">
        <v>160</v>
      </c>
      <c r="S31" s="207" t="s">
        <v>160</v>
      </c>
      <c r="T31" s="120">
        <f t="shared" ref="T31:AA31" si="10">SUM(T28:T30)</f>
        <v>0</v>
      </c>
      <c r="U31" s="120">
        <f t="shared" si="10"/>
        <v>0</v>
      </c>
      <c r="V31" s="120">
        <f t="shared" si="10"/>
        <v>0</v>
      </c>
      <c r="W31" s="120">
        <f t="shared" si="10"/>
        <v>3897</v>
      </c>
      <c r="X31" s="120">
        <f t="shared" si="10"/>
        <v>3412</v>
      </c>
      <c r="Y31" s="120">
        <f t="shared" si="10"/>
        <v>2795</v>
      </c>
      <c r="Z31" s="120">
        <f t="shared" si="10"/>
        <v>2062</v>
      </c>
      <c r="AA31" s="120">
        <f t="shared" si="10"/>
        <v>1917</v>
      </c>
      <c r="AB31" s="120">
        <f t="shared" ref="AB31:AJ31" si="11">SUM(AB28:AB30)</f>
        <v>1881</v>
      </c>
      <c r="AC31" s="120">
        <f t="shared" si="11"/>
        <v>1658</v>
      </c>
      <c r="AD31" s="120">
        <f t="shared" si="11"/>
        <v>1607</v>
      </c>
      <c r="AE31" s="120">
        <f t="shared" si="11"/>
        <v>1532</v>
      </c>
      <c r="AF31" s="120">
        <f t="shared" si="11"/>
        <v>1529</v>
      </c>
      <c r="AG31" s="120">
        <f t="shared" si="11"/>
        <v>1485</v>
      </c>
      <c r="AH31" s="120">
        <f t="shared" si="11"/>
        <v>1139</v>
      </c>
      <c r="AI31" s="120">
        <f t="shared" si="11"/>
        <v>9148</v>
      </c>
      <c r="AJ31" s="120">
        <f t="shared" si="11"/>
        <v>8937</v>
      </c>
      <c r="AK31" s="120">
        <f>SUM(AK28:AK30)</f>
        <v>9007</v>
      </c>
    </row>
    <row r="33" spans="2:52" x14ac:dyDescent="0.2">
      <c r="B33" s="145" t="s">
        <v>853</v>
      </c>
      <c r="C33" s="115">
        <f t="shared" ref="C33:X33" si="12">C21</f>
        <v>2013</v>
      </c>
      <c r="D33" s="115" t="str">
        <f t="shared" si="12"/>
        <v>1T14</v>
      </c>
      <c r="E33" s="115" t="str">
        <f t="shared" si="12"/>
        <v>2T14</v>
      </c>
      <c r="F33" s="115" t="str">
        <f t="shared" si="12"/>
        <v>3T14</v>
      </c>
      <c r="G33" s="115" t="str">
        <f t="shared" si="12"/>
        <v>4T14</v>
      </c>
      <c r="H33" s="115" t="str">
        <f t="shared" si="12"/>
        <v>1T15</v>
      </c>
      <c r="I33" s="115" t="str">
        <f t="shared" si="12"/>
        <v>2T15</v>
      </c>
      <c r="J33" s="115" t="str">
        <f t="shared" si="12"/>
        <v>3T15</v>
      </c>
      <c r="K33" s="115" t="str">
        <f t="shared" si="12"/>
        <v>4T15</v>
      </c>
      <c r="L33" s="115" t="str">
        <f t="shared" si="12"/>
        <v>1T16</v>
      </c>
      <c r="M33" s="115" t="str">
        <f t="shared" si="12"/>
        <v>2T16</v>
      </c>
      <c r="N33" s="115" t="str">
        <f t="shared" si="12"/>
        <v>3T16</v>
      </c>
      <c r="O33" s="115" t="str">
        <f t="shared" si="12"/>
        <v>4T16</v>
      </c>
      <c r="P33" s="115" t="str">
        <f t="shared" si="12"/>
        <v>1T17</v>
      </c>
      <c r="Q33" s="115" t="str">
        <f t="shared" si="12"/>
        <v>2T17</v>
      </c>
      <c r="R33" s="115" t="str">
        <f t="shared" si="12"/>
        <v>3T17</v>
      </c>
      <c r="S33" s="115" t="str">
        <f t="shared" si="12"/>
        <v>4T17</v>
      </c>
      <c r="T33" s="115" t="str">
        <f t="shared" si="12"/>
        <v>1T18</v>
      </c>
      <c r="U33" s="115" t="str">
        <f t="shared" si="12"/>
        <v>2T18</v>
      </c>
      <c r="V33" s="115" t="str">
        <f t="shared" si="12"/>
        <v>3T18</v>
      </c>
      <c r="W33" s="115" t="str">
        <f t="shared" si="12"/>
        <v>4T18</v>
      </c>
      <c r="X33" s="115" t="str">
        <f t="shared" si="12"/>
        <v>1T19</v>
      </c>
      <c r="Y33" s="115" t="str">
        <f t="shared" ref="Y33:AD33" si="13">Y21</f>
        <v>2T19</v>
      </c>
      <c r="Z33" s="115" t="str">
        <f t="shared" si="13"/>
        <v>3T19</v>
      </c>
      <c r="AA33" s="115" t="str">
        <f t="shared" si="13"/>
        <v>4T19</v>
      </c>
      <c r="AB33" s="115" t="str">
        <f t="shared" si="13"/>
        <v>1T20</v>
      </c>
      <c r="AC33" s="115" t="str">
        <f t="shared" si="13"/>
        <v>2T20</v>
      </c>
      <c r="AD33" s="115" t="str">
        <f t="shared" si="13"/>
        <v>3T20</v>
      </c>
      <c r="AE33" s="115" t="str">
        <f t="shared" ref="AE33:AK33" si="14">AE21</f>
        <v>4T20</v>
      </c>
      <c r="AF33" s="115" t="str">
        <f t="shared" si="14"/>
        <v>1T21</v>
      </c>
      <c r="AG33" s="115" t="str">
        <f t="shared" si="14"/>
        <v>2T21</v>
      </c>
      <c r="AH33" s="115" t="str">
        <f t="shared" si="14"/>
        <v>3T21</v>
      </c>
      <c r="AI33" s="115" t="str">
        <f t="shared" si="14"/>
        <v>4T21</v>
      </c>
      <c r="AJ33" s="115" t="str">
        <f t="shared" si="14"/>
        <v>1T22</v>
      </c>
      <c r="AK33" s="115" t="str">
        <f t="shared" si="14"/>
        <v>2T22</v>
      </c>
    </row>
    <row r="34" spans="2:52" x14ac:dyDescent="0.2">
      <c r="B34" s="126" t="s">
        <v>241</v>
      </c>
      <c r="C34" s="120">
        <v>0</v>
      </c>
      <c r="D34" s="120">
        <v>0</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0</v>
      </c>
      <c r="AA34" s="120">
        <v>0</v>
      </c>
      <c r="AB34" s="120">
        <v>0</v>
      </c>
      <c r="AC34" s="120">
        <v>0</v>
      </c>
      <c r="AD34" s="120">
        <v>0</v>
      </c>
      <c r="AE34" s="120">
        <v>0</v>
      </c>
      <c r="AF34" s="120">
        <v>0</v>
      </c>
      <c r="AG34" s="120">
        <v>0</v>
      </c>
      <c r="AH34" s="120">
        <v>0</v>
      </c>
      <c r="AI34" s="120">
        <v>0</v>
      </c>
      <c r="AJ34" s="120">
        <v>0</v>
      </c>
      <c r="AK34" s="120">
        <v>0</v>
      </c>
    </row>
    <row r="35" spans="2:52" x14ac:dyDescent="0.2">
      <c r="B35" s="129" t="s">
        <v>242</v>
      </c>
      <c r="C35" s="118">
        <v>0</v>
      </c>
      <c r="D35" s="118">
        <v>0</v>
      </c>
      <c r="E35" s="118">
        <v>0</v>
      </c>
      <c r="F35" s="118">
        <v>0</v>
      </c>
      <c r="G35" s="118">
        <v>0</v>
      </c>
      <c r="H35" s="118">
        <v>0</v>
      </c>
      <c r="I35" s="118">
        <v>0</v>
      </c>
      <c r="J35" s="118">
        <v>0</v>
      </c>
      <c r="K35" s="118">
        <v>0</v>
      </c>
      <c r="L35" s="118">
        <v>0</v>
      </c>
      <c r="M35" s="118">
        <v>0</v>
      </c>
      <c r="N35" s="118">
        <v>0</v>
      </c>
      <c r="O35" s="118">
        <v>0</v>
      </c>
      <c r="P35" s="118">
        <v>0</v>
      </c>
      <c r="Q35" s="118">
        <v>0</v>
      </c>
      <c r="R35" s="118">
        <v>0</v>
      </c>
      <c r="S35" s="118">
        <v>0</v>
      </c>
      <c r="T35" s="118">
        <v>0</v>
      </c>
      <c r="U35" s="118">
        <v>0</v>
      </c>
      <c r="V35" s="118">
        <v>0</v>
      </c>
      <c r="W35" s="118">
        <v>0</v>
      </c>
      <c r="X35" s="118">
        <v>0</v>
      </c>
      <c r="Y35" s="118">
        <v>0</v>
      </c>
      <c r="Z35" s="118">
        <v>0</v>
      </c>
      <c r="AA35" s="118">
        <v>0</v>
      </c>
      <c r="AB35" s="118">
        <v>0</v>
      </c>
      <c r="AC35" s="118">
        <v>0</v>
      </c>
      <c r="AD35" s="118">
        <v>0</v>
      </c>
      <c r="AE35" s="118">
        <v>0</v>
      </c>
      <c r="AF35" s="118">
        <v>0</v>
      </c>
      <c r="AG35" s="118">
        <v>0</v>
      </c>
      <c r="AH35" s="118">
        <v>0</v>
      </c>
      <c r="AI35" s="118">
        <v>-10</v>
      </c>
      <c r="AJ35" s="118">
        <v>0</v>
      </c>
      <c r="AK35" s="118">
        <v>0</v>
      </c>
    </row>
    <row r="36" spans="2:52" x14ac:dyDescent="0.2">
      <c r="B36" s="129" t="s">
        <v>243</v>
      </c>
      <c r="C36" s="118">
        <v>0</v>
      </c>
      <c r="D36" s="118">
        <v>0</v>
      </c>
      <c r="E36" s="118">
        <v>0</v>
      </c>
      <c r="F36" s="118">
        <v>0</v>
      </c>
      <c r="G36" s="118">
        <v>0</v>
      </c>
      <c r="H36" s="118">
        <v>0</v>
      </c>
      <c r="I36" s="118">
        <v>0</v>
      </c>
      <c r="J36" s="118">
        <v>0</v>
      </c>
      <c r="K36" s="118">
        <v>0</v>
      </c>
      <c r="L36" s="118">
        <v>0</v>
      </c>
      <c r="M36" s="118">
        <v>0</v>
      </c>
      <c r="N36" s="118">
        <v>0</v>
      </c>
      <c r="O36" s="118">
        <v>0</v>
      </c>
      <c r="P36" s="118">
        <v>0</v>
      </c>
      <c r="Q36" s="118">
        <v>0</v>
      </c>
      <c r="R36" s="118">
        <v>0</v>
      </c>
      <c r="S36" s="118">
        <v>0</v>
      </c>
      <c r="T36" s="118">
        <v>0</v>
      </c>
      <c r="U36" s="118">
        <v>0</v>
      </c>
      <c r="V36" s="118">
        <v>0</v>
      </c>
      <c r="W36" s="118">
        <v>0</v>
      </c>
      <c r="X36" s="118">
        <v>-139</v>
      </c>
      <c r="Y36" s="118">
        <v>-66</v>
      </c>
      <c r="Z36" s="118">
        <v>-36</v>
      </c>
      <c r="AA36" s="118">
        <v>-38</v>
      </c>
      <c r="AB36" s="118">
        <v>-41</v>
      </c>
      <c r="AC36" s="118">
        <v>-42</v>
      </c>
      <c r="AD36" s="118">
        <v>-28</v>
      </c>
      <c r="AE36" s="118">
        <v>-28</v>
      </c>
      <c r="AF36" s="118">
        <v>-52</v>
      </c>
      <c r="AG36" s="118">
        <v>-32</v>
      </c>
      <c r="AH36" s="118">
        <v>-83</v>
      </c>
      <c r="AI36" s="118">
        <v>-649</v>
      </c>
      <c r="AJ36" s="118">
        <v>-51</v>
      </c>
      <c r="AK36" s="118">
        <v>-75</v>
      </c>
    </row>
    <row r="37" spans="2:52" x14ac:dyDescent="0.2">
      <c r="B37" s="129" t="s">
        <v>244</v>
      </c>
      <c r="C37" s="118">
        <v>0</v>
      </c>
      <c r="D37" s="118">
        <v>0</v>
      </c>
      <c r="E37" s="118">
        <v>0</v>
      </c>
      <c r="F37" s="118">
        <v>0</v>
      </c>
      <c r="G37" s="118">
        <v>0</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8">
        <v>50</v>
      </c>
      <c r="Y37" s="118">
        <v>34</v>
      </c>
      <c r="Z37" s="118">
        <v>25</v>
      </c>
      <c r="AA37" s="118">
        <v>21</v>
      </c>
      <c r="AB37" s="118">
        <v>12</v>
      </c>
      <c r="AC37" s="118">
        <v>20</v>
      </c>
      <c r="AD37" s="118">
        <v>6</v>
      </c>
      <c r="AE37" s="118">
        <v>5</v>
      </c>
      <c r="AF37" s="118">
        <v>38</v>
      </c>
      <c r="AG37" s="118">
        <v>10</v>
      </c>
      <c r="AH37" s="118">
        <v>14</v>
      </c>
      <c r="AI37" s="118">
        <v>3500</v>
      </c>
      <c r="AJ37" s="118">
        <v>111</v>
      </c>
      <c r="AK37" s="118">
        <v>136</v>
      </c>
    </row>
    <row r="38" spans="2:52" x14ac:dyDescent="0.2">
      <c r="B38" s="129" t="s">
        <v>245</v>
      </c>
      <c r="C38" s="118">
        <v>0</v>
      </c>
      <c r="D38" s="118">
        <v>0</v>
      </c>
      <c r="E38" s="118">
        <v>0</v>
      </c>
      <c r="F38" s="118">
        <v>0</v>
      </c>
      <c r="G38" s="118">
        <v>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8">
        <v>-113</v>
      </c>
      <c r="Y38" s="118">
        <v>-374</v>
      </c>
      <c r="Z38" s="118">
        <v>7</v>
      </c>
      <c r="AA38" s="118">
        <v>-47</v>
      </c>
      <c r="AB38" s="118">
        <v>-114</v>
      </c>
      <c r="AC38" s="118">
        <v>-111</v>
      </c>
      <c r="AD38" s="118">
        <v>167</v>
      </c>
      <c r="AE38" s="118">
        <v>-15</v>
      </c>
      <c r="AF38" s="118">
        <v>2</v>
      </c>
      <c r="AG38" s="118">
        <v>12</v>
      </c>
      <c r="AH38" s="118">
        <v>-78</v>
      </c>
      <c r="AI38" s="118">
        <v>4344</v>
      </c>
      <c r="AJ38" s="118">
        <v>-5</v>
      </c>
      <c r="AK38" s="118">
        <v>-4</v>
      </c>
    </row>
    <row r="39" spans="2:52" x14ac:dyDescent="0.2">
      <c r="B39" s="129" t="s">
        <v>15</v>
      </c>
      <c r="C39" s="118">
        <v>0</v>
      </c>
      <c r="D39" s="118">
        <v>0</v>
      </c>
      <c r="E39" s="118">
        <v>0</v>
      </c>
      <c r="F39" s="118">
        <v>0</v>
      </c>
      <c r="G39" s="118">
        <v>0</v>
      </c>
      <c r="H39" s="118">
        <v>0</v>
      </c>
      <c r="I39" s="118">
        <v>0</v>
      </c>
      <c r="J39" s="118">
        <v>0</v>
      </c>
      <c r="K39" s="118">
        <v>0</v>
      </c>
      <c r="L39" s="118">
        <v>0</v>
      </c>
      <c r="M39" s="118">
        <v>0</v>
      </c>
      <c r="N39" s="118">
        <v>0</v>
      </c>
      <c r="O39" s="118">
        <v>0</v>
      </c>
      <c r="P39" s="118">
        <v>0</v>
      </c>
      <c r="Q39" s="118">
        <v>0</v>
      </c>
      <c r="R39" s="118">
        <v>0</v>
      </c>
      <c r="S39" s="118">
        <v>0</v>
      </c>
      <c r="T39" s="118">
        <v>0</v>
      </c>
      <c r="U39" s="118">
        <v>0</v>
      </c>
      <c r="V39" s="118">
        <v>0</v>
      </c>
      <c r="W39" s="118">
        <v>0</v>
      </c>
      <c r="X39" s="118">
        <v>0</v>
      </c>
      <c r="Y39" s="118">
        <v>-4</v>
      </c>
      <c r="Z39" s="118">
        <v>0</v>
      </c>
      <c r="AA39" s="118">
        <v>0</v>
      </c>
      <c r="AB39" s="118">
        <v>0</v>
      </c>
      <c r="AC39" s="118">
        <v>0</v>
      </c>
      <c r="AD39" s="118">
        <v>0</v>
      </c>
      <c r="AE39" s="118">
        <v>0</v>
      </c>
      <c r="AF39" s="118">
        <v>-2</v>
      </c>
      <c r="AG39" s="118">
        <v>0</v>
      </c>
      <c r="AH39" s="118">
        <v>0</v>
      </c>
      <c r="AI39" s="118">
        <v>-1495</v>
      </c>
      <c r="AJ39" s="118">
        <v>0</v>
      </c>
      <c r="AK39" s="118">
        <v>0</v>
      </c>
    </row>
    <row r="40" spans="2:52" x14ac:dyDescent="0.2">
      <c r="B40" s="126" t="s">
        <v>246</v>
      </c>
      <c r="C40" s="120">
        <v>0</v>
      </c>
      <c r="D40" s="120">
        <v>0</v>
      </c>
      <c r="E40" s="120">
        <v>0</v>
      </c>
      <c r="F40" s="120">
        <v>0</v>
      </c>
      <c r="G40" s="120">
        <v>0</v>
      </c>
      <c r="H40" s="120">
        <v>0</v>
      </c>
      <c r="I40" s="120">
        <v>0</v>
      </c>
      <c r="J40" s="120">
        <v>0</v>
      </c>
      <c r="K40" s="120">
        <v>0</v>
      </c>
      <c r="L40" s="120">
        <v>0</v>
      </c>
      <c r="M40" s="120">
        <v>0</v>
      </c>
      <c r="N40" s="120">
        <v>0</v>
      </c>
      <c r="O40" s="120">
        <v>0</v>
      </c>
      <c r="P40" s="120">
        <v>0</v>
      </c>
      <c r="Q40" s="120">
        <v>0</v>
      </c>
      <c r="R40" s="120">
        <v>0</v>
      </c>
      <c r="S40" s="120">
        <v>0</v>
      </c>
      <c r="T40" s="120">
        <f t="shared" ref="T40:AA40" si="15">+SUM(T34:T39)</f>
        <v>0</v>
      </c>
      <c r="U40" s="120">
        <f t="shared" si="15"/>
        <v>0</v>
      </c>
      <c r="V40" s="120">
        <f t="shared" si="15"/>
        <v>0</v>
      </c>
      <c r="W40" s="120">
        <f t="shared" si="15"/>
        <v>0</v>
      </c>
      <c r="X40" s="120">
        <f t="shared" si="15"/>
        <v>-202</v>
      </c>
      <c r="Y40" s="120">
        <f t="shared" si="15"/>
        <v>-410</v>
      </c>
      <c r="Z40" s="120">
        <f t="shared" si="15"/>
        <v>-4</v>
      </c>
      <c r="AA40" s="120">
        <f t="shared" si="15"/>
        <v>-64</v>
      </c>
      <c r="AB40" s="120">
        <f t="shared" ref="AB40:AK40" si="16">+SUM(AB34:AB39)</f>
        <v>-143</v>
      </c>
      <c r="AC40" s="120">
        <f t="shared" si="16"/>
        <v>-133</v>
      </c>
      <c r="AD40" s="120">
        <f t="shared" si="16"/>
        <v>145</v>
      </c>
      <c r="AE40" s="120">
        <f t="shared" si="16"/>
        <v>-38</v>
      </c>
      <c r="AF40" s="120">
        <f t="shared" si="16"/>
        <v>-14</v>
      </c>
      <c r="AG40" s="120">
        <f t="shared" si="16"/>
        <v>-10</v>
      </c>
      <c r="AH40" s="120">
        <f t="shared" si="16"/>
        <v>-147</v>
      </c>
      <c r="AI40" s="120">
        <f t="shared" si="16"/>
        <v>5690</v>
      </c>
      <c r="AJ40" s="120">
        <f t="shared" si="16"/>
        <v>55</v>
      </c>
      <c r="AK40" s="120">
        <f t="shared" si="16"/>
        <v>57</v>
      </c>
    </row>
    <row r="41" spans="2:52" x14ac:dyDescent="0.2">
      <c r="T41" s="754">
        <v>0</v>
      </c>
      <c r="U41" s="754">
        <v>0</v>
      </c>
    </row>
    <row r="42" spans="2:52" x14ac:dyDescent="0.2">
      <c r="T42" s="755">
        <v>0</v>
      </c>
      <c r="U42" s="755">
        <v>0</v>
      </c>
    </row>
    <row r="43" spans="2:52" x14ac:dyDescent="0.2">
      <c r="B43" s="145" t="s">
        <v>1059</v>
      </c>
      <c r="C43" s="246">
        <f>C21</f>
        <v>2013</v>
      </c>
      <c r="D43" s="246" t="str">
        <f t="shared" ref="D43:AD43" si="17">D21</f>
        <v>1T14</v>
      </c>
      <c r="E43" s="246" t="str">
        <f t="shared" si="17"/>
        <v>2T14</v>
      </c>
      <c r="F43" s="246" t="str">
        <f t="shared" si="17"/>
        <v>3T14</v>
      </c>
      <c r="G43" s="246" t="str">
        <f t="shared" si="17"/>
        <v>4T14</v>
      </c>
      <c r="H43" s="246" t="str">
        <f t="shared" si="17"/>
        <v>1T15</v>
      </c>
      <c r="I43" s="246" t="str">
        <f t="shared" si="17"/>
        <v>2T15</v>
      </c>
      <c r="J43" s="246" t="str">
        <f t="shared" si="17"/>
        <v>3T15</v>
      </c>
      <c r="K43" s="246" t="str">
        <f t="shared" si="17"/>
        <v>4T15</v>
      </c>
      <c r="L43" s="246" t="str">
        <f t="shared" si="17"/>
        <v>1T16</v>
      </c>
      <c r="M43" s="246" t="str">
        <f t="shared" si="17"/>
        <v>2T16</v>
      </c>
      <c r="N43" s="246" t="str">
        <f t="shared" si="17"/>
        <v>3T16</v>
      </c>
      <c r="O43" s="246" t="str">
        <f t="shared" si="17"/>
        <v>4T16</v>
      </c>
      <c r="P43" s="246" t="str">
        <f t="shared" si="17"/>
        <v>1T17</v>
      </c>
      <c r="Q43" s="246" t="str">
        <f t="shared" si="17"/>
        <v>2T17</v>
      </c>
      <c r="R43" s="246" t="str">
        <f t="shared" si="17"/>
        <v>3T17</v>
      </c>
      <c r="S43" s="246" t="str">
        <f t="shared" si="17"/>
        <v>4T17</v>
      </c>
      <c r="T43" s="246" t="str">
        <f t="shared" si="17"/>
        <v>1T18</v>
      </c>
      <c r="U43" s="246" t="str">
        <f t="shared" si="17"/>
        <v>2T18</v>
      </c>
      <c r="V43" s="246" t="str">
        <f t="shared" si="17"/>
        <v>3T18</v>
      </c>
      <c r="W43" s="246" t="str">
        <f t="shared" si="17"/>
        <v>4T18</v>
      </c>
      <c r="X43" s="246" t="str">
        <f t="shared" si="17"/>
        <v>1T19</v>
      </c>
      <c r="Y43" s="246" t="str">
        <f t="shared" si="17"/>
        <v>2T19</v>
      </c>
      <c r="Z43" s="246" t="str">
        <f t="shared" si="17"/>
        <v>3T19</v>
      </c>
      <c r="AA43" s="246" t="str">
        <f t="shared" si="17"/>
        <v>4T19</v>
      </c>
      <c r="AB43" s="246" t="str">
        <f t="shared" si="17"/>
        <v>1T20</v>
      </c>
      <c r="AC43" s="246" t="str">
        <f t="shared" si="17"/>
        <v>2T20</v>
      </c>
      <c r="AD43" s="246" t="str">
        <f t="shared" si="17"/>
        <v>3T20</v>
      </c>
      <c r="AE43" s="246" t="str">
        <f>AE21</f>
        <v>4T20</v>
      </c>
      <c r="AF43" s="246" t="str">
        <f>AF21</f>
        <v>1T21</v>
      </c>
      <c r="AG43" s="246" t="str">
        <f>AG21</f>
        <v>2T21</v>
      </c>
      <c r="AH43" s="246" t="s">
        <v>1024</v>
      </c>
      <c r="AI43" s="246" t="s">
        <v>1050</v>
      </c>
    </row>
    <row r="44" spans="2:52" x14ac:dyDescent="0.2">
      <c r="B44" s="129" t="s">
        <v>840</v>
      </c>
      <c r="C44" s="118" t="s">
        <v>160</v>
      </c>
      <c r="D44" s="118" t="s">
        <v>160</v>
      </c>
      <c r="E44" s="118" t="s">
        <v>160</v>
      </c>
      <c r="F44" s="118" t="s">
        <v>160</v>
      </c>
      <c r="G44" s="118" t="s">
        <v>160</v>
      </c>
      <c r="H44" s="118" t="s">
        <v>160</v>
      </c>
      <c r="I44" s="118" t="s">
        <v>160</v>
      </c>
      <c r="J44" s="118" t="s">
        <v>160</v>
      </c>
      <c r="K44" s="118" t="s">
        <v>160</v>
      </c>
      <c r="L44" s="118" t="s">
        <v>160</v>
      </c>
      <c r="M44" s="118" t="s">
        <v>160</v>
      </c>
      <c r="N44" s="118" t="s">
        <v>160</v>
      </c>
      <c r="O44" s="118" t="s">
        <v>160</v>
      </c>
      <c r="P44" s="118" t="s">
        <v>160</v>
      </c>
      <c r="Q44" s="118" t="s">
        <v>160</v>
      </c>
      <c r="R44" s="118" t="s">
        <v>160</v>
      </c>
      <c r="S44" s="118" t="s">
        <v>160</v>
      </c>
      <c r="T44" s="118" t="s">
        <v>160</v>
      </c>
      <c r="U44" s="118" t="s">
        <v>160</v>
      </c>
      <c r="V44" s="118" t="s">
        <v>160</v>
      </c>
      <c r="W44" s="118" t="s">
        <v>160</v>
      </c>
      <c r="X44" s="118" t="s">
        <v>160</v>
      </c>
      <c r="Y44" s="118" t="s">
        <v>160</v>
      </c>
      <c r="Z44" s="118" t="s">
        <v>160</v>
      </c>
      <c r="AA44" s="118" t="s">
        <v>160</v>
      </c>
      <c r="AB44" s="118" t="s">
        <v>160</v>
      </c>
      <c r="AC44" s="118" t="s">
        <v>160</v>
      </c>
      <c r="AD44" s="118" t="s">
        <v>160</v>
      </c>
      <c r="AE44" s="118">
        <v>843</v>
      </c>
      <c r="AF44" s="118">
        <v>917</v>
      </c>
      <c r="AG44" s="118">
        <v>1120</v>
      </c>
      <c r="AH44" s="118">
        <v>1246</v>
      </c>
      <c r="AI44" s="118">
        <v>1344</v>
      </c>
    </row>
    <row r="45" spans="2:52" x14ac:dyDescent="0.2">
      <c r="B45" s="129" t="s">
        <v>841</v>
      </c>
      <c r="C45" s="118" t="s">
        <v>160</v>
      </c>
      <c r="D45" s="118" t="s">
        <v>160</v>
      </c>
      <c r="E45" s="118" t="s">
        <v>160</v>
      </c>
      <c r="F45" s="118" t="s">
        <v>160</v>
      </c>
      <c r="G45" s="118" t="s">
        <v>160</v>
      </c>
      <c r="H45" s="118" t="s">
        <v>160</v>
      </c>
      <c r="I45" s="118" t="s">
        <v>160</v>
      </c>
      <c r="J45" s="118" t="s">
        <v>160</v>
      </c>
      <c r="K45" s="118" t="s">
        <v>160</v>
      </c>
      <c r="L45" s="118" t="s">
        <v>160</v>
      </c>
      <c r="M45" s="118" t="s">
        <v>160</v>
      </c>
      <c r="N45" s="118" t="s">
        <v>160</v>
      </c>
      <c r="O45" s="118" t="s">
        <v>160</v>
      </c>
      <c r="P45" s="118" t="s">
        <v>160</v>
      </c>
      <c r="Q45" s="118" t="s">
        <v>160</v>
      </c>
      <c r="R45" s="118" t="s">
        <v>160</v>
      </c>
      <c r="S45" s="118" t="s">
        <v>160</v>
      </c>
      <c r="T45" s="118" t="s">
        <v>160</v>
      </c>
      <c r="U45" s="118" t="s">
        <v>160</v>
      </c>
      <c r="V45" s="118" t="s">
        <v>160</v>
      </c>
      <c r="W45" s="118" t="s">
        <v>160</v>
      </c>
      <c r="X45" s="118" t="s">
        <v>160</v>
      </c>
      <c r="Y45" s="118" t="s">
        <v>160</v>
      </c>
      <c r="Z45" s="118" t="s">
        <v>160</v>
      </c>
      <c r="AA45" s="118" t="s">
        <v>160</v>
      </c>
      <c r="AB45" s="118" t="s">
        <v>160</v>
      </c>
      <c r="AC45" s="118" t="s">
        <v>160</v>
      </c>
      <c r="AD45" s="118" t="s">
        <v>160</v>
      </c>
      <c r="AE45" s="118">
        <v>217</v>
      </c>
      <c r="AF45" s="118">
        <v>210</v>
      </c>
      <c r="AG45" s="118">
        <v>192</v>
      </c>
      <c r="AH45" s="118">
        <v>174</v>
      </c>
      <c r="AI45" s="118">
        <v>170</v>
      </c>
      <c r="AQ45" s="328"/>
      <c r="AR45" s="328"/>
      <c r="AS45" s="328"/>
      <c r="AT45" s="328"/>
      <c r="AU45" s="328"/>
      <c r="AV45" s="328"/>
      <c r="AW45" s="328"/>
      <c r="AX45" s="328"/>
      <c r="AY45" s="328"/>
      <c r="AZ45" s="328"/>
    </row>
    <row r="46" spans="2:52" x14ac:dyDescent="0.2">
      <c r="B46" s="129" t="s">
        <v>238</v>
      </c>
      <c r="C46" s="118" t="s">
        <v>160</v>
      </c>
      <c r="D46" s="118" t="s">
        <v>160</v>
      </c>
      <c r="E46" s="118" t="s">
        <v>160</v>
      </c>
      <c r="F46" s="118" t="s">
        <v>160</v>
      </c>
      <c r="G46" s="118" t="s">
        <v>160</v>
      </c>
      <c r="H46" s="118" t="s">
        <v>160</v>
      </c>
      <c r="I46" s="118" t="s">
        <v>160</v>
      </c>
      <c r="J46" s="118" t="s">
        <v>160</v>
      </c>
      <c r="K46" s="118" t="s">
        <v>160</v>
      </c>
      <c r="L46" s="118" t="s">
        <v>160</v>
      </c>
      <c r="M46" s="118" t="s">
        <v>160</v>
      </c>
      <c r="N46" s="118" t="s">
        <v>160</v>
      </c>
      <c r="O46" s="118" t="s">
        <v>160</v>
      </c>
      <c r="P46" s="118" t="s">
        <v>160</v>
      </c>
      <c r="Q46" s="118" t="s">
        <v>160</v>
      </c>
      <c r="R46" s="118" t="s">
        <v>160</v>
      </c>
      <c r="S46" s="118" t="s">
        <v>160</v>
      </c>
      <c r="T46" s="118" t="s">
        <v>160</v>
      </c>
      <c r="U46" s="118" t="s">
        <v>160</v>
      </c>
      <c r="V46" s="118" t="s">
        <v>160</v>
      </c>
      <c r="W46" s="118" t="s">
        <v>160</v>
      </c>
      <c r="X46" s="118" t="s">
        <v>160</v>
      </c>
      <c r="Y46" s="118" t="s">
        <v>160</v>
      </c>
      <c r="Z46" s="118" t="s">
        <v>160</v>
      </c>
      <c r="AA46" s="118" t="s">
        <v>160</v>
      </c>
      <c r="AB46" s="118" t="s">
        <v>160</v>
      </c>
      <c r="AC46" s="118" t="s">
        <v>160</v>
      </c>
      <c r="AD46" s="118" t="s">
        <v>160</v>
      </c>
      <c r="AE46" s="118">
        <v>30</v>
      </c>
      <c r="AF46" s="118">
        <v>32</v>
      </c>
      <c r="AG46" s="118">
        <v>61</v>
      </c>
      <c r="AH46" s="118">
        <v>111</v>
      </c>
      <c r="AI46" s="118">
        <v>148</v>
      </c>
      <c r="AQ46" s="328"/>
      <c r="AR46" s="328"/>
      <c r="AS46" s="328"/>
      <c r="AT46" s="328"/>
      <c r="AU46" s="328"/>
      <c r="AV46" s="328"/>
      <c r="AW46" s="328"/>
      <c r="AX46" s="328"/>
      <c r="AY46" s="328"/>
      <c r="AZ46" s="328"/>
    </row>
    <row r="47" spans="2:52" x14ac:dyDescent="0.2">
      <c r="B47" s="129" t="s">
        <v>811</v>
      </c>
      <c r="C47" s="118">
        <v>0</v>
      </c>
      <c r="D47" s="118">
        <v>0</v>
      </c>
      <c r="E47" s="118">
        <v>0</v>
      </c>
      <c r="F47" s="118">
        <v>0</v>
      </c>
      <c r="G47" s="118">
        <v>0</v>
      </c>
      <c r="H47" s="118">
        <v>0</v>
      </c>
      <c r="I47" s="118">
        <v>0</v>
      </c>
      <c r="J47" s="118">
        <v>0</v>
      </c>
      <c r="K47" s="118">
        <v>0</v>
      </c>
      <c r="L47" s="118">
        <v>0</v>
      </c>
      <c r="M47" s="118">
        <v>0</v>
      </c>
      <c r="N47" s="118">
        <v>0</v>
      </c>
      <c r="O47" s="118">
        <v>0</v>
      </c>
      <c r="P47" s="118">
        <v>0</v>
      </c>
      <c r="Q47" s="118">
        <v>0</v>
      </c>
      <c r="R47" s="118">
        <v>0</v>
      </c>
      <c r="S47" s="118">
        <v>0</v>
      </c>
      <c r="T47" s="118">
        <v>0</v>
      </c>
      <c r="U47" s="118">
        <v>0</v>
      </c>
      <c r="V47" s="118" t="s">
        <v>160</v>
      </c>
      <c r="W47" s="118" t="s">
        <v>160</v>
      </c>
      <c r="X47" s="118" t="s">
        <v>160</v>
      </c>
      <c r="Y47" s="118" t="s">
        <v>160</v>
      </c>
      <c r="Z47" s="118" t="s">
        <v>160</v>
      </c>
      <c r="AA47" s="118" t="s">
        <v>160</v>
      </c>
      <c r="AB47" s="118" t="s">
        <v>160</v>
      </c>
      <c r="AC47" s="118" t="s">
        <v>160</v>
      </c>
      <c r="AD47" s="118" t="s">
        <v>160</v>
      </c>
      <c r="AE47" s="118">
        <v>0</v>
      </c>
      <c r="AF47" s="118">
        <v>0</v>
      </c>
      <c r="AG47" s="118">
        <v>0</v>
      </c>
      <c r="AH47" s="118">
        <v>0</v>
      </c>
      <c r="AI47" s="118"/>
      <c r="AQ47" s="328"/>
      <c r="AR47" s="328"/>
      <c r="AS47" s="328"/>
      <c r="AT47" s="328"/>
      <c r="AU47" s="328"/>
      <c r="AV47" s="328"/>
      <c r="AW47" s="328"/>
      <c r="AX47" s="328"/>
      <c r="AY47" s="328"/>
      <c r="AZ47" s="328"/>
    </row>
    <row r="48" spans="2:52" x14ac:dyDescent="0.2">
      <c r="B48" s="129" t="s">
        <v>30</v>
      </c>
      <c r="C48" s="118" t="s">
        <v>160</v>
      </c>
      <c r="D48" s="118" t="s">
        <v>160</v>
      </c>
      <c r="E48" s="118" t="s">
        <v>160</v>
      </c>
      <c r="F48" s="118" t="s">
        <v>160</v>
      </c>
      <c r="G48" s="118" t="s">
        <v>160</v>
      </c>
      <c r="H48" s="118" t="s">
        <v>160</v>
      </c>
      <c r="I48" s="118" t="s">
        <v>160</v>
      </c>
      <c r="J48" s="118" t="s">
        <v>160</v>
      </c>
      <c r="K48" s="118" t="s">
        <v>160</v>
      </c>
      <c r="L48" s="118" t="s">
        <v>160</v>
      </c>
      <c r="M48" s="118" t="s">
        <v>160</v>
      </c>
      <c r="N48" s="118" t="s">
        <v>160</v>
      </c>
      <c r="O48" s="118" t="s">
        <v>160</v>
      </c>
      <c r="P48" s="118" t="s">
        <v>160</v>
      </c>
      <c r="Q48" s="118" t="s">
        <v>160</v>
      </c>
      <c r="R48" s="118" t="s">
        <v>160</v>
      </c>
      <c r="S48" s="118" t="s">
        <v>160</v>
      </c>
      <c r="T48" s="118" t="s">
        <v>160</v>
      </c>
      <c r="U48" s="118" t="s">
        <v>160</v>
      </c>
      <c r="V48" s="118" t="s">
        <v>160</v>
      </c>
      <c r="W48" s="118" t="s">
        <v>160</v>
      </c>
      <c r="X48" s="118" t="s">
        <v>160</v>
      </c>
      <c r="Y48" s="118" t="s">
        <v>160</v>
      </c>
      <c r="Z48" s="118" t="s">
        <v>160</v>
      </c>
      <c r="AA48" s="118" t="s">
        <v>160</v>
      </c>
      <c r="AB48" s="118" t="s">
        <v>160</v>
      </c>
      <c r="AC48" s="118" t="s">
        <v>160</v>
      </c>
      <c r="AD48" s="118" t="s">
        <v>160</v>
      </c>
      <c r="AE48" s="118">
        <v>0</v>
      </c>
      <c r="AF48" s="118">
        <v>0</v>
      </c>
      <c r="AG48" s="118">
        <v>0</v>
      </c>
      <c r="AH48" s="118">
        <v>0</v>
      </c>
      <c r="AI48" s="118"/>
      <c r="AQ48" s="328"/>
      <c r="AR48" s="328"/>
      <c r="AS48" s="328"/>
      <c r="AT48" s="328"/>
      <c r="AU48" s="328"/>
      <c r="AV48" s="328"/>
      <c r="AW48" s="328"/>
      <c r="AX48" s="328"/>
      <c r="AY48" s="328"/>
      <c r="AZ48" s="328"/>
    </row>
    <row r="49" spans="2:52" x14ac:dyDescent="0.2">
      <c r="B49" s="126" t="s">
        <v>234</v>
      </c>
      <c r="C49" s="207" t="s">
        <v>160</v>
      </c>
      <c r="D49" s="207" t="s">
        <v>160</v>
      </c>
      <c r="E49" s="207" t="s">
        <v>160</v>
      </c>
      <c r="F49" s="207" t="s">
        <v>160</v>
      </c>
      <c r="G49" s="207" t="s">
        <v>160</v>
      </c>
      <c r="H49" s="207" t="s">
        <v>160</v>
      </c>
      <c r="I49" s="207" t="s">
        <v>160</v>
      </c>
      <c r="J49" s="207" t="s">
        <v>160</v>
      </c>
      <c r="K49" s="207" t="s">
        <v>160</v>
      </c>
      <c r="L49" s="207" t="s">
        <v>160</v>
      </c>
      <c r="M49" s="207" t="s">
        <v>160</v>
      </c>
      <c r="N49" s="207" t="s">
        <v>160</v>
      </c>
      <c r="O49" s="207" t="s">
        <v>160</v>
      </c>
      <c r="P49" s="207" t="s">
        <v>160</v>
      </c>
      <c r="Q49" s="207" t="s">
        <v>160</v>
      </c>
      <c r="R49" s="207" t="s">
        <v>160</v>
      </c>
      <c r="S49" s="207" t="s">
        <v>160</v>
      </c>
      <c r="T49" s="120">
        <f>SUM(T44:T48)</f>
        <v>0</v>
      </c>
      <c r="U49" s="120">
        <f>SUM(U44:U48)</f>
        <v>0</v>
      </c>
      <c r="V49" s="120">
        <f>SUM(V44:V48)</f>
        <v>0</v>
      </c>
      <c r="W49" s="120">
        <f t="shared" ref="W49:AD49" si="18">SUM(W44:W48)</f>
        <v>0</v>
      </c>
      <c r="X49" s="120">
        <f t="shared" si="18"/>
        <v>0</v>
      </c>
      <c r="Y49" s="120">
        <f t="shared" si="18"/>
        <v>0</v>
      </c>
      <c r="Z49" s="120">
        <f t="shared" si="18"/>
        <v>0</v>
      </c>
      <c r="AA49" s="120">
        <f t="shared" si="18"/>
        <v>0</v>
      </c>
      <c r="AB49" s="120">
        <f t="shared" si="18"/>
        <v>0</v>
      </c>
      <c r="AC49" s="120">
        <f t="shared" si="18"/>
        <v>0</v>
      </c>
      <c r="AD49" s="120">
        <f t="shared" si="18"/>
        <v>0</v>
      </c>
      <c r="AE49" s="120">
        <f>SUM(AE44:AE48)</f>
        <v>1090</v>
      </c>
      <c r="AF49" s="120">
        <f>SUM(AF44:AF48)</f>
        <v>1159</v>
      </c>
      <c r="AG49" s="120">
        <f>SUM(AG44:AG48)</f>
        <v>1373</v>
      </c>
      <c r="AH49" s="120">
        <v>1531</v>
      </c>
      <c r="AI49" s="120">
        <v>1531</v>
      </c>
      <c r="AQ49" s="328"/>
      <c r="AR49" s="328"/>
      <c r="AS49" s="328"/>
      <c r="AT49" s="328"/>
      <c r="AU49" s="328"/>
      <c r="AV49" s="328"/>
      <c r="AW49" s="328"/>
      <c r="AX49" s="328"/>
      <c r="AY49" s="328"/>
      <c r="AZ49" s="328"/>
    </row>
    <row r="50" spans="2:52" x14ac:dyDescent="0.2">
      <c r="B50" s="129" t="s">
        <v>838</v>
      </c>
      <c r="C50" s="118" t="s">
        <v>160</v>
      </c>
      <c r="D50" s="118" t="s">
        <v>160</v>
      </c>
      <c r="E50" s="118" t="s">
        <v>160</v>
      </c>
      <c r="F50" s="118" t="s">
        <v>160</v>
      </c>
      <c r="G50" s="118" t="s">
        <v>160</v>
      </c>
      <c r="H50" s="118" t="s">
        <v>160</v>
      </c>
      <c r="I50" s="118" t="s">
        <v>160</v>
      </c>
      <c r="J50" s="118" t="s">
        <v>160</v>
      </c>
      <c r="K50" s="118" t="s">
        <v>160</v>
      </c>
      <c r="L50" s="118" t="s">
        <v>160</v>
      </c>
      <c r="M50" s="118" t="s">
        <v>160</v>
      </c>
      <c r="N50" s="118" t="s">
        <v>160</v>
      </c>
      <c r="O50" s="118" t="s">
        <v>160</v>
      </c>
      <c r="P50" s="118" t="s">
        <v>160</v>
      </c>
      <c r="Q50" s="118" t="s">
        <v>160</v>
      </c>
      <c r="R50" s="118" t="s">
        <v>160</v>
      </c>
      <c r="S50" s="118" t="s">
        <v>160</v>
      </c>
      <c r="T50" s="118" t="s">
        <v>160</v>
      </c>
      <c r="U50" s="118" t="s">
        <v>160</v>
      </c>
      <c r="V50" s="118" t="s">
        <v>160</v>
      </c>
      <c r="W50" s="118" t="s">
        <v>160</v>
      </c>
      <c r="X50" s="118" t="s">
        <v>160</v>
      </c>
      <c r="Y50" s="118" t="s">
        <v>160</v>
      </c>
      <c r="Z50" s="118" t="s">
        <v>160</v>
      </c>
      <c r="AA50" s="118" t="s">
        <v>160</v>
      </c>
      <c r="AB50" s="118" t="s">
        <v>160</v>
      </c>
      <c r="AC50" s="118" t="s">
        <v>160</v>
      </c>
      <c r="AD50" s="118" t="s">
        <v>160</v>
      </c>
      <c r="AE50" s="118">
        <v>186</v>
      </c>
      <c r="AF50" s="118">
        <v>253</v>
      </c>
      <c r="AG50" s="118">
        <v>330</v>
      </c>
      <c r="AH50" s="118">
        <v>358</v>
      </c>
      <c r="AI50" s="118">
        <v>459</v>
      </c>
      <c r="AQ50" s="328"/>
      <c r="AR50" s="328"/>
      <c r="AS50" s="328"/>
      <c r="AT50" s="328"/>
      <c r="AU50" s="328"/>
      <c r="AV50" s="328"/>
      <c r="AW50" s="328"/>
      <c r="AX50" s="328"/>
      <c r="AY50" s="328"/>
      <c r="AZ50" s="328"/>
    </row>
    <row r="51" spans="2:52" x14ac:dyDescent="0.2">
      <c r="B51" s="129" t="s">
        <v>839</v>
      </c>
      <c r="C51" s="118" t="s">
        <v>160</v>
      </c>
      <c r="D51" s="118" t="s">
        <v>160</v>
      </c>
      <c r="E51" s="118" t="s">
        <v>160</v>
      </c>
      <c r="F51" s="118" t="s">
        <v>160</v>
      </c>
      <c r="G51" s="118" t="s">
        <v>160</v>
      </c>
      <c r="H51" s="118" t="s">
        <v>160</v>
      </c>
      <c r="I51" s="118" t="s">
        <v>160</v>
      </c>
      <c r="J51" s="118" t="s">
        <v>160</v>
      </c>
      <c r="K51" s="118" t="s">
        <v>160</v>
      </c>
      <c r="L51" s="118" t="s">
        <v>160</v>
      </c>
      <c r="M51" s="118" t="s">
        <v>160</v>
      </c>
      <c r="N51" s="118" t="s">
        <v>160</v>
      </c>
      <c r="O51" s="118" t="s">
        <v>160</v>
      </c>
      <c r="P51" s="118" t="s">
        <v>160</v>
      </c>
      <c r="Q51" s="118" t="s">
        <v>160</v>
      </c>
      <c r="R51" s="118" t="s">
        <v>160</v>
      </c>
      <c r="S51" s="118" t="s">
        <v>160</v>
      </c>
      <c r="T51" s="118" t="s">
        <v>160</v>
      </c>
      <c r="U51" s="118" t="s">
        <v>160</v>
      </c>
      <c r="V51" s="118" t="s">
        <v>160</v>
      </c>
      <c r="W51" s="118" t="s">
        <v>160</v>
      </c>
      <c r="X51" s="118" t="s">
        <v>160</v>
      </c>
      <c r="Y51" s="118" t="s">
        <v>160</v>
      </c>
      <c r="Z51" s="118" t="s">
        <v>160</v>
      </c>
      <c r="AA51" s="118" t="s">
        <v>160</v>
      </c>
      <c r="AB51" s="118" t="s">
        <v>160</v>
      </c>
      <c r="AC51" s="118" t="s">
        <v>160</v>
      </c>
      <c r="AD51" s="118" t="s">
        <v>160</v>
      </c>
      <c r="AE51" s="118">
        <v>756</v>
      </c>
      <c r="AF51" s="118">
        <v>765</v>
      </c>
      <c r="AG51" s="118">
        <v>777</v>
      </c>
      <c r="AH51" s="118">
        <v>278</v>
      </c>
      <c r="AI51" s="118">
        <v>282</v>
      </c>
      <c r="AQ51" s="328"/>
      <c r="AR51" s="328"/>
      <c r="AS51" s="328"/>
      <c r="AT51" s="328"/>
      <c r="AU51" s="328"/>
      <c r="AV51" s="328"/>
      <c r="AW51" s="328"/>
      <c r="AX51" s="328"/>
      <c r="AY51" s="328"/>
      <c r="AZ51" s="328"/>
    </row>
    <row r="52" spans="2:52" ht="15" customHeight="1" x14ac:dyDescent="0.2">
      <c r="B52" s="129" t="s">
        <v>240</v>
      </c>
      <c r="C52" s="118" t="s">
        <v>160</v>
      </c>
      <c r="D52" s="118" t="s">
        <v>160</v>
      </c>
      <c r="E52" s="118" t="s">
        <v>160</v>
      </c>
      <c r="F52" s="118" t="s">
        <v>160</v>
      </c>
      <c r="G52" s="118" t="s">
        <v>160</v>
      </c>
      <c r="H52" s="118" t="s">
        <v>160</v>
      </c>
      <c r="I52" s="118" t="s">
        <v>160</v>
      </c>
      <c r="J52" s="118" t="s">
        <v>160</v>
      </c>
      <c r="K52" s="118" t="s">
        <v>160</v>
      </c>
      <c r="L52" s="118" t="s">
        <v>160</v>
      </c>
      <c r="M52" s="118" t="s">
        <v>160</v>
      </c>
      <c r="N52" s="118" t="s">
        <v>160</v>
      </c>
      <c r="O52" s="118" t="s">
        <v>160</v>
      </c>
      <c r="P52" s="118" t="s">
        <v>160</v>
      </c>
      <c r="Q52" s="118" t="s">
        <v>160</v>
      </c>
      <c r="R52" s="118" t="s">
        <v>160</v>
      </c>
      <c r="S52" s="118" t="s">
        <v>160</v>
      </c>
      <c r="T52" s="118" t="s">
        <v>160</v>
      </c>
      <c r="U52" s="118" t="s">
        <v>160</v>
      </c>
      <c r="V52" s="118" t="s">
        <v>160</v>
      </c>
      <c r="W52" s="118" t="s">
        <v>160</v>
      </c>
      <c r="X52" s="118" t="s">
        <v>160</v>
      </c>
      <c r="Y52" s="118" t="s">
        <v>160</v>
      </c>
      <c r="Z52" s="118" t="s">
        <v>160</v>
      </c>
      <c r="AA52" s="118" t="s">
        <v>160</v>
      </c>
      <c r="AB52" s="118" t="s">
        <v>160</v>
      </c>
      <c r="AC52" s="118" t="s">
        <v>160</v>
      </c>
      <c r="AD52" s="118" t="s">
        <v>160</v>
      </c>
      <c r="AE52" s="118">
        <v>148</v>
      </c>
      <c r="AF52" s="118">
        <v>141</v>
      </c>
      <c r="AG52" s="118">
        <v>266</v>
      </c>
      <c r="AH52" s="118">
        <v>896</v>
      </c>
      <c r="AI52" s="118">
        <v>922</v>
      </c>
      <c r="AQ52" s="328"/>
      <c r="AR52" s="328"/>
      <c r="AS52" s="328"/>
      <c r="AT52" s="328"/>
      <c r="AU52" s="328"/>
      <c r="AV52" s="328"/>
      <c r="AW52" s="328"/>
      <c r="AX52" s="328"/>
      <c r="AY52" s="328"/>
      <c r="AZ52" s="328"/>
    </row>
    <row r="53" spans="2:52" x14ac:dyDescent="0.2">
      <c r="B53" s="126" t="s">
        <v>239</v>
      </c>
      <c r="C53" s="207" t="s">
        <v>160</v>
      </c>
      <c r="D53" s="207" t="s">
        <v>160</v>
      </c>
      <c r="E53" s="207" t="s">
        <v>160</v>
      </c>
      <c r="F53" s="207" t="s">
        <v>160</v>
      </c>
      <c r="G53" s="207" t="s">
        <v>160</v>
      </c>
      <c r="H53" s="207" t="s">
        <v>160</v>
      </c>
      <c r="I53" s="207" t="s">
        <v>160</v>
      </c>
      <c r="J53" s="207" t="s">
        <v>160</v>
      </c>
      <c r="K53" s="207" t="s">
        <v>160</v>
      </c>
      <c r="L53" s="207" t="s">
        <v>160</v>
      </c>
      <c r="M53" s="207" t="s">
        <v>160</v>
      </c>
      <c r="N53" s="207" t="s">
        <v>160</v>
      </c>
      <c r="O53" s="207" t="s">
        <v>160</v>
      </c>
      <c r="P53" s="207" t="s">
        <v>160</v>
      </c>
      <c r="Q53" s="207" t="s">
        <v>160</v>
      </c>
      <c r="R53" s="207" t="s">
        <v>160</v>
      </c>
      <c r="S53" s="207" t="s">
        <v>160</v>
      </c>
      <c r="T53" s="120">
        <f>SUM(T50:T52)</f>
        <v>0</v>
      </c>
      <c r="U53" s="120">
        <f>SUM(U50:U52)</f>
        <v>0</v>
      </c>
      <c r="V53" s="120">
        <f>SUM(V50:V52)</f>
        <v>0</v>
      </c>
      <c r="W53" s="120">
        <f t="shared" ref="W53:AD53" si="19">SUM(W50:W52)</f>
        <v>0</v>
      </c>
      <c r="X53" s="120">
        <f t="shared" si="19"/>
        <v>0</v>
      </c>
      <c r="Y53" s="120">
        <f t="shared" si="19"/>
        <v>0</v>
      </c>
      <c r="Z53" s="120">
        <f t="shared" si="19"/>
        <v>0</v>
      </c>
      <c r="AA53" s="120">
        <f t="shared" si="19"/>
        <v>0</v>
      </c>
      <c r="AB53" s="120">
        <f t="shared" si="19"/>
        <v>0</v>
      </c>
      <c r="AC53" s="120">
        <f t="shared" si="19"/>
        <v>0</v>
      </c>
      <c r="AD53" s="120">
        <f t="shared" si="19"/>
        <v>0</v>
      </c>
      <c r="AE53" s="120">
        <f>SUM(AE50:AE52)</f>
        <v>1090</v>
      </c>
      <c r="AF53" s="120">
        <f>SUM(AF50:AF52)</f>
        <v>1159</v>
      </c>
      <c r="AG53" s="120">
        <f>SUM(AG50:AG52)</f>
        <v>1373</v>
      </c>
      <c r="AH53" s="120">
        <v>1532</v>
      </c>
      <c r="AI53" s="120">
        <v>1532</v>
      </c>
      <c r="AQ53" s="328"/>
      <c r="AR53" s="328"/>
      <c r="AS53" s="328"/>
      <c r="AT53" s="328"/>
      <c r="AU53" s="328"/>
      <c r="AV53" s="328"/>
      <c r="AW53" s="328"/>
      <c r="AX53" s="328"/>
      <c r="AY53" s="328"/>
      <c r="AZ53" s="328"/>
    </row>
    <row r="54" spans="2:52" x14ac:dyDescent="0.2">
      <c r="AQ54" s="328"/>
      <c r="AR54" s="328"/>
      <c r="AS54" s="328"/>
      <c r="AT54" s="328"/>
      <c r="AU54" s="328"/>
      <c r="AV54" s="328"/>
      <c r="AW54" s="328"/>
      <c r="AX54" s="328"/>
      <c r="AY54" s="328"/>
      <c r="AZ54" s="328"/>
    </row>
    <row r="55" spans="2:52" x14ac:dyDescent="0.2">
      <c r="B55" s="145" t="s">
        <v>1059</v>
      </c>
      <c r="C55" s="115">
        <f t="shared" ref="C55:AD55" si="20">C43</f>
        <v>2013</v>
      </c>
      <c r="D55" s="115" t="str">
        <f t="shared" si="20"/>
        <v>1T14</v>
      </c>
      <c r="E55" s="115" t="str">
        <f t="shared" si="20"/>
        <v>2T14</v>
      </c>
      <c r="F55" s="115" t="str">
        <f t="shared" si="20"/>
        <v>3T14</v>
      </c>
      <c r="G55" s="115" t="str">
        <f t="shared" si="20"/>
        <v>4T14</v>
      </c>
      <c r="H55" s="115" t="str">
        <f t="shared" si="20"/>
        <v>1T15</v>
      </c>
      <c r="I55" s="115" t="str">
        <f t="shared" si="20"/>
        <v>2T15</v>
      </c>
      <c r="J55" s="115" t="str">
        <f t="shared" si="20"/>
        <v>3T15</v>
      </c>
      <c r="K55" s="115" t="str">
        <f t="shared" si="20"/>
        <v>4T15</v>
      </c>
      <c r="L55" s="115" t="str">
        <f t="shared" si="20"/>
        <v>1T16</v>
      </c>
      <c r="M55" s="115" t="str">
        <f t="shared" si="20"/>
        <v>2T16</v>
      </c>
      <c r="N55" s="115" t="str">
        <f t="shared" si="20"/>
        <v>3T16</v>
      </c>
      <c r="O55" s="115" t="str">
        <f t="shared" si="20"/>
        <v>4T16</v>
      </c>
      <c r="P55" s="115" t="str">
        <f t="shared" si="20"/>
        <v>1T17</v>
      </c>
      <c r="Q55" s="115" t="str">
        <f t="shared" si="20"/>
        <v>2T17</v>
      </c>
      <c r="R55" s="115" t="str">
        <f t="shared" si="20"/>
        <v>3T17</v>
      </c>
      <c r="S55" s="115" t="str">
        <f t="shared" si="20"/>
        <v>4T17</v>
      </c>
      <c r="T55" s="115" t="str">
        <f t="shared" si="20"/>
        <v>1T18</v>
      </c>
      <c r="U55" s="115" t="str">
        <f t="shared" si="20"/>
        <v>2T18</v>
      </c>
      <c r="V55" s="115" t="str">
        <f t="shared" si="20"/>
        <v>3T18</v>
      </c>
      <c r="W55" s="115" t="str">
        <f t="shared" si="20"/>
        <v>4T18</v>
      </c>
      <c r="X55" s="115" t="str">
        <f t="shared" si="20"/>
        <v>1T19</v>
      </c>
      <c r="Y55" s="115" t="str">
        <f t="shared" si="20"/>
        <v>2T19</v>
      </c>
      <c r="Z55" s="115" t="str">
        <f t="shared" si="20"/>
        <v>3T19</v>
      </c>
      <c r="AA55" s="115" t="str">
        <f t="shared" si="20"/>
        <v>4T19</v>
      </c>
      <c r="AB55" s="115" t="str">
        <f t="shared" si="20"/>
        <v>1T20</v>
      </c>
      <c r="AC55" s="115" t="str">
        <f t="shared" si="20"/>
        <v>2T20</v>
      </c>
      <c r="AD55" s="115" t="str">
        <f t="shared" si="20"/>
        <v>3T20</v>
      </c>
      <c r="AE55" s="115" t="str">
        <f>AE43</f>
        <v>4T20</v>
      </c>
      <c r="AF55" s="115" t="str">
        <f>AF43</f>
        <v>1T21</v>
      </c>
      <c r="AG55" s="115" t="str">
        <f>AG43</f>
        <v>2T21</v>
      </c>
      <c r="AH55" s="115" t="s">
        <v>1024</v>
      </c>
      <c r="AI55" s="115" t="s">
        <v>1050</v>
      </c>
      <c r="AQ55" s="328"/>
      <c r="AR55" s="328"/>
      <c r="AS55" s="328"/>
      <c r="AT55" s="328"/>
      <c r="AU55" s="328"/>
      <c r="AV55" s="328"/>
      <c r="AW55" s="328"/>
      <c r="AX55" s="328"/>
      <c r="AY55" s="328"/>
      <c r="AZ55" s="328"/>
    </row>
    <row r="56" spans="2:52" x14ac:dyDescent="0.2">
      <c r="B56" s="126" t="s">
        <v>241</v>
      </c>
      <c r="C56" s="120">
        <v>0</v>
      </c>
      <c r="D56" s="120">
        <v>0</v>
      </c>
      <c r="E56" s="120">
        <v>0</v>
      </c>
      <c r="F56" s="120">
        <v>0</v>
      </c>
      <c r="G56" s="120">
        <v>0</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0">
        <v>0</v>
      </c>
      <c r="Y56" s="120">
        <v>0</v>
      </c>
      <c r="Z56" s="120">
        <v>0</v>
      </c>
      <c r="AA56" s="120">
        <v>0</v>
      </c>
      <c r="AB56" s="120">
        <v>0</v>
      </c>
      <c r="AC56" s="120">
        <v>0</v>
      </c>
      <c r="AD56" s="120">
        <v>0</v>
      </c>
      <c r="AE56" s="120">
        <v>0</v>
      </c>
      <c r="AF56" s="120">
        <v>619</v>
      </c>
      <c r="AG56" s="120">
        <v>798</v>
      </c>
      <c r="AH56" s="120">
        <v>883</v>
      </c>
      <c r="AI56" s="120">
        <v>659</v>
      </c>
      <c r="AQ56" s="328"/>
      <c r="AR56" s="328"/>
      <c r="AS56" s="328"/>
      <c r="AT56" s="328"/>
      <c r="AU56" s="328"/>
      <c r="AV56" s="328"/>
      <c r="AW56" s="328"/>
      <c r="AX56" s="328"/>
      <c r="AY56" s="328"/>
      <c r="AZ56" s="328"/>
    </row>
    <row r="57" spans="2:52" x14ac:dyDescent="0.2">
      <c r="B57" s="129" t="s">
        <v>242</v>
      </c>
      <c r="C57" s="118">
        <v>0</v>
      </c>
      <c r="D57" s="118">
        <v>0</v>
      </c>
      <c r="E57" s="118">
        <v>0</v>
      </c>
      <c r="F57" s="118">
        <v>0</v>
      </c>
      <c r="G57" s="118">
        <v>0</v>
      </c>
      <c r="H57" s="118">
        <v>0</v>
      </c>
      <c r="I57" s="118">
        <v>0</v>
      </c>
      <c r="J57" s="118">
        <v>0</v>
      </c>
      <c r="K57" s="118">
        <v>0</v>
      </c>
      <c r="L57" s="118" t="e">
        <v>#VALUE!</v>
      </c>
      <c r="M57" s="118">
        <v>0</v>
      </c>
      <c r="N57" s="118">
        <v>0</v>
      </c>
      <c r="O57" s="118">
        <v>0</v>
      </c>
      <c r="P57" s="118">
        <v>0</v>
      </c>
      <c r="Q57" s="118">
        <v>0</v>
      </c>
      <c r="R57" s="118">
        <v>0</v>
      </c>
      <c r="S57" s="118">
        <v>0</v>
      </c>
      <c r="T57" s="118">
        <v>0</v>
      </c>
      <c r="U57" s="118">
        <v>0</v>
      </c>
      <c r="V57" s="118">
        <v>0</v>
      </c>
      <c r="W57" s="118">
        <v>0</v>
      </c>
      <c r="X57" s="118">
        <v>0</v>
      </c>
      <c r="Y57" s="118">
        <v>0</v>
      </c>
      <c r="Z57" s="118">
        <v>0</v>
      </c>
      <c r="AA57" s="118">
        <v>0</v>
      </c>
      <c r="AB57" s="118">
        <v>0</v>
      </c>
      <c r="AC57" s="118">
        <v>0</v>
      </c>
      <c r="AD57" s="118">
        <v>0</v>
      </c>
      <c r="AE57" s="118">
        <v>0</v>
      </c>
      <c r="AF57" s="118">
        <v>-386</v>
      </c>
      <c r="AG57" s="118">
        <v>-400</v>
      </c>
      <c r="AH57" s="118">
        <v>-483</v>
      </c>
      <c r="AI57" s="118">
        <v>-378</v>
      </c>
      <c r="AQ57" s="328"/>
      <c r="AR57" s="328"/>
      <c r="AS57" s="328"/>
      <c r="AT57" s="328"/>
      <c r="AU57" s="328"/>
      <c r="AV57" s="328"/>
      <c r="AW57" s="328"/>
      <c r="AX57" s="328"/>
      <c r="AY57" s="328"/>
      <c r="AZ57" s="328"/>
    </row>
    <row r="58" spans="2:52" x14ac:dyDescent="0.2">
      <c r="B58" s="129" t="s">
        <v>243</v>
      </c>
      <c r="C58" s="118">
        <v>0</v>
      </c>
      <c r="D58" s="118">
        <v>0</v>
      </c>
      <c r="E58" s="118">
        <v>0</v>
      </c>
      <c r="F58" s="118">
        <v>0</v>
      </c>
      <c r="G58" s="118">
        <v>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8">
        <v>0</v>
      </c>
      <c r="Y58" s="118">
        <v>0</v>
      </c>
      <c r="Z58" s="118">
        <v>0</v>
      </c>
      <c r="AA58" s="118">
        <v>0</v>
      </c>
      <c r="AB58" s="118">
        <v>0</v>
      </c>
      <c r="AC58" s="118">
        <v>0</v>
      </c>
      <c r="AD58" s="118">
        <v>0</v>
      </c>
      <c r="AE58" s="118">
        <v>0</v>
      </c>
      <c r="AF58" s="118">
        <v>-211</v>
      </c>
      <c r="AG58" s="118">
        <v>-212</v>
      </c>
      <c r="AH58" s="118">
        <v>-205</v>
      </c>
      <c r="AI58" s="118">
        <v>-241</v>
      </c>
      <c r="AQ58" s="328"/>
      <c r="AR58" s="328"/>
      <c r="AS58" s="328"/>
      <c r="AT58" s="328"/>
      <c r="AU58" s="328"/>
      <c r="AV58" s="328"/>
      <c r="AW58" s="328"/>
      <c r="AX58" s="328"/>
      <c r="AY58" s="328"/>
      <c r="AZ58" s="328"/>
    </row>
    <row r="59" spans="2:52" x14ac:dyDescent="0.2">
      <c r="B59" s="129" t="s">
        <v>244</v>
      </c>
      <c r="C59" s="118">
        <v>0</v>
      </c>
      <c r="D59" s="118">
        <v>0</v>
      </c>
      <c r="E59" s="118">
        <v>0</v>
      </c>
      <c r="F59" s="118">
        <v>0</v>
      </c>
      <c r="G59" s="118">
        <v>0</v>
      </c>
      <c r="H59" s="118">
        <v>0</v>
      </c>
      <c r="I59" s="118">
        <v>0</v>
      </c>
      <c r="J59" s="118">
        <v>0</v>
      </c>
      <c r="K59" s="118">
        <v>0</v>
      </c>
      <c r="L59" s="118">
        <v>0</v>
      </c>
      <c r="M59" s="118">
        <v>0</v>
      </c>
      <c r="N59" s="118">
        <v>0</v>
      </c>
      <c r="O59" s="118">
        <v>0</v>
      </c>
      <c r="P59" s="118">
        <v>0</v>
      </c>
      <c r="Q59" s="118">
        <v>0</v>
      </c>
      <c r="R59" s="118">
        <v>0</v>
      </c>
      <c r="S59" s="118">
        <v>0</v>
      </c>
      <c r="T59" s="118">
        <v>0</v>
      </c>
      <c r="U59" s="118">
        <v>0</v>
      </c>
      <c r="V59" s="118">
        <v>0</v>
      </c>
      <c r="W59" s="118">
        <v>0</v>
      </c>
      <c r="X59" s="118">
        <v>0</v>
      </c>
      <c r="Y59" s="118">
        <v>0</v>
      </c>
      <c r="Z59" s="118">
        <v>0</v>
      </c>
      <c r="AA59" s="118">
        <v>0</v>
      </c>
      <c r="AB59" s="118">
        <v>0</v>
      </c>
      <c r="AC59" s="118">
        <v>0</v>
      </c>
      <c r="AD59" s="118">
        <v>0</v>
      </c>
      <c r="AE59" s="118">
        <v>0</v>
      </c>
      <c r="AF59" s="118">
        <v>-9</v>
      </c>
      <c r="AG59" s="118">
        <v>-12</v>
      </c>
      <c r="AH59" s="118">
        <v>-10</v>
      </c>
      <c r="AI59" s="118">
        <v>-2</v>
      </c>
      <c r="AQ59" s="328"/>
      <c r="AR59" s="328"/>
      <c r="AS59" s="328"/>
      <c r="AT59" s="328"/>
      <c r="AU59" s="328"/>
      <c r="AV59" s="328"/>
      <c r="AW59" s="328"/>
      <c r="AX59" s="328"/>
      <c r="AY59" s="328"/>
      <c r="AZ59" s="328"/>
    </row>
    <row r="60" spans="2:52" x14ac:dyDescent="0.2">
      <c r="B60" s="129" t="s">
        <v>245</v>
      </c>
      <c r="C60" s="118">
        <v>0</v>
      </c>
      <c r="D60" s="118">
        <v>0</v>
      </c>
      <c r="E60" s="118">
        <v>0</v>
      </c>
      <c r="F60" s="118">
        <v>0</v>
      </c>
      <c r="G60" s="118">
        <v>0</v>
      </c>
      <c r="H60" s="118">
        <v>0</v>
      </c>
      <c r="I60" s="118">
        <v>0</v>
      </c>
      <c r="J60" s="118">
        <v>0</v>
      </c>
      <c r="K60" s="118">
        <v>0</v>
      </c>
      <c r="L60" s="118">
        <v>0</v>
      </c>
      <c r="M60" s="118">
        <v>0</v>
      </c>
      <c r="N60" s="118">
        <v>0</v>
      </c>
      <c r="O60" s="118">
        <v>0</v>
      </c>
      <c r="P60" s="118">
        <v>0</v>
      </c>
      <c r="Q60" s="118">
        <v>0</v>
      </c>
      <c r="R60" s="118">
        <v>0</v>
      </c>
      <c r="S60" s="118">
        <v>0</v>
      </c>
      <c r="T60" s="118">
        <v>0</v>
      </c>
      <c r="U60" s="118">
        <v>0</v>
      </c>
      <c r="V60" s="118">
        <v>0</v>
      </c>
      <c r="W60" s="118">
        <v>0</v>
      </c>
      <c r="X60" s="118">
        <v>0</v>
      </c>
      <c r="Y60" s="118">
        <v>0</v>
      </c>
      <c r="Z60" s="118">
        <v>0</v>
      </c>
      <c r="AA60" s="118">
        <v>0</v>
      </c>
      <c r="AB60" s="118">
        <v>0</v>
      </c>
      <c r="AC60" s="118">
        <v>0</v>
      </c>
      <c r="AD60" s="118">
        <v>0</v>
      </c>
      <c r="AE60" s="118">
        <v>0</v>
      </c>
      <c r="AF60" s="118">
        <v>0</v>
      </c>
      <c r="AG60" s="118">
        <v>0</v>
      </c>
      <c r="AH60" s="118">
        <v>0</v>
      </c>
      <c r="AI60" s="118">
        <v>-10</v>
      </c>
      <c r="AQ60" s="328"/>
      <c r="AR60" s="328"/>
      <c r="AS60" s="328"/>
      <c r="AT60" s="328"/>
      <c r="AU60" s="328"/>
      <c r="AV60" s="328"/>
      <c r="AW60" s="328"/>
      <c r="AX60" s="328"/>
      <c r="AY60" s="328"/>
      <c r="AZ60" s="328"/>
    </row>
    <row r="61" spans="2:52" x14ac:dyDescent="0.2">
      <c r="B61" s="129" t="s">
        <v>15</v>
      </c>
      <c r="C61" s="118">
        <v>0</v>
      </c>
      <c r="D61" s="118">
        <v>0</v>
      </c>
      <c r="E61" s="118">
        <v>0</v>
      </c>
      <c r="F61" s="118">
        <v>0</v>
      </c>
      <c r="G61" s="118">
        <v>0</v>
      </c>
      <c r="H61" s="118">
        <v>0</v>
      </c>
      <c r="I61" s="118">
        <v>0</v>
      </c>
      <c r="J61" s="118">
        <v>0</v>
      </c>
      <c r="K61" s="118">
        <v>0</v>
      </c>
      <c r="L61" s="118">
        <v>0</v>
      </c>
      <c r="M61" s="118">
        <v>0</v>
      </c>
      <c r="N61" s="118">
        <v>0</v>
      </c>
      <c r="O61" s="118">
        <v>0</v>
      </c>
      <c r="P61" s="118">
        <v>0</v>
      </c>
      <c r="Q61" s="118">
        <v>0</v>
      </c>
      <c r="R61" s="118">
        <v>0</v>
      </c>
      <c r="S61" s="118">
        <v>0</v>
      </c>
      <c r="T61" s="118">
        <v>0</v>
      </c>
      <c r="U61" s="118">
        <v>0</v>
      </c>
      <c r="V61" s="118">
        <v>0</v>
      </c>
      <c r="W61" s="118">
        <v>0</v>
      </c>
      <c r="X61" s="118">
        <v>0</v>
      </c>
      <c r="Y61" s="118">
        <v>0</v>
      </c>
      <c r="Z61" s="118">
        <v>0</v>
      </c>
      <c r="AA61" s="118">
        <v>0</v>
      </c>
      <c r="AB61" s="118">
        <v>0</v>
      </c>
      <c r="AC61" s="118">
        <v>0</v>
      </c>
      <c r="AD61" s="118">
        <v>0</v>
      </c>
      <c r="AE61" s="118">
        <v>0</v>
      </c>
      <c r="AF61" s="118">
        <v>-7</v>
      </c>
      <c r="AG61" s="118">
        <v>-66</v>
      </c>
      <c r="AH61" s="118">
        <v>-52</v>
      </c>
      <c r="AI61" s="118">
        <v>-10</v>
      </c>
      <c r="AQ61" s="328"/>
      <c r="AR61" s="328"/>
      <c r="AS61" s="328"/>
      <c r="AT61" s="328"/>
      <c r="AU61" s="328"/>
      <c r="AV61" s="328"/>
      <c r="AW61" s="328"/>
      <c r="AX61" s="328"/>
      <c r="AY61" s="328"/>
      <c r="AZ61" s="328"/>
    </row>
    <row r="62" spans="2:52" x14ac:dyDescent="0.2">
      <c r="B62" s="126" t="s">
        <v>246</v>
      </c>
      <c r="C62" s="120">
        <v>0</v>
      </c>
      <c r="D62" s="120">
        <v>0</v>
      </c>
      <c r="E62" s="120">
        <v>0</v>
      </c>
      <c r="F62" s="120">
        <v>0</v>
      </c>
      <c r="G62" s="120">
        <v>0</v>
      </c>
      <c r="H62" s="120">
        <v>0</v>
      </c>
      <c r="I62" s="120">
        <v>0</v>
      </c>
      <c r="J62" s="120">
        <v>0</v>
      </c>
      <c r="K62" s="120">
        <v>0</v>
      </c>
      <c r="L62" s="120">
        <v>0</v>
      </c>
      <c r="M62" s="120">
        <v>0</v>
      </c>
      <c r="N62" s="120">
        <v>0</v>
      </c>
      <c r="O62" s="120">
        <v>0</v>
      </c>
      <c r="P62" s="120">
        <v>0</v>
      </c>
      <c r="Q62" s="120">
        <v>0</v>
      </c>
      <c r="R62" s="120">
        <v>0</v>
      </c>
      <c r="S62" s="120">
        <v>0</v>
      </c>
      <c r="T62" s="120">
        <f>+SUM(T56:T61)</f>
        <v>0</v>
      </c>
      <c r="U62" s="120">
        <f>+SUM(U56:U61)</f>
        <v>0</v>
      </c>
      <c r="V62" s="120">
        <f>+SUM(V56:V61)</f>
        <v>0</v>
      </c>
      <c r="W62" s="120">
        <f>+SUM(W56:W61)</f>
        <v>0</v>
      </c>
      <c r="X62" s="120">
        <f t="shared" ref="X62:AD62" si="21">+SUM(X56:X61)</f>
        <v>0</v>
      </c>
      <c r="Y62" s="120">
        <f t="shared" si="21"/>
        <v>0</v>
      </c>
      <c r="Z62" s="120">
        <f t="shared" si="21"/>
        <v>0</v>
      </c>
      <c r="AA62" s="120">
        <f t="shared" si="21"/>
        <v>0</v>
      </c>
      <c r="AB62" s="120">
        <f t="shared" si="21"/>
        <v>0</v>
      </c>
      <c r="AC62" s="120">
        <f t="shared" si="21"/>
        <v>0</v>
      </c>
      <c r="AD62" s="120">
        <f t="shared" si="21"/>
        <v>0</v>
      </c>
      <c r="AE62" s="120">
        <f>+SUM(AE56:AE61)</f>
        <v>0</v>
      </c>
      <c r="AF62" s="120">
        <v>6</v>
      </c>
      <c r="AG62" s="120">
        <f>+SUM(AG56:AG61)</f>
        <v>108</v>
      </c>
      <c r="AH62" s="120">
        <v>133</v>
      </c>
      <c r="AI62" s="120">
        <v>133</v>
      </c>
      <c r="AO62" s="1202"/>
      <c r="AP62" s="1202"/>
      <c r="AQ62" s="1202"/>
      <c r="AR62" s="1202"/>
      <c r="AS62" s="1202"/>
      <c r="AT62" s="1202"/>
      <c r="AU62" s="1202"/>
      <c r="AV62" s="1202"/>
      <c r="AW62" s="1202"/>
      <c r="AX62" s="1202"/>
      <c r="AY62" s="1202"/>
      <c r="AZ62" s="1202"/>
    </row>
    <row r="63" spans="2:52" x14ac:dyDescent="0.2">
      <c r="AO63" s="1202"/>
      <c r="AP63" s="1202"/>
      <c r="AQ63" s="1202"/>
      <c r="AR63" s="1202"/>
      <c r="AS63" s="1202"/>
      <c r="AT63" s="1202"/>
      <c r="AU63" s="1202"/>
      <c r="AV63" s="1202"/>
      <c r="AW63" s="1202"/>
      <c r="AX63" s="1202"/>
      <c r="AY63" s="1202"/>
      <c r="AZ63" s="1202"/>
    </row>
    <row r="64" spans="2:52" s="544" customFormat="1" x14ac:dyDescent="0.2">
      <c r="T64" s="544">
        <v>2018</v>
      </c>
      <c r="U64" s="544">
        <v>2018</v>
      </c>
      <c r="V64" s="544">
        <v>2018</v>
      </c>
      <c r="W64" s="544">
        <v>2018</v>
      </c>
      <c r="X64" s="544">
        <v>2019</v>
      </c>
      <c r="Y64" s="544">
        <v>2019</v>
      </c>
      <c r="Z64" s="544">
        <v>2019</v>
      </c>
      <c r="AA64" s="544">
        <v>2019</v>
      </c>
      <c r="AB64" s="544">
        <v>2020</v>
      </c>
      <c r="AC64" s="544">
        <v>2020</v>
      </c>
      <c r="AD64" s="544">
        <v>2020</v>
      </c>
      <c r="AE64" s="544">
        <v>2020</v>
      </c>
      <c r="AF64" s="544">
        <v>2021</v>
      </c>
      <c r="AG64" s="544">
        <v>2021</v>
      </c>
      <c r="AH64" s="544">
        <v>2021</v>
      </c>
      <c r="AI64" s="544">
        <v>2021</v>
      </c>
      <c r="AJ64" s="544">
        <v>2022</v>
      </c>
      <c r="AK64" s="544">
        <v>2022</v>
      </c>
      <c r="AL64" s="544">
        <v>2022</v>
      </c>
      <c r="AM64" s="544">
        <v>2022</v>
      </c>
      <c r="AN64" s="544">
        <v>2022</v>
      </c>
      <c r="AO64" s="544">
        <v>2022</v>
      </c>
      <c r="AP64" s="544">
        <v>2022</v>
      </c>
      <c r="AS64" s="328"/>
      <c r="AT64" s="328"/>
      <c r="AU64" s="328"/>
      <c r="AV64" s="328"/>
      <c r="AW64" s="328"/>
      <c r="AX64" s="328"/>
      <c r="AY64" s="328"/>
      <c r="AZ64" s="328"/>
    </row>
    <row r="65" spans="32:52" x14ac:dyDescent="0.2">
      <c r="AI65" s="544"/>
      <c r="AJ65" s="544"/>
      <c r="AO65" s="544"/>
      <c r="AP65" s="544"/>
      <c r="AQ65" s="544"/>
      <c r="AR65" s="544"/>
      <c r="AS65" s="328"/>
      <c r="AT65" s="328"/>
      <c r="AU65" s="328"/>
      <c r="AV65" s="328"/>
      <c r="AW65" s="328"/>
      <c r="AX65" s="328"/>
      <c r="AY65" s="328"/>
      <c r="AZ65" s="328"/>
    </row>
    <row r="66" spans="32:52" x14ac:dyDescent="0.2">
      <c r="AI66" s="328"/>
      <c r="AJ66" s="328"/>
      <c r="AK66" s="328"/>
      <c r="AL66" s="328"/>
      <c r="AM66" s="328"/>
      <c r="AN66" s="328"/>
      <c r="AO66" s="544"/>
      <c r="AP66" s="544"/>
      <c r="AQ66" s="544"/>
      <c r="AR66" s="544"/>
      <c r="AS66" s="544"/>
      <c r="AT66" s="544"/>
      <c r="AU66" s="544"/>
      <c r="AV66" s="544"/>
      <c r="AW66" s="544"/>
      <c r="AX66" s="544"/>
      <c r="AY66" s="544"/>
      <c r="AZ66" s="544"/>
    </row>
    <row r="67" spans="32:52" x14ac:dyDescent="0.2">
      <c r="AI67" s="544"/>
      <c r="AJ67" s="544" t="s">
        <v>1134</v>
      </c>
      <c r="AK67" s="544" t="s">
        <v>1134</v>
      </c>
      <c r="AL67" s="544"/>
      <c r="AM67" s="544"/>
      <c r="AN67" s="544" t="s">
        <v>1208</v>
      </c>
      <c r="AO67" s="544" t="s">
        <v>1208</v>
      </c>
      <c r="AP67" s="544"/>
      <c r="AQ67" s="544"/>
      <c r="AR67" s="544" t="s">
        <v>1259</v>
      </c>
      <c r="AS67" s="544" t="s">
        <v>1259</v>
      </c>
      <c r="AT67" s="544"/>
      <c r="AU67" s="544"/>
      <c r="AV67" s="544" t="s">
        <v>1325</v>
      </c>
      <c r="AW67" s="544" t="s">
        <v>1325</v>
      </c>
      <c r="AX67" s="544"/>
      <c r="AY67" s="544"/>
      <c r="AZ67" s="544"/>
    </row>
    <row r="68" spans="32:52" x14ac:dyDescent="0.2">
      <c r="AI68" s="544"/>
      <c r="AJ68" s="544" t="s">
        <v>1126</v>
      </c>
      <c r="AK68" s="544" t="s">
        <v>1126</v>
      </c>
      <c r="AL68" s="544" t="s">
        <v>1126</v>
      </c>
      <c r="AM68" s="544"/>
      <c r="AN68" s="544" t="s">
        <v>1209</v>
      </c>
      <c r="AO68" s="544" t="s">
        <v>1209</v>
      </c>
      <c r="AP68" s="544" t="s">
        <v>1209</v>
      </c>
      <c r="AQ68" s="544"/>
      <c r="AR68" s="544" t="s">
        <v>1260</v>
      </c>
      <c r="AS68" s="544" t="s">
        <v>1260</v>
      </c>
      <c r="AT68" s="544" t="s">
        <v>1260</v>
      </c>
      <c r="AU68" s="544"/>
      <c r="AV68" s="544" t="s">
        <v>1324</v>
      </c>
      <c r="AW68" s="544" t="s">
        <v>1324</v>
      </c>
      <c r="AX68" s="544" t="s">
        <v>1324</v>
      </c>
      <c r="AY68" s="544" t="s">
        <v>1324</v>
      </c>
      <c r="AZ68" s="544" t="s">
        <v>1324</v>
      </c>
    </row>
    <row r="69" spans="32:52" x14ac:dyDescent="0.2">
      <c r="AF69" s="1107">
        <v>2021</v>
      </c>
      <c r="AG69" s="1107">
        <v>2021</v>
      </c>
      <c r="AH69" s="1107">
        <v>2021</v>
      </c>
      <c r="AI69" s="1107">
        <v>2021</v>
      </c>
      <c r="AJ69" s="1107">
        <v>2022</v>
      </c>
      <c r="AK69" s="1107">
        <v>2022</v>
      </c>
      <c r="AL69" s="1107">
        <v>2022</v>
      </c>
      <c r="AM69" s="1107">
        <v>2022</v>
      </c>
      <c r="AN69" s="1107">
        <v>2023</v>
      </c>
      <c r="AO69" s="1107">
        <v>2023</v>
      </c>
      <c r="AP69" s="1107">
        <v>2023</v>
      </c>
      <c r="AQ69" s="1107">
        <v>2023</v>
      </c>
      <c r="AR69" s="1107">
        <v>2024</v>
      </c>
      <c r="AS69" s="1107">
        <v>2024</v>
      </c>
      <c r="AT69" s="1107">
        <v>2024</v>
      </c>
      <c r="AU69" s="1107">
        <v>2024</v>
      </c>
      <c r="AV69" s="1107">
        <v>2025</v>
      </c>
      <c r="AW69" s="1107">
        <v>2025</v>
      </c>
      <c r="AX69" s="1107">
        <v>2025</v>
      </c>
      <c r="AY69" s="1107">
        <v>2025</v>
      </c>
      <c r="AZ69" s="1107">
        <v>2025</v>
      </c>
    </row>
    <row r="70" spans="32:52" x14ac:dyDescent="0.2">
      <c r="AI70" s="328"/>
      <c r="AJ70" s="328"/>
      <c r="AK70" s="328"/>
      <c r="AL70" s="328"/>
      <c r="AM70" s="328"/>
      <c r="AN70" s="328"/>
      <c r="AO70" s="1202"/>
      <c r="AP70" s="1202"/>
      <c r="AQ70" s="1202"/>
      <c r="AR70" s="1202"/>
      <c r="AS70" s="544"/>
      <c r="AT70" s="544"/>
      <c r="AU70" s="544"/>
      <c r="AV70" s="544"/>
      <c r="AW70" s="544"/>
      <c r="AX70" s="544"/>
      <c r="AY70" s="544"/>
      <c r="AZ70" s="544"/>
    </row>
    <row r="71" spans="32:52" x14ac:dyDescent="0.2">
      <c r="AI71" s="328"/>
      <c r="AJ71" s="328"/>
      <c r="AK71" s="328"/>
      <c r="AL71" s="328"/>
      <c r="AM71" s="328"/>
      <c r="AN71" s="328"/>
      <c r="AO71" s="1202"/>
      <c r="AP71" s="1202"/>
      <c r="AQ71" s="1202"/>
      <c r="AR71" s="1202"/>
      <c r="AS71" s="328"/>
      <c r="AT71" s="328"/>
      <c r="AU71" s="328"/>
      <c r="AV71" s="328"/>
      <c r="AW71" s="328"/>
      <c r="AX71" s="328"/>
      <c r="AY71" s="328"/>
      <c r="AZ71" s="328"/>
    </row>
    <row r="72" spans="32:52" x14ac:dyDescent="0.2">
      <c r="AI72" s="328"/>
      <c r="AJ72" s="328"/>
      <c r="AK72" s="328"/>
      <c r="AL72" s="328"/>
      <c r="AM72" s="328"/>
      <c r="AN72" s="328"/>
      <c r="AO72" s="1202"/>
      <c r="AP72" s="1202"/>
      <c r="AQ72" s="1202"/>
      <c r="AR72" s="1202"/>
      <c r="AS72" s="1202"/>
      <c r="AT72" s="1202"/>
      <c r="AU72" s="1202"/>
      <c r="AV72" s="1202"/>
      <c r="AW72" s="1202"/>
      <c r="AX72" s="1202"/>
      <c r="AY72" s="1202"/>
      <c r="AZ72" s="1202"/>
    </row>
    <row r="73" spans="32:52" x14ac:dyDescent="0.2">
      <c r="AI73" s="328"/>
      <c r="AJ73" s="328"/>
      <c r="AK73" s="328"/>
      <c r="AL73" s="328"/>
      <c r="AM73" s="328"/>
      <c r="AN73" s="328"/>
      <c r="AO73" s="1202"/>
      <c r="AP73" s="1202"/>
      <c r="AQ73" s="1202"/>
      <c r="AR73" s="1202"/>
      <c r="AS73" s="1202"/>
      <c r="AT73" s="1202"/>
      <c r="AU73" s="1202"/>
      <c r="AV73" s="1202"/>
      <c r="AW73" s="1202"/>
      <c r="AX73" s="1202"/>
      <c r="AY73" s="1202"/>
      <c r="AZ73" s="1202"/>
    </row>
    <row r="74" spans="32:52" x14ac:dyDescent="0.2">
      <c r="AO74" s="1202"/>
      <c r="AP74" s="1202"/>
      <c r="AQ74" s="1202"/>
      <c r="AR74" s="1202"/>
      <c r="AS74" s="1202"/>
      <c r="AT74" s="1202"/>
      <c r="AU74" s="1202"/>
      <c r="AV74" s="1202"/>
      <c r="AW74" s="1202"/>
      <c r="AX74" s="1202"/>
      <c r="AY74" s="1202"/>
      <c r="AZ74" s="1202"/>
    </row>
    <row r="75" spans="32:52" x14ac:dyDescent="0.2">
      <c r="AO75" s="1202"/>
      <c r="AP75" s="1202"/>
      <c r="AQ75" s="1202"/>
      <c r="AR75" s="1202"/>
      <c r="AS75" s="1202"/>
      <c r="AT75" s="1202"/>
      <c r="AU75" s="1202"/>
      <c r="AV75" s="1202"/>
      <c r="AW75" s="1202"/>
      <c r="AX75" s="1202"/>
      <c r="AY75" s="1202"/>
      <c r="AZ75" s="1202"/>
    </row>
    <row r="76" spans="32:52" x14ac:dyDescent="0.2">
      <c r="AO76" s="1202"/>
      <c r="AP76" s="1202"/>
      <c r="AQ76" s="1202"/>
      <c r="AR76" s="1202"/>
      <c r="AS76" s="1202"/>
      <c r="AT76" s="1202"/>
      <c r="AU76" s="1202"/>
      <c r="AV76" s="1202"/>
      <c r="AW76" s="1202"/>
      <c r="AX76" s="1202"/>
      <c r="AY76" s="1202"/>
      <c r="AZ76" s="1202"/>
    </row>
    <row r="77" spans="32:52" x14ac:dyDescent="0.2">
      <c r="AO77" s="1202"/>
      <c r="AP77" s="1202"/>
      <c r="AQ77" s="1202"/>
      <c r="AR77" s="1202"/>
      <c r="AS77" s="1202"/>
      <c r="AT77" s="1202"/>
      <c r="AU77" s="1202"/>
      <c r="AV77" s="1202"/>
      <c r="AW77" s="1202"/>
      <c r="AX77" s="1202"/>
      <c r="AY77" s="1202"/>
      <c r="AZ77" s="1202"/>
    </row>
    <row r="78" spans="32:52" x14ac:dyDescent="0.2">
      <c r="AO78" s="1202"/>
      <c r="AP78" s="1202"/>
      <c r="AQ78" s="1202"/>
      <c r="AR78" s="1202"/>
      <c r="AS78" s="1202"/>
      <c r="AT78" s="1202"/>
      <c r="AU78" s="1202"/>
      <c r="AV78" s="1202"/>
      <c r="AW78" s="1202"/>
      <c r="AX78" s="1202"/>
      <c r="AY78" s="1202"/>
      <c r="AZ78" s="1202"/>
    </row>
    <row r="79" spans="32:52" x14ac:dyDescent="0.2">
      <c r="AO79" s="1202"/>
      <c r="AP79" s="1202"/>
      <c r="AQ79" s="1202"/>
      <c r="AR79" s="1202"/>
      <c r="AS79" s="1202"/>
      <c r="AT79" s="1202"/>
      <c r="AU79" s="1202"/>
      <c r="AV79" s="1202"/>
      <c r="AW79" s="1202"/>
      <c r="AX79" s="1202"/>
      <c r="AY79" s="1202"/>
      <c r="AZ79" s="1202"/>
    </row>
    <row r="80" spans="32:52" x14ac:dyDescent="0.2">
      <c r="AO80" s="1202"/>
      <c r="AP80" s="1202"/>
      <c r="AQ80" s="1202"/>
      <c r="AR80" s="1202"/>
      <c r="AS80" s="1202"/>
      <c r="AT80" s="1202"/>
      <c r="AU80" s="1202"/>
      <c r="AV80" s="1202"/>
      <c r="AW80" s="1202"/>
      <c r="AX80" s="1202"/>
      <c r="AY80" s="1202"/>
      <c r="AZ80" s="1202"/>
    </row>
    <row r="81" spans="41:52" x14ac:dyDescent="0.2">
      <c r="AO81" s="1202"/>
      <c r="AP81" s="1202"/>
      <c r="AQ81" s="1202"/>
      <c r="AR81" s="1202"/>
      <c r="AS81" s="1202"/>
      <c r="AT81" s="1202"/>
      <c r="AU81" s="1202"/>
      <c r="AV81" s="1202"/>
      <c r="AW81" s="1202"/>
      <c r="AX81" s="1202"/>
      <c r="AY81" s="1202"/>
      <c r="AZ81" s="1202"/>
    </row>
    <row r="82" spans="41:52" x14ac:dyDescent="0.2">
      <c r="AO82" s="1202"/>
      <c r="AP82" s="1202"/>
      <c r="AQ82" s="1202"/>
      <c r="AR82" s="1202"/>
      <c r="AS82" s="1202"/>
      <c r="AT82" s="1202"/>
      <c r="AU82" s="1202"/>
      <c r="AV82" s="1202"/>
      <c r="AW82" s="1202"/>
      <c r="AX82" s="1202"/>
      <c r="AY82" s="1202"/>
      <c r="AZ82" s="1202"/>
    </row>
    <row r="83" spans="41:52" x14ac:dyDescent="0.2">
      <c r="AO83" s="1202"/>
      <c r="AP83" s="1202"/>
      <c r="AQ83" s="1202"/>
      <c r="AR83" s="1202"/>
      <c r="AS83" s="1202"/>
      <c r="AT83" s="1202"/>
      <c r="AU83" s="1202"/>
      <c r="AV83" s="1202"/>
      <c r="AW83" s="1202"/>
      <c r="AX83" s="1202"/>
      <c r="AY83" s="1202"/>
      <c r="AZ83" s="1202"/>
    </row>
    <row r="84" spans="41:52" x14ac:dyDescent="0.2">
      <c r="AO84" s="1202"/>
      <c r="AP84" s="1202"/>
      <c r="AQ84" s="1202"/>
      <c r="AR84" s="1202"/>
      <c r="AS84" s="1202"/>
      <c r="AT84" s="1202"/>
      <c r="AU84" s="1202"/>
      <c r="AV84" s="1202"/>
      <c r="AW84" s="1202"/>
      <c r="AX84" s="1202"/>
      <c r="AY84" s="1202"/>
      <c r="AZ84" s="1202"/>
    </row>
    <row r="85" spans="41:52" x14ac:dyDescent="0.2">
      <c r="AO85" s="1202"/>
      <c r="AP85" s="1202"/>
      <c r="AQ85" s="1202"/>
      <c r="AR85" s="1202"/>
      <c r="AS85" s="1202"/>
      <c r="AT85" s="1202"/>
      <c r="AU85" s="1202"/>
      <c r="AV85" s="1202"/>
      <c r="AW85" s="1202"/>
      <c r="AX85" s="1202"/>
      <c r="AY85" s="1202"/>
      <c r="AZ85" s="1202"/>
    </row>
    <row r="86" spans="41:52" x14ac:dyDescent="0.2">
      <c r="AO86" s="1202"/>
      <c r="AP86" s="1202"/>
      <c r="AQ86" s="1202"/>
      <c r="AR86" s="1202"/>
      <c r="AS86" s="1202"/>
      <c r="AT86" s="1202"/>
      <c r="AU86" s="1202"/>
      <c r="AV86" s="1202"/>
      <c r="AW86" s="1202"/>
      <c r="AX86" s="1202"/>
      <c r="AY86" s="1202"/>
      <c r="AZ86" s="1202"/>
    </row>
    <row r="87" spans="41:52" x14ac:dyDescent="0.2">
      <c r="AO87" s="1202"/>
      <c r="AP87" s="1202"/>
      <c r="AQ87" s="1202"/>
      <c r="AR87" s="1202"/>
      <c r="AS87" s="1202"/>
      <c r="AT87" s="1202"/>
      <c r="AU87" s="1202"/>
      <c r="AV87" s="1202"/>
      <c r="AW87" s="1202"/>
      <c r="AX87" s="1202"/>
      <c r="AY87" s="1202"/>
      <c r="AZ87" s="1202"/>
    </row>
    <row r="88" spans="41:52" x14ac:dyDescent="0.2">
      <c r="AO88" s="1202"/>
      <c r="AP88" s="1202"/>
      <c r="AQ88" s="1202"/>
      <c r="AR88" s="1202"/>
      <c r="AS88" s="1202"/>
      <c r="AT88" s="1202"/>
      <c r="AU88" s="1202"/>
      <c r="AV88" s="1202"/>
      <c r="AW88" s="1202"/>
      <c r="AX88" s="1202"/>
      <c r="AY88" s="1202"/>
      <c r="AZ88" s="1202"/>
    </row>
    <row r="89" spans="41:52" x14ac:dyDescent="0.2">
      <c r="AO89" s="1202"/>
      <c r="AP89" s="1202"/>
      <c r="AQ89" s="1202"/>
      <c r="AR89" s="1202"/>
      <c r="AS89" s="1202"/>
      <c r="AT89" s="1202"/>
      <c r="AU89" s="1202"/>
      <c r="AV89" s="1202"/>
      <c r="AW89" s="1202"/>
      <c r="AX89" s="1202"/>
      <c r="AY89" s="1202"/>
      <c r="AZ89" s="1202"/>
    </row>
    <row r="90" spans="41:52" x14ac:dyDescent="0.2">
      <c r="AO90" s="1202"/>
      <c r="AP90" s="1202"/>
      <c r="AQ90" s="1202"/>
      <c r="AR90" s="1202"/>
      <c r="AS90" s="1202"/>
      <c r="AT90" s="1202"/>
      <c r="AU90" s="1202"/>
      <c r="AV90" s="1202"/>
      <c r="AW90" s="1202"/>
      <c r="AX90" s="1202"/>
      <c r="AY90" s="1202"/>
      <c r="AZ90" s="1202"/>
    </row>
  </sheetData>
  <pageMargins left="0.511811024" right="0.511811024" top="0.78740157499999996" bottom="0.78740157499999996" header="0.31496062000000002" footer="0.31496062000000002"/>
  <pageSetup paperSize="9" orientation="portrait" horizontalDpi="300"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6">
    <tabColor theme="4" tint="-0.249977111117893"/>
    <pageSetUpPr autoPageBreaks="0"/>
  </sheetPr>
  <dimension ref="B1:BS15"/>
  <sheetViews>
    <sheetView showGridLines="0" zoomScaleNormal="100" workbookViewId="0">
      <pane xSplit="2" ySplit="5" topLeftCell="C6" activePane="bottomRight" state="frozen"/>
      <selection activeCell="X6" sqref="X6"/>
      <selection pane="topRight" activeCell="X6" sqref="X6"/>
      <selection pane="bottomLeft" activeCell="X6" sqref="X6"/>
      <selection pane="bottomRight" activeCell="E2" sqref="E2"/>
    </sheetView>
  </sheetViews>
  <sheetFormatPr defaultRowHeight="12.75" outlineLevelRow="1" x14ac:dyDescent="0.2"/>
  <cols>
    <col min="1" max="1" width="1.42578125" customWidth="1"/>
    <col min="2" max="2" width="58.5703125" customWidth="1"/>
    <col min="3" max="63" width="10.85546875" customWidth="1"/>
    <col min="64" max="69" width="10.85546875" bestFit="1" customWidth="1"/>
    <col min="70" max="70" width="10.85546875" customWidth="1"/>
    <col min="71" max="71" width="10.85546875" bestFit="1" customWidth="1"/>
  </cols>
  <sheetData>
    <row r="1" spans="2:71" s="550" customFormat="1" ht="7.5" customHeight="1" x14ac:dyDescent="0.2"/>
    <row r="2" spans="2:71" s="550" customFormat="1" ht="12.75" customHeight="1" x14ac:dyDescent="0.2">
      <c r="B2" s="578"/>
    </row>
    <row r="3" spans="2:71" ht="12.75" customHeight="1" x14ac:dyDescent="0.2">
      <c r="B3" s="44"/>
      <c r="AP3" s="544"/>
      <c r="AQ3" s="544"/>
      <c r="AR3" s="544"/>
      <c r="AS3" s="544"/>
      <c r="AT3" s="544"/>
      <c r="AU3" s="544"/>
      <c r="AV3" s="544"/>
      <c r="AW3" s="544"/>
      <c r="AX3" s="544"/>
      <c r="AY3" s="544"/>
      <c r="AZ3" s="544"/>
      <c r="BA3" s="544"/>
      <c r="BB3" s="544"/>
      <c r="BC3" s="544"/>
      <c r="BD3" s="544"/>
      <c r="BE3" s="544"/>
      <c r="BF3" s="544"/>
      <c r="BG3" s="544"/>
      <c r="BH3" s="544"/>
      <c r="BI3" s="544"/>
      <c r="BJ3" s="544"/>
      <c r="BK3" s="544"/>
      <c r="BL3" s="544"/>
      <c r="BM3" s="544"/>
      <c r="BN3" s="544"/>
      <c r="BO3" s="544"/>
      <c r="BP3" s="544"/>
      <c r="BQ3" s="544"/>
      <c r="BR3" s="544"/>
      <c r="BS3" s="544"/>
    </row>
    <row r="4" spans="2:71" ht="12.75" customHeight="1" x14ac:dyDescent="0.2">
      <c r="B4" s="44"/>
      <c r="AP4" s="40"/>
      <c r="AQ4" s="40"/>
      <c r="AR4" s="40"/>
      <c r="AS4" s="40"/>
      <c r="AT4" s="40"/>
      <c r="AU4" s="40"/>
    </row>
    <row r="5" spans="2:71" x14ac:dyDescent="0.2">
      <c r="B5" s="140"/>
      <c r="C5" s="246" t="s">
        <v>615</v>
      </c>
      <c r="D5" s="246" t="s">
        <v>616</v>
      </c>
      <c r="E5" s="246" t="s">
        <v>617</v>
      </c>
      <c r="F5" s="246" t="s">
        <v>618</v>
      </c>
      <c r="G5" s="246" t="s">
        <v>619</v>
      </c>
      <c r="H5" s="246" t="s">
        <v>620</v>
      </c>
      <c r="I5" s="246" t="s">
        <v>621</v>
      </c>
      <c r="J5" s="246" t="s">
        <v>622</v>
      </c>
      <c r="K5" s="246" t="s">
        <v>60</v>
      </c>
      <c r="L5" s="246" t="s">
        <v>61</v>
      </c>
      <c r="M5" s="246" t="s">
        <v>62</v>
      </c>
      <c r="N5" s="246" t="s">
        <v>63</v>
      </c>
      <c r="O5" s="246" t="s">
        <v>7</v>
      </c>
      <c r="P5" s="246" t="s">
        <v>6</v>
      </c>
      <c r="Q5" s="246" t="s">
        <v>5</v>
      </c>
      <c r="R5" s="246" t="s">
        <v>4</v>
      </c>
      <c r="S5" s="246" t="s">
        <v>3</v>
      </c>
      <c r="T5" s="246" t="s">
        <v>2</v>
      </c>
      <c r="U5" s="246" t="s">
        <v>1</v>
      </c>
      <c r="V5" s="246" t="s">
        <v>0</v>
      </c>
      <c r="W5" s="246" t="s">
        <v>45</v>
      </c>
      <c r="X5" s="246" t="s">
        <v>55</v>
      </c>
      <c r="Y5" s="246" t="s">
        <v>71</v>
      </c>
      <c r="Z5" s="246" t="s">
        <v>77</v>
      </c>
      <c r="AA5" s="246" t="s">
        <v>87</v>
      </c>
      <c r="AB5" s="246" t="s">
        <v>88</v>
      </c>
      <c r="AC5" s="246" t="s">
        <v>378</v>
      </c>
      <c r="AD5" s="246" t="s">
        <v>406</v>
      </c>
      <c r="AE5" s="246" t="s">
        <v>467</v>
      </c>
      <c r="AF5" s="246" t="s">
        <v>501</v>
      </c>
      <c r="AG5" s="246" t="s">
        <v>511</v>
      </c>
      <c r="AH5" s="246" t="s">
        <v>538</v>
      </c>
      <c r="AI5" s="246" t="s">
        <v>567</v>
      </c>
      <c r="AJ5" s="246" t="s">
        <v>575</v>
      </c>
      <c r="AK5" s="246" t="s">
        <v>595</v>
      </c>
      <c r="AL5" s="246" t="s">
        <v>596</v>
      </c>
      <c r="AM5" s="246" t="s">
        <v>623</v>
      </c>
      <c r="AN5" s="246" t="s">
        <v>624</v>
      </c>
      <c r="AO5" s="246" t="s">
        <v>625</v>
      </c>
      <c r="AP5" s="246" t="s">
        <v>626</v>
      </c>
      <c r="AQ5" s="246" t="s">
        <v>798</v>
      </c>
      <c r="AR5" s="246" t="s">
        <v>799</v>
      </c>
      <c r="AS5" s="246" t="s">
        <v>800</v>
      </c>
      <c r="AT5" s="246" t="s">
        <v>801</v>
      </c>
      <c r="AU5" s="246" t="s">
        <v>913</v>
      </c>
      <c r="AV5" s="246" t="s">
        <v>914</v>
      </c>
      <c r="AW5" s="246" t="s">
        <v>923</v>
      </c>
      <c r="AX5" s="246" t="s">
        <v>924</v>
      </c>
      <c r="AY5" s="246" t="s">
        <v>1049</v>
      </c>
      <c r="AZ5" s="246" t="s">
        <v>1023</v>
      </c>
      <c r="BA5" s="246" t="s">
        <v>1024</v>
      </c>
      <c r="BB5" s="246" t="s">
        <v>1050</v>
      </c>
      <c r="BC5" s="246" t="s">
        <v>1114</v>
      </c>
      <c r="BD5" s="246" t="s">
        <v>1119</v>
      </c>
      <c r="BE5" s="246" t="s">
        <v>1121</v>
      </c>
      <c r="BF5" s="246" t="s">
        <v>1123</v>
      </c>
      <c r="BG5" s="246" t="s">
        <v>1176</v>
      </c>
      <c r="BH5" s="246" t="s">
        <v>1177</v>
      </c>
      <c r="BI5" s="246" t="s">
        <v>1179</v>
      </c>
      <c r="BJ5" s="246" t="s">
        <v>1181</v>
      </c>
      <c r="BK5" s="246" t="s">
        <v>1243</v>
      </c>
      <c r="BL5" s="246" t="s">
        <v>1250</v>
      </c>
      <c r="BM5" s="246" t="s">
        <v>1251</v>
      </c>
      <c r="BN5" s="246" t="s">
        <v>1252</v>
      </c>
      <c r="BO5" s="246" t="s">
        <v>1311</v>
      </c>
      <c r="BP5" s="246" t="s">
        <v>1313</v>
      </c>
      <c r="BQ5" s="246" t="s">
        <v>1315</v>
      </c>
      <c r="BR5" s="246" t="s">
        <v>1317</v>
      </c>
      <c r="BS5" s="246" t="s">
        <v>1344</v>
      </c>
    </row>
    <row r="6" spans="2:71" x14ac:dyDescent="0.2">
      <c r="B6" s="119" t="s">
        <v>1207</v>
      </c>
      <c r="C6" s="120">
        <f t="shared" ref="C6:AH6" si="0">SUM(C7:C8)</f>
        <v>201416</v>
      </c>
      <c r="D6" s="120">
        <f t="shared" si="0"/>
        <v>245442</v>
      </c>
      <c r="E6" s="120">
        <f t="shared" si="0"/>
        <v>266976</v>
      </c>
      <c r="F6" s="120">
        <f t="shared" si="0"/>
        <v>273822</v>
      </c>
      <c r="G6" s="120">
        <f t="shared" si="0"/>
        <v>240759</v>
      </c>
      <c r="H6" s="120">
        <f t="shared" si="0"/>
        <v>254773.5</v>
      </c>
      <c r="I6" s="120">
        <f t="shared" si="0"/>
        <v>284308</v>
      </c>
      <c r="J6" s="120">
        <f t="shared" si="0"/>
        <v>303399</v>
      </c>
      <c r="K6" s="120">
        <f t="shared" si="0"/>
        <v>253060</v>
      </c>
      <c r="L6" s="120">
        <f t="shared" si="0"/>
        <v>262684</v>
      </c>
      <c r="M6" s="120">
        <f t="shared" si="0"/>
        <v>276805</v>
      </c>
      <c r="N6" s="120">
        <f t="shared" si="0"/>
        <v>295809</v>
      </c>
      <c r="O6" s="120">
        <f t="shared" si="0"/>
        <v>241294</v>
      </c>
      <c r="P6" s="120">
        <f t="shared" si="0"/>
        <v>271483</v>
      </c>
      <c r="Q6" s="120">
        <f t="shared" si="0"/>
        <v>303126</v>
      </c>
      <c r="R6" s="120">
        <f t="shared" si="0"/>
        <v>300972</v>
      </c>
      <c r="S6" s="120">
        <f t="shared" si="0"/>
        <v>261887</v>
      </c>
      <c r="T6" s="120">
        <f t="shared" si="0"/>
        <v>311399</v>
      </c>
      <c r="U6" s="120">
        <f t="shared" si="0"/>
        <v>309974</v>
      </c>
      <c r="V6" s="120">
        <f t="shared" si="0"/>
        <v>302344</v>
      </c>
      <c r="W6" s="120">
        <f t="shared" si="0"/>
        <v>236119</v>
      </c>
      <c r="X6" s="120">
        <f t="shared" si="0"/>
        <v>245273</v>
      </c>
      <c r="Y6" s="120">
        <f t="shared" si="0"/>
        <v>254921</v>
      </c>
      <c r="Z6" s="120">
        <f t="shared" si="0"/>
        <v>289576</v>
      </c>
      <c r="AA6" s="120">
        <f t="shared" si="0"/>
        <v>197195</v>
      </c>
      <c r="AB6" s="120">
        <f t="shared" si="0"/>
        <v>188680</v>
      </c>
      <c r="AC6" s="120">
        <f t="shared" si="0"/>
        <v>179085</v>
      </c>
      <c r="AD6" s="120">
        <f t="shared" si="0"/>
        <v>200591</v>
      </c>
      <c r="AE6" s="120">
        <f t="shared" si="0"/>
        <v>135874</v>
      </c>
      <c r="AF6" s="120">
        <f t="shared" si="0"/>
        <v>169184</v>
      </c>
      <c r="AG6" s="120">
        <f t="shared" si="0"/>
        <v>178509</v>
      </c>
      <c r="AH6" s="120">
        <f t="shared" si="0"/>
        <v>197335</v>
      </c>
      <c r="AI6" s="120">
        <f t="shared" ref="AI6:BG6" si="1">SUM(AI7:AI8)</f>
        <v>164393</v>
      </c>
      <c r="AJ6" s="120">
        <f t="shared" si="1"/>
        <v>183183</v>
      </c>
      <c r="AK6" s="120">
        <f t="shared" si="1"/>
        <v>195353</v>
      </c>
      <c r="AL6" s="120">
        <f t="shared" si="1"/>
        <v>211414</v>
      </c>
      <c r="AM6" s="120">
        <f t="shared" si="1"/>
        <v>177211</v>
      </c>
      <c r="AN6" s="120">
        <f t="shared" si="1"/>
        <v>193885</v>
      </c>
      <c r="AO6" s="120">
        <f t="shared" si="1"/>
        <v>206690</v>
      </c>
      <c r="AP6" s="120">
        <f t="shared" si="1"/>
        <v>203627</v>
      </c>
      <c r="AQ6" s="120">
        <f t="shared" si="1"/>
        <v>179325</v>
      </c>
      <c r="AR6" s="120">
        <f t="shared" si="1"/>
        <v>208179</v>
      </c>
      <c r="AS6" s="120">
        <f t="shared" si="1"/>
        <v>204497</v>
      </c>
      <c r="AT6" s="120">
        <f t="shared" si="1"/>
        <v>229266</v>
      </c>
      <c r="AU6" s="120">
        <f t="shared" si="1"/>
        <v>156694</v>
      </c>
      <c r="AV6" s="120">
        <f t="shared" si="1"/>
        <v>56642</v>
      </c>
      <c r="AW6" s="120">
        <f t="shared" si="1"/>
        <v>161762</v>
      </c>
      <c r="AX6" s="120">
        <f t="shared" si="1"/>
        <v>185760</v>
      </c>
      <c r="AY6" s="120">
        <f t="shared" si="1"/>
        <v>137310</v>
      </c>
      <c r="AZ6" s="120">
        <f t="shared" si="1"/>
        <v>127793</v>
      </c>
      <c r="BA6" s="120">
        <f t="shared" si="1"/>
        <v>113879</v>
      </c>
      <c r="BB6" s="120">
        <f t="shared" si="1"/>
        <v>148403</v>
      </c>
      <c r="BC6" s="120">
        <f t="shared" si="1"/>
        <v>116692</v>
      </c>
      <c r="BD6" s="120">
        <f t="shared" si="1"/>
        <v>137691</v>
      </c>
      <c r="BE6" s="120">
        <f t="shared" si="1"/>
        <v>166066</v>
      </c>
      <c r="BF6" s="120">
        <f t="shared" si="1"/>
        <v>164900</v>
      </c>
      <c r="BG6" s="120">
        <f t="shared" si="1"/>
        <v>137811</v>
      </c>
      <c r="BH6" s="120">
        <f t="shared" ref="BH6:BM6" si="2">SUM(BH7:BH8)</f>
        <v>157020</v>
      </c>
      <c r="BI6" s="120">
        <f t="shared" si="2"/>
        <v>169720</v>
      </c>
      <c r="BJ6" s="120">
        <f t="shared" si="2"/>
        <v>175304</v>
      </c>
      <c r="BK6" s="120">
        <f t="shared" si="2"/>
        <v>140292</v>
      </c>
      <c r="BL6" s="120">
        <f t="shared" si="2"/>
        <v>167078</v>
      </c>
      <c r="BM6" s="120">
        <f t="shared" si="2"/>
        <v>202844</v>
      </c>
      <c r="BN6" s="120">
        <f t="shared" ref="BN6:BS6" si="3">SUM(BN7:BN8)</f>
        <v>202207</v>
      </c>
      <c r="BO6" s="120">
        <f t="shared" si="3"/>
        <v>144750</v>
      </c>
      <c r="BP6" s="120">
        <f t="shared" si="3"/>
        <v>170543</v>
      </c>
      <c r="BQ6" s="120">
        <f t="shared" si="3"/>
        <v>197518</v>
      </c>
      <c r="BR6" s="120">
        <f t="shared" si="3"/>
        <v>188962</v>
      </c>
      <c r="BS6" s="120">
        <f t="shared" si="3"/>
        <v>154716</v>
      </c>
    </row>
    <row r="7" spans="2:71" x14ac:dyDescent="0.2">
      <c r="B7" s="129" t="s">
        <v>1206</v>
      </c>
      <c r="C7" s="118">
        <v>187007</v>
      </c>
      <c r="D7" s="118">
        <v>225690</v>
      </c>
      <c r="E7" s="118">
        <v>248737</v>
      </c>
      <c r="F7" s="118">
        <v>248992</v>
      </c>
      <c r="G7" s="118">
        <v>213746</v>
      </c>
      <c r="H7" s="118">
        <v>230866</v>
      </c>
      <c r="I7" s="118">
        <v>258473</v>
      </c>
      <c r="J7" s="118">
        <v>271169</v>
      </c>
      <c r="K7" s="118">
        <v>226914</v>
      </c>
      <c r="L7" s="118">
        <v>237534</v>
      </c>
      <c r="M7" s="118">
        <v>247738</v>
      </c>
      <c r="N7" s="118">
        <v>257787</v>
      </c>
      <c r="O7" s="118">
        <v>214616</v>
      </c>
      <c r="P7" s="118">
        <v>243558</v>
      </c>
      <c r="Q7" s="118">
        <v>281017</v>
      </c>
      <c r="R7" s="118">
        <v>278926</v>
      </c>
      <c r="S7" s="118">
        <v>238165</v>
      </c>
      <c r="T7" s="118">
        <v>285684</v>
      </c>
      <c r="U7" s="118">
        <v>281482</v>
      </c>
      <c r="V7" s="118">
        <v>281864</v>
      </c>
      <c r="W7" s="118">
        <v>220132</v>
      </c>
      <c r="X7" s="118">
        <v>232955</v>
      </c>
      <c r="Y7" s="118">
        <v>238254</v>
      </c>
      <c r="Z7" s="118">
        <v>274033</v>
      </c>
      <c r="AA7" s="118">
        <v>180630</v>
      </c>
      <c r="AB7" s="118">
        <v>165723</v>
      </c>
      <c r="AC7" s="118">
        <v>161791</v>
      </c>
      <c r="AD7" s="118">
        <v>177916</v>
      </c>
      <c r="AE7" s="118">
        <v>118161</v>
      </c>
      <c r="AF7" s="118">
        <v>141155</v>
      </c>
      <c r="AG7" s="118">
        <v>151205</v>
      </c>
      <c r="AH7" s="118">
        <v>160228</v>
      </c>
      <c r="AI7" s="118">
        <v>124821</v>
      </c>
      <c r="AJ7" s="118">
        <v>139792</v>
      </c>
      <c r="AK7" s="118">
        <v>160254</v>
      </c>
      <c r="AL7" s="118">
        <v>168868</v>
      </c>
      <c r="AM7" s="118">
        <v>135287</v>
      </c>
      <c r="AN7" s="118">
        <v>155381</v>
      </c>
      <c r="AO7" s="118">
        <v>177801</v>
      </c>
      <c r="AP7" s="118">
        <v>185303</v>
      </c>
      <c r="AQ7" s="118">
        <v>155292</v>
      </c>
      <c r="AR7" s="118">
        <v>181552</v>
      </c>
      <c r="AS7" s="118">
        <v>179754</v>
      </c>
      <c r="AT7" s="118">
        <v>208381</v>
      </c>
      <c r="AU7" s="118">
        <v>135460</v>
      </c>
      <c r="AV7" s="118">
        <v>51802</v>
      </c>
      <c r="AW7" s="118">
        <v>140610</v>
      </c>
      <c r="AX7" s="118">
        <v>155815</v>
      </c>
      <c r="AY7" s="118">
        <v>114662</v>
      </c>
      <c r="AZ7" s="118">
        <v>104646</v>
      </c>
      <c r="BA7" s="118">
        <v>96425</v>
      </c>
      <c r="BB7" s="118">
        <v>126503</v>
      </c>
      <c r="BC7" s="118">
        <v>91310</v>
      </c>
      <c r="BD7" s="118">
        <v>107786</v>
      </c>
      <c r="BE7" s="118">
        <v>135887</v>
      </c>
      <c r="BF7" s="118">
        <v>139730</v>
      </c>
      <c r="BG7" s="118">
        <v>114282</v>
      </c>
      <c r="BH7" s="118">
        <v>130493</v>
      </c>
      <c r="BI7" s="118">
        <v>151401</v>
      </c>
      <c r="BJ7" s="118">
        <v>158461</v>
      </c>
      <c r="BK7" s="118">
        <v>123998</v>
      </c>
      <c r="BL7" s="118">
        <v>146715</v>
      </c>
      <c r="BM7" s="118">
        <v>178415</v>
      </c>
      <c r="BN7" s="118">
        <v>179387</v>
      </c>
      <c r="BO7" s="118">
        <v>119957</v>
      </c>
      <c r="BP7" s="118">
        <v>141192</v>
      </c>
      <c r="BQ7" s="118">
        <v>164705</v>
      </c>
      <c r="BR7" s="118">
        <v>166516</v>
      </c>
      <c r="BS7" s="118">
        <v>137099</v>
      </c>
    </row>
    <row r="8" spans="2:71" x14ac:dyDescent="0.2">
      <c r="B8" s="129" t="s">
        <v>1205</v>
      </c>
      <c r="C8" s="118">
        <v>14409</v>
      </c>
      <c r="D8" s="118">
        <v>19752</v>
      </c>
      <c r="E8" s="118">
        <v>18239</v>
      </c>
      <c r="F8" s="118">
        <v>24830</v>
      </c>
      <c r="G8" s="118">
        <v>27013</v>
      </c>
      <c r="H8" s="118">
        <v>23907.5</v>
      </c>
      <c r="I8" s="118">
        <v>25835</v>
      </c>
      <c r="J8" s="118">
        <v>32230</v>
      </c>
      <c r="K8" s="118">
        <v>26146</v>
      </c>
      <c r="L8" s="118">
        <v>25150</v>
      </c>
      <c r="M8" s="118">
        <v>29067</v>
      </c>
      <c r="N8" s="118">
        <v>38022</v>
      </c>
      <c r="O8" s="118">
        <v>26678</v>
      </c>
      <c r="P8" s="118">
        <v>27925</v>
      </c>
      <c r="Q8" s="118">
        <v>22109</v>
      </c>
      <c r="R8" s="118">
        <v>22046</v>
      </c>
      <c r="S8" s="118">
        <v>23722</v>
      </c>
      <c r="T8" s="118">
        <v>25715</v>
      </c>
      <c r="U8" s="118">
        <v>28492</v>
      </c>
      <c r="V8" s="118">
        <v>20480</v>
      </c>
      <c r="W8" s="118">
        <v>15987</v>
      </c>
      <c r="X8" s="118">
        <v>12318</v>
      </c>
      <c r="Y8" s="118">
        <v>16667</v>
      </c>
      <c r="Z8" s="118">
        <v>15543</v>
      </c>
      <c r="AA8" s="118">
        <v>16565</v>
      </c>
      <c r="AB8" s="118">
        <v>22957</v>
      </c>
      <c r="AC8" s="118">
        <v>17294</v>
      </c>
      <c r="AD8" s="118">
        <v>22675</v>
      </c>
      <c r="AE8" s="118">
        <v>17713</v>
      </c>
      <c r="AF8" s="118">
        <v>28029</v>
      </c>
      <c r="AG8" s="118">
        <v>27304</v>
      </c>
      <c r="AH8" s="118">
        <v>37107</v>
      </c>
      <c r="AI8" s="118">
        <v>39572</v>
      </c>
      <c r="AJ8" s="118">
        <v>43391</v>
      </c>
      <c r="AK8" s="118">
        <v>35099</v>
      </c>
      <c r="AL8" s="118">
        <v>42546</v>
      </c>
      <c r="AM8" s="118">
        <v>41924</v>
      </c>
      <c r="AN8" s="118">
        <v>38504</v>
      </c>
      <c r="AO8" s="118">
        <v>28889</v>
      </c>
      <c r="AP8" s="118">
        <v>18324</v>
      </c>
      <c r="AQ8" s="118">
        <v>24033</v>
      </c>
      <c r="AR8" s="118">
        <v>26627</v>
      </c>
      <c r="AS8" s="118">
        <v>24743</v>
      </c>
      <c r="AT8" s="118">
        <v>20885</v>
      </c>
      <c r="AU8" s="118">
        <v>21234</v>
      </c>
      <c r="AV8" s="118">
        <v>4840</v>
      </c>
      <c r="AW8" s="118">
        <v>21152</v>
      </c>
      <c r="AX8" s="118">
        <v>29945</v>
      </c>
      <c r="AY8" s="118">
        <v>22648</v>
      </c>
      <c r="AZ8" s="118">
        <v>23147</v>
      </c>
      <c r="BA8" s="118">
        <v>17454</v>
      </c>
      <c r="BB8" s="118">
        <v>21900</v>
      </c>
      <c r="BC8" s="118">
        <v>25382</v>
      </c>
      <c r="BD8" s="118">
        <v>29905</v>
      </c>
      <c r="BE8" s="118">
        <v>30179</v>
      </c>
      <c r="BF8" s="118">
        <v>25170</v>
      </c>
      <c r="BG8" s="118">
        <v>23529</v>
      </c>
      <c r="BH8" s="118">
        <v>26527</v>
      </c>
      <c r="BI8" s="118">
        <v>18319</v>
      </c>
      <c r="BJ8" s="118">
        <v>16843</v>
      </c>
      <c r="BK8" s="118">
        <v>16294</v>
      </c>
      <c r="BL8" s="118">
        <v>20363</v>
      </c>
      <c r="BM8" s="118">
        <v>24429</v>
      </c>
      <c r="BN8" s="118">
        <v>22820</v>
      </c>
      <c r="BO8" s="118">
        <v>24793</v>
      </c>
      <c r="BP8" s="118">
        <v>29351</v>
      </c>
      <c r="BQ8" s="118">
        <v>32813</v>
      </c>
      <c r="BR8" s="118">
        <v>22446</v>
      </c>
      <c r="BS8" s="118">
        <v>17617</v>
      </c>
    </row>
    <row r="9" spans="2:71" x14ac:dyDescent="0.2">
      <c r="B9" s="119" t="s">
        <v>1204</v>
      </c>
      <c r="C9" s="120">
        <f t="shared" ref="C9:AH9" si="4">SUM(C10:C11)</f>
        <v>175701334.18194699</v>
      </c>
      <c r="D9" s="120">
        <f t="shared" si="4"/>
        <v>208656797.61534798</v>
      </c>
      <c r="E9" s="120">
        <f t="shared" si="4"/>
        <v>225957593.707434</v>
      </c>
      <c r="F9" s="120">
        <f t="shared" si="4"/>
        <v>233210850.76886499</v>
      </c>
      <c r="G9" s="120">
        <f t="shared" si="4"/>
        <v>230896643</v>
      </c>
      <c r="H9" s="120">
        <f t="shared" si="4"/>
        <v>261984022</v>
      </c>
      <c r="I9" s="120">
        <f t="shared" si="4"/>
        <v>271104450</v>
      </c>
      <c r="J9" s="120">
        <f t="shared" si="4"/>
        <v>293763884</v>
      </c>
      <c r="K9" s="120">
        <f t="shared" si="4"/>
        <v>259005000</v>
      </c>
      <c r="L9" s="120">
        <f t="shared" si="4"/>
        <v>272443000</v>
      </c>
      <c r="M9" s="120">
        <f t="shared" si="4"/>
        <v>279068000</v>
      </c>
      <c r="N9" s="120">
        <f t="shared" si="4"/>
        <v>284463000.00000006</v>
      </c>
      <c r="O9" s="120">
        <f t="shared" si="4"/>
        <v>240378722.99999997</v>
      </c>
      <c r="P9" s="120">
        <f t="shared" si="4"/>
        <v>274716564</v>
      </c>
      <c r="Q9" s="120">
        <f t="shared" si="4"/>
        <v>315962799</v>
      </c>
      <c r="R9" s="120">
        <f t="shared" si="4"/>
        <v>321407714</v>
      </c>
      <c r="S9" s="120">
        <f t="shared" si="4"/>
        <v>279683537</v>
      </c>
      <c r="T9" s="120">
        <f t="shared" si="4"/>
        <v>323607818</v>
      </c>
      <c r="U9" s="120">
        <f t="shared" si="4"/>
        <v>327608229</v>
      </c>
      <c r="V9" s="120">
        <f t="shared" si="4"/>
        <v>319719344</v>
      </c>
      <c r="W9" s="120">
        <f t="shared" si="4"/>
        <v>259884542</v>
      </c>
      <c r="X9" s="120">
        <f t="shared" si="4"/>
        <v>278686994.32499999</v>
      </c>
      <c r="Y9" s="120">
        <f t="shared" si="4"/>
        <v>277098309</v>
      </c>
      <c r="Z9" s="120">
        <f t="shared" si="4"/>
        <v>316095610.99999994</v>
      </c>
      <c r="AA9" s="120">
        <f t="shared" si="4"/>
        <v>218228126</v>
      </c>
      <c r="AB9" s="120">
        <f t="shared" si="4"/>
        <v>202027900</v>
      </c>
      <c r="AC9" s="120">
        <f t="shared" si="4"/>
        <v>196409795</v>
      </c>
      <c r="AD9" s="120">
        <f t="shared" si="4"/>
        <v>211035891.99999994</v>
      </c>
      <c r="AE9" s="120">
        <f t="shared" si="4"/>
        <v>141289564</v>
      </c>
      <c r="AF9" s="120">
        <f t="shared" si="4"/>
        <v>160341923.00000006</v>
      </c>
      <c r="AG9" s="120">
        <f t="shared" si="4"/>
        <v>169233957.00000009</v>
      </c>
      <c r="AH9" s="120">
        <f t="shared" si="4"/>
        <v>174961505.00000003</v>
      </c>
      <c r="AI9" s="120">
        <f t="shared" ref="AI9:BG9" si="5">SUM(AI10:AI11)</f>
        <v>146476000</v>
      </c>
      <c r="AJ9" s="120">
        <f t="shared" si="5"/>
        <v>172147373.03599072</v>
      </c>
      <c r="AK9" s="120">
        <f t="shared" si="5"/>
        <v>191069349</v>
      </c>
      <c r="AL9" s="120">
        <f t="shared" si="5"/>
        <v>204238159</v>
      </c>
      <c r="AM9" s="120">
        <f t="shared" si="5"/>
        <v>171756394</v>
      </c>
      <c r="AN9" s="120">
        <f t="shared" si="5"/>
        <v>190005425</v>
      </c>
      <c r="AO9" s="120">
        <f t="shared" si="5"/>
        <v>214950232</v>
      </c>
      <c r="AP9" s="120">
        <f t="shared" si="5"/>
        <v>214723650</v>
      </c>
      <c r="AQ9" s="120">
        <f t="shared" si="5"/>
        <v>188746210</v>
      </c>
      <c r="AR9" s="120">
        <f t="shared" si="5"/>
        <v>220205950</v>
      </c>
      <c r="AS9" s="120">
        <f t="shared" si="5"/>
        <v>226176014</v>
      </c>
      <c r="AT9" s="120">
        <f t="shared" si="5"/>
        <v>245769125.99999994</v>
      </c>
      <c r="AU9" s="120">
        <f t="shared" si="5"/>
        <v>175905118</v>
      </c>
      <c r="AV9" s="120">
        <f t="shared" si="5"/>
        <v>61170718</v>
      </c>
      <c r="AW9" s="120">
        <f t="shared" si="5"/>
        <v>189941205</v>
      </c>
      <c r="AX9" s="120">
        <f t="shared" si="5"/>
        <v>208718510</v>
      </c>
      <c r="AY9" s="120">
        <f t="shared" si="5"/>
        <v>143978225</v>
      </c>
      <c r="AZ9" s="120">
        <f t="shared" si="5"/>
        <v>126444726</v>
      </c>
      <c r="BA9" s="120">
        <f t="shared" si="5"/>
        <v>118061787</v>
      </c>
      <c r="BB9" s="120">
        <f t="shared" si="5"/>
        <v>164257378</v>
      </c>
      <c r="BC9" s="120">
        <f t="shared" si="5"/>
        <v>114198708</v>
      </c>
      <c r="BD9" s="120">
        <f t="shared" si="5"/>
        <v>132858517</v>
      </c>
      <c r="BE9" s="120">
        <f t="shared" si="5"/>
        <v>171164148</v>
      </c>
      <c r="BF9" s="120">
        <f t="shared" si="5"/>
        <v>169468625</v>
      </c>
      <c r="BG9" s="120">
        <f t="shared" si="5"/>
        <v>136753524</v>
      </c>
      <c r="BH9" s="120">
        <f t="shared" ref="BH9:BM9" si="6">SUM(BH10:BH11)</f>
        <v>150424709</v>
      </c>
      <c r="BI9" s="120">
        <f t="shared" si="6"/>
        <v>177419495</v>
      </c>
      <c r="BJ9" s="120">
        <f t="shared" si="6"/>
        <v>188849851</v>
      </c>
      <c r="BK9" s="120">
        <f t="shared" si="6"/>
        <v>148802245</v>
      </c>
      <c r="BL9" s="120">
        <f t="shared" si="6"/>
        <v>181918482</v>
      </c>
      <c r="BM9" s="120">
        <f t="shared" si="6"/>
        <v>216435628</v>
      </c>
      <c r="BN9" s="120">
        <f t="shared" ref="BN9:BS9" si="7">SUM(BN10:BN11)</f>
        <v>220136647</v>
      </c>
      <c r="BO9" s="120">
        <f t="shared" si="7"/>
        <v>148441322</v>
      </c>
      <c r="BP9" s="120">
        <f t="shared" si="7"/>
        <v>184598698</v>
      </c>
      <c r="BQ9" s="120">
        <f t="shared" si="7"/>
        <v>220453951</v>
      </c>
      <c r="BR9" s="120">
        <f t="shared" si="7"/>
        <v>218079305</v>
      </c>
      <c r="BS9" s="120">
        <f t="shared" si="7"/>
        <v>176140911</v>
      </c>
    </row>
    <row r="10" spans="2:71" x14ac:dyDescent="0.2">
      <c r="B10" s="129" t="s">
        <v>1203</v>
      </c>
      <c r="C10" s="118">
        <v>174281582.16692001</v>
      </c>
      <c r="D10" s="118">
        <v>205318975.60545599</v>
      </c>
      <c r="E10" s="118">
        <v>223499917.67485499</v>
      </c>
      <c r="F10" s="118">
        <v>231020482.65370199</v>
      </c>
      <c r="G10" s="118">
        <v>227984064</v>
      </c>
      <c r="H10" s="118">
        <v>258157601</v>
      </c>
      <c r="I10" s="118">
        <v>267291756</v>
      </c>
      <c r="J10" s="118">
        <v>289169097</v>
      </c>
      <c r="K10" s="118">
        <v>252730385</v>
      </c>
      <c r="L10" s="118">
        <v>267618199.99999997</v>
      </c>
      <c r="M10" s="118">
        <v>274704218</v>
      </c>
      <c r="N10" s="118">
        <v>279516638.00000006</v>
      </c>
      <c r="O10" s="118">
        <v>236883326.99999997</v>
      </c>
      <c r="P10" s="118">
        <v>270863286</v>
      </c>
      <c r="Q10" s="118">
        <v>312318773</v>
      </c>
      <c r="R10" s="118">
        <v>317934409</v>
      </c>
      <c r="S10" s="118">
        <v>275686317</v>
      </c>
      <c r="T10" s="118">
        <v>319544093</v>
      </c>
      <c r="U10" s="118">
        <v>323539614</v>
      </c>
      <c r="V10" s="118">
        <v>316504826</v>
      </c>
      <c r="W10" s="118">
        <v>257502156</v>
      </c>
      <c r="X10" s="118">
        <v>276994777.32499999</v>
      </c>
      <c r="Y10" s="118">
        <v>274538876</v>
      </c>
      <c r="Z10" s="118">
        <v>314388861.99999994</v>
      </c>
      <c r="AA10" s="118">
        <v>216575370</v>
      </c>
      <c r="AB10" s="118">
        <v>199009022</v>
      </c>
      <c r="AC10" s="118">
        <v>193739778</v>
      </c>
      <c r="AD10" s="118">
        <v>208263365.99999994</v>
      </c>
      <c r="AE10" s="118">
        <v>139201311</v>
      </c>
      <c r="AF10" s="118">
        <v>156608965.00000006</v>
      </c>
      <c r="AG10" s="118">
        <v>165474809.00000009</v>
      </c>
      <c r="AH10" s="118">
        <v>169963251.00000003</v>
      </c>
      <c r="AI10" s="118">
        <v>140848000</v>
      </c>
      <c r="AJ10" s="118">
        <v>162583914.03599072</v>
      </c>
      <c r="AK10" s="118">
        <v>183273679</v>
      </c>
      <c r="AL10" s="118">
        <v>195783342</v>
      </c>
      <c r="AM10" s="118">
        <v>163476999</v>
      </c>
      <c r="AN10" s="118">
        <v>182617816</v>
      </c>
      <c r="AO10" s="118">
        <v>209050106</v>
      </c>
      <c r="AP10" s="118">
        <v>210511051</v>
      </c>
      <c r="AQ10" s="118">
        <v>183672549</v>
      </c>
      <c r="AR10" s="118">
        <v>215426712</v>
      </c>
      <c r="AS10" s="118">
        <v>221039091</v>
      </c>
      <c r="AT10" s="118">
        <v>241840088.99999994</v>
      </c>
      <c r="AU10" s="118">
        <v>171622198</v>
      </c>
      <c r="AV10" s="118">
        <v>60373783</v>
      </c>
      <c r="AW10" s="118">
        <v>185264007</v>
      </c>
      <c r="AX10" s="118">
        <v>203052007</v>
      </c>
      <c r="AY10" s="118">
        <v>137419233</v>
      </c>
      <c r="AZ10" s="118">
        <v>121411530</v>
      </c>
      <c r="BA10" s="118">
        <v>113637506</v>
      </c>
      <c r="BB10" s="118">
        <v>156694085</v>
      </c>
      <c r="BC10" s="118">
        <v>106370032</v>
      </c>
      <c r="BD10" s="118">
        <v>125059697</v>
      </c>
      <c r="BE10" s="118">
        <v>163033678</v>
      </c>
      <c r="BF10" s="118">
        <v>160421227</v>
      </c>
      <c r="BG10" s="118">
        <v>128142263</v>
      </c>
      <c r="BH10" s="118">
        <v>141472604</v>
      </c>
      <c r="BI10" s="118">
        <v>171539618</v>
      </c>
      <c r="BJ10" s="118">
        <v>182304515</v>
      </c>
      <c r="BK10" s="118">
        <v>143945393</v>
      </c>
      <c r="BL10" s="118">
        <v>174959814</v>
      </c>
      <c r="BM10" s="118">
        <v>209792790</v>
      </c>
      <c r="BN10" s="118">
        <v>212965900</v>
      </c>
      <c r="BO10" s="118">
        <v>138002352</v>
      </c>
      <c r="BP10" s="118">
        <v>175360451</v>
      </c>
      <c r="BQ10" s="118">
        <v>207112637</v>
      </c>
      <c r="BR10" s="118">
        <v>209031502</v>
      </c>
      <c r="BS10" s="118">
        <v>170133431</v>
      </c>
    </row>
    <row r="11" spans="2:71" x14ac:dyDescent="0.2">
      <c r="B11" s="129" t="s">
        <v>1202</v>
      </c>
      <c r="C11" s="118">
        <v>1419752.0150270001</v>
      </c>
      <c r="D11" s="118">
        <v>3337822.0098919999</v>
      </c>
      <c r="E11" s="118">
        <v>2457676.0325790001</v>
      </c>
      <c r="F11" s="118">
        <v>2190368.1151629998</v>
      </c>
      <c r="G11" s="118">
        <v>2912579</v>
      </c>
      <c r="H11" s="118">
        <v>3826421</v>
      </c>
      <c r="I11" s="118">
        <v>3812694</v>
      </c>
      <c r="J11" s="118">
        <v>4594787</v>
      </c>
      <c r="K11" s="118">
        <v>6274615</v>
      </c>
      <c r="L11" s="118">
        <v>4824800</v>
      </c>
      <c r="M11" s="118">
        <v>4363781.9999999963</v>
      </c>
      <c r="N11" s="118">
        <v>4946361.9999999776</v>
      </c>
      <c r="O11" s="118">
        <v>3495395.9999999925</v>
      </c>
      <c r="P11" s="118">
        <v>3853277.9999999888</v>
      </c>
      <c r="Q11" s="118">
        <v>3644025.9999999935</v>
      </c>
      <c r="R11" s="118">
        <v>3473304.9999999888</v>
      </c>
      <c r="S11" s="118">
        <v>3997220</v>
      </c>
      <c r="T11" s="118">
        <v>4063725</v>
      </c>
      <c r="U11" s="118">
        <v>4068615</v>
      </c>
      <c r="V11" s="118">
        <v>3214518</v>
      </c>
      <c r="W11" s="118">
        <v>2382386</v>
      </c>
      <c r="X11" s="118">
        <v>1692217.0000000005</v>
      </c>
      <c r="Y11" s="118">
        <v>2559432.9999999949</v>
      </c>
      <c r="Z11" s="118">
        <v>1706749</v>
      </c>
      <c r="AA11" s="118">
        <v>1652755.9999999956</v>
      </c>
      <c r="AB11" s="118">
        <v>3018877.9999999963</v>
      </c>
      <c r="AC11" s="118">
        <v>2670016.9999999981</v>
      </c>
      <c r="AD11" s="118">
        <v>2772525.9999999958</v>
      </c>
      <c r="AE11" s="118">
        <v>2088253</v>
      </c>
      <c r="AF11" s="118">
        <v>3732957.9999999963</v>
      </c>
      <c r="AG11" s="118">
        <v>3759148.0000000005</v>
      </c>
      <c r="AH11" s="118">
        <v>4998253.9999999991</v>
      </c>
      <c r="AI11" s="118">
        <v>5628000</v>
      </c>
      <c r="AJ11" s="118">
        <v>9563459</v>
      </c>
      <c r="AK11" s="118">
        <v>7795670</v>
      </c>
      <c r="AL11" s="118">
        <v>8454817</v>
      </c>
      <c r="AM11" s="118">
        <v>8279395</v>
      </c>
      <c r="AN11" s="118">
        <v>7387609</v>
      </c>
      <c r="AO11" s="118">
        <v>5900126</v>
      </c>
      <c r="AP11" s="118">
        <v>4212599</v>
      </c>
      <c r="AQ11" s="118">
        <v>5073661</v>
      </c>
      <c r="AR11" s="118">
        <v>4779238</v>
      </c>
      <c r="AS11" s="118">
        <v>5136923</v>
      </c>
      <c r="AT11" s="118">
        <v>3929037</v>
      </c>
      <c r="AU11" s="118">
        <v>4282920</v>
      </c>
      <c r="AV11" s="118">
        <v>796935</v>
      </c>
      <c r="AW11" s="118">
        <v>4677198</v>
      </c>
      <c r="AX11" s="118">
        <v>5666503</v>
      </c>
      <c r="AY11" s="118">
        <v>6558992</v>
      </c>
      <c r="AZ11" s="118">
        <v>5033196</v>
      </c>
      <c r="BA11" s="118">
        <v>4424281</v>
      </c>
      <c r="BB11" s="118">
        <v>7563293</v>
      </c>
      <c r="BC11" s="118">
        <v>7828676</v>
      </c>
      <c r="BD11" s="118">
        <v>7798820</v>
      </c>
      <c r="BE11" s="118">
        <v>8130470</v>
      </c>
      <c r="BF11" s="118">
        <v>9047398</v>
      </c>
      <c r="BG11" s="118">
        <v>8611261</v>
      </c>
      <c r="BH11" s="118">
        <v>8952105</v>
      </c>
      <c r="BI11" s="118">
        <v>5879877</v>
      </c>
      <c r="BJ11" s="118">
        <v>6545336</v>
      </c>
      <c r="BK11" s="118">
        <v>4856852</v>
      </c>
      <c r="BL11" s="118">
        <v>6958668</v>
      </c>
      <c r="BM11" s="118">
        <v>6642838</v>
      </c>
      <c r="BN11" s="118">
        <v>7170747</v>
      </c>
      <c r="BO11" s="118">
        <v>10438970</v>
      </c>
      <c r="BP11" s="118">
        <v>9238247</v>
      </c>
      <c r="BQ11" s="118">
        <v>13341314</v>
      </c>
      <c r="BR11" s="118">
        <v>9047803</v>
      </c>
      <c r="BS11" s="118">
        <v>6007480</v>
      </c>
    </row>
    <row r="12" spans="2:71" s="311" customFormat="1" outlineLevel="1" x14ac:dyDescent="0.2">
      <c r="B12" s="119" t="s">
        <v>1201</v>
      </c>
      <c r="C12" s="120">
        <f t="shared" ref="C12:AH12" si="8">C9/C6</f>
        <v>872.33057047080172</v>
      </c>
      <c r="D12" s="120">
        <f t="shared" si="8"/>
        <v>850.12670046425626</v>
      </c>
      <c r="E12" s="120">
        <f t="shared" si="8"/>
        <v>846.35919973118928</v>
      </c>
      <c r="F12" s="120">
        <f t="shared" si="8"/>
        <v>851.68777807796664</v>
      </c>
      <c r="G12" s="120">
        <f t="shared" si="8"/>
        <v>959.03639323971277</v>
      </c>
      <c r="H12" s="120">
        <f t="shared" si="8"/>
        <v>1028.3016954275072</v>
      </c>
      <c r="I12" s="120">
        <f t="shared" si="8"/>
        <v>953.55899236039784</v>
      </c>
      <c r="J12" s="120">
        <f t="shared" si="8"/>
        <v>968.24275623848462</v>
      </c>
      <c r="K12" s="120">
        <f t="shared" si="8"/>
        <v>1023.4924523828341</v>
      </c>
      <c r="L12" s="120">
        <f t="shared" si="8"/>
        <v>1037.1511017039484</v>
      </c>
      <c r="M12" s="120">
        <f t="shared" si="8"/>
        <v>1008.1754303571106</v>
      </c>
      <c r="N12" s="120">
        <f t="shared" si="8"/>
        <v>961.64416904151005</v>
      </c>
      <c r="O12" s="120">
        <f t="shared" si="8"/>
        <v>996.20679751672219</v>
      </c>
      <c r="P12" s="120">
        <f t="shared" si="8"/>
        <v>1011.9107421090823</v>
      </c>
      <c r="Q12" s="120">
        <f t="shared" si="8"/>
        <v>1042.3480631816471</v>
      </c>
      <c r="R12" s="120">
        <f t="shared" si="8"/>
        <v>1067.8990537325731</v>
      </c>
      <c r="S12" s="120">
        <f t="shared" si="8"/>
        <v>1067.9550225860771</v>
      </c>
      <c r="T12" s="120">
        <f t="shared" si="8"/>
        <v>1039.2063494102422</v>
      </c>
      <c r="U12" s="120">
        <f t="shared" si="8"/>
        <v>1056.8893810448619</v>
      </c>
      <c r="V12" s="120">
        <f t="shared" si="8"/>
        <v>1057.4687905167623</v>
      </c>
      <c r="W12" s="120">
        <f t="shared" si="8"/>
        <v>1100.6506973178778</v>
      </c>
      <c r="X12" s="120">
        <f t="shared" si="8"/>
        <v>1136.2318491028363</v>
      </c>
      <c r="Y12" s="120">
        <f t="shared" si="8"/>
        <v>1086.9967911627523</v>
      </c>
      <c r="Z12" s="120">
        <f t="shared" si="8"/>
        <v>1091.5808319750254</v>
      </c>
      <c r="AA12" s="120">
        <f t="shared" si="8"/>
        <v>1106.6615583559421</v>
      </c>
      <c r="AB12" s="120">
        <f t="shared" si="8"/>
        <v>1070.743587025652</v>
      </c>
      <c r="AC12" s="120">
        <f t="shared" si="8"/>
        <v>1096.7406259597399</v>
      </c>
      <c r="AD12" s="120">
        <f t="shared" si="8"/>
        <v>1052.0705914024056</v>
      </c>
      <c r="AE12" s="120">
        <f t="shared" si="8"/>
        <v>1039.8572500993569</v>
      </c>
      <c r="AF12" s="120">
        <f t="shared" si="8"/>
        <v>947.73691956686241</v>
      </c>
      <c r="AG12" s="120">
        <f t="shared" si="8"/>
        <v>948.04159454145224</v>
      </c>
      <c r="AH12" s="120">
        <f t="shared" si="8"/>
        <v>886.62175995135192</v>
      </c>
      <c r="AI12" s="120">
        <f t="shared" ref="AI12:BG12" si="9">AI9/AI6</f>
        <v>891.01117444173417</v>
      </c>
      <c r="AJ12" s="120">
        <f t="shared" si="9"/>
        <v>939.75627124782716</v>
      </c>
      <c r="AK12" s="120">
        <f t="shared" si="9"/>
        <v>978.07225381744843</v>
      </c>
      <c r="AL12" s="120">
        <f t="shared" si="9"/>
        <v>966.0578722317349</v>
      </c>
      <c r="AM12" s="120">
        <f t="shared" si="9"/>
        <v>969.2197098374254</v>
      </c>
      <c r="AN12" s="120">
        <f t="shared" si="9"/>
        <v>979.99032931892611</v>
      </c>
      <c r="AO12" s="120">
        <f t="shared" si="9"/>
        <v>1039.9643524118244</v>
      </c>
      <c r="AP12" s="120">
        <f t="shared" si="9"/>
        <v>1054.4949834746865</v>
      </c>
      <c r="AQ12" s="120">
        <f t="shared" si="9"/>
        <v>1052.5370695664296</v>
      </c>
      <c r="AR12" s="120">
        <f t="shared" si="9"/>
        <v>1057.7721576143608</v>
      </c>
      <c r="AS12" s="120">
        <f t="shared" si="9"/>
        <v>1106.0114035902727</v>
      </c>
      <c r="AT12" s="120">
        <f t="shared" si="9"/>
        <v>1071.9824396116298</v>
      </c>
      <c r="AU12" s="120">
        <f t="shared" si="9"/>
        <v>1122.6027671767904</v>
      </c>
      <c r="AV12" s="120">
        <f t="shared" si="9"/>
        <v>1079.953356166802</v>
      </c>
      <c r="AW12" s="120">
        <f t="shared" si="9"/>
        <v>1174.2016357364523</v>
      </c>
      <c r="AX12" s="120">
        <f t="shared" si="9"/>
        <v>1123.5923234280792</v>
      </c>
      <c r="AY12" s="120">
        <f t="shared" si="9"/>
        <v>1048.5632874517514</v>
      </c>
      <c r="AZ12" s="120">
        <f t="shared" si="9"/>
        <v>989.44954731479811</v>
      </c>
      <c r="BA12" s="120">
        <f t="shared" si="9"/>
        <v>1036.7300994915656</v>
      </c>
      <c r="BB12" s="120">
        <f t="shared" si="9"/>
        <v>1106.8332715645911</v>
      </c>
      <c r="BC12" s="120">
        <f t="shared" si="9"/>
        <v>978.63356528296708</v>
      </c>
      <c r="BD12" s="120">
        <f t="shared" si="9"/>
        <v>964.9034214291421</v>
      </c>
      <c r="BE12" s="120">
        <f t="shared" si="9"/>
        <v>1030.6995291028868</v>
      </c>
      <c r="BF12" s="120">
        <f t="shared" si="9"/>
        <v>1027.7054275318376</v>
      </c>
      <c r="BG12" s="120">
        <f t="shared" si="9"/>
        <v>992.32662124213596</v>
      </c>
      <c r="BH12" s="120">
        <f t="shared" ref="BH12:BM12" si="10">BH9/BH6</f>
        <v>957.99712775442617</v>
      </c>
      <c r="BI12" s="120">
        <f t="shared" si="10"/>
        <v>1045.365867310865</v>
      </c>
      <c r="BJ12" s="120">
        <f t="shared" si="10"/>
        <v>1077.27063272943</v>
      </c>
      <c r="BK12" s="120">
        <f t="shared" si="10"/>
        <v>1060.6609428905426</v>
      </c>
      <c r="BL12" s="120">
        <f t="shared" si="10"/>
        <v>1088.8236751696813</v>
      </c>
      <c r="BM12" s="120">
        <f t="shared" si="10"/>
        <v>1067.0053242886158</v>
      </c>
      <c r="BN12" s="120">
        <f t="shared" ref="BN12:BS12" si="11">BN9/BN6</f>
        <v>1088.6697641525764</v>
      </c>
      <c r="BO12" s="120">
        <f t="shared" si="11"/>
        <v>1025.5013609671848</v>
      </c>
      <c r="BP12" s="120">
        <f t="shared" si="11"/>
        <v>1082.417325835713</v>
      </c>
      <c r="BQ12" s="120">
        <f t="shared" si="11"/>
        <v>1116.1208143055317</v>
      </c>
      <c r="BR12" s="120">
        <f t="shared" si="11"/>
        <v>1154.0907960330649</v>
      </c>
      <c r="BS12" s="120">
        <f t="shared" si="11"/>
        <v>1138.4789614519507</v>
      </c>
    </row>
    <row r="13" spans="2:71" x14ac:dyDescent="0.2">
      <c r="B13" s="129" t="s">
        <v>1200</v>
      </c>
      <c r="C13" s="118">
        <v>931.95218450068717</v>
      </c>
      <c r="D13" s="118">
        <v>909.73891446433606</v>
      </c>
      <c r="E13" s="118">
        <v>898.53909018302465</v>
      </c>
      <c r="F13" s="118">
        <v>927.82291259840474</v>
      </c>
      <c r="G13" s="118">
        <v>1066.6120722726976</v>
      </c>
      <c r="H13" s="118">
        <v>1118.2140332487243</v>
      </c>
      <c r="I13" s="118">
        <v>1034.118673904044</v>
      </c>
      <c r="J13" s="118">
        <v>1066.3796267272439</v>
      </c>
      <c r="K13" s="118">
        <v>1113.7716712058314</v>
      </c>
      <c r="L13" s="118">
        <v>1126.6521845293726</v>
      </c>
      <c r="M13" s="118">
        <v>1108.8497444881286</v>
      </c>
      <c r="N13" s="118">
        <v>1084.2929938282382</v>
      </c>
      <c r="O13" s="118">
        <v>1103.7542727476048</v>
      </c>
      <c r="P13" s="118">
        <v>1112.1099943339984</v>
      </c>
      <c r="Q13" s="118">
        <v>1111.3874712206023</v>
      </c>
      <c r="R13" s="118">
        <v>1139.8521794311037</v>
      </c>
      <c r="S13" s="118">
        <v>1157.5433711922408</v>
      </c>
      <c r="T13" s="118">
        <v>1118.5228889262262</v>
      </c>
      <c r="U13" s="118">
        <v>1149.4149323935455</v>
      </c>
      <c r="V13" s="118">
        <v>1122.8990789884483</v>
      </c>
      <c r="W13" s="118">
        <v>1169.7624879617683</v>
      </c>
      <c r="X13" s="118">
        <v>1189.0484313494021</v>
      </c>
      <c r="Y13" s="118">
        <v>1152.2949289413818</v>
      </c>
      <c r="Z13" s="118">
        <v>1147.2664314151943</v>
      </c>
      <c r="AA13" s="118">
        <v>1199</v>
      </c>
      <c r="AB13" s="118">
        <v>1200.8533637455271</v>
      </c>
      <c r="AC13" s="118">
        <v>1197.4694389675569</v>
      </c>
      <c r="AD13" s="118">
        <v>1170.5713145529348</v>
      </c>
      <c r="AE13" s="118">
        <v>1178.0647675629014</v>
      </c>
      <c r="AF13" s="118">
        <v>1109.4822358400345</v>
      </c>
      <c r="AG13" s="118">
        <v>1094.3739228200131</v>
      </c>
      <c r="AH13" s="118">
        <v>1060.7587375489929</v>
      </c>
      <c r="AI13" s="118">
        <v>1128.3998686118521</v>
      </c>
      <c r="AJ13" s="118">
        <v>1163.0416192342245</v>
      </c>
      <c r="AK13" s="118">
        <v>1143.644957380159</v>
      </c>
      <c r="AL13" s="118">
        <v>1159.3868702181585</v>
      </c>
      <c r="AM13" s="118">
        <v>1208.3718243438025</v>
      </c>
      <c r="AN13" s="118">
        <v>1175.2905181457193</v>
      </c>
      <c r="AO13" s="118">
        <v>1175.7532634799579</v>
      </c>
      <c r="AP13" s="118">
        <v>1136.0369287059573</v>
      </c>
      <c r="AQ13" s="118">
        <v>1182.7560273549184</v>
      </c>
      <c r="AR13" s="118">
        <v>1186.5840750859259</v>
      </c>
      <c r="AS13" s="118">
        <v>1229.675506525585</v>
      </c>
      <c r="AT13" s="118">
        <v>1160.5668894956832</v>
      </c>
      <c r="AU13" s="118">
        <v>1266.9584969732762</v>
      </c>
      <c r="AV13" s="118">
        <v>1165.4720474112969</v>
      </c>
      <c r="AW13" s="118">
        <v>1317.5734798378494</v>
      </c>
      <c r="AX13" s="118">
        <v>1303.1608445913423</v>
      </c>
      <c r="AY13" s="118">
        <v>1198.4723186408748</v>
      </c>
      <c r="AZ13" s="118">
        <v>1160.2118571182846</v>
      </c>
      <c r="BA13" s="118">
        <v>1178.506673580503</v>
      </c>
      <c r="BB13" s="118">
        <v>1238.6590436590436</v>
      </c>
      <c r="BC13" s="118">
        <v>1164.9329974811083</v>
      </c>
      <c r="BD13" s="118">
        <v>1160.2591895051305</v>
      </c>
      <c r="BE13" s="118">
        <v>1199.7739150912155</v>
      </c>
      <c r="BF13" s="118">
        <v>1148.0800615472697</v>
      </c>
      <c r="BG13" s="118">
        <v>1121.281242890394</v>
      </c>
      <c r="BH13" s="118">
        <v>1084.1394097767695</v>
      </c>
      <c r="BI13" s="118">
        <v>1133.0150923705919</v>
      </c>
      <c r="BJ13" s="118">
        <v>1150.469295284013</v>
      </c>
      <c r="BK13" s="118">
        <v>1160.8686672365684</v>
      </c>
      <c r="BL13" s="118">
        <v>1192.5148348839587</v>
      </c>
      <c r="BM13" s="118">
        <v>1175.8696858448</v>
      </c>
      <c r="BN13" s="118">
        <v>1187.1869198994352</v>
      </c>
      <c r="BO13" s="118">
        <v>1150.4318380753102</v>
      </c>
      <c r="BP13" s="118">
        <v>1241.9999079267948</v>
      </c>
      <c r="BQ13" s="118">
        <v>1257.4763182659908</v>
      </c>
      <c r="BR13" s="118">
        <v>1255.3238247375627</v>
      </c>
      <c r="BS13" s="118">
        <v>1240.9531141729699</v>
      </c>
    </row>
    <row r="14" spans="2:71" x14ac:dyDescent="0.2">
      <c r="B14" s="129" t="s">
        <v>1199</v>
      </c>
      <c r="C14" s="118">
        <v>98.532307240405316</v>
      </c>
      <c r="D14" s="118">
        <v>168.98653351012555</v>
      </c>
      <c r="E14" s="118">
        <v>134.74839807988377</v>
      </c>
      <c r="F14" s="118">
        <v>88.21458377619814</v>
      </c>
      <c r="G14" s="118">
        <v>107.82138229741236</v>
      </c>
      <c r="H14" s="118">
        <v>160.05107183938094</v>
      </c>
      <c r="I14" s="118">
        <v>147.57863363653956</v>
      </c>
      <c r="J14" s="118">
        <v>142.56242631089049</v>
      </c>
      <c r="K14" s="118">
        <v>239.98374512353706</v>
      </c>
      <c r="L14" s="118">
        <v>191.84095427435389</v>
      </c>
      <c r="M14" s="118">
        <v>150.12839302301566</v>
      </c>
      <c r="N14" s="118">
        <v>130.09210457103723</v>
      </c>
      <c r="O14" s="118">
        <v>131.02166579203811</v>
      </c>
      <c r="P14" s="118">
        <v>137.98667860340157</v>
      </c>
      <c r="Q14" s="118">
        <v>164.82093265186094</v>
      </c>
      <c r="R14" s="118">
        <v>157.54808128458626</v>
      </c>
      <c r="S14" s="118">
        <v>168.50265576258326</v>
      </c>
      <c r="T14" s="118">
        <v>158.02936029554735</v>
      </c>
      <c r="U14" s="118">
        <v>142.79850484346483</v>
      </c>
      <c r="V14" s="118">
        <v>156.95888671874999</v>
      </c>
      <c r="W14" s="118">
        <v>149.02020391568149</v>
      </c>
      <c r="X14" s="118">
        <v>137.37757752881964</v>
      </c>
      <c r="Y14" s="118">
        <v>153.56290874182486</v>
      </c>
      <c r="Z14" s="118">
        <v>109.80820948336871</v>
      </c>
      <c r="AA14" s="118">
        <v>99.773981285843377</v>
      </c>
      <c r="AB14" s="118">
        <v>131.50141569020326</v>
      </c>
      <c r="AC14" s="118">
        <v>154.38978836590715</v>
      </c>
      <c r="AD14" s="118">
        <v>122.27237045203951</v>
      </c>
      <c r="AE14" s="118">
        <v>117.89380680855868</v>
      </c>
      <c r="AF14" s="118">
        <v>133.18199008170097</v>
      </c>
      <c r="AG14" s="118">
        <v>137.6775564019924</v>
      </c>
      <c r="AH14" s="118">
        <v>134.69841269841268</v>
      </c>
      <c r="AI14" s="118">
        <v>142.22177297078741</v>
      </c>
      <c r="AJ14" s="118">
        <v>220.40190362056649</v>
      </c>
      <c r="AK14" s="118">
        <v>222.10518818199949</v>
      </c>
      <c r="AL14" s="118">
        <v>198.72178348140835</v>
      </c>
      <c r="AM14" s="118">
        <v>197.4858076519416</v>
      </c>
      <c r="AN14" s="118">
        <v>191.86601392063162</v>
      </c>
      <c r="AO14" s="118">
        <v>204.23434525251827</v>
      </c>
      <c r="AP14" s="118">
        <v>229.89516481117658</v>
      </c>
      <c r="AQ14" s="118">
        <v>211.11226230599593</v>
      </c>
      <c r="AR14" s="118">
        <v>179.48841401584858</v>
      </c>
      <c r="AS14" s="118">
        <v>207.61116275310189</v>
      </c>
      <c r="AT14" s="118">
        <v>188.12722049317694</v>
      </c>
      <c r="AU14" s="118">
        <v>201.70104549307715</v>
      </c>
      <c r="AV14" s="118">
        <v>164.65599173553719</v>
      </c>
      <c r="AW14" s="118">
        <v>221.1232034795764</v>
      </c>
      <c r="AX14" s="118">
        <v>189.23035565202872</v>
      </c>
      <c r="AY14" s="118">
        <v>289.60579300600494</v>
      </c>
      <c r="AZ14" s="118">
        <v>217.44485246468224</v>
      </c>
      <c r="BA14" s="118">
        <v>253.48235361521714</v>
      </c>
      <c r="BB14" s="118">
        <v>345.35584474885843</v>
      </c>
      <c r="BC14" s="118">
        <v>308.43416594437002</v>
      </c>
      <c r="BD14" s="118">
        <v>260.78649055341918</v>
      </c>
      <c r="BE14" s="118">
        <v>269.40819775340469</v>
      </c>
      <c r="BF14" s="118">
        <v>359.45164878823999</v>
      </c>
      <c r="BG14" s="118">
        <v>365.98499723745164</v>
      </c>
      <c r="BH14" s="118">
        <v>337.47144418893959</v>
      </c>
      <c r="BI14" s="118">
        <v>320.97150499481415</v>
      </c>
      <c r="BJ14" s="118">
        <v>388.60868016386627</v>
      </c>
      <c r="BK14" s="118">
        <v>298.07610163250274</v>
      </c>
      <c r="BL14" s="118">
        <v>341.73098266463683</v>
      </c>
      <c r="BM14" s="118">
        <v>271.92427033443857</v>
      </c>
      <c r="BN14" s="118">
        <v>314.23080631025414</v>
      </c>
      <c r="BO14" s="118">
        <v>421.04505303916426</v>
      </c>
      <c r="BP14" s="118">
        <v>314.75067289019114</v>
      </c>
      <c r="BQ14" s="118">
        <v>406.58623106695518</v>
      </c>
      <c r="BR14" s="118">
        <v>403.09199857435624</v>
      </c>
      <c r="BS14" s="118">
        <v>341.00471135834704</v>
      </c>
    </row>
    <row r="15" spans="2:71" x14ac:dyDescent="0.2">
      <c r="B15" s="119" t="s">
        <v>627</v>
      </c>
      <c r="C15" s="1106">
        <f>C6/VLOOKUP(C5,'Dados Mercado'!$B:$E,2,0)</f>
        <v>0.26092014327445606</v>
      </c>
      <c r="D15" s="1106">
        <f>D6/VLOOKUP(D5,'Dados Mercado'!$B:$E,2,0)</f>
        <v>0.27643040078927983</v>
      </c>
      <c r="E15" s="1106">
        <f>E6/VLOOKUP(E5,'Dados Mercado'!$B:$E,2,0)</f>
        <v>0.27929164434922338</v>
      </c>
      <c r="F15" s="1106">
        <f>F6/VLOOKUP(F5,'Dados Mercado'!$B:$E,2,0)</f>
        <v>0.29855618576596732</v>
      </c>
      <c r="G15" s="1106">
        <f>G6/VLOOKUP(G5,'Dados Mercado'!$B:$E,2,0)</f>
        <v>0.29601674107280079</v>
      </c>
      <c r="H15" s="1106">
        <f>H6/VLOOKUP(H5,'Dados Mercado'!$B:$E,2,0)</f>
        <v>0.30644909084129507</v>
      </c>
      <c r="I15" s="1106">
        <f>I6/VLOOKUP(I5,'Dados Mercado'!$B:$E,2,0)</f>
        <v>0.29582536909497464</v>
      </c>
      <c r="J15" s="1106">
        <f>J6/VLOOKUP(J5,'Dados Mercado'!$B:$E,2,0)</f>
        <v>0.28225683409867297</v>
      </c>
      <c r="K15" s="1106">
        <f>K6/VLOOKUP(K5,'Dados Mercado'!$B:$E,2,0)</f>
        <v>0.28315767919463536</v>
      </c>
      <c r="L15" s="1106">
        <f>L6/VLOOKUP(L5,'Dados Mercado'!$B:$E,2,0)</f>
        <v>0.26970246730672287</v>
      </c>
      <c r="M15" s="1106">
        <f>M6/VLOOKUP(M5,'Dados Mercado'!$B:$E,2,0)</f>
        <v>0.27470379070489825</v>
      </c>
      <c r="N15" s="1106">
        <f>N6/VLOOKUP(N5,'Dados Mercado'!$B:$E,2,0)</f>
        <v>0.28919567334201479</v>
      </c>
      <c r="O15" s="1106">
        <f>O6/VLOOKUP(O5,'Dados Mercado'!$B:$E,2,0)</f>
        <v>0.27515325950117681</v>
      </c>
      <c r="P15" s="1106">
        <f>P6/VLOOKUP(P5,'Dados Mercado'!$B:$E,2,0)</f>
        <v>0.28147333300846961</v>
      </c>
      <c r="Q15" s="1106">
        <f>Q6/VLOOKUP(Q5,'Dados Mercado'!$B:$E,2,0)</f>
        <v>0.26944868647254278</v>
      </c>
      <c r="R15" s="1106">
        <f>R6/VLOOKUP(R5,'Dados Mercado'!$B:$E,2,0)</f>
        <v>0.27860554671011217</v>
      </c>
      <c r="S15" s="1106">
        <f>S6/VLOOKUP(S5,'Dados Mercado'!$B:$E,2,0)</f>
        <v>0.29296174528402141</v>
      </c>
      <c r="T15" s="1106">
        <f>T6/VLOOKUP(T5,'Dados Mercado'!$B:$E,2,0)</f>
        <v>0.29303645652478727</v>
      </c>
      <c r="U15" s="1106">
        <f>U6/VLOOKUP(U5,'Dados Mercado'!$B:$E,2,0)</f>
        <v>0.28553900006908783</v>
      </c>
      <c r="V15" s="1106">
        <f>V6/VLOOKUP(V5,'Dados Mercado'!$B:$E,2,0)</f>
        <v>0.28276321302448076</v>
      </c>
      <c r="W15" s="1106">
        <f>W6/VLOOKUP(W5,'Dados Mercado'!$B:$E,2,0)</f>
        <v>0.27968728715685987</v>
      </c>
      <c r="X15" s="1106">
        <f>X6/VLOOKUP(X5,'Dados Mercado'!$B:$E,2,0)</f>
        <v>0.27331178244973597</v>
      </c>
      <c r="Y15" s="1106">
        <f>Y6/VLOOKUP(Y5,'Dados Mercado'!$B:$E,2,0)</f>
        <v>0.28066036177872705</v>
      </c>
      <c r="Z15" s="1106">
        <f>Z6/VLOOKUP(Z5,'Dados Mercado'!$B:$E,2,0)</f>
        <v>0.29143330444925508</v>
      </c>
      <c r="AA15" s="1106">
        <f>AA6/VLOOKUP(AA5,'Dados Mercado'!$B:$E,2,0)</f>
        <v>0.27245157368261075</v>
      </c>
      <c r="AB15" s="1106">
        <f>AB6/VLOOKUP(AB5,'Dados Mercado'!$B:$E,2,0)</f>
        <v>0.25733138029890157</v>
      </c>
      <c r="AC15" s="1106">
        <f>AC6/VLOOKUP(AC5,'Dados Mercado'!$B:$E,2,0)</f>
        <v>0.2551991746301368</v>
      </c>
      <c r="AD15" s="1106">
        <f>AD6/VLOOKUP(AD5,'Dados Mercado'!$B:$E,2,0)</f>
        <v>0.28220138208911549</v>
      </c>
      <c r="AE15" s="1106">
        <f>AE6/VLOOKUP(AE5,'Dados Mercado'!$B:$E,2,0)</f>
        <v>0.24194476051076316</v>
      </c>
      <c r="AF15" s="1106">
        <f>AF6/VLOOKUP(AF5,'Dados Mercado'!$B:$E,2,0)</f>
        <v>0.2753663760831776</v>
      </c>
      <c r="AG15" s="1106">
        <f>AG6/VLOOKUP(AG5,'Dados Mercado'!$B:$E,2,0)</f>
        <v>0.28512034346883719</v>
      </c>
      <c r="AH15" s="1106">
        <f>AH6/VLOOKUP(AH5,'Dados Mercado'!$B:$E,2,0)</f>
        <v>0.29209759332365276</v>
      </c>
      <c r="AI15" s="1106">
        <f>AI6/VLOOKUP(AI5,'Dados Mercado'!$B:$E,2,0)</f>
        <v>0.26257297331831941</v>
      </c>
      <c r="AJ15" s="1106">
        <f>AJ6/VLOOKUP(AJ5,'Dados Mercado'!$B:$E,2,0)</f>
        <v>0.25331714460745336</v>
      </c>
      <c r="AK15" s="1106">
        <f>AK6/VLOOKUP(AK5,'Dados Mercado'!$B:$E,2,0)</f>
        <v>0.25539912118427022</v>
      </c>
      <c r="AL15" s="1106">
        <f>AL6/VLOOKUP(AL5,'Dados Mercado'!$B:$E,2,0)</f>
        <v>0.26881073747677942</v>
      </c>
      <c r="AM15" s="1106">
        <f>AM6/VLOOKUP(AM5,'Dados Mercado'!$B:$E,2,0)</f>
        <v>0.25364883839764574</v>
      </c>
      <c r="AN15" s="1106">
        <f>AN6/VLOOKUP(AN5,'Dados Mercado'!$B:$E,2,0)</f>
        <v>0.24529022773651338</v>
      </c>
      <c r="AO15" s="1106">
        <f>AO6/VLOOKUP(AO5,'Dados Mercado'!$B:$E,2,0)</f>
        <v>0.26122619213123871</v>
      </c>
      <c r="AP15" s="1106">
        <f>AP6/VLOOKUP(AP5,'Dados Mercado'!$B:$E,2,0)</f>
        <v>0.25760504616287688</v>
      </c>
      <c r="AQ15" s="1106">
        <f>AQ6/VLOOKUP(AQ5,'Dados Mercado'!$B:$E,2,0)</f>
        <v>0.26316407379307005</v>
      </c>
      <c r="AR15" s="1106">
        <f>AR6/VLOOKUP(AR5,'Dados Mercado'!$B:$E,2,0)</f>
        <v>0.26601183501513559</v>
      </c>
      <c r="AS15" s="1106">
        <f>AS6/VLOOKUP(AS5,'Dados Mercado'!$B:$E,2,0)</f>
        <v>0.2560693713999499</v>
      </c>
      <c r="AT15" s="1106">
        <f>AT6/VLOOKUP(AT5,'Dados Mercado'!$B:$E,2,0)</f>
        <v>0.28287646471663125</v>
      </c>
      <c r="AU15" s="1106">
        <f>AU6/VLOOKUP(AU5,'Dados Mercado'!$B:$E,2,0)</f>
        <v>0.25293011468648863</v>
      </c>
      <c r="AV15" s="1106">
        <f>AV6/VLOOKUP(AV5,'Dados Mercado'!$B:$E,2,0)</f>
        <v>0.21894689642909604</v>
      </c>
      <c r="AW15" s="1106">
        <f>AW6/VLOOKUP(AW5,'Dados Mercado'!$B:$E,2,0)</f>
        <v>0.26134441426842725</v>
      </c>
      <c r="AX15" s="1106">
        <f>AX6/VLOOKUP(AX5,'Dados Mercado'!$B:$E,2,0)</f>
        <v>0.24294484304580849</v>
      </c>
      <c r="AY15" s="1106">
        <f>AY6/VLOOKUP(AY5,'Dados Mercado'!$B:$E,2,0)</f>
        <v>0.23345966100657481</v>
      </c>
      <c r="AZ15" s="1106">
        <f>AZ6/VLOOKUP(AZ5,'Dados Mercado'!$B:$E,2,0)</f>
        <v>0.2104423318551063</v>
      </c>
      <c r="BA15" s="1106">
        <f>BA6/VLOOKUP(BA5,'Dados Mercado'!$B:$E,2,0)</f>
        <v>0.21352966434597059</v>
      </c>
      <c r="BB15" s="1106">
        <f>BB6/VLOOKUP(BB5,'Dados Mercado'!$B:$E,2,0)</f>
        <v>0.24824276447189259</v>
      </c>
      <c r="BC15" s="1106">
        <f>BC6/VLOOKUP(BC5,'Dados Mercado'!$B:$E,2,0)</f>
        <v>0.24417967164266552</v>
      </c>
      <c r="BD15" s="1106">
        <f>BD6/VLOOKUP(BD5,'Dados Mercado'!$B:$E,2,0)</f>
        <v>0.22638763977514309</v>
      </c>
      <c r="BE15" s="1106">
        <f>BE6/VLOOKUP(BE5,'Dados Mercado'!$B:$E,2,0)</f>
        <v>0.25430617320249427</v>
      </c>
      <c r="BF15" s="1106">
        <f>BF6/VLOOKUP(BF5,'Dados Mercado'!$B:$E,2,0)</f>
        <v>0.24552501258148185</v>
      </c>
      <c r="BG15" s="1106">
        <f>BG6/VLOOKUP(BG5,'Dados Mercado'!$B:$E,2,0)</f>
        <v>0.25248109749059683</v>
      </c>
      <c r="BH15" s="1106">
        <f>BH6/VLOOKUP(BH5,'Dados Mercado'!$B:$E,2,0)</f>
        <v>0.25787400928228188</v>
      </c>
      <c r="BI15" s="1106">
        <f>BI6/VLOOKUP(BI5,'Dados Mercado'!$B:$E,2,0)</f>
        <v>0.24711454600783045</v>
      </c>
      <c r="BJ15" s="1106">
        <f>BJ6/VLOOKUP(BJ5,'Dados Mercado'!$B:$E,2,0)</f>
        <v>0.24316369134312624</v>
      </c>
      <c r="BK15" s="1106">
        <f>BK6/VLOOKUP(BK5,'Dados Mercado'!$B:$E,2,0)</f>
        <v>0.24961212725072948</v>
      </c>
      <c r="BL15" s="1106">
        <f>BL6/VLOOKUP(BL5,'Dados Mercado'!$B:$E,2,0)</f>
        <v>0.24847157220975488</v>
      </c>
      <c r="BM15" s="1106">
        <f>BM6/VLOOKUP(BM5,'Dados Mercado'!$B:$E,2,0)</f>
        <v>0.2577524994536019</v>
      </c>
      <c r="BN15" s="1106">
        <f>BN6/VLOOKUP(BN5,'Dados Mercado'!$B:$E,2,0)</f>
        <v>0.24018705909323615</v>
      </c>
      <c r="BO15" s="1106">
        <f>BO6/VLOOKUP(BO5,'Dados Mercado'!$B:$E,2,0)</f>
        <v>0.22849394471314735</v>
      </c>
      <c r="BP15" s="1106">
        <f>BP6/VLOOKUP(BP5,'Dados Mercado'!$B:$E,2,0)</f>
        <v>0.22524899918244004</v>
      </c>
      <c r="BQ15" s="1106">
        <f>BQ6/VLOOKUP(BQ5,'Dados Mercado'!$B:$E,2,0)</f>
        <v>0.23936295265771673</v>
      </c>
      <c r="BR15" s="1106">
        <f>BR6/VLOOKUP(BR5,'Dados Mercado'!$B:$E,2,0)</f>
        <v>0.22726501904478982</v>
      </c>
      <c r="BS15" s="1106">
        <f>BS6/VLOOKUP(BS5,'Dados Mercado'!$B:$E,2,0)</f>
        <v>0.22329633280557909</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38">
    <pageSetUpPr autoPageBreaks="0"/>
  </sheetPr>
  <dimension ref="B1:Z80"/>
  <sheetViews>
    <sheetView showGridLines="0" zoomScaleNormal="100" workbookViewId="0">
      <pane xSplit="1" ySplit="5" topLeftCell="B48" activePane="bottomRight" state="frozen"/>
      <selection activeCell="AY7" sqref="AY7"/>
      <selection pane="topRight" activeCell="AY7" sqref="AY7"/>
      <selection pane="bottomLeft" activeCell="AY7" sqref="AY7"/>
      <selection pane="bottomRight" activeCell="E2" sqref="E2"/>
    </sheetView>
  </sheetViews>
  <sheetFormatPr defaultRowHeight="12.75" outlineLevelRow="1" x14ac:dyDescent="0.2"/>
  <cols>
    <col min="1" max="1" width="1.42578125" customWidth="1"/>
    <col min="2" max="2" width="16.85546875" style="273" bestFit="1" customWidth="1"/>
    <col min="3" max="4" width="10.85546875" customWidth="1"/>
    <col min="5" max="5" width="15" customWidth="1"/>
    <col min="6" max="6" width="12.85546875" customWidth="1"/>
    <col min="7" max="7" width="10.85546875" customWidth="1"/>
    <col min="8" max="8" width="11.42578125" customWidth="1"/>
    <col min="9" max="9" width="15.140625" customWidth="1"/>
    <col min="10" max="10" width="12.5703125" customWidth="1"/>
    <col min="11" max="11" width="15" customWidth="1"/>
    <col min="12" max="12" width="10.85546875" customWidth="1"/>
    <col min="13" max="13" width="10.85546875" style="142" customWidth="1"/>
    <col min="14" max="14" width="2.140625" customWidth="1"/>
    <col min="15" max="15" width="16.85546875" style="245" bestFit="1" customWidth="1"/>
    <col min="16" max="17" width="10.85546875" customWidth="1"/>
    <col min="18" max="18" width="12.140625" customWidth="1"/>
    <col min="19" max="20" width="10.85546875" customWidth="1"/>
    <col min="21" max="21" width="11.42578125" customWidth="1"/>
    <col min="22" max="22" width="15.140625" customWidth="1"/>
    <col min="23" max="26" width="10.85546875" customWidth="1"/>
  </cols>
  <sheetData>
    <row r="1" spans="2:26" s="544" customFormat="1" ht="7.5" customHeight="1" x14ac:dyDescent="0.2">
      <c r="B1" s="551"/>
      <c r="C1" s="552"/>
      <c r="D1" s="552"/>
      <c r="E1" s="552"/>
      <c r="F1" s="552"/>
      <c r="G1" s="552"/>
      <c r="H1" s="552"/>
      <c r="I1" s="552"/>
      <c r="J1" s="552"/>
      <c r="K1" s="552"/>
      <c r="L1" s="552"/>
      <c r="M1" s="553"/>
      <c r="O1" s="551"/>
      <c r="P1" s="552"/>
      <c r="Q1" s="552"/>
      <c r="R1" s="552"/>
      <c r="S1" s="552"/>
      <c r="T1" s="552"/>
      <c r="U1" s="552"/>
      <c r="V1" s="552"/>
      <c r="W1" s="552"/>
      <c r="X1" s="552"/>
      <c r="Y1" s="552"/>
      <c r="Z1" s="552"/>
    </row>
    <row r="2" spans="2:26" s="544" customFormat="1" ht="12.75" customHeight="1" x14ac:dyDescent="0.2">
      <c r="B2" s="551"/>
      <c r="C2" s="552"/>
      <c r="D2" s="552"/>
      <c r="E2" s="552"/>
      <c r="F2" s="552"/>
      <c r="G2" s="552"/>
      <c r="H2" s="552"/>
      <c r="I2" s="552"/>
      <c r="J2" s="552"/>
      <c r="K2" s="552"/>
      <c r="L2" s="552"/>
      <c r="M2" s="553"/>
      <c r="O2" s="551"/>
      <c r="P2" s="552"/>
      <c r="Q2" s="552"/>
      <c r="R2" s="552"/>
      <c r="S2" s="552"/>
      <c r="T2" s="552"/>
      <c r="U2" s="552"/>
      <c r="V2" s="552"/>
      <c r="W2" s="552"/>
      <c r="X2" s="552"/>
      <c r="Y2" s="552"/>
      <c r="Z2" s="552"/>
    </row>
    <row r="3" spans="2:26" ht="12.75" customHeight="1" x14ac:dyDescent="0.2">
      <c r="B3" s="244"/>
      <c r="C3" s="552"/>
      <c r="D3" s="552"/>
      <c r="E3" s="552"/>
      <c r="F3" s="552"/>
      <c r="G3" s="552"/>
      <c r="H3" s="552"/>
      <c r="I3" s="552"/>
      <c r="J3" s="552"/>
      <c r="K3" s="552"/>
      <c r="L3" s="552"/>
      <c r="M3" s="553"/>
      <c r="O3" s="244"/>
      <c r="P3" s="46"/>
      <c r="Q3" s="46"/>
      <c r="R3" s="46"/>
      <c r="S3" s="46"/>
      <c r="T3" s="46"/>
      <c r="U3" s="46"/>
      <c r="V3" s="46"/>
      <c r="W3" s="46"/>
      <c r="X3" s="46"/>
      <c r="Y3" s="46"/>
      <c r="Z3" s="46"/>
    </row>
    <row r="4" spans="2:26" ht="12.75" customHeight="1" x14ac:dyDescent="0.2">
      <c r="B4" s="244"/>
      <c r="C4" s="552"/>
      <c r="D4" s="552"/>
      <c r="E4" s="552"/>
      <c r="F4" s="552"/>
      <c r="G4" s="552"/>
      <c r="H4" s="552"/>
      <c r="I4" s="552"/>
      <c r="J4" s="552"/>
      <c r="K4" s="552"/>
      <c r="L4" s="552"/>
      <c r="M4" s="553"/>
      <c r="O4" s="244"/>
      <c r="P4" s="46"/>
      <c r="Q4" s="46"/>
      <c r="R4" s="46"/>
      <c r="S4" s="46"/>
      <c r="T4" s="46"/>
      <c r="U4" s="46"/>
      <c r="V4" s="46"/>
      <c r="W4" s="46"/>
      <c r="X4" s="46"/>
      <c r="Y4" s="46"/>
      <c r="Z4" s="46"/>
    </row>
    <row r="5" spans="2:26" ht="51" x14ac:dyDescent="0.2">
      <c r="B5" s="145" t="s">
        <v>104</v>
      </c>
      <c r="C5" s="539" t="s">
        <v>105</v>
      </c>
      <c r="D5" s="145" t="s">
        <v>106</v>
      </c>
      <c r="E5" s="145" t="s">
        <v>107</v>
      </c>
      <c r="F5" s="145" t="s">
        <v>108</v>
      </c>
      <c r="G5" s="145" t="s">
        <v>109</v>
      </c>
      <c r="H5" s="145" t="s">
        <v>404</v>
      </c>
      <c r="I5" s="145" t="s">
        <v>510</v>
      </c>
      <c r="J5" s="274" t="s">
        <v>553</v>
      </c>
      <c r="K5" s="145" t="s">
        <v>110</v>
      </c>
      <c r="L5" s="325" t="s">
        <v>1328</v>
      </c>
      <c r="M5" s="145" t="s">
        <v>112</v>
      </c>
      <c r="O5" s="145" t="s">
        <v>104</v>
      </c>
      <c r="P5" s="539" t="str">
        <f>C5</f>
        <v>Terrenos</v>
      </c>
      <c r="Q5" s="145" t="str">
        <f t="shared" ref="Q5:X5" si="0">D5</f>
        <v>Edifícios</v>
      </c>
      <c r="R5" s="145" t="str">
        <f t="shared" si="0"/>
        <v>Computadores e periféricos</v>
      </c>
      <c r="S5" s="145" t="str">
        <f t="shared" si="0"/>
        <v>Instalações</v>
      </c>
      <c r="T5" s="145" t="str">
        <f t="shared" si="0"/>
        <v>Veículos</v>
      </c>
      <c r="U5" s="145" t="str">
        <f t="shared" si="0"/>
        <v>Máquinas e equipamentos</v>
      </c>
      <c r="V5" s="145" t="str">
        <f t="shared" si="0"/>
        <v>Benfeitorias  em propriedade de terceiros</v>
      </c>
      <c r="W5" s="274" t="str">
        <f t="shared" si="0"/>
        <v>Móveis, utensílios e embalagens e outros</v>
      </c>
      <c r="X5" s="145" t="str">
        <f t="shared" si="0"/>
        <v>Imobilizado andamento</v>
      </c>
      <c r="Y5" s="145" t="s">
        <v>112</v>
      </c>
      <c r="Z5" s="325" t="str">
        <f>L5</f>
        <v>Intangível (Software e em andamento)</v>
      </c>
    </row>
    <row r="6" spans="2:26" ht="15" customHeight="1" outlineLevel="1" x14ac:dyDescent="0.2">
      <c r="B6" s="272" t="s">
        <v>3</v>
      </c>
      <c r="C6" s="118">
        <v>0</v>
      </c>
      <c r="D6" s="118">
        <v>0</v>
      </c>
      <c r="E6" s="118">
        <v>498</v>
      </c>
      <c r="F6" s="118">
        <v>265</v>
      </c>
      <c r="G6" s="118">
        <v>2265</v>
      </c>
      <c r="H6" s="118">
        <v>646</v>
      </c>
      <c r="I6" s="118">
        <v>306</v>
      </c>
      <c r="J6" s="118">
        <v>186</v>
      </c>
      <c r="K6" s="118">
        <v>7832</v>
      </c>
      <c r="L6" s="326">
        <v>0</v>
      </c>
      <c r="M6" s="121">
        <f t="shared" ref="M6:M16" si="1">+SUM(C6:K6)</f>
        <v>11998</v>
      </c>
      <c r="O6" s="271" t="s">
        <v>1344</v>
      </c>
      <c r="P6" s="118">
        <v>0</v>
      </c>
      <c r="Q6" s="118">
        <v>0</v>
      </c>
      <c r="R6" s="118">
        <v>0</v>
      </c>
      <c r="S6" s="118">
        <v>0</v>
      </c>
      <c r="T6" s="118">
        <v>0</v>
      </c>
      <c r="U6" s="118">
        <v>0</v>
      </c>
      <c r="V6" s="118">
        <v>0</v>
      </c>
      <c r="W6" s="118">
        <v>0</v>
      </c>
      <c r="X6" s="118">
        <v>0</v>
      </c>
      <c r="Y6" s="118">
        <v>0</v>
      </c>
      <c r="Z6" s="326"/>
    </row>
    <row r="7" spans="2:26" ht="15" customHeight="1" outlineLevel="1" x14ac:dyDescent="0.2">
      <c r="B7" s="272" t="s">
        <v>2</v>
      </c>
      <c r="C7" s="118">
        <v>0</v>
      </c>
      <c r="D7" s="118">
        <v>0</v>
      </c>
      <c r="E7" s="118">
        <v>1176</v>
      </c>
      <c r="F7" s="118">
        <v>772</v>
      </c>
      <c r="G7" s="118">
        <v>1462</v>
      </c>
      <c r="H7" s="118">
        <v>443</v>
      </c>
      <c r="I7" s="118">
        <v>131</v>
      </c>
      <c r="J7" s="118">
        <v>66</v>
      </c>
      <c r="K7" s="118">
        <v>3691</v>
      </c>
      <c r="L7" s="326">
        <v>0</v>
      </c>
      <c r="M7" s="121">
        <f t="shared" si="1"/>
        <v>7741</v>
      </c>
      <c r="O7" s="271">
        <v>41426</v>
      </c>
      <c r="P7" s="118">
        <v>0</v>
      </c>
      <c r="Q7" s="118">
        <v>0</v>
      </c>
      <c r="R7" s="118">
        <v>0</v>
      </c>
      <c r="S7" s="118">
        <v>0</v>
      </c>
      <c r="T7" s="118">
        <v>0</v>
      </c>
      <c r="U7" s="118">
        <v>0</v>
      </c>
      <c r="V7" s="118">
        <v>0</v>
      </c>
      <c r="W7" s="118">
        <v>0</v>
      </c>
      <c r="X7" s="118">
        <v>0</v>
      </c>
      <c r="Y7" s="118">
        <v>0</v>
      </c>
      <c r="Z7" s="326"/>
    </row>
    <row r="8" spans="2:26" ht="15" customHeight="1" outlineLevel="1" x14ac:dyDescent="0.2">
      <c r="B8" s="272" t="s">
        <v>1</v>
      </c>
      <c r="C8" s="118">
        <v>6742</v>
      </c>
      <c r="D8" s="118">
        <v>34</v>
      </c>
      <c r="E8" s="118">
        <v>994</v>
      </c>
      <c r="F8" s="118">
        <v>632</v>
      </c>
      <c r="G8" s="118">
        <v>185</v>
      </c>
      <c r="H8" s="118">
        <v>351</v>
      </c>
      <c r="I8" s="118">
        <v>1221</v>
      </c>
      <c r="J8" s="118">
        <v>112</v>
      </c>
      <c r="K8" s="118">
        <v>5978</v>
      </c>
      <c r="L8" s="326">
        <v>0</v>
      </c>
      <c r="M8" s="121">
        <f t="shared" si="1"/>
        <v>16249</v>
      </c>
      <c r="O8" s="271">
        <v>41518</v>
      </c>
      <c r="P8" s="118">
        <v>0</v>
      </c>
      <c r="Q8" s="118">
        <v>0</v>
      </c>
      <c r="R8" s="118">
        <v>0</v>
      </c>
      <c r="S8" s="118">
        <v>0</v>
      </c>
      <c r="T8" s="118">
        <v>0</v>
      </c>
      <c r="U8" s="118">
        <v>0</v>
      </c>
      <c r="V8" s="118">
        <v>0</v>
      </c>
      <c r="W8" s="118">
        <v>0</v>
      </c>
      <c r="X8" s="118">
        <v>0</v>
      </c>
      <c r="Y8" s="118">
        <v>0</v>
      </c>
      <c r="Z8" s="326"/>
    </row>
    <row r="9" spans="2:26" ht="15" customHeight="1" outlineLevel="1" x14ac:dyDescent="0.2">
      <c r="B9" s="272" t="s">
        <v>0</v>
      </c>
      <c r="C9" s="118">
        <v>1499.7803700000004</v>
      </c>
      <c r="D9" s="118">
        <v>0.2</v>
      </c>
      <c r="E9" s="118">
        <v>505.71554999999989</v>
      </c>
      <c r="F9" s="118">
        <v>26</v>
      </c>
      <c r="G9" s="118">
        <v>48.193629999999999</v>
      </c>
      <c r="H9" s="118">
        <v>40</v>
      </c>
      <c r="I9" s="118">
        <v>451</v>
      </c>
      <c r="J9" s="118">
        <v>195</v>
      </c>
      <c r="K9" s="118">
        <v>1089</v>
      </c>
      <c r="L9" s="326">
        <v>0</v>
      </c>
      <c r="M9" s="121">
        <f t="shared" si="1"/>
        <v>3854.8895500000003</v>
      </c>
      <c r="O9" s="271">
        <v>41609</v>
      </c>
      <c r="P9" s="118">
        <v>0</v>
      </c>
      <c r="Q9" s="118">
        <v>0</v>
      </c>
      <c r="R9" s="118">
        <v>0</v>
      </c>
      <c r="S9" s="118">
        <v>0</v>
      </c>
      <c r="T9" s="118">
        <v>0</v>
      </c>
      <c r="U9" s="118">
        <v>0</v>
      </c>
      <c r="V9" s="118">
        <v>0</v>
      </c>
      <c r="W9" s="118">
        <v>0</v>
      </c>
      <c r="X9" s="118">
        <v>0</v>
      </c>
      <c r="Y9" s="118">
        <v>0</v>
      </c>
      <c r="Z9" s="326"/>
    </row>
    <row r="10" spans="2:26" ht="15" customHeight="1" outlineLevel="1" x14ac:dyDescent="0.2">
      <c r="B10" s="272" t="s">
        <v>45</v>
      </c>
      <c r="C10" s="118">
        <v>0</v>
      </c>
      <c r="D10" s="118">
        <v>0</v>
      </c>
      <c r="E10" s="118">
        <v>281</v>
      </c>
      <c r="F10" s="118">
        <v>140</v>
      </c>
      <c r="G10" s="118">
        <v>181</v>
      </c>
      <c r="H10" s="118">
        <v>179</v>
      </c>
      <c r="I10" s="118">
        <v>201</v>
      </c>
      <c r="J10" s="118">
        <v>91</v>
      </c>
      <c r="K10" s="118">
        <v>3880</v>
      </c>
      <c r="L10" s="326">
        <v>0</v>
      </c>
      <c r="M10" s="121">
        <f t="shared" si="1"/>
        <v>4953</v>
      </c>
      <c r="O10" s="271">
        <v>41699</v>
      </c>
      <c r="P10" s="118">
        <v>0</v>
      </c>
      <c r="Q10" s="118">
        <v>0</v>
      </c>
      <c r="R10" s="118">
        <v>0</v>
      </c>
      <c r="S10" s="118">
        <v>0</v>
      </c>
      <c r="T10" s="118">
        <v>0</v>
      </c>
      <c r="U10" s="118">
        <v>0</v>
      </c>
      <c r="V10" s="118">
        <v>0</v>
      </c>
      <c r="W10" s="118">
        <v>0</v>
      </c>
      <c r="X10" s="118">
        <v>0</v>
      </c>
      <c r="Y10" s="118">
        <v>0</v>
      </c>
      <c r="Z10" s="326"/>
    </row>
    <row r="11" spans="2:26" ht="15" customHeight="1" outlineLevel="1" x14ac:dyDescent="0.2">
      <c r="B11" s="272" t="s">
        <v>55</v>
      </c>
      <c r="C11" s="118">
        <v>0</v>
      </c>
      <c r="D11" s="118">
        <v>0</v>
      </c>
      <c r="E11" s="118">
        <v>57</v>
      </c>
      <c r="F11" s="118">
        <v>36</v>
      </c>
      <c r="G11" s="118">
        <v>56</v>
      </c>
      <c r="H11" s="118">
        <v>-33</v>
      </c>
      <c r="I11" s="118">
        <v>145</v>
      </c>
      <c r="J11" s="118">
        <v>30</v>
      </c>
      <c r="K11" s="118">
        <v>5933</v>
      </c>
      <c r="L11" s="326">
        <v>0</v>
      </c>
      <c r="M11" s="121">
        <f t="shared" si="1"/>
        <v>6224</v>
      </c>
      <c r="O11" s="271">
        <v>41791</v>
      </c>
      <c r="P11" s="118">
        <v>0</v>
      </c>
      <c r="Q11" s="118">
        <v>0</v>
      </c>
      <c r="R11" s="118">
        <v>0</v>
      </c>
      <c r="S11" s="118">
        <v>0</v>
      </c>
      <c r="T11" s="118">
        <v>0</v>
      </c>
      <c r="U11" s="118">
        <v>0</v>
      </c>
      <c r="V11" s="118">
        <v>0</v>
      </c>
      <c r="W11" s="118">
        <v>0</v>
      </c>
      <c r="X11" s="118">
        <v>0</v>
      </c>
      <c r="Y11" s="118">
        <v>0</v>
      </c>
      <c r="Z11" s="326"/>
    </row>
    <row r="12" spans="2:26" ht="15" customHeight="1" outlineLevel="1" x14ac:dyDescent="0.2">
      <c r="B12" s="272" t="s">
        <v>71</v>
      </c>
      <c r="C12" s="118">
        <v>640</v>
      </c>
      <c r="D12" s="118">
        <v>0</v>
      </c>
      <c r="E12" s="118">
        <v>337</v>
      </c>
      <c r="F12" s="118">
        <v>58</v>
      </c>
      <c r="G12" s="118">
        <v>204</v>
      </c>
      <c r="H12" s="118">
        <v>11</v>
      </c>
      <c r="I12" s="118">
        <v>12</v>
      </c>
      <c r="J12" s="118">
        <v>27</v>
      </c>
      <c r="K12" s="118">
        <v>5715</v>
      </c>
      <c r="L12" s="326">
        <v>0</v>
      </c>
      <c r="M12" s="121">
        <f t="shared" si="1"/>
        <v>7004</v>
      </c>
      <c r="O12" s="271">
        <v>41883</v>
      </c>
      <c r="P12" s="118">
        <v>0</v>
      </c>
      <c r="Q12" s="118">
        <v>0</v>
      </c>
      <c r="R12" s="118">
        <v>0</v>
      </c>
      <c r="S12" s="118">
        <v>0</v>
      </c>
      <c r="T12" s="118">
        <v>0</v>
      </c>
      <c r="U12" s="118">
        <v>0</v>
      </c>
      <c r="V12" s="118">
        <v>0</v>
      </c>
      <c r="W12" s="118">
        <v>0</v>
      </c>
      <c r="X12" s="118">
        <v>0</v>
      </c>
      <c r="Y12" s="118">
        <v>0</v>
      </c>
      <c r="Z12" s="326"/>
    </row>
    <row r="13" spans="2:26" ht="15" customHeight="1" outlineLevel="1" x14ac:dyDescent="0.2">
      <c r="B13" s="272" t="s">
        <v>77</v>
      </c>
      <c r="C13" s="118">
        <v>0</v>
      </c>
      <c r="D13" s="118">
        <v>0</v>
      </c>
      <c r="E13" s="118">
        <v>109</v>
      </c>
      <c r="F13" s="118">
        <v>12</v>
      </c>
      <c r="G13" s="118">
        <v>545</v>
      </c>
      <c r="H13" s="118">
        <v>9</v>
      </c>
      <c r="I13" s="118">
        <v>70</v>
      </c>
      <c r="J13" s="118">
        <v>74</v>
      </c>
      <c r="K13" s="118">
        <v>20813</v>
      </c>
      <c r="L13" s="326">
        <v>0</v>
      </c>
      <c r="M13" s="121">
        <f t="shared" si="1"/>
        <v>21632</v>
      </c>
      <c r="O13" s="271">
        <v>41974</v>
      </c>
      <c r="P13" s="118">
        <v>38296</v>
      </c>
      <c r="Q13" s="118">
        <v>17683</v>
      </c>
      <c r="R13" s="118">
        <v>4850</v>
      </c>
      <c r="S13" s="118">
        <v>13253</v>
      </c>
      <c r="T13" s="118">
        <v>45947</v>
      </c>
      <c r="U13" s="118">
        <v>9115</v>
      </c>
      <c r="V13" s="118">
        <v>19732</v>
      </c>
      <c r="W13" s="118">
        <v>3875</v>
      </c>
      <c r="X13" s="118">
        <v>36572</v>
      </c>
      <c r="Y13" s="121">
        <f t="shared" ref="Y13:Y24" si="2">+SUM(P13:X13)</f>
        <v>189323</v>
      </c>
      <c r="Z13" s="326"/>
    </row>
    <row r="14" spans="2:26" ht="15" customHeight="1" outlineLevel="1" x14ac:dyDescent="0.2">
      <c r="B14" s="272" t="s">
        <v>87</v>
      </c>
      <c r="C14" s="118">
        <v>0</v>
      </c>
      <c r="D14" s="118">
        <v>14</v>
      </c>
      <c r="E14" s="118">
        <v>98</v>
      </c>
      <c r="F14" s="118">
        <v>49</v>
      </c>
      <c r="G14" s="118">
        <v>2970</v>
      </c>
      <c r="H14" s="118">
        <v>4251</v>
      </c>
      <c r="I14" s="118">
        <v>52</v>
      </c>
      <c r="J14" s="118">
        <v>53</v>
      </c>
      <c r="K14" s="118">
        <v>4075</v>
      </c>
      <c r="L14" s="326">
        <v>0</v>
      </c>
      <c r="M14" s="121">
        <f t="shared" si="1"/>
        <v>11562</v>
      </c>
      <c r="O14" s="271">
        <v>42064</v>
      </c>
      <c r="P14" s="118">
        <v>38296</v>
      </c>
      <c r="Q14" s="118">
        <v>17476</v>
      </c>
      <c r="R14" s="118">
        <v>4936</v>
      </c>
      <c r="S14" s="118">
        <v>12982</v>
      </c>
      <c r="T14" s="118">
        <v>47449</v>
      </c>
      <c r="U14" s="118">
        <v>13289</v>
      </c>
      <c r="V14" s="118">
        <v>17647</v>
      </c>
      <c r="W14" s="118">
        <v>3960</v>
      </c>
      <c r="X14" s="118">
        <v>31331</v>
      </c>
      <c r="Y14" s="121">
        <f t="shared" si="2"/>
        <v>187366</v>
      </c>
      <c r="Z14" s="326"/>
    </row>
    <row r="15" spans="2:26" ht="15" customHeight="1" outlineLevel="1" x14ac:dyDescent="0.2">
      <c r="B15" s="272" t="s">
        <v>88</v>
      </c>
      <c r="C15" s="118">
        <v>7400</v>
      </c>
      <c r="D15" s="118">
        <v>0</v>
      </c>
      <c r="E15" s="118">
        <v>511</v>
      </c>
      <c r="F15" s="118">
        <v>12</v>
      </c>
      <c r="G15" s="118">
        <v>473</v>
      </c>
      <c r="H15" s="118">
        <v>-4213</v>
      </c>
      <c r="I15" s="118">
        <v>237</v>
      </c>
      <c r="J15" s="118">
        <v>4898</v>
      </c>
      <c r="K15" s="118">
        <v>8401</v>
      </c>
      <c r="L15" s="326">
        <v>0</v>
      </c>
      <c r="M15" s="121">
        <f t="shared" si="1"/>
        <v>17719</v>
      </c>
      <c r="O15" s="271">
        <v>42156</v>
      </c>
      <c r="P15" s="118">
        <v>45696</v>
      </c>
      <c r="Q15" s="118">
        <v>17255</v>
      </c>
      <c r="R15" s="118">
        <v>5033</v>
      </c>
      <c r="S15" s="118">
        <v>9358</v>
      </c>
      <c r="T15" s="118">
        <v>49467</v>
      </c>
      <c r="U15" s="118">
        <v>7595</v>
      </c>
      <c r="V15" s="118">
        <v>17399</v>
      </c>
      <c r="W15" s="118">
        <v>7545</v>
      </c>
      <c r="X15" s="118">
        <v>37757</v>
      </c>
      <c r="Y15" s="121">
        <f t="shared" si="2"/>
        <v>197105</v>
      </c>
      <c r="Z15" s="326"/>
    </row>
    <row r="16" spans="2:26" ht="15" customHeight="1" outlineLevel="1" x14ac:dyDescent="0.2">
      <c r="B16" s="272" t="s">
        <v>378</v>
      </c>
      <c r="C16" s="118">
        <v>10707</v>
      </c>
      <c r="D16" s="118">
        <v>0</v>
      </c>
      <c r="E16" s="118">
        <v>178</v>
      </c>
      <c r="F16" s="118">
        <v>276</v>
      </c>
      <c r="G16" s="118">
        <v>374</v>
      </c>
      <c r="H16" s="118">
        <v>78</v>
      </c>
      <c r="I16" s="118">
        <v>253</v>
      </c>
      <c r="J16" s="118">
        <v>3153</v>
      </c>
      <c r="K16" s="118">
        <v>9248</v>
      </c>
      <c r="L16" s="326">
        <v>0</v>
      </c>
      <c r="M16" s="121">
        <f t="shared" si="1"/>
        <v>24267</v>
      </c>
      <c r="O16" s="271">
        <v>42248</v>
      </c>
      <c r="P16" s="118">
        <v>56403</v>
      </c>
      <c r="Q16" s="118">
        <v>17033</v>
      </c>
      <c r="R16" s="118">
        <v>5538</v>
      </c>
      <c r="S16" s="118">
        <v>9226</v>
      </c>
      <c r="T16" s="118">
        <v>49161</v>
      </c>
      <c r="U16" s="118">
        <v>7214</v>
      </c>
      <c r="V16" s="118">
        <v>15291</v>
      </c>
      <c r="W16" s="118">
        <v>11042</v>
      </c>
      <c r="X16" s="118">
        <v>43284</v>
      </c>
      <c r="Y16" s="121">
        <f t="shared" si="2"/>
        <v>214192</v>
      </c>
      <c r="Z16" s="326"/>
    </row>
    <row r="17" spans="2:26" ht="15" customHeight="1" outlineLevel="1" x14ac:dyDescent="0.2">
      <c r="B17" s="272" t="s">
        <v>406</v>
      </c>
      <c r="C17" s="118">
        <v>0</v>
      </c>
      <c r="D17" s="118">
        <v>0</v>
      </c>
      <c r="E17" s="118">
        <v>157</v>
      </c>
      <c r="F17" s="118">
        <v>508</v>
      </c>
      <c r="G17" s="118">
        <v>150</v>
      </c>
      <c r="H17" s="118">
        <v>41</v>
      </c>
      <c r="I17" s="118">
        <v>245</v>
      </c>
      <c r="J17" s="118">
        <v>6329</v>
      </c>
      <c r="K17" s="118">
        <v>7500</v>
      </c>
      <c r="L17" s="326">
        <v>0</v>
      </c>
      <c r="M17" s="121">
        <f>+SUM(C17:K17)</f>
        <v>14930</v>
      </c>
      <c r="O17" s="271">
        <v>42339</v>
      </c>
      <c r="P17" s="118">
        <v>56403</v>
      </c>
      <c r="Q17" s="118">
        <v>16812</v>
      </c>
      <c r="R17" s="118">
        <v>6035</v>
      </c>
      <c r="S17" s="118">
        <v>10925</v>
      </c>
      <c r="T17" s="118">
        <v>47504</v>
      </c>
      <c r="U17" s="118">
        <v>6930</v>
      </c>
      <c r="V17" s="118">
        <v>15152</v>
      </c>
      <c r="W17" s="118">
        <v>16353</v>
      </c>
      <c r="X17" s="118">
        <v>44998</v>
      </c>
      <c r="Y17" s="121">
        <f t="shared" si="2"/>
        <v>221112</v>
      </c>
      <c r="Z17" s="326"/>
    </row>
    <row r="18" spans="2:26" ht="15" customHeight="1" outlineLevel="1" x14ac:dyDescent="0.2">
      <c r="B18" s="272" t="s">
        <v>467</v>
      </c>
      <c r="C18" s="118">
        <v>0</v>
      </c>
      <c r="D18" s="118">
        <v>0</v>
      </c>
      <c r="E18" s="118">
        <v>343</v>
      </c>
      <c r="F18" s="118">
        <v>111</v>
      </c>
      <c r="G18" s="118">
        <v>104</v>
      </c>
      <c r="H18" s="118">
        <v>111</v>
      </c>
      <c r="I18" s="118">
        <v>532</v>
      </c>
      <c r="J18" s="118">
        <v>2417</v>
      </c>
      <c r="K18" s="118">
        <v>6887</v>
      </c>
      <c r="L18" s="326">
        <v>0</v>
      </c>
      <c r="M18" s="121">
        <f>+SUM(C18:K18)</f>
        <v>10505</v>
      </c>
      <c r="O18" s="271">
        <v>42430</v>
      </c>
      <c r="P18" s="118">
        <v>56403</v>
      </c>
      <c r="Q18" s="118">
        <v>19482</v>
      </c>
      <c r="R18" s="118">
        <v>5795</v>
      </c>
      <c r="S18" s="118">
        <v>9441</v>
      </c>
      <c r="T18" s="118">
        <v>45210</v>
      </c>
      <c r="U18" s="118">
        <v>6516</v>
      </c>
      <c r="V18" s="118">
        <v>19601</v>
      </c>
      <c r="W18" s="118">
        <v>17384</v>
      </c>
      <c r="X18" s="118">
        <v>45166</v>
      </c>
      <c r="Y18" s="121">
        <f t="shared" si="2"/>
        <v>224998</v>
      </c>
      <c r="Z18" s="326"/>
    </row>
    <row r="19" spans="2:26" ht="15" customHeight="1" outlineLevel="1" x14ac:dyDescent="0.2">
      <c r="B19" s="272" t="s">
        <v>501</v>
      </c>
      <c r="C19" s="118">
        <v>256</v>
      </c>
      <c r="D19" s="118">
        <v>1557</v>
      </c>
      <c r="E19" s="118">
        <v>217</v>
      </c>
      <c r="F19" s="118">
        <v>586</v>
      </c>
      <c r="G19" s="118">
        <v>33</v>
      </c>
      <c r="H19" s="118">
        <v>707</v>
      </c>
      <c r="I19" s="118">
        <v>1153</v>
      </c>
      <c r="J19" s="118">
        <v>1407</v>
      </c>
      <c r="K19" s="118">
        <v>4420</v>
      </c>
      <c r="L19" s="326">
        <v>0</v>
      </c>
      <c r="M19" s="121">
        <f>+SUM(C19:K19)</f>
        <v>10336</v>
      </c>
      <c r="O19" s="271">
        <v>42522</v>
      </c>
      <c r="P19" s="118">
        <v>56659</v>
      </c>
      <c r="Q19" s="118">
        <v>35166</v>
      </c>
      <c r="R19" s="118">
        <v>6225</v>
      </c>
      <c r="S19" s="118">
        <v>11025</v>
      </c>
      <c r="T19" s="118">
        <v>42807</v>
      </c>
      <c r="U19" s="118">
        <v>7058</v>
      </c>
      <c r="V19" s="118">
        <v>14906</v>
      </c>
      <c r="W19" s="118">
        <v>17515</v>
      </c>
      <c r="X19" s="118">
        <v>32986</v>
      </c>
      <c r="Y19" s="121">
        <f t="shared" si="2"/>
        <v>224347</v>
      </c>
      <c r="Z19" s="326"/>
    </row>
    <row r="20" spans="2:26" ht="15" customHeight="1" outlineLevel="1" x14ac:dyDescent="0.2">
      <c r="B20" s="272" t="s">
        <v>511</v>
      </c>
      <c r="C20" s="118">
        <v>434</v>
      </c>
      <c r="D20" s="118">
        <v>157</v>
      </c>
      <c r="E20" s="118">
        <v>92</v>
      </c>
      <c r="F20" s="118">
        <v>545</v>
      </c>
      <c r="G20" s="118">
        <v>0</v>
      </c>
      <c r="H20" s="118">
        <v>68</v>
      </c>
      <c r="I20" s="118">
        <v>527</v>
      </c>
      <c r="J20" s="118">
        <v>46</v>
      </c>
      <c r="K20" s="118">
        <v>2124</v>
      </c>
      <c r="L20" s="326">
        <v>0</v>
      </c>
      <c r="M20" s="121">
        <f>+SUM(C20:K20)</f>
        <v>3993</v>
      </c>
      <c r="O20" s="271">
        <v>42614</v>
      </c>
      <c r="P20" s="118">
        <v>57093</v>
      </c>
      <c r="Q20" s="118">
        <v>35119</v>
      </c>
      <c r="R20" s="118">
        <v>5961</v>
      </c>
      <c r="S20" s="118">
        <v>11648</v>
      </c>
      <c r="T20" s="118">
        <v>40747</v>
      </c>
      <c r="U20" s="118">
        <v>6757</v>
      </c>
      <c r="V20" s="118">
        <v>13961</v>
      </c>
      <c r="W20" s="118">
        <v>16037</v>
      </c>
      <c r="X20" s="118">
        <v>34922</v>
      </c>
      <c r="Y20" s="121">
        <f t="shared" si="2"/>
        <v>222245</v>
      </c>
      <c r="Z20" s="326"/>
    </row>
    <row r="21" spans="2:26" ht="15" customHeight="1" outlineLevel="1" x14ac:dyDescent="0.2">
      <c r="B21" s="272" t="s">
        <v>538</v>
      </c>
      <c r="C21" s="118">
        <v>0</v>
      </c>
      <c r="D21" s="118">
        <v>1094</v>
      </c>
      <c r="E21" s="118">
        <v>96</v>
      </c>
      <c r="F21" s="118">
        <v>613</v>
      </c>
      <c r="G21" s="118">
        <v>0</v>
      </c>
      <c r="H21" s="118">
        <v>1526</v>
      </c>
      <c r="I21" s="118">
        <v>1892</v>
      </c>
      <c r="J21" s="118">
        <v>102</v>
      </c>
      <c r="K21" s="118">
        <v>979</v>
      </c>
      <c r="L21" s="326">
        <v>0</v>
      </c>
      <c r="M21" s="121">
        <f>+SUM(C21:K21)</f>
        <v>6302</v>
      </c>
      <c r="O21" s="271">
        <v>42705</v>
      </c>
      <c r="P21" s="118">
        <v>49661</v>
      </c>
      <c r="Q21" s="118">
        <v>47649</v>
      </c>
      <c r="R21" s="118">
        <v>5501</v>
      </c>
      <c r="S21" s="118">
        <v>12311</v>
      </c>
      <c r="T21" s="118">
        <v>38921</v>
      </c>
      <c r="U21" s="118">
        <v>7753</v>
      </c>
      <c r="V21" s="118">
        <v>15313</v>
      </c>
      <c r="W21" s="118">
        <v>14809</v>
      </c>
      <c r="X21" s="118">
        <v>22222</v>
      </c>
      <c r="Y21" s="121">
        <f t="shared" si="2"/>
        <v>214140</v>
      </c>
      <c r="Z21" s="326">
        <v>12897</v>
      </c>
    </row>
    <row r="22" spans="2:26" ht="15" customHeight="1" x14ac:dyDescent="0.2">
      <c r="B22" s="272" t="s">
        <v>567</v>
      </c>
      <c r="C22" s="118">
        <v>946</v>
      </c>
      <c r="D22" s="118">
        <v>1</v>
      </c>
      <c r="E22" s="118">
        <v>85</v>
      </c>
      <c r="F22" s="118">
        <v>51</v>
      </c>
      <c r="G22" s="118">
        <v>3185</v>
      </c>
      <c r="H22" s="118">
        <v>161</v>
      </c>
      <c r="I22" s="118">
        <v>936</v>
      </c>
      <c r="J22" s="118">
        <v>86</v>
      </c>
      <c r="K22" s="118">
        <v>125</v>
      </c>
      <c r="L22" s="326">
        <v>1244</v>
      </c>
      <c r="M22" s="121">
        <f t="shared" ref="M22:M27" si="3">+SUM(C22:L22)</f>
        <v>6820</v>
      </c>
      <c r="O22" s="271">
        <v>42795</v>
      </c>
      <c r="P22" s="118">
        <v>50607</v>
      </c>
      <c r="Q22" s="118">
        <v>48699</v>
      </c>
      <c r="R22" s="118">
        <v>5070</v>
      </c>
      <c r="S22" s="118">
        <v>11967</v>
      </c>
      <c r="T22" s="118">
        <v>41259</v>
      </c>
      <c r="U22" s="118">
        <v>7490</v>
      </c>
      <c r="V22" s="118">
        <v>14870</v>
      </c>
      <c r="W22" s="118">
        <v>13450</v>
      </c>
      <c r="X22" s="118">
        <v>20749</v>
      </c>
      <c r="Y22" s="121">
        <f t="shared" si="2"/>
        <v>214161</v>
      </c>
      <c r="Z22" s="326">
        <v>12969</v>
      </c>
    </row>
    <row r="23" spans="2:26" ht="15" customHeight="1" x14ac:dyDescent="0.2">
      <c r="B23" s="272" t="s">
        <v>575</v>
      </c>
      <c r="C23" s="118">
        <v>0</v>
      </c>
      <c r="D23" s="118">
        <v>27</v>
      </c>
      <c r="E23" s="118">
        <v>100</v>
      </c>
      <c r="F23" s="118">
        <v>185</v>
      </c>
      <c r="G23" s="118">
        <v>3864</v>
      </c>
      <c r="H23" s="118">
        <v>321</v>
      </c>
      <c r="I23" s="118">
        <v>2438</v>
      </c>
      <c r="J23" s="118">
        <v>366</v>
      </c>
      <c r="K23" s="118">
        <v>253</v>
      </c>
      <c r="L23" s="326">
        <v>878</v>
      </c>
      <c r="M23" s="121">
        <f t="shared" si="3"/>
        <v>8432</v>
      </c>
      <c r="O23" s="271">
        <v>42887</v>
      </c>
      <c r="P23" s="118">
        <v>50607</v>
      </c>
      <c r="Q23" s="118">
        <v>48166</v>
      </c>
      <c r="R23" s="118">
        <v>4654</v>
      </c>
      <c r="S23" s="118">
        <v>11686</v>
      </c>
      <c r="T23" s="118">
        <v>44026</v>
      </c>
      <c r="U23" s="118">
        <v>7397</v>
      </c>
      <c r="V23" s="118">
        <v>15852</v>
      </c>
      <c r="W23" s="118">
        <v>12643</v>
      </c>
      <c r="X23" s="118">
        <v>21002</v>
      </c>
      <c r="Y23" s="121">
        <f t="shared" si="2"/>
        <v>216033</v>
      </c>
      <c r="Z23" s="326">
        <v>12666</v>
      </c>
    </row>
    <row r="24" spans="2:26" ht="15" customHeight="1" x14ac:dyDescent="0.2">
      <c r="B24" s="272" t="s">
        <v>595</v>
      </c>
      <c r="C24" s="118">
        <v>0</v>
      </c>
      <c r="D24" s="118">
        <v>109</v>
      </c>
      <c r="E24" s="118">
        <v>36</v>
      </c>
      <c r="F24" s="118">
        <v>363</v>
      </c>
      <c r="G24" s="118">
        <v>243</v>
      </c>
      <c r="H24" s="118">
        <v>131</v>
      </c>
      <c r="I24" s="118">
        <v>2119</v>
      </c>
      <c r="J24" s="118">
        <v>1662</v>
      </c>
      <c r="K24" s="118">
        <v>223</v>
      </c>
      <c r="L24" s="326">
        <v>976</v>
      </c>
      <c r="M24" s="121">
        <f t="shared" si="3"/>
        <v>5862</v>
      </c>
      <c r="O24" s="271">
        <v>42979</v>
      </c>
      <c r="P24" s="118">
        <v>50607</v>
      </c>
      <c r="Q24" s="118">
        <v>47716</v>
      </c>
      <c r="R24" s="118">
        <v>4208</v>
      </c>
      <c r="S24" s="118">
        <v>11539</v>
      </c>
      <c r="T24" s="118">
        <v>42426</v>
      </c>
      <c r="U24" s="118">
        <v>7114</v>
      </c>
      <c r="V24" s="118">
        <v>16388</v>
      </c>
      <c r="W24" s="118">
        <v>13062</v>
      </c>
      <c r="X24" s="118">
        <v>21225</v>
      </c>
      <c r="Y24" s="121">
        <f t="shared" si="2"/>
        <v>214285</v>
      </c>
      <c r="Z24" s="326">
        <v>12481</v>
      </c>
    </row>
    <row r="25" spans="2:26" ht="15" customHeight="1" x14ac:dyDescent="0.2">
      <c r="B25" s="272" t="s">
        <v>596</v>
      </c>
      <c r="C25" s="118">
        <v>0</v>
      </c>
      <c r="D25" s="118">
        <v>0</v>
      </c>
      <c r="E25" s="118">
        <v>117</v>
      </c>
      <c r="F25" s="118">
        <v>143</v>
      </c>
      <c r="G25" s="118">
        <v>116</v>
      </c>
      <c r="H25" s="118">
        <v>195</v>
      </c>
      <c r="I25" s="118">
        <v>1062</v>
      </c>
      <c r="J25" s="118">
        <v>1188</v>
      </c>
      <c r="K25" s="118">
        <v>22</v>
      </c>
      <c r="L25" s="326">
        <v>1273</v>
      </c>
      <c r="M25" s="121">
        <f t="shared" si="3"/>
        <v>4116</v>
      </c>
      <c r="O25" s="271">
        <v>43070</v>
      </c>
      <c r="P25" s="118">
        <v>60073</v>
      </c>
      <c r="Q25" s="118">
        <v>62997</v>
      </c>
      <c r="R25" s="118">
        <v>3093</v>
      </c>
      <c r="S25" s="118">
        <v>8768</v>
      </c>
      <c r="T25" s="118">
        <v>36153</v>
      </c>
      <c r="U25" s="118">
        <v>4668</v>
      </c>
      <c r="V25" s="118">
        <v>7665</v>
      </c>
      <c r="W25" s="118">
        <v>10148</v>
      </c>
      <c r="X25" s="118">
        <v>8601</v>
      </c>
      <c r="Y25" s="121">
        <f>+SUM(P25:X25)</f>
        <v>202166</v>
      </c>
      <c r="Z25" s="326">
        <v>12568</v>
      </c>
    </row>
    <row r="26" spans="2:26" ht="15" customHeight="1" x14ac:dyDescent="0.2">
      <c r="B26" s="272" t="s">
        <v>623</v>
      </c>
      <c r="C26" s="118">
        <v>0</v>
      </c>
      <c r="D26" s="118">
        <v>51</v>
      </c>
      <c r="E26" s="118">
        <v>110</v>
      </c>
      <c r="F26" s="118">
        <v>161</v>
      </c>
      <c r="G26" s="118">
        <v>243</v>
      </c>
      <c r="H26" s="118">
        <v>100</v>
      </c>
      <c r="I26" s="118">
        <v>322</v>
      </c>
      <c r="J26" s="118">
        <v>432</v>
      </c>
      <c r="K26" s="118">
        <v>2</v>
      </c>
      <c r="L26" s="326">
        <v>1039</v>
      </c>
      <c r="M26" s="121">
        <f t="shared" si="3"/>
        <v>2460</v>
      </c>
      <c r="O26" s="271">
        <v>43160</v>
      </c>
      <c r="P26" s="118">
        <v>50607</v>
      </c>
      <c r="Q26" s="118">
        <v>67282</v>
      </c>
      <c r="R26" s="118">
        <v>3110</v>
      </c>
      <c r="S26" s="118">
        <v>8161</v>
      </c>
      <c r="T26" s="118">
        <v>38628</v>
      </c>
      <c r="U26" s="118">
        <v>4731</v>
      </c>
      <c r="V26" s="118">
        <v>8967</v>
      </c>
      <c r="W26" s="118">
        <v>11666</v>
      </c>
      <c r="X26" s="118">
        <v>543</v>
      </c>
      <c r="Y26" s="121">
        <f>+SUM(P26:X26)</f>
        <v>193695</v>
      </c>
      <c r="Z26" s="326">
        <v>11417</v>
      </c>
    </row>
    <row r="27" spans="2:26" ht="15" customHeight="1" x14ac:dyDescent="0.2">
      <c r="B27" s="272" t="s">
        <v>624</v>
      </c>
      <c r="C27" s="118">
        <v>0</v>
      </c>
      <c r="D27" s="118">
        <v>0</v>
      </c>
      <c r="E27" s="118">
        <v>254</v>
      </c>
      <c r="F27" s="118">
        <v>1084</v>
      </c>
      <c r="G27" s="118">
        <v>552</v>
      </c>
      <c r="H27" s="118">
        <v>66</v>
      </c>
      <c r="I27" s="118">
        <v>636</v>
      </c>
      <c r="J27" s="118">
        <v>1070</v>
      </c>
      <c r="K27" s="118">
        <v>165</v>
      </c>
      <c r="L27" s="326">
        <v>897</v>
      </c>
      <c r="M27" s="121">
        <f t="shared" si="3"/>
        <v>4724</v>
      </c>
      <c r="O27" s="271">
        <v>43252</v>
      </c>
      <c r="P27" s="118">
        <v>50607</v>
      </c>
      <c r="Q27" s="118">
        <v>64352</v>
      </c>
      <c r="R27" s="118">
        <v>2980</v>
      </c>
      <c r="S27" s="118">
        <v>8894</v>
      </c>
      <c r="T27" s="118">
        <v>37556</v>
      </c>
      <c r="U27" s="118">
        <v>4504</v>
      </c>
      <c r="V27" s="118">
        <v>8442</v>
      </c>
      <c r="W27" s="118">
        <v>11466</v>
      </c>
      <c r="X27" s="118">
        <v>708</v>
      </c>
      <c r="Y27" s="121">
        <f>+SUM(P27:X27)</f>
        <v>189509</v>
      </c>
      <c r="Z27" s="326">
        <v>11156</v>
      </c>
    </row>
    <row r="28" spans="2:26" ht="15" customHeight="1" x14ac:dyDescent="0.2">
      <c r="B28" s="272" t="s">
        <v>625</v>
      </c>
      <c r="C28" s="118">
        <v>9466</v>
      </c>
      <c r="D28" s="118">
        <v>15</v>
      </c>
      <c r="E28" s="118">
        <v>503</v>
      </c>
      <c r="F28" s="118">
        <v>350</v>
      </c>
      <c r="G28" s="118">
        <v>665</v>
      </c>
      <c r="H28" s="118">
        <v>274</v>
      </c>
      <c r="I28" s="118">
        <v>696</v>
      </c>
      <c r="J28" s="118">
        <v>448</v>
      </c>
      <c r="K28" s="118">
        <v>1140</v>
      </c>
      <c r="L28" s="326">
        <v>1443</v>
      </c>
      <c r="M28" s="121">
        <v>15000</v>
      </c>
      <c r="O28" s="271">
        <v>43344</v>
      </c>
      <c r="P28" s="118">
        <v>60073</v>
      </c>
      <c r="Q28" s="118">
        <v>63598</v>
      </c>
      <c r="R28" s="118">
        <v>3105</v>
      </c>
      <c r="S28" s="118">
        <v>8885</v>
      </c>
      <c r="T28" s="118">
        <v>36829</v>
      </c>
      <c r="U28" s="118">
        <v>4485</v>
      </c>
      <c r="V28" s="118">
        <v>7940</v>
      </c>
      <c r="W28" s="118">
        <v>10629</v>
      </c>
      <c r="X28" s="118">
        <v>1848</v>
      </c>
      <c r="Y28" s="121">
        <v>197392</v>
      </c>
      <c r="Z28" s="326">
        <v>11406</v>
      </c>
    </row>
    <row r="29" spans="2:26" ht="15" customHeight="1" x14ac:dyDescent="0.2">
      <c r="B29" s="272" t="s">
        <v>626</v>
      </c>
      <c r="C29" s="118">
        <v>0</v>
      </c>
      <c r="D29" s="118">
        <v>165</v>
      </c>
      <c r="E29" s="118">
        <v>351</v>
      </c>
      <c r="F29" s="118">
        <v>898</v>
      </c>
      <c r="G29" s="118">
        <v>726</v>
      </c>
      <c r="H29" s="118">
        <v>501</v>
      </c>
      <c r="I29" s="118">
        <v>898</v>
      </c>
      <c r="J29" s="118">
        <v>741</v>
      </c>
      <c r="K29" s="118">
        <v>6753</v>
      </c>
      <c r="L29" s="326">
        <v>2222</v>
      </c>
      <c r="M29" s="121">
        <f t="shared" ref="M29:M34" si="4">+SUM(C29:L29)</f>
        <v>13255</v>
      </c>
      <c r="O29" s="271">
        <v>43435</v>
      </c>
      <c r="P29" s="118">
        <v>60073</v>
      </c>
      <c r="Q29" s="118">
        <v>62997</v>
      </c>
      <c r="R29" s="118">
        <v>3093</v>
      </c>
      <c r="S29" s="118">
        <v>8768</v>
      </c>
      <c r="T29" s="118">
        <v>36153</v>
      </c>
      <c r="U29" s="118">
        <v>4668</v>
      </c>
      <c r="V29" s="118">
        <v>7665</v>
      </c>
      <c r="W29" s="118">
        <v>10148</v>
      </c>
      <c r="X29" s="118">
        <v>8601</v>
      </c>
      <c r="Y29" s="121">
        <f t="shared" ref="Y29:Y35" si="5">+SUM(P29:X29)</f>
        <v>202166</v>
      </c>
      <c r="Z29" s="326">
        <v>12422</v>
      </c>
    </row>
    <row r="30" spans="2:26" ht="15" customHeight="1" x14ac:dyDescent="0.2">
      <c r="B30" s="272" t="s">
        <v>798</v>
      </c>
      <c r="C30" s="118">
        <v>0</v>
      </c>
      <c r="D30" s="118">
        <v>1619</v>
      </c>
      <c r="E30" s="118">
        <v>522</v>
      </c>
      <c r="F30" s="118">
        <v>679</v>
      </c>
      <c r="G30" s="118">
        <v>376</v>
      </c>
      <c r="H30" s="118">
        <v>31</v>
      </c>
      <c r="I30" s="118">
        <v>400</v>
      </c>
      <c r="J30" s="118">
        <v>160</v>
      </c>
      <c r="K30" s="118">
        <v>1423</v>
      </c>
      <c r="L30" s="326">
        <v>1424</v>
      </c>
      <c r="M30" s="121">
        <f t="shared" si="4"/>
        <v>6634</v>
      </c>
      <c r="O30" s="271">
        <v>43525</v>
      </c>
      <c r="P30" s="118">
        <v>60073</v>
      </c>
      <c r="Q30" s="118">
        <v>71461</v>
      </c>
      <c r="R30" s="118">
        <v>3283</v>
      </c>
      <c r="S30" s="118">
        <v>10385</v>
      </c>
      <c r="T30" s="118">
        <v>34799</v>
      </c>
      <c r="U30" s="118">
        <v>4546</v>
      </c>
      <c r="V30" s="118">
        <v>7530</v>
      </c>
      <c r="W30" s="118">
        <v>9243</v>
      </c>
      <c r="X30" s="118">
        <v>387</v>
      </c>
      <c r="Y30" s="121">
        <f t="shared" si="5"/>
        <v>201707</v>
      </c>
      <c r="Z30" s="326">
        <v>12614</v>
      </c>
    </row>
    <row r="31" spans="2:26" ht="15" customHeight="1" x14ac:dyDescent="0.2">
      <c r="B31" s="272" t="s">
        <v>799</v>
      </c>
      <c r="C31" s="118">
        <v>0</v>
      </c>
      <c r="D31" s="118">
        <v>1381</v>
      </c>
      <c r="E31" s="118">
        <v>73</v>
      </c>
      <c r="F31" s="118">
        <v>455</v>
      </c>
      <c r="G31" s="118">
        <v>8684</v>
      </c>
      <c r="H31" s="118">
        <v>397</v>
      </c>
      <c r="I31" s="118">
        <v>527</v>
      </c>
      <c r="J31" s="118">
        <v>2062</v>
      </c>
      <c r="K31" s="118">
        <v>303</v>
      </c>
      <c r="L31" s="326">
        <v>672</v>
      </c>
      <c r="M31" s="121">
        <f t="shared" si="4"/>
        <v>14554</v>
      </c>
      <c r="O31" s="271">
        <v>43617</v>
      </c>
      <c r="P31" s="118">
        <v>60073</v>
      </c>
      <c r="Q31" s="118">
        <v>71974</v>
      </c>
      <c r="R31" s="118">
        <v>3000</v>
      </c>
      <c r="S31" s="118">
        <v>10398</v>
      </c>
      <c r="T31" s="118">
        <v>42263</v>
      </c>
      <c r="U31" s="118">
        <v>4663</v>
      </c>
      <c r="V31" s="118">
        <v>7134</v>
      </c>
      <c r="W31" s="118">
        <v>10205</v>
      </c>
      <c r="X31" s="118">
        <v>635</v>
      </c>
      <c r="Y31" s="121">
        <f t="shared" si="5"/>
        <v>210345</v>
      </c>
      <c r="Z31" s="326">
        <v>12002</v>
      </c>
    </row>
    <row r="32" spans="2:26" ht="15" customHeight="1" x14ac:dyDescent="0.2">
      <c r="B32" s="272" t="s">
        <v>800</v>
      </c>
      <c r="C32" s="118">
        <v>0</v>
      </c>
      <c r="D32" s="118">
        <v>368</v>
      </c>
      <c r="E32" s="118">
        <v>143</v>
      </c>
      <c r="F32" s="118">
        <v>71</v>
      </c>
      <c r="G32" s="118">
        <v>556</v>
      </c>
      <c r="H32" s="118">
        <v>361</v>
      </c>
      <c r="I32" s="118">
        <v>418</v>
      </c>
      <c r="J32" s="118">
        <v>1323</v>
      </c>
      <c r="K32" s="118">
        <v>18</v>
      </c>
      <c r="L32" s="326">
        <v>874</v>
      </c>
      <c r="M32" s="121">
        <f t="shared" si="4"/>
        <v>4132</v>
      </c>
      <c r="O32" s="271">
        <v>43709</v>
      </c>
      <c r="P32" s="118">
        <v>60073</v>
      </c>
      <c r="Q32" s="118">
        <v>71468</v>
      </c>
      <c r="R32" s="118">
        <v>2786</v>
      </c>
      <c r="S32" s="118">
        <v>10022</v>
      </c>
      <c r="T32" s="118">
        <v>41423</v>
      </c>
      <c r="U32" s="118">
        <v>4716</v>
      </c>
      <c r="V32" s="118">
        <v>6607</v>
      </c>
      <c r="W32" s="118">
        <v>10532</v>
      </c>
      <c r="X32" s="118">
        <v>609</v>
      </c>
      <c r="Y32" s="121">
        <f t="shared" si="5"/>
        <v>208236</v>
      </c>
      <c r="Z32" s="326">
        <v>11557</v>
      </c>
    </row>
    <row r="33" spans="2:26" ht="15" customHeight="1" x14ac:dyDescent="0.2">
      <c r="B33" s="272" t="s">
        <v>801</v>
      </c>
      <c r="C33" s="118">
        <v>4932</v>
      </c>
      <c r="D33" s="118">
        <v>1114</v>
      </c>
      <c r="E33" s="118">
        <v>282</v>
      </c>
      <c r="F33" s="118">
        <v>492</v>
      </c>
      <c r="G33" s="118">
        <v>621</v>
      </c>
      <c r="H33" s="118">
        <v>291</v>
      </c>
      <c r="I33" s="118">
        <v>499</v>
      </c>
      <c r="J33" s="118">
        <v>1198</v>
      </c>
      <c r="K33" s="118">
        <v>29</v>
      </c>
      <c r="L33" s="326">
        <v>1227</v>
      </c>
      <c r="M33" s="121">
        <f t="shared" si="4"/>
        <v>10685</v>
      </c>
      <c r="O33" s="271">
        <v>43800</v>
      </c>
      <c r="P33" s="118">
        <v>64349</v>
      </c>
      <c r="Q33" s="118">
        <v>71751</v>
      </c>
      <c r="R33" s="118">
        <v>2689</v>
      </c>
      <c r="S33" s="118">
        <v>8922</v>
      </c>
      <c r="T33" s="118">
        <v>39228</v>
      </c>
      <c r="U33" s="118">
        <v>4617</v>
      </c>
      <c r="V33" s="118">
        <v>6231</v>
      </c>
      <c r="W33" s="118">
        <v>10608</v>
      </c>
      <c r="X33" s="118">
        <v>638</v>
      </c>
      <c r="Y33" s="121">
        <f t="shared" si="5"/>
        <v>209033</v>
      </c>
      <c r="Z33" s="326">
        <v>11414</v>
      </c>
    </row>
    <row r="34" spans="2:26" ht="15" customHeight="1" x14ac:dyDescent="0.2">
      <c r="B34" s="272" t="s">
        <v>913</v>
      </c>
      <c r="C34" s="118">
        <v>0</v>
      </c>
      <c r="D34" s="118">
        <v>2163</v>
      </c>
      <c r="E34" s="118">
        <v>52</v>
      </c>
      <c r="F34" s="118">
        <v>462</v>
      </c>
      <c r="G34" s="118">
        <v>77</v>
      </c>
      <c r="H34" s="118">
        <v>85</v>
      </c>
      <c r="I34" s="118">
        <v>613</v>
      </c>
      <c r="J34" s="118">
        <v>437</v>
      </c>
      <c r="K34" s="118">
        <v>41</v>
      </c>
      <c r="L34" s="326">
        <v>1497</v>
      </c>
      <c r="M34" s="121">
        <f t="shared" si="4"/>
        <v>5427</v>
      </c>
      <c r="O34" s="271">
        <v>43891</v>
      </c>
      <c r="P34" s="118">
        <v>64349</v>
      </c>
      <c r="Q34" s="118">
        <v>73074</v>
      </c>
      <c r="R34" s="118">
        <v>2424</v>
      </c>
      <c r="S34" s="118">
        <v>9045</v>
      </c>
      <c r="T34" s="118">
        <v>38059</v>
      </c>
      <c r="U34" s="118">
        <v>4412</v>
      </c>
      <c r="V34" s="118">
        <v>5990</v>
      </c>
      <c r="W34" s="118">
        <v>9890</v>
      </c>
      <c r="X34" s="118">
        <v>590</v>
      </c>
      <c r="Y34" s="121">
        <f t="shared" si="5"/>
        <v>207833</v>
      </c>
      <c r="Z34" s="326">
        <v>11740</v>
      </c>
    </row>
    <row r="35" spans="2:26" ht="15" customHeight="1" x14ac:dyDescent="0.2">
      <c r="B35" s="272" t="s">
        <v>914</v>
      </c>
      <c r="C35" s="118">
        <v>281</v>
      </c>
      <c r="D35" s="118">
        <v>1330</v>
      </c>
      <c r="E35" s="118">
        <v>11</v>
      </c>
      <c r="F35" s="118">
        <v>361</v>
      </c>
      <c r="G35" s="118">
        <v>130</v>
      </c>
      <c r="H35" s="118">
        <v>23</v>
      </c>
      <c r="I35" s="118">
        <v>750</v>
      </c>
      <c r="J35" s="118">
        <v>419</v>
      </c>
      <c r="K35" s="118">
        <v>1</v>
      </c>
      <c r="L35" s="326">
        <v>961</v>
      </c>
      <c r="M35" s="121">
        <f t="shared" ref="M35:M42" si="6">+SUM(C35:L35)</f>
        <v>4267</v>
      </c>
      <c r="O35" s="271">
        <v>43983</v>
      </c>
      <c r="P35" s="118">
        <v>63130</v>
      </c>
      <c r="Q35" s="118">
        <v>73543</v>
      </c>
      <c r="R35" s="118">
        <v>2120</v>
      </c>
      <c r="S35" s="118">
        <v>9060</v>
      </c>
      <c r="T35" s="118">
        <v>37058</v>
      </c>
      <c r="U35" s="118">
        <v>4147</v>
      </c>
      <c r="V35" s="118">
        <v>5924</v>
      </c>
      <c r="W35" s="118">
        <v>9152</v>
      </c>
      <c r="X35" s="118">
        <v>579</v>
      </c>
      <c r="Y35" s="121">
        <f t="shared" si="5"/>
        <v>204713</v>
      </c>
      <c r="Z35" s="326">
        <v>11660</v>
      </c>
    </row>
    <row r="36" spans="2:26" ht="15" customHeight="1" x14ac:dyDescent="0.2">
      <c r="B36" s="272" t="s">
        <v>923</v>
      </c>
      <c r="C36" s="118">
        <v>7</v>
      </c>
      <c r="D36" s="118">
        <v>172</v>
      </c>
      <c r="E36" s="118">
        <v>5</v>
      </c>
      <c r="F36" s="118">
        <v>66</v>
      </c>
      <c r="G36" s="118">
        <v>223</v>
      </c>
      <c r="H36" s="118">
        <v>15</v>
      </c>
      <c r="I36" s="118">
        <v>-66</v>
      </c>
      <c r="J36" s="118">
        <v>3300</v>
      </c>
      <c r="K36" s="118">
        <v>51</v>
      </c>
      <c r="L36" s="326">
        <v>633</v>
      </c>
      <c r="M36" s="121">
        <f t="shared" si="6"/>
        <v>4406</v>
      </c>
      <c r="O36" s="271">
        <v>44075</v>
      </c>
      <c r="P36" s="118">
        <v>63137</v>
      </c>
      <c r="Q36" s="118">
        <v>72841</v>
      </c>
      <c r="R36" s="118">
        <v>1838</v>
      </c>
      <c r="S36" s="118">
        <v>8776</v>
      </c>
      <c r="T36" s="118">
        <v>36196</v>
      </c>
      <c r="U36" s="118">
        <v>3885</v>
      </c>
      <c r="V36" s="118">
        <v>5082</v>
      </c>
      <c r="W36" s="118">
        <v>11230</v>
      </c>
      <c r="X36" s="118">
        <v>630</v>
      </c>
      <c r="Y36" s="121">
        <f>+SUM(P36:X36)</f>
        <v>203615</v>
      </c>
      <c r="Z36" s="326">
        <v>11242</v>
      </c>
    </row>
    <row r="37" spans="2:26" ht="15" customHeight="1" x14ac:dyDescent="0.2">
      <c r="B37" s="272" t="s">
        <v>924</v>
      </c>
      <c r="C37" s="118">
        <v>0</v>
      </c>
      <c r="D37" s="118">
        <v>0</v>
      </c>
      <c r="E37" s="118">
        <v>1140</v>
      </c>
      <c r="F37" s="118">
        <v>248</v>
      </c>
      <c r="G37" s="118">
        <v>1308</v>
      </c>
      <c r="H37" s="118">
        <v>78</v>
      </c>
      <c r="I37" s="118">
        <v>340</v>
      </c>
      <c r="J37" s="118">
        <v>1748</v>
      </c>
      <c r="K37" s="118">
        <v>53</v>
      </c>
      <c r="L37" s="326">
        <v>766</v>
      </c>
      <c r="M37" s="121">
        <f t="shared" si="6"/>
        <v>5681</v>
      </c>
      <c r="O37" s="271">
        <v>44166</v>
      </c>
      <c r="P37" s="118">
        <v>63137</v>
      </c>
      <c r="Q37" s="118">
        <v>71971</v>
      </c>
      <c r="R37" s="118">
        <v>2730</v>
      </c>
      <c r="S37" s="118">
        <v>6924</v>
      </c>
      <c r="T37" s="118">
        <v>36699</v>
      </c>
      <c r="U37" s="118">
        <v>3709</v>
      </c>
      <c r="V37" s="118">
        <v>4602</v>
      </c>
      <c r="W37" s="118">
        <v>11699</v>
      </c>
      <c r="X37" s="118">
        <v>646</v>
      </c>
      <c r="Y37" s="121">
        <f t="shared" ref="Y37:Y43" si="7">+SUM(P37:X37)</f>
        <v>202117</v>
      </c>
      <c r="Z37" s="326">
        <v>10737</v>
      </c>
    </row>
    <row r="38" spans="2:26" ht="15" customHeight="1" x14ac:dyDescent="0.2">
      <c r="B38" s="272" t="s">
        <v>1049</v>
      </c>
      <c r="C38" s="118">
        <v>0</v>
      </c>
      <c r="D38" s="118">
        <v>0</v>
      </c>
      <c r="E38" s="118">
        <v>745</v>
      </c>
      <c r="F38" s="118">
        <v>240</v>
      </c>
      <c r="G38" s="118">
        <v>191</v>
      </c>
      <c r="H38" s="118">
        <v>102</v>
      </c>
      <c r="I38" s="118">
        <v>42</v>
      </c>
      <c r="J38" s="118">
        <v>3243</v>
      </c>
      <c r="K38" s="118">
        <v>174</v>
      </c>
      <c r="L38" s="326">
        <v>1791</v>
      </c>
      <c r="M38" s="121">
        <f t="shared" si="6"/>
        <v>6528</v>
      </c>
      <c r="O38" s="271">
        <v>44256</v>
      </c>
      <c r="P38" s="118">
        <v>63137</v>
      </c>
      <c r="Q38" s="118">
        <v>71101</v>
      </c>
      <c r="R38" s="118">
        <v>3212</v>
      </c>
      <c r="S38" s="118">
        <v>6846</v>
      </c>
      <c r="T38" s="118">
        <v>35885</v>
      </c>
      <c r="U38" s="118">
        <v>3587</v>
      </c>
      <c r="V38" s="118">
        <v>4004</v>
      </c>
      <c r="W38" s="118">
        <v>13589</v>
      </c>
      <c r="X38" s="118">
        <v>754</v>
      </c>
      <c r="Y38" s="121">
        <f t="shared" si="7"/>
        <v>202115</v>
      </c>
      <c r="Z38" s="326">
        <v>11543</v>
      </c>
    </row>
    <row r="39" spans="2:26" ht="15" customHeight="1" x14ac:dyDescent="0.2">
      <c r="B39" s="272" t="s">
        <v>1023</v>
      </c>
      <c r="C39" s="118">
        <v>0</v>
      </c>
      <c r="D39" s="118">
        <v>785</v>
      </c>
      <c r="E39" s="118">
        <v>29</v>
      </c>
      <c r="F39" s="118">
        <v>847</v>
      </c>
      <c r="G39" s="118">
        <v>666</v>
      </c>
      <c r="H39" s="118">
        <v>115</v>
      </c>
      <c r="I39" s="118">
        <v>504</v>
      </c>
      <c r="J39" s="118">
        <v>2418</v>
      </c>
      <c r="K39" s="118">
        <v>0</v>
      </c>
      <c r="L39" s="326">
        <v>1091</v>
      </c>
      <c r="M39" s="121">
        <f t="shared" si="6"/>
        <v>6455</v>
      </c>
      <c r="O39" s="271">
        <v>44348</v>
      </c>
      <c r="P39" s="118">
        <v>63137</v>
      </c>
      <c r="Q39" s="118">
        <v>71014</v>
      </c>
      <c r="R39" s="118">
        <v>2962</v>
      </c>
      <c r="S39" s="118">
        <v>7092</v>
      </c>
      <c r="T39" s="118">
        <v>35760</v>
      </c>
      <c r="U39" s="118">
        <v>3452</v>
      </c>
      <c r="V39" s="118">
        <v>3907</v>
      </c>
      <c r="W39" s="118">
        <v>14135</v>
      </c>
      <c r="X39" s="118">
        <v>624</v>
      </c>
      <c r="Y39" s="121">
        <f t="shared" si="7"/>
        <v>202083</v>
      </c>
      <c r="Z39" s="326">
        <v>11713</v>
      </c>
    </row>
    <row r="40" spans="2:26" ht="15" customHeight="1" x14ac:dyDescent="0.2">
      <c r="B40" s="272" t="s">
        <v>1024</v>
      </c>
      <c r="C40" s="118">
        <v>0</v>
      </c>
      <c r="D40" s="118">
        <v>5</v>
      </c>
      <c r="E40" s="118">
        <v>246</v>
      </c>
      <c r="F40" s="118">
        <v>432</v>
      </c>
      <c r="G40" s="118">
        <v>6902</v>
      </c>
      <c r="H40" s="118">
        <v>195</v>
      </c>
      <c r="I40" s="118">
        <v>647</v>
      </c>
      <c r="J40" s="118">
        <v>610</v>
      </c>
      <c r="K40" s="118">
        <v>28</v>
      </c>
      <c r="L40" s="326">
        <v>1227</v>
      </c>
      <c r="M40" s="121">
        <f t="shared" si="6"/>
        <v>10292</v>
      </c>
      <c r="O40" s="271">
        <v>44440</v>
      </c>
      <c r="P40" s="118">
        <v>63137</v>
      </c>
      <c r="Q40" s="118">
        <v>70141</v>
      </c>
      <c r="R40" s="118">
        <v>2995</v>
      </c>
      <c r="S40" s="118">
        <v>7256</v>
      </c>
      <c r="T40" s="118">
        <v>41918</v>
      </c>
      <c r="U40" s="118">
        <v>3470</v>
      </c>
      <c r="V40" s="118">
        <v>4003</v>
      </c>
      <c r="W40" s="118">
        <v>13111</v>
      </c>
      <c r="X40" s="118">
        <v>622</v>
      </c>
      <c r="Y40" s="121">
        <f t="shared" si="7"/>
        <v>206653</v>
      </c>
      <c r="Z40" s="326">
        <v>11866</v>
      </c>
    </row>
    <row r="41" spans="2:26" ht="15" customHeight="1" x14ac:dyDescent="0.2">
      <c r="B41" s="272" t="s">
        <v>1050</v>
      </c>
      <c r="C41" s="118">
        <v>0</v>
      </c>
      <c r="D41" s="118">
        <v>0</v>
      </c>
      <c r="E41" s="118">
        <v>44</v>
      </c>
      <c r="F41" s="118">
        <v>505</v>
      </c>
      <c r="G41" s="118">
        <v>737</v>
      </c>
      <c r="H41" s="118">
        <v>419</v>
      </c>
      <c r="I41" s="118">
        <v>2007</v>
      </c>
      <c r="J41" s="118">
        <v>829</v>
      </c>
      <c r="K41" s="118">
        <v>0</v>
      </c>
      <c r="L41" s="326">
        <v>1786</v>
      </c>
      <c r="M41" s="121">
        <f t="shared" si="6"/>
        <v>6327</v>
      </c>
      <c r="O41" s="271">
        <v>44531</v>
      </c>
      <c r="P41" s="118">
        <v>63138</v>
      </c>
      <c r="Q41" s="118">
        <v>69413</v>
      </c>
      <c r="R41" s="118">
        <v>2797</v>
      </c>
      <c r="S41" s="118">
        <v>7484</v>
      </c>
      <c r="T41" s="118">
        <v>41813</v>
      </c>
      <c r="U41" s="118">
        <v>3699</v>
      </c>
      <c r="V41" s="118">
        <v>5517</v>
      </c>
      <c r="W41" s="118">
        <v>12406</v>
      </c>
      <c r="X41" s="118">
        <v>614</v>
      </c>
      <c r="Y41" s="121">
        <f t="shared" si="7"/>
        <v>206881</v>
      </c>
      <c r="Z41" s="326">
        <v>12521</v>
      </c>
    </row>
    <row r="42" spans="2:26" ht="15" customHeight="1" x14ac:dyDescent="0.2">
      <c r="B42" s="272" t="s">
        <v>1114</v>
      </c>
      <c r="C42" s="118">
        <v>0</v>
      </c>
      <c r="D42" s="118">
        <v>0</v>
      </c>
      <c r="E42" s="118">
        <v>128</v>
      </c>
      <c r="F42" s="118">
        <v>338</v>
      </c>
      <c r="G42" s="118">
        <v>302</v>
      </c>
      <c r="H42" s="118">
        <v>233</v>
      </c>
      <c r="I42" s="118">
        <v>942</v>
      </c>
      <c r="J42" s="118">
        <v>287</v>
      </c>
      <c r="K42" s="118">
        <v>-4</v>
      </c>
      <c r="L42" s="326">
        <v>2181</v>
      </c>
      <c r="M42" s="121">
        <f t="shared" si="6"/>
        <v>4407</v>
      </c>
      <c r="O42" s="271">
        <v>44621</v>
      </c>
      <c r="P42" s="118">
        <v>63138</v>
      </c>
      <c r="Q42" s="118">
        <v>68535</v>
      </c>
      <c r="R42" s="118">
        <v>2684</v>
      </c>
      <c r="S42" s="118">
        <v>7536</v>
      </c>
      <c r="T42" s="118">
        <v>41280</v>
      </c>
      <c r="U42" s="118">
        <v>3743</v>
      </c>
      <c r="V42" s="118">
        <v>5850</v>
      </c>
      <c r="W42" s="118">
        <v>11317</v>
      </c>
      <c r="X42" s="118">
        <v>618</v>
      </c>
      <c r="Y42" s="121">
        <f t="shared" si="7"/>
        <v>204701</v>
      </c>
      <c r="Z42" s="326">
        <v>13500</v>
      </c>
    </row>
    <row r="43" spans="2:26" ht="15" customHeight="1" x14ac:dyDescent="0.2">
      <c r="B43" s="272" t="s">
        <v>1119</v>
      </c>
      <c r="C43" s="118">
        <v>0</v>
      </c>
      <c r="D43" s="118">
        <v>23</v>
      </c>
      <c r="E43" s="118">
        <v>11</v>
      </c>
      <c r="F43" s="118">
        <v>467</v>
      </c>
      <c r="G43" s="118">
        <v>5667</v>
      </c>
      <c r="H43" s="118">
        <v>98</v>
      </c>
      <c r="I43" s="118">
        <v>835</v>
      </c>
      <c r="J43" s="118">
        <v>4344</v>
      </c>
      <c r="K43" s="118">
        <v>4</v>
      </c>
      <c r="L43" s="326">
        <v>674</v>
      </c>
      <c r="M43" s="121">
        <f t="shared" ref="M43:M48" si="8">+SUM(C43:L43)</f>
        <v>12123</v>
      </c>
      <c r="O43" s="271">
        <v>44713</v>
      </c>
      <c r="P43" s="118">
        <v>63138</v>
      </c>
      <c r="Q43" s="118">
        <v>67680</v>
      </c>
      <c r="R43" s="118">
        <v>2456</v>
      </c>
      <c r="S43" s="118">
        <v>7706</v>
      </c>
      <c r="T43" s="118">
        <v>45423</v>
      </c>
      <c r="U43" s="118">
        <v>3641</v>
      </c>
      <c r="V43" s="118">
        <v>6077</v>
      </c>
      <c r="W43" s="118">
        <v>14390</v>
      </c>
      <c r="X43" s="118">
        <v>621</v>
      </c>
      <c r="Y43" s="121">
        <f t="shared" si="7"/>
        <v>211132</v>
      </c>
      <c r="Z43" s="326">
        <v>13166</v>
      </c>
    </row>
    <row r="44" spans="2:26" ht="15" customHeight="1" x14ac:dyDescent="0.2">
      <c r="B44" s="272" t="s">
        <v>1121</v>
      </c>
      <c r="C44" s="118">
        <v>0</v>
      </c>
      <c r="D44" s="118">
        <v>302</v>
      </c>
      <c r="E44" s="118">
        <v>299</v>
      </c>
      <c r="F44" s="118">
        <v>367</v>
      </c>
      <c r="G44" s="118">
        <v>3624</v>
      </c>
      <c r="H44" s="118">
        <v>299</v>
      </c>
      <c r="I44" s="118">
        <v>609</v>
      </c>
      <c r="J44" s="118">
        <v>127</v>
      </c>
      <c r="K44" s="118">
        <v>19</v>
      </c>
      <c r="L44" s="326">
        <v>2158</v>
      </c>
      <c r="M44" s="121">
        <f t="shared" si="8"/>
        <v>7804</v>
      </c>
      <c r="O44" s="271">
        <v>44805</v>
      </c>
      <c r="P44" s="118">
        <v>63138</v>
      </c>
      <c r="Q44" s="118">
        <v>67104</v>
      </c>
      <c r="R44" s="118">
        <v>2513</v>
      </c>
      <c r="S44" s="118">
        <v>7768</v>
      </c>
      <c r="T44" s="118">
        <v>48247</v>
      </c>
      <c r="U44" s="118">
        <v>3768</v>
      </c>
      <c r="V44" s="118">
        <v>6085</v>
      </c>
      <c r="W44" s="118">
        <v>13219</v>
      </c>
      <c r="X44" s="118">
        <v>640</v>
      </c>
      <c r="Y44" s="121">
        <f>+SUM(P44:X44)</f>
        <v>212482</v>
      </c>
      <c r="Z44" s="326">
        <v>14246</v>
      </c>
    </row>
    <row r="45" spans="2:26" ht="15" customHeight="1" x14ac:dyDescent="0.2">
      <c r="B45" s="272" t="s">
        <v>1123</v>
      </c>
      <c r="C45" s="118">
        <v>0</v>
      </c>
      <c r="D45" s="118">
        <v>1538</v>
      </c>
      <c r="E45" s="118">
        <v>80</v>
      </c>
      <c r="F45" s="118">
        <v>791</v>
      </c>
      <c r="G45" s="118">
        <v>12520</v>
      </c>
      <c r="H45" s="118">
        <v>493</v>
      </c>
      <c r="I45" s="118">
        <v>1430</v>
      </c>
      <c r="J45" s="118">
        <v>245</v>
      </c>
      <c r="K45" s="118">
        <v>18</v>
      </c>
      <c r="L45" s="326">
        <v>3549</v>
      </c>
      <c r="M45" s="121">
        <f t="shared" si="8"/>
        <v>20664</v>
      </c>
      <c r="O45" s="271">
        <v>44896</v>
      </c>
      <c r="P45" s="118">
        <v>63138</v>
      </c>
      <c r="Q45" s="118">
        <v>67753</v>
      </c>
      <c r="R45" s="118">
        <v>2342</v>
      </c>
      <c r="S45" s="118">
        <v>8241</v>
      </c>
      <c r="T45" s="118">
        <v>60005</v>
      </c>
      <c r="U45" s="118">
        <v>4049</v>
      </c>
      <c r="V45" s="118">
        <v>6862</v>
      </c>
      <c r="W45" s="118">
        <v>12124</v>
      </c>
      <c r="X45" s="118">
        <v>640</v>
      </c>
      <c r="Y45" s="121">
        <v>225154</v>
      </c>
      <c r="Z45" s="326">
        <v>16072</v>
      </c>
    </row>
    <row r="46" spans="2:26" ht="15" customHeight="1" x14ac:dyDescent="0.2">
      <c r="B46" s="272" t="s">
        <v>1176</v>
      </c>
      <c r="C46" s="118">
        <v>0</v>
      </c>
      <c r="D46" s="118">
        <v>15</v>
      </c>
      <c r="E46" s="118">
        <v>119</v>
      </c>
      <c r="F46" s="118">
        <v>82</v>
      </c>
      <c r="G46" s="118">
        <v>599</v>
      </c>
      <c r="H46" s="118">
        <v>79</v>
      </c>
      <c r="I46" s="118">
        <v>1861</v>
      </c>
      <c r="J46" s="118">
        <v>58</v>
      </c>
      <c r="K46" s="118">
        <v>0</v>
      </c>
      <c r="L46" s="326">
        <v>2642</v>
      </c>
      <c r="M46" s="121">
        <f t="shared" si="8"/>
        <v>5455</v>
      </c>
      <c r="O46" s="271">
        <v>44986</v>
      </c>
      <c r="P46" s="118">
        <v>63138</v>
      </c>
      <c r="Q46" s="118">
        <v>66873</v>
      </c>
      <c r="R46" s="118">
        <v>2214</v>
      </c>
      <c r="S46" s="118">
        <v>7991</v>
      </c>
      <c r="T46" s="118">
        <v>59328</v>
      </c>
      <c r="U46" s="118">
        <v>3929</v>
      </c>
      <c r="V46" s="118">
        <v>8153</v>
      </c>
      <c r="W46" s="118">
        <v>10942</v>
      </c>
      <c r="X46" s="118">
        <v>640</v>
      </c>
      <c r="Y46" s="121">
        <f>+SUM(P46:X46)</f>
        <v>223208</v>
      </c>
      <c r="Z46" s="326">
        <v>17282</v>
      </c>
    </row>
    <row r="47" spans="2:26" ht="15" customHeight="1" x14ac:dyDescent="0.2">
      <c r="B47" s="272" t="s">
        <v>1177</v>
      </c>
      <c r="C47" s="118">
        <v>0</v>
      </c>
      <c r="D47" s="118">
        <v>0</v>
      </c>
      <c r="E47" s="118">
        <v>80</v>
      </c>
      <c r="F47" s="118">
        <v>471</v>
      </c>
      <c r="G47" s="118">
        <v>777</v>
      </c>
      <c r="H47" s="118">
        <v>313</v>
      </c>
      <c r="I47" s="118">
        <v>1640</v>
      </c>
      <c r="J47" s="118">
        <v>347</v>
      </c>
      <c r="K47" s="118">
        <v>0</v>
      </c>
      <c r="L47" s="326">
        <v>1536</v>
      </c>
      <c r="M47" s="121">
        <f t="shared" si="8"/>
        <v>5164</v>
      </c>
      <c r="O47" s="271">
        <v>45078</v>
      </c>
      <c r="P47" s="118">
        <v>63138</v>
      </c>
      <c r="Q47" s="118">
        <v>66049</v>
      </c>
      <c r="R47" s="118">
        <v>2045</v>
      </c>
      <c r="S47" s="118">
        <v>8128</v>
      </c>
      <c r="T47" s="118">
        <v>59150</v>
      </c>
      <c r="U47" s="118">
        <v>4047</v>
      </c>
      <c r="V47" s="118">
        <v>9018</v>
      </c>
      <c r="W47" s="118">
        <v>10061</v>
      </c>
      <c r="X47" s="118">
        <v>640</v>
      </c>
      <c r="Y47" s="121">
        <f>+SUM(P47:X47)</f>
        <v>222276</v>
      </c>
      <c r="Z47" s="326">
        <v>17353</v>
      </c>
    </row>
    <row r="48" spans="2:26" ht="15" customHeight="1" x14ac:dyDescent="0.2">
      <c r="B48" s="272" t="s">
        <v>1179</v>
      </c>
      <c r="C48" s="118">
        <v>0</v>
      </c>
      <c r="D48" s="118">
        <v>0</v>
      </c>
      <c r="E48" s="118">
        <v>306</v>
      </c>
      <c r="F48" s="118">
        <v>931</v>
      </c>
      <c r="G48" s="118">
        <v>6650</v>
      </c>
      <c r="H48" s="118">
        <v>143</v>
      </c>
      <c r="I48" s="118">
        <v>1578</v>
      </c>
      <c r="J48" s="118">
        <v>771</v>
      </c>
      <c r="K48" s="118">
        <v>184</v>
      </c>
      <c r="L48" s="326">
        <v>1381</v>
      </c>
      <c r="M48" s="121">
        <f t="shared" si="8"/>
        <v>11944</v>
      </c>
      <c r="O48" s="271">
        <v>45170</v>
      </c>
      <c r="P48" s="118">
        <v>63138</v>
      </c>
      <c r="Q48" s="118">
        <v>65224</v>
      </c>
      <c r="R48" s="118">
        <v>2108</v>
      </c>
      <c r="S48" s="118">
        <v>8712</v>
      </c>
      <c r="T48" s="118">
        <v>64580</v>
      </c>
      <c r="U48" s="118">
        <v>3997</v>
      </c>
      <c r="V48" s="118">
        <v>9753</v>
      </c>
      <c r="W48" s="118">
        <v>9625</v>
      </c>
      <c r="X48" s="118">
        <v>864</v>
      </c>
      <c r="Y48" s="121">
        <v>228001</v>
      </c>
      <c r="Z48" s="326">
        <v>17187</v>
      </c>
    </row>
    <row r="49" spans="2:26" ht="15" customHeight="1" x14ac:dyDescent="0.2">
      <c r="B49" s="272" t="s">
        <v>1181</v>
      </c>
      <c r="C49" s="118">
        <v>0</v>
      </c>
      <c r="D49" s="118">
        <v>79</v>
      </c>
      <c r="E49" s="118">
        <v>54</v>
      </c>
      <c r="F49" s="118">
        <v>552</v>
      </c>
      <c r="G49" s="118">
        <v>4502</v>
      </c>
      <c r="H49" s="118">
        <v>197</v>
      </c>
      <c r="I49" s="118">
        <v>2071</v>
      </c>
      <c r="J49" s="118">
        <v>231</v>
      </c>
      <c r="K49" s="118">
        <v>1848</v>
      </c>
      <c r="L49" s="326">
        <v>1057</v>
      </c>
      <c r="M49" s="121">
        <f t="shared" ref="M49:M54" si="9">+SUM(C49:L49)</f>
        <v>10591</v>
      </c>
      <c r="O49" s="271">
        <v>45261</v>
      </c>
      <c r="P49" s="118">
        <v>63138</v>
      </c>
      <c r="Q49" s="118">
        <v>64478</v>
      </c>
      <c r="R49" s="118">
        <v>1935</v>
      </c>
      <c r="S49" s="118">
        <v>8908</v>
      </c>
      <c r="T49" s="118">
        <v>65680</v>
      </c>
      <c r="U49" s="118">
        <v>4005</v>
      </c>
      <c r="V49" s="118">
        <v>10906</v>
      </c>
      <c r="W49" s="118">
        <v>8756</v>
      </c>
      <c r="X49" s="118">
        <v>2694</v>
      </c>
      <c r="Y49" s="121">
        <f>+SUM(P49:X49)</f>
        <v>230500</v>
      </c>
      <c r="Z49" s="326">
        <v>16748</v>
      </c>
    </row>
    <row r="50" spans="2:26" ht="15" customHeight="1" x14ac:dyDescent="0.2">
      <c r="B50" s="272" t="s">
        <v>1243</v>
      </c>
      <c r="C50" s="118">
        <v>0</v>
      </c>
      <c r="D50" s="118">
        <v>0</v>
      </c>
      <c r="E50" s="118">
        <v>60</v>
      </c>
      <c r="F50" s="118">
        <v>105</v>
      </c>
      <c r="G50" s="118">
        <v>9667</v>
      </c>
      <c r="H50" s="118">
        <v>319</v>
      </c>
      <c r="I50" s="118">
        <v>767</v>
      </c>
      <c r="J50" s="118">
        <v>276</v>
      </c>
      <c r="K50" s="118">
        <v>1658</v>
      </c>
      <c r="L50" s="326">
        <v>3284</v>
      </c>
      <c r="M50" s="121">
        <f t="shared" si="9"/>
        <v>16136</v>
      </c>
      <c r="O50" s="271">
        <v>45352</v>
      </c>
      <c r="P50" s="118">
        <v>104843</v>
      </c>
      <c r="Q50" s="118">
        <v>57051</v>
      </c>
      <c r="R50" s="118">
        <v>818</v>
      </c>
      <c r="S50" s="118">
        <v>6735</v>
      </c>
      <c r="T50" s="118">
        <v>89991</v>
      </c>
      <c r="U50" s="118">
        <v>4094</v>
      </c>
      <c r="V50" s="118">
        <v>22825</v>
      </c>
      <c r="W50" s="118">
        <v>4397</v>
      </c>
      <c r="X50" s="118">
        <v>32367</v>
      </c>
      <c r="Y50" s="121">
        <f>+SUM(P50:X50)</f>
        <v>323121</v>
      </c>
      <c r="Z50" s="326">
        <v>17408</v>
      </c>
    </row>
    <row r="51" spans="2:26" ht="15" customHeight="1" x14ac:dyDescent="0.2">
      <c r="B51" s="272" t="s">
        <v>1250</v>
      </c>
      <c r="C51" s="118">
        <v>0</v>
      </c>
      <c r="D51" s="118">
        <v>0</v>
      </c>
      <c r="E51" s="118">
        <v>133</v>
      </c>
      <c r="F51" s="118">
        <v>242</v>
      </c>
      <c r="G51" s="118">
        <v>5337</v>
      </c>
      <c r="H51" s="118">
        <v>325</v>
      </c>
      <c r="I51" s="118">
        <v>2374</v>
      </c>
      <c r="J51" s="118">
        <v>489</v>
      </c>
      <c r="K51" s="118">
        <v>0</v>
      </c>
      <c r="L51" s="326">
        <v>3160</v>
      </c>
      <c r="M51" s="121">
        <f t="shared" si="9"/>
        <v>12060</v>
      </c>
      <c r="O51" s="271">
        <v>45444</v>
      </c>
      <c r="P51" s="118">
        <v>63138</v>
      </c>
      <c r="Q51" s="118">
        <v>62827</v>
      </c>
      <c r="R51" s="118">
        <v>1663</v>
      </c>
      <c r="S51" s="118">
        <v>8529</v>
      </c>
      <c r="T51" s="118">
        <v>77869</v>
      </c>
      <c r="U51" s="118">
        <v>4269</v>
      </c>
      <c r="V51" s="118">
        <v>12038</v>
      </c>
      <c r="W51" s="118">
        <v>7176</v>
      </c>
      <c r="X51" s="118">
        <v>662</v>
      </c>
      <c r="Y51" s="121">
        <f t="shared" ref="Y51:Y57" si="10">+SUM(P51:X51)</f>
        <v>238171</v>
      </c>
      <c r="Z51" s="326">
        <v>16237</v>
      </c>
    </row>
    <row r="52" spans="2:26" ht="15" customHeight="1" x14ac:dyDescent="0.2">
      <c r="B52" s="272" t="s">
        <v>1251</v>
      </c>
      <c r="C52" s="118">
        <v>0</v>
      </c>
      <c r="D52" s="118">
        <v>0</v>
      </c>
      <c r="E52" s="118">
        <v>122</v>
      </c>
      <c r="F52" s="118">
        <v>383</v>
      </c>
      <c r="G52" s="118">
        <v>905</v>
      </c>
      <c r="H52" s="118">
        <v>93</v>
      </c>
      <c r="I52" s="118">
        <v>5252</v>
      </c>
      <c r="J52" s="118">
        <v>357</v>
      </c>
      <c r="K52" s="118">
        <v>24</v>
      </c>
      <c r="L52" s="326">
        <v>5437</v>
      </c>
      <c r="M52" s="121">
        <f t="shared" si="9"/>
        <v>12573</v>
      </c>
      <c r="O52" s="271">
        <v>45536</v>
      </c>
      <c r="P52" s="118">
        <v>63138</v>
      </c>
      <c r="Q52" s="118">
        <v>62002</v>
      </c>
      <c r="R52" s="118">
        <v>1591</v>
      </c>
      <c r="S52" s="118">
        <v>8544</v>
      </c>
      <c r="T52" s="118">
        <v>77192</v>
      </c>
      <c r="U52" s="118">
        <v>4191</v>
      </c>
      <c r="V52" s="118">
        <v>16079</v>
      </c>
      <c r="W52" s="118">
        <v>6287</v>
      </c>
      <c r="X52" s="118">
        <v>686</v>
      </c>
      <c r="Y52" s="121">
        <f t="shared" si="10"/>
        <v>239710</v>
      </c>
      <c r="Z52" s="326">
        <v>16237</v>
      </c>
    </row>
    <row r="53" spans="2:26" ht="15" customHeight="1" x14ac:dyDescent="0.2">
      <c r="B53" s="272" t="s">
        <v>1252</v>
      </c>
      <c r="C53" s="118">
        <v>0</v>
      </c>
      <c r="D53" s="118">
        <v>0</v>
      </c>
      <c r="E53" s="118">
        <v>34</v>
      </c>
      <c r="F53" s="118">
        <v>107</v>
      </c>
      <c r="G53" s="118">
        <v>3942</v>
      </c>
      <c r="H53" s="118">
        <v>36</v>
      </c>
      <c r="I53" s="118">
        <v>1781</v>
      </c>
      <c r="J53" s="118">
        <v>906</v>
      </c>
      <c r="K53" s="118">
        <v>5155</v>
      </c>
      <c r="L53" s="326">
        <v>4841</v>
      </c>
      <c r="M53" s="121">
        <f t="shared" si="9"/>
        <v>16802</v>
      </c>
      <c r="O53" s="271">
        <v>45627</v>
      </c>
      <c r="P53" s="118">
        <v>63138</v>
      </c>
      <c r="Q53" s="118">
        <v>61177</v>
      </c>
      <c r="R53" s="118">
        <v>1439</v>
      </c>
      <c r="S53" s="118">
        <v>8274</v>
      </c>
      <c r="T53" s="118">
        <v>79034</v>
      </c>
      <c r="U53" s="118">
        <v>4013</v>
      </c>
      <c r="V53" s="118">
        <v>16351</v>
      </c>
      <c r="W53" s="118">
        <v>6345</v>
      </c>
      <c r="X53" s="118">
        <v>5842</v>
      </c>
      <c r="Y53" s="121">
        <f t="shared" si="10"/>
        <v>245613</v>
      </c>
      <c r="Z53" s="326">
        <v>29385</v>
      </c>
    </row>
    <row r="54" spans="2:26" ht="15" customHeight="1" x14ac:dyDescent="0.2">
      <c r="B54" s="272" t="s">
        <v>1311</v>
      </c>
      <c r="C54" s="118">
        <v>0</v>
      </c>
      <c r="D54" s="118">
        <v>0</v>
      </c>
      <c r="E54" s="118">
        <v>10</v>
      </c>
      <c r="F54" s="118">
        <v>17</v>
      </c>
      <c r="G54" s="118">
        <v>211</v>
      </c>
      <c r="H54" s="118">
        <v>29</v>
      </c>
      <c r="I54" s="118">
        <v>1438</v>
      </c>
      <c r="J54" s="118">
        <v>446</v>
      </c>
      <c r="K54" s="118">
        <v>2121</v>
      </c>
      <c r="L54" s="326">
        <v>5672</v>
      </c>
      <c r="M54" s="121">
        <f t="shared" si="9"/>
        <v>9944</v>
      </c>
      <c r="O54" s="271">
        <v>45717</v>
      </c>
      <c r="P54" s="118">
        <v>63138</v>
      </c>
      <c r="Q54" s="118">
        <v>60352</v>
      </c>
      <c r="R54" s="118">
        <v>1265</v>
      </c>
      <c r="S54" s="118">
        <v>7913</v>
      </c>
      <c r="T54" s="118">
        <v>77182</v>
      </c>
      <c r="U54" s="118">
        <v>3863</v>
      </c>
      <c r="V54" s="118">
        <v>16266</v>
      </c>
      <c r="W54" s="118">
        <v>6057</v>
      </c>
      <c r="X54" s="118">
        <v>7959</v>
      </c>
      <c r="Y54" s="121">
        <f t="shared" si="10"/>
        <v>243995</v>
      </c>
      <c r="Z54" s="326">
        <v>29646</v>
      </c>
    </row>
    <row r="55" spans="2:26" ht="15" customHeight="1" x14ac:dyDescent="0.2">
      <c r="B55" s="272" t="s">
        <v>1313</v>
      </c>
      <c r="C55" s="118">
        <v>0</v>
      </c>
      <c r="D55" s="118">
        <v>0</v>
      </c>
      <c r="E55" s="118">
        <v>2</v>
      </c>
      <c r="F55" s="118">
        <v>151</v>
      </c>
      <c r="G55" s="118">
        <v>-1</v>
      </c>
      <c r="H55" s="118">
        <v>100</v>
      </c>
      <c r="I55" s="118">
        <v>1248</v>
      </c>
      <c r="J55" s="118">
        <v>267</v>
      </c>
      <c r="K55" s="118">
        <v>6810</v>
      </c>
      <c r="L55" s="326">
        <v>2589</v>
      </c>
      <c r="M55" s="121">
        <v>11166</v>
      </c>
      <c r="O55" s="271">
        <v>45809</v>
      </c>
      <c r="P55" s="118">
        <v>63138</v>
      </c>
      <c r="Q55" s="118">
        <v>59527</v>
      </c>
      <c r="R55" s="118">
        <v>1084</v>
      </c>
      <c r="S55" s="118">
        <v>7686</v>
      </c>
      <c r="T55" s="118">
        <v>75851</v>
      </c>
      <c r="U55" s="118">
        <v>3785</v>
      </c>
      <c r="V55" s="118">
        <v>15883</v>
      </c>
      <c r="W55" s="118">
        <v>5603</v>
      </c>
      <c r="X55" s="118">
        <v>14768</v>
      </c>
      <c r="Y55" s="121">
        <f t="shared" si="10"/>
        <v>247325</v>
      </c>
      <c r="Z55" s="326">
        <v>27604</v>
      </c>
    </row>
    <row r="56" spans="2:26" ht="15" customHeight="1" x14ac:dyDescent="0.2">
      <c r="B56" s="272" t="s">
        <v>1315</v>
      </c>
      <c r="C56" s="118">
        <v>0</v>
      </c>
      <c r="D56" s="118">
        <v>0</v>
      </c>
      <c r="E56" s="118">
        <v>42</v>
      </c>
      <c r="F56" s="118">
        <v>0</v>
      </c>
      <c r="G56" s="118">
        <v>11743</v>
      </c>
      <c r="H56" s="118">
        <v>24</v>
      </c>
      <c r="I56" s="118">
        <v>11</v>
      </c>
      <c r="J56" s="118">
        <v>565</v>
      </c>
      <c r="K56" s="118">
        <v>4425</v>
      </c>
      <c r="L56" s="326">
        <v>1987</v>
      </c>
      <c r="M56" s="121">
        <v>18797</v>
      </c>
      <c r="O56" s="271">
        <v>45901</v>
      </c>
      <c r="P56" s="118">
        <v>63138</v>
      </c>
      <c r="Q56" s="118">
        <v>58701</v>
      </c>
      <c r="R56" s="118">
        <v>965</v>
      </c>
      <c r="S56" s="118">
        <v>7305</v>
      </c>
      <c r="T56" s="118">
        <v>85990</v>
      </c>
      <c r="U56" s="118">
        <v>3650</v>
      </c>
      <c r="V56" s="118">
        <v>14243</v>
      </c>
      <c r="W56" s="118">
        <v>5379</v>
      </c>
      <c r="X56" s="118">
        <v>19201</v>
      </c>
      <c r="Y56" s="121">
        <f t="shared" si="10"/>
        <v>258572</v>
      </c>
      <c r="Z56" s="326">
        <v>32100</v>
      </c>
    </row>
    <row r="57" spans="2:26" ht="15" customHeight="1" x14ac:dyDescent="0.2">
      <c r="B57" s="272" t="s">
        <v>1317</v>
      </c>
      <c r="C57" s="118">
        <v>40205</v>
      </c>
      <c r="D57" s="118">
        <v>27</v>
      </c>
      <c r="E57" s="118">
        <v>51</v>
      </c>
      <c r="F57" s="118">
        <v>155</v>
      </c>
      <c r="G57" s="118">
        <v>6866</v>
      </c>
      <c r="H57" s="118">
        <v>590</v>
      </c>
      <c r="I57" s="118">
        <v>12369</v>
      </c>
      <c r="J57" s="118">
        <v>454</v>
      </c>
      <c r="K57" s="118">
        <v>7465</v>
      </c>
      <c r="L57" s="326">
        <v>4249</v>
      </c>
      <c r="M57" s="121">
        <f>+SUM(C57:L57)</f>
        <v>72431</v>
      </c>
      <c r="O57" s="271">
        <v>45992</v>
      </c>
      <c r="P57" s="118">
        <v>103343</v>
      </c>
      <c r="Q57" s="118">
        <v>57876</v>
      </c>
      <c r="R57" s="118">
        <v>828</v>
      </c>
      <c r="S57" s="118">
        <v>7095</v>
      </c>
      <c r="T57" s="118">
        <v>91081</v>
      </c>
      <c r="U57" s="118">
        <v>4065</v>
      </c>
      <c r="V57" s="118">
        <v>25049</v>
      </c>
      <c r="W57" s="118">
        <v>5041</v>
      </c>
      <c r="X57" s="118">
        <v>26663</v>
      </c>
      <c r="Y57" s="121">
        <f t="shared" si="10"/>
        <v>321041</v>
      </c>
      <c r="Z57" s="326">
        <v>31158</v>
      </c>
    </row>
    <row r="58" spans="2:26" ht="15" customHeight="1" x14ac:dyDescent="0.2">
      <c r="B58" s="272" t="s">
        <v>1344</v>
      </c>
      <c r="C58" s="118">
        <v>1500</v>
      </c>
      <c r="D58" s="118">
        <v>0</v>
      </c>
      <c r="E58" s="118">
        <v>102</v>
      </c>
      <c r="F58" s="118">
        <v>0</v>
      </c>
      <c r="G58" s="118">
        <v>517</v>
      </c>
      <c r="H58" s="118">
        <v>242</v>
      </c>
      <c r="I58" s="118">
        <v>27</v>
      </c>
      <c r="J58" s="118">
        <v>79</v>
      </c>
      <c r="K58" s="118">
        <v>5703</v>
      </c>
      <c r="L58" s="326">
        <v>4059</v>
      </c>
      <c r="M58" s="121">
        <f>+SUM(C58:L58)</f>
        <v>12229</v>
      </c>
      <c r="O58" s="271">
        <v>46082</v>
      </c>
      <c r="P58" s="118">
        <v>104843</v>
      </c>
      <c r="Q58" s="118">
        <v>57051</v>
      </c>
      <c r="R58" s="118">
        <v>818</v>
      </c>
      <c r="S58" s="118">
        <v>6735</v>
      </c>
      <c r="T58" s="118">
        <v>89991</v>
      </c>
      <c r="U58" s="118">
        <v>4094</v>
      </c>
      <c r="V58" s="118">
        <v>22825</v>
      </c>
      <c r="W58" s="118">
        <v>4397</v>
      </c>
      <c r="X58" s="118">
        <v>32367</v>
      </c>
      <c r="Y58" s="121">
        <f>+SUM(P58:X58)</f>
        <v>323121</v>
      </c>
      <c r="Z58" s="326">
        <f>+Intangível!HF7</f>
        <v>29715</v>
      </c>
    </row>
    <row r="61" spans="2:26" x14ac:dyDescent="0.2">
      <c r="B61"/>
      <c r="M61"/>
    </row>
    <row r="62" spans="2:26" x14ac:dyDescent="0.2">
      <c r="B62"/>
      <c r="M62"/>
    </row>
    <row r="63" spans="2:26" x14ac:dyDescent="0.2">
      <c r="B63"/>
      <c r="M63"/>
    </row>
    <row r="64" spans="2:26" hidden="1" x14ac:dyDescent="0.2">
      <c r="B64"/>
      <c r="M64"/>
    </row>
    <row r="65" spans="2:15" hidden="1" x14ac:dyDescent="0.2">
      <c r="B65"/>
      <c r="M65"/>
    </row>
    <row r="66" spans="2:15" x14ac:dyDescent="0.2">
      <c r="B66"/>
      <c r="M66"/>
    </row>
    <row r="67" spans="2:15" x14ac:dyDescent="0.2">
      <c r="B67"/>
      <c r="M67"/>
    </row>
    <row r="68" spans="2:15" x14ac:dyDescent="0.2">
      <c r="B68"/>
      <c r="M68"/>
    </row>
    <row r="69" spans="2:15" x14ac:dyDescent="0.2">
      <c r="B69"/>
      <c r="M69"/>
    </row>
    <row r="70" spans="2:15" x14ac:dyDescent="0.2">
      <c r="B70"/>
      <c r="M70"/>
    </row>
    <row r="71" spans="2:15" x14ac:dyDescent="0.2">
      <c r="B71"/>
      <c r="M71"/>
    </row>
    <row r="72" spans="2:15" x14ac:dyDescent="0.2">
      <c r="B72"/>
      <c r="M72"/>
    </row>
    <row r="74" spans="2:15" x14ac:dyDescent="0.2">
      <c r="B74"/>
      <c r="M74"/>
      <c r="O74"/>
    </row>
    <row r="75" spans="2:15" x14ac:dyDescent="0.2">
      <c r="B75"/>
      <c r="M75"/>
      <c r="O75"/>
    </row>
    <row r="76" spans="2:15" x14ac:dyDescent="0.2">
      <c r="B76"/>
      <c r="M76"/>
      <c r="O76"/>
    </row>
    <row r="77" spans="2:15" x14ac:dyDescent="0.2">
      <c r="B77"/>
      <c r="M77"/>
      <c r="O77"/>
    </row>
    <row r="78" spans="2:15" x14ac:dyDescent="0.2">
      <c r="B78"/>
      <c r="M78"/>
      <c r="O78"/>
    </row>
    <row r="79" spans="2:15" x14ac:dyDescent="0.2">
      <c r="B79"/>
      <c r="M79"/>
      <c r="O79"/>
    </row>
    <row r="80" spans="2:15" x14ac:dyDescent="0.2">
      <c r="B80"/>
      <c r="M80"/>
      <c r="O80"/>
    </row>
  </sheetData>
  <phoneticPr fontId="181" type="noConversion"/>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40">
    <pageSetUpPr autoPageBreaks="0"/>
  </sheetPr>
  <dimension ref="B1:AZ55"/>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2.75" x14ac:dyDescent="0.2"/>
  <cols>
    <col min="1" max="1" width="1.42578125" customWidth="1"/>
    <col min="2" max="2" width="45.5703125" customWidth="1"/>
    <col min="3" max="52" width="10.85546875" customWidth="1"/>
  </cols>
  <sheetData>
    <row r="1" spans="2:52" s="544" customFormat="1" ht="7.5" customHeight="1" x14ac:dyDescent="0.2"/>
    <row r="2" spans="2:52" s="544" customFormat="1" ht="12.75" customHeight="1" x14ac:dyDescent="0.2"/>
    <row r="3" spans="2:52" s="544" customFormat="1" ht="12.75" customHeight="1" x14ac:dyDescent="0.2">
      <c r="W3" s="793"/>
      <c r="X3" s="793"/>
      <c r="Y3" s="793"/>
      <c r="Z3" s="793"/>
      <c r="AA3" s="793"/>
      <c r="AB3" s="793"/>
      <c r="AC3" s="793"/>
      <c r="AD3" s="793"/>
      <c r="AE3" s="793"/>
      <c r="AF3" s="793"/>
      <c r="AG3" s="793"/>
      <c r="AH3" s="793"/>
      <c r="AI3" s="793"/>
      <c r="AJ3" s="793"/>
      <c r="AK3" s="793"/>
      <c r="AL3" s="793"/>
      <c r="AM3" s="793"/>
      <c r="AN3" s="793"/>
      <c r="AO3" s="793"/>
      <c r="AP3" s="793"/>
      <c r="AQ3" s="793"/>
      <c r="AR3" s="793"/>
      <c r="AS3" s="793"/>
      <c r="AT3" s="793"/>
      <c r="AU3" s="793"/>
      <c r="AV3" s="793"/>
      <c r="AW3" s="793"/>
      <c r="AX3" s="793"/>
      <c r="AY3" s="793"/>
      <c r="AZ3" s="793"/>
    </row>
    <row r="4" spans="2:52" ht="12.75" customHeight="1" x14ac:dyDescent="0.2">
      <c r="C4" s="1235" t="s">
        <v>1426</v>
      </c>
      <c r="D4" s="1236"/>
      <c r="E4" s="224" t="s">
        <v>1427</v>
      </c>
      <c r="W4" s="793"/>
      <c r="X4" s="793"/>
      <c r="Y4" s="793"/>
      <c r="Z4" s="793"/>
      <c r="AA4" s="793"/>
      <c r="AB4" s="793"/>
      <c r="AC4" s="793"/>
      <c r="AD4" s="793"/>
      <c r="AE4" s="793"/>
      <c r="AF4" s="793"/>
      <c r="AG4" s="793"/>
      <c r="AH4" s="793"/>
      <c r="AI4" s="793"/>
      <c r="AJ4" s="793"/>
      <c r="AK4" s="793"/>
      <c r="AL4" s="793"/>
      <c r="AM4" s="793"/>
      <c r="AN4" s="793"/>
      <c r="AO4" s="793"/>
      <c r="AP4" s="793"/>
      <c r="AQ4" s="793"/>
      <c r="AR4" s="793"/>
      <c r="AS4" s="793"/>
      <c r="AT4" s="793"/>
      <c r="AU4" s="793"/>
      <c r="AV4" s="793"/>
      <c r="AW4" s="793"/>
      <c r="AX4" s="793"/>
      <c r="AY4" s="793"/>
      <c r="AZ4" s="793"/>
    </row>
    <row r="5" spans="2:52" x14ac:dyDescent="0.2">
      <c r="B5" s="145" t="s">
        <v>96</v>
      </c>
      <c r="C5" s="246">
        <v>2013</v>
      </c>
      <c r="D5" s="115" t="s">
        <v>45</v>
      </c>
      <c r="E5" s="222" t="s">
        <v>55</v>
      </c>
      <c r="F5" s="115" t="s">
        <v>71</v>
      </c>
      <c r="G5" s="115" t="s">
        <v>77</v>
      </c>
      <c r="H5" s="115" t="s">
        <v>87</v>
      </c>
      <c r="I5" s="115" t="s">
        <v>88</v>
      </c>
      <c r="J5" s="115" t="s">
        <v>378</v>
      </c>
      <c r="K5" s="115" t="s">
        <v>406</v>
      </c>
      <c r="L5" s="115" t="s">
        <v>467</v>
      </c>
      <c r="M5" s="115" t="s">
        <v>501</v>
      </c>
      <c r="N5" s="115" t="s">
        <v>511</v>
      </c>
      <c r="O5" s="115" t="s">
        <v>538</v>
      </c>
      <c r="P5" s="115" t="s">
        <v>567</v>
      </c>
      <c r="Q5" s="115" t="s">
        <v>575</v>
      </c>
      <c r="R5" s="115" t="s">
        <v>595</v>
      </c>
      <c r="S5" s="115" t="s">
        <v>596</v>
      </c>
      <c r="T5" s="115" t="s">
        <v>623</v>
      </c>
      <c r="U5" s="115" t="s">
        <v>624</v>
      </c>
      <c r="V5" s="115" t="s">
        <v>625</v>
      </c>
      <c r="W5" s="115" t="s">
        <v>626</v>
      </c>
      <c r="X5" s="115" t="s">
        <v>798</v>
      </c>
      <c r="Y5" s="115" t="s">
        <v>799</v>
      </c>
      <c r="Z5" s="115" t="s">
        <v>800</v>
      </c>
      <c r="AA5" s="115" t="s">
        <v>801</v>
      </c>
      <c r="AB5" s="115" t="s">
        <v>913</v>
      </c>
      <c r="AC5" s="115" t="s">
        <v>914</v>
      </c>
      <c r="AD5" s="115" t="s">
        <v>923</v>
      </c>
      <c r="AE5" s="115" t="s">
        <v>924</v>
      </c>
      <c r="AF5" s="115" t="s">
        <v>1049</v>
      </c>
      <c r="AG5" s="115" t="s">
        <v>1023</v>
      </c>
      <c r="AH5" s="115" t="s">
        <v>1024</v>
      </c>
      <c r="AI5" s="115" t="s">
        <v>1050</v>
      </c>
      <c r="AJ5" s="115" t="s">
        <v>1114</v>
      </c>
      <c r="AK5" s="115" t="s">
        <v>1119</v>
      </c>
      <c r="AL5" s="115" t="s">
        <v>1121</v>
      </c>
      <c r="AM5" s="115" t="s">
        <v>1123</v>
      </c>
      <c r="AN5" s="115" t="s">
        <v>1176</v>
      </c>
      <c r="AO5" s="115" t="s">
        <v>1177</v>
      </c>
      <c r="AP5" s="115" t="s">
        <v>1179</v>
      </c>
      <c r="AQ5" s="115" t="s">
        <v>1181</v>
      </c>
      <c r="AR5" s="115" t="s">
        <v>1243</v>
      </c>
      <c r="AS5" s="115" t="s">
        <v>1250</v>
      </c>
      <c r="AT5" s="115" t="s">
        <v>1251</v>
      </c>
      <c r="AU5" s="115" t="s">
        <v>1252</v>
      </c>
      <c r="AV5" s="115" t="s">
        <v>1311</v>
      </c>
      <c r="AW5" s="115" t="s">
        <v>1313</v>
      </c>
      <c r="AX5" s="115" t="s">
        <v>1315</v>
      </c>
      <c r="AY5" s="115" t="s">
        <v>1317</v>
      </c>
      <c r="AZ5" s="115" t="s">
        <v>1344</v>
      </c>
    </row>
    <row r="6" spans="2:52" x14ac:dyDescent="0.2">
      <c r="B6" s="129" t="s">
        <v>794</v>
      </c>
      <c r="C6" s="118" t="s">
        <v>160</v>
      </c>
      <c r="D6" s="118" t="s">
        <v>160</v>
      </c>
      <c r="E6" s="160" t="s">
        <v>160</v>
      </c>
      <c r="F6" s="118" t="s">
        <v>160</v>
      </c>
      <c r="G6" s="118" t="s">
        <v>160</v>
      </c>
      <c r="H6" s="118" t="s">
        <v>160</v>
      </c>
      <c r="I6" s="118" t="s">
        <v>160</v>
      </c>
      <c r="J6" s="118" t="s">
        <v>160</v>
      </c>
      <c r="K6" s="118" t="s">
        <v>160</v>
      </c>
      <c r="L6" s="118" t="s">
        <v>160</v>
      </c>
      <c r="M6" s="118" t="s">
        <v>160</v>
      </c>
      <c r="N6" s="118" t="s">
        <v>160</v>
      </c>
      <c r="O6" s="118" t="s">
        <v>160</v>
      </c>
      <c r="P6" s="118" t="s">
        <v>160</v>
      </c>
      <c r="Q6" s="261">
        <v>50000</v>
      </c>
      <c r="R6" s="118">
        <v>50309</v>
      </c>
      <c r="S6" s="118">
        <v>50017</v>
      </c>
      <c r="T6" s="118">
        <v>50243</v>
      </c>
      <c r="U6" s="118">
        <v>50020</v>
      </c>
      <c r="V6" s="118">
        <v>10232</v>
      </c>
      <c r="W6" s="118">
        <v>10015</v>
      </c>
      <c r="X6" s="118">
        <v>40232</v>
      </c>
      <c r="Y6" s="118">
        <v>37227</v>
      </c>
      <c r="Z6" s="118">
        <v>36828</v>
      </c>
      <c r="AA6" s="118">
        <v>33802</v>
      </c>
      <c r="AB6" s="118">
        <v>33402</v>
      </c>
      <c r="AC6" s="118">
        <v>81112</v>
      </c>
      <c r="AD6" s="118">
        <v>81575</v>
      </c>
      <c r="AE6" s="118">
        <v>80940</v>
      </c>
      <c r="AF6" s="118">
        <v>81438</v>
      </c>
      <c r="AG6" s="118">
        <v>81188</v>
      </c>
      <c r="AH6" s="118">
        <v>81981</v>
      </c>
      <c r="AI6" s="118">
        <v>82038</v>
      </c>
      <c r="AJ6" s="118">
        <v>73150</v>
      </c>
      <c r="AK6" s="118">
        <v>20661</v>
      </c>
      <c r="AL6" s="118">
        <v>20011</v>
      </c>
      <c r="AM6" s="118">
        <v>20710</v>
      </c>
      <c r="AN6" s="118">
        <v>10010</v>
      </c>
      <c r="AO6" s="118">
        <v>10356</v>
      </c>
      <c r="AP6" s="118">
        <v>40255</v>
      </c>
      <c r="AQ6" s="118">
        <v>57352</v>
      </c>
      <c r="AR6" s="118">
        <v>56054</v>
      </c>
      <c r="AS6" s="118">
        <v>46782</v>
      </c>
      <c r="AT6" s="118">
        <v>45479</v>
      </c>
      <c r="AU6" s="118">
        <v>46867</v>
      </c>
      <c r="AV6" s="118">
        <v>45496</v>
      </c>
      <c r="AW6" s="118">
        <v>47204</v>
      </c>
      <c r="AX6" s="118">
        <v>22821</v>
      </c>
      <c r="AY6" s="118">
        <v>63857</v>
      </c>
      <c r="AZ6" s="118">
        <v>64357</v>
      </c>
    </row>
    <row r="7" spans="2:52" x14ac:dyDescent="0.2">
      <c r="B7" s="129" t="s">
        <v>273</v>
      </c>
      <c r="C7" s="118">
        <v>16058</v>
      </c>
      <c r="D7" s="118">
        <v>14651</v>
      </c>
      <c r="E7" s="160">
        <v>7673</v>
      </c>
      <c r="F7" s="118">
        <v>6695</v>
      </c>
      <c r="G7" s="118">
        <v>5724</v>
      </c>
      <c r="H7" s="118">
        <v>4844</v>
      </c>
      <c r="I7" s="118">
        <v>3987</v>
      </c>
      <c r="J7" s="118">
        <v>3216</v>
      </c>
      <c r="K7" s="118">
        <v>2476</v>
      </c>
      <c r="L7" s="118">
        <v>2051</v>
      </c>
      <c r="M7" s="118">
        <v>1744</v>
      </c>
      <c r="N7" s="118">
        <v>1445</v>
      </c>
      <c r="O7" s="118">
        <v>1182</v>
      </c>
      <c r="P7" s="118">
        <v>2263</v>
      </c>
      <c r="Q7" s="118">
        <v>5148</v>
      </c>
      <c r="R7" s="118">
        <v>4954</v>
      </c>
      <c r="S7" s="118">
        <v>4730</v>
      </c>
      <c r="T7" s="118">
        <v>4620</v>
      </c>
      <c r="U7" s="118">
        <v>0</v>
      </c>
      <c r="V7" s="118">
        <v>0</v>
      </c>
      <c r="W7" s="118">
        <v>0</v>
      </c>
      <c r="X7" s="118">
        <v>0</v>
      </c>
      <c r="Y7" s="118">
        <v>0</v>
      </c>
      <c r="Z7" s="118">
        <v>0</v>
      </c>
      <c r="AA7" s="118">
        <v>0</v>
      </c>
      <c r="AB7" s="118">
        <v>0</v>
      </c>
      <c r="AC7" s="118">
        <v>0</v>
      </c>
      <c r="AD7" s="118">
        <v>0</v>
      </c>
      <c r="AE7" s="118">
        <v>0</v>
      </c>
      <c r="AF7" s="118">
        <v>0</v>
      </c>
      <c r="AG7" s="118">
        <v>0</v>
      </c>
      <c r="AH7" s="118">
        <v>0</v>
      </c>
      <c r="AI7" s="118">
        <v>0</v>
      </c>
      <c r="AJ7" s="118">
        <v>0</v>
      </c>
      <c r="AK7" s="118">
        <v>0</v>
      </c>
      <c r="AL7" s="118">
        <v>0</v>
      </c>
      <c r="AM7" s="118">
        <v>32810</v>
      </c>
      <c r="AN7" s="118">
        <v>33984</v>
      </c>
      <c r="AO7" s="118">
        <v>32771</v>
      </c>
      <c r="AP7" s="118">
        <v>0</v>
      </c>
      <c r="AQ7" s="118">
        <v>44247</v>
      </c>
      <c r="AR7" s="118">
        <v>51163</v>
      </c>
      <c r="AS7" s="118">
        <v>59184</v>
      </c>
      <c r="AT7" s="118">
        <v>60200</v>
      </c>
      <c r="AU7" s="118">
        <v>59129</v>
      </c>
      <c r="AV7" s="118">
        <v>64789</v>
      </c>
      <c r="AW7" s="118">
        <v>64001</v>
      </c>
      <c r="AX7" s="118">
        <v>62922</v>
      </c>
      <c r="AY7" s="118">
        <v>62093</v>
      </c>
      <c r="AZ7" s="118">
        <v>60847</v>
      </c>
    </row>
    <row r="8" spans="2:52" x14ac:dyDescent="0.2">
      <c r="B8" s="129" t="s">
        <v>1015</v>
      </c>
      <c r="C8" s="118">
        <v>0</v>
      </c>
      <c r="D8" s="118">
        <v>0</v>
      </c>
      <c r="E8" s="160">
        <v>0</v>
      </c>
      <c r="F8" s="118">
        <v>0</v>
      </c>
      <c r="G8" s="118">
        <v>0</v>
      </c>
      <c r="H8" s="118">
        <v>0</v>
      </c>
      <c r="I8" s="118">
        <v>0</v>
      </c>
      <c r="J8" s="118">
        <v>0</v>
      </c>
      <c r="K8" s="118">
        <v>0</v>
      </c>
      <c r="L8" s="118">
        <v>0</v>
      </c>
      <c r="M8" s="118">
        <v>0</v>
      </c>
      <c r="N8" s="118">
        <v>0</v>
      </c>
      <c r="O8" s="118">
        <v>0</v>
      </c>
      <c r="P8" s="118">
        <v>0</v>
      </c>
      <c r="Q8" s="261">
        <v>0</v>
      </c>
      <c r="R8" s="118">
        <v>0</v>
      </c>
      <c r="S8" s="118">
        <v>0</v>
      </c>
      <c r="T8" s="118">
        <v>0</v>
      </c>
      <c r="U8" s="118">
        <v>0</v>
      </c>
      <c r="V8" s="118">
        <v>0</v>
      </c>
      <c r="W8" s="118">
        <v>0</v>
      </c>
      <c r="X8" s="118">
        <v>0</v>
      </c>
      <c r="Y8" s="118">
        <v>0</v>
      </c>
      <c r="Z8" s="118">
        <v>0</v>
      </c>
      <c r="AA8" s="118">
        <v>0</v>
      </c>
      <c r="AB8" s="118">
        <v>0</v>
      </c>
      <c r="AC8" s="118">
        <v>40632</v>
      </c>
      <c r="AD8" s="118">
        <v>81646</v>
      </c>
      <c r="AE8" s="118">
        <v>82708</v>
      </c>
      <c r="AF8" s="118">
        <v>82829</v>
      </c>
      <c r="AG8" s="118">
        <v>40946</v>
      </c>
      <c r="AH8" s="118">
        <v>40638</v>
      </c>
      <c r="AI8" s="118">
        <v>41656</v>
      </c>
      <c r="AJ8" s="118">
        <v>41012</v>
      </c>
      <c r="AK8" s="118">
        <v>42476</v>
      </c>
      <c r="AL8" s="118">
        <v>41308</v>
      </c>
      <c r="AM8" s="118">
        <v>42905</v>
      </c>
      <c r="AN8" s="118">
        <v>41268</v>
      </c>
      <c r="AO8" s="118">
        <v>42837</v>
      </c>
      <c r="AP8" s="118">
        <v>55551</v>
      </c>
      <c r="AQ8" s="118">
        <v>0</v>
      </c>
      <c r="AR8" s="118">
        <v>0</v>
      </c>
      <c r="AS8" s="118">
        <v>0</v>
      </c>
      <c r="AT8" s="118">
        <v>0</v>
      </c>
      <c r="AU8" s="118">
        <v>0</v>
      </c>
      <c r="AV8" s="118">
        <v>0</v>
      </c>
      <c r="AW8" s="118">
        <v>0</v>
      </c>
      <c r="AX8" s="118">
        <v>0</v>
      </c>
      <c r="AY8" s="118">
        <v>0</v>
      </c>
      <c r="AZ8" s="118">
        <v>0</v>
      </c>
    </row>
    <row r="9" spans="2:52" x14ac:dyDescent="0.2">
      <c r="B9" s="129" t="s">
        <v>1348</v>
      </c>
      <c r="C9" s="118">
        <v>0</v>
      </c>
      <c r="D9" s="118">
        <v>0</v>
      </c>
      <c r="E9" s="118">
        <v>0</v>
      </c>
      <c r="F9" s="118">
        <v>0</v>
      </c>
      <c r="G9" s="118">
        <v>0</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18">
        <v>0</v>
      </c>
      <c r="Y9" s="118">
        <v>0</v>
      </c>
      <c r="Z9" s="118">
        <v>0</v>
      </c>
      <c r="AA9" s="118">
        <v>0</v>
      </c>
      <c r="AB9" s="118">
        <v>0</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v>76</v>
      </c>
      <c r="AY9" s="118">
        <v>0</v>
      </c>
      <c r="AZ9" s="118">
        <v>0</v>
      </c>
    </row>
    <row r="10" spans="2:52" x14ac:dyDescent="0.2">
      <c r="B10" s="129" t="s">
        <v>1047</v>
      </c>
      <c r="C10" s="118">
        <v>0</v>
      </c>
      <c r="D10" s="118">
        <v>0</v>
      </c>
      <c r="E10" s="160">
        <v>0</v>
      </c>
      <c r="F10" s="118">
        <v>0</v>
      </c>
      <c r="G10" s="118">
        <v>0</v>
      </c>
      <c r="H10" s="118">
        <v>0</v>
      </c>
      <c r="I10" s="118">
        <v>0</v>
      </c>
      <c r="J10" s="118">
        <v>0</v>
      </c>
      <c r="K10" s="118">
        <v>0</v>
      </c>
      <c r="L10" s="118">
        <v>0</v>
      </c>
      <c r="M10" s="118">
        <v>0</v>
      </c>
      <c r="N10" s="118">
        <v>0</v>
      </c>
      <c r="O10" s="118">
        <v>0</v>
      </c>
      <c r="P10" s="118">
        <v>0</v>
      </c>
      <c r="Q10" s="261">
        <v>0</v>
      </c>
      <c r="R10" s="118">
        <v>0</v>
      </c>
      <c r="S10" s="118">
        <v>0</v>
      </c>
      <c r="T10" s="118">
        <v>0</v>
      </c>
      <c r="U10" s="118">
        <v>0</v>
      </c>
      <c r="V10" s="118">
        <v>0</v>
      </c>
      <c r="W10" s="118">
        <v>0</v>
      </c>
      <c r="X10" s="118">
        <v>0</v>
      </c>
      <c r="Y10" s="118">
        <v>0</v>
      </c>
      <c r="Z10" s="118">
        <v>0</v>
      </c>
      <c r="AA10" s="118">
        <v>0</v>
      </c>
      <c r="AB10" s="118">
        <v>0</v>
      </c>
      <c r="AC10" s="118">
        <v>0</v>
      </c>
      <c r="AD10" s="118">
        <v>5055</v>
      </c>
      <c r="AE10" s="118">
        <v>5116</v>
      </c>
      <c r="AF10" s="118">
        <v>5033</v>
      </c>
      <c r="AG10" s="118">
        <v>5109</v>
      </c>
      <c r="AH10" s="118">
        <v>5057</v>
      </c>
      <c r="AI10" s="118">
        <v>5192</v>
      </c>
      <c r="AJ10" s="118">
        <v>5088</v>
      </c>
      <c r="AK10" s="118">
        <v>5274</v>
      </c>
      <c r="AL10" s="118">
        <v>5113</v>
      </c>
      <c r="AM10" s="118">
        <v>5315</v>
      </c>
      <c r="AN10" s="118">
        <v>5104</v>
      </c>
      <c r="AO10" s="118">
        <v>5303</v>
      </c>
      <c r="AP10" s="118">
        <v>0</v>
      </c>
      <c r="AQ10" s="118">
        <v>0</v>
      </c>
      <c r="AR10" s="118">
        <v>0</v>
      </c>
      <c r="AS10" s="118">
        <v>0</v>
      </c>
      <c r="AT10" s="118">
        <v>0</v>
      </c>
      <c r="AU10" s="118">
        <v>0</v>
      </c>
      <c r="AV10" s="118">
        <v>0</v>
      </c>
      <c r="AW10" s="118">
        <v>0</v>
      </c>
      <c r="AX10" s="118">
        <v>0</v>
      </c>
      <c r="AY10" s="118">
        <v>0</v>
      </c>
      <c r="AZ10" s="118">
        <v>0</v>
      </c>
    </row>
    <row r="11" spans="2:52" x14ac:dyDescent="0.2">
      <c r="B11" s="318" t="s">
        <v>1011</v>
      </c>
      <c r="C11" s="312">
        <v>224137</v>
      </c>
      <c r="D11" s="312">
        <v>216263</v>
      </c>
      <c r="E11" s="319">
        <v>48143</v>
      </c>
      <c r="F11" s="312">
        <v>132397</v>
      </c>
      <c r="G11" s="312">
        <v>143833</v>
      </c>
      <c r="H11" s="312">
        <v>175920</v>
      </c>
      <c r="I11" s="312">
        <v>0</v>
      </c>
      <c r="J11" s="312">
        <v>0</v>
      </c>
      <c r="K11" s="312">
        <v>0</v>
      </c>
      <c r="L11" s="312">
        <v>0</v>
      </c>
      <c r="M11" s="312">
        <v>0</v>
      </c>
      <c r="N11" s="312">
        <v>0</v>
      </c>
      <c r="O11" s="312">
        <v>0</v>
      </c>
      <c r="P11" s="312">
        <v>0</v>
      </c>
      <c r="Q11" s="312">
        <v>0</v>
      </c>
      <c r="R11" s="312">
        <v>0</v>
      </c>
      <c r="S11" s="312">
        <v>0</v>
      </c>
      <c r="T11" s="312">
        <v>0</v>
      </c>
      <c r="U11" s="312">
        <v>0</v>
      </c>
      <c r="V11" s="312">
        <v>54312</v>
      </c>
      <c r="W11" s="312">
        <v>52102</v>
      </c>
      <c r="X11" s="312">
        <v>53995</v>
      </c>
      <c r="Y11" s="312">
        <v>53222</v>
      </c>
      <c r="Z11" s="312">
        <v>57992</v>
      </c>
      <c r="AA11" s="312">
        <v>57220</v>
      </c>
      <c r="AB11" s="312">
        <v>69884</v>
      </c>
      <c r="AC11" s="312">
        <v>74610</v>
      </c>
      <c r="AD11" s="312">
        <v>0</v>
      </c>
      <c r="AE11" s="312">
        <v>0</v>
      </c>
      <c r="AF11" s="312">
        <v>0</v>
      </c>
      <c r="AG11" s="312">
        <v>0</v>
      </c>
      <c r="AH11" s="312">
        <v>0</v>
      </c>
      <c r="AI11" s="312">
        <v>0</v>
      </c>
      <c r="AJ11" s="312">
        <v>0</v>
      </c>
      <c r="AK11" s="312">
        <v>0</v>
      </c>
      <c r="AL11" s="312">
        <v>0</v>
      </c>
      <c r="AM11" s="312">
        <v>0</v>
      </c>
      <c r="AN11" s="312">
        <v>0</v>
      </c>
      <c r="AO11" s="312">
        <v>0</v>
      </c>
      <c r="AP11" s="312">
        <v>0</v>
      </c>
      <c r="AQ11" s="312">
        <v>0</v>
      </c>
      <c r="AR11" s="312">
        <v>0</v>
      </c>
      <c r="AS11" s="312">
        <v>0</v>
      </c>
      <c r="AT11" s="312">
        <v>0</v>
      </c>
      <c r="AU11" s="312">
        <v>0</v>
      </c>
      <c r="AV11" s="312">
        <v>0</v>
      </c>
      <c r="AW11" s="312">
        <v>0</v>
      </c>
      <c r="AX11" s="312">
        <v>0</v>
      </c>
      <c r="AY11" s="312">
        <v>0</v>
      </c>
      <c r="AZ11" s="312">
        <v>0</v>
      </c>
    </row>
    <row r="12" spans="2:52" x14ac:dyDescent="0.2">
      <c r="B12" s="126" t="s">
        <v>274</v>
      </c>
      <c r="C12" s="120">
        <f t="shared" ref="C12:AQ12" si="0">SUM(C6:C11)</f>
        <v>240195</v>
      </c>
      <c r="D12" s="120">
        <f t="shared" si="0"/>
        <v>230914</v>
      </c>
      <c r="E12" s="162">
        <f t="shared" si="0"/>
        <v>55816</v>
      </c>
      <c r="F12" s="120">
        <f t="shared" si="0"/>
        <v>139092</v>
      </c>
      <c r="G12" s="120">
        <f t="shared" si="0"/>
        <v>149557</v>
      </c>
      <c r="H12" s="120">
        <f t="shared" si="0"/>
        <v>180764</v>
      </c>
      <c r="I12" s="120">
        <f t="shared" si="0"/>
        <v>3987</v>
      </c>
      <c r="J12" s="120">
        <f t="shared" si="0"/>
        <v>3216</v>
      </c>
      <c r="K12" s="120">
        <f t="shared" si="0"/>
        <v>2476</v>
      </c>
      <c r="L12" s="120">
        <f t="shared" si="0"/>
        <v>2051</v>
      </c>
      <c r="M12" s="120">
        <f t="shared" si="0"/>
        <v>1744</v>
      </c>
      <c r="N12" s="120">
        <f t="shared" si="0"/>
        <v>1445</v>
      </c>
      <c r="O12" s="120">
        <f t="shared" si="0"/>
        <v>1182</v>
      </c>
      <c r="P12" s="120">
        <f t="shared" si="0"/>
        <v>2263</v>
      </c>
      <c r="Q12" s="120">
        <f t="shared" si="0"/>
        <v>55148</v>
      </c>
      <c r="R12" s="120">
        <f t="shared" si="0"/>
        <v>55263</v>
      </c>
      <c r="S12" s="120">
        <f t="shared" si="0"/>
        <v>54747</v>
      </c>
      <c r="T12" s="120">
        <f t="shared" si="0"/>
        <v>54863</v>
      </c>
      <c r="U12" s="120">
        <f t="shared" si="0"/>
        <v>50020</v>
      </c>
      <c r="V12" s="120">
        <f t="shared" si="0"/>
        <v>64544</v>
      </c>
      <c r="W12" s="120">
        <f t="shared" si="0"/>
        <v>62117</v>
      </c>
      <c r="X12" s="120">
        <f t="shared" si="0"/>
        <v>94227</v>
      </c>
      <c r="Y12" s="120">
        <f t="shared" si="0"/>
        <v>90449</v>
      </c>
      <c r="Z12" s="120">
        <f t="shared" si="0"/>
        <v>94820</v>
      </c>
      <c r="AA12" s="120">
        <f t="shared" si="0"/>
        <v>91022</v>
      </c>
      <c r="AB12" s="120">
        <f t="shared" si="0"/>
        <v>103286</v>
      </c>
      <c r="AC12" s="120">
        <f t="shared" si="0"/>
        <v>196354</v>
      </c>
      <c r="AD12" s="120">
        <f t="shared" si="0"/>
        <v>168276</v>
      </c>
      <c r="AE12" s="120">
        <f t="shared" si="0"/>
        <v>168764</v>
      </c>
      <c r="AF12" s="120">
        <f t="shared" si="0"/>
        <v>169300</v>
      </c>
      <c r="AG12" s="120">
        <f t="shared" si="0"/>
        <v>127243</v>
      </c>
      <c r="AH12" s="120">
        <f t="shared" si="0"/>
        <v>127676</v>
      </c>
      <c r="AI12" s="120">
        <f t="shared" si="0"/>
        <v>128886</v>
      </c>
      <c r="AJ12" s="120">
        <f t="shared" si="0"/>
        <v>119250</v>
      </c>
      <c r="AK12" s="120">
        <f t="shared" si="0"/>
        <v>68411</v>
      </c>
      <c r="AL12" s="120">
        <f t="shared" si="0"/>
        <v>66432</v>
      </c>
      <c r="AM12" s="120">
        <f t="shared" si="0"/>
        <v>101740</v>
      </c>
      <c r="AN12" s="120">
        <f t="shared" si="0"/>
        <v>90366</v>
      </c>
      <c r="AO12" s="120">
        <f t="shared" si="0"/>
        <v>91267</v>
      </c>
      <c r="AP12" s="120">
        <f t="shared" si="0"/>
        <v>95806</v>
      </c>
      <c r="AQ12" s="120">
        <f t="shared" si="0"/>
        <v>101599</v>
      </c>
      <c r="AR12" s="120">
        <v>107217</v>
      </c>
      <c r="AS12" s="120">
        <v>105966</v>
      </c>
      <c r="AT12" s="120">
        <v>105679</v>
      </c>
      <c r="AU12" s="120">
        <v>105996</v>
      </c>
      <c r="AV12" s="120">
        <f>SUM(AV6:AV11)</f>
        <v>110285</v>
      </c>
      <c r="AW12" s="120">
        <f>SUM(AW6:AW11)</f>
        <v>111205</v>
      </c>
      <c r="AX12" s="120">
        <f>SUM(AX6:AX11)</f>
        <v>85819</v>
      </c>
      <c r="AY12" s="120">
        <f>SUM(AY6:AY11)</f>
        <v>125950</v>
      </c>
      <c r="AZ12" s="120">
        <f>SUM(AZ6:AZ11)</f>
        <v>125204</v>
      </c>
    </row>
    <row r="13" spans="2:52" x14ac:dyDescent="0.2">
      <c r="B13" s="129" t="s">
        <v>186</v>
      </c>
      <c r="C13" s="118">
        <v>-7931</v>
      </c>
      <c r="D13" s="118">
        <v>-3815</v>
      </c>
      <c r="E13" s="160">
        <v>0</v>
      </c>
      <c r="F13" s="118">
        <v>-154</v>
      </c>
      <c r="G13" s="118">
        <v>-928</v>
      </c>
      <c r="H13" s="118">
        <v>-26757</v>
      </c>
      <c r="I13" s="118">
        <v>0</v>
      </c>
      <c r="J13" s="118">
        <v>0</v>
      </c>
      <c r="K13" s="118">
        <v>0</v>
      </c>
      <c r="L13" s="118">
        <v>0</v>
      </c>
      <c r="M13" s="118">
        <v>0</v>
      </c>
      <c r="N13" s="118">
        <v>0</v>
      </c>
      <c r="O13" s="118">
        <v>0</v>
      </c>
      <c r="P13" s="118">
        <v>0</v>
      </c>
      <c r="Q13" s="118">
        <v>0</v>
      </c>
      <c r="R13" s="118">
        <v>0</v>
      </c>
      <c r="S13" s="118">
        <v>0</v>
      </c>
      <c r="T13" s="118">
        <v>0</v>
      </c>
      <c r="U13" s="118">
        <v>0</v>
      </c>
      <c r="V13" s="118">
        <v>0</v>
      </c>
      <c r="W13" s="118">
        <v>0</v>
      </c>
      <c r="X13" s="118">
        <v>7558</v>
      </c>
      <c r="Y13" s="118">
        <v>8511</v>
      </c>
      <c r="Z13" s="118">
        <v>64820</v>
      </c>
      <c r="AA13" s="118">
        <v>61022</v>
      </c>
      <c r="AB13" s="118">
        <v>73286</v>
      </c>
      <c r="AC13" s="118">
        <v>116354</v>
      </c>
      <c r="AD13" s="118">
        <v>43276</v>
      </c>
      <c r="AE13" s="118">
        <v>43764</v>
      </c>
      <c r="AF13" s="118">
        <v>54300</v>
      </c>
      <c r="AG13" s="118">
        <v>62243</v>
      </c>
      <c r="AH13" s="118">
        <v>62676</v>
      </c>
      <c r="AI13" s="118">
        <v>63886</v>
      </c>
      <c r="AJ13" s="118">
        <v>64250</v>
      </c>
      <c r="AK13" s="118">
        <v>13411</v>
      </c>
      <c r="AL13" s="118">
        <v>56432</v>
      </c>
      <c r="AM13" s="118">
        <v>59172</v>
      </c>
      <c r="AN13" s="118">
        <v>47798</v>
      </c>
      <c r="AO13" s="118">
        <v>58699</v>
      </c>
      <c r="AP13" s="118">
        <v>11972</v>
      </c>
      <c r="AQ13" s="118">
        <v>12759</v>
      </c>
      <c r="AR13" s="118">
        <v>13485</v>
      </c>
      <c r="AS13" s="118">
        <v>4523</v>
      </c>
      <c r="AT13" s="118">
        <v>27754</v>
      </c>
      <c r="AU13" s="118">
        <v>29089</v>
      </c>
      <c r="AV13" s="118">
        <v>27874</v>
      </c>
      <c r="AW13" s="118">
        <v>29996</v>
      </c>
      <c r="AX13" s="118">
        <v>28280</v>
      </c>
      <c r="AY13" s="118">
        <v>29767</v>
      </c>
      <c r="AZ13" s="118">
        <v>30440</v>
      </c>
    </row>
    <row r="14" spans="2:52" x14ac:dyDescent="0.2">
      <c r="B14" s="129" t="s">
        <v>187</v>
      </c>
      <c r="C14" s="118">
        <v>-35462</v>
      </c>
      <c r="D14" s="118">
        <v>-16761</v>
      </c>
      <c r="E14" s="160">
        <v>1995</v>
      </c>
      <c r="F14" s="118">
        <v>-8205</v>
      </c>
      <c r="G14" s="118">
        <v>-15095</v>
      </c>
      <c r="H14" s="118">
        <v>-22003</v>
      </c>
      <c r="I14" s="118">
        <v>0</v>
      </c>
      <c r="J14" s="118">
        <v>0</v>
      </c>
      <c r="K14" s="118">
        <v>0</v>
      </c>
      <c r="L14" s="118">
        <v>0</v>
      </c>
      <c r="M14" s="118">
        <v>0</v>
      </c>
      <c r="N14" s="118">
        <v>0</v>
      </c>
      <c r="O14" s="118">
        <v>0</v>
      </c>
      <c r="P14" s="118">
        <v>0</v>
      </c>
      <c r="Q14" s="118">
        <v>0</v>
      </c>
      <c r="R14" s="118">
        <v>0</v>
      </c>
      <c r="S14" s="118">
        <v>0</v>
      </c>
      <c r="T14" s="118">
        <v>0</v>
      </c>
      <c r="U14" s="118">
        <v>0</v>
      </c>
      <c r="V14" s="118">
        <v>-3945</v>
      </c>
      <c r="W14" s="118">
        <v>-1614</v>
      </c>
      <c r="X14" s="118">
        <v>86669</v>
      </c>
      <c r="Y14" s="118">
        <v>81938</v>
      </c>
      <c r="Z14" s="118">
        <v>30000</v>
      </c>
      <c r="AA14" s="118">
        <v>30000</v>
      </c>
      <c r="AB14" s="118">
        <v>30000</v>
      </c>
      <c r="AC14" s="118">
        <v>80000</v>
      </c>
      <c r="AD14" s="118">
        <v>125000</v>
      </c>
      <c r="AE14" s="118">
        <v>125000</v>
      </c>
      <c r="AF14" s="118">
        <v>115000</v>
      </c>
      <c r="AG14" s="118">
        <v>65000</v>
      </c>
      <c r="AH14" s="118">
        <v>65000</v>
      </c>
      <c r="AI14" s="118">
        <v>65000</v>
      </c>
      <c r="AJ14" s="118">
        <v>55000</v>
      </c>
      <c r="AK14" s="118">
        <v>55000</v>
      </c>
      <c r="AL14" s="118">
        <v>10000</v>
      </c>
      <c r="AM14" s="118">
        <v>42568</v>
      </c>
      <c r="AN14" s="118">
        <v>42568</v>
      </c>
      <c r="AO14" s="118">
        <v>32568</v>
      </c>
      <c r="AP14" s="118">
        <v>83834</v>
      </c>
      <c r="AQ14" s="118">
        <v>88840</v>
      </c>
      <c r="AR14" s="118">
        <v>93732</v>
      </c>
      <c r="AS14" s="118">
        <v>101443</v>
      </c>
      <c r="AT14" s="118">
        <v>77925</v>
      </c>
      <c r="AU14" s="118">
        <v>76907</v>
      </c>
      <c r="AV14" s="118">
        <v>82411</v>
      </c>
      <c r="AW14" s="118">
        <v>81209</v>
      </c>
      <c r="AX14" s="118">
        <v>57539</v>
      </c>
      <c r="AY14" s="118">
        <v>96183</v>
      </c>
      <c r="AZ14" s="118">
        <v>94764</v>
      </c>
    </row>
    <row r="15" spans="2:52" x14ac:dyDescent="0.2">
      <c r="B15" s="126" t="s">
        <v>278</v>
      </c>
      <c r="C15" s="120">
        <f>SUM(C13:C14)</f>
        <v>-43393</v>
      </c>
      <c r="D15" s="120">
        <f t="shared" ref="D15:J15" si="1">SUM(D13:D14)</f>
        <v>-20576</v>
      </c>
      <c r="E15" s="162">
        <f t="shared" si="1"/>
        <v>1995</v>
      </c>
      <c r="F15" s="120">
        <f t="shared" si="1"/>
        <v>-8359</v>
      </c>
      <c r="G15" s="120">
        <f t="shared" si="1"/>
        <v>-16023</v>
      </c>
      <c r="H15" s="120">
        <f>SUM(H13:H14)</f>
        <v>-48760</v>
      </c>
      <c r="I15" s="120">
        <f t="shared" si="1"/>
        <v>0</v>
      </c>
      <c r="J15" s="120">
        <f t="shared" si="1"/>
        <v>0</v>
      </c>
      <c r="K15" s="120">
        <f t="shared" ref="K15:R15" si="2">SUM(K13:K14)</f>
        <v>0</v>
      </c>
      <c r="L15" s="120">
        <f t="shared" si="2"/>
        <v>0</v>
      </c>
      <c r="M15" s="120">
        <f t="shared" si="2"/>
        <v>0</v>
      </c>
      <c r="N15" s="120">
        <f t="shared" si="2"/>
        <v>0</v>
      </c>
      <c r="O15" s="120">
        <f t="shared" si="2"/>
        <v>0</v>
      </c>
      <c r="P15" s="120">
        <f t="shared" si="2"/>
        <v>0</v>
      </c>
      <c r="Q15" s="120">
        <f t="shared" si="2"/>
        <v>0</v>
      </c>
      <c r="R15" s="120">
        <f t="shared" si="2"/>
        <v>0</v>
      </c>
      <c r="S15" s="120">
        <f>SUM(S13:S14)</f>
        <v>0</v>
      </c>
      <c r="T15" s="120">
        <f>SUM(T13:T14)</f>
        <v>0</v>
      </c>
      <c r="U15" s="120">
        <f>SUM(U13:U14)</f>
        <v>0</v>
      </c>
      <c r="V15" s="120">
        <f>SUM(V13:V14)</f>
        <v>-3945</v>
      </c>
      <c r="W15" s="120">
        <f>SUM(W13:W14)</f>
        <v>-1614</v>
      </c>
      <c r="X15" s="120">
        <f t="shared" ref="X15:AC15" si="3">X16+X17</f>
        <v>51160</v>
      </c>
      <c r="Y15" s="120">
        <f t="shared" si="3"/>
        <v>50140</v>
      </c>
      <c r="Z15" s="120">
        <f t="shared" si="3"/>
        <v>51179</v>
      </c>
      <c r="AA15" s="120">
        <f t="shared" si="3"/>
        <v>50135</v>
      </c>
      <c r="AB15" s="120">
        <f t="shared" si="3"/>
        <v>50891</v>
      </c>
      <c r="AC15" s="120">
        <f t="shared" si="3"/>
        <v>51514</v>
      </c>
      <c r="AD15" s="120">
        <f t="shared" ref="AD15:AK15" si="4">AD16+AD17</f>
        <v>25167</v>
      </c>
      <c r="AE15" s="120">
        <f t="shared" si="4"/>
        <v>25047</v>
      </c>
      <c r="AF15" s="120">
        <f t="shared" si="4"/>
        <v>25289</v>
      </c>
      <c r="AG15" s="120">
        <f t="shared" si="4"/>
        <v>25070</v>
      </c>
      <c r="AH15" s="120">
        <f t="shared" si="4"/>
        <v>0</v>
      </c>
      <c r="AI15" s="120"/>
      <c r="AJ15" s="120">
        <v>0</v>
      </c>
      <c r="AK15" s="120">
        <f t="shared" si="4"/>
        <v>0</v>
      </c>
      <c r="AL15" s="120">
        <f t="shared" ref="AL15:AQ15" si="5">AL16+AL17</f>
        <v>0</v>
      </c>
      <c r="AM15" s="120">
        <f t="shared" si="5"/>
        <v>0</v>
      </c>
      <c r="AN15" s="120">
        <f t="shared" si="5"/>
        <v>0</v>
      </c>
      <c r="AO15" s="120">
        <f t="shared" si="5"/>
        <v>0</v>
      </c>
      <c r="AP15" s="120">
        <f t="shared" si="5"/>
        <v>0</v>
      </c>
      <c r="AQ15" s="120">
        <f t="shared" si="5"/>
        <v>0</v>
      </c>
      <c r="AR15" s="120">
        <v>0</v>
      </c>
      <c r="AS15" s="120">
        <v>0</v>
      </c>
      <c r="AT15" s="120">
        <v>0</v>
      </c>
      <c r="AU15" s="120">
        <v>0</v>
      </c>
      <c r="AV15" s="120">
        <f>AV16+AV17</f>
        <v>0</v>
      </c>
      <c r="AW15" s="120">
        <f>AW16+AW17</f>
        <v>0</v>
      </c>
      <c r="AX15" s="120">
        <f>AX16+AX17</f>
        <v>0</v>
      </c>
      <c r="AY15" s="120">
        <f>AY16+AY17</f>
        <v>0</v>
      </c>
      <c r="AZ15" s="120">
        <f>AZ16+AZ17</f>
        <v>0</v>
      </c>
    </row>
    <row r="16" spans="2:52" x14ac:dyDescent="0.2">
      <c r="B16" s="129" t="s">
        <v>275</v>
      </c>
      <c r="C16" s="118">
        <v>0</v>
      </c>
      <c r="D16" s="118">
        <v>0</v>
      </c>
      <c r="E16" s="160">
        <v>8630</v>
      </c>
      <c r="F16" s="118">
        <v>8318</v>
      </c>
      <c r="G16" s="118">
        <v>9798</v>
      </c>
      <c r="H16" s="118">
        <v>28643</v>
      </c>
      <c r="I16" s="118">
        <v>30485</v>
      </c>
      <c r="J16" s="118">
        <v>30338</v>
      </c>
      <c r="K16" s="118">
        <v>81814</v>
      </c>
      <c r="L16" s="118">
        <v>126467</v>
      </c>
      <c r="M16" s="118">
        <v>127502</v>
      </c>
      <c r="N16" s="118">
        <v>126941</v>
      </c>
      <c r="O16" s="118">
        <v>127043</v>
      </c>
      <c r="P16" s="118">
        <v>122503</v>
      </c>
      <c r="Q16" s="118">
        <v>122017</v>
      </c>
      <c r="R16" s="118">
        <v>68026</v>
      </c>
      <c r="S16" s="118">
        <v>71441</v>
      </c>
      <c r="T16" s="118">
        <v>49296</v>
      </c>
      <c r="U16" s="118">
        <v>48083</v>
      </c>
      <c r="V16" s="118">
        <v>48304</v>
      </c>
      <c r="W16" s="118">
        <v>48073</v>
      </c>
      <c r="X16" s="118">
        <v>1150</v>
      </c>
      <c r="Y16" s="118">
        <v>130</v>
      </c>
      <c r="Z16" s="118">
        <v>26174</v>
      </c>
      <c r="AA16" s="118">
        <v>25130</v>
      </c>
      <c r="AB16" s="118">
        <v>25886</v>
      </c>
      <c r="AC16" s="118">
        <v>26509</v>
      </c>
      <c r="AD16" s="118">
        <v>25167</v>
      </c>
      <c r="AE16" s="118">
        <v>25047</v>
      </c>
      <c r="AF16" s="118">
        <v>25289</v>
      </c>
      <c r="AG16" s="118">
        <v>25070</v>
      </c>
      <c r="AH16" s="118">
        <v>0</v>
      </c>
      <c r="AI16" s="118">
        <v>0</v>
      </c>
      <c r="AJ16" s="118">
        <v>0</v>
      </c>
      <c r="AK16" s="118">
        <v>0</v>
      </c>
      <c r="AL16" s="118">
        <v>0</v>
      </c>
      <c r="AM16" s="118">
        <v>0</v>
      </c>
      <c r="AN16" s="118">
        <v>0</v>
      </c>
      <c r="AO16" s="118">
        <v>0</v>
      </c>
      <c r="AP16" s="118">
        <v>0</v>
      </c>
      <c r="AQ16" s="118">
        <v>0</v>
      </c>
      <c r="AR16" s="118">
        <v>0</v>
      </c>
      <c r="AS16" s="118">
        <v>0</v>
      </c>
      <c r="AT16" s="118">
        <v>0</v>
      </c>
      <c r="AU16" s="118">
        <v>0</v>
      </c>
      <c r="AV16" s="118">
        <v>0</v>
      </c>
      <c r="AW16" s="118">
        <v>0</v>
      </c>
      <c r="AX16" s="118">
        <v>0</v>
      </c>
      <c r="AY16" s="118">
        <v>0</v>
      </c>
      <c r="AZ16" s="118">
        <v>0</v>
      </c>
    </row>
    <row r="17" spans="2:52" x14ac:dyDescent="0.2">
      <c r="B17" s="129" t="s">
        <v>187</v>
      </c>
      <c r="C17" s="118">
        <v>287845</v>
      </c>
      <c r="D17" s="118">
        <v>285063</v>
      </c>
      <c r="E17" s="160">
        <v>350000</v>
      </c>
      <c r="F17" s="118">
        <v>350000</v>
      </c>
      <c r="G17" s="118">
        <v>350000</v>
      </c>
      <c r="H17" s="118">
        <v>330002</v>
      </c>
      <c r="I17" s="118">
        <v>330002</v>
      </c>
      <c r="J17" s="118">
        <v>330002</v>
      </c>
      <c r="K17" s="118">
        <v>280007</v>
      </c>
      <c r="L17" s="118">
        <v>213347</v>
      </c>
      <c r="M17" s="118">
        <v>213347</v>
      </c>
      <c r="N17" s="118">
        <v>213347</v>
      </c>
      <c r="O17" s="118">
        <v>163352</v>
      </c>
      <c r="P17" s="118">
        <v>96686</v>
      </c>
      <c r="Q17" s="118">
        <v>96686</v>
      </c>
      <c r="R17" s="118">
        <v>96686</v>
      </c>
      <c r="S17" s="118">
        <v>96686</v>
      </c>
      <c r="T17" s="118">
        <v>50010</v>
      </c>
      <c r="U17" s="118">
        <v>50010</v>
      </c>
      <c r="V17" s="118">
        <v>50010</v>
      </c>
      <c r="W17" s="118">
        <v>50010</v>
      </c>
      <c r="X17" s="118">
        <v>50010</v>
      </c>
      <c r="Y17" s="118">
        <v>50010</v>
      </c>
      <c r="Z17" s="118">
        <v>25005</v>
      </c>
      <c r="AA17" s="118">
        <v>25005</v>
      </c>
      <c r="AB17" s="118">
        <v>25005</v>
      </c>
      <c r="AC17" s="118">
        <v>25005</v>
      </c>
      <c r="AD17" s="118">
        <v>0</v>
      </c>
      <c r="AE17" s="118">
        <v>0</v>
      </c>
      <c r="AF17" s="118">
        <v>0</v>
      </c>
      <c r="AG17" s="118">
        <v>0</v>
      </c>
      <c r="AH17" s="118">
        <v>0</v>
      </c>
      <c r="AI17" s="118">
        <v>0</v>
      </c>
      <c r="AJ17" s="118">
        <v>0</v>
      </c>
      <c r="AK17" s="118">
        <v>0</v>
      </c>
      <c r="AL17" s="118">
        <v>0</v>
      </c>
      <c r="AM17" s="118">
        <v>0</v>
      </c>
      <c r="AN17" s="118">
        <v>0</v>
      </c>
      <c r="AO17" s="118">
        <v>0</v>
      </c>
      <c r="AP17" s="118">
        <v>0</v>
      </c>
      <c r="AQ17" s="118">
        <v>0</v>
      </c>
      <c r="AR17" s="118">
        <v>0</v>
      </c>
      <c r="AS17" s="118">
        <v>0</v>
      </c>
      <c r="AT17" s="118">
        <v>0</v>
      </c>
      <c r="AU17" s="118">
        <v>0</v>
      </c>
      <c r="AV17" s="118">
        <v>0</v>
      </c>
      <c r="AW17" s="118">
        <v>0</v>
      </c>
      <c r="AX17" s="118">
        <v>0</v>
      </c>
      <c r="AY17" s="118">
        <v>0</v>
      </c>
      <c r="AZ17" s="118">
        <v>0</v>
      </c>
    </row>
    <row r="18" spans="2:52" x14ac:dyDescent="0.2">
      <c r="B18" s="126" t="s">
        <v>16</v>
      </c>
      <c r="C18" s="120">
        <f t="shared" ref="C18:W18" si="6">C15+C12</f>
        <v>196802</v>
      </c>
      <c r="D18" s="120">
        <f t="shared" si="6"/>
        <v>210338</v>
      </c>
      <c r="E18" s="120">
        <f t="shared" si="6"/>
        <v>57811</v>
      </c>
      <c r="F18" s="120">
        <f t="shared" si="6"/>
        <v>130733</v>
      </c>
      <c r="G18" s="120">
        <f t="shared" si="6"/>
        <v>133534</v>
      </c>
      <c r="H18" s="120">
        <f t="shared" si="6"/>
        <v>132004</v>
      </c>
      <c r="I18" s="120">
        <f t="shared" si="6"/>
        <v>3987</v>
      </c>
      <c r="J18" s="120">
        <f t="shared" si="6"/>
        <v>3216</v>
      </c>
      <c r="K18" s="120">
        <f t="shared" si="6"/>
        <v>2476</v>
      </c>
      <c r="L18" s="120">
        <f t="shared" si="6"/>
        <v>2051</v>
      </c>
      <c r="M18" s="120">
        <f t="shared" si="6"/>
        <v>1744</v>
      </c>
      <c r="N18" s="120">
        <f t="shared" si="6"/>
        <v>1445</v>
      </c>
      <c r="O18" s="120">
        <f t="shared" si="6"/>
        <v>1182</v>
      </c>
      <c r="P18" s="120">
        <f t="shared" si="6"/>
        <v>2263</v>
      </c>
      <c r="Q18" s="120">
        <f t="shared" si="6"/>
        <v>55148</v>
      </c>
      <c r="R18" s="120">
        <f t="shared" si="6"/>
        <v>55263</v>
      </c>
      <c r="S18" s="120">
        <f t="shared" si="6"/>
        <v>54747</v>
      </c>
      <c r="T18" s="120">
        <f t="shared" si="6"/>
        <v>54863</v>
      </c>
      <c r="U18" s="120">
        <f t="shared" si="6"/>
        <v>50020</v>
      </c>
      <c r="V18" s="120">
        <f t="shared" si="6"/>
        <v>60599</v>
      </c>
      <c r="W18" s="120">
        <f t="shared" si="6"/>
        <v>60503</v>
      </c>
      <c r="X18" s="120">
        <f t="shared" ref="X18:AC18" si="7">X15+X12</f>
        <v>145387</v>
      </c>
      <c r="Y18" s="120">
        <f t="shared" si="7"/>
        <v>140589</v>
      </c>
      <c r="Z18" s="120">
        <f t="shared" si="7"/>
        <v>145999</v>
      </c>
      <c r="AA18" s="120">
        <f t="shared" si="7"/>
        <v>141157</v>
      </c>
      <c r="AB18" s="120">
        <f t="shared" si="7"/>
        <v>154177</v>
      </c>
      <c r="AC18" s="120">
        <f t="shared" si="7"/>
        <v>247868</v>
      </c>
      <c r="AD18" s="120">
        <f t="shared" ref="AD18:AK18" si="8">AD15+AD12</f>
        <v>193443</v>
      </c>
      <c r="AE18" s="120">
        <f t="shared" si="8"/>
        <v>193811</v>
      </c>
      <c r="AF18" s="120">
        <f t="shared" si="8"/>
        <v>194589</v>
      </c>
      <c r="AG18" s="120">
        <f t="shared" si="8"/>
        <v>152313</v>
      </c>
      <c r="AH18" s="120">
        <f t="shared" si="8"/>
        <v>127676</v>
      </c>
      <c r="AI18" s="120">
        <f t="shared" si="8"/>
        <v>128886</v>
      </c>
      <c r="AJ18" s="120">
        <f t="shared" si="8"/>
        <v>119250</v>
      </c>
      <c r="AK18" s="120">
        <f t="shared" si="8"/>
        <v>68411</v>
      </c>
      <c r="AL18" s="120">
        <f t="shared" ref="AL18:AQ18" si="9">AL15+AL12</f>
        <v>66432</v>
      </c>
      <c r="AM18" s="120">
        <f t="shared" si="9"/>
        <v>101740</v>
      </c>
      <c r="AN18" s="120">
        <f t="shared" si="9"/>
        <v>90366</v>
      </c>
      <c r="AO18" s="120">
        <f t="shared" si="9"/>
        <v>91267</v>
      </c>
      <c r="AP18" s="120">
        <f t="shared" si="9"/>
        <v>95806</v>
      </c>
      <c r="AQ18" s="120">
        <f t="shared" si="9"/>
        <v>101599</v>
      </c>
      <c r="AR18" s="120">
        <v>107217</v>
      </c>
      <c r="AS18" s="120">
        <v>105966</v>
      </c>
      <c r="AT18" s="120">
        <v>105679</v>
      </c>
      <c r="AU18" s="120">
        <v>105996</v>
      </c>
      <c r="AV18" s="120">
        <f>AV15+AV12</f>
        <v>110285</v>
      </c>
      <c r="AW18" s="120">
        <f>AW15+AW12</f>
        <v>111205</v>
      </c>
      <c r="AX18" s="120">
        <f>AX15+AX12</f>
        <v>85819</v>
      </c>
      <c r="AY18" s="120">
        <f>AY15+AY12</f>
        <v>125950</v>
      </c>
      <c r="AZ18" s="120">
        <f>AZ15+AZ12</f>
        <v>125204</v>
      </c>
    </row>
    <row r="19" spans="2:52" x14ac:dyDescent="0.2">
      <c r="B19" s="126" t="s">
        <v>277</v>
      </c>
      <c r="C19" s="120">
        <f t="shared" ref="C19:T19" si="10">+C17+C16</f>
        <v>287845</v>
      </c>
      <c r="D19" s="120">
        <f t="shared" si="10"/>
        <v>285063</v>
      </c>
      <c r="E19" s="162">
        <f t="shared" si="10"/>
        <v>358630</v>
      </c>
      <c r="F19" s="120">
        <f t="shared" si="10"/>
        <v>358318</v>
      </c>
      <c r="G19" s="120">
        <f t="shared" si="10"/>
        <v>359798</v>
      </c>
      <c r="H19" s="120">
        <f t="shared" si="10"/>
        <v>358645</v>
      </c>
      <c r="I19" s="120">
        <f t="shared" si="10"/>
        <v>360487</v>
      </c>
      <c r="J19" s="120">
        <f t="shared" si="10"/>
        <v>360340</v>
      </c>
      <c r="K19" s="120">
        <f t="shared" si="10"/>
        <v>361821</v>
      </c>
      <c r="L19" s="120">
        <f t="shared" si="10"/>
        <v>339814</v>
      </c>
      <c r="M19" s="120">
        <f t="shared" si="10"/>
        <v>340849</v>
      </c>
      <c r="N19" s="120">
        <f t="shared" si="10"/>
        <v>340288</v>
      </c>
      <c r="O19" s="120">
        <f t="shared" si="10"/>
        <v>290395</v>
      </c>
      <c r="P19" s="120">
        <f t="shared" si="10"/>
        <v>219189</v>
      </c>
      <c r="Q19" s="120">
        <f t="shared" si="10"/>
        <v>218703</v>
      </c>
      <c r="R19" s="120">
        <f t="shared" si="10"/>
        <v>164712</v>
      </c>
      <c r="S19" s="120">
        <f t="shared" si="10"/>
        <v>168127</v>
      </c>
      <c r="T19" s="120">
        <f t="shared" si="10"/>
        <v>99306</v>
      </c>
      <c r="U19" s="120">
        <f>+U17+U16</f>
        <v>98093</v>
      </c>
      <c r="V19" s="120">
        <f>+V17+V16</f>
        <v>98314</v>
      </c>
      <c r="W19" s="120">
        <f>+W17+W16</f>
        <v>98083</v>
      </c>
      <c r="X19" s="120">
        <f t="shared" ref="X19:AC19" si="11">X20+X21</f>
        <v>-2661</v>
      </c>
      <c r="Y19" s="120">
        <f t="shared" si="11"/>
        <v>-1942</v>
      </c>
      <c r="Z19" s="120">
        <f t="shared" si="11"/>
        <v>-5899</v>
      </c>
      <c r="AA19" s="120">
        <f t="shared" si="11"/>
        <v>-3739</v>
      </c>
      <c r="AB19" s="120">
        <f t="shared" si="11"/>
        <v>-20658</v>
      </c>
      <c r="AC19" s="120">
        <f t="shared" si="11"/>
        <v>-23871</v>
      </c>
      <c r="AD19" s="120">
        <f>AD20+AD21</f>
        <v>0</v>
      </c>
      <c r="AE19" s="120">
        <f>AE20+AE21</f>
        <v>0</v>
      </c>
      <c r="AF19" s="120">
        <f>AF20+AF21</f>
        <v>0</v>
      </c>
      <c r="AG19" s="120">
        <f>AG20+AG21</f>
        <v>0</v>
      </c>
      <c r="AH19" s="120">
        <v>0</v>
      </c>
      <c r="AI19" s="120"/>
      <c r="AJ19" s="120">
        <v>0</v>
      </c>
      <c r="AK19" s="120">
        <f t="shared" ref="AK19:AP19" si="12">AK20+AK21</f>
        <v>0</v>
      </c>
      <c r="AL19" s="120">
        <f t="shared" si="12"/>
        <v>0</v>
      </c>
      <c r="AM19" s="120">
        <f t="shared" si="12"/>
        <v>0</v>
      </c>
      <c r="AN19" s="120">
        <f t="shared" si="12"/>
        <v>0</v>
      </c>
      <c r="AO19" s="120">
        <f t="shared" si="12"/>
        <v>0</v>
      </c>
      <c r="AP19" s="120">
        <f t="shared" si="12"/>
        <v>0</v>
      </c>
      <c r="AQ19" s="120">
        <f>AQ20+AQ21</f>
        <v>0</v>
      </c>
      <c r="AR19" s="120">
        <v>0</v>
      </c>
      <c r="AS19" s="120">
        <v>0</v>
      </c>
      <c r="AT19" s="120">
        <v>0</v>
      </c>
      <c r="AU19" s="120">
        <v>0</v>
      </c>
      <c r="AV19" s="120">
        <f>AV20+AV21</f>
        <v>0</v>
      </c>
      <c r="AW19" s="120">
        <f>AW20+AW21</f>
        <v>0</v>
      </c>
      <c r="AX19" s="120">
        <f>AX20+AX21</f>
        <v>0</v>
      </c>
      <c r="AY19" s="120">
        <f>AY20+AY21</f>
        <v>0</v>
      </c>
      <c r="AZ19" s="120">
        <f>AZ20+AZ21</f>
        <v>0</v>
      </c>
    </row>
    <row r="20" spans="2:52" x14ac:dyDescent="0.2">
      <c r="B20" s="129" t="s">
        <v>275</v>
      </c>
      <c r="C20" s="118">
        <v>0</v>
      </c>
      <c r="D20" s="118">
        <v>0</v>
      </c>
      <c r="E20" s="160">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-5899</v>
      </c>
      <c r="AA20" s="118">
        <v>-3739</v>
      </c>
      <c r="AB20" s="118">
        <v>-20658</v>
      </c>
      <c r="AC20" s="118">
        <v>-23871</v>
      </c>
      <c r="AD20" s="118">
        <v>0</v>
      </c>
      <c r="AE20" s="118">
        <v>0</v>
      </c>
      <c r="AF20" s="118">
        <v>0</v>
      </c>
      <c r="AG20" s="118">
        <v>0</v>
      </c>
      <c r="AH20" s="118">
        <v>0</v>
      </c>
      <c r="AI20" s="118">
        <v>0</v>
      </c>
      <c r="AJ20" s="118">
        <v>0</v>
      </c>
      <c r="AK20" s="118">
        <v>0</v>
      </c>
      <c r="AL20" s="118">
        <v>0</v>
      </c>
      <c r="AM20" s="118">
        <v>0</v>
      </c>
      <c r="AN20" s="118">
        <v>0</v>
      </c>
      <c r="AO20" s="118">
        <v>0</v>
      </c>
      <c r="AP20" s="118">
        <v>0</v>
      </c>
      <c r="AQ20" s="118">
        <v>0</v>
      </c>
      <c r="AR20" s="118">
        <v>0</v>
      </c>
      <c r="AS20" s="118">
        <v>0</v>
      </c>
      <c r="AT20" s="118">
        <v>0</v>
      </c>
      <c r="AU20" s="118">
        <v>0</v>
      </c>
      <c r="AV20" s="118">
        <v>0</v>
      </c>
      <c r="AW20" s="118">
        <v>0</v>
      </c>
      <c r="AX20" s="118">
        <v>0</v>
      </c>
      <c r="AY20" s="118">
        <v>0</v>
      </c>
      <c r="AZ20" s="118">
        <v>0</v>
      </c>
    </row>
    <row r="21" spans="2:52" x14ac:dyDescent="0.2">
      <c r="B21" s="129" t="s">
        <v>187</v>
      </c>
      <c r="C21" s="118">
        <v>0</v>
      </c>
      <c r="D21" s="118">
        <v>0</v>
      </c>
      <c r="E21" s="160">
        <v>0</v>
      </c>
      <c r="F21" s="118">
        <v>0</v>
      </c>
      <c r="G21" s="118">
        <v>0</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18">
        <v>-2661</v>
      </c>
      <c r="Y21" s="118">
        <v>-1942</v>
      </c>
      <c r="Z21" s="118">
        <v>0</v>
      </c>
      <c r="AA21" s="118">
        <v>0</v>
      </c>
      <c r="AB21" s="118">
        <v>0</v>
      </c>
      <c r="AC21" s="118">
        <v>0</v>
      </c>
      <c r="AD21" s="118">
        <v>0</v>
      </c>
      <c r="AE21" s="118">
        <v>0</v>
      </c>
      <c r="AF21" s="118">
        <v>0</v>
      </c>
      <c r="AG21" s="118">
        <v>0</v>
      </c>
      <c r="AH21" s="118">
        <v>0</v>
      </c>
      <c r="AI21" s="118">
        <v>0</v>
      </c>
      <c r="AJ21" s="118">
        <v>0</v>
      </c>
      <c r="AK21" s="118">
        <v>0</v>
      </c>
      <c r="AL21" s="118">
        <v>0</v>
      </c>
      <c r="AM21" s="118">
        <v>0</v>
      </c>
      <c r="AN21" s="118">
        <v>0</v>
      </c>
      <c r="AO21" s="118">
        <v>0</v>
      </c>
      <c r="AP21" s="118">
        <v>0</v>
      </c>
      <c r="AQ21" s="118">
        <v>0</v>
      </c>
      <c r="AR21" s="118">
        <v>0</v>
      </c>
      <c r="AS21" s="118">
        <v>0</v>
      </c>
      <c r="AT21" s="118">
        <v>0</v>
      </c>
      <c r="AU21" s="118">
        <v>0</v>
      </c>
      <c r="AV21" s="118">
        <v>0</v>
      </c>
      <c r="AW21" s="118">
        <v>0</v>
      </c>
      <c r="AX21" s="118">
        <v>0</v>
      </c>
      <c r="AY21" s="118">
        <v>0</v>
      </c>
      <c r="AZ21" s="118">
        <v>0</v>
      </c>
    </row>
    <row r="22" spans="2:52" ht="15.75" customHeight="1" x14ac:dyDescent="0.2">
      <c r="B22" s="126" t="s">
        <v>279</v>
      </c>
      <c r="C22" s="120">
        <f t="shared" ref="C22:V22" si="13">SUM(C19,C15,C12)</f>
        <v>484647</v>
      </c>
      <c r="D22" s="120">
        <f t="shared" si="13"/>
        <v>495401</v>
      </c>
      <c r="E22" s="162">
        <f t="shared" si="13"/>
        <v>416441</v>
      </c>
      <c r="F22" s="120">
        <f t="shared" si="13"/>
        <v>489051</v>
      </c>
      <c r="G22" s="120">
        <f t="shared" si="13"/>
        <v>493332</v>
      </c>
      <c r="H22" s="120">
        <f t="shared" si="13"/>
        <v>490649</v>
      </c>
      <c r="I22" s="120">
        <f t="shared" si="13"/>
        <v>364474</v>
      </c>
      <c r="J22" s="120">
        <f t="shared" si="13"/>
        <v>363556</v>
      </c>
      <c r="K22" s="120">
        <f t="shared" si="13"/>
        <v>364297</v>
      </c>
      <c r="L22" s="120">
        <f t="shared" si="13"/>
        <v>341865</v>
      </c>
      <c r="M22" s="120">
        <f t="shared" si="13"/>
        <v>342593</v>
      </c>
      <c r="N22" s="120">
        <f t="shared" si="13"/>
        <v>341733</v>
      </c>
      <c r="O22" s="120">
        <f t="shared" si="13"/>
        <v>291577</v>
      </c>
      <c r="P22" s="120">
        <f t="shared" si="13"/>
        <v>221452</v>
      </c>
      <c r="Q22" s="120">
        <f t="shared" si="13"/>
        <v>273851</v>
      </c>
      <c r="R22" s="120">
        <f t="shared" si="13"/>
        <v>219975</v>
      </c>
      <c r="S22" s="120">
        <f t="shared" si="13"/>
        <v>222874</v>
      </c>
      <c r="T22" s="120">
        <f t="shared" si="13"/>
        <v>154169</v>
      </c>
      <c r="U22" s="120">
        <f t="shared" si="13"/>
        <v>148113</v>
      </c>
      <c r="V22" s="120">
        <f t="shared" si="13"/>
        <v>158913</v>
      </c>
      <c r="W22" s="120">
        <f t="shared" ref="W22:AB22" si="14">SUM(W19,W15,W12)</f>
        <v>158586</v>
      </c>
      <c r="X22" s="120">
        <f t="shared" si="14"/>
        <v>142726</v>
      </c>
      <c r="Y22" s="120">
        <f t="shared" si="14"/>
        <v>138647</v>
      </c>
      <c r="Z22" s="120">
        <f t="shared" si="14"/>
        <v>140100</v>
      </c>
      <c r="AA22" s="120">
        <f t="shared" si="14"/>
        <v>137418</v>
      </c>
      <c r="AB22" s="120">
        <f t="shared" si="14"/>
        <v>133519</v>
      </c>
      <c r="AC22" s="120">
        <f t="shared" ref="AC22:AH22" si="15">SUM(AC19,AC15,AC12)</f>
        <v>223997</v>
      </c>
      <c r="AD22" s="120">
        <f t="shared" si="15"/>
        <v>193443</v>
      </c>
      <c r="AE22" s="120">
        <f t="shared" si="15"/>
        <v>193811</v>
      </c>
      <c r="AF22" s="120">
        <f t="shared" si="15"/>
        <v>194589</v>
      </c>
      <c r="AG22" s="120">
        <f t="shared" si="15"/>
        <v>152313</v>
      </c>
      <c r="AH22" s="120">
        <f t="shared" si="15"/>
        <v>127676</v>
      </c>
      <c r="AI22" s="120">
        <f t="shared" ref="AI22:AN22" si="16">SUM(AI19,AI15,AI12)</f>
        <v>128886</v>
      </c>
      <c r="AJ22" s="120">
        <f t="shared" si="16"/>
        <v>119250</v>
      </c>
      <c r="AK22" s="120">
        <f t="shared" si="16"/>
        <v>68411</v>
      </c>
      <c r="AL22" s="120">
        <f t="shared" si="16"/>
        <v>66432</v>
      </c>
      <c r="AM22" s="120">
        <f t="shared" si="16"/>
        <v>101740</v>
      </c>
      <c r="AN22" s="120">
        <f t="shared" si="16"/>
        <v>90366</v>
      </c>
      <c r="AO22" s="120">
        <f t="shared" ref="AO22:AW22" si="17">SUM(AO19,AO15,AO12)</f>
        <v>91267</v>
      </c>
      <c r="AP22" s="120">
        <f t="shared" si="17"/>
        <v>95806</v>
      </c>
      <c r="AQ22" s="120">
        <f t="shared" si="17"/>
        <v>101599</v>
      </c>
      <c r="AR22" s="120">
        <v>107217</v>
      </c>
      <c r="AS22" s="120">
        <v>105966</v>
      </c>
      <c r="AT22" s="120">
        <v>105679</v>
      </c>
      <c r="AU22" s="120">
        <v>105996</v>
      </c>
      <c r="AV22" s="120">
        <f t="shared" si="17"/>
        <v>110285</v>
      </c>
      <c r="AW22" s="120">
        <f t="shared" si="17"/>
        <v>111205</v>
      </c>
      <c r="AX22" s="120">
        <f>SUM(AX19,AX15,AX12)</f>
        <v>85819</v>
      </c>
      <c r="AY22" s="120">
        <f>SUM(AY19,AY15,AY12)</f>
        <v>125950</v>
      </c>
      <c r="AZ22" s="120">
        <f>SUM(AZ19,AZ15,AZ12)</f>
        <v>125204</v>
      </c>
    </row>
    <row r="23" spans="2:52" x14ac:dyDescent="0.2">
      <c r="F23" s="330">
        <f>BP!U40-F22</f>
        <v>0</v>
      </c>
      <c r="G23" s="330">
        <f>BP!V40-G22</f>
        <v>0</v>
      </c>
      <c r="H23" s="330">
        <f>BP!W40-H22</f>
        <v>0</v>
      </c>
      <c r="I23" s="330">
        <f>BP!X40-I22</f>
        <v>0</v>
      </c>
      <c r="J23" s="330">
        <f>BP!Y40-J22</f>
        <v>0</v>
      </c>
      <c r="K23" s="330">
        <f>BP!Z40-K22</f>
        <v>0</v>
      </c>
      <c r="L23" s="330">
        <f>BP!AA40-L22</f>
        <v>0</v>
      </c>
      <c r="M23" s="330">
        <f>BP!AB40-M22</f>
        <v>0</v>
      </c>
      <c r="N23" s="330">
        <f>BP!AC40-N22</f>
        <v>0</v>
      </c>
      <c r="O23" s="330">
        <f>BP!AD40-O22</f>
        <v>0</v>
      </c>
      <c r="P23" s="330">
        <f>BP!AE40-P22</f>
        <v>0</v>
      </c>
      <c r="Q23" s="330">
        <v>0</v>
      </c>
      <c r="R23" s="330">
        <f>BP!AG40-R22</f>
        <v>0</v>
      </c>
      <c r="S23" s="330">
        <f>BP!AH40-S22</f>
        <v>0</v>
      </c>
      <c r="T23" s="330">
        <f>BP!AI40-T22</f>
        <v>0</v>
      </c>
      <c r="U23" s="330">
        <f>BP!AJ40-U22</f>
        <v>0</v>
      </c>
      <c r="V23" s="330">
        <f>BP!AK40-V22</f>
        <v>0</v>
      </c>
      <c r="W23" s="330">
        <f>BP!AL40-W22</f>
        <v>0</v>
      </c>
      <c r="X23" s="330">
        <v>0</v>
      </c>
      <c r="Y23" s="330"/>
      <c r="Z23" s="330"/>
      <c r="AA23" s="330">
        <v>0</v>
      </c>
      <c r="AB23" s="330">
        <f>BP!AQ40-AB22</f>
        <v>0</v>
      </c>
      <c r="AC23" s="330">
        <f>BP!AR40-AC22</f>
        <v>0</v>
      </c>
      <c r="AD23" s="330">
        <f>BP!AS40-AD22</f>
        <v>0</v>
      </c>
      <c r="AE23" s="330">
        <f>BP!AT40-AE22</f>
        <v>0</v>
      </c>
      <c r="AF23" s="330">
        <f>BP!AV40-AF22</f>
        <v>-42276</v>
      </c>
      <c r="AG23" s="330">
        <f>BP!AW40-AG22</f>
        <v>-24637</v>
      </c>
      <c r="AH23" s="330">
        <v>0</v>
      </c>
      <c r="AI23" s="330"/>
      <c r="AJ23" s="330">
        <v>-119250</v>
      </c>
      <c r="AK23" s="330">
        <f>BP!BA40-AK22</f>
        <v>-1979</v>
      </c>
      <c r="AL23" s="330">
        <f>BP!BB40-AL22</f>
        <v>35308</v>
      </c>
      <c r="AM23" s="330">
        <f>BP!BC40-AM22</f>
        <v>-11374</v>
      </c>
      <c r="AN23" s="330">
        <f>BP!BD40-AN22</f>
        <v>901</v>
      </c>
      <c r="AO23" s="330">
        <f>BP!BE40-AO22</f>
        <v>4539</v>
      </c>
      <c r="AP23" s="330">
        <f>BP!BF40-AP22</f>
        <v>5793</v>
      </c>
      <c r="AQ23" s="330">
        <f>BP!BM40-AQ22</f>
        <v>-15780</v>
      </c>
      <c r="AR23" s="330">
        <v>-107217</v>
      </c>
      <c r="AS23" s="330"/>
      <c r="AT23" s="330"/>
      <c r="AU23" s="330"/>
      <c r="AV23" s="330"/>
      <c r="AW23" s="330">
        <f>BP!BQ40-AW22</f>
        <v>-111205</v>
      </c>
      <c r="AX23" s="330">
        <f>BP!BR40-AX22</f>
        <v>-85819</v>
      </c>
      <c r="AY23" s="330">
        <f>BP!BS40-AY22</f>
        <v>-125950</v>
      </c>
      <c r="AZ23" s="330">
        <f>BP!BT40-AZ22</f>
        <v>-125204</v>
      </c>
    </row>
    <row r="24" spans="2:52" x14ac:dyDescent="0.2">
      <c r="B24" s="145" t="s">
        <v>908</v>
      </c>
      <c r="C24" s="115">
        <f t="shared" ref="C24:AW24" si="18">C5</f>
        <v>2013</v>
      </c>
      <c r="D24" s="115" t="str">
        <f t="shared" si="18"/>
        <v>1T14</v>
      </c>
      <c r="E24" s="115" t="str">
        <f t="shared" si="18"/>
        <v>2T14</v>
      </c>
      <c r="F24" s="115" t="str">
        <f t="shared" si="18"/>
        <v>3T14</v>
      </c>
      <c r="G24" s="115" t="str">
        <f t="shared" si="18"/>
        <v>4T14</v>
      </c>
      <c r="H24" s="115" t="str">
        <f t="shared" si="18"/>
        <v>1T15</v>
      </c>
      <c r="I24" s="115" t="str">
        <f t="shared" si="18"/>
        <v>2T15</v>
      </c>
      <c r="J24" s="115" t="str">
        <f t="shared" si="18"/>
        <v>3T15</v>
      </c>
      <c r="K24" s="115" t="str">
        <f t="shared" si="18"/>
        <v>4T15</v>
      </c>
      <c r="L24" s="115" t="str">
        <f t="shared" si="18"/>
        <v>1T16</v>
      </c>
      <c r="M24" s="115" t="str">
        <f t="shared" si="18"/>
        <v>2T16</v>
      </c>
      <c r="N24" s="115" t="str">
        <f t="shared" si="18"/>
        <v>3T16</v>
      </c>
      <c r="O24" s="115" t="str">
        <f t="shared" si="18"/>
        <v>4T16</v>
      </c>
      <c r="P24" s="115" t="str">
        <f t="shared" si="18"/>
        <v>1T17</v>
      </c>
      <c r="Q24" s="115" t="str">
        <f t="shared" si="18"/>
        <v>2T17</v>
      </c>
      <c r="R24" s="115" t="str">
        <f t="shared" si="18"/>
        <v>3T17</v>
      </c>
      <c r="S24" s="115" t="str">
        <f t="shared" si="18"/>
        <v>4T17</v>
      </c>
      <c r="T24" s="115" t="str">
        <f t="shared" si="18"/>
        <v>1T18</v>
      </c>
      <c r="U24" s="115" t="str">
        <f t="shared" si="18"/>
        <v>2T18</v>
      </c>
      <c r="V24" s="115" t="str">
        <f t="shared" si="18"/>
        <v>3T18</v>
      </c>
      <c r="W24" s="115" t="str">
        <f t="shared" si="18"/>
        <v>4T18</v>
      </c>
      <c r="X24" s="115" t="str">
        <f t="shared" si="18"/>
        <v>1T19</v>
      </c>
      <c r="Y24" s="115" t="str">
        <f t="shared" si="18"/>
        <v>2T19</v>
      </c>
      <c r="Z24" s="115" t="str">
        <f t="shared" si="18"/>
        <v>3T19</v>
      </c>
      <c r="AA24" s="115" t="str">
        <f t="shared" si="18"/>
        <v>4T19</v>
      </c>
      <c r="AB24" s="115" t="str">
        <f t="shared" si="18"/>
        <v>1T20</v>
      </c>
      <c r="AC24" s="115" t="str">
        <f t="shared" si="18"/>
        <v>2T20</v>
      </c>
      <c r="AD24" s="115" t="str">
        <f t="shared" si="18"/>
        <v>3T20</v>
      </c>
      <c r="AE24" s="115" t="str">
        <f t="shared" si="18"/>
        <v>4T20</v>
      </c>
      <c r="AF24" s="115" t="str">
        <f t="shared" si="18"/>
        <v>1T21</v>
      </c>
      <c r="AG24" s="115" t="str">
        <f t="shared" si="18"/>
        <v>2T21</v>
      </c>
      <c r="AH24" s="115" t="str">
        <f t="shared" si="18"/>
        <v>3T21</v>
      </c>
      <c r="AI24" s="115" t="str">
        <f t="shared" si="18"/>
        <v>4T21</v>
      </c>
      <c r="AJ24" s="115" t="str">
        <f t="shared" si="18"/>
        <v>1T22</v>
      </c>
      <c r="AK24" s="115" t="str">
        <f t="shared" si="18"/>
        <v>2T22</v>
      </c>
      <c r="AL24" s="115" t="str">
        <f t="shared" si="18"/>
        <v>3T22</v>
      </c>
      <c r="AM24" s="115" t="str">
        <f t="shared" si="18"/>
        <v>4T22</v>
      </c>
      <c r="AN24" s="115" t="str">
        <f t="shared" si="18"/>
        <v>1T23</v>
      </c>
      <c r="AO24" s="115" t="str">
        <f t="shared" si="18"/>
        <v>2T23</v>
      </c>
      <c r="AP24" s="115" t="str">
        <f t="shared" si="18"/>
        <v>3T23</v>
      </c>
      <c r="AQ24" s="115" t="str">
        <f t="shared" si="18"/>
        <v>4T23</v>
      </c>
      <c r="AR24" s="115" t="s">
        <v>1243</v>
      </c>
      <c r="AS24" s="115" t="s">
        <v>1250</v>
      </c>
      <c r="AT24" s="115" t="s">
        <v>1251</v>
      </c>
      <c r="AU24" s="115" t="s">
        <v>1252</v>
      </c>
      <c r="AV24" s="115" t="str">
        <f t="shared" si="18"/>
        <v>1T25</v>
      </c>
      <c r="AW24" s="115" t="str">
        <f t="shared" si="18"/>
        <v>2T25</v>
      </c>
      <c r="AX24" s="115" t="str">
        <f>AX5</f>
        <v>3T25</v>
      </c>
      <c r="AY24" s="115" t="str">
        <f>AY5</f>
        <v>4T25</v>
      </c>
      <c r="AZ24" s="115" t="str">
        <f>AZ5</f>
        <v>1T26</v>
      </c>
    </row>
    <row r="25" spans="2:52" x14ac:dyDescent="0.2">
      <c r="B25" s="126" t="s">
        <v>903</v>
      </c>
      <c r="C25" s="120" t="s">
        <v>160</v>
      </c>
      <c r="D25" s="120" t="s">
        <v>160</v>
      </c>
      <c r="E25" s="162" t="s">
        <v>160</v>
      </c>
      <c r="F25" s="120" t="s">
        <v>160</v>
      </c>
      <c r="G25" s="120" t="s">
        <v>160</v>
      </c>
      <c r="H25" s="120" t="s">
        <v>160</v>
      </c>
      <c r="I25" s="120" t="s">
        <v>160</v>
      </c>
      <c r="J25" s="120" t="s">
        <v>160</v>
      </c>
      <c r="K25" s="120" t="s">
        <v>160</v>
      </c>
      <c r="L25" s="120" t="s">
        <v>160</v>
      </c>
      <c r="M25" s="120" t="s">
        <v>160</v>
      </c>
      <c r="N25" s="120" t="s">
        <v>160</v>
      </c>
      <c r="O25" s="120" t="s">
        <v>160</v>
      </c>
      <c r="P25" s="120" t="s">
        <v>160</v>
      </c>
      <c r="Q25" s="120" t="s">
        <v>160</v>
      </c>
      <c r="R25" s="120" t="s">
        <v>160</v>
      </c>
      <c r="S25" s="120" t="s">
        <v>160</v>
      </c>
      <c r="T25" s="120">
        <v>54747</v>
      </c>
      <c r="U25" s="120">
        <v>54863</v>
      </c>
      <c r="V25" s="120">
        <v>50020</v>
      </c>
      <c r="W25" s="120">
        <v>64544</v>
      </c>
      <c r="X25" s="120">
        <v>62117</v>
      </c>
      <c r="Y25" s="120">
        <v>94227</v>
      </c>
      <c r="Z25" s="120">
        <v>90449</v>
      </c>
      <c r="AA25" s="120">
        <v>94820</v>
      </c>
      <c r="AB25" s="120">
        <f t="shared" ref="AB25:AG25" si="19">AA32</f>
        <v>91022</v>
      </c>
      <c r="AC25" s="120">
        <f t="shared" si="19"/>
        <v>103286</v>
      </c>
      <c r="AD25" s="120">
        <f t="shared" si="19"/>
        <v>196354</v>
      </c>
      <c r="AE25" s="120">
        <f t="shared" si="19"/>
        <v>168276</v>
      </c>
      <c r="AF25" s="120">
        <f t="shared" si="19"/>
        <v>168764</v>
      </c>
      <c r="AG25" s="120">
        <f t="shared" si="19"/>
        <v>169300</v>
      </c>
      <c r="AH25" s="120">
        <f t="shared" ref="AH25:AQ25" si="20">AG32</f>
        <v>127243</v>
      </c>
      <c r="AI25" s="120">
        <f t="shared" si="20"/>
        <v>127676</v>
      </c>
      <c r="AJ25" s="120">
        <f t="shared" si="20"/>
        <v>128886</v>
      </c>
      <c r="AK25" s="120">
        <f t="shared" si="20"/>
        <v>119250</v>
      </c>
      <c r="AL25" s="120">
        <f t="shared" si="20"/>
        <v>68411</v>
      </c>
      <c r="AM25" s="120">
        <f t="shared" si="20"/>
        <v>66432</v>
      </c>
      <c r="AN25" s="120">
        <f t="shared" si="20"/>
        <v>101740</v>
      </c>
      <c r="AO25" s="120">
        <f t="shared" si="20"/>
        <v>90366</v>
      </c>
      <c r="AP25" s="120">
        <f t="shared" si="20"/>
        <v>91267</v>
      </c>
      <c r="AQ25" s="120">
        <f t="shared" si="20"/>
        <v>95806</v>
      </c>
      <c r="AR25" s="120">
        <v>101599</v>
      </c>
      <c r="AS25" s="120">
        <v>107217</v>
      </c>
      <c r="AT25" s="120">
        <v>105966</v>
      </c>
      <c r="AU25" s="120">
        <v>105679</v>
      </c>
      <c r="AV25" s="120">
        <f>AU32</f>
        <v>105996</v>
      </c>
      <c r="AW25" s="120">
        <f>AV32</f>
        <v>110285</v>
      </c>
      <c r="AX25" s="120">
        <f>AW32</f>
        <v>111205</v>
      </c>
      <c r="AY25" s="120">
        <f>AX32</f>
        <v>85819</v>
      </c>
      <c r="AZ25" s="120">
        <f>AY32</f>
        <v>125950</v>
      </c>
    </row>
    <row r="26" spans="2:52" x14ac:dyDescent="0.2">
      <c r="B26" s="129" t="s">
        <v>900</v>
      </c>
      <c r="C26" s="118" t="s">
        <v>160</v>
      </c>
      <c r="D26" s="118" t="s">
        <v>160</v>
      </c>
      <c r="E26" s="160" t="s">
        <v>160</v>
      </c>
      <c r="F26" s="118" t="s">
        <v>160</v>
      </c>
      <c r="G26" s="118" t="s">
        <v>160</v>
      </c>
      <c r="H26" s="118" t="s">
        <v>160</v>
      </c>
      <c r="I26" s="118" t="s">
        <v>160</v>
      </c>
      <c r="J26" s="118" t="s">
        <v>160</v>
      </c>
      <c r="K26" s="118" t="s">
        <v>160</v>
      </c>
      <c r="L26" s="118" t="s">
        <v>160</v>
      </c>
      <c r="M26" s="118" t="s">
        <v>160</v>
      </c>
      <c r="N26" s="118" t="s">
        <v>160</v>
      </c>
      <c r="O26" s="118" t="s">
        <v>160</v>
      </c>
      <c r="P26" s="118" t="s">
        <v>160</v>
      </c>
      <c r="Q26" s="118" t="s">
        <v>160</v>
      </c>
      <c r="R26" s="118" t="s">
        <v>160</v>
      </c>
      <c r="S26" s="118" t="s">
        <v>160</v>
      </c>
      <c r="T26" s="118">
        <v>0</v>
      </c>
      <c r="U26" s="118">
        <v>0</v>
      </c>
      <c r="V26" s="118">
        <v>50000</v>
      </c>
      <c r="W26" s="118">
        <v>0</v>
      </c>
      <c r="X26" s="118">
        <v>30000</v>
      </c>
      <c r="Y26" s="118">
        <v>0</v>
      </c>
      <c r="Z26" s="118">
        <v>0</v>
      </c>
      <c r="AA26" s="118">
        <v>0</v>
      </c>
      <c r="AB26" s="118">
        <v>0</v>
      </c>
      <c r="AC26" s="118">
        <v>90000</v>
      </c>
      <c r="AD26" s="118">
        <v>45000</v>
      </c>
      <c r="AE26" s="118">
        <v>0</v>
      </c>
      <c r="AF26" s="118">
        <v>0</v>
      </c>
      <c r="AG26" s="118">
        <v>0</v>
      </c>
      <c r="AH26" s="118">
        <v>0</v>
      </c>
      <c r="AI26" s="118">
        <v>0</v>
      </c>
      <c r="AJ26" s="118">
        <v>0</v>
      </c>
      <c r="AK26" s="118">
        <v>0</v>
      </c>
      <c r="AL26" s="118">
        <v>0</v>
      </c>
      <c r="AM26" s="118">
        <v>32568</v>
      </c>
      <c r="AN26" s="118">
        <v>0</v>
      </c>
      <c r="AO26" s="118">
        <v>0</v>
      </c>
      <c r="AP26" s="118">
        <v>51266</v>
      </c>
      <c r="AQ26" s="118">
        <v>5005</v>
      </c>
      <c r="AR26" s="118">
        <v>5910</v>
      </c>
      <c r="AS26" s="118">
        <v>8729</v>
      </c>
      <c r="AT26" s="118">
        <v>0</v>
      </c>
      <c r="AU26" s="118">
        <v>0</v>
      </c>
      <c r="AV26" s="118">
        <v>6522</v>
      </c>
      <c r="AW26" s="118">
        <v>0</v>
      </c>
      <c r="AX26" s="118">
        <v>0</v>
      </c>
      <c r="AY26" s="118">
        <v>40000</v>
      </c>
      <c r="AZ26" s="118">
        <v>0</v>
      </c>
    </row>
    <row r="27" spans="2:52" x14ac:dyDescent="0.2">
      <c r="B27" s="129" t="s">
        <v>824</v>
      </c>
      <c r="C27" s="118" t="s">
        <v>160</v>
      </c>
      <c r="D27" s="118" t="s">
        <v>160</v>
      </c>
      <c r="E27" s="160" t="s">
        <v>160</v>
      </c>
      <c r="F27" s="118" t="s">
        <v>160</v>
      </c>
      <c r="G27" s="118" t="s">
        <v>160</v>
      </c>
      <c r="H27" s="118" t="s">
        <v>160</v>
      </c>
      <c r="I27" s="118" t="s">
        <v>160</v>
      </c>
      <c r="J27" s="118" t="s">
        <v>160</v>
      </c>
      <c r="K27" s="118" t="s">
        <v>160</v>
      </c>
      <c r="L27" s="118" t="s">
        <v>160</v>
      </c>
      <c r="M27" s="118" t="s">
        <v>160</v>
      </c>
      <c r="N27" s="118" t="s">
        <v>160</v>
      </c>
      <c r="O27" s="118" t="s">
        <v>160</v>
      </c>
      <c r="P27" s="118" t="s">
        <v>160</v>
      </c>
      <c r="Q27" s="118" t="s">
        <v>160</v>
      </c>
      <c r="R27" s="118" t="s">
        <v>160</v>
      </c>
      <c r="S27" s="118" t="s">
        <v>160</v>
      </c>
      <c r="T27" s="118">
        <v>1164</v>
      </c>
      <c r="U27" s="118">
        <v>1108</v>
      </c>
      <c r="V27" s="118">
        <v>920</v>
      </c>
      <c r="W27" s="118">
        <v>866</v>
      </c>
      <c r="X27" s="118">
        <v>814</v>
      </c>
      <c r="Y27" s="118">
        <v>1387</v>
      </c>
      <c r="Z27" s="118">
        <v>1352</v>
      </c>
      <c r="AA27" s="118">
        <v>1209</v>
      </c>
      <c r="AB27" s="118">
        <v>1072</v>
      </c>
      <c r="AC27" s="118">
        <v>2397</v>
      </c>
      <c r="AD27" s="118">
        <v>2318</v>
      </c>
      <c r="AE27" s="118">
        <v>2068</v>
      </c>
      <c r="AF27" s="118">
        <v>2070</v>
      </c>
      <c r="AG27" s="118">
        <v>1856</v>
      </c>
      <c r="AH27" s="118">
        <v>2438</v>
      </c>
      <c r="AI27" s="118">
        <v>3201</v>
      </c>
      <c r="AJ27" s="118">
        <v>3957</v>
      </c>
      <c r="AK27" s="118">
        <v>2320</v>
      </c>
      <c r="AL27" s="118">
        <v>2564</v>
      </c>
      <c r="AM27" s="118">
        <v>2739</v>
      </c>
      <c r="AN27" s="118">
        <v>3682</v>
      </c>
      <c r="AO27" s="118">
        <v>3293</v>
      </c>
      <c r="AP27" s="118">
        <v>2518</v>
      </c>
      <c r="AQ27" s="118">
        <v>3127</v>
      </c>
      <c r="AR27" s="118">
        <v>3111</v>
      </c>
      <c r="AS27" s="118">
        <v>2960</v>
      </c>
      <c r="AT27" s="118">
        <v>3222</v>
      </c>
      <c r="AU27" s="118">
        <v>3186</v>
      </c>
      <c r="AV27" s="118">
        <v>3523</v>
      </c>
      <c r="AW27" s="118">
        <v>4047</v>
      </c>
      <c r="AX27" s="118">
        <v>4167</v>
      </c>
      <c r="AY27" s="118">
        <v>3502</v>
      </c>
      <c r="AZ27" s="118">
        <v>4651</v>
      </c>
    </row>
    <row r="28" spans="2:52" x14ac:dyDescent="0.2">
      <c r="B28" s="129" t="s">
        <v>901</v>
      </c>
      <c r="C28" s="118" t="s">
        <v>160</v>
      </c>
      <c r="D28" s="118" t="s">
        <v>160</v>
      </c>
      <c r="E28" s="160" t="s">
        <v>160</v>
      </c>
      <c r="F28" s="118" t="s">
        <v>160</v>
      </c>
      <c r="G28" s="118" t="s">
        <v>160</v>
      </c>
      <c r="H28" s="118" t="s">
        <v>160</v>
      </c>
      <c r="I28" s="118" t="s">
        <v>160</v>
      </c>
      <c r="J28" s="118" t="s">
        <v>160</v>
      </c>
      <c r="K28" s="118" t="s">
        <v>160</v>
      </c>
      <c r="L28" s="118" t="s">
        <v>160</v>
      </c>
      <c r="M28" s="118" t="s">
        <v>160</v>
      </c>
      <c r="N28" s="118" t="s">
        <v>160</v>
      </c>
      <c r="O28" s="118" t="s">
        <v>160</v>
      </c>
      <c r="P28" s="118" t="s">
        <v>160</v>
      </c>
      <c r="Q28" s="118" t="s">
        <v>160</v>
      </c>
      <c r="R28" s="118" t="s">
        <v>160</v>
      </c>
      <c r="S28" s="118" t="s">
        <v>160</v>
      </c>
      <c r="T28" s="118">
        <v>-134</v>
      </c>
      <c r="U28" s="118">
        <v>-4620</v>
      </c>
      <c r="V28" s="118">
        <v>-40000</v>
      </c>
      <c r="W28" s="118">
        <v>0</v>
      </c>
      <c r="X28" s="118">
        <v>0</v>
      </c>
      <c r="Y28" s="118">
        <v>-3333</v>
      </c>
      <c r="Z28" s="118">
        <v>0</v>
      </c>
      <c r="AA28" s="118">
        <v>-3334</v>
      </c>
      <c r="AB28" s="118">
        <v>0</v>
      </c>
      <c r="AC28" s="118">
        <v>-3333</v>
      </c>
      <c r="AD28" s="118">
        <v>-71368</v>
      </c>
      <c r="AE28" s="118">
        <v>2</v>
      </c>
      <c r="AF28" s="118">
        <v>0</v>
      </c>
      <c r="AG28" s="118">
        <v>-40000</v>
      </c>
      <c r="AH28" s="118">
        <v>0</v>
      </c>
      <c r="AI28" s="118">
        <v>0</v>
      </c>
      <c r="AJ28" s="118">
        <v>-10000</v>
      </c>
      <c r="AK28" s="118">
        <v>-50000</v>
      </c>
      <c r="AL28" s="118">
        <v>0</v>
      </c>
      <c r="AM28" s="118">
        <v>0</v>
      </c>
      <c r="AN28" s="118">
        <v>-10000</v>
      </c>
      <c r="AO28" s="118">
        <v>0</v>
      </c>
      <c r="AP28" s="118">
        <v>-45000</v>
      </c>
      <c r="AQ28" s="118">
        <v>0</v>
      </c>
      <c r="AR28" s="118">
        <v>0</v>
      </c>
      <c r="AS28" s="118">
        <v>-10000</v>
      </c>
      <c r="AT28" s="118">
        <v>0</v>
      </c>
      <c r="AU28" s="118">
        <v>0</v>
      </c>
      <c r="AV28" s="118">
        <v>-1018</v>
      </c>
      <c r="AW28" s="118">
        <v>-1087</v>
      </c>
      <c r="AX28" s="118">
        <v>-23448</v>
      </c>
      <c r="AY28" s="118">
        <v>-1062</v>
      </c>
      <c r="AZ28" s="118">
        <v>-1018</v>
      </c>
    </row>
    <row r="29" spans="2:52" x14ac:dyDescent="0.2">
      <c r="B29" s="129" t="s">
        <v>902</v>
      </c>
      <c r="C29" s="118" t="s">
        <v>160</v>
      </c>
      <c r="D29" s="118" t="s">
        <v>160</v>
      </c>
      <c r="E29" s="160" t="s">
        <v>160</v>
      </c>
      <c r="F29" s="118" t="s">
        <v>160</v>
      </c>
      <c r="G29" s="118" t="s">
        <v>160</v>
      </c>
      <c r="H29" s="118" t="s">
        <v>160</v>
      </c>
      <c r="I29" s="118" t="s">
        <v>160</v>
      </c>
      <c r="J29" s="118" t="s">
        <v>160</v>
      </c>
      <c r="K29" s="118" t="s">
        <v>160</v>
      </c>
      <c r="L29" s="118" t="s">
        <v>160</v>
      </c>
      <c r="M29" s="118" t="s">
        <v>160</v>
      </c>
      <c r="N29" s="118" t="s">
        <v>160</v>
      </c>
      <c r="O29" s="118" t="s">
        <v>160</v>
      </c>
      <c r="P29" s="118" t="s">
        <v>160</v>
      </c>
      <c r="Q29" s="118" t="s">
        <v>160</v>
      </c>
      <c r="R29" s="118" t="s">
        <v>160</v>
      </c>
      <c r="S29" s="118" t="s">
        <v>160</v>
      </c>
      <c r="T29" s="118">
        <v>-914</v>
      </c>
      <c r="U29" s="118">
        <v>-1331</v>
      </c>
      <c r="V29" s="118">
        <v>-314</v>
      </c>
      <c r="W29" s="118">
        <v>-1514</v>
      </c>
      <c r="X29" s="118">
        <v>0</v>
      </c>
      <c r="Y29" s="118">
        <v>-441</v>
      </c>
      <c r="Z29" s="118">
        <v>-1112</v>
      </c>
      <c r="AA29" s="118">
        <v>-276</v>
      </c>
      <c r="AB29" s="118">
        <v>-3987</v>
      </c>
      <c r="AC29" s="118">
        <v>-105</v>
      </c>
      <c r="AD29" s="118">
        <v>-853</v>
      </c>
      <c r="AE29" s="118">
        <v>-1581</v>
      </c>
      <c r="AF29" s="118">
        <v>-1534</v>
      </c>
      <c r="AG29" s="118">
        <v>-3913</v>
      </c>
      <c r="AH29" s="118">
        <v>-2005</v>
      </c>
      <c r="AI29" s="118">
        <v>-1991</v>
      </c>
      <c r="AJ29" s="118">
        <v>-3593</v>
      </c>
      <c r="AK29" s="118">
        <v>-3159</v>
      </c>
      <c r="AL29" s="118">
        <v>-4543</v>
      </c>
      <c r="AM29" s="118">
        <v>1</v>
      </c>
      <c r="AN29" s="118">
        <v>-5056</v>
      </c>
      <c r="AO29" s="118">
        <v>-2392</v>
      </c>
      <c r="AP29" s="118">
        <v>-4245</v>
      </c>
      <c r="AQ29" s="118">
        <v>-2339</v>
      </c>
      <c r="AR29" s="118">
        <v>-3403</v>
      </c>
      <c r="AS29" s="118">
        <v>-2940</v>
      </c>
      <c r="AT29" s="118">
        <v>-3509</v>
      </c>
      <c r="AU29" s="118">
        <v>-2869</v>
      </c>
      <c r="AV29" s="118">
        <v>-4738</v>
      </c>
      <c r="AW29" s="118">
        <v>-2040</v>
      </c>
      <c r="AX29" s="118">
        <v>-6181</v>
      </c>
      <c r="AY29" s="118">
        <v>-2309</v>
      </c>
      <c r="AZ29" s="118">
        <v>-4380</v>
      </c>
    </row>
    <row r="30" spans="2:52" x14ac:dyDescent="0.2">
      <c r="B30" s="129" t="s">
        <v>907</v>
      </c>
      <c r="C30" s="118" t="s">
        <v>160</v>
      </c>
      <c r="D30" s="118" t="s">
        <v>160</v>
      </c>
      <c r="E30" s="802" t="s">
        <v>160</v>
      </c>
      <c r="F30" s="118" t="s">
        <v>160</v>
      </c>
      <c r="G30" s="118" t="s">
        <v>160</v>
      </c>
      <c r="H30" s="118" t="s">
        <v>160</v>
      </c>
      <c r="I30" s="118" t="s">
        <v>160</v>
      </c>
      <c r="J30" s="118" t="s">
        <v>160</v>
      </c>
      <c r="K30" s="118" t="s">
        <v>160</v>
      </c>
      <c r="L30" s="118" t="s">
        <v>160</v>
      </c>
      <c r="M30" s="118" t="s">
        <v>160</v>
      </c>
      <c r="N30" s="118" t="s">
        <v>160</v>
      </c>
      <c r="O30" s="118" t="s">
        <v>160</v>
      </c>
      <c r="P30" s="118" t="s">
        <v>160</v>
      </c>
      <c r="Q30" s="118" t="s">
        <v>160</v>
      </c>
      <c r="R30" s="118" t="s">
        <v>160</v>
      </c>
      <c r="S30" s="118" t="s">
        <v>160</v>
      </c>
      <c r="T30" s="118">
        <v>0</v>
      </c>
      <c r="U30" s="118">
        <v>0</v>
      </c>
      <c r="V30" s="118">
        <v>3918</v>
      </c>
      <c r="W30" s="118">
        <v>-1779</v>
      </c>
      <c r="X30" s="118">
        <v>1296</v>
      </c>
      <c r="Y30" s="118">
        <v>-1391</v>
      </c>
      <c r="Z30" s="118">
        <v>4131</v>
      </c>
      <c r="AA30" s="118">
        <v>-1397</v>
      </c>
      <c r="AB30" s="118">
        <v>15179</v>
      </c>
      <c r="AC30" s="118">
        <v>4109</v>
      </c>
      <c r="AD30" s="118">
        <v>-3175</v>
      </c>
      <c r="AE30" s="118">
        <v>-1</v>
      </c>
      <c r="AF30" s="118">
        <v>0</v>
      </c>
      <c r="AG30" s="118">
        <v>0</v>
      </c>
      <c r="AH30" s="118">
        <v>0</v>
      </c>
      <c r="AI30" s="118">
        <v>0</v>
      </c>
      <c r="AJ30" s="118">
        <v>0</v>
      </c>
      <c r="AK30" s="118">
        <v>0</v>
      </c>
      <c r="AL30" s="118">
        <v>0</v>
      </c>
      <c r="AM30" s="118">
        <v>0</v>
      </c>
      <c r="AN30" s="118">
        <v>0</v>
      </c>
      <c r="AO30" s="118">
        <v>0</v>
      </c>
      <c r="AP30" s="118">
        <v>0</v>
      </c>
      <c r="AQ30" s="118">
        <v>0</v>
      </c>
      <c r="AR30" s="118">
        <v>0</v>
      </c>
      <c r="AS30" s="118">
        <v>0</v>
      </c>
      <c r="AT30" s="118">
        <v>0</v>
      </c>
      <c r="AU30" s="118">
        <v>0</v>
      </c>
      <c r="AV30" s="118">
        <v>0</v>
      </c>
      <c r="AW30" s="118">
        <v>0</v>
      </c>
      <c r="AX30" s="118">
        <v>0</v>
      </c>
      <c r="AY30" s="118">
        <v>0</v>
      </c>
      <c r="AZ30" s="118">
        <v>0</v>
      </c>
    </row>
    <row r="31" spans="2:52" x14ac:dyDescent="0.2">
      <c r="B31" s="129" t="s">
        <v>1352</v>
      </c>
      <c r="C31" s="118" t="s">
        <v>160</v>
      </c>
      <c r="D31" s="118" t="s">
        <v>160</v>
      </c>
      <c r="E31" s="802" t="s">
        <v>160</v>
      </c>
      <c r="F31" s="118" t="s">
        <v>160</v>
      </c>
      <c r="G31" s="118" t="s">
        <v>160</v>
      </c>
      <c r="H31" s="118" t="s">
        <v>160</v>
      </c>
      <c r="I31" s="118" t="s">
        <v>160</v>
      </c>
      <c r="J31" s="118" t="s">
        <v>160</v>
      </c>
      <c r="K31" s="118" t="s">
        <v>160</v>
      </c>
      <c r="L31" s="118" t="s">
        <v>160</v>
      </c>
      <c r="M31" s="118" t="s">
        <v>160</v>
      </c>
      <c r="N31" s="118" t="s">
        <v>160</v>
      </c>
      <c r="O31" s="118" t="s">
        <v>160</v>
      </c>
      <c r="P31" s="118" t="s">
        <v>160</v>
      </c>
      <c r="Q31" s="118" t="s">
        <v>160</v>
      </c>
      <c r="R31" s="118" t="s">
        <v>160</v>
      </c>
      <c r="S31" s="118" t="s">
        <v>160</v>
      </c>
      <c r="T31" s="118">
        <v>0</v>
      </c>
      <c r="U31" s="118">
        <v>0</v>
      </c>
      <c r="V31" s="118">
        <v>3918</v>
      </c>
      <c r="W31" s="118">
        <v>-1779</v>
      </c>
      <c r="X31" s="118">
        <v>1296</v>
      </c>
      <c r="Y31" s="118">
        <v>-1391</v>
      </c>
      <c r="Z31" s="118">
        <v>4131</v>
      </c>
      <c r="AA31" s="118">
        <v>-1397</v>
      </c>
      <c r="AB31" s="118">
        <v>15179</v>
      </c>
      <c r="AC31" s="118">
        <v>4109</v>
      </c>
      <c r="AD31" s="118">
        <v>-3175</v>
      </c>
      <c r="AE31" s="118">
        <v>-1</v>
      </c>
      <c r="AF31" s="118">
        <v>0</v>
      </c>
      <c r="AG31" s="118">
        <v>0</v>
      </c>
      <c r="AH31" s="118">
        <v>0</v>
      </c>
      <c r="AI31" s="118">
        <v>0</v>
      </c>
      <c r="AJ31" s="118">
        <v>0</v>
      </c>
      <c r="AK31" s="118">
        <v>0</v>
      </c>
      <c r="AL31" s="118">
        <v>0</v>
      </c>
      <c r="AM31" s="118">
        <v>0</v>
      </c>
      <c r="AN31" s="118">
        <v>0</v>
      </c>
      <c r="AO31" s="118">
        <v>0</v>
      </c>
      <c r="AP31" s="118">
        <v>0</v>
      </c>
      <c r="AQ31" s="118">
        <v>0</v>
      </c>
      <c r="AR31" s="118">
        <v>0</v>
      </c>
      <c r="AS31" s="118">
        <v>0</v>
      </c>
      <c r="AT31" s="118">
        <v>0</v>
      </c>
      <c r="AU31" s="118">
        <v>0</v>
      </c>
      <c r="AV31" s="118">
        <v>0</v>
      </c>
      <c r="AW31" s="118">
        <v>0</v>
      </c>
      <c r="AX31" s="118">
        <v>76</v>
      </c>
      <c r="AY31" s="118"/>
      <c r="AZ31" s="118">
        <v>0</v>
      </c>
    </row>
    <row r="32" spans="2:52" x14ac:dyDescent="0.2">
      <c r="B32" s="126" t="s">
        <v>904</v>
      </c>
      <c r="C32" s="120" t="s">
        <v>160</v>
      </c>
      <c r="D32" s="120" t="s">
        <v>160</v>
      </c>
      <c r="E32" s="162" t="s">
        <v>160</v>
      </c>
      <c r="F32" s="120" t="s">
        <v>160</v>
      </c>
      <c r="G32" s="120" t="s">
        <v>160</v>
      </c>
      <c r="H32" s="120" t="s">
        <v>160</v>
      </c>
      <c r="I32" s="120" t="s">
        <v>160</v>
      </c>
      <c r="J32" s="120" t="s">
        <v>160</v>
      </c>
      <c r="K32" s="120" t="s">
        <v>160</v>
      </c>
      <c r="L32" s="120" t="s">
        <v>160</v>
      </c>
      <c r="M32" s="120" t="s">
        <v>160</v>
      </c>
      <c r="N32" s="120" t="s">
        <v>160</v>
      </c>
      <c r="O32" s="120" t="s">
        <v>160</v>
      </c>
      <c r="P32" s="120" t="s">
        <v>160</v>
      </c>
      <c r="Q32" s="120" t="s">
        <v>160</v>
      </c>
      <c r="R32" s="120" t="s">
        <v>160</v>
      </c>
      <c r="S32" s="120" t="s">
        <v>160</v>
      </c>
      <c r="T32" s="120">
        <v>54863</v>
      </c>
      <c r="U32" s="120">
        <v>50020</v>
      </c>
      <c r="V32" s="120">
        <v>64544</v>
      </c>
      <c r="W32" s="120">
        <v>62117</v>
      </c>
      <c r="X32" s="120">
        <v>94227</v>
      </c>
      <c r="Y32" s="120">
        <v>90449</v>
      </c>
      <c r="Z32" s="120">
        <v>94820</v>
      </c>
      <c r="AA32" s="120">
        <v>91022</v>
      </c>
      <c r="AB32" s="120">
        <f t="shared" ref="AB32:AQ32" si="21">SUM(AB25:AB30)</f>
        <v>103286</v>
      </c>
      <c r="AC32" s="120">
        <f t="shared" si="21"/>
        <v>196354</v>
      </c>
      <c r="AD32" s="120">
        <f t="shared" si="21"/>
        <v>168276</v>
      </c>
      <c r="AE32" s="120">
        <f t="shared" si="21"/>
        <v>168764</v>
      </c>
      <c r="AF32" s="120">
        <f t="shared" si="21"/>
        <v>169300</v>
      </c>
      <c r="AG32" s="120">
        <f t="shared" si="21"/>
        <v>127243</v>
      </c>
      <c r="AH32" s="120">
        <f t="shared" si="21"/>
        <v>127676</v>
      </c>
      <c r="AI32" s="120">
        <f t="shared" si="21"/>
        <v>128886</v>
      </c>
      <c r="AJ32" s="120">
        <f t="shared" si="21"/>
        <v>119250</v>
      </c>
      <c r="AK32" s="120">
        <f t="shared" si="21"/>
        <v>68411</v>
      </c>
      <c r="AL32" s="120">
        <f t="shared" si="21"/>
        <v>66432</v>
      </c>
      <c r="AM32" s="120">
        <f t="shared" si="21"/>
        <v>101740</v>
      </c>
      <c r="AN32" s="120">
        <f t="shared" si="21"/>
        <v>90366</v>
      </c>
      <c r="AO32" s="120">
        <f t="shared" si="21"/>
        <v>91267</v>
      </c>
      <c r="AP32" s="120">
        <f t="shared" si="21"/>
        <v>95806</v>
      </c>
      <c r="AQ32" s="120">
        <f t="shared" si="21"/>
        <v>101599</v>
      </c>
      <c r="AR32" s="120">
        <v>107217</v>
      </c>
      <c r="AS32" s="120">
        <v>105966</v>
      </c>
      <c r="AT32" s="120">
        <v>105679</v>
      </c>
      <c r="AU32" s="120">
        <v>105996</v>
      </c>
      <c r="AV32" s="120">
        <f>SUM(AV25:AV30)</f>
        <v>110285</v>
      </c>
      <c r="AW32" s="120">
        <f>SUM(AW25:AW30)</f>
        <v>111205</v>
      </c>
      <c r="AX32" s="120">
        <f>SUM(AX25:AX31)</f>
        <v>85819</v>
      </c>
      <c r="AY32" s="120">
        <f>SUM(AY25:AY31)</f>
        <v>125950</v>
      </c>
      <c r="AZ32" s="120">
        <f>SUM(AZ25:AZ31)</f>
        <v>125203</v>
      </c>
    </row>
    <row r="33" spans="2:52" x14ac:dyDescent="0.2">
      <c r="B33" s="126" t="s">
        <v>905</v>
      </c>
      <c r="C33" s="120" t="s">
        <v>160</v>
      </c>
      <c r="D33" s="120" t="s">
        <v>160</v>
      </c>
      <c r="E33" s="162" t="s">
        <v>160</v>
      </c>
      <c r="F33" s="120" t="s">
        <v>160</v>
      </c>
      <c r="G33" s="120" t="s">
        <v>160</v>
      </c>
      <c r="H33" s="120" t="s">
        <v>160</v>
      </c>
      <c r="I33" s="120" t="s">
        <v>160</v>
      </c>
      <c r="J33" s="120" t="s">
        <v>160</v>
      </c>
      <c r="K33" s="120" t="s">
        <v>160</v>
      </c>
      <c r="L33" s="120" t="s">
        <v>160</v>
      </c>
      <c r="M33" s="120" t="s">
        <v>160</v>
      </c>
      <c r="N33" s="120" t="s">
        <v>160</v>
      </c>
      <c r="O33" s="120" t="s">
        <v>160</v>
      </c>
      <c r="P33" s="120" t="s">
        <v>160</v>
      </c>
      <c r="Q33" s="120" t="s">
        <v>160</v>
      </c>
      <c r="R33" s="120" t="s">
        <v>160</v>
      </c>
      <c r="S33" s="120" t="s">
        <v>160</v>
      </c>
      <c r="T33" s="120">
        <v>168127</v>
      </c>
      <c r="U33" s="120">
        <v>99306</v>
      </c>
      <c r="V33" s="120">
        <v>98093</v>
      </c>
      <c r="W33" s="120">
        <v>98314</v>
      </c>
      <c r="X33" s="120">
        <v>98083</v>
      </c>
      <c r="Y33" s="120">
        <v>51160</v>
      </c>
      <c r="Z33" s="120">
        <v>50140</v>
      </c>
      <c r="AA33" s="120">
        <v>51179</v>
      </c>
      <c r="AB33" s="120">
        <f t="shared" ref="AB33:AG33" si="22">AA37</f>
        <v>50135</v>
      </c>
      <c r="AC33" s="120">
        <f t="shared" si="22"/>
        <v>50891</v>
      </c>
      <c r="AD33" s="120">
        <f t="shared" si="22"/>
        <v>51514</v>
      </c>
      <c r="AE33" s="120">
        <f t="shared" si="22"/>
        <v>25167</v>
      </c>
      <c r="AF33" s="120">
        <f t="shared" si="22"/>
        <v>25047</v>
      </c>
      <c r="AG33" s="120">
        <f t="shared" si="22"/>
        <v>25289</v>
      </c>
      <c r="AH33" s="120">
        <f>AG37</f>
        <v>25070</v>
      </c>
      <c r="AI33" s="120">
        <f>AH37</f>
        <v>0</v>
      </c>
      <c r="AJ33" s="120">
        <f>AI37</f>
        <v>0</v>
      </c>
      <c r="AK33" s="120">
        <f t="shared" ref="AK33:AQ33" si="23">AI37</f>
        <v>0</v>
      </c>
      <c r="AL33" s="120">
        <f t="shared" si="23"/>
        <v>0</v>
      </c>
      <c r="AM33" s="120">
        <f t="shared" si="23"/>
        <v>0</v>
      </c>
      <c r="AN33" s="120">
        <f t="shared" si="23"/>
        <v>0</v>
      </c>
      <c r="AO33" s="120">
        <f t="shared" si="23"/>
        <v>0</v>
      </c>
      <c r="AP33" s="120">
        <f t="shared" si="23"/>
        <v>0</v>
      </c>
      <c r="AQ33" s="120">
        <f t="shared" si="23"/>
        <v>0</v>
      </c>
      <c r="AR33" s="120">
        <v>0</v>
      </c>
      <c r="AS33" s="120">
        <v>0</v>
      </c>
      <c r="AT33" s="120">
        <v>0</v>
      </c>
      <c r="AU33" s="120">
        <v>0</v>
      </c>
      <c r="AV33" s="120">
        <v>0</v>
      </c>
      <c r="AW33" s="120">
        <f>AQ37</f>
        <v>0</v>
      </c>
      <c r="AX33" s="120">
        <f>AR37</f>
        <v>0</v>
      </c>
      <c r="AY33" s="120">
        <f>AS37</f>
        <v>0</v>
      </c>
      <c r="AZ33" s="120">
        <f>AT37</f>
        <v>0</v>
      </c>
    </row>
    <row r="34" spans="2:52" x14ac:dyDescent="0.2">
      <c r="B34" s="129" t="s">
        <v>824</v>
      </c>
      <c r="C34" s="118" t="s">
        <v>160</v>
      </c>
      <c r="D34" s="118" t="s">
        <v>160</v>
      </c>
      <c r="E34" s="160" t="s">
        <v>160</v>
      </c>
      <c r="F34" s="118" t="s">
        <v>160</v>
      </c>
      <c r="G34" s="118" t="s">
        <v>160</v>
      </c>
      <c r="H34" s="118" t="s">
        <v>160</v>
      </c>
      <c r="I34" s="118" t="s">
        <v>160</v>
      </c>
      <c r="J34" s="118" t="s">
        <v>160</v>
      </c>
      <c r="K34" s="118" t="s">
        <v>160</v>
      </c>
      <c r="L34" s="118" t="s">
        <v>160</v>
      </c>
      <c r="M34" s="118" t="s">
        <v>160</v>
      </c>
      <c r="N34" s="118" t="s">
        <v>160</v>
      </c>
      <c r="O34" s="118" t="s">
        <v>160</v>
      </c>
      <c r="P34" s="118" t="s">
        <v>160</v>
      </c>
      <c r="Q34" s="118" t="s">
        <v>160</v>
      </c>
      <c r="R34" s="118" t="s">
        <v>160</v>
      </c>
      <c r="S34" s="118" t="s">
        <v>160</v>
      </c>
      <c r="T34" s="118">
        <v>2570</v>
      </c>
      <c r="U34" s="118">
        <v>1902</v>
      </c>
      <c r="V34" s="118">
        <v>1933</v>
      </c>
      <c r="W34" s="118">
        <v>1874</v>
      </c>
      <c r="X34" s="118">
        <v>1456</v>
      </c>
      <c r="Y34" s="118">
        <v>1035</v>
      </c>
      <c r="Z34" s="118">
        <v>1039</v>
      </c>
      <c r="AA34" s="118">
        <v>893</v>
      </c>
      <c r="AB34" s="118">
        <v>756</v>
      </c>
      <c r="AC34" s="118">
        <v>623</v>
      </c>
      <c r="AD34" s="118">
        <v>356</v>
      </c>
      <c r="AE34" s="118">
        <v>244</v>
      </c>
      <c r="AF34" s="118">
        <v>242</v>
      </c>
      <c r="AG34" s="118">
        <v>321</v>
      </c>
      <c r="AH34" s="118">
        <v>139</v>
      </c>
      <c r="AI34" s="118">
        <v>0</v>
      </c>
      <c r="AJ34" s="118" t="s">
        <v>160</v>
      </c>
      <c r="AK34" s="118" t="s">
        <v>160</v>
      </c>
      <c r="AL34" s="118" t="s">
        <v>160</v>
      </c>
      <c r="AM34" s="118" t="s">
        <v>160</v>
      </c>
      <c r="AN34" s="118" t="s">
        <v>160</v>
      </c>
      <c r="AO34" s="118" t="s">
        <v>160</v>
      </c>
      <c r="AP34" s="118" t="s">
        <v>160</v>
      </c>
      <c r="AQ34" s="118" t="s">
        <v>160</v>
      </c>
      <c r="AR34" s="118" t="s">
        <v>160</v>
      </c>
      <c r="AS34" s="118" t="s">
        <v>160</v>
      </c>
      <c r="AT34" s="118" t="s">
        <v>160</v>
      </c>
      <c r="AU34" s="118" t="s">
        <v>160</v>
      </c>
      <c r="AV34" s="118" t="s">
        <v>160</v>
      </c>
      <c r="AW34" s="118" t="s">
        <v>160</v>
      </c>
      <c r="AX34" s="118" t="s">
        <v>160</v>
      </c>
      <c r="AY34" s="118" t="s">
        <v>160</v>
      </c>
      <c r="AZ34" s="118" t="s">
        <v>160</v>
      </c>
    </row>
    <row r="35" spans="2:52" x14ac:dyDescent="0.2">
      <c r="B35" s="129" t="s">
        <v>901</v>
      </c>
      <c r="C35" s="118" t="s">
        <v>160</v>
      </c>
      <c r="D35" s="118" t="s">
        <v>160</v>
      </c>
      <c r="E35" s="160" t="s">
        <v>160</v>
      </c>
      <c r="F35" s="118" t="s">
        <v>160</v>
      </c>
      <c r="G35" s="118" t="s">
        <v>160</v>
      </c>
      <c r="H35" s="118" t="s">
        <v>160</v>
      </c>
      <c r="I35" s="118" t="s">
        <v>160</v>
      </c>
      <c r="J35" s="118" t="s">
        <v>160</v>
      </c>
      <c r="K35" s="118" t="s">
        <v>160</v>
      </c>
      <c r="L35" s="118" t="s">
        <v>160</v>
      </c>
      <c r="M35" s="118" t="s">
        <v>160</v>
      </c>
      <c r="N35" s="118" t="s">
        <v>160</v>
      </c>
      <c r="O35" s="118" t="s">
        <v>160</v>
      </c>
      <c r="P35" s="118" t="s">
        <v>160</v>
      </c>
      <c r="Q35" s="118" t="s">
        <v>160</v>
      </c>
      <c r="R35" s="118" t="s">
        <v>160</v>
      </c>
      <c r="S35" s="118" t="s">
        <v>160</v>
      </c>
      <c r="T35" s="118">
        <v>-66666</v>
      </c>
      <c r="U35" s="118">
        <v>0</v>
      </c>
      <c r="V35" s="118">
        <v>0</v>
      </c>
      <c r="W35" s="118">
        <v>0</v>
      </c>
      <c r="X35" s="118">
        <v>-46676</v>
      </c>
      <c r="Y35" s="118">
        <v>0</v>
      </c>
      <c r="Z35" s="118">
        <v>0</v>
      </c>
      <c r="AA35" s="118">
        <v>0</v>
      </c>
      <c r="AB35" s="118">
        <v>0</v>
      </c>
      <c r="AC35" s="118">
        <v>0</v>
      </c>
      <c r="AD35" s="118">
        <v>-25005</v>
      </c>
      <c r="AE35" s="118">
        <v>0</v>
      </c>
      <c r="AF35" s="118">
        <v>0</v>
      </c>
      <c r="AG35" s="118">
        <v>0</v>
      </c>
      <c r="AH35" s="118">
        <v>-25005</v>
      </c>
      <c r="AI35" s="118">
        <v>0</v>
      </c>
      <c r="AJ35" s="118" t="s">
        <v>160</v>
      </c>
      <c r="AK35" s="118" t="s">
        <v>160</v>
      </c>
      <c r="AL35" s="118" t="s">
        <v>160</v>
      </c>
      <c r="AM35" s="118" t="s">
        <v>160</v>
      </c>
      <c r="AN35" s="118" t="s">
        <v>160</v>
      </c>
      <c r="AO35" s="118" t="s">
        <v>160</v>
      </c>
      <c r="AP35" s="118" t="s">
        <v>160</v>
      </c>
      <c r="AQ35" s="118" t="s">
        <v>160</v>
      </c>
      <c r="AR35" s="118" t="s">
        <v>160</v>
      </c>
      <c r="AS35" s="118" t="s">
        <v>160</v>
      </c>
      <c r="AT35" s="118" t="s">
        <v>160</v>
      </c>
      <c r="AU35" s="118" t="s">
        <v>160</v>
      </c>
      <c r="AV35" s="118" t="s">
        <v>160</v>
      </c>
      <c r="AW35" s="118" t="s">
        <v>160</v>
      </c>
      <c r="AX35" s="118" t="s">
        <v>160</v>
      </c>
      <c r="AY35" s="118" t="s">
        <v>160</v>
      </c>
      <c r="AZ35" s="118" t="s">
        <v>160</v>
      </c>
    </row>
    <row r="36" spans="2:52" x14ac:dyDescent="0.2">
      <c r="B36" s="129" t="s">
        <v>902</v>
      </c>
      <c r="C36" s="118" t="s">
        <v>160</v>
      </c>
      <c r="D36" s="118" t="s">
        <v>160</v>
      </c>
      <c r="E36" s="160" t="s">
        <v>160</v>
      </c>
      <c r="F36" s="118" t="s">
        <v>160</v>
      </c>
      <c r="G36" s="118" t="s">
        <v>160</v>
      </c>
      <c r="H36" s="118" t="s">
        <v>160</v>
      </c>
      <c r="I36" s="118" t="s">
        <v>160</v>
      </c>
      <c r="J36" s="118" t="s">
        <v>160</v>
      </c>
      <c r="K36" s="118" t="s">
        <v>160</v>
      </c>
      <c r="L36" s="118" t="s">
        <v>160</v>
      </c>
      <c r="M36" s="118" t="s">
        <v>160</v>
      </c>
      <c r="N36" s="118" t="s">
        <v>160</v>
      </c>
      <c r="O36" s="118" t="s">
        <v>160</v>
      </c>
      <c r="P36" s="118" t="s">
        <v>160</v>
      </c>
      <c r="Q36" s="118" t="s">
        <v>160</v>
      </c>
      <c r="R36" s="118" t="s">
        <v>160</v>
      </c>
      <c r="S36" s="118" t="s">
        <v>160</v>
      </c>
      <c r="T36" s="118">
        <v>-4725</v>
      </c>
      <c r="U36" s="118">
        <v>-3115</v>
      </c>
      <c r="V36" s="118">
        <v>-1712</v>
      </c>
      <c r="W36" s="118">
        <v>-2105</v>
      </c>
      <c r="X36" s="118">
        <v>-1703</v>
      </c>
      <c r="Y36" s="118">
        <v>-2055</v>
      </c>
      <c r="Z36" s="118">
        <v>0</v>
      </c>
      <c r="AA36" s="118">
        <v>-1937</v>
      </c>
      <c r="AB36" s="118">
        <v>0</v>
      </c>
      <c r="AC36" s="118">
        <v>0</v>
      </c>
      <c r="AD36" s="118">
        <v>-1698</v>
      </c>
      <c r="AE36" s="118">
        <v>-364</v>
      </c>
      <c r="AF36" s="118">
        <v>0</v>
      </c>
      <c r="AG36" s="118">
        <v>-540</v>
      </c>
      <c r="AH36" s="118">
        <v>-204</v>
      </c>
      <c r="AI36" s="118">
        <v>0</v>
      </c>
      <c r="AJ36" s="118" t="s">
        <v>160</v>
      </c>
      <c r="AK36" s="118" t="s">
        <v>160</v>
      </c>
      <c r="AL36" s="118" t="s">
        <v>160</v>
      </c>
      <c r="AM36" s="118" t="s">
        <v>160</v>
      </c>
      <c r="AN36" s="118" t="s">
        <v>160</v>
      </c>
      <c r="AO36" s="118" t="s">
        <v>160</v>
      </c>
      <c r="AP36" s="118" t="s">
        <v>160</v>
      </c>
      <c r="AQ36" s="118" t="s">
        <v>160</v>
      </c>
      <c r="AR36" s="118" t="s">
        <v>160</v>
      </c>
      <c r="AS36" s="118" t="s">
        <v>160</v>
      </c>
      <c r="AT36" s="118" t="s">
        <v>160</v>
      </c>
      <c r="AU36" s="118" t="s">
        <v>160</v>
      </c>
      <c r="AV36" s="118" t="s">
        <v>160</v>
      </c>
      <c r="AW36" s="118" t="s">
        <v>160</v>
      </c>
      <c r="AX36" s="118" t="s">
        <v>160</v>
      </c>
      <c r="AY36" s="118" t="s">
        <v>160</v>
      </c>
      <c r="AZ36" s="118" t="s">
        <v>160</v>
      </c>
    </row>
    <row r="37" spans="2:52" x14ac:dyDescent="0.2">
      <c r="B37" s="126" t="s">
        <v>906</v>
      </c>
      <c r="C37" s="120" t="s">
        <v>160</v>
      </c>
      <c r="D37" s="120" t="s">
        <v>160</v>
      </c>
      <c r="E37" s="162" t="s">
        <v>160</v>
      </c>
      <c r="F37" s="120" t="s">
        <v>160</v>
      </c>
      <c r="G37" s="120" t="s">
        <v>160</v>
      </c>
      <c r="H37" s="120" t="s">
        <v>160</v>
      </c>
      <c r="I37" s="120" t="s">
        <v>160</v>
      </c>
      <c r="J37" s="120" t="s">
        <v>160</v>
      </c>
      <c r="K37" s="120" t="s">
        <v>160</v>
      </c>
      <c r="L37" s="120" t="s">
        <v>160</v>
      </c>
      <c r="M37" s="120" t="s">
        <v>160</v>
      </c>
      <c r="N37" s="120" t="s">
        <v>160</v>
      </c>
      <c r="O37" s="120" t="s">
        <v>160</v>
      </c>
      <c r="P37" s="120" t="s">
        <v>160</v>
      </c>
      <c r="Q37" s="120" t="s">
        <v>160</v>
      </c>
      <c r="R37" s="120" t="s">
        <v>160</v>
      </c>
      <c r="S37" s="120" t="s">
        <v>160</v>
      </c>
      <c r="T37" s="120">
        <v>99306</v>
      </c>
      <c r="U37" s="120">
        <v>98093</v>
      </c>
      <c r="V37" s="120">
        <v>98314</v>
      </c>
      <c r="W37" s="120">
        <v>98083</v>
      </c>
      <c r="X37" s="120">
        <v>51160</v>
      </c>
      <c r="Y37" s="120">
        <v>50140</v>
      </c>
      <c r="Z37" s="120">
        <v>51179</v>
      </c>
      <c r="AA37" s="120">
        <v>50135</v>
      </c>
      <c r="AB37" s="120">
        <f t="shared" ref="AB37:AK37" si="24">SUM(AB33:AB36)</f>
        <v>50891</v>
      </c>
      <c r="AC37" s="120">
        <f t="shared" si="24"/>
        <v>51514</v>
      </c>
      <c r="AD37" s="120">
        <f t="shared" si="24"/>
        <v>25167</v>
      </c>
      <c r="AE37" s="120">
        <f t="shared" si="24"/>
        <v>25047</v>
      </c>
      <c r="AF37" s="120">
        <f t="shared" si="24"/>
        <v>25289</v>
      </c>
      <c r="AG37" s="120">
        <f t="shared" si="24"/>
        <v>25070</v>
      </c>
      <c r="AH37" s="120">
        <f t="shared" si="24"/>
        <v>0</v>
      </c>
      <c r="AI37" s="120">
        <f t="shared" si="24"/>
        <v>0</v>
      </c>
      <c r="AJ37" s="120">
        <f t="shared" si="24"/>
        <v>0</v>
      </c>
      <c r="AK37" s="120">
        <f t="shared" si="24"/>
        <v>0</v>
      </c>
      <c r="AL37" s="120">
        <f t="shared" ref="AL37:AQ37" si="25">SUM(AL33:AL36)</f>
        <v>0</v>
      </c>
      <c r="AM37" s="120">
        <f t="shared" si="25"/>
        <v>0</v>
      </c>
      <c r="AN37" s="120">
        <f t="shared" si="25"/>
        <v>0</v>
      </c>
      <c r="AO37" s="120">
        <f t="shared" si="25"/>
        <v>0</v>
      </c>
      <c r="AP37" s="120">
        <f t="shared" si="25"/>
        <v>0</v>
      </c>
      <c r="AQ37" s="120">
        <f t="shared" si="25"/>
        <v>0</v>
      </c>
      <c r="AR37" s="120">
        <v>0</v>
      </c>
      <c r="AS37" s="120">
        <v>0</v>
      </c>
      <c r="AT37" s="120">
        <v>0</v>
      </c>
      <c r="AU37" s="120"/>
      <c r="AV37" s="120">
        <v>0</v>
      </c>
      <c r="AW37" s="120">
        <f>SUM(AW33:AW36)</f>
        <v>0</v>
      </c>
      <c r="AX37" s="120">
        <f>SUM(AX33:AX36)</f>
        <v>0</v>
      </c>
      <c r="AY37" s="120">
        <f>SUM(AY33:AY36)</f>
        <v>0</v>
      </c>
      <c r="AZ37" s="120">
        <f>SUM(AZ33:AZ36)</f>
        <v>0</v>
      </c>
    </row>
    <row r="38" spans="2:52" x14ac:dyDescent="0.2">
      <c r="B38" s="126" t="s">
        <v>112</v>
      </c>
      <c r="C38" s="120" t="s">
        <v>160</v>
      </c>
      <c r="D38" s="120" t="s">
        <v>160</v>
      </c>
      <c r="E38" s="162" t="s">
        <v>160</v>
      </c>
      <c r="F38" s="120" t="s">
        <v>160</v>
      </c>
      <c r="G38" s="120" t="s">
        <v>160</v>
      </c>
      <c r="H38" s="120" t="s">
        <v>160</v>
      </c>
      <c r="I38" s="120" t="s">
        <v>160</v>
      </c>
      <c r="J38" s="120" t="s">
        <v>160</v>
      </c>
      <c r="K38" s="120" t="s">
        <v>160</v>
      </c>
      <c r="L38" s="120" t="s">
        <v>160</v>
      </c>
      <c r="M38" s="120" t="s">
        <v>160</v>
      </c>
      <c r="N38" s="120" t="s">
        <v>160</v>
      </c>
      <c r="O38" s="120" t="s">
        <v>160</v>
      </c>
      <c r="P38" s="120" t="s">
        <v>160</v>
      </c>
      <c r="Q38" s="120" t="s">
        <v>160</v>
      </c>
      <c r="R38" s="120" t="s">
        <v>160</v>
      </c>
      <c r="S38" s="120" t="s">
        <v>160</v>
      </c>
      <c r="T38" s="120">
        <v>154169</v>
      </c>
      <c r="U38" s="120">
        <v>148113</v>
      </c>
      <c r="V38" s="120">
        <v>162858</v>
      </c>
      <c r="W38" s="120">
        <v>160200</v>
      </c>
      <c r="X38" s="120">
        <v>145387</v>
      </c>
      <c r="Y38" s="120">
        <v>140589</v>
      </c>
      <c r="Z38" s="120">
        <v>145999</v>
      </c>
      <c r="AA38" s="120">
        <v>141157</v>
      </c>
      <c r="AB38" s="120">
        <f t="shared" ref="AB38:AG38" si="26">AB32+AB37</f>
        <v>154177</v>
      </c>
      <c r="AC38" s="120">
        <f t="shared" si="26"/>
        <v>247868</v>
      </c>
      <c r="AD38" s="120">
        <f t="shared" si="26"/>
        <v>193443</v>
      </c>
      <c r="AE38" s="120">
        <f t="shared" si="26"/>
        <v>193811</v>
      </c>
      <c r="AF38" s="120">
        <f t="shared" si="26"/>
        <v>194589</v>
      </c>
      <c r="AG38" s="120">
        <f t="shared" si="26"/>
        <v>152313</v>
      </c>
      <c r="AH38" s="120">
        <f t="shared" ref="AH38:AQ38" si="27">AH32+AH37</f>
        <v>127676</v>
      </c>
      <c r="AI38" s="120">
        <f t="shared" si="27"/>
        <v>128886</v>
      </c>
      <c r="AJ38" s="120">
        <f t="shared" si="27"/>
        <v>119250</v>
      </c>
      <c r="AK38" s="120">
        <f t="shared" si="27"/>
        <v>68411</v>
      </c>
      <c r="AL38" s="120">
        <f t="shared" si="27"/>
        <v>66432</v>
      </c>
      <c r="AM38" s="120">
        <f t="shared" si="27"/>
        <v>101740</v>
      </c>
      <c r="AN38" s="120">
        <f t="shared" si="27"/>
        <v>90366</v>
      </c>
      <c r="AO38" s="120">
        <f t="shared" si="27"/>
        <v>91267</v>
      </c>
      <c r="AP38" s="120">
        <f t="shared" si="27"/>
        <v>95806</v>
      </c>
      <c r="AQ38" s="120">
        <f t="shared" si="27"/>
        <v>101599</v>
      </c>
      <c r="AR38" s="120">
        <v>107217</v>
      </c>
      <c r="AS38" s="120">
        <v>105966</v>
      </c>
      <c r="AT38" s="120">
        <v>105679</v>
      </c>
      <c r="AU38" s="120">
        <v>105996</v>
      </c>
      <c r="AV38" s="120">
        <f>AV32+AV37</f>
        <v>110285</v>
      </c>
      <c r="AW38" s="120">
        <f>AW32+AW37</f>
        <v>111205</v>
      </c>
      <c r="AX38" s="120">
        <f>AX32+AX37</f>
        <v>85819</v>
      </c>
      <c r="AY38" s="120">
        <f>AY32+AY37</f>
        <v>125950</v>
      </c>
      <c r="AZ38" s="120">
        <f>AZ32+AZ37</f>
        <v>125203</v>
      </c>
    </row>
    <row r="40" spans="2:52" x14ac:dyDescent="0.2">
      <c r="B40" s="100"/>
      <c r="C40" s="101"/>
      <c r="D40" s="101"/>
      <c r="E40" s="101"/>
      <c r="F40" s="101"/>
      <c r="G40" s="101"/>
      <c r="H40" s="102"/>
      <c r="I40" s="101"/>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row>
    <row r="41" spans="2:52" x14ac:dyDescent="0.2">
      <c r="B41" s="99"/>
      <c r="C41" s="48"/>
      <c r="D41" s="48"/>
      <c r="E41" s="48"/>
      <c r="F41" s="48"/>
      <c r="G41" s="48"/>
      <c r="H41" s="48"/>
      <c r="I41" s="48"/>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row>
    <row r="42" spans="2:52" x14ac:dyDescent="0.2">
      <c r="B42" s="99"/>
      <c r="C42" s="48"/>
      <c r="D42" s="48"/>
      <c r="E42" s="48"/>
      <c r="F42" s="48"/>
      <c r="G42" s="48"/>
      <c r="H42" s="48"/>
      <c r="I42" s="48"/>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row>
    <row r="43" spans="2:52" x14ac:dyDescent="0.2">
      <c r="B43" s="99"/>
      <c r="C43" s="103"/>
      <c r="D43" s="103"/>
      <c r="E43" s="103"/>
      <c r="F43" s="103"/>
      <c r="G43" s="103"/>
      <c r="H43" s="103"/>
      <c r="I43" s="103"/>
    </row>
    <row r="44" spans="2:52" x14ac:dyDescent="0.2">
      <c r="B44" s="100"/>
      <c r="C44" s="101"/>
      <c r="D44" s="101"/>
      <c r="E44" s="101"/>
      <c r="F44" s="101"/>
      <c r="G44" s="101"/>
      <c r="H44" s="101"/>
      <c r="I44" s="101"/>
    </row>
    <row r="45" spans="2:52" x14ac:dyDescent="0.2">
      <c r="B45" s="99"/>
    </row>
    <row r="46" spans="2:52" x14ac:dyDescent="0.2">
      <c r="B46" s="99"/>
      <c r="C46" s="105"/>
      <c r="D46" s="105"/>
    </row>
    <row r="47" spans="2:52" x14ac:dyDescent="0.2">
      <c r="B47" s="99"/>
      <c r="C47" s="97"/>
      <c r="D47" s="97"/>
      <c r="E47" s="97"/>
      <c r="F47" s="97"/>
      <c r="G47" s="97"/>
      <c r="H47" s="97"/>
      <c r="I47" s="97"/>
    </row>
    <row r="48" spans="2:52" x14ac:dyDescent="0.2">
      <c r="B48" s="99"/>
      <c r="C48" s="98"/>
      <c r="D48" s="98"/>
      <c r="E48" s="98"/>
      <c r="F48" s="98"/>
      <c r="G48" s="98"/>
      <c r="H48" s="98"/>
      <c r="I48" s="98"/>
    </row>
    <row r="49" spans="2:9" x14ac:dyDescent="0.2">
      <c r="B49" s="99"/>
      <c r="C49" s="48"/>
      <c r="D49" s="48"/>
      <c r="E49" s="48"/>
      <c r="F49" s="48"/>
      <c r="G49" s="48"/>
      <c r="H49" s="103"/>
      <c r="I49" s="48"/>
    </row>
    <row r="50" spans="2:9" x14ac:dyDescent="0.2">
      <c r="B50" s="99"/>
      <c r="C50" s="48"/>
      <c r="D50" s="48"/>
      <c r="E50" s="48"/>
      <c r="F50" s="48"/>
      <c r="G50" s="48"/>
      <c r="H50" s="103"/>
      <c r="I50" s="48"/>
    </row>
    <row r="51" spans="2:9" x14ac:dyDescent="0.2">
      <c r="B51" s="100"/>
      <c r="C51" s="101"/>
      <c r="D51" s="101"/>
      <c r="E51" s="101"/>
      <c r="F51" s="101"/>
      <c r="G51" s="101"/>
      <c r="H51" s="102"/>
      <c r="I51" s="101"/>
    </row>
    <row r="52" spans="2:9" x14ac:dyDescent="0.2">
      <c r="B52" s="99"/>
      <c r="C52" s="48"/>
      <c r="D52" s="48"/>
      <c r="E52" s="48"/>
      <c r="F52" s="48"/>
      <c r="G52" s="48"/>
      <c r="H52" s="48"/>
      <c r="I52" s="48"/>
    </row>
    <row r="53" spans="2:9" x14ac:dyDescent="0.2">
      <c r="B53" s="99"/>
      <c r="C53" s="48"/>
      <c r="D53" s="48"/>
      <c r="E53" s="48"/>
      <c r="F53" s="48"/>
      <c r="G53" s="48"/>
      <c r="H53" s="48"/>
      <c r="I53" s="48"/>
    </row>
    <row r="54" spans="2:9" x14ac:dyDescent="0.2">
      <c r="B54" s="99"/>
      <c r="C54" s="104"/>
      <c r="D54" s="103"/>
      <c r="E54" s="103"/>
      <c r="F54" s="103"/>
      <c r="G54" s="103"/>
      <c r="H54" s="48"/>
      <c r="I54" s="104"/>
    </row>
    <row r="55" spans="2:9" x14ac:dyDescent="0.2">
      <c r="B55" s="100"/>
      <c r="C55" s="101"/>
      <c r="D55" s="101"/>
      <c r="E55" s="101"/>
      <c r="F55" s="101"/>
      <c r="G55" s="101"/>
      <c r="H55" s="101"/>
      <c r="I55" s="101"/>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A1:HF52"/>
  <sheetViews>
    <sheetView showGridLines="0" zoomScaleNormal="100" workbookViewId="0">
      <pane xSplit="6" ySplit="6" topLeftCell="G7" activePane="bottomRight" state="frozen"/>
      <selection activeCell="AY7" sqref="AY7"/>
      <selection pane="topRight" activeCell="AY7" sqref="AY7"/>
      <selection pane="bottomLeft" activeCell="AY7" sqref="AY7"/>
      <selection pane="bottomRight" activeCell="E2" sqref="E2"/>
    </sheetView>
  </sheetViews>
  <sheetFormatPr defaultRowHeight="12.75" outlineLevelRow="1" outlineLevelCol="1" x14ac:dyDescent="0.2"/>
  <cols>
    <col min="1" max="2" width="8.5703125" hidden="1" customWidth="1"/>
    <col min="3" max="3" width="47.42578125" hidden="1" customWidth="1"/>
    <col min="4" max="4" width="46.140625" hidden="1" customWidth="1"/>
    <col min="5" max="5" width="1.42578125" customWidth="1"/>
    <col min="6" max="6" width="36.85546875" bestFit="1" customWidth="1"/>
    <col min="7" max="7" width="7.5703125" customWidth="1" outlineLevel="1"/>
    <col min="8" max="9" width="10.140625" customWidth="1" outlineLevel="1"/>
    <col min="10" max="10" width="7.5703125" customWidth="1" outlineLevel="1"/>
    <col min="11" max="11" width="10.140625" customWidth="1" outlineLevel="1"/>
    <col min="12" max="12" width="8" customWidth="1" outlineLevel="1"/>
    <col min="13" max="13" width="8.140625" customWidth="1" outlineLevel="1"/>
    <col min="14" max="14" width="10.140625" customWidth="1" outlineLevel="1"/>
    <col min="15" max="15" width="7.5703125" customWidth="1" outlineLevel="1"/>
    <col min="16" max="16" width="10.140625" customWidth="1" outlineLevel="1"/>
    <col min="17" max="17" width="8" customWidth="1" outlineLevel="1"/>
    <col min="18" max="18" width="6.5703125" customWidth="1" outlineLevel="1"/>
    <col min="19" max="19" width="8.140625" customWidth="1" outlineLevel="1"/>
    <col min="20" max="20" width="10.140625" customWidth="1" outlineLevel="1"/>
    <col min="21" max="21" width="7.5703125" customWidth="1" outlineLevel="1"/>
    <col min="22" max="22" width="10.140625" customWidth="1" outlineLevel="1"/>
    <col min="23" max="23" width="8" customWidth="1" outlineLevel="1"/>
    <col min="24" max="24" width="6.5703125" customWidth="1" outlineLevel="1"/>
    <col min="25" max="25" width="8.140625" customWidth="1" outlineLevel="1"/>
    <col min="26" max="26" width="10.140625" customWidth="1" outlineLevel="1"/>
    <col min="27" max="27" width="7.5703125" customWidth="1" outlineLevel="1"/>
    <col min="28" max="28" width="8" customWidth="1" outlineLevel="1"/>
    <col min="29" max="30" width="10.140625" customWidth="1" outlineLevel="1"/>
    <col min="31" max="31" width="7.5703125" customWidth="1" outlineLevel="1"/>
    <col min="32" max="32" width="8" customWidth="1" outlineLevel="1"/>
    <col min="33" max="34" width="10.140625" customWidth="1" outlineLevel="1"/>
    <col min="35" max="35" width="7.5703125" customWidth="1" outlineLevel="1"/>
    <col min="36" max="36" width="8" customWidth="1" outlineLevel="1"/>
    <col min="37" max="38" width="10.140625" customWidth="1" outlineLevel="1"/>
    <col min="39" max="39" width="7.5703125" customWidth="1" outlineLevel="1"/>
    <col min="40" max="40" width="8" customWidth="1" outlineLevel="1"/>
    <col min="41" max="42" width="10.140625" customWidth="1" outlineLevel="1"/>
    <col min="43" max="43" width="5.85546875" customWidth="1"/>
    <col min="44" max="44" width="8" customWidth="1"/>
    <col min="45" max="45" width="11.140625" customWidth="1"/>
    <col min="46" max="46" width="10.140625" customWidth="1"/>
    <col min="47" max="47" width="5.85546875" customWidth="1"/>
    <col min="48" max="48" width="8" customWidth="1"/>
    <col min="49" max="50" width="10.140625" customWidth="1"/>
    <col min="51" max="51" width="5.85546875" customWidth="1"/>
    <col min="52" max="52" width="8" customWidth="1"/>
    <col min="53" max="54" width="10.140625" customWidth="1"/>
    <col min="55" max="55" width="7.5703125" customWidth="1"/>
    <col min="56" max="56" width="8" customWidth="1"/>
    <col min="57" max="57" width="9.42578125" customWidth="1"/>
    <col min="58" max="58" width="10.140625" customWidth="1"/>
    <col min="59" max="59" width="7.5703125" customWidth="1"/>
    <col min="60" max="60" width="9.42578125" customWidth="1"/>
    <col min="61" max="61" width="10.140625" customWidth="1"/>
    <col min="62" max="62" width="7.5703125" customWidth="1"/>
    <col min="63" max="63" width="9.42578125" customWidth="1"/>
    <col min="64" max="64" width="6.5703125" customWidth="1"/>
    <col min="65" max="69" width="10.140625" customWidth="1"/>
    <col min="70" max="70" width="6" customWidth="1"/>
    <col min="71" max="71" width="12.5703125" bestFit="1" customWidth="1"/>
    <col min="72" max="72" width="6.5703125" customWidth="1"/>
    <col min="73" max="73" width="10.140625" customWidth="1"/>
    <col min="74" max="74" width="8.85546875" bestFit="1" customWidth="1"/>
    <col min="75" max="75" width="11.140625" customWidth="1"/>
    <col min="76" max="76" width="6.5703125" customWidth="1"/>
    <col min="77" max="77" width="10.140625" customWidth="1"/>
    <col min="78" max="78" width="8.85546875" bestFit="1" customWidth="1"/>
    <col min="79" max="79" width="11.140625" customWidth="1"/>
    <col min="80" max="80" width="6.5703125" customWidth="1"/>
    <col min="81" max="82" width="10.140625" customWidth="1"/>
    <col min="83" max="83" width="12.5703125" bestFit="1" customWidth="1"/>
    <col min="84" max="85" width="10.140625" customWidth="1"/>
    <col min="86" max="86" width="8.85546875" bestFit="1" customWidth="1"/>
    <col min="87" max="87" width="10.85546875" customWidth="1"/>
    <col min="88" max="88" width="7.85546875" bestFit="1" customWidth="1"/>
    <col min="89" max="90" width="10.140625" customWidth="1"/>
    <col min="91" max="91" width="12.5703125" bestFit="1" customWidth="1"/>
    <col min="92" max="92" width="10.140625" customWidth="1"/>
    <col min="93" max="93" width="8.85546875" bestFit="1" customWidth="1"/>
    <col min="94" max="94" width="12.5703125" bestFit="1" customWidth="1"/>
    <col min="95" max="96" width="10.42578125" customWidth="1"/>
    <col min="97" max="97" width="12.5703125" bestFit="1" customWidth="1"/>
    <col min="98" max="98" width="10.85546875" bestFit="1" customWidth="1"/>
    <col min="99" max="99" width="8.85546875" bestFit="1" customWidth="1"/>
    <col min="100" max="101" width="11.140625" customWidth="1"/>
    <col min="102" max="102" width="10.140625" customWidth="1"/>
    <col min="103" max="103" width="12.140625" bestFit="1" customWidth="1"/>
    <col min="104" max="105" width="11.140625" customWidth="1"/>
    <col min="106" max="106" width="13.42578125" bestFit="1" customWidth="1"/>
    <col min="107" max="107" width="12.140625" bestFit="1" customWidth="1"/>
    <col min="108" max="109" width="11.140625" customWidth="1"/>
    <col min="110" max="110" width="10.140625" customWidth="1"/>
    <col min="111" max="111" width="12.140625" bestFit="1" customWidth="1"/>
    <col min="112" max="113" width="11.140625" customWidth="1"/>
    <col min="114" max="114" width="10.140625" customWidth="1"/>
    <col min="115" max="115" width="12.140625" bestFit="1" customWidth="1"/>
    <col min="116" max="117" width="11.140625" customWidth="1"/>
    <col min="118" max="119" width="12.140625" bestFit="1" customWidth="1"/>
    <col min="120" max="121" width="11.140625" customWidth="1"/>
    <col min="122" max="123" width="12.140625" bestFit="1" customWidth="1"/>
    <col min="124" max="125" width="11.140625" customWidth="1"/>
    <col min="126" max="127" width="12.140625" bestFit="1" customWidth="1"/>
    <col min="128" max="129" width="11.140625" customWidth="1"/>
    <col min="130" max="131" width="12.140625" bestFit="1" customWidth="1"/>
    <col min="132" max="133" width="11.140625" customWidth="1"/>
    <col min="134" max="135" width="12.140625" bestFit="1" customWidth="1"/>
    <col min="136" max="136" width="11.140625" customWidth="1"/>
    <col min="137" max="137" width="14.140625" customWidth="1"/>
    <col min="138" max="139" width="12.140625" bestFit="1" customWidth="1"/>
    <col min="140" max="140" width="11.140625" customWidth="1"/>
    <col min="141" max="141" width="14.140625" customWidth="1"/>
    <col min="142" max="142" width="13.85546875" customWidth="1"/>
    <col min="143" max="143" width="12.140625" bestFit="1" customWidth="1"/>
    <col min="144" max="144" width="11.140625" customWidth="1"/>
    <col min="145" max="145" width="14.140625" customWidth="1"/>
    <col min="146" max="146" width="13.85546875" customWidth="1"/>
    <col min="147" max="147" width="12.140625" bestFit="1" customWidth="1"/>
    <col min="148" max="148" width="11.140625" customWidth="1"/>
    <col min="149" max="149" width="14.140625" customWidth="1"/>
    <col min="150" max="150" width="13.85546875" customWidth="1"/>
    <col min="151" max="151" width="12.140625" bestFit="1" customWidth="1"/>
    <col min="152" max="152" width="11.140625" customWidth="1"/>
    <col min="153" max="153" width="14.140625" customWidth="1"/>
    <col min="154" max="154" width="13.85546875" customWidth="1"/>
    <col min="155" max="155" width="12.140625" bestFit="1" customWidth="1"/>
    <col min="156" max="156" width="11.140625" customWidth="1"/>
    <col min="157" max="157" width="14.140625" customWidth="1"/>
    <col min="158" max="158" width="13.85546875" customWidth="1"/>
    <col min="159" max="159" width="12.140625" bestFit="1" customWidth="1"/>
    <col min="160" max="160" width="11.140625" customWidth="1"/>
    <col min="161" max="161" width="14.140625" customWidth="1"/>
    <col min="162" max="162" width="13.85546875" customWidth="1"/>
    <col min="163" max="163" width="12.140625" bestFit="1" customWidth="1"/>
    <col min="164" max="164" width="11.140625" customWidth="1"/>
    <col min="165" max="165" width="14.140625" customWidth="1"/>
    <col min="166" max="166" width="13.85546875" customWidth="1"/>
    <col min="167" max="167" width="12.140625" bestFit="1" customWidth="1"/>
    <col min="168" max="168" width="11.140625" customWidth="1"/>
    <col min="169" max="169" width="14.140625" customWidth="1"/>
    <col min="170" max="178" width="13.85546875" customWidth="1"/>
    <col min="179" max="179" width="8.85546875" bestFit="1" customWidth="1"/>
    <col min="180" max="180" width="10.140625" bestFit="1" customWidth="1"/>
    <col min="181" max="181" width="12.5703125" bestFit="1" customWidth="1"/>
    <col min="182" max="182" width="14.140625" customWidth="1"/>
    <col min="183" max="183" width="7.85546875" bestFit="1" customWidth="1"/>
    <col min="184" max="184" width="13.85546875" customWidth="1"/>
    <col min="185" max="185" width="8.85546875" bestFit="1" customWidth="1"/>
    <col min="186" max="186" width="10.140625" bestFit="1" customWidth="1"/>
    <col min="187" max="187" width="12.5703125" bestFit="1" customWidth="1"/>
    <col min="188" max="188" width="14.140625" customWidth="1"/>
    <col min="189" max="189" width="7.85546875" bestFit="1" customWidth="1"/>
    <col min="190" max="196" width="13.85546875" customWidth="1"/>
    <col min="197" max="197" width="8.85546875" bestFit="1" customWidth="1"/>
    <col min="198" max="198" width="10.140625" bestFit="1" customWidth="1"/>
    <col min="199" max="199" width="12.5703125" bestFit="1" customWidth="1"/>
    <col min="200" max="200" width="14.140625" customWidth="1"/>
    <col min="201" max="201" width="8.140625" bestFit="1" customWidth="1"/>
    <col min="202" max="202" width="13.85546875" customWidth="1"/>
    <col min="203" max="203" width="8.85546875" bestFit="1" customWidth="1"/>
    <col min="204" max="204" width="10.140625" bestFit="1" customWidth="1"/>
    <col min="205" max="205" width="12.5703125" bestFit="1" customWidth="1"/>
    <col min="206" max="206" width="14.140625" customWidth="1"/>
    <col min="207" max="207" width="8.140625" bestFit="1" customWidth="1"/>
    <col min="208" max="208" width="13.85546875" customWidth="1"/>
    <col min="209" max="209" width="8.85546875" bestFit="1" customWidth="1"/>
    <col min="210" max="210" width="10.140625" bestFit="1" customWidth="1"/>
    <col min="211" max="211" width="12.5703125" bestFit="1" customWidth="1"/>
    <col min="212" max="212" width="14.140625" customWidth="1"/>
    <col min="213" max="213" width="8.140625" bestFit="1" customWidth="1"/>
    <col min="214" max="214" width="13.85546875" customWidth="1"/>
  </cols>
  <sheetData>
    <row r="1" spans="3:214" s="544" customFormat="1" ht="7.5" customHeight="1" x14ac:dyDescent="0.2">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0"/>
      <c r="BI1" s="550"/>
      <c r="BJ1" s="550"/>
      <c r="BK1" s="550"/>
      <c r="BL1" s="550"/>
      <c r="BM1" s="550"/>
      <c r="BN1" s="550"/>
      <c r="BO1" s="550"/>
      <c r="BP1" s="550"/>
      <c r="BQ1" s="550"/>
      <c r="BR1" s="550"/>
      <c r="BS1" s="550"/>
      <c r="BT1" s="550"/>
      <c r="BU1" s="550"/>
      <c r="BV1" s="550"/>
      <c r="BW1" s="550"/>
      <c r="BX1" s="550"/>
      <c r="BY1" s="550"/>
      <c r="BZ1" s="550"/>
      <c r="CA1" s="550"/>
      <c r="CB1" s="550"/>
      <c r="CC1" s="550"/>
      <c r="CD1" s="550"/>
      <c r="CE1" s="550"/>
      <c r="CF1" s="550"/>
      <c r="CG1" s="550"/>
      <c r="CH1" s="550"/>
      <c r="CI1" s="550"/>
      <c r="CJ1" s="550"/>
      <c r="CK1" s="550"/>
      <c r="CL1" s="550"/>
      <c r="CM1" s="550"/>
      <c r="CN1" s="550"/>
      <c r="CO1" s="550"/>
      <c r="CP1" s="550"/>
      <c r="CQ1" s="550"/>
      <c r="CR1" s="550"/>
      <c r="CS1" s="550"/>
      <c r="CT1" s="550"/>
      <c r="CU1" s="550"/>
      <c r="CV1" s="550"/>
      <c r="CW1" s="550"/>
      <c r="CX1" s="550"/>
      <c r="CY1" s="550"/>
      <c r="CZ1" s="550"/>
      <c r="DA1" s="550"/>
      <c r="DB1" s="550"/>
      <c r="DC1" s="550"/>
      <c r="DD1" s="550"/>
      <c r="DE1" s="550"/>
      <c r="DF1" s="550"/>
      <c r="DG1" s="550"/>
      <c r="DH1" s="550"/>
      <c r="DI1" s="550"/>
      <c r="DJ1" s="550"/>
      <c r="DK1" s="550"/>
      <c r="DL1" s="550"/>
      <c r="DM1" s="550"/>
      <c r="DN1" s="550"/>
      <c r="DO1" s="550"/>
      <c r="DP1" s="550"/>
      <c r="DQ1" s="550"/>
      <c r="DR1" s="550"/>
      <c r="DS1" s="550"/>
      <c r="DT1" s="550"/>
      <c r="DU1" s="550"/>
      <c r="DV1" s="550"/>
      <c r="DW1" s="550"/>
      <c r="DX1" s="550"/>
      <c r="DY1" s="550"/>
      <c r="DZ1" s="550"/>
      <c r="EA1" s="550"/>
      <c r="EB1" s="550"/>
      <c r="EC1" s="550"/>
      <c r="ED1" s="550"/>
      <c r="EE1" s="550"/>
      <c r="EF1" s="550"/>
      <c r="EG1" s="550"/>
      <c r="EH1" s="550"/>
      <c r="EI1" s="550"/>
      <c r="EJ1" s="550"/>
      <c r="EK1" s="550"/>
      <c r="EL1" s="550"/>
      <c r="EM1" s="550"/>
      <c r="EN1" s="550"/>
      <c r="EO1" s="550"/>
      <c r="EP1" s="550"/>
      <c r="EQ1" s="550"/>
      <c r="ER1" s="550"/>
      <c r="ES1" s="550"/>
      <c r="ET1" s="550"/>
      <c r="EU1" s="550"/>
      <c r="EV1" s="550"/>
      <c r="EW1" s="550"/>
      <c r="EX1" s="550"/>
      <c r="EY1" s="550"/>
      <c r="EZ1" s="550"/>
      <c r="FA1" s="550"/>
      <c r="FB1" s="550"/>
      <c r="FC1" s="550"/>
      <c r="FD1" s="550"/>
      <c r="FE1" s="550"/>
      <c r="FF1" s="550"/>
      <c r="FG1" s="550"/>
      <c r="FH1" s="550"/>
      <c r="FI1" s="550"/>
      <c r="FJ1" s="550"/>
      <c r="FK1" s="550"/>
      <c r="FL1" s="550"/>
      <c r="FM1" s="550"/>
      <c r="FN1" s="550"/>
      <c r="FO1" s="550"/>
      <c r="FP1" s="550"/>
      <c r="FQ1" s="550"/>
      <c r="FR1" s="550"/>
      <c r="FS1" s="550"/>
      <c r="FT1" s="550"/>
      <c r="FU1" s="550"/>
      <c r="FV1" s="550"/>
      <c r="FW1" s="550"/>
      <c r="FX1" s="550"/>
      <c r="FY1" s="550"/>
      <c r="FZ1" s="550"/>
      <c r="GA1" s="550"/>
      <c r="GB1" s="550"/>
      <c r="GC1" s="550"/>
      <c r="GD1" s="550"/>
      <c r="GE1" s="550"/>
      <c r="GF1" s="550"/>
      <c r="GG1" s="550"/>
      <c r="GH1" s="550"/>
      <c r="GI1" s="550"/>
      <c r="GJ1" s="550"/>
      <c r="GK1" s="550"/>
      <c r="GL1" s="550"/>
      <c r="GM1" s="550"/>
      <c r="GN1" s="550"/>
      <c r="GO1" s="550"/>
      <c r="GP1" s="550"/>
      <c r="GQ1" s="550"/>
      <c r="GR1" s="550"/>
      <c r="GS1" s="550"/>
      <c r="GT1" s="550"/>
      <c r="GU1" s="550"/>
      <c r="GV1" s="550"/>
      <c r="GW1" s="550"/>
      <c r="GX1" s="550"/>
      <c r="GY1" s="550"/>
      <c r="GZ1" s="550"/>
      <c r="HA1" s="550"/>
      <c r="HB1" s="550"/>
      <c r="HC1" s="550"/>
      <c r="HD1" s="550"/>
      <c r="HE1" s="550"/>
      <c r="HF1" s="550"/>
    </row>
    <row r="2" spans="3:214" s="544" customFormat="1" ht="12.75" customHeight="1" x14ac:dyDescent="0.2">
      <c r="F2" s="580"/>
      <c r="G2" s="581"/>
      <c r="H2" s="810"/>
      <c r="I2" s="810"/>
      <c r="J2" s="811"/>
      <c r="K2" s="811"/>
      <c r="L2" s="811"/>
      <c r="M2" s="811"/>
      <c r="N2" s="811"/>
      <c r="O2" s="811"/>
      <c r="P2" s="811"/>
      <c r="Q2" s="811"/>
      <c r="R2" s="811"/>
      <c r="S2" s="811"/>
      <c r="T2" s="811"/>
      <c r="U2" s="811"/>
      <c r="V2" s="811"/>
      <c r="W2" s="811"/>
      <c r="X2" s="811"/>
      <c r="Y2" s="811"/>
      <c r="Z2" s="811"/>
      <c r="AA2" s="811"/>
      <c r="AB2" s="811"/>
      <c r="AC2" s="811"/>
      <c r="AD2" s="811"/>
      <c r="AE2" s="811"/>
      <c r="AF2" s="811"/>
      <c r="AG2" s="811"/>
      <c r="AH2" s="811"/>
      <c r="AI2" s="550"/>
      <c r="AJ2" s="550"/>
      <c r="AK2" s="550"/>
      <c r="AL2" s="550"/>
      <c r="AM2" s="550"/>
      <c r="AN2" s="550"/>
      <c r="AO2" s="550"/>
      <c r="AP2" s="550"/>
      <c r="AQ2" s="550"/>
      <c r="AR2" s="550"/>
      <c r="AS2" s="550"/>
      <c r="AT2" s="550"/>
      <c r="AU2" s="550"/>
      <c r="AV2" s="550"/>
      <c r="AW2" s="550"/>
      <c r="AX2" s="550"/>
      <c r="AY2" s="550"/>
      <c r="AZ2" s="550"/>
      <c r="BA2" s="550"/>
      <c r="BB2" s="550"/>
      <c r="BC2" s="550"/>
      <c r="BD2" s="550"/>
      <c r="BE2" s="550"/>
      <c r="BF2" s="550"/>
      <c r="BG2" s="550"/>
      <c r="BH2" s="550"/>
      <c r="BI2" s="550"/>
      <c r="BJ2" s="550"/>
      <c r="BK2" s="550"/>
      <c r="BL2" s="550"/>
      <c r="BM2" s="550"/>
      <c r="BN2" s="550"/>
      <c r="BO2" s="550"/>
      <c r="BP2" s="550"/>
      <c r="BQ2" s="550"/>
      <c r="BR2" s="550"/>
      <c r="BS2" s="550"/>
      <c r="BT2" s="550"/>
      <c r="BU2" s="550"/>
      <c r="BV2" s="550"/>
      <c r="BW2" s="550"/>
      <c r="BX2" s="550"/>
      <c r="BY2" s="812"/>
      <c r="BZ2" s="550"/>
      <c r="CA2" s="550"/>
      <c r="CB2" s="550"/>
      <c r="CC2" s="812"/>
      <c r="CD2" s="550"/>
      <c r="CE2" s="550"/>
      <c r="CF2" s="550"/>
      <c r="CG2" s="812"/>
      <c r="CH2" s="550"/>
      <c r="CI2" s="550"/>
      <c r="CJ2" s="550"/>
      <c r="CK2" s="812"/>
      <c r="CL2" s="812"/>
      <c r="CM2" s="812"/>
      <c r="CN2" s="812"/>
      <c r="CO2" s="812"/>
      <c r="CP2" s="550"/>
      <c r="CQ2" s="812"/>
      <c r="CR2" s="812"/>
      <c r="CS2" s="550"/>
      <c r="CT2" s="812"/>
      <c r="CU2" s="812"/>
      <c r="CV2" s="550"/>
      <c r="CW2" s="550"/>
      <c r="CX2" s="812"/>
      <c r="CY2" s="812"/>
      <c r="CZ2" s="550"/>
      <c r="DA2" s="550"/>
      <c r="DB2" s="812"/>
      <c r="DC2" s="812"/>
      <c r="DD2" s="550"/>
      <c r="DE2" s="550"/>
      <c r="DF2" s="812"/>
      <c r="DG2" s="812"/>
      <c r="DH2" s="550"/>
      <c r="DI2" s="550"/>
      <c r="DJ2" s="812"/>
      <c r="DK2" s="812"/>
      <c r="DL2" s="550"/>
      <c r="DM2" s="550"/>
      <c r="DN2" s="812"/>
      <c r="DO2" s="812"/>
      <c r="DP2" s="550"/>
      <c r="DQ2" s="550"/>
      <c r="DR2" s="812"/>
      <c r="DS2" s="812"/>
      <c r="DT2" s="550"/>
      <c r="DU2" s="550"/>
      <c r="DV2" s="812"/>
      <c r="DW2" s="812"/>
      <c r="DX2" s="550"/>
      <c r="DY2" s="550"/>
      <c r="DZ2" s="812"/>
      <c r="EA2" s="812"/>
      <c r="EB2" s="550"/>
      <c r="EC2" s="550"/>
      <c r="ED2" s="812"/>
      <c r="EE2" s="812"/>
      <c r="EF2" s="550"/>
      <c r="EG2" s="550"/>
      <c r="EH2" s="812"/>
      <c r="EI2" s="812"/>
      <c r="EJ2" s="550"/>
      <c r="EK2" s="550"/>
      <c r="EL2" s="812"/>
      <c r="EM2" s="812"/>
      <c r="EN2" s="550"/>
      <c r="EO2" s="550"/>
      <c r="EP2" s="812"/>
      <c r="EQ2" s="812"/>
      <c r="ER2" s="550"/>
      <c r="ES2" s="550"/>
      <c r="ET2" s="812"/>
      <c r="EU2" s="812"/>
      <c r="EV2" s="550"/>
      <c r="EW2" s="550"/>
      <c r="EX2" s="812"/>
      <c r="EY2" s="812"/>
      <c r="EZ2" s="550"/>
      <c r="FA2" s="550"/>
      <c r="FB2" s="812"/>
      <c r="FC2" s="812"/>
      <c r="FD2" s="550"/>
      <c r="FE2" s="550"/>
      <c r="FF2" s="812"/>
      <c r="FG2" s="812"/>
      <c r="FH2" s="550"/>
      <c r="FI2" s="550"/>
      <c r="FJ2" s="812"/>
      <c r="FK2" s="812"/>
      <c r="FL2" s="550"/>
      <c r="FM2" s="550"/>
      <c r="FN2" s="812"/>
      <c r="FO2" s="812"/>
      <c r="FP2" s="550"/>
      <c r="FQ2" s="550"/>
      <c r="FR2" s="812"/>
      <c r="FS2" s="812"/>
      <c r="FT2" s="550"/>
      <c r="FU2" s="550"/>
      <c r="FV2" s="812"/>
      <c r="FW2" s="812"/>
      <c r="FX2" s="812"/>
      <c r="FY2" s="550"/>
      <c r="FZ2" s="550"/>
      <c r="GA2" s="550"/>
      <c r="GB2" s="812"/>
      <c r="GC2" s="812"/>
      <c r="GD2" s="812"/>
      <c r="GE2" s="550"/>
      <c r="GF2" s="550"/>
      <c r="GG2" s="550"/>
      <c r="GH2" s="812"/>
      <c r="GI2" s="812"/>
      <c r="GJ2" s="812"/>
      <c r="GK2" s="550"/>
      <c r="GL2" s="550"/>
      <c r="GM2" s="550"/>
      <c r="GN2" s="812"/>
      <c r="GO2" s="812"/>
      <c r="GP2" s="812"/>
      <c r="GQ2" s="550"/>
      <c r="GR2" s="550"/>
      <c r="GS2" s="550"/>
      <c r="GT2" s="812"/>
      <c r="GU2" s="812"/>
      <c r="GV2" s="812"/>
      <c r="GW2" s="550"/>
      <c r="GX2" s="550"/>
      <c r="GY2" s="550"/>
      <c r="GZ2" s="812"/>
      <c r="HA2" s="812"/>
      <c r="HB2" s="812"/>
      <c r="HC2" s="550"/>
      <c r="HD2" s="550"/>
      <c r="HE2" s="550"/>
      <c r="HF2" s="812"/>
    </row>
    <row r="3" spans="3:214" s="544" customFormat="1" ht="12.75" customHeight="1" x14ac:dyDescent="0.2">
      <c r="F3" s="580"/>
      <c r="G3" s="581" t="s">
        <v>653</v>
      </c>
      <c r="H3" s="810"/>
      <c r="I3" s="810"/>
      <c r="J3" s="811" t="s">
        <v>654</v>
      </c>
      <c r="K3" s="811"/>
      <c r="L3" s="811"/>
      <c r="M3" s="811"/>
      <c r="N3" s="811"/>
      <c r="O3" s="811" t="s">
        <v>655</v>
      </c>
      <c r="P3" s="811"/>
      <c r="Q3" s="811"/>
      <c r="R3" s="811"/>
      <c r="S3" s="811"/>
      <c r="T3" s="811"/>
      <c r="U3" s="811" t="s">
        <v>656</v>
      </c>
      <c r="V3" s="811"/>
      <c r="W3" s="811"/>
      <c r="X3" s="811"/>
      <c r="Y3" s="811"/>
      <c r="Z3" s="811"/>
      <c r="AA3" s="811" t="s">
        <v>657</v>
      </c>
      <c r="AB3" s="811"/>
      <c r="AC3" s="811"/>
      <c r="AD3" s="550"/>
      <c r="AE3" s="811" t="s">
        <v>658</v>
      </c>
      <c r="AF3" s="811"/>
      <c r="AG3" s="811"/>
      <c r="AH3" s="550"/>
      <c r="AI3" s="550" t="s">
        <v>659</v>
      </c>
      <c r="AJ3" s="550"/>
      <c r="AK3" s="550"/>
      <c r="AL3" s="550"/>
      <c r="AM3" s="550" t="s">
        <v>660</v>
      </c>
      <c r="AN3" s="550"/>
      <c r="AO3" s="550"/>
      <c r="AP3" s="550"/>
      <c r="AQ3" s="550" t="s">
        <v>661</v>
      </c>
      <c r="AR3" s="550"/>
      <c r="AS3" s="550"/>
      <c r="AT3" s="550"/>
      <c r="AU3" s="550" t="s">
        <v>641</v>
      </c>
      <c r="AV3" s="550"/>
      <c r="AW3" s="550"/>
      <c r="AX3" s="550"/>
      <c r="AY3" s="550" t="s">
        <v>642</v>
      </c>
      <c r="AZ3" s="550"/>
      <c r="BA3" s="550"/>
      <c r="BB3" s="550"/>
      <c r="BC3" s="550" t="s">
        <v>643</v>
      </c>
      <c r="BD3" s="550"/>
      <c r="BE3" s="550"/>
      <c r="BF3" s="550"/>
      <c r="BG3" s="550" t="s">
        <v>644</v>
      </c>
      <c r="BH3" s="550"/>
      <c r="BI3" s="550"/>
      <c r="BJ3" s="550" t="s">
        <v>645</v>
      </c>
      <c r="BK3" s="550"/>
      <c r="BL3" s="550"/>
      <c r="BM3" s="550"/>
      <c r="BN3" s="550" t="s">
        <v>646</v>
      </c>
      <c r="BO3" s="550"/>
      <c r="BP3" s="550"/>
      <c r="BQ3" s="550"/>
      <c r="BR3" s="550" t="s">
        <v>678</v>
      </c>
      <c r="BS3" s="550"/>
      <c r="BT3" s="550"/>
      <c r="BU3" s="550"/>
      <c r="BV3" s="550" t="s">
        <v>741</v>
      </c>
      <c r="BW3" s="550"/>
      <c r="BX3" s="550"/>
      <c r="BY3" s="550"/>
      <c r="BZ3" s="550" t="s">
        <v>757</v>
      </c>
      <c r="CA3" s="550"/>
      <c r="CB3" s="550"/>
      <c r="CC3" s="550"/>
      <c r="CD3" s="550" t="s">
        <v>770</v>
      </c>
      <c r="CE3" s="550"/>
      <c r="CF3" s="550"/>
      <c r="CG3" s="550"/>
      <c r="CH3" s="550" t="s">
        <v>790</v>
      </c>
      <c r="CI3" s="550"/>
      <c r="CJ3" s="550"/>
      <c r="CK3" s="550"/>
      <c r="CL3" s="550" t="s">
        <v>806</v>
      </c>
      <c r="CM3" s="550"/>
      <c r="CN3" s="550"/>
      <c r="CO3" s="550" t="s">
        <v>846</v>
      </c>
      <c r="CP3" s="550"/>
      <c r="CQ3" s="550"/>
      <c r="CR3" s="550" t="s">
        <v>847</v>
      </c>
      <c r="CS3" s="550"/>
      <c r="CT3" s="550"/>
      <c r="CU3" s="550" t="s">
        <v>848</v>
      </c>
      <c r="CV3" s="550"/>
      <c r="CW3" s="550"/>
      <c r="CX3" s="550"/>
      <c r="CY3" s="550" t="s">
        <v>917</v>
      </c>
      <c r="CZ3" s="550"/>
      <c r="DA3" s="550"/>
      <c r="DB3" s="550"/>
      <c r="DC3" s="550" t="s">
        <v>946</v>
      </c>
      <c r="DD3" s="550"/>
      <c r="DE3" s="550"/>
      <c r="DF3" s="550"/>
      <c r="DG3" s="550" t="s">
        <v>947</v>
      </c>
      <c r="DH3" s="550"/>
      <c r="DI3" s="550"/>
      <c r="DJ3" s="550"/>
      <c r="DK3" s="550" t="s">
        <v>915</v>
      </c>
      <c r="DL3" s="550"/>
      <c r="DM3" s="550"/>
      <c r="DN3" s="550"/>
      <c r="DO3" s="550" t="s">
        <v>1051</v>
      </c>
      <c r="DP3" s="550"/>
      <c r="DQ3" s="550"/>
      <c r="DR3" s="550"/>
      <c r="DS3" s="550" t="s">
        <v>1052</v>
      </c>
      <c r="DT3" s="550"/>
      <c r="DU3" s="550"/>
      <c r="DV3" s="550"/>
      <c r="DW3" s="550" t="s">
        <v>1053</v>
      </c>
      <c r="DX3" s="550"/>
      <c r="DY3" s="550"/>
      <c r="DZ3" s="550"/>
      <c r="EA3" s="550" t="s">
        <v>1054</v>
      </c>
      <c r="EB3" s="550"/>
      <c r="EC3" s="550"/>
      <c r="ED3" s="550"/>
      <c r="EE3" s="550" t="str">
        <f>SUBSTITUTE(EE1,"T","Q")</f>
        <v/>
      </c>
      <c r="EF3" s="550"/>
      <c r="EG3" s="550" t="s">
        <v>1230</v>
      </c>
      <c r="EH3" s="550"/>
      <c r="EI3" s="550" t="str">
        <f>SUBSTITUTE(EI1,"T","Q")</f>
        <v/>
      </c>
      <c r="EJ3" s="550"/>
      <c r="EK3" s="550" t="s">
        <v>1230</v>
      </c>
      <c r="EL3" s="550"/>
      <c r="EM3" s="550" t="str">
        <f>SUBSTITUTE(EM1,"T","Q")</f>
        <v/>
      </c>
      <c r="EN3" s="550"/>
      <c r="EO3" s="550" t="s">
        <v>1230</v>
      </c>
      <c r="EP3" s="550"/>
      <c r="EQ3" s="550" t="str">
        <f>SUBSTITUTE(EQ1,"T","Q")</f>
        <v/>
      </c>
      <c r="ER3" s="550"/>
      <c r="ES3" s="550" t="s">
        <v>1230</v>
      </c>
      <c r="ET3" s="550"/>
      <c r="EU3" s="550" t="str">
        <f>SUBSTITUTE(EU1,"T","Q")</f>
        <v/>
      </c>
      <c r="EV3" s="550"/>
      <c r="EW3" s="550" t="s">
        <v>1230</v>
      </c>
      <c r="EX3" s="550"/>
      <c r="EY3" s="550" t="str">
        <f>SUBSTITUTE(EY1,"T","Q")</f>
        <v/>
      </c>
      <c r="EZ3" s="550"/>
      <c r="FA3" s="550" t="s">
        <v>1230</v>
      </c>
      <c r="FB3" s="550"/>
      <c r="FC3" s="550" t="str">
        <f>SUBSTITUTE(FC1,"T","Q")</f>
        <v/>
      </c>
      <c r="FD3" s="550"/>
      <c r="FE3" s="550" t="s">
        <v>1230</v>
      </c>
      <c r="FF3" s="550"/>
      <c r="FG3" s="550" t="str">
        <f>SUBSTITUTE(FG1,"T","Q")</f>
        <v/>
      </c>
      <c r="FH3" s="550"/>
      <c r="FI3" s="550" t="s">
        <v>1230</v>
      </c>
      <c r="FJ3" s="550"/>
      <c r="FK3" s="550" t="str">
        <f>SUBSTITUTE(FK1,"T","Q")</f>
        <v/>
      </c>
      <c r="FL3" s="550"/>
      <c r="FM3" s="550" t="s">
        <v>1230</v>
      </c>
      <c r="FN3" s="550"/>
      <c r="FO3" s="550" t="str">
        <f>SUBSTITUTE(FO1,"T","Q")</f>
        <v/>
      </c>
      <c r="FP3" s="550"/>
      <c r="FQ3" s="550" t="s">
        <v>1230</v>
      </c>
      <c r="FR3" s="550"/>
      <c r="FS3" s="550" t="str">
        <f>SUBSTITUTE(FS1,"T","Q")</f>
        <v/>
      </c>
      <c r="FT3" s="550"/>
      <c r="FU3" s="550" t="s">
        <v>1230</v>
      </c>
      <c r="FV3" s="550"/>
      <c r="FW3" s="550" t="str">
        <f>SUBSTITUTE(FW1,"T","Q")</f>
        <v/>
      </c>
      <c r="FX3" s="550"/>
      <c r="FY3" s="550"/>
      <c r="FZ3" s="550"/>
      <c r="GA3" s="550"/>
      <c r="GB3" s="550"/>
      <c r="GC3" s="550" t="str">
        <f>SUBSTITUTE(GC1,"T","Q")</f>
        <v/>
      </c>
      <c r="GD3" s="550"/>
      <c r="GE3" s="550"/>
      <c r="GF3" s="550"/>
      <c r="GG3" s="550"/>
      <c r="GH3" s="550"/>
      <c r="GI3" s="550" t="str">
        <f>SUBSTITUTE(GI1,"T","Q")</f>
        <v/>
      </c>
      <c r="GJ3" s="550"/>
      <c r="GK3" s="550"/>
      <c r="GL3" s="550"/>
      <c r="GM3" s="550"/>
      <c r="GN3" s="550"/>
      <c r="GO3" s="550" t="str">
        <f>SUBSTITUTE(GO1,"T","Q")</f>
        <v/>
      </c>
      <c r="GP3" s="550"/>
      <c r="GQ3" s="550"/>
      <c r="GR3" s="550"/>
      <c r="GS3" s="550"/>
      <c r="GT3" s="550"/>
      <c r="GU3" s="550" t="str">
        <f>SUBSTITUTE(GU1,"T","Q")</f>
        <v/>
      </c>
      <c r="GV3" s="550"/>
      <c r="GW3" s="550"/>
      <c r="GX3" s="550"/>
      <c r="GY3" s="550"/>
      <c r="GZ3" s="550"/>
      <c r="HA3" s="550" t="str">
        <f>SUBSTITUTE(HA1,"T","Q")</f>
        <v/>
      </c>
      <c r="HB3" s="550"/>
      <c r="HC3" s="550"/>
      <c r="HD3" s="550"/>
      <c r="HE3" s="550"/>
      <c r="HF3" s="550"/>
    </row>
    <row r="4" spans="3:214" s="544" customFormat="1" ht="12.75" customHeight="1" x14ac:dyDescent="0.2">
      <c r="F4" s="580"/>
      <c r="G4" s="581" t="s">
        <v>673</v>
      </c>
      <c r="H4" s="810" t="s">
        <v>674</v>
      </c>
      <c r="I4" s="810" t="str">
        <f>TEXT(I2,"m/d/aa;@")</f>
        <v>1/0/00</v>
      </c>
      <c r="J4" s="811" t="s">
        <v>673</v>
      </c>
      <c r="K4" s="811" t="s">
        <v>674</v>
      </c>
      <c r="L4" s="811" t="s">
        <v>675</v>
      </c>
      <c r="M4" s="811" t="s">
        <v>676</v>
      </c>
      <c r="N4" s="811" t="str">
        <f>TEXT(N2,"m/d/aa;@")</f>
        <v>1/0/00</v>
      </c>
      <c r="O4" s="811" t="s">
        <v>673</v>
      </c>
      <c r="P4" s="811" t="s">
        <v>674</v>
      </c>
      <c r="Q4" s="811" t="s">
        <v>675</v>
      </c>
      <c r="R4" s="811" t="s">
        <v>637</v>
      </c>
      <c r="S4" s="811" t="s">
        <v>676</v>
      </c>
      <c r="T4" s="811" t="str">
        <f>TEXT(T2,"m/d/aa;@")</f>
        <v>1/0/00</v>
      </c>
      <c r="U4" s="811" t="s">
        <v>673</v>
      </c>
      <c r="V4" s="811" t="s">
        <v>674</v>
      </c>
      <c r="W4" s="811" t="s">
        <v>675</v>
      </c>
      <c r="X4" s="811" t="s">
        <v>637</v>
      </c>
      <c r="Y4" s="811" t="s">
        <v>676</v>
      </c>
      <c r="Z4" s="811" t="str">
        <f>TEXT(Z2,"m/d/aa;@")</f>
        <v>1/0/00</v>
      </c>
      <c r="AA4" s="811" t="s">
        <v>673</v>
      </c>
      <c r="AB4" s="811" t="s">
        <v>675</v>
      </c>
      <c r="AC4" s="811" t="s">
        <v>674</v>
      </c>
      <c r="AD4" s="811" t="str">
        <f>TEXT(AD2,"m/d/aa;@")</f>
        <v>1/0/00</v>
      </c>
      <c r="AE4" s="811" t="s">
        <v>673</v>
      </c>
      <c r="AF4" s="811" t="s">
        <v>675</v>
      </c>
      <c r="AG4" s="811" t="s">
        <v>674</v>
      </c>
      <c r="AH4" s="811" t="str">
        <f>TEXT(AH2,"m/d/aa;@")</f>
        <v>1/0/00</v>
      </c>
      <c r="AI4" s="550" t="s">
        <v>673</v>
      </c>
      <c r="AJ4" s="550" t="s">
        <v>675</v>
      </c>
      <c r="AK4" s="550" t="s">
        <v>674</v>
      </c>
      <c r="AL4" s="550" t="str">
        <f>TEXT(AL2,"m/d/aa;@")</f>
        <v>1/0/00</v>
      </c>
      <c r="AM4" s="550" t="s">
        <v>673</v>
      </c>
      <c r="AN4" s="550" t="s">
        <v>675</v>
      </c>
      <c r="AO4" s="550" t="s">
        <v>674</v>
      </c>
      <c r="AP4" s="550" t="str">
        <f>TEXT(AP2,"m/d/aa;@")</f>
        <v>1/0/00</v>
      </c>
      <c r="AQ4" s="550" t="s">
        <v>673</v>
      </c>
      <c r="AR4" s="550" t="s">
        <v>675</v>
      </c>
      <c r="AS4" s="550" t="s">
        <v>674</v>
      </c>
      <c r="AT4" s="550" t="str">
        <f>TEXT(AT2,"m/d/aa;@")</f>
        <v>1/0/00</v>
      </c>
      <c r="AU4" s="550" t="s">
        <v>673</v>
      </c>
      <c r="AV4" s="550" t="s">
        <v>675</v>
      </c>
      <c r="AW4" s="550" t="s">
        <v>674</v>
      </c>
      <c r="AX4" s="550" t="str">
        <f>TEXT(AX2,"m/d/aa;@")</f>
        <v>1/0/00</v>
      </c>
      <c r="AY4" s="550" t="s">
        <v>673</v>
      </c>
      <c r="AZ4" s="550" t="s">
        <v>675</v>
      </c>
      <c r="BA4" s="550" t="s">
        <v>674</v>
      </c>
      <c r="BB4" s="550" t="str">
        <f>TEXT(BB2,"m/d/aa;@")</f>
        <v>1/0/00</v>
      </c>
      <c r="BC4" s="550" t="s">
        <v>673</v>
      </c>
      <c r="BD4" s="550" t="s">
        <v>675</v>
      </c>
      <c r="BE4" s="550" t="s">
        <v>674</v>
      </c>
      <c r="BF4" s="550" t="str">
        <f>TEXT(BF2,"m/d/aa;@")</f>
        <v>1/0/00</v>
      </c>
      <c r="BG4" s="550" t="s">
        <v>673</v>
      </c>
      <c r="BH4" s="550" t="s">
        <v>674</v>
      </c>
      <c r="BI4" s="550" t="str">
        <f>TEXT(BI2,"m/d/aa;@")</f>
        <v>1/0/00</v>
      </c>
      <c r="BJ4" s="550" t="s">
        <v>673</v>
      </c>
      <c r="BK4" s="550" t="s">
        <v>674</v>
      </c>
      <c r="BL4" s="550" t="s">
        <v>637</v>
      </c>
      <c r="BM4" s="550" t="str">
        <f>TEXT(BM2,"m/d/aa;@")</f>
        <v>1/0/00</v>
      </c>
      <c r="BN4" s="550" t="s">
        <v>673</v>
      </c>
      <c r="BO4" s="550" t="s">
        <v>674</v>
      </c>
      <c r="BP4" s="550" t="s">
        <v>637</v>
      </c>
      <c r="BQ4" s="550" t="str">
        <f>TEXT(BQ2,"m/d/aa;@")</f>
        <v>1/0/00</v>
      </c>
      <c r="BR4" s="550" t="s">
        <v>673</v>
      </c>
      <c r="BS4" s="550" t="s">
        <v>674</v>
      </c>
      <c r="BT4" s="550" t="s">
        <v>637</v>
      </c>
      <c r="BU4" s="550" t="str">
        <f>TEXT(BU2,"m/d/aa;@")</f>
        <v>1/0/00</v>
      </c>
      <c r="BV4" s="550" t="s">
        <v>673</v>
      </c>
      <c r="BW4" s="550" t="s">
        <v>674</v>
      </c>
      <c r="BX4" s="550" t="s">
        <v>637</v>
      </c>
      <c r="BY4" s="550" t="str">
        <f>TEXT(BY2,"m/d/aa;@")</f>
        <v>1/0/00</v>
      </c>
      <c r="BZ4" s="550" t="s">
        <v>673</v>
      </c>
      <c r="CA4" s="550" t="s">
        <v>674</v>
      </c>
      <c r="CB4" s="550" t="s">
        <v>637</v>
      </c>
      <c r="CC4" s="550" t="str">
        <f>TEXT(CC2,"m/d/aa;@")</f>
        <v>1/0/00</v>
      </c>
      <c r="CD4" s="550" t="s">
        <v>673</v>
      </c>
      <c r="CE4" s="550" t="s">
        <v>674</v>
      </c>
      <c r="CF4" s="550" t="s">
        <v>637</v>
      </c>
      <c r="CG4" s="550" t="str">
        <f>TEXT(CG2,"m/d/aa;@")</f>
        <v>1/0/00</v>
      </c>
      <c r="CH4" s="550" t="s">
        <v>673</v>
      </c>
      <c r="CI4" s="550" t="s">
        <v>674</v>
      </c>
      <c r="CJ4" s="550" t="s">
        <v>637</v>
      </c>
      <c r="CK4" s="550" t="str">
        <f>TEXT(CK2,"m/d/aa;@")</f>
        <v>1/0/00</v>
      </c>
      <c r="CL4" s="550" t="s">
        <v>673</v>
      </c>
      <c r="CM4" s="550" t="s">
        <v>674</v>
      </c>
      <c r="CN4" s="550" t="s">
        <v>851</v>
      </c>
      <c r="CO4" s="550" t="s">
        <v>673</v>
      </c>
      <c r="CP4" s="550" t="s">
        <v>674</v>
      </c>
      <c r="CQ4" s="550" t="str">
        <f>TEXT(CQ2,"m/d/aa;@")</f>
        <v>1/0/00</v>
      </c>
      <c r="CR4" s="550" t="s">
        <v>673</v>
      </c>
      <c r="CS4" s="550" t="s">
        <v>674</v>
      </c>
      <c r="CT4" s="550" t="str">
        <f>TEXT(CT2,"m/d/aa;@")</f>
        <v>1/0/00</v>
      </c>
      <c r="CU4" s="550" t="s">
        <v>673</v>
      </c>
      <c r="CV4" s="550" t="s">
        <v>674</v>
      </c>
      <c r="CW4" s="550" t="s">
        <v>637</v>
      </c>
      <c r="CX4" s="550" t="str">
        <f>TEXT(CX2,"m/d/aa;@")</f>
        <v>1/0/00</v>
      </c>
      <c r="CY4" s="550" t="s">
        <v>673</v>
      </c>
      <c r="CZ4" s="550" t="s">
        <v>674</v>
      </c>
      <c r="DA4" s="550" t="s">
        <v>637</v>
      </c>
      <c r="DB4" s="550" t="str">
        <f>TEXT(DB2,"m/d/aa;@")</f>
        <v>1/0/00</v>
      </c>
      <c r="DC4" s="550" t="s">
        <v>673</v>
      </c>
      <c r="DD4" s="550" t="s">
        <v>674</v>
      </c>
      <c r="DE4" s="550" t="s">
        <v>637</v>
      </c>
      <c r="DF4" s="550" t="str">
        <f>TEXT(DF2,"m/d/aa;@")</f>
        <v>1/0/00</v>
      </c>
      <c r="DG4" s="550" t="s">
        <v>673</v>
      </c>
      <c r="DH4" s="550" t="s">
        <v>674</v>
      </c>
      <c r="DI4" s="550" t="s">
        <v>637</v>
      </c>
      <c r="DJ4" s="550" t="str">
        <f>TEXT(DJ2,"m/d/aa;@")</f>
        <v>1/0/00</v>
      </c>
      <c r="DK4" s="550" t="s">
        <v>673</v>
      </c>
      <c r="DL4" s="550" t="s">
        <v>674</v>
      </c>
      <c r="DM4" s="550" t="s">
        <v>637</v>
      </c>
      <c r="DN4" s="550" t="str">
        <f>TEXT(DN2,"m/d/aa;@")</f>
        <v>1/0/00</v>
      </c>
      <c r="DO4" s="550" t="s">
        <v>673</v>
      </c>
      <c r="DP4" s="550" t="s">
        <v>674</v>
      </c>
      <c r="DQ4" s="550" t="s">
        <v>637</v>
      </c>
      <c r="DR4" s="550" t="str">
        <f>TEXT(DR2,"m/d/aa;@")</f>
        <v>1/0/00</v>
      </c>
      <c r="DS4" s="550" t="s">
        <v>673</v>
      </c>
      <c r="DT4" s="550" t="s">
        <v>674</v>
      </c>
      <c r="DU4" s="550" t="s">
        <v>637</v>
      </c>
      <c r="DV4" s="550" t="str">
        <f>TEXT(DV2,"m/d/aa;@")</f>
        <v>1/0/00</v>
      </c>
      <c r="DW4" s="550" t="s">
        <v>673</v>
      </c>
      <c r="DX4" s="550" t="s">
        <v>674</v>
      </c>
      <c r="DY4" s="550" t="s">
        <v>637</v>
      </c>
      <c r="DZ4" s="550" t="s">
        <v>1110</v>
      </c>
      <c r="EA4" s="550" t="s">
        <v>673</v>
      </c>
      <c r="EB4" s="550" t="s">
        <v>674</v>
      </c>
      <c r="EC4" s="550"/>
      <c r="ED4" s="550" t="str">
        <f>TEXT(ED2,"m/d/aa;@")</f>
        <v>1/0/00</v>
      </c>
      <c r="EE4" s="550" t="s">
        <v>673</v>
      </c>
      <c r="EF4" s="550" t="s">
        <v>674</v>
      </c>
      <c r="EG4" s="550" t="s">
        <v>637</v>
      </c>
      <c r="EH4" s="550" t="str">
        <f>TEXT(EH2,"m/d/aa;@")</f>
        <v>1/0/00</v>
      </c>
      <c r="EI4" s="550" t="s">
        <v>673</v>
      </c>
      <c r="EJ4" s="550" t="s">
        <v>674</v>
      </c>
      <c r="EK4" s="550" t="s">
        <v>637</v>
      </c>
      <c r="EL4" s="550" t="str">
        <f>TEXT(EL2,"m/d/aa;@")</f>
        <v>1/0/00</v>
      </c>
      <c r="EM4" s="550" t="s">
        <v>673</v>
      </c>
      <c r="EN4" s="550" t="s">
        <v>674</v>
      </c>
      <c r="EO4" s="550" t="s">
        <v>637</v>
      </c>
      <c r="EP4" s="550" t="str">
        <f>TEXT(EP2,"m/d/aa;@")</f>
        <v>1/0/00</v>
      </c>
      <c r="EQ4" s="550" t="s">
        <v>673</v>
      </c>
      <c r="ER4" s="550" t="s">
        <v>674</v>
      </c>
      <c r="ES4" s="550" t="s">
        <v>637</v>
      </c>
      <c r="ET4" s="550" t="str">
        <f>TEXT(ET2,"m/d/aa;@")</f>
        <v>1/0/00</v>
      </c>
      <c r="EU4" s="550" t="s">
        <v>673</v>
      </c>
      <c r="EV4" s="550" t="s">
        <v>674</v>
      </c>
      <c r="EW4" s="550" t="s">
        <v>637</v>
      </c>
      <c r="EX4" s="550" t="str">
        <f>TEXT(EX2,"m/d/aa;@")</f>
        <v>1/0/00</v>
      </c>
      <c r="EY4" s="550" t="s">
        <v>673</v>
      </c>
      <c r="EZ4" s="550" t="s">
        <v>674</v>
      </c>
      <c r="FA4" s="550" t="s">
        <v>637</v>
      </c>
      <c r="FB4" s="550" t="str">
        <f>TEXT(FB2,"m/d/aa;@")</f>
        <v>1/0/00</v>
      </c>
      <c r="FC4" s="550" t="s">
        <v>673</v>
      </c>
      <c r="FD4" s="550" t="s">
        <v>674</v>
      </c>
      <c r="FE4" s="550" t="s">
        <v>1321</v>
      </c>
      <c r="FF4" s="550" t="str">
        <f>TEXT(FF2,"m/d/aa;@")</f>
        <v>1/0/00</v>
      </c>
      <c r="FG4" s="550" t="s">
        <v>673</v>
      </c>
      <c r="FH4" s="550" t="s">
        <v>674</v>
      </c>
      <c r="FI4" s="550" t="s">
        <v>1321</v>
      </c>
      <c r="FJ4" s="550" t="str">
        <f>TEXT(FJ2,"m/d/aa;@")</f>
        <v>1/0/00</v>
      </c>
      <c r="FK4" s="550" t="s">
        <v>673</v>
      </c>
      <c r="FL4" s="550" t="s">
        <v>674</v>
      </c>
      <c r="FM4" s="550" t="s">
        <v>1321</v>
      </c>
      <c r="FN4" s="550" t="str">
        <f>TEXT(FN2,"m/d/aa;@")</f>
        <v>1/0/00</v>
      </c>
      <c r="FO4" s="550" t="s">
        <v>673</v>
      </c>
      <c r="FP4" s="550" t="s">
        <v>674</v>
      </c>
      <c r="FQ4" s="550" t="s">
        <v>1321</v>
      </c>
      <c r="FR4" s="550" t="str">
        <f>TEXT(FR2,"m/d/aa;@")</f>
        <v>1/0/00</v>
      </c>
      <c r="FS4" s="550" t="s">
        <v>673</v>
      </c>
      <c r="FT4" s="550" t="s">
        <v>674</v>
      </c>
      <c r="FU4" s="550" t="s">
        <v>1321</v>
      </c>
      <c r="FV4" s="550" t="str">
        <f>TEXT(FV2,"m/d/aa;@")</f>
        <v>1/0/00</v>
      </c>
      <c r="FW4" s="550" t="s">
        <v>673</v>
      </c>
      <c r="FX4" s="550" t="s">
        <v>1323</v>
      </c>
      <c r="FY4" s="550" t="s">
        <v>674</v>
      </c>
      <c r="FZ4" s="550" t="s">
        <v>1321</v>
      </c>
      <c r="GA4" s="550" t="s">
        <v>637</v>
      </c>
      <c r="GB4" s="550" t="str">
        <f>TEXT(GB2,"m/d/aa;@")</f>
        <v>1/0/00</v>
      </c>
      <c r="GC4" s="550" t="s">
        <v>673</v>
      </c>
      <c r="GD4" s="550" t="s">
        <v>1323</v>
      </c>
      <c r="GE4" s="550" t="s">
        <v>674</v>
      </c>
      <c r="GF4" s="550" t="s">
        <v>1321</v>
      </c>
      <c r="GG4" s="550" t="s">
        <v>637</v>
      </c>
      <c r="GH4" s="550" t="str">
        <f>TEXT(GH2,"m/d/aa;@")</f>
        <v>1/0/00</v>
      </c>
      <c r="GI4" s="550" t="s">
        <v>673</v>
      </c>
      <c r="GJ4" s="550" t="s">
        <v>1323</v>
      </c>
      <c r="GK4" s="550" t="s">
        <v>674</v>
      </c>
      <c r="GL4" s="550" t="s">
        <v>1321</v>
      </c>
      <c r="GM4" s="550" t="s">
        <v>637</v>
      </c>
      <c r="GN4" s="550" t="str">
        <f>TEXT(GN2,"m/d/aa;@")</f>
        <v>1/0/00</v>
      </c>
      <c r="GO4" s="550" t="s">
        <v>673</v>
      </c>
      <c r="GP4" s="550" t="s">
        <v>1323</v>
      </c>
      <c r="GQ4" s="550" t="s">
        <v>674</v>
      </c>
      <c r="GR4" s="550" t="s">
        <v>1321</v>
      </c>
      <c r="GS4" s="550" t="s">
        <v>637</v>
      </c>
      <c r="GT4" s="550" t="str">
        <f>TEXT(GT2,"m/d/aa;@")</f>
        <v>1/0/00</v>
      </c>
      <c r="GU4" s="550" t="s">
        <v>673</v>
      </c>
      <c r="GV4" s="550" t="s">
        <v>1323</v>
      </c>
      <c r="GW4" s="550" t="s">
        <v>674</v>
      </c>
      <c r="GX4" s="550" t="s">
        <v>1321</v>
      </c>
      <c r="GY4" s="550" t="s">
        <v>637</v>
      </c>
      <c r="GZ4" s="550" t="str">
        <f>TEXT(GZ2,"m/d/aa;@")</f>
        <v>1/0/00</v>
      </c>
      <c r="HA4" s="550" t="s">
        <v>673</v>
      </c>
      <c r="HB4" s="550" t="s">
        <v>1323</v>
      </c>
      <c r="HC4" s="550" t="s">
        <v>674</v>
      </c>
      <c r="HD4" s="550" t="s">
        <v>1321</v>
      </c>
      <c r="HE4" s="550" t="s">
        <v>637</v>
      </c>
      <c r="HF4" s="550" t="str">
        <f>TEXT(HF2,"m/d/aa;@")</f>
        <v>1/0/00</v>
      </c>
    </row>
    <row r="5" spans="3:214" ht="22.5" customHeight="1" x14ac:dyDescent="0.2">
      <c r="C5" t="s">
        <v>97</v>
      </c>
      <c r="D5" t="s">
        <v>648</v>
      </c>
      <c r="F5" s="145" t="s">
        <v>97</v>
      </c>
      <c r="G5" s="540" t="s">
        <v>45</v>
      </c>
      <c r="H5" s="174"/>
      <c r="I5" s="172"/>
      <c r="J5" s="171" t="s">
        <v>55</v>
      </c>
      <c r="K5" s="174"/>
      <c r="L5" s="174"/>
      <c r="M5" s="174"/>
      <c r="N5" s="172"/>
      <c r="O5" s="171" t="s">
        <v>71</v>
      </c>
      <c r="P5" s="174"/>
      <c r="Q5" s="174"/>
      <c r="R5" s="174"/>
      <c r="S5" s="174"/>
      <c r="T5" s="172"/>
      <c r="U5" s="171" t="s">
        <v>77</v>
      </c>
      <c r="V5" s="174"/>
      <c r="W5" s="174"/>
      <c r="X5" s="174"/>
      <c r="Y5" s="174"/>
      <c r="Z5" s="172"/>
      <c r="AA5" s="171" t="s">
        <v>87</v>
      </c>
      <c r="AB5" s="174"/>
      <c r="AC5" s="174"/>
      <c r="AD5" s="172"/>
      <c r="AE5" s="171" t="s">
        <v>88</v>
      </c>
      <c r="AF5" s="174"/>
      <c r="AG5" s="174"/>
      <c r="AH5" s="172"/>
      <c r="AI5" s="171" t="s">
        <v>378</v>
      </c>
      <c r="AJ5" s="174"/>
      <c r="AK5" s="174"/>
      <c r="AL5" s="172"/>
      <c r="AM5" s="171" t="s">
        <v>406</v>
      </c>
      <c r="AN5" s="174"/>
      <c r="AO5" s="174"/>
      <c r="AP5" s="172"/>
      <c r="AQ5" s="171" t="s">
        <v>467</v>
      </c>
      <c r="AR5" s="174"/>
      <c r="AS5" s="174"/>
      <c r="AT5" s="172"/>
      <c r="AU5" s="171" t="s">
        <v>501</v>
      </c>
      <c r="AV5" s="174"/>
      <c r="AW5" s="174"/>
      <c r="AX5" s="172"/>
      <c r="AY5" s="171" t="s">
        <v>511</v>
      </c>
      <c r="AZ5" s="174"/>
      <c r="BA5" s="174"/>
      <c r="BB5" s="172"/>
      <c r="BC5" s="174" t="s">
        <v>538</v>
      </c>
      <c r="BD5" s="174"/>
      <c r="BE5" s="174"/>
      <c r="BF5" s="174"/>
      <c r="BG5" s="1257" t="s">
        <v>567</v>
      </c>
      <c r="BH5" s="1258"/>
      <c r="BI5" s="1259"/>
      <c r="BJ5" s="174" t="s">
        <v>575</v>
      </c>
      <c r="BK5" s="174"/>
      <c r="BL5" s="174"/>
      <c r="BM5" s="174"/>
      <c r="BN5" s="171" t="s">
        <v>595</v>
      </c>
      <c r="BO5" s="174"/>
      <c r="BP5" s="174"/>
      <c r="BQ5" s="174"/>
      <c r="BR5" s="1208" t="s">
        <v>596</v>
      </c>
      <c r="BS5" s="174"/>
      <c r="BT5" s="174"/>
      <c r="BU5" s="172"/>
      <c r="BV5" s="171" t="s">
        <v>623</v>
      </c>
      <c r="BW5" s="174"/>
      <c r="BX5" s="174"/>
      <c r="BY5" s="172"/>
      <c r="BZ5" s="171" t="s">
        <v>624</v>
      </c>
      <c r="CA5" s="174"/>
      <c r="CB5" s="174"/>
      <c r="CC5" s="172"/>
      <c r="CD5" s="171" t="s">
        <v>625</v>
      </c>
      <c r="CE5" s="697"/>
      <c r="CF5" s="697"/>
      <c r="CG5" s="698"/>
      <c r="CH5" s="540" t="s">
        <v>626</v>
      </c>
      <c r="CI5" s="697"/>
      <c r="CJ5" s="697"/>
      <c r="CK5" s="698"/>
      <c r="CL5" s="540" t="s">
        <v>798</v>
      </c>
      <c r="CM5" s="697"/>
      <c r="CN5" s="697"/>
      <c r="CO5" s="540" t="s">
        <v>799</v>
      </c>
      <c r="CP5" s="697"/>
      <c r="CQ5" s="697"/>
      <c r="CR5" s="540" t="s">
        <v>800</v>
      </c>
      <c r="CS5" s="697"/>
      <c r="CT5" s="697"/>
      <c r="CU5" s="540" t="s">
        <v>801</v>
      </c>
      <c r="CV5" s="697"/>
      <c r="CW5" s="697"/>
      <c r="CX5" s="697"/>
      <c r="CY5" s="540" t="s">
        <v>913</v>
      </c>
      <c r="CZ5" s="697"/>
      <c r="DA5" s="697"/>
      <c r="DB5" s="698"/>
      <c r="DC5" s="540" t="s">
        <v>914</v>
      </c>
      <c r="DD5" s="697"/>
      <c r="DE5" s="697"/>
      <c r="DF5" s="698"/>
      <c r="DG5" s="540" t="s">
        <v>923</v>
      </c>
      <c r="DH5" s="697"/>
      <c r="DI5" s="697"/>
      <c r="DJ5" s="698"/>
      <c r="DK5" s="540" t="s">
        <v>924</v>
      </c>
      <c r="DL5" s="697"/>
      <c r="DM5" s="697"/>
      <c r="DN5" s="698"/>
      <c r="DO5" s="540" t="s">
        <v>1049</v>
      </c>
      <c r="DP5" s="697"/>
      <c r="DQ5" s="697"/>
      <c r="DR5" s="698"/>
      <c r="DS5" s="540" t="s">
        <v>1023</v>
      </c>
      <c r="DT5" s="697"/>
      <c r="DU5" s="697"/>
      <c r="DV5" s="698"/>
      <c r="DW5" s="540" t="s">
        <v>1024</v>
      </c>
      <c r="DX5" s="697"/>
      <c r="DY5" s="697"/>
      <c r="DZ5" s="698"/>
      <c r="EA5" s="540" t="s">
        <v>1050</v>
      </c>
      <c r="EB5" s="697"/>
      <c r="EC5" s="697"/>
      <c r="ED5" s="1031"/>
      <c r="EE5" s="540" t="s">
        <v>1114</v>
      </c>
      <c r="EF5" s="697"/>
      <c r="EG5" s="697"/>
      <c r="EH5" s="698"/>
      <c r="EI5" s="540" t="s">
        <v>1119</v>
      </c>
      <c r="EJ5" s="697"/>
      <c r="EK5" s="697"/>
      <c r="EL5" s="698"/>
      <c r="EM5" s="540" t="s">
        <v>1121</v>
      </c>
      <c r="EN5" s="697"/>
      <c r="EO5" s="697"/>
      <c r="EP5" s="698"/>
      <c r="EQ5" s="540" t="s">
        <v>1123</v>
      </c>
      <c r="ER5" s="697"/>
      <c r="ES5" s="697"/>
      <c r="ET5" s="698"/>
      <c r="EU5" s="540" t="s">
        <v>1176</v>
      </c>
      <c r="EV5" s="697"/>
      <c r="EW5" s="697"/>
      <c r="EX5" s="698"/>
      <c r="EY5" s="540" t="s">
        <v>1177</v>
      </c>
      <c r="EZ5" s="697"/>
      <c r="FA5" s="697"/>
      <c r="FB5" s="698"/>
      <c r="FC5" s="540" t="s">
        <v>1179</v>
      </c>
      <c r="FD5" s="697"/>
      <c r="FE5" s="697"/>
      <c r="FF5" s="698"/>
      <c r="FG5" s="540" t="s">
        <v>1181</v>
      </c>
      <c r="FH5" s="697"/>
      <c r="FI5" s="697"/>
      <c r="FJ5" s="698"/>
      <c r="FK5" s="540" t="s">
        <v>1243</v>
      </c>
      <c r="FL5" s="697"/>
      <c r="FM5" s="697"/>
      <c r="FN5" s="698"/>
      <c r="FO5" s="540" t="s">
        <v>1250</v>
      </c>
      <c r="FP5" s="697"/>
      <c r="FQ5" s="697"/>
      <c r="FR5" s="698"/>
      <c r="FS5" s="540" t="s">
        <v>1251</v>
      </c>
      <c r="FT5" s="697"/>
      <c r="FU5" s="697"/>
      <c r="FV5" s="698"/>
      <c r="FW5" s="540" t="s">
        <v>1252</v>
      </c>
      <c r="FX5" s="697"/>
      <c r="FY5" s="697"/>
      <c r="FZ5" s="697"/>
      <c r="GA5" s="697"/>
      <c r="GB5" s="698"/>
      <c r="GC5" s="540" t="s">
        <v>1311</v>
      </c>
      <c r="GD5" s="697"/>
      <c r="GE5" s="697"/>
      <c r="GF5" s="697"/>
      <c r="GG5" s="697"/>
      <c r="GH5" s="698"/>
      <c r="GI5" s="540" t="s">
        <v>1313</v>
      </c>
      <c r="GJ5" s="697"/>
      <c r="GK5" s="697"/>
      <c r="GL5" s="697"/>
      <c r="GM5" s="697"/>
      <c r="GN5" s="697"/>
      <c r="GO5" s="540" t="s">
        <v>1315</v>
      </c>
      <c r="GP5" s="697"/>
      <c r="GQ5" s="697"/>
      <c r="GR5" s="697"/>
      <c r="GS5" s="697"/>
      <c r="GT5" s="698"/>
      <c r="GU5" s="540" t="s">
        <v>1317</v>
      </c>
      <c r="GV5" s="697"/>
      <c r="GW5" s="697"/>
      <c r="GX5" s="697"/>
      <c r="GY5" s="697"/>
      <c r="GZ5" s="698"/>
      <c r="HA5" s="540" t="s">
        <v>1344</v>
      </c>
      <c r="HB5" s="697"/>
      <c r="HC5" s="697"/>
      <c r="HD5" s="697"/>
      <c r="HE5" s="697"/>
      <c r="HF5" s="698"/>
    </row>
    <row r="6" spans="3:214" ht="38.25" x14ac:dyDescent="0.2">
      <c r="F6" s="170"/>
      <c r="G6" s="173" t="s">
        <v>248</v>
      </c>
      <c r="H6" s="170" t="s">
        <v>247</v>
      </c>
      <c r="I6" s="175">
        <v>41729</v>
      </c>
      <c r="J6" s="173" t="s">
        <v>248</v>
      </c>
      <c r="K6" s="170" t="s">
        <v>247</v>
      </c>
      <c r="L6" s="170" t="s">
        <v>255</v>
      </c>
      <c r="M6" s="170" t="s">
        <v>256</v>
      </c>
      <c r="N6" s="175">
        <v>41820</v>
      </c>
      <c r="O6" s="173" t="s">
        <v>248</v>
      </c>
      <c r="P6" s="170" t="s">
        <v>247</v>
      </c>
      <c r="Q6" s="170" t="s">
        <v>255</v>
      </c>
      <c r="R6" s="170" t="s">
        <v>49</v>
      </c>
      <c r="S6" s="170" t="s">
        <v>257</v>
      </c>
      <c r="T6" s="175">
        <v>41912</v>
      </c>
      <c r="U6" s="173" t="s">
        <v>248</v>
      </c>
      <c r="V6" s="170" t="s">
        <v>247</v>
      </c>
      <c r="W6" s="170" t="s">
        <v>255</v>
      </c>
      <c r="X6" s="170" t="s">
        <v>49</v>
      </c>
      <c r="Y6" s="170" t="s">
        <v>257</v>
      </c>
      <c r="Z6" s="175">
        <v>42004</v>
      </c>
      <c r="AA6" s="173" t="s">
        <v>248</v>
      </c>
      <c r="AB6" s="170" t="s">
        <v>258</v>
      </c>
      <c r="AC6" s="170" t="s">
        <v>247</v>
      </c>
      <c r="AD6" s="175">
        <v>42094</v>
      </c>
      <c r="AE6" s="173" t="s">
        <v>248</v>
      </c>
      <c r="AF6" s="170" t="s">
        <v>258</v>
      </c>
      <c r="AG6" s="170" t="s">
        <v>247</v>
      </c>
      <c r="AH6" s="175">
        <v>42185</v>
      </c>
      <c r="AI6" s="173" t="s">
        <v>248</v>
      </c>
      <c r="AJ6" s="170" t="s">
        <v>258</v>
      </c>
      <c r="AK6" s="170" t="s">
        <v>247</v>
      </c>
      <c r="AL6" s="175">
        <v>42277</v>
      </c>
      <c r="AM6" s="173" t="s">
        <v>248</v>
      </c>
      <c r="AN6" s="170" t="s">
        <v>258</v>
      </c>
      <c r="AO6" s="170" t="s">
        <v>247</v>
      </c>
      <c r="AP6" s="175">
        <v>42368</v>
      </c>
      <c r="AQ6" s="173" t="s">
        <v>248</v>
      </c>
      <c r="AR6" s="170" t="s">
        <v>492</v>
      </c>
      <c r="AS6" s="170" t="s">
        <v>247</v>
      </c>
      <c r="AT6" s="175">
        <v>42460</v>
      </c>
      <c r="AU6" s="173" t="s">
        <v>248</v>
      </c>
      <c r="AV6" s="170" t="s">
        <v>492</v>
      </c>
      <c r="AW6" s="170" t="s">
        <v>247</v>
      </c>
      <c r="AX6" s="175">
        <v>42551</v>
      </c>
      <c r="AY6" s="173" t="s">
        <v>248</v>
      </c>
      <c r="AZ6" s="170" t="s">
        <v>492</v>
      </c>
      <c r="BA6" s="170" t="s">
        <v>247</v>
      </c>
      <c r="BB6" s="175">
        <v>42643</v>
      </c>
      <c r="BC6" s="324" t="s">
        <v>248</v>
      </c>
      <c r="BD6" s="324" t="s">
        <v>492</v>
      </c>
      <c r="BE6" s="324" t="s">
        <v>247</v>
      </c>
      <c r="BF6" s="324">
        <v>42735</v>
      </c>
      <c r="BG6" s="331" t="s">
        <v>248</v>
      </c>
      <c r="BH6" s="324" t="s">
        <v>247</v>
      </c>
      <c r="BI6" s="175">
        <v>42825</v>
      </c>
      <c r="BJ6" s="324" t="s">
        <v>248</v>
      </c>
      <c r="BK6" s="324" t="s">
        <v>247</v>
      </c>
      <c r="BL6" s="324" t="s">
        <v>49</v>
      </c>
      <c r="BM6" s="324">
        <v>42916</v>
      </c>
      <c r="BN6" s="331" t="s">
        <v>248</v>
      </c>
      <c r="BO6" s="324" t="s">
        <v>247</v>
      </c>
      <c r="BP6" s="324" t="s">
        <v>49</v>
      </c>
      <c r="BQ6" s="324">
        <v>43008</v>
      </c>
      <c r="BR6" s="173" t="s">
        <v>248</v>
      </c>
      <c r="BS6" s="170" t="s">
        <v>247</v>
      </c>
      <c r="BT6" s="170" t="s">
        <v>49</v>
      </c>
      <c r="BU6" s="175">
        <v>43100</v>
      </c>
      <c r="BV6" s="173" t="s">
        <v>248</v>
      </c>
      <c r="BW6" s="170" t="s">
        <v>247</v>
      </c>
      <c r="BX6" s="170" t="s">
        <v>49</v>
      </c>
      <c r="BY6" s="175">
        <v>43189</v>
      </c>
      <c r="BZ6" s="173" t="s">
        <v>248</v>
      </c>
      <c r="CA6" s="170" t="s">
        <v>247</v>
      </c>
      <c r="CB6" s="170" t="s">
        <v>49</v>
      </c>
      <c r="CC6" s="175">
        <v>43281</v>
      </c>
      <c r="CD6" s="173" t="s">
        <v>248</v>
      </c>
      <c r="CE6" s="170" t="s">
        <v>247</v>
      </c>
      <c r="CF6" s="170" t="s">
        <v>49</v>
      </c>
      <c r="CG6" s="175">
        <v>43373</v>
      </c>
      <c r="CH6" s="173" t="s">
        <v>248</v>
      </c>
      <c r="CI6" s="170" t="s">
        <v>247</v>
      </c>
      <c r="CJ6" s="170" t="s">
        <v>49</v>
      </c>
      <c r="CK6" s="175">
        <v>43464</v>
      </c>
      <c r="CL6" s="324" t="s">
        <v>248</v>
      </c>
      <c r="CM6" s="324" t="s">
        <v>247</v>
      </c>
      <c r="CN6" s="324">
        <v>43554</v>
      </c>
      <c r="CO6" s="173" t="s">
        <v>248</v>
      </c>
      <c r="CP6" s="170" t="s">
        <v>247</v>
      </c>
      <c r="CQ6" s="175">
        <v>43646</v>
      </c>
      <c r="CR6" s="173" t="s">
        <v>248</v>
      </c>
      <c r="CS6" s="170" t="s">
        <v>247</v>
      </c>
      <c r="CT6" s="175">
        <v>43738</v>
      </c>
      <c r="CU6" s="173" t="s">
        <v>248</v>
      </c>
      <c r="CV6" s="170" t="s">
        <v>247</v>
      </c>
      <c r="CW6" s="170" t="s">
        <v>49</v>
      </c>
      <c r="CX6" s="175">
        <v>43829</v>
      </c>
      <c r="CY6" s="173" t="s">
        <v>248</v>
      </c>
      <c r="CZ6" s="170" t="s">
        <v>247</v>
      </c>
      <c r="DA6" s="170" t="s">
        <v>49</v>
      </c>
      <c r="DB6" s="175">
        <v>43921</v>
      </c>
      <c r="DC6" s="173" t="s">
        <v>248</v>
      </c>
      <c r="DD6" s="170" t="s">
        <v>247</v>
      </c>
      <c r="DE6" s="170" t="s">
        <v>49</v>
      </c>
      <c r="DF6" s="175" t="s">
        <v>952</v>
      </c>
      <c r="DG6" s="173" t="s">
        <v>248</v>
      </c>
      <c r="DH6" s="170" t="s">
        <v>247</v>
      </c>
      <c r="DI6" s="170" t="s">
        <v>49</v>
      </c>
      <c r="DJ6" s="175" t="s">
        <v>1022</v>
      </c>
      <c r="DK6" s="173" t="s">
        <v>248</v>
      </c>
      <c r="DL6" s="170" t="s">
        <v>247</v>
      </c>
      <c r="DM6" s="170" t="s">
        <v>49</v>
      </c>
      <c r="DN6" s="175">
        <v>44195</v>
      </c>
      <c r="DO6" s="173" t="s">
        <v>248</v>
      </c>
      <c r="DP6" s="170" t="s">
        <v>247</v>
      </c>
      <c r="DQ6" s="170" t="s">
        <v>49</v>
      </c>
      <c r="DR6" s="175">
        <v>44286</v>
      </c>
      <c r="DS6" s="173" t="s">
        <v>248</v>
      </c>
      <c r="DT6" s="170" t="s">
        <v>247</v>
      </c>
      <c r="DU6" s="170" t="s">
        <v>49</v>
      </c>
      <c r="DV6" s="175">
        <v>44377</v>
      </c>
      <c r="DW6" s="173" t="s">
        <v>248</v>
      </c>
      <c r="DX6" s="170" t="s">
        <v>247</v>
      </c>
      <c r="DY6" s="170" t="s">
        <v>49</v>
      </c>
      <c r="DZ6" s="175">
        <v>44469</v>
      </c>
      <c r="EA6" s="173" t="s">
        <v>248</v>
      </c>
      <c r="EB6" s="170" t="s">
        <v>247</v>
      </c>
      <c r="EC6" s="170" t="s">
        <v>49</v>
      </c>
      <c r="ED6" s="175">
        <v>44561</v>
      </c>
      <c r="EE6" s="173" t="s">
        <v>248</v>
      </c>
      <c r="EF6" s="170" t="s">
        <v>247</v>
      </c>
      <c r="EG6" s="170" t="s">
        <v>1230</v>
      </c>
      <c r="EH6" s="175">
        <v>44651</v>
      </c>
      <c r="EI6" s="173" t="s">
        <v>248</v>
      </c>
      <c r="EJ6" s="170" t="s">
        <v>247</v>
      </c>
      <c r="EK6" s="170" t="s">
        <v>1230</v>
      </c>
      <c r="EL6" s="175">
        <v>44742</v>
      </c>
      <c r="EM6" s="173" t="s">
        <v>248</v>
      </c>
      <c r="EN6" s="170" t="s">
        <v>247</v>
      </c>
      <c r="EO6" s="170" t="s">
        <v>1230</v>
      </c>
      <c r="EP6" s="175">
        <v>44834</v>
      </c>
      <c r="EQ6" s="173" t="s">
        <v>248</v>
      </c>
      <c r="ER6" s="170" t="s">
        <v>247</v>
      </c>
      <c r="ES6" s="170" t="s">
        <v>1230</v>
      </c>
      <c r="ET6" s="175">
        <v>44926</v>
      </c>
      <c r="EU6" s="173" t="s">
        <v>248</v>
      </c>
      <c r="EV6" s="170" t="s">
        <v>247</v>
      </c>
      <c r="EW6" s="170" t="s">
        <v>1230</v>
      </c>
      <c r="EX6" s="175">
        <v>45016</v>
      </c>
      <c r="EY6" s="173" t="s">
        <v>248</v>
      </c>
      <c r="EZ6" s="170" t="s">
        <v>247</v>
      </c>
      <c r="FA6" s="170" t="s">
        <v>1230</v>
      </c>
      <c r="FB6" s="175">
        <v>45107</v>
      </c>
      <c r="FC6" s="173" t="s">
        <v>248</v>
      </c>
      <c r="FD6" s="170" t="s">
        <v>247</v>
      </c>
      <c r="FE6" s="170" t="s">
        <v>1230</v>
      </c>
      <c r="FF6" s="175">
        <v>45199</v>
      </c>
      <c r="FG6" s="173" t="s">
        <v>248</v>
      </c>
      <c r="FH6" s="170" t="s">
        <v>247</v>
      </c>
      <c r="FI6" s="170" t="s">
        <v>1230</v>
      </c>
      <c r="FJ6" s="175">
        <v>45291</v>
      </c>
      <c r="FK6" s="173" t="s">
        <v>248</v>
      </c>
      <c r="FL6" s="170" t="s">
        <v>247</v>
      </c>
      <c r="FM6" s="170" t="s">
        <v>1230</v>
      </c>
      <c r="FN6" s="175">
        <v>45382</v>
      </c>
      <c r="FO6" s="173" t="s">
        <v>248</v>
      </c>
      <c r="FP6" s="170" t="s">
        <v>247</v>
      </c>
      <c r="FQ6" s="170" t="s">
        <v>1230</v>
      </c>
      <c r="FR6" s="175" t="s">
        <v>1295</v>
      </c>
      <c r="FS6" s="173" t="s">
        <v>248</v>
      </c>
      <c r="FT6" s="170" t="s">
        <v>247</v>
      </c>
      <c r="FU6" s="170" t="s">
        <v>1230</v>
      </c>
      <c r="FV6" s="175">
        <v>45565</v>
      </c>
      <c r="FW6" s="173" t="s">
        <v>248</v>
      </c>
      <c r="FX6" s="170" t="s">
        <v>1322</v>
      </c>
      <c r="FY6" s="170" t="s">
        <v>247</v>
      </c>
      <c r="FZ6" s="170" t="s">
        <v>1230</v>
      </c>
      <c r="GA6" s="170" t="s">
        <v>49</v>
      </c>
      <c r="GB6" s="175">
        <v>45657</v>
      </c>
      <c r="GC6" s="173" t="s">
        <v>248</v>
      </c>
      <c r="GD6" s="170" t="s">
        <v>1322</v>
      </c>
      <c r="GE6" s="170" t="s">
        <v>247</v>
      </c>
      <c r="GF6" s="170" t="s">
        <v>1230</v>
      </c>
      <c r="GG6" s="170" t="s">
        <v>49</v>
      </c>
      <c r="GH6" s="175">
        <v>45747</v>
      </c>
      <c r="GI6" s="173" t="s">
        <v>248</v>
      </c>
      <c r="GJ6" s="170" t="s">
        <v>1322</v>
      </c>
      <c r="GK6" s="170" t="s">
        <v>247</v>
      </c>
      <c r="GL6" s="170" t="s">
        <v>1230</v>
      </c>
      <c r="GM6" s="170" t="s">
        <v>49</v>
      </c>
      <c r="GN6" s="175">
        <v>45838</v>
      </c>
      <c r="GO6" s="173" t="s">
        <v>248</v>
      </c>
      <c r="GP6" s="170" t="s">
        <v>1322</v>
      </c>
      <c r="GQ6" s="170" t="s">
        <v>247</v>
      </c>
      <c r="GR6" s="170" t="s">
        <v>1230</v>
      </c>
      <c r="GS6" s="170" t="s">
        <v>49</v>
      </c>
      <c r="GT6" s="175">
        <v>45930</v>
      </c>
      <c r="GU6" s="173" t="s">
        <v>248</v>
      </c>
      <c r="GV6" s="170" t="s">
        <v>1322</v>
      </c>
      <c r="GW6" s="170" t="s">
        <v>247</v>
      </c>
      <c r="GX6" s="170" t="s">
        <v>1230</v>
      </c>
      <c r="GY6" s="170" t="s">
        <v>49</v>
      </c>
      <c r="GZ6" s="175">
        <v>46022</v>
      </c>
      <c r="HA6" s="173" t="s">
        <v>248</v>
      </c>
      <c r="HB6" s="170" t="s">
        <v>1322</v>
      </c>
      <c r="HC6" s="170" t="s">
        <v>247</v>
      </c>
      <c r="HD6" s="170" t="s">
        <v>1230</v>
      </c>
      <c r="HE6" s="170" t="s">
        <v>49</v>
      </c>
      <c r="HF6" s="175">
        <v>46112</v>
      </c>
    </row>
    <row r="7" spans="3:214" x14ac:dyDescent="0.2">
      <c r="C7" t="s">
        <v>111</v>
      </c>
      <c r="D7" t="s">
        <v>111</v>
      </c>
      <c r="F7" s="129" t="s">
        <v>111</v>
      </c>
      <c r="G7" s="160">
        <v>10</v>
      </c>
      <c r="H7" s="118">
        <v>-440</v>
      </c>
      <c r="I7" s="161">
        <v>5184</v>
      </c>
      <c r="J7" s="160">
        <v>153</v>
      </c>
      <c r="K7" s="118">
        <v>-439</v>
      </c>
      <c r="L7" s="118">
        <v>0</v>
      </c>
      <c r="M7" s="118">
        <v>0</v>
      </c>
      <c r="N7" s="161">
        <v>4898</v>
      </c>
      <c r="O7" s="160">
        <v>38</v>
      </c>
      <c r="P7" s="118">
        <v>-428</v>
      </c>
      <c r="Q7" s="118">
        <v>0</v>
      </c>
      <c r="R7" s="118">
        <v>0</v>
      </c>
      <c r="S7" s="118">
        <v>0</v>
      </c>
      <c r="T7" s="161">
        <v>4508</v>
      </c>
      <c r="U7" s="160">
        <v>1493</v>
      </c>
      <c r="V7" s="118">
        <v>-1011</v>
      </c>
      <c r="W7" s="118"/>
      <c r="X7" s="118"/>
      <c r="Y7" s="118"/>
      <c r="Z7" s="161">
        <v>4990</v>
      </c>
      <c r="AA7" s="160">
        <v>84</v>
      </c>
      <c r="AB7" s="118">
        <v>7125</v>
      </c>
      <c r="AC7" s="118">
        <v>-608</v>
      </c>
      <c r="AD7" s="161">
        <v>11591</v>
      </c>
      <c r="AE7" s="160">
        <v>354</v>
      </c>
      <c r="AF7" s="118">
        <v>1279</v>
      </c>
      <c r="AG7" s="118">
        <v>-840</v>
      </c>
      <c r="AH7" s="161">
        <v>12384</v>
      </c>
      <c r="AI7" s="160">
        <v>75</v>
      </c>
      <c r="AJ7" s="118">
        <v>135</v>
      </c>
      <c r="AK7" s="118">
        <v>-920</v>
      </c>
      <c r="AL7" s="161">
        <f>SUM(AH7:AK7)</f>
        <v>11674</v>
      </c>
      <c r="AM7" s="160">
        <v>109</v>
      </c>
      <c r="AN7" s="118">
        <v>286</v>
      </c>
      <c r="AO7" s="118">
        <v>-979</v>
      </c>
      <c r="AP7" s="161">
        <f>SUM(AL7:AO7)</f>
        <v>11090</v>
      </c>
      <c r="AQ7" s="160">
        <v>210</v>
      </c>
      <c r="AR7" s="118">
        <v>44</v>
      </c>
      <c r="AS7" s="118">
        <v>-1132</v>
      </c>
      <c r="AT7" s="161">
        <f>SUM(AP7:AS7)</f>
        <v>10212</v>
      </c>
      <c r="AU7" s="160">
        <v>886</v>
      </c>
      <c r="AV7" s="118">
        <v>950</v>
      </c>
      <c r="AW7" s="118">
        <v>-895</v>
      </c>
      <c r="AX7" s="161">
        <f>SUM(AT7:AW7)</f>
        <v>11153</v>
      </c>
      <c r="AY7" s="160">
        <v>268</v>
      </c>
      <c r="AZ7" s="118">
        <v>-2</v>
      </c>
      <c r="BA7" s="118">
        <v>-889</v>
      </c>
      <c r="BB7" s="161">
        <f>SUM(AX7:BA7)</f>
        <v>10530</v>
      </c>
      <c r="BC7" s="118">
        <v>290</v>
      </c>
      <c r="BD7" s="118">
        <v>0</v>
      </c>
      <c r="BE7" s="118">
        <v>-885</v>
      </c>
      <c r="BF7" s="118">
        <v>9935</v>
      </c>
      <c r="BG7" s="160">
        <v>1244</v>
      </c>
      <c r="BH7" s="118">
        <v>-901</v>
      </c>
      <c r="BI7" s="161">
        <f>SUM(BF7:BH7)</f>
        <v>10278</v>
      </c>
      <c r="BJ7" s="118">
        <v>878</v>
      </c>
      <c r="BK7" s="118">
        <v>-918</v>
      </c>
      <c r="BL7" s="118">
        <v>0</v>
      </c>
      <c r="BM7" s="118">
        <v>10238</v>
      </c>
      <c r="BN7" s="160">
        <v>846</v>
      </c>
      <c r="BO7" s="118">
        <v>-916</v>
      </c>
      <c r="BP7" s="118">
        <v>0</v>
      </c>
      <c r="BQ7" s="118">
        <v>10168</v>
      </c>
      <c r="BR7" s="160">
        <v>1137</v>
      </c>
      <c r="BS7" s="118">
        <v>-946</v>
      </c>
      <c r="BT7" s="118">
        <v>0</v>
      </c>
      <c r="BU7" s="161">
        <f>SUM(BQ7:BT7)</f>
        <v>10359</v>
      </c>
      <c r="BV7" s="160">
        <v>1039</v>
      </c>
      <c r="BW7" s="118">
        <v>-976</v>
      </c>
      <c r="BX7" s="118">
        <v>0</v>
      </c>
      <c r="BY7" s="161">
        <f>SUM(BU7:BX7)</f>
        <v>10422</v>
      </c>
      <c r="BZ7" s="160">
        <f>1868-BV7</f>
        <v>829</v>
      </c>
      <c r="CA7" s="118">
        <f>-2008-BW7</f>
        <v>-1032</v>
      </c>
      <c r="CB7" s="118">
        <v>0</v>
      </c>
      <c r="CC7" s="161">
        <f>SUM(BY7:CB7)</f>
        <v>10219</v>
      </c>
      <c r="CD7" s="160">
        <f>3115-BZ7-BV7</f>
        <v>1247</v>
      </c>
      <c r="CE7" s="118">
        <f>-3068-CA7-BW7</f>
        <v>-1060</v>
      </c>
      <c r="CF7" s="118">
        <v>0</v>
      </c>
      <c r="CG7" s="161">
        <f>SUM(CC7:CF7)</f>
        <v>10406</v>
      </c>
      <c r="CH7" s="160">
        <f>5143-CD7-BZ7-BV7</f>
        <v>2028</v>
      </c>
      <c r="CI7" s="118">
        <f>-4148-CE7-CA7-BW7</f>
        <v>-1080</v>
      </c>
      <c r="CJ7" s="118">
        <v>0</v>
      </c>
      <c r="CK7" s="161">
        <f>SUM(CG7:CJ7)</f>
        <v>11354</v>
      </c>
      <c r="CL7" s="118">
        <v>1424</v>
      </c>
      <c r="CM7" s="118">
        <v>-1133</v>
      </c>
      <c r="CN7" s="161">
        <f>SUM(CK7:CM7)</f>
        <v>11645</v>
      </c>
      <c r="CO7" s="160">
        <v>672</v>
      </c>
      <c r="CP7" s="118">
        <v>-1187</v>
      </c>
      <c r="CQ7" s="161">
        <f>SUM(CN7:CP7)</f>
        <v>11130</v>
      </c>
      <c r="CR7" s="160">
        <v>874</v>
      </c>
      <c r="CS7" s="118">
        <v>-1223</v>
      </c>
      <c r="CT7" s="161">
        <v>10781</v>
      </c>
      <c r="CU7" s="160">
        <v>1208</v>
      </c>
      <c r="CV7" s="118">
        <v>-1255</v>
      </c>
      <c r="CW7" s="118">
        <v>0</v>
      </c>
      <c r="CX7" s="161">
        <v>10734</v>
      </c>
      <c r="CY7" s="160">
        <v>1490</v>
      </c>
      <c r="CZ7" s="118">
        <v>-1111</v>
      </c>
      <c r="DA7" s="118">
        <v>0</v>
      </c>
      <c r="DB7" s="161">
        <v>11113</v>
      </c>
      <c r="DC7" s="160">
        <v>938</v>
      </c>
      <c r="DD7" s="118">
        <v>-952</v>
      </c>
      <c r="DE7" s="118">
        <v>0</v>
      </c>
      <c r="DF7" s="161">
        <f>SUM(DB7:DD7)</f>
        <v>11099</v>
      </c>
      <c r="DG7" s="160">
        <v>607</v>
      </c>
      <c r="DH7" s="118">
        <v>-962</v>
      </c>
      <c r="DI7" s="118">
        <v>0</v>
      </c>
      <c r="DJ7" s="161">
        <f>SUM(DF7:DH7)</f>
        <v>10744</v>
      </c>
      <c r="DK7" s="160">
        <v>717</v>
      </c>
      <c r="DL7" s="118">
        <v>-978</v>
      </c>
      <c r="DM7" s="118">
        <v>67</v>
      </c>
      <c r="DN7" s="161">
        <f>SUM(DJ7:DM7)</f>
        <v>10550</v>
      </c>
      <c r="DO7" s="160">
        <v>1721</v>
      </c>
      <c r="DP7" s="118">
        <v>-1015</v>
      </c>
      <c r="DQ7" s="118">
        <v>43</v>
      </c>
      <c r="DR7" s="161">
        <f>SUM(DN7:DQ7)</f>
        <v>11299</v>
      </c>
      <c r="DS7" s="160">
        <v>1083</v>
      </c>
      <c r="DT7" s="118">
        <v>-1028</v>
      </c>
      <c r="DU7" s="118">
        <v>125</v>
      </c>
      <c r="DV7" s="161">
        <f>SUM(DR7:DU7)</f>
        <v>11479</v>
      </c>
      <c r="DW7" s="160">
        <v>1226</v>
      </c>
      <c r="DX7" s="118">
        <v>-1055</v>
      </c>
      <c r="DY7" s="118">
        <v>0</v>
      </c>
      <c r="DZ7" s="161">
        <f>SUM(DV7:DY7)</f>
        <v>11650</v>
      </c>
      <c r="EA7" s="160">
        <v>1762</v>
      </c>
      <c r="EB7" s="118">
        <v>-1110</v>
      </c>
      <c r="EC7" s="118">
        <v>-4</v>
      </c>
      <c r="ED7" s="161">
        <f>SUM(DZ7:EC7)</f>
        <v>12298</v>
      </c>
      <c r="EE7" s="160">
        <v>2181</v>
      </c>
      <c r="EF7" s="118">
        <v>-1185</v>
      </c>
      <c r="EG7" s="118">
        <v>0</v>
      </c>
      <c r="EH7" s="161">
        <f>SUM(ED7:EG7)</f>
        <v>13294</v>
      </c>
      <c r="EI7" s="160">
        <v>674</v>
      </c>
      <c r="EJ7" s="118">
        <v>-1204</v>
      </c>
      <c r="EK7" s="118">
        <v>0</v>
      </c>
      <c r="EL7" s="161">
        <f>SUM(EH7:EK7)</f>
        <v>12764</v>
      </c>
      <c r="EM7" s="160">
        <v>2158</v>
      </c>
      <c r="EN7" s="118">
        <v>-1209</v>
      </c>
      <c r="EO7" s="118">
        <v>0</v>
      </c>
      <c r="EP7" s="161">
        <f>SUM(EL7:EO7)</f>
        <v>13713</v>
      </c>
      <c r="EQ7" s="160">
        <v>2919</v>
      </c>
      <c r="ER7" s="118">
        <v>-1290</v>
      </c>
      <c r="ES7" s="118">
        <v>-15</v>
      </c>
      <c r="ET7" s="161">
        <f>SUM(EP7:ES7)</f>
        <v>15327</v>
      </c>
      <c r="EU7" s="160">
        <v>2632</v>
      </c>
      <c r="EV7" s="118">
        <v>-1357</v>
      </c>
      <c r="EW7" s="118">
        <v>-25</v>
      </c>
      <c r="EX7" s="161">
        <f>SUM(ET7:EW7)</f>
        <v>16577</v>
      </c>
      <c r="EY7" s="160">
        <v>1500</v>
      </c>
      <c r="EZ7" s="118">
        <v>-1439</v>
      </c>
      <c r="FA7" s="118">
        <v>25</v>
      </c>
      <c r="FB7" s="161">
        <f>SUM(EX7:FA7)</f>
        <v>16663</v>
      </c>
      <c r="FC7" s="160">
        <v>1298</v>
      </c>
      <c r="FD7" s="118">
        <v>-1473</v>
      </c>
      <c r="FE7" s="118">
        <v>-24</v>
      </c>
      <c r="FF7" s="161">
        <f>SUM(FB7:FE7)</f>
        <v>16464</v>
      </c>
      <c r="FG7" s="160">
        <v>821</v>
      </c>
      <c r="FH7" s="118">
        <v>-1443</v>
      </c>
      <c r="FI7" s="118">
        <v>0</v>
      </c>
      <c r="FJ7" s="161">
        <f>SUM(FF7:FI7)</f>
        <v>15842</v>
      </c>
      <c r="FK7" s="160">
        <v>1869</v>
      </c>
      <c r="FL7" s="118">
        <v>-1411</v>
      </c>
      <c r="FM7" s="118">
        <v>0</v>
      </c>
      <c r="FN7" s="161">
        <f>SUM(FJ7:FM7)</f>
        <v>16300</v>
      </c>
      <c r="FO7" s="118">
        <v>309</v>
      </c>
      <c r="FP7" s="118">
        <v>-1417</v>
      </c>
      <c r="FQ7" s="118">
        <v>-18</v>
      </c>
      <c r="FR7" s="161">
        <f>SUM(FN7:FQ7)</f>
        <v>15174</v>
      </c>
      <c r="FS7" s="118">
        <v>500</v>
      </c>
      <c r="FT7" s="118">
        <v>-1403</v>
      </c>
      <c r="FU7" s="118">
        <v>0</v>
      </c>
      <c r="FV7" s="161">
        <f>SUM(FR7:FU7)</f>
        <v>14271</v>
      </c>
      <c r="FW7" s="160">
        <v>207</v>
      </c>
      <c r="FX7" s="118" t="s">
        <v>160</v>
      </c>
      <c r="FY7" s="118">
        <v>-1656</v>
      </c>
      <c r="FZ7" s="118">
        <v>16585</v>
      </c>
      <c r="GA7" s="118">
        <v>-22</v>
      </c>
      <c r="GB7" s="161">
        <v>29387</v>
      </c>
      <c r="GC7" s="160">
        <v>0</v>
      </c>
      <c r="GD7" s="118">
        <v>2562</v>
      </c>
      <c r="GE7" s="118">
        <v>-2301</v>
      </c>
      <c r="GF7" s="118">
        <v>0</v>
      </c>
      <c r="GG7" s="118">
        <v>0</v>
      </c>
      <c r="GH7" s="161">
        <f>SUM(GB7:GG7)</f>
        <v>29648</v>
      </c>
      <c r="GI7" s="118">
        <v>1</v>
      </c>
      <c r="GJ7" s="118">
        <v>180</v>
      </c>
      <c r="GK7" s="118">
        <v>-2223</v>
      </c>
      <c r="GL7" s="118">
        <v>0</v>
      </c>
      <c r="GM7" s="118">
        <v>0</v>
      </c>
      <c r="GN7" s="161">
        <f>SUM(GH7:GM7)</f>
        <v>27606</v>
      </c>
      <c r="GO7" s="160">
        <v>13</v>
      </c>
      <c r="GP7" s="118">
        <v>6885</v>
      </c>
      <c r="GQ7" s="118">
        <v>-2402</v>
      </c>
      <c r="GR7" s="118">
        <v>0</v>
      </c>
      <c r="GS7" s="118">
        <v>0</v>
      </c>
      <c r="GT7" s="161">
        <f>SUM(GN7:GS7)</f>
        <v>32102</v>
      </c>
      <c r="GU7" s="160">
        <v>-14</v>
      </c>
      <c r="GV7" s="118">
        <v>1467</v>
      </c>
      <c r="GW7" s="118">
        <v>-2627</v>
      </c>
      <c r="GX7" s="118">
        <v>0</v>
      </c>
      <c r="GY7" s="118">
        <v>230</v>
      </c>
      <c r="GZ7" s="161">
        <f>SUM(GT7:GY7)</f>
        <v>31158</v>
      </c>
      <c r="HA7" s="160">
        <v>1107</v>
      </c>
      <c r="HB7" s="118">
        <v>0</v>
      </c>
      <c r="HC7" s="118">
        <v>-2550</v>
      </c>
      <c r="HD7" s="118">
        <v>0</v>
      </c>
      <c r="HE7" s="118">
        <v>0</v>
      </c>
      <c r="HF7" s="161">
        <f>SUM(GZ7:HE7)</f>
        <v>29715</v>
      </c>
    </row>
    <row r="8" spans="3:214" x14ac:dyDescent="0.2">
      <c r="C8" t="s">
        <v>1264</v>
      </c>
      <c r="D8" t="s">
        <v>1265</v>
      </c>
      <c r="F8" s="129" t="s">
        <v>1264</v>
      </c>
      <c r="G8" s="160">
        <v>0</v>
      </c>
      <c r="H8" s="118"/>
      <c r="I8" s="161"/>
      <c r="J8" s="160"/>
      <c r="K8" s="118"/>
      <c r="L8" s="118">
        <v>0</v>
      </c>
      <c r="M8" s="118">
        <v>0</v>
      </c>
      <c r="N8" s="161"/>
      <c r="O8" s="160">
        <v>0</v>
      </c>
      <c r="P8" s="118">
        <v>0</v>
      </c>
      <c r="Q8" s="118">
        <v>0</v>
      </c>
      <c r="R8" s="118">
        <v>0</v>
      </c>
      <c r="S8" s="118">
        <v>0</v>
      </c>
      <c r="T8" s="161"/>
      <c r="U8" s="160">
        <v>0</v>
      </c>
      <c r="V8" s="118">
        <v>0</v>
      </c>
      <c r="W8" s="118"/>
      <c r="X8" s="118"/>
      <c r="Y8" s="118"/>
      <c r="Z8" s="161"/>
      <c r="AA8" s="160"/>
      <c r="AB8" s="118"/>
      <c r="AC8" s="118"/>
      <c r="AD8" s="161"/>
      <c r="AE8" s="160"/>
      <c r="AF8" s="118">
        <v>0</v>
      </c>
      <c r="AG8" s="118">
        <v>0</v>
      </c>
      <c r="AH8" s="161">
        <v>0</v>
      </c>
      <c r="AI8" s="160">
        <v>0</v>
      </c>
      <c r="AJ8" s="118">
        <v>0</v>
      </c>
      <c r="AK8" s="118">
        <v>0</v>
      </c>
      <c r="AL8" s="161">
        <v>0</v>
      </c>
      <c r="AM8" s="160">
        <v>0</v>
      </c>
      <c r="AN8" s="118">
        <v>0</v>
      </c>
      <c r="AO8" s="118">
        <v>0</v>
      </c>
      <c r="AP8" s="161">
        <v>0</v>
      </c>
      <c r="AQ8" s="160">
        <v>0</v>
      </c>
      <c r="AR8" s="118">
        <v>0</v>
      </c>
      <c r="AS8" s="118">
        <v>0</v>
      </c>
      <c r="AT8" s="161">
        <v>0</v>
      </c>
      <c r="AU8" s="160">
        <v>0</v>
      </c>
      <c r="AV8" s="118">
        <v>0</v>
      </c>
      <c r="AW8" s="118">
        <v>0</v>
      </c>
      <c r="AX8" s="161">
        <v>0</v>
      </c>
      <c r="AY8" s="160">
        <v>0</v>
      </c>
      <c r="AZ8" s="118">
        <v>0</v>
      </c>
      <c r="BA8" s="118">
        <v>0</v>
      </c>
      <c r="BB8" s="161">
        <v>0</v>
      </c>
      <c r="BC8" s="118">
        <v>0</v>
      </c>
      <c r="BD8" s="118">
        <v>0</v>
      </c>
      <c r="BE8" s="118">
        <v>0</v>
      </c>
      <c r="BF8" s="118">
        <v>0</v>
      </c>
      <c r="BG8" s="160">
        <v>0</v>
      </c>
      <c r="BH8" s="118">
        <v>0</v>
      </c>
      <c r="BI8" s="161">
        <v>0</v>
      </c>
      <c r="BJ8" s="118">
        <v>0</v>
      </c>
      <c r="BK8" s="118">
        <v>0</v>
      </c>
      <c r="BL8" s="118">
        <v>0</v>
      </c>
      <c r="BM8" s="118">
        <v>0</v>
      </c>
      <c r="BN8" s="160">
        <v>0</v>
      </c>
      <c r="BO8" s="118">
        <v>0</v>
      </c>
      <c r="BP8" s="118">
        <v>0</v>
      </c>
      <c r="BQ8" s="118">
        <v>0</v>
      </c>
      <c r="BR8" s="160">
        <v>0</v>
      </c>
      <c r="BS8" s="118">
        <v>0</v>
      </c>
      <c r="BT8" s="118">
        <v>0</v>
      </c>
      <c r="BU8" s="161">
        <v>0</v>
      </c>
      <c r="BV8" s="160">
        <v>0</v>
      </c>
      <c r="BW8" s="118">
        <v>0</v>
      </c>
      <c r="BX8" s="118">
        <v>0</v>
      </c>
      <c r="BY8" s="161">
        <v>0</v>
      </c>
      <c r="BZ8" s="160">
        <v>0</v>
      </c>
      <c r="CA8" s="118">
        <v>0</v>
      </c>
      <c r="CB8" s="118">
        <v>0</v>
      </c>
      <c r="CC8" s="161">
        <v>0</v>
      </c>
      <c r="CD8" s="160">
        <v>0</v>
      </c>
      <c r="CE8" s="118">
        <v>0</v>
      </c>
      <c r="CF8" s="118">
        <v>0</v>
      </c>
      <c r="CG8" s="161">
        <v>0</v>
      </c>
      <c r="CH8" s="160">
        <v>0</v>
      </c>
      <c r="CI8" s="118">
        <v>0</v>
      </c>
      <c r="CJ8" s="118">
        <v>0</v>
      </c>
      <c r="CK8" s="161">
        <v>0</v>
      </c>
      <c r="CL8" s="118">
        <v>0</v>
      </c>
      <c r="CM8" s="118">
        <v>0</v>
      </c>
      <c r="CN8" s="161">
        <v>0</v>
      </c>
      <c r="CO8" s="160">
        <v>0</v>
      </c>
      <c r="CP8" s="118">
        <v>0</v>
      </c>
      <c r="CQ8" s="161">
        <v>0</v>
      </c>
      <c r="CR8" s="160">
        <v>0</v>
      </c>
      <c r="CS8" s="118">
        <v>0</v>
      </c>
      <c r="CT8" s="161">
        <v>0</v>
      </c>
      <c r="CU8" s="160">
        <v>0</v>
      </c>
      <c r="CV8" s="118">
        <v>0</v>
      </c>
      <c r="CW8" s="118">
        <v>0</v>
      </c>
      <c r="CX8" s="161">
        <v>0</v>
      </c>
      <c r="CY8" s="160">
        <v>0</v>
      </c>
      <c r="CZ8" s="118">
        <v>0</v>
      </c>
      <c r="DA8" s="118">
        <v>0</v>
      </c>
      <c r="DB8" s="161">
        <v>0</v>
      </c>
      <c r="DC8" s="160">
        <v>0</v>
      </c>
      <c r="DD8" s="118">
        <v>0</v>
      </c>
      <c r="DE8" s="118">
        <v>0</v>
      </c>
      <c r="DF8" s="161">
        <v>0</v>
      </c>
      <c r="DG8" s="160">
        <v>0</v>
      </c>
      <c r="DH8" s="118">
        <v>0</v>
      </c>
      <c r="DI8" s="118">
        <v>0</v>
      </c>
      <c r="DJ8" s="161">
        <v>0</v>
      </c>
      <c r="DK8" s="160">
        <v>0</v>
      </c>
      <c r="DL8" s="118">
        <v>0</v>
      </c>
      <c r="DM8" s="118">
        <v>0</v>
      </c>
      <c r="DN8" s="161">
        <v>0</v>
      </c>
      <c r="DO8" s="160">
        <v>0</v>
      </c>
      <c r="DP8" s="118">
        <v>0</v>
      </c>
      <c r="DQ8" s="118">
        <v>0</v>
      </c>
      <c r="DR8" s="161">
        <v>0</v>
      </c>
      <c r="DS8" s="160">
        <v>0</v>
      </c>
      <c r="DT8" s="118">
        <v>0</v>
      </c>
      <c r="DU8" s="118">
        <v>0</v>
      </c>
      <c r="DV8" s="161">
        <v>0</v>
      </c>
      <c r="DW8" s="160">
        <v>0</v>
      </c>
      <c r="DX8" s="118">
        <v>0</v>
      </c>
      <c r="DY8" s="118">
        <v>0</v>
      </c>
      <c r="DZ8" s="161">
        <v>0</v>
      </c>
      <c r="EA8" s="160">
        <v>0</v>
      </c>
      <c r="EB8" s="118">
        <v>0</v>
      </c>
      <c r="EC8" s="118">
        <v>0</v>
      </c>
      <c r="ED8" s="161">
        <v>0</v>
      </c>
      <c r="EE8" s="160">
        <v>0</v>
      </c>
      <c r="EF8" s="118">
        <v>0</v>
      </c>
      <c r="EG8" s="118">
        <v>0</v>
      </c>
      <c r="EH8" s="161">
        <v>0</v>
      </c>
      <c r="EI8" s="160">
        <v>0</v>
      </c>
      <c r="EJ8" s="118">
        <v>0</v>
      </c>
      <c r="EK8" s="118">
        <v>0</v>
      </c>
      <c r="EL8" s="161">
        <v>0</v>
      </c>
      <c r="EM8" s="160">
        <v>0</v>
      </c>
      <c r="EN8" s="118">
        <v>0</v>
      </c>
      <c r="EO8" s="118">
        <v>0</v>
      </c>
      <c r="EP8" s="161">
        <v>0</v>
      </c>
      <c r="EQ8" s="160">
        <v>0</v>
      </c>
      <c r="ER8" s="118">
        <v>0</v>
      </c>
      <c r="ES8" s="118">
        <v>0</v>
      </c>
      <c r="ET8" s="161">
        <v>0</v>
      </c>
      <c r="EU8" s="160">
        <v>0</v>
      </c>
      <c r="EV8" s="118">
        <v>0</v>
      </c>
      <c r="EW8" s="118">
        <v>0</v>
      </c>
      <c r="EX8" s="161">
        <v>0</v>
      </c>
      <c r="EY8" s="160">
        <v>0</v>
      </c>
      <c r="EZ8" s="118">
        <v>0</v>
      </c>
      <c r="FA8" s="118">
        <v>0</v>
      </c>
      <c r="FB8" s="161">
        <v>0</v>
      </c>
      <c r="FC8" s="160">
        <v>0</v>
      </c>
      <c r="FD8" s="118">
        <v>0</v>
      </c>
      <c r="FE8" s="118">
        <v>0</v>
      </c>
      <c r="FF8" s="161">
        <v>0</v>
      </c>
      <c r="FG8" s="160">
        <v>0</v>
      </c>
      <c r="FH8" s="118">
        <v>0</v>
      </c>
      <c r="FI8" s="118">
        <v>0</v>
      </c>
      <c r="FJ8" s="161">
        <v>0</v>
      </c>
      <c r="FK8" s="160">
        <v>1222</v>
      </c>
      <c r="FL8" s="118">
        <v>0</v>
      </c>
      <c r="FM8" s="118">
        <v>3638</v>
      </c>
      <c r="FN8" s="161">
        <f>SUM(FJ8:FM8)</f>
        <v>4860</v>
      </c>
      <c r="FO8" s="118">
        <v>2747</v>
      </c>
      <c r="FP8" s="118">
        <v>0</v>
      </c>
      <c r="FQ8" s="118">
        <v>18</v>
      </c>
      <c r="FR8" s="161">
        <f>SUM(FN8:FQ8)</f>
        <v>7625</v>
      </c>
      <c r="FS8" s="118">
        <v>4921</v>
      </c>
      <c r="FT8" s="118">
        <v>0</v>
      </c>
      <c r="FU8" s="118">
        <v>0</v>
      </c>
      <c r="FV8" s="161">
        <f>SUM(FR8:FU8)</f>
        <v>12546</v>
      </c>
      <c r="FW8" s="160">
        <v>4634</v>
      </c>
      <c r="FX8" s="118">
        <v>-16567</v>
      </c>
      <c r="FY8" s="118">
        <v>0</v>
      </c>
      <c r="FZ8" s="118">
        <v>-18</v>
      </c>
      <c r="GA8" s="118" t="s">
        <v>160</v>
      </c>
      <c r="GB8" s="161">
        <f>SUM(FV8:GA8)</f>
        <v>595</v>
      </c>
      <c r="GC8" s="160">
        <v>5672</v>
      </c>
      <c r="GD8" s="118">
        <v>-2562</v>
      </c>
      <c r="GE8" s="118">
        <v>0</v>
      </c>
      <c r="GF8" s="118">
        <v>0</v>
      </c>
      <c r="GG8" s="118" t="s">
        <v>160</v>
      </c>
      <c r="GH8" s="161">
        <v>3705</v>
      </c>
      <c r="GI8" s="118">
        <v>2588</v>
      </c>
      <c r="GJ8" s="118">
        <v>-180</v>
      </c>
      <c r="GK8" s="118">
        <v>0</v>
      </c>
      <c r="GL8" s="118">
        <v>0</v>
      </c>
      <c r="GM8" s="118" t="s">
        <v>160</v>
      </c>
      <c r="GN8" s="118">
        <v>6113</v>
      </c>
      <c r="GO8" s="160">
        <v>1974</v>
      </c>
      <c r="GP8" s="118">
        <v>-6885</v>
      </c>
      <c r="GQ8" s="118">
        <v>0</v>
      </c>
      <c r="GR8" s="118">
        <v>0</v>
      </c>
      <c r="GS8" s="118" t="s">
        <v>160</v>
      </c>
      <c r="GT8" s="161">
        <v>1202</v>
      </c>
      <c r="GU8" s="160">
        <v>2939</v>
      </c>
      <c r="GV8" s="118">
        <v>-1467</v>
      </c>
      <c r="GW8" s="118">
        <v>0</v>
      </c>
      <c r="GX8" s="118">
        <v>0</v>
      </c>
      <c r="GY8" s="118">
        <v>-236</v>
      </c>
      <c r="GZ8" s="161">
        <f>SUM(GT8:GY8)</f>
        <v>2438</v>
      </c>
      <c r="HA8" s="160">
        <v>2509</v>
      </c>
      <c r="HB8" s="118">
        <v>0</v>
      </c>
      <c r="HC8" s="118">
        <v>0</v>
      </c>
      <c r="HD8" s="118">
        <v>0</v>
      </c>
      <c r="HE8" s="118">
        <v>0</v>
      </c>
      <c r="HF8" s="161">
        <f>SUM(GZ8:HE8)</f>
        <v>4947</v>
      </c>
    </row>
    <row r="9" spans="3:214" ht="25.5" x14ac:dyDescent="0.2">
      <c r="C9" t="s">
        <v>1287</v>
      </c>
      <c r="D9" t="s">
        <v>1289</v>
      </c>
      <c r="F9" s="129" t="s">
        <v>1287</v>
      </c>
      <c r="G9" s="160">
        <v>0</v>
      </c>
      <c r="H9" s="118">
        <v>0</v>
      </c>
      <c r="I9" s="161">
        <v>120877</v>
      </c>
      <c r="J9" s="160">
        <v>0</v>
      </c>
      <c r="K9" s="118">
        <v>0</v>
      </c>
      <c r="L9" s="118">
        <v>0</v>
      </c>
      <c r="M9" s="118">
        <v>0</v>
      </c>
      <c r="N9" s="161">
        <v>120877</v>
      </c>
      <c r="O9" s="160">
        <v>0</v>
      </c>
      <c r="P9" s="118">
        <v>0</v>
      </c>
      <c r="Q9" s="118">
        <v>0</v>
      </c>
      <c r="R9" s="118">
        <v>0</v>
      </c>
      <c r="S9" s="118">
        <v>0</v>
      </c>
      <c r="T9" s="161">
        <v>120877</v>
      </c>
      <c r="U9" s="160">
        <v>0</v>
      </c>
      <c r="V9" s="118">
        <v>0</v>
      </c>
      <c r="W9" s="118"/>
      <c r="X9" s="118"/>
      <c r="Y9" s="118"/>
      <c r="Z9" s="161">
        <v>120877</v>
      </c>
      <c r="AA9" s="160">
        <v>0</v>
      </c>
      <c r="AB9" s="118">
        <v>0</v>
      </c>
      <c r="AC9" s="118">
        <v>0</v>
      </c>
      <c r="AD9" s="161">
        <v>120877</v>
      </c>
      <c r="AE9" s="160">
        <v>0</v>
      </c>
      <c r="AF9" s="118">
        <v>0</v>
      </c>
      <c r="AG9" s="118">
        <v>0</v>
      </c>
      <c r="AH9" s="161">
        <v>120877</v>
      </c>
      <c r="AI9" s="160">
        <v>0</v>
      </c>
      <c r="AJ9" s="118">
        <v>0</v>
      </c>
      <c r="AK9" s="118">
        <v>0</v>
      </c>
      <c r="AL9" s="161">
        <f>SUM(AH9:AK9)</f>
        <v>120877</v>
      </c>
      <c r="AM9" s="160">
        <v>0</v>
      </c>
      <c r="AN9" s="118">
        <v>0</v>
      </c>
      <c r="AO9" s="118">
        <v>0</v>
      </c>
      <c r="AP9" s="161">
        <f>SUM(AL9:AO9)</f>
        <v>120877</v>
      </c>
      <c r="AQ9" s="160">
        <v>0</v>
      </c>
      <c r="AR9" s="118">
        <v>0</v>
      </c>
      <c r="AS9" s="118">
        <v>0</v>
      </c>
      <c r="AT9" s="161">
        <f>SUM(AP9:AS9)</f>
        <v>120877</v>
      </c>
      <c r="AU9" s="160">
        <v>0</v>
      </c>
      <c r="AV9" s="118">
        <v>0</v>
      </c>
      <c r="AW9" s="118">
        <v>0</v>
      </c>
      <c r="AX9" s="161">
        <f>SUM(AT9:AW9)</f>
        <v>120877</v>
      </c>
      <c r="AY9" s="160">
        <v>0</v>
      </c>
      <c r="AZ9" s="118">
        <v>0</v>
      </c>
      <c r="BA9" s="118">
        <v>0</v>
      </c>
      <c r="BB9" s="161">
        <f>SUM(AX9:BA9)</f>
        <v>120877</v>
      </c>
      <c r="BC9" s="118">
        <v>0</v>
      </c>
      <c r="BD9" s="118">
        <v>0</v>
      </c>
      <c r="BE9" s="118">
        <v>0</v>
      </c>
      <c r="BF9" s="118">
        <v>120877</v>
      </c>
      <c r="BG9" s="160">
        <v>0</v>
      </c>
      <c r="BH9" s="118">
        <v>0</v>
      </c>
      <c r="BI9" s="161">
        <f>SUM(BF9:BH9)</f>
        <v>120877</v>
      </c>
      <c r="BJ9" s="118">
        <v>0</v>
      </c>
      <c r="BK9" s="118">
        <v>0</v>
      </c>
      <c r="BL9" s="118">
        <v>0</v>
      </c>
      <c r="BM9" s="118">
        <v>120877</v>
      </c>
      <c r="BN9" s="160">
        <v>0</v>
      </c>
      <c r="BO9" s="118">
        <v>0</v>
      </c>
      <c r="BP9" s="118">
        <v>0</v>
      </c>
      <c r="BQ9" s="118">
        <v>120877</v>
      </c>
      <c r="BR9" s="160">
        <v>0</v>
      </c>
      <c r="BS9" s="118">
        <v>0</v>
      </c>
      <c r="BT9" s="118">
        <v>0</v>
      </c>
      <c r="BU9" s="161">
        <f>SUM(BQ9:BT9)</f>
        <v>120877</v>
      </c>
      <c r="BV9" s="160" t="s">
        <v>160</v>
      </c>
      <c r="BW9" s="118">
        <v>0</v>
      </c>
      <c r="BX9" s="118">
        <v>0</v>
      </c>
      <c r="BY9" s="161">
        <f>SUM(BU9:BX9)</f>
        <v>120877</v>
      </c>
      <c r="BZ9" s="160" t="s">
        <v>160</v>
      </c>
      <c r="CA9" s="118">
        <v>0</v>
      </c>
      <c r="CB9" s="118">
        <v>0</v>
      </c>
      <c r="CC9" s="161">
        <f>SUM(BY9:CB9)</f>
        <v>120877</v>
      </c>
      <c r="CD9" s="160" t="s">
        <v>160</v>
      </c>
      <c r="CE9" s="118">
        <v>0</v>
      </c>
      <c r="CF9" s="118">
        <v>0</v>
      </c>
      <c r="CG9" s="161">
        <f>SUM(CC9:CF9)</f>
        <v>120877</v>
      </c>
      <c r="CH9" s="160" t="s">
        <v>160</v>
      </c>
      <c r="CI9" s="118">
        <v>0</v>
      </c>
      <c r="CJ9" s="118">
        <v>0</v>
      </c>
      <c r="CK9" s="161">
        <f>SUM(CG9:CJ9)</f>
        <v>120877</v>
      </c>
      <c r="CL9" s="118" t="s">
        <v>160</v>
      </c>
      <c r="CM9" s="118">
        <v>0</v>
      </c>
      <c r="CN9" s="161">
        <f>SUM(CK9:CM9)</f>
        <v>120877</v>
      </c>
      <c r="CO9" s="160" t="s">
        <v>160</v>
      </c>
      <c r="CP9" s="118">
        <v>0</v>
      </c>
      <c r="CQ9" s="161">
        <f>SUM(CN9:CP9)</f>
        <v>120877</v>
      </c>
      <c r="CR9" s="160" t="s">
        <v>160</v>
      </c>
      <c r="CS9" s="118">
        <v>0</v>
      </c>
      <c r="CT9" s="161">
        <v>120877</v>
      </c>
      <c r="CU9" s="160">
        <v>0</v>
      </c>
      <c r="CV9" s="118">
        <v>0</v>
      </c>
      <c r="CW9" s="118">
        <v>0</v>
      </c>
      <c r="CX9" s="161">
        <v>120877</v>
      </c>
      <c r="CY9" s="160">
        <v>0</v>
      </c>
      <c r="CZ9" s="118">
        <v>0</v>
      </c>
      <c r="DA9" s="118">
        <v>0</v>
      </c>
      <c r="DB9" s="161">
        <v>120877</v>
      </c>
      <c r="DC9" s="160">
        <v>0</v>
      </c>
      <c r="DD9" s="118">
        <v>0</v>
      </c>
      <c r="DE9" s="118">
        <v>0</v>
      </c>
      <c r="DF9" s="161">
        <f>SUM(DB9:DD9)</f>
        <v>120877</v>
      </c>
      <c r="DG9" s="160">
        <v>0</v>
      </c>
      <c r="DH9" s="118">
        <v>0</v>
      </c>
      <c r="DI9" s="118">
        <v>0</v>
      </c>
      <c r="DJ9" s="161">
        <f>SUM(DF9:DH9)</f>
        <v>120877</v>
      </c>
      <c r="DK9" s="160">
        <v>0</v>
      </c>
      <c r="DL9" s="118">
        <v>0</v>
      </c>
      <c r="DM9" s="118">
        <v>0</v>
      </c>
      <c r="DN9" s="161">
        <f>SUM(DJ9:DL9)</f>
        <v>120877</v>
      </c>
      <c r="DO9" s="160">
        <v>0</v>
      </c>
      <c r="DP9" s="118">
        <v>0</v>
      </c>
      <c r="DQ9" s="118">
        <v>0</v>
      </c>
      <c r="DR9" s="161">
        <f>SUM(DN9:DP9)</f>
        <v>120877</v>
      </c>
      <c r="DS9" s="160">
        <v>0</v>
      </c>
      <c r="DT9" s="118">
        <v>0</v>
      </c>
      <c r="DU9" s="118">
        <v>0</v>
      </c>
      <c r="DV9" s="161">
        <f>SUM(DR9:DT9)</f>
        <v>120877</v>
      </c>
      <c r="DW9" s="160">
        <v>0</v>
      </c>
      <c r="DX9" s="118">
        <v>0</v>
      </c>
      <c r="DY9" s="118">
        <v>0</v>
      </c>
      <c r="DZ9" s="161">
        <f>SUM(DV9:DX9)</f>
        <v>120877</v>
      </c>
      <c r="EA9" s="160">
        <v>0</v>
      </c>
      <c r="EB9" s="118">
        <v>0</v>
      </c>
      <c r="EC9" s="118">
        <v>0</v>
      </c>
      <c r="ED9" s="161">
        <f>SUM(DZ9:EB9)</f>
        <v>120877</v>
      </c>
      <c r="EE9" s="160">
        <v>0</v>
      </c>
      <c r="EF9" s="118">
        <v>0</v>
      </c>
      <c r="EG9" s="118">
        <v>0</v>
      </c>
      <c r="EH9" s="161">
        <f>SUM(ED9:EG9)</f>
        <v>120877</v>
      </c>
      <c r="EI9" s="160">
        <v>0</v>
      </c>
      <c r="EJ9" s="118">
        <v>0</v>
      </c>
      <c r="EK9" s="118">
        <v>0</v>
      </c>
      <c r="EL9" s="161">
        <f>SUM(EH9:EK9)</f>
        <v>120877</v>
      </c>
      <c r="EM9" s="160">
        <v>0</v>
      </c>
      <c r="EN9" s="118">
        <v>0</v>
      </c>
      <c r="EO9" s="118">
        <v>0</v>
      </c>
      <c r="EP9" s="161">
        <f>SUM(EL9:EO9)</f>
        <v>120877</v>
      </c>
      <c r="EQ9" s="160">
        <v>0</v>
      </c>
      <c r="ER9" s="118">
        <v>0</v>
      </c>
      <c r="ES9" s="118">
        <v>0</v>
      </c>
      <c r="ET9" s="161">
        <f>SUM(EP9:ES9)</f>
        <v>120877</v>
      </c>
      <c r="EU9" s="160">
        <v>0</v>
      </c>
      <c r="EV9" s="118">
        <v>0</v>
      </c>
      <c r="EW9" s="118">
        <v>0</v>
      </c>
      <c r="EX9" s="161">
        <f>SUM(ET9:EW9)</f>
        <v>120877</v>
      </c>
      <c r="EY9" s="160">
        <v>0</v>
      </c>
      <c r="EZ9" s="118">
        <v>0</v>
      </c>
      <c r="FA9" s="118">
        <v>0</v>
      </c>
      <c r="FB9" s="161">
        <f>SUM(EX9:FA9)</f>
        <v>120877</v>
      </c>
      <c r="FC9" s="160">
        <v>0</v>
      </c>
      <c r="FD9" s="118">
        <v>0</v>
      </c>
      <c r="FE9" s="118">
        <v>0</v>
      </c>
      <c r="FF9" s="161">
        <f>SUM(FB9:FE9)</f>
        <v>120877</v>
      </c>
      <c r="FG9" s="160">
        <v>0</v>
      </c>
      <c r="FH9" s="118">
        <v>0</v>
      </c>
      <c r="FI9" s="118">
        <v>0</v>
      </c>
      <c r="FJ9" s="161">
        <f>SUM(FF9:FI9)</f>
        <v>120877</v>
      </c>
      <c r="FK9" s="160">
        <v>0</v>
      </c>
      <c r="FL9" s="118">
        <v>0</v>
      </c>
      <c r="FM9" s="118">
        <v>0</v>
      </c>
      <c r="FN9" s="161">
        <f>SUM(FJ9:FM9)</f>
        <v>120877</v>
      </c>
      <c r="FO9" s="118">
        <v>0</v>
      </c>
      <c r="FP9" s="118">
        <v>0</v>
      </c>
      <c r="FQ9" s="118">
        <v>0</v>
      </c>
      <c r="FR9" s="161">
        <f>SUM(FN9:FQ9)</f>
        <v>120877</v>
      </c>
      <c r="FS9" s="118">
        <v>0</v>
      </c>
      <c r="FT9" s="118">
        <v>0</v>
      </c>
      <c r="FU9" s="118">
        <v>0</v>
      </c>
      <c r="FV9" s="161">
        <f>SUM(FR9:FU9)</f>
        <v>120877</v>
      </c>
      <c r="FW9" s="160">
        <v>0</v>
      </c>
      <c r="FX9" s="118" t="s">
        <v>160</v>
      </c>
      <c r="FY9" s="118">
        <v>0</v>
      </c>
      <c r="FZ9" s="118">
        <v>0</v>
      </c>
      <c r="GA9" s="118" t="s">
        <v>160</v>
      </c>
      <c r="GB9" s="161">
        <f>SUM(FV9:GA9)</f>
        <v>120877</v>
      </c>
      <c r="GC9" s="160">
        <v>0</v>
      </c>
      <c r="GD9" s="118" t="s">
        <v>160</v>
      </c>
      <c r="GE9" s="118">
        <v>0</v>
      </c>
      <c r="GF9" s="118">
        <v>0</v>
      </c>
      <c r="GG9" s="118" t="s">
        <v>160</v>
      </c>
      <c r="GH9" s="161">
        <v>120877</v>
      </c>
      <c r="GI9" s="118">
        <v>0</v>
      </c>
      <c r="GJ9" s="118" t="s">
        <v>160</v>
      </c>
      <c r="GK9" s="118">
        <v>0</v>
      </c>
      <c r="GL9" s="118">
        <v>0</v>
      </c>
      <c r="GM9" s="118" t="s">
        <v>160</v>
      </c>
      <c r="GN9" s="118">
        <v>120877</v>
      </c>
      <c r="GO9" s="160">
        <v>0</v>
      </c>
      <c r="GP9" s="118" t="s">
        <v>160</v>
      </c>
      <c r="GQ9" s="118">
        <v>0</v>
      </c>
      <c r="GR9" s="118">
        <v>0</v>
      </c>
      <c r="GS9" s="118" t="s">
        <v>160</v>
      </c>
      <c r="GT9" s="161">
        <v>120877</v>
      </c>
      <c r="GU9" s="160">
        <v>0</v>
      </c>
      <c r="GV9" s="118">
        <v>0</v>
      </c>
      <c r="GW9" s="118">
        <v>0</v>
      </c>
      <c r="GX9" s="118">
        <v>0</v>
      </c>
      <c r="GY9" s="118" t="s">
        <v>160</v>
      </c>
      <c r="GZ9" s="161">
        <f>SUM(GT9:GY9)</f>
        <v>120877</v>
      </c>
      <c r="HA9" s="160">
        <v>0</v>
      </c>
      <c r="HB9" s="118">
        <v>0</v>
      </c>
      <c r="HC9" s="118">
        <v>0</v>
      </c>
      <c r="HD9" s="118">
        <v>0</v>
      </c>
      <c r="HE9" s="118" t="s">
        <v>160</v>
      </c>
      <c r="HF9" s="161">
        <f>SUM(GZ9:HE9)</f>
        <v>120877</v>
      </c>
    </row>
    <row r="10" spans="3:214" ht="25.5" x14ac:dyDescent="0.2">
      <c r="C10" t="s">
        <v>1288</v>
      </c>
      <c r="D10" t="s">
        <v>1290</v>
      </c>
      <c r="F10" s="129" t="s">
        <v>1288</v>
      </c>
      <c r="G10" s="160">
        <v>0</v>
      </c>
      <c r="H10" s="118">
        <v>0</v>
      </c>
      <c r="I10" s="161">
        <v>32791</v>
      </c>
      <c r="J10" s="160">
        <v>0</v>
      </c>
      <c r="K10" s="118">
        <v>0</v>
      </c>
      <c r="L10" s="118">
        <v>0</v>
      </c>
      <c r="M10" s="118">
        <v>0</v>
      </c>
      <c r="N10" s="161">
        <v>32791</v>
      </c>
      <c r="O10" s="160">
        <v>0</v>
      </c>
      <c r="P10" s="118">
        <v>0</v>
      </c>
      <c r="Q10" s="118">
        <v>0</v>
      </c>
      <c r="R10" s="118">
        <v>0</v>
      </c>
      <c r="S10" s="118">
        <v>0</v>
      </c>
      <c r="T10" s="161">
        <v>32791</v>
      </c>
      <c r="U10" s="160">
        <v>0</v>
      </c>
      <c r="V10" s="118">
        <v>0</v>
      </c>
      <c r="W10" s="118"/>
      <c r="X10" s="118"/>
      <c r="Y10" s="118"/>
      <c r="Z10" s="161">
        <v>32791</v>
      </c>
      <c r="AA10" s="160">
        <v>0</v>
      </c>
      <c r="AB10" s="118">
        <v>0</v>
      </c>
      <c r="AC10" s="118">
        <v>0</v>
      </c>
      <c r="AD10" s="161">
        <v>32791</v>
      </c>
      <c r="AE10" s="160">
        <v>0</v>
      </c>
      <c r="AF10" s="118">
        <v>0</v>
      </c>
      <c r="AG10" s="118">
        <v>0</v>
      </c>
      <c r="AH10" s="161">
        <v>32791</v>
      </c>
      <c r="AI10" s="160">
        <v>0</v>
      </c>
      <c r="AJ10" s="118">
        <v>0</v>
      </c>
      <c r="AK10" s="118">
        <v>0</v>
      </c>
      <c r="AL10" s="161">
        <f>SUM(AH10:AK10)</f>
        <v>32791</v>
      </c>
      <c r="AM10" s="160">
        <v>0</v>
      </c>
      <c r="AN10" s="118">
        <v>0</v>
      </c>
      <c r="AO10" s="118">
        <v>0</v>
      </c>
      <c r="AP10" s="161">
        <f>SUM(AL10:AO10)</f>
        <v>32791</v>
      </c>
      <c r="AQ10" s="160">
        <v>0</v>
      </c>
      <c r="AR10" s="118">
        <v>0</v>
      </c>
      <c r="AS10" s="118">
        <v>0</v>
      </c>
      <c r="AT10" s="161">
        <f>SUM(AP10:AS10)</f>
        <v>32791</v>
      </c>
      <c r="AU10" s="160">
        <v>0</v>
      </c>
      <c r="AV10" s="118">
        <v>0</v>
      </c>
      <c r="AW10" s="118">
        <v>0</v>
      </c>
      <c r="AX10" s="161">
        <f>SUM(AT10:AW10)</f>
        <v>32791</v>
      </c>
      <c r="AY10" s="160">
        <v>0</v>
      </c>
      <c r="AZ10" s="118">
        <v>0</v>
      </c>
      <c r="BA10" s="118">
        <v>0</v>
      </c>
      <c r="BB10" s="161">
        <f>SUM(AX10:BA10)</f>
        <v>32791</v>
      </c>
      <c r="BC10" s="118">
        <v>0</v>
      </c>
      <c r="BD10" s="118">
        <v>0</v>
      </c>
      <c r="BE10" s="118">
        <v>0</v>
      </c>
      <c r="BF10" s="118">
        <v>32791</v>
      </c>
      <c r="BG10" s="160">
        <v>0</v>
      </c>
      <c r="BH10" s="118">
        <v>0</v>
      </c>
      <c r="BI10" s="161">
        <f>SUM(BF10:BH10)</f>
        <v>32791</v>
      </c>
      <c r="BJ10" s="118">
        <v>0</v>
      </c>
      <c r="BK10" s="118">
        <v>0</v>
      </c>
      <c r="BL10" s="118">
        <v>0</v>
      </c>
      <c r="BM10" s="118">
        <v>32791</v>
      </c>
      <c r="BN10" s="160">
        <v>0</v>
      </c>
      <c r="BO10" s="118">
        <v>0</v>
      </c>
      <c r="BP10" s="118">
        <v>0</v>
      </c>
      <c r="BQ10" s="118">
        <v>32791</v>
      </c>
      <c r="BR10" s="160">
        <v>0</v>
      </c>
      <c r="BS10" s="118">
        <v>0</v>
      </c>
      <c r="BT10" s="118">
        <v>0</v>
      </c>
      <c r="BU10" s="161">
        <f>SUM(BQ10:BT10)</f>
        <v>32791</v>
      </c>
      <c r="BV10" s="160" t="s">
        <v>160</v>
      </c>
      <c r="BW10" s="118">
        <v>0</v>
      </c>
      <c r="BX10" s="118">
        <v>0</v>
      </c>
      <c r="BY10" s="161">
        <f>SUM(BU10:BX10)</f>
        <v>32791</v>
      </c>
      <c r="BZ10" s="160" t="s">
        <v>160</v>
      </c>
      <c r="CA10" s="118">
        <v>0</v>
      </c>
      <c r="CB10" s="118">
        <v>0</v>
      </c>
      <c r="CC10" s="161">
        <f>SUM(BY10:CB10)</f>
        <v>32791</v>
      </c>
      <c r="CD10" s="160" t="s">
        <v>160</v>
      </c>
      <c r="CE10" s="118">
        <v>0</v>
      </c>
      <c r="CF10" s="118">
        <v>0</v>
      </c>
      <c r="CG10" s="161">
        <f>SUM(CC10:CF10)</f>
        <v>32791</v>
      </c>
      <c r="CH10" s="160" t="s">
        <v>160</v>
      </c>
      <c r="CI10" s="118">
        <v>0</v>
      </c>
      <c r="CJ10" s="118">
        <v>0</v>
      </c>
      <c r="CK10" s="161">
        <f>SUM(CG10:CJ10)</f>
        <v>32791</v>
      </c>
      <c r="CL10" s="118" t="s">
        <v>160</v>
      </c>
      <c r="CM10" s="118">
        <v>0</v>
      </c>
      <c r="CN10" s="161">
        <f>SUM(CK10:CM10)</f>
        <v>32791</v>
      </c>
      <c r="CO10" s="160" t="s">
        <v>160</v>
      </c>
      <c r="CP10" s="118">
        <v>0</v>
      </c>
      <c r="CQ10" s="161">
        <f>SUM(CN10:CP10)</f>
        <v>32791</v>
      </c>
      <c r="CR10" s="160" t="s">
        <v>160</v>
      </c>
      <c r="CS10" s="118">
        <v>0</v>
      </c>
      <c r="CT10" s="161">
        <v>32791</v>
      </c>
      <c r="CU10" s="160">
        <v>0</v>
      </c>
      <c r="CV10" s="118">
        <v>0</v>
      </c>
      <c r="CW10" s="118">
        <v>0</v>
      </c>
      <c r="CX10" s="161">
        <v>32791</v>
      </c>
      <c r="CY10" s="160">
        <v>0</v>
      </c>
      <c r="CZ10" s="118">
        <v>0</v>
      </c>
      <c r="DA10" s="118">
        <v>0</v>
      </c>
      <c r="DB10" s="161">
        <v>32791</v>
      </c>
      <c r="DC10" s="160">
        <v>0</v>
      </c>
      <c r="DD10" s="118">
        <v>0</v>
      </c>
      <c r="DE10" s="118">
        <v>0</v>
      </c>
      <c r="DF10" s="161">
        <f>SUM(DB10:DD10)</f>
        <v>32791</v>
      </c>
      <c r="DG10" s="160">
        <v>0</v>
      </c>
      <c r="DH10" s="118">
        <v>0</v>
      </c>
      <c r="DI10" s="118">
        <v>0</v>
      </c>
      <c r="DJ10" s="161">
        <f>SUM(DF10:DH10)</f>
        <v>32791</v>
      </c>
      <c r="DK10" s="160">
        <v>0</v>
      </c>
      <c r="DL10" s="118">
        <v>0</v>
      </c>
      <c r="DM10" s="118">
        <v>0</v>
      </c>
      <c r="DN10" s="161">
        <f>SUM(DJ10:DL10)</f>
        <v>32791</v>
      </c>
      <c r="DO10" s="160">
        <v>0</v>
      </c>
      <c r="DP10" s="118">
        <v>0</v>
      </c>
      <c r="DQ10" s="118">
        <v>0</v>
      </c>
      <c r="DR10" s="161">
        <f>SUM(DN10:DP10)</f>
        <v>32791</v>
      </c>
      <c r="DS10" s="160">
        <v>0</v>
      </c>
      <c r="DT10" s="118">
        <v>0</v>
      </c>
      <c r="DU10" s="118">
        <v>0</v>
      </c>
      <c r="DV10" s="161">
        <f>SUM(DR10:DT10)</f>
        <v>32791</v>
      </c>
      <c r="DW10" s="160">
        <v>0</v>
      </c>
      <c r="DX10" s="118">
        <v>0</v>
      </c>
      <c r="DY10" s="118">
        <v>0</v>
      </c>
      <c r="DZ10" s="161">
        <f>SUM(DV10:DX10)</f>
        <v>32791</v>
      </c>
      <c r="EA10" s="160">
        <v>0</v>
      </c>
      <c r="EB10" s="118">
        <v>0</v>
      </c>
      <c r="EC10" s="118">
        <v>0</v>
      </c>
      <c r="ED10" s="161">
        <f>SUM(DZ10:EB10)</f>
        <v>32791</v>
      </c>
      <c r="EE10" s="160">
        <v>0</v>
      </c>
      <c r="EF10" s="118">
        <v>0</v>
      </c>
      <c r="EG10" s="118">
        <v>0</v>
      </c>
      <c r="EH10" s="161">
        <f>SUM(ED10:EG10)</f>
        <v>32791</v>
      </c>
      <c r="EI10" s="160">
        <v>0</v>
      </c>
      <c r="EJ10" s="118">
        <v>0</v>
      </c>
      <c r="EK10" s="118">
        <v>0</v>
      </c>
      <c r="EL10" s="161">
        <f>SUM(EH10:EK10)</f>
        <v>32791</v>
      </c>
      <c r="EM10" s="160">
        <v>0</v>
      </c>
      <c r="EN10" s="118">
        <v>0</v>
      </c>
      <c r="EO10" s="118">
        <v>0</v>
      </c>
      <c r="EP10" s="161">
        <f>SUM(EL10:EO10)</f>
        <v>32791</v>
      </c>
      <c r="EQ10" s="160">
        <v>0</v>
      </c>
      <c r="ER10" s="118">
        <v>0</v>
      </c>
      <c r="ES10" s="118">
        <v>0</v>
      </c>
      <c r="ET10" s="161">
        <f>SUM(EP10:ES10)</f>
        <v>32791</v>
      </c>
      <c r="EU10" s="160">
        <v>0</v>
      </c>
      <c r="EV10" s="118">
        <v>0</v>
      </c>
      <c r="EW10" s="118">
        <v>0</v>
      </c>
      <c r="EX10" s="161">
        <f>SUM(ET10:EW10)</f>
        <v>32791</v>
      </c>
      <c r="EY10" s="160">
        <v>0</v>
      </c>
      <c r="EZ10" s="118">
        <v>0</v>
      </c>
      <c r="FA10" s="118">
        <v>0</v>
      </c>
      <c r="FB10" s="161">
        <f>SUM(EX10:FA10)</f>
        <v>32791</v>
      </c>
      <c r="FC10" s="160">
        <v>0</v>
      </c>
      <c r="FD10" s="118">
        <v>0</v>
      </c>
      <c r="FE10" s="118">
        <v>0</v>
      </c>
      <c r="FF10" s="161">
        <f>SUM(FB10:FE10)</f>
        <v>32791</v>
      </c>
      <c r="FG10" s="160">
        <v>0</v>
      </c>
      <c r="FH10" s="118">
        <v>0</v>
      </c>
      <c r="FI10" s="118">
        <v>0</v>
      </c>
      <c r="FJ10" s="161">
        <f>SUM(FF10:FI10)</f>
        <v>32791</v>
      </c>
      <c r="FK10" s="160">
        <v>0</v>
      </c>
      <c r="FL10" s="118">
        <v>0</v>
      </c>
      <c r="FM10" s="118">
        <v>0</v>
      </c>
      <c r="FN10" s="161">
        <f>SUM(FJ10:FM10)</f>
        <v>32791</v>
      </c>
      <c r="FO10" s="118">
        <v>0</v>
      </c>
      <c r="FP10" s="118">
        <v>0</v>
      </c>
      <c r="FQ10" s="118">
        <v>0</v>
      </c>
      <c r="FR10" s="161">
        <f>SUM(FN10:FQ10)</f>
        <v>32791</v>
      </c>
      <c r="FS10" s="118">
        <v>0</v>
      </c>
      <c r="FT10" s="118">
        <v>0</v>
      </c>
      <c r="FU10" s="118">
        <v>0</v>
      </c>
      <c r="FV10" s="161">
        <f>SUM(FR10:FU10)</f>
        <v>32791</v>
      </c>
      <c r="FW10" s="160">
        <v>0</v>
      </c>
      <c r="FX10" s="118" t="s">
        <v>160</v>
      </c>
      <c r="FY10" s="118">
        <v>0</v>
      </c>
      <c r="FZ10" s="118">
        <v>0</v>
      </c>
      <c r="GA10" s="118" t="s">
        <v>160</v>
      </c>
      <c r="GB10" s="161">
        <f>SUM(FV10:GA10)</f>
        <v>32791</v>
      </c>
      <c r="GC10" s="160">
        <v>0</v>
      </c>
      <c r="GD10" s="118" t="s">
        <v>160</v>
      </c>
      <c r="GE10" s="118">
        <v>0</v>
      </c>
      <c r="GF10" s="118">
        <v>0</v>
      </c>
      <c r="GG10" s="118" t="s">
        <v>160</v>
      </c>
      <c r="GH10" s="161">
        <v>32791</v>
      </c>
      <c r="GI10" s="118">
        <v>0</v>
      </c>
      <c r="GJ10" s="118" t="s">
        <v>160</v>
      </c>
      <c r="GK10" s="118">
        <v>0</v>
      </c>
      <c r="GL10" s="118">
        <v>0</v>
      </c>
      <c r="GM10" s="118" t="s">
        <v>160</v>
      </c>
      <c r="GN10" s="118">
        <v>32791</v>
      </c>
      <c r="GO10" s="160">
        <v>0</v>
      </c>
      <c r="GP10" s="118" t="s">
        <v>160</v>
      </c>
      <c r="GQ10" s="118">
        <v>0</v>
      </c>
      <c r="GR10" s="118">
        <v>0</v>
      </c>
      <c r="GS10" s="118" t="s">
        <v>160</v>
      </c>
      <c r="GT10" s="161">
        <v>32791</v>
      </c>
      <c r="GU10" s="160">
        <v>0</v>
      </c>
      <c r="GV10" s="118" t="s">
        <v>160</v>
      </c>
      <c r="GW10" s="118">
        <v>0</v>
      </c>
      <c r="GX10" s="118">
        <v>0</v>
      </c>
      <c r="GY10" s="118" t="s">
        <v>160</v>
      </c>
      <c r="GZ10" s="161">
        <f>SUM(GT10:GY10)</f>
        <v>32791</v>
      </c>
      <c r="HA10" s="160">
        <v>0</v>
      </c>
      <c r="HB10" s="118" t="s">
        <v>160</v>
      </c>
      <c r="HC10" s="118">
        <v>0</v>
      </c>
      <c r="HD10" s="118">
        <v>0</v>
      </c>
      <c r="HE10" s="118" t="s">
        <v>160</v>
      </c>
      <c r="HF10" s="161">
        <f>SUM(GZ10:HE10)</f>
        <v>32791</v>
      </c>
    </row>
    <row r="11" spans="3:214" x14ac:dyDescent="0.2">
      <c r="C11" t="s">
        <v>112</v>
      </c>
      <c r="D11" t="s">
        <v>112</v>
      </c>
      <c r="F11" s="120" t="s">
        <v>112</v>
      </c>
      <c r="G11" s="164">
        <f t="shared" ref="G11:AK11" si="0">SUM(G7:G10)</f>
        <v>10</v>
      </c>
      <c r="H11" s="125">
        <f t="shared" si="0"/>
        <v>-440</v>
      </c>
      <c r="I11" s="165">
        <f t="shared" si="0"/>
        <v>158852</v>
      </c>
      <c r="J11" s="164">
        <f t="shared" si="0"/>
        <v>153</v>
      </c>
      <c r="K11" s="125">
        <f t="shared" si="0"/>
        <v>-439</v>
      </c>
      <c r="L11" s="125">
        <f t="shared" si="0"/>
        <v>0</v>
      </c>
      <c r="M11" s="125">
        <f t="shared" si="0"/>
        <v>0</v>
      </c>
      <c r="N11" s="165">
        <f t="shared" si="0"/>
        <v>158566</v>
      </c>
      <c r="O11" s="164">
        <f t="shared" si="0"/>
        <v>38</v>
      </c>
      <c r="P11" s="125">
        <f t="shared" si="0"/>
        <v>-428</v>
      </c>
      <c r="Q11" s="125">
        <f t="shared" si="0"/>
        <v>0</v>
      </c>
      <c r="R11" s="125">
        <f t="shared" si="0"/>
        <v>0</v>
      </c>
      <c r="S11" s="125">
        <f t="shared" si="0"/>
        <v>0</v>
      </c>
      <c r="T11" s="165">
        <f t="shared" si="0"/>
        <v>158176</v>
      </c>
      <c r="U11" s="164">
        <f t="shared" si="0"/>
        <v>1493</v>
      </c>
      <c r="V11" s="125">
        <f t="shared" si="0"/>
        <v>-1011</v>
      </c>
      <c r="W11" s="125">
        <f t="shared" si="0"/>
        <v>0</v>
      </c>
      <c r="X11" s="125">
        <f t="shared" si="0"/>
        <v>0</v>
      </c>
      <c r="Y11" s="125">
        <f t="shared" si="0"/>
        <v>0</v>
      </c>
      <c r="Z11" s="165">
        <f t="shared" si="0"/>
        <v>158658</v>
      </c>
      <c r="AA11" s="164">
        <f t="shared" si="0"/>
        <v>84</v>
      </c>
      <c r="AB11" s="125">
        <f t="shared" si="0"/>
        <v>7125</v>
      </c>
      <c r="AC11" s="125">
        <f t="shared" si="0"/>
        <v>-608</v>
      </c>
      <c r="AD11" s="165">
        <f t="shared" si="0"/>
        <v>165259</v>
      </c>
      <c r="AE11" s="164">
        <f t="shared" si="0"/>
        <v>354</v>
      </c>
      <c r="AF11" s="125">
        <f t="shared" si="0"/>
        <v>1279</v>
      </c>
      <c r="AG11" s="125">
        <f t="shared" si="0"/>
        <v>-840</v>
      </c>
      <c r="AH11" s="165">
        <f t="shared" si="0"/>
        <v>166052</v>
      </c>
      <c r="AI11" s="164">
        <f t="shared" si="0"/>
        <v>75</v>
      </c>
      <c r="AJ11" s="125">
        <f t="shared" si="0"/>
        <v>135</v>
      </c>
      <c r="AK11" s="125">
        <f t="shared" si="0"/>
        <v>-920</v>
      </c>
      <c r="AL11" s="165">
        <f>SUM(AH11:AK11)</f>
        <v>165342</v>
      </c>
      <c r="AM11" s="164">
        <f>SUM(AM7:AM10)</f>
        <v>109</v>
      </c>
      <c r="AN11" s="125">
        <f>SUM(AN7:AN10)</f>
        <v>286</v>
      </c>
      <c r="AO11" s="125">
        <f>SUM(AO7:AO10)</f>
        <v>-979</v>
      </c>
      <c r="AP11" s="165">
        <f>SUM(AL11:AO11)</f>
        <v>164758</v>
      </c>
      <c r="AQ11" s="164">
        <f>SUM(AQ7:AQ10)</f>
        <v>210</v>
      </c>
      <c r="AR11" s="125">
        <f>SUM(AR7:AR10)</f>
        <v>44</v>
      </c>
      <c r="AS11" s="125">
        <f>SUM(AS7:AS10)</f>
        <v>-1132</v>
      </c>
      <c r="AT11" s="165">
        <f>SUM(AP11:AS11)</f>
        <v>163880</v>
      </c>
      <c r="AU11" s="164">
        <f>SUM(AU7:AU10)</f>
        <v>886</v>
      </c>
      <c r="AV11" s="125">
        <f>SUM(AV7:AV10)</f>
        <v>950</v>
      </c>
      <c r="AW11" s="125">
        <f>SUM(AW7:AW10)</f>
        <v>-895</v>
      </c>
      <c r="AX11" s="165">
        <f>SUM(AT11:AW11)</f>
        <v>164821</v>
      </c>
      <c r="AY11" s="164">
        <f>SUM(AY7:AY10)</f>
        <v>268</v>
      </c>
      <c r="AZ11" s="125">
        <f>SUM(AZ7:AZ10)</f>
        <v>-2</v>
      </c>
      <c r="BA11" s="125">
        <f>SUM(BA7:BA10)</f>
        <v>-889</v>
      </c>
      <c r="BB11" s="165">
        <f>SUM(AX11:BA11)</f>
        <v>164198</v>
      </c>
      <c r="BC11" s="125">
        <v>290</v>
      </c>
      <c r="BD11" s="125">
        <v>0</v>
      </c>
      <c r="BE11" s="125">
        <v>-885</v>
      </c>
      <c r="BF11" s="125">
        <v>163603</v>
      </c>
      <c r="BG11" s="125">
        <f>SUM(BG7:BG10)</f>
        <v>1244</v>
      </c>
      <c r="BH11" s="125">
        <f>SUM(BH7:BH10)</f>
        <v>-901</v>
      </c>
      <c r="BI11" s="165">
        <f>SUM(BF11:BH11)</f>
        <v>163946</v>
      </c>
      <c r="BJ11" s="125">
        <v>878</v>
      </c>
      <c r="BK11" s="125">
        <v>-918</v>
      </c>
      <c r="BL11" s="125">
        <v>0</v>
      </c>
      <c r="BM11" s="125">
        <v>163906</v>
      </c>
      <c r="BN11" s="164">
        <f>SUM(BN7:BN10)</f>
        <v>846</v>
      </c>
      <c r="BO11" s="125">
        <f>SUM(BO7:BO10)</f>
        <v>-916</v>
      </c>
      <c r="BP11" s="125">
        <v>0</v>
      </c>
      <c r="BQ11" s="125">
        <f>SUM(BM11:BP11)</f>
        <v>163836</v>
      </c>
      <c r="BR11" s="164">
        <f>SUM(BR7:BR10)</f>
        <v>1137</v>
      </c>
      <c r="BS11" s="125">
        <f>SUM(BS7:BS10)</f>
        <v>-946</v>
      </c>
      <c r="BT11" s="125">
        <v>0</v>
      </c>
      <c r="BU11" s="165">
        <f>SUM(BQ11:BT11)</f>
        <v>164027</v>
      </c>
      <c r="BV11" s="164">
        <f>SUM(BV7:BV10)</f>
        <v>1039</v>
      </c>
      <c r="BW11" s="125">
        <f>SUM(BW7:BW10)</f>
        <v>-976</v>
      </c>
      <c r="BX11" s="125">
        <v>0</v>
      </c>
      <c r="BY11" s="165">
        <f>SUM(BU11:BX11)</f>
        <v>164090</v>
      </c>
      <c r="BZ11" s="164">
        <f>SUM(BZ7:BZ10)</f>
        <v>829</v>
      </c>
      <c r="CA11" s="125">
        <f>SUM(CA7:CA10)</f>
        <v>-1032</v>
      </c>
      <c r="CB11" s="125">
        <v>0</v>
      </c>
      <c r="CC11" s="165">
        <f>SUM(BY11:CB11)</f>
        <v>163887</v>
      </c>
      <c r="CD11" s="164">
        <f>SUM(CD7:CD10)</f>
        <v>1247</v>
      </c>
      <c r="CE11" s="125">
        <f>SUM(CE7:CE10)</f>
        <v>-1060</v>
      </c>
      <c r="CF11" s="125">
        <v>0</v>
      </c>
      <c r="CG11" s="165">
        <f>SUM(CC11:CF11)</f>
        <v>164074</v>
      </c>
      <c r="CH11" s="164">
        <f>SUM(CH7:CH10)</f>
        <v>2028</v>
      </c>
      <c r="CI11" s="125">
        <f>SUM(CI7:CI10)</f>
        <v>-1080</v>
      </c>
      <c r="CJ11" s="125">
        <v>0</v>
      </c>
      <c r="CK11" s="165">
        <f>SUM(CG11:CJ11)</f>
        <v>165022</v>
      </c>
      <c r="CL11" s="164">
        <f>SUM(CL7:CL10)</f>
        <v>1424</v>
      </c>
      <c r="CM11" s="125">
        <f>SUM(CM7:CM10)</f>
        <v>-1133</v>
      </c>
      <c r="CN11" s="165">
        <f>SUM(CK11:CM11)</f>
        <v>165313</v>
      </c>
      <c r="CO11" s="164">
        <f>SUM(CO7:CO10)</f>
        <v>672</v>
      </c>
      <c r="CP11" s="125">
        <f>SUM(CP7:CP10)</f>
        <v>-1187</v>
      </c>
      <c r="CQ11" s="165">
        <f>SUM(CN11:CP11)</f>
        <v>164798</v>
      </c>
      <c r="CR11" s="164">
        <v>874</v>
      </c>
      <c r="CS11" s="125">
        <v>-1223</v>
      </c>
      <c r="CT11" s="165">
        <v>164449</v>
      </c>
      <c r="CU11" s="164">
        <f>SUM(CU7:CU10)</f>
        <v>1208</v>
      </c>
      <c r="CV11" s="125">
        <f>SUM(CV7:CV10)</f>
        <v>-1255</v>
      </c>
      <c r="CW11" s="125">
        <v>0</v>
      </c>
      <c r="CX11" s="165">
        <f>SUM(CT11:CV11)</f>
        <v>164402</v>
      </c>
      <c r="CY11" s="164">
        <f>SUM(CY7:CY10)</f>
        <v>1490</v>
      </c>
      <c r="CZ11" s="125">
        <f>SUM(CZ7:CZ10)</f>
        <v>-1111</v>
      </c>
      <c r="DA11" s="125">
        <v>0</v>
      </c>
      <c r="DB11" s="165">
        <f>SUM(CX11:CZ11)</f>
        <v>164781</v>
      </c>
      <c r="DC11" s="164">
        <f>SUM(DC7:DC10)</f>
        <v>938</v>
      </c>
      <c r="DD11" s="125">
        <f>SUM(DD7:DD10)</f>
        <v>-952</v>
      </c>
      <c r="DE11" s="125">
        <v>0</v>
      </c>
      <c r="DF11" s="165">
        <f>SUM(DB11:DD11)</f>
        <v>164767</v>
      </c>
      <c r="DG11" s="164">
        <f>SUM(DG7:DG10)</f>
        <v>607</v>
      </c>
      <c r="DH11" s="125">
        <f>SUM(DH7:DH10)</f>
        <v>-962</v>
      </c>
      <c r="DI11" s="125">
        <v>0</v>
      </c>
      <c r="DJ11" s="165">
        <f>SUM(DF11:DH11)</f>
        <v>164412</v>
      </c>
      <c r="DK11" s="164">
        <f>SUM(DK7:DK10)</f>
        <v>717</v>
      </c>
      <c r="DL11" s="125">
        <f>SUM(DL7:DL10)</f>
        <v>-978</v>
      </c>
      <c r="DM11" s="125">
        <f>DM7</f>
        <v>67</v>
      </c>
      <c r="DN11" s="165">
        <f>SUM(DJ11:DM11)</f>
        <v>164218</v>
      </c>
      <c r="DO11" s="164">
        <f>SUM(DO7:DO10)</f>
        <v>1721</v>
      </c>
      <c r="DP11" s="125">
        <f>SUM(DP7:DP10)</f>
        <v>-1015</v>
      </c>
      <c r="DQ11" s="125">
        <f>DQ7</f>
        <v>43</v>
      </c>
      <c r="DR11" s="165">
        <f>SUM(DN11:DQ11)</f>
        <v>164967</v>
      </c>
      <c r="DS11" s="164">
        <f>SUM(DS7:DS10)</f>
        <v>1083</v>
      </c>
      <c r="DT11" s="125">
        <f>SUM(DT7:DT10)</f>
        <v>-1028</v>
      </c>
      <c r="DU11" s="125">
        <f>DU7</f>
        <v>125</v>
      </c>
      <c r="DV11" s="165">
        <f>SUM(DR11:DU11)</f>
        <v>165147</v>
      </c>
      <c r="DW11" s="164">
        <f>SUM(DW7:DW10)</f>
        <v>1226</v>
      </c>
      <c r="DX11" s="125">
        <f>SUM(DX7:DX10)</f>
        <v>-1055</v>
      </c>
      <c r="DY11" s="125">
        <f>DY7</f>
        <v>0</v>
      </c>
      <c r="DZ11" s="165">
        <f>SUM(DV11:DY11)</f>
        <v>165318</v>
      </c>
      <c r="EA11" s="164">
        <f>SUM(EA7:EA10)</f>
        <v>1762</v>
      </c>
      <c r="EB11" s="125">
        <f>SUM(EB7:EB10)</f>
        <v>-1110</v>
      </c>
      <c r="EC11" s="125">
        <f>EC7</f>
        <v>-4</v>
      </c>
      <c r="ED11" s="165">
        <f>SUM(DZ11:EC11)</f>
        <v>165966</v>
      </c>
      <c r="EE11" s="164">
        <f>SUM(EE7:EE10)</f>
        <v>2181</v>
      </c>
      <c r="EF11" s="125">
        <f>SUM(EF7:EF10)</f>
        <v>-1185</v>
      </c>
      <c r="EG11" s="125">
        <f>EG7</f>
        <v>0</v>
      </c>
      <c r="EH11" s="165">
        <f>SUM(ED11:EG11)</f>
        <v>166962</v>
      </c>
      <c r="EI11" s="164">
        <f>SUM(EI7:EI10)</f>
        <v>674</v>
      </c>
      <c r="EJ11" s="125">
        <f>SUM(EJ7:EJ10)</f>
        <v>-1204</v>
      </c>
      <c r="EK11" s="125">
        <f>EK7</f>
        <v>0</v>
      </c>
      <c r="EL11" s="165">
        <f>SUM(EH11:EK11)</f>
        <v>166432</v>
      </c>
      <c r="EM11" s="164">
        <f>SUM(EM7:EM10)</f>
        <v>2158</v>
      </c>
      <c r="EN11" s="125">
        <f>SUM(EN7:EN10)</f>
        <v>-1209</v>
      </c>
      <c r="EO11" s="125">
        <f>EO7</f>
        <v>0</v>
      </c>
      <c r="EP11" s="165">
        <f>SUM(EL11:EO11)</f>
        <v>167381</v>
      </c>
      <c r="EQ11" s="164">
        <f>SUM(EQ7:EQ10)</f>
        <v>2919</v>
      </c>
      <c r="ER11" s="125">
        <f>SUM(ER7:ER10)</f>
        <v>-1290</v>
      </c>
      <c r="ES11" s="125">
        <f>ES7</f>
        <v>-15</v>
      </c>
      <c r="ET11" s="165">
        <f>SUM(EP11:ES11)</f>
        <v>168995</v>
      </c>
      <c r="EU11" s="164">
        <f>SUM(EU7:EU10)</f>
        <v>2632</v>
      </c>
      <c r="EV11" s="125">
        <f>SUM(EV7:EV10)</f>
        <v>-1357</v>
      </c>
      <c r="EW11" s="125">
        <f>EW7</f>
        <v>-25</v>
      </c>
      <c r="EX11" s="165">
        <f>SUM(ET11:EW11)</f>
        <v>170245</v>
      </c>
      <c r="EY11" s="164">
        <f>SUM(EY7:EY10)</f>
        <v>1500</v>
      </c>
      <c r="EZ11" s="125">
        <f>SUM(EZ7:EZ10)</f>
        <v>-1439</v>
      </c>
      <c r="FA11" s="125">
        <f>FA7</f>
        <v>25</v>
      </c>
      <c r="FB11" s="165">
        <f>SUM(EX11:FA11)</f>
        <v>170331</v>
      </c>
      <c r="FC11" s="164">
        <f>SUM(FC7:FC10)</f>
        <v>1298</v>
      </c>
      <c r="FD11" s="125">
        <f>SUM(FD7:FD10)</f>
        <v>-1473</v>
      </c>
      <c r="FE11" s="125">
        <f>FE7</f>
        <v>-24</v>
      </c>
      <c r="FF11" s="165">
        <f>SUM(FB11:FE11)</f>
        <v>170132</v>
      </c>
      <c r="FG11" s="164">
        <f>SUM(FG7:FG10)</f>
        <v>821</v>
      </c>
      <c r="FH11" s="125">
        <f>SUM(FH7:FH10)</f>
        <v>-1443</v>
      </c>
      <c r="FI11" s="125">
        <f>FI7</f>
        <v>0</v>
      </c>
      <c r="FJ11" s="165">
        <f>SUM(FF11:FI11)</f>
        <v>169510</v>
      </c>
      <c r="FK11" s="164">
        <f>SUM(FK7:FK10)</f>
        <v>3091</v>
      </c>
      <c r="FL11" s="125">
        <f>SUM(FL7:FL10)</f>
        <v>-1411</v>
      </c>
      <c r="FM11" s="125">
        <f>SUM(FM7:FM10)</f>
        <v>3638</v>
      </c>
      <c r="FN11" s="165">
        <f>SUM(FJ11:FM11)</f>
        <v>174828</v>
      </c>
      <c r="FO11" s="164">
        <f>SUM(FO7:FO10)</f>
        <v>3056</v>
      </c>
      <c r="FP11" s="125">
        <f>SUM(FP7:FP10)</f>
        <v>-1417</v>
      </c>
      <c r="FQ11" s="125">
        <f>SUM(FQ7:FQ10)</f>
        <v>0</v>
      </c>
      <c r="FR11" s="165">
        <f>SUM(FN11:FQ11)</f>
        <v>176467</v>
      </c>
      <c r="FS11" s="164">
        <f>SUM(FS7:FS10)</f>
        <v>5421</v>
      </c>
      <c r="FT11" s="125">
        <f>SUM(FT7:FT10)</f>
        <v>-1403</v>
      </c>
      <c r="FU11" s="125">
        <f>SUM(FU7:FU10)</f>
        <v>0</v>
      </c>
      <c r="FV11" s="165">
        <f>SUM(FR11:FU11)</f>
        <v>180485</v>
      </c>
      <c r="FW11" s="164">
        <f>SUM(FW7:FW10)</f>
        <v>4841</v>
      </c>
      <c r="FX11" s="125">
        <f>SUM(FX7:FX10)</f>
        <v>-16567</v>
      </c>
      <c r="FY11" s="125">
        <f>SUM(FY7:FY10)</f>
        <v>-1656</v>
      </c>
      <c r="FZ11" s="125">
        <f>SUM(FZ7:FZ10)</f>
        <v>16567</v>
      </c>
      <c r="GA11" s="125">
        <f>SUM(GA7:GA10)</f>
        <v>-22</v>
      </c>
      <c r="GB11" s="165">
        <f>SUM(FV11:GA11)</f>
        <v>183648</v>
      </c>
      <c r="GC11" s="164">
        <f>SUM(GC7:GC10)</f>
        <v>5672</v>
      </c>
      <c r="GD11" s="125">
        <f>SUM(GD7:GD10)</f>
        <v>0</v>
      </c>
      <c r="GE11" s="125">
        <f>SUM(GE7:GE10)</f>
        <v>-2301</v>
      </c>
      <c r="GF11" s="125">
        <f>SUM(GF7:GF10)</f>
        <v>0</v>
      </c>
      <c r="GG11" s="125">
        <f>SUM(GG7:GG10)</f>
        <v>0</v>
      </c>
      <c r="GH11" s="165">
        <f>SUM(GB11:GG11)</f>
        <v>187019</v>
      </c>
      <c r="GI11" s="164">
        <f>SUM(GI7:GI10)</f>
        <v>2589</v>
      </c>
      <c r="GJ11" s="125">
        <f>SUM(GJ7:GJ10)</f>
        <v>0</v>
      </c>
      <c r="GK11" s="125">
        <f>SUM(GK7:GK10)</f>
        <v>-2223</v>
      </c>
      <c r="GL11" s="125">
        <f>SUM(GL7:GL10)</f>
        <v>0</v>
      </c>
      <c r="GM11" s="125">
        <f>SUM(GM7:GM10)</f>
        <v>0</v>
      </c>
      <c r="GN11" s="165">
        <f>SUM(GH11:GM11)</f>
        <v>187385</v>
      </c>
      <c r="GO11" s="164">
        <f>SUM(GO7:GO10)</f>
        <v>1987</v>
      </c>
      <c r="GP11" s="125">
        <f>SUM(GP7:GP10)</f>
        <v>0</v>
      </c>
      <c r="GQ11" s="125">
        <f>SUM(GQ7:GQ10)</f>
        <v>-2402</v>
      </c>
      <c r="GR11" s="125">
        <f>SUM(GR7:GR10)</f>
        <v>0</v>
      </c>
      <c r="GS11" s="125">
        <f>SUM(GS7:GS10)</f>
        <v>0</v>
      </c>
      <c r="GT11" s="165">
        <f>SUM(GN11:GS11)</f>
        <v>186970</v>
      </c>
      <c r="GU11" s="164">
        <f>SUM(GU7:GU10)</f>
        <v>2925</v>
      </c>
      <c r="GV11" s="125">
        <f>SUM(GV7:GV10)</f>
        <v>0</v>
      </c>
      <c r="GW11" s="125">
        <f>SUM(GW7:GW10)</f>
        <v>-2627</v>
      </c>
      <c r="GX11" s="125">
        <f>SUM(GX7:GX10)</f>
        <v>0</v>
      </c>
      <c r="GY11" s="125">
        <f>SUM(GY7:GY10)</f>
        <v>-6</v>
      </c>
      <c r="GZ11" s="165">
        <f>SUM(GT11:GY11)</f>
        <v>187262</v>
      </c>
      <c r="HA11" s="164">
        <f>SUM(HA7:HA10)</f>
        <v>3616</v>
      </c>
      <c r="HB11" s="125">
        <f>SUM(HB7:HB10)</f>
        <v>0</v>
      </c>
      <c r="HC11" s="125">
        <f>SUM(HC7:HC10)</f>
        <v>-2550</v>
      </c>
      <c r="HD11" s="125">
        <f>SUM(HD7:HD10)</f>
        <v>0</v>
      </c>
      <c r="HE11" s="125">
        <f>SUM(HE7:HE10)</f>
        <v>0</v>
      </c>
      <c r="HF11" s="165">
        <f>SUM(GZ11:HE11)</f>
        <v>188328</v>
      </c>
    </row>
    <row r="12" spans="3:214" s="28" customFormat="1" x14ac:dyDescent="0.2">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154"/>
      <c r="AV12" s="154"/>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c r="BY12" s="154"/>
      <c r="BZ12" s="154"/>
      <c r="CA12" s="154"/>
      <c r="CB12" s="154"/>
      <c r="CC12" s="154"/>
      <c r="CD12" s="154"/>
      <c r="CE12" s="154"/>
      <c r="CF12" s="154"/>
      <c r="CG12" s="154"/>
      <c r="CH12" s="154"/>
      <c r="CI12" s="154"/>
      <c r="CJ12" s="154"/>
      <c r="CK12" s="154"/>
      <c r="CL12" s="154"/>
      <c r="CM12" s="154"/>
      <c r="CN12" s="154"/>
      <c r="CO12" s="154"/>
      <c r="CP12" s="154"/>
      <c r="CQ12" s="154"/>
      <c r="CR12" s="154"/>
      <c r="CS12" s="154"/>
      <c r="CT12" s="154"/>
      <c r="CU12" s="154"/>
      <c r="CV12" s="154"/>
      <c r="CW12" s="154"/>
      <c r="CX12" s="154"/>
      <c r="CY12" s="154"/>
      <c r="CZ12" s="154"/>
      <c r="DA12" s="154"/>
      <c r="DB12" s="154"/>
      <c r="DC12" s="154"/>
      <c r="DD12" s="154"/>
      <c r="DE12" s="154"/>
      <c r="DF12" s="154"/>
      <c r="DG12" s="154"/>
      <c r="DH12" s="154"/>
      <c r="DI12" s="154"/>
      <c r="DJ12" s="154"/>
      <c r="DK12" s="154"/>
      <c r="DL12" s="154"/>
      <c r="DM12" s="154"/>
      <c r="DN12" s="154"/>
      <c r="DO12" s="154"/>
      <c r="DP12" s="154"/>
      <c r="DQ12" s="154"/>
      <c r="DR12" s="154"/>
      <c r="DS12" s="154"/>
      <c r="DT12" s="154"/>
      <c r="DU12" s="154"/>
      <c r="DV12" s="154"/>
      <c r="DW12" s="154"/>
      <c r="DX12" s="154"/>
      <c r="DY12" s="154"/>
      <c r="DZ12" s="154"/>
      <c r="EA12" s="154"/>
      <c r="EB12" s="154"/>
      <c r="EC12" s="154"/>
      <c r="ED12" s="154"/>
      <c r="EE12" s="154"/>
      <c r="EF12" s="154"/>
      <c r="EG12" s="154"/>
      <c r="EH12" s="154"/>
      <c r="EI12" s="154"/>
      <c r="EJ12" s="154"/>
      <c r="EK12" s="154"/>
      <c r="EL12" s="154"/>
      <c r="EM12" s="154"/>
      <c r="EN12" s="154"/>
      <c r="EO12" s="154"/>
      <c r="EP12" s="154"/>
      <c r="EQ12" s="154"/>
      <c r="ER12" s="154"/>
      <c r="ES12" s="154"/>
      <c r="ET12" s="154"/>
      <c r="EU12" s="154"/>
      <c r="EV12" s="154"/>
      <c r="EW12" s="154"/>
      <c r="EX12" s="154"/>
      <c r="EY12" s="154"/>
      <c r="EZ12" s="154"/>
      <c r="FA12" s="154"/>
      <c r="FB12" s="154"/>
      <c r="FC12" s="154"/>
      <c r="FD12" s="154"/>
      <c r="FE12" s="154"/>
      <c r="FF12" s="154"/>
      <c r="FG12" s="154"/>
      <c r="FH12" s="154"/>
      <c r="FI12" s="154"/>
      <c r="FJ12" s="154"/>
      <c r="FK12" s="154"/>
      <c r="FL12" s="154"/>
      <c r="FM12" s="154"/>
      <c r="FN12" s="154"/>
      <c r="FO12" s="154"/>
      <c r="FP12" s="154"/>
      <c r="FQ12" s="154"/>
      <c r="FR12" s="154"/>
      <c r="FS12" s="154"/>
      <c r="FT12" s="154"/>
      <c r="FU12" s="154"/>
      <c r="FV12" s="154"/>
      <c r="FW12" s="154"/>
      <c r="FX12" s="154"/>
      <c r="FY12" s="154"/>
      <c r="FZ12" s="154"/>
      <c r="GA12" s="154"/>
      <c r="GB12" s="154"/>
      <c r="GC12" s="154"/>
      <c r="GD12" s="154"/>
      <c r="GE12" s="154"/>
      <c r="GF12" s="154"/>
      <c r="GG12" s="154"/>
      <c r="GH12" s="154"/>
      <c r="GI12" s="154"/>
      <c r="GJ12" s="154"/>
      <c r="GK12" s="154"/>
      <c r="GL12" s="154"/>
      <c r="GM12" s="154"/>
      <c r="GN12" s="154"/>
      <c r="GO12" s="154"/>
      <c r="GP12" s="154"/>
      <c r="GQ12" s="154"/>
      <c r="GR12" s="154"/>
      <c r="GS12" s="154"/>
      <c r="GT12" s="154"/>
      <c r="GU12" s="154"/>
      <c r="GV12" s="154"/>
      <c r="GW12" s="154"/>
      <c r="GX12" s="154"/>
      <c r="GY12" s="154"/>
      <c r="GZ12" s="154"/>
      <c r="HA12" s="154"/>
      <c r="HB12" s="154"/>
      <c r="HC12" s="154"/>
      <c r="HD12" s="154"/>
      <c r="HE12" s="154"/>
      <c r="HF12" s="154"/>
    </row>
    <row r="13" spans="3:214" ht="22.5" customHeight="1" x14ac:dyDescent="0.2">
      <c r="C13" t="s">
        <v>96</v>
      </c>
      <c r="D13" t="s">
        <v>647</v>
      </c>
      <c r="F13" s="145" t="s">
        <v>96</v>
      </c>
      <c r="G13" s="540" t="str">
        <f>G5</f>
        <v>1T14</v>
      </c>
      <c r="H13" s="174"/>
      <c r="I13" s="172"/>
      <c r="J13" s="540" t="str">
        <f>J5</f>
        <v>2T14</v>
      </c>
      <c r="K13" s="174"/>
      <c r="L13" s="174"/>
      <c r="M13" s="174"/>
      <c r="N13" s="172"/>
      <c r="O13" s="540" t="str">
        <f>O5</f>
        <v>3T14</v>
      </c>
      <c r="P13" s="174"/>
      <c r="Q13" s="174"/>
      <c r="R13" s="174"/>
      <c r="S13" s="174"/>
      <c r="T13" s="172"/>
      <c r="U13" s="540" t="str">
        <f>U5</f>
        <v>4T14</v>
      </c>
      <c r="V13" s="174"/>
      <c r="W13" s="174"/>
      <c r="X13" s="174"/>
      <c r="Y13" s="174"/>
      <c r="Z13" s="172"/>
      <c r="AA13" s="540" t="str">
        <f>AA5</f>
        <v>1T15</v>
      </c>
      <c r="AB13" s="174"/>
      <c r="AC13" s="174"/>
      <c r="AD13" s="172"/>
      <c r="AE13" s="540" t="str">
        <f>AE5</f>
        <v>2T15</v>
      </c>
      <c r="AF13" s="174"/>
      <c r="AG13" s="174"/>
      <c r="AH13" s="172"/>
      <c r="AI13" s="540" t="str">
        <f>AI5</f>
        <v>3T15</v>
      </c>
      <c r="AJ13" s="174"/>
      <c r="AK13" s="174"/>
      <c r="AL13" s="172"/>
      <c r="AM13" s="540" t="str">
        <f>AM5</f>
        <v>4T15</v>
      </c>
      <c r="AN13" s="174"/>
      <c r="AO13" s="174"/>
      <c r="AP13" s="172"/>
      <c r="AQ13" s="540" t="str">
        <f>AQ5</f>
        <v>1T16</v>
      </c>
      <c r="AR13" s="174"/>
      <c r="AS13" s="174"/>
      <c r="AT13" s="172"/>
      <c r="AU13" s="540" t="str">
        <f>AU5</f>
        <v>2T16</v>
      </c>
      <c r="AV13" s="174"/>
      <c r="AW13" s="174"/>
      <c r="AX13" s="172"/>
      <c r="AY13" s="540" t="str">
        <f>AY5</f>
        <v>3T16</v>
      </c>
      <c r="AZ13" s="174"/>
      <c r="BA13" s="174"/>
      <c r="BB13" s="172"/>
      <c r="BC13" s="540" t="str">
        <f>BC5</f>
        <v>4T16</v>
      </c>
      <c r="BD13" s="174"/>
      <c r="BE13" s="174"/>
      <c r="BF13" s="174"/>
      <c r="BG13" s="540" t="str">
        <f>BG5</f>
        <v>1T17</v>
      </c>
      <c r="BH13" s="174"/>
      <c r="BI13" s="172"/>
      <c r="BJ13" s="540" t="str">
        <f>BJ5</f>
        <v>2T17</v>
      </c>
      <c r="BK13" s="174"/>
      <c r="BL13" s="174"/>
      <c r="BM13" s="174"/>
      <c r="BN13" s="174" t="str">
        <f>BN5</f>
        <v>3T17</v>
      </c>
      <c r="BO13" s="174"/>
      <c r="BP13" s="174"/>
      <c r="BQ13" s="174"/>
      <c r="BR13" s="540" t="str">
        <f>BR5</f>
        <v>4T17</v>
      </c>
      <c r="BS13" s="174"/>
      <c r="BT13" s="174"/>
      <c r="BU13" s="172"/>
      <c r="BV13" s="540" t="str">
        <f>BV5</f>
        <v>1T18</v>
      </c>
      <c r="BW13" s="174"/>
      <c r="BX13" s="174"/>
      <c r="BY13" s="172"/>
      <c r="BZ13" s="540" t="str">
        <f>BZ5</f>
        <v>2T18</v>
      </c>
      <c r="CA13" s="174"/>
      <c r="CB13" s="174"/>
      <c r="CC13" s="172"/>
      <c r="CD13" s="540" t="str">
        <f>CD5</f>
        <v>3T18</v>
      </c>
      <c r="CE13" s="697"/>
      <c r="CF13" s="697"/>
      <c r="CG13" s="698"/>
      <c r="CH13" s="540" t="str">
        <f>CH5</f>
        <v>4T18</v>
      </c>
      <c r="CI13" s="697"/>
      <c r="CJ13" s="697"/>
      <c r="CK13" s="698"/>
      <c r="CL13" s="697" t="s">
        <v>798</v>
      </c>
      <c r="CM13" s="697"/>
      <c r="CN13" s="697"/>
      <c r="CO13" s="540" t="str">
        <f>CO5</f>
        <v>2T19</v>
      </c>
      <c r="CP13" s="697"/>
      <c r="CQ13" s="697"/>
      <c r="CR13" s="540" t="str">
        <f>CR5</f>
        <v>3T19</v>
      </c>
      <c r="CS13" s="697"/>
      <c r="CT13" s="697"/>
      <c r="CU13" s="540" t="str">
        <f>CU5</f>
        <v>4T19</v>
      </c>
      <c r="CV13" s="697"/>
      <c r="CW13" s="697"/>
      <c r="CX13" s="697"/>
      <c r="CY13" s="540" t="str">
        <f>CY5</f>
        <v>1T20</v>
      </c>
      <c r="CZ13" s="697"/>
      <c r="DA13" s="697"/>
      <c r="DB13" s="698"/>
      <c r="DC13" s="540" t="str">
        <f>DC5</f>
        <v>2T20</v>
      </c>
      <c r="DD13" s="697"/>
      <c r="DE13" s="697"/>
      <c r="DF13" s="698"/>
      <c r="DG13" s="540" t="str">
        <f>DG5</f>
        <v>3T20</v>
      </c>
      <c r="DH13" s="697"/>
      <c r="DI13" s="697"/>
      <c r="DJ13" s="698"/>
      <c r="DK13" s="540" t="str">
        <f>DK5</f>
        <v>4T20</v>
      </c>
      <c r="DL13" s="697"/>
      <c r="DM13" s="697"/>
      <c r="DN13" s="698"/>
      <c r="DO13" s="540" t="str">
        <f>DO5</f>
        <v>1T21</v>
      </c>
      <c r="DP13" s="697"/>
      <c r="DQ13" s="697"/>
      <c r="DR13" s="698"/>
      <c r="DS13" s="540" t="str">
        <f>DS5</f>
        <v>2T21</v>
      </c>
      <c r="DT13" s="697"/>
      <c r="DU13" s="697"/>
      <c r="DV13" s="698"/>
      <c r="DW13" s="540" t="str">
        <f>DW5</f>
        <v>3T21</v>
      </c>
      <c r="DX13" s="697"/>
      <c r="DY13" s="697"/>
      <c r="DZ13" s="698"/>
      <c r="EA13" s="540" t="str">
        <f>EA5</f>
        <v>4T21</v>
      </c>
      <c r="EB13" s="697"/>
      <c r="EC13" s="697"/>
      <c r="ED13" s="698"/>
      <c r="EE13" s="540" t="str">
        <f>EE5</f>
        <v>1T22</v>
      </c>
      <c r="EF13" s="697"/>
      <c r="EG13" s="697"/>
      <c r="EH13" s="698"/>
      <c r="EI13" s="540" t="str">
        <f>EI5</f>
        <v>2T22</v>
      </c>
      <c r="EJ13" s="697"/>
      <c r="EK13" s="697"/>
      <c r="EL13" s="698"/>
      <c r="EM13" s="540" t="str">
        <f>EM5</f>
        <v>3T22</v>
      </c>
      <c r="EN13" s="697"/>
      <c r="EO13" s="697"/>
      <c r="EP13" s="698"/>
      <c r="EQ13" s="540" t="str">
        <f>EQ5</f>
        <v>4T22</v>
      </c>
      <c r="ER13" s="697"/>
      <c r="ES13" s="697"/>
      <c r="ET13" s="698"/>
      <c r="EU13" s="540" t="str">
        <f>EU5</f>
        <v>1T23</v>
      </c>
      <c r="EV13" s="697"/>
      <c r="EW13" s="697"/>
      <c r="EX13" s="698"/>
      <c r="EY13" s="540" t="str">
        <f>EY5</f>
        <v>2T23</v>
      </c>
      <c r="EZ13" s="697"/>
      <c r="FA13" s="697"/>
      <c r="FB13" s="698"/>
      <c r="FC13" s="540" t="str">
        <f>FC5</f>
        <v>3T23</v>
      </c>
      <c r="FD13" s="697"/>
      <c r="FE13" s="697"/>
      <c r="FF13" s="698"/>
      <c r="FG13" s="540" t="str">
        <f>FG5</f>
        <v>4T23</v>
      </c>
      <c r="FH13" s="697"/>
      <c r="FI13" s="697"/>
      <c r="FJ13" s="698"/>
      <c r="FK13" s="540" t="str">
        <f>FK5</f>
        <v>1T24</v>
      </c>
      <c r="FL13" s="697"/>
      <c r="FM13" s="697"/>
      <c r="FN13" s="698"/>
      <c r="FO13" s="540" t="str">
        <f>FO5</f>
        <v>2T24</v>
      </c>
      <c r="FP13" s="697"/>
      <c r="FQ13" s="697"/>
      <c r="FR13" s="698"/>
      <c r="FS13" s="540" t="s">
        <v>1251</v>
      </c>
      <c r="FT13" s="697"/>
      <c r="FU13" s="697"/>
      <c r="FV13" s="698"/>
      <c r="FW13" s="540" t="str">
        <f>FW5</f>
        <v>4T24</v>
      </c>
      <c r="FX13" s="697"/>
      <c r="FY13" s="697"/>
      <c r="FZ13" s="697"/>
      <c r="GA13" s="697"/>
      <c r="GB13" s="698"/>
      <c r="GC13" s="540" t="str">
        <f>GC5</f>
        <v>1T25</v>
      </c>
      <c r="GD13" s="697"/>
      <c r="GE13" s="697"/>
      <c r="GF13" s="697"/>
      <c r="GG13" s="697"/>
      <c r="GH13" s="698"/>
      <c r="GI13" s="540" t="str">
        <f>GI5</f>
        <v>2T25</v>
      </c>
      <c r="GJ13" s="697"/>
      <c r="GK13" s="697"/>
      <c r="GL13" s="697"/>
      <c r="GM13" s="697"/>
      <c r="GN13" s="697"/>
      <c r="GO13" s="540" t="str">
        <f>GO5</f>
        <v>3T25</v>
      </c>
      <c r="GP13" s="697"/>
      <c r="GQ13" s="697"/>
      <c r="GR13" s="697"/>
      <c r="GS13" s="697"/>
      <c r="GT13" s="698"/>
      <c r="GU13" s="540" t="str">
        <f>GU5</f>
        <v>4T25</v>
      </c>
      <c r="GV13" s="697"/>
      <c r="GW13" s="697"/>
      <c r="GX13" s="697"/>
      <c r="GY13" s="697"/>
      <c r="GZ13" s="698"/>
      <c r="HA13" s="540" t="str">
        <f>HA5</f>
        <v>1T26</v>
      </c>
      <c r="HB13" s="697"/>
      <c r="HC13" s="697"/>
      <c r="HD13" s="697"/>
      <c r="HE13" s="697"/>
      <c r="HF13" s="698"/>
    </row>
    <row r="14" spans="3:214" ht="25.5" customHeight="1" x14ac:dyDescent="0.2">
      <c r="F14" s="170"/>
      <c r="G14" s="173" t="str">
        <f>G6</f>
        <v>Adição</v>
      </c>
      <c r="H14" s="170" t="str">
        <f>H6</f>
        <v>Amortização</v>
      </c>
      <c r="I14" s="175">
        <f>I6</f>
        <v>41729</v>
      </c>
      <c r="J14" s="173" t="str">
        <f>J6</f>
        <v>Adição</v>
      </c>
      <c r="K14" s="170" t="str">
        <f>K6</f>
        <v>Amortização</v>
      </c>
      <c r="L14" s="170" t="str">
        <f>L6</f>
        <v>Transferência (i)</v>
      </c>
      <c r="M14" s="170" t="str">
        <f>M6</f>
        <v>Baixa</v>
      </c>
      <c r="N14" s="175">
        <f>N6</f>
        <v>41820</v>
      </c>
      <c r="O14" s="173" t="str">
        <f>O6</f>
        <v>Adição</v>
      </c>
      <c r="P14" s="170" t="str">
        <f>P6</f>
        <v>Amortização</v>
      </c>
      <c r="Q14" s="170" t="str">
        <f>Q6</f>
        <v>Transferência (i)</v>
      </c>
      <c r="R14" s="170" t="str">
        <f>R6</f>
        <v>Outros</v>
      </c>
      <c r="S14" s="170" t="str">
        <f>S6</f>
        <v>Baixa (i)</v>
      </c>
      <c r="T14" s="175">
        <f>T6</f>
        <v>41912</v>
      </c>
      <c r="U14" s="173" t="str">
        <f>U6</f>
        <v>Adição</v>
      </c>
      <c r="V14" s="170" t="str">
        <f>V6</f>
        <v>Amortização</v>
      </c>
      <c r="W14" s="170" t="str">
        <f>W6</f>
        <v>Transferência (i)</v>
      </c>
      <c r="X14" s="170" t="str">
        <f>X6</f>
        <v>Outros</v>
      </c>
      <c r="Y14" s="170" t="str">
        <f>Y6</f>
        <v>Baixa (i)</v>
      </c>
      <c r="Z14" s="175">
        <f>Z6</f>
        <v>42004</v>
      </c>
      <c r="AA14" s="173" t="str">
        <f>AA6</f>
        <v>Adição</v>
      </c>
      <c r="AB14" s="170" t="str">
        <f>AB6</f>
        <v>Transferência (ii)</v>
      </c>
      <c r="AC14" s="170" t="str">
        <f>AC6</f>
        <v>Amortização</v>
      </c>
      <c r="AD14" s="175">
        <f>AD6</f>
        <v>42094</v>
      </c>
      <c r="AE14" s="173" t="str">
        <f>AE6</f>
        <v>Adição</v>
      </c>
      <c r="AF14" s="170" t="str">
        <f>AF6</f>
        <v>Transferência (ii)</v>
      </c>
      <c r="AG14" s="170" t="str">
        <f>AG6</f>
        <v>Amortização</v>
      </c>
      <c r="AH14" s="175">
        <f>AH6</f>
        <v>42185</v>
      </c>
      <c r="AI14" s="173" t="str">
        <f>AI6</f>
        <v>Adição</v>
      </c>
      <c r="AJ14" s="170" t="str">
        <f>AJ6</f>
        <v>Transferência (ii)</v>
      </c>
      <c r="AK14" s="170" t="str">
        <f>AK6</f>
        <v>Amortização</v>
      </c>
      <c r="AL14" s="175">
        <f>AL6</f>
        <v>42277</v>
      </c>
      <c r="AM14" s="173" t="str">
        <f>AM6</f>
        <v>Adição</v>
      </c>
      <c r="AN14" s="170" t="str">
        <f>AN6</f>
        <v>Transferência (ii)</v>
      </c>
      <c r="AO14" s="170" t="str">
        <f>AO6</f>
        <v>Amortização</v>
      </c>
      <c r="AP14" s="175">
        <f>AP6</f>
        <v>42368</v>
      </c>
      <c r="AQ14" s="173" t="str">
        <f>AQ6</f>
        <v>Adição</v>
      </c>
      <c r="AR14" s="170" t="str">
        <f>AR6</f>
        <v>Transferência / Outros</v>
      </c>
      <c r="AS14" s="170" t="str">
        <f>AS6</f>
        <v>Amortização</v>
      </c>
      <c r="AT14" s="175">
        <f>AT6</f>
        <v>42460</v>
      </c>
      <c r="AU14" s="173" t="str">
        <f>AU6</f>
        <v>Adição</v>
      </c>
      <c r="AV14" s="170" t="str">
        <f>AV6</f>
        <v>Transferência / Outros</v>
      </c>
      <c r="AW14" s="170" t="str">
        <f>AW6</f>
        <v>Amortização</v>
      </c>
      <c r="AX14" s="175">
        <f>AX6</f>
        <v>42551</v>
      </c>
      <c r="AY14" s="173" t="str">
        <f>AY6</f>
        <v>Adição</v>
      </c>
      <c r="AZ14" s="170" t="str">
        <f>AZ6</f>
        <v>Transferência / Outros</v>
      </c>
      <c r="BA14" s="170" t="str">
        <f>BA6</f>
        <v>Amortização</v>
      </c>
      <c r="BB14" s="175">
        <f>BB6</f>
        <v>42643</v>
      </c>
      <c r="BC14" s="324" t="str">
        <f>BC6</f>
        <v>Adição</v>
      </c>
      <c r="BD14" s="324" t="str">
        <f>BD6</f>
        <v>Transferência / Outros</v>
      </c>
      <c r="BE14" s="324" t="str">
        <f>BE6</f>
        <v>Amortização</v>
      </c>
      <c r="BF14" s="324">
        <f>BF6</f>
        <v>42735</v>
      </c>
      <c r="BG14" s="331" t="str">
        <f>BG6</f>
        <v>Adição</v>
      </c>
      <c r="BH14" s="324" t="str">
        <f>BH6</f>
        <v>Amortização</v>
      </c>
      <c r="BI14" s="175">
        <f>BI6</f>
        <v>42825</v>
      </c>
      <c r="BJ14" s="324" t="str">
        <f>BJ6</f>
        <v>Adição</v>
      </c>
      <c r="BK14" s="324" t="str">
        <f>BK6</f>
        <v>Amortização</v>
      </c>
      <c r="BL14" s="324" t="str">
        <f>BL6</f>
        <v>Outros</v>
      </c>
      <c r="BM14" s="324">
        <f>BM6</f>
        <v>42916</v>
      </c>
      <c r="BN14" s="173" t="str">
        <f>BN6</f>
        <v>Adição</v>
      </c>
      <c r="BO14" s="170" t="str">
        <f>BO6</f>
        <v>Amortização</v>
      </c>
      <c r="BP14" s="170" t="str">
        <f>BP6</f>
        <v>Outros</v>
      </c>
      <c r="BQ14" s="175">
        <f>BQ6</f>
        <v>43008</v>
      </c>
      <c r="BR14" s="173" t="str">
        <f>BR6</f>
        <v>Adição</v>
      </c>
      <c r="BS14" s="170" t="str">
        <f>BS6</f>
        <v>Amortização</v>
      </c>
      <c r="BT14" s="170" t="str">
        <f>BT6</f>
        <v>Outros</v>
      </c>
      <c r="BU14" s="175">
        <f>BU6</f>
        <v>43100</v>
      </c>
      <c r="BV14" s="173" t="str">
        <f>BV6</f>
        <v>Adição</v>
      </c>
      <c r="BW14" s="170" t="str">
        <f>BW6</f>
        <v>Amortização</v>
      </c>
      <c r="BX14" s="170" t="str">
        <f>BX6</f>
        <v>Outros</v>
      </c>
      <c r="BY14" s="175">
        <f>BY6</f>
        <v>43189</v>
      </c>
      <c r="BZ14" s="173" t="str">
        <f>BZ6</f>
        <v>Adição</v>
      </c>
      <c r="CA14" s="170" t="str">
        <f>CA6</f>
        <v>Amortização</v>
      </c>
      <c r="CB14" s="170" t="str">
        <f>CB6</f>
        <v>Outros</v>
      </c>
      <c r="CC14" s="175">
        <f>CC6</f>
        <v>43281</v>
      </c>
      <c r="CD14" s="173" t="str">
        <f>CD6</f>
        <v>Adição</v>
      </c>
      <c r="CE14" s="170" t="str">
        <f>CE6</f>
        <v>Amortização</v>
      </c>
      <c r="CF14" s="170" t="str">
        <f>CF6</f>
        <v>Outros</v>
      </c>
      <c r="CG14" s="175">
        <f>CG6</f>
        <v>43373</v>
      </c>
      <c r="CH14" s="173" t="str">
        <f>CH6</f>
        <v>Adição</v>
      </c>
      <c r="CI14" s="170" t="str">
        <f>CI6</f>
        <v>Amortização</v>
      </c>
      <c r="CJ14" s="170" t="str">
        <f>CJ6</f>
        <v>Outros</v>
      </c>
      <c r="CK14" s="175">
        <f>CK6</f>
        <v>43464</v>
      </c>
      <c r="CL14" s="324" t="s">
        <v>248</v>
      </c>
      <c r="CM14" s="324" t="s">
        <v>247</v>
      </c>
      <c r="CN14" s="324">
        <v>43554</v>
      </c>
      <c r="CO14" s="173" t="str">
        <f>CO6</f>
        <v>Adição</v>
      </c>
      <c r="CP14" s="170" t="str">
        <f>CP6</f>
        <v>Amortização</v>
      </c>
      <c r="CQ14" s="175">
        <f>CQ6</f>
        <v>43646</v>
      </c>
      <c r="CR14" s="173" t="str">
        <f>CR6</f>
        <v>Adição</v>
      </c>
      <c r="CS14" s="170" t="str">
        <f>CS6</f>
        <v>Amortização</v>
      </c>
      <c r="CT14" s="175">
        <f>CT6</f>
        <v>43738</v>
      </c>
      <c r="CU14" s="173" t="str">
        <f>CU6</f>
        <v>Adição</v>
      </c>
      <c r="CV14" s="170" t="str">
        <f>CV6</f>
        <v>Amortização</v>
      </c>
      <c r="CW14" s="170" t="str">
        <f>CW6</f>
        <v>Outros</v>
      </c>
      <c r="CX14" s="175">
        <f>CX6</f>
        <v>43829</v>
      </c>
      <c r="CY14" s="173" t="str">
        <f>CY6</f>
        <v>Adição</v>
      </c>
      <c r="CZ14" s="170" t="str">
        <f>CZ6</f>
        <v>Amortização</v>
      </c>
      <c r="DA14" s="170" t="str">
        <f>DA6</f>
        <v>Outros</v>
      </c>
      <c r="DB14" s="175">
        <f>DB6</f>
        <v>43921</v>
      </c>
      <c r="DC14" s="173" t="str">
        <f>DC6</f>
        <v>Adição</v>
      </c>
      <c r="DD14" s="170" t="str">
        <f>DD6</f>
        <v>Amortização</v>
      </c>
      <c r="DE14" s="170" t="str">
        <f>DE6</f>
        <v>Outros</v>
      </c>
      <c r="DF14" s="175" t="str">
        <f>DF6</f>
        <v>31/06/2020</v>
      </c>
      <c r="DG14" s="173" t="str">
        <f>DG6</f>
        <v>Adição</v>
      </c>
      <c r="DH14" s="170" t="str">
        <f>DH6</f>
        <v>Amortização</v>
      </c>
      <c r="DI14" s="170" t="str">
        <f>DI6</f>
        <v>Outros</v>
      </c>
      <c r="DJ14" s="175" t="str">
        <f>DJ6</f>
        <v>31/09/2020</v>
      </c>
      <c r="DK14" s="173" t="str">
        <f>DK6</f>
        <v>Adição</v>
      </c>
      <c r="DL14" s="170" t="str">
        <f>DL6</f>
        <v>Amortização</v>
      </c>
      <c r="DM14" s="170" t="str">
        <f>DM6</f>
        <v>Outros</v>
      </c>
      <c r="DN14" s="175">
        <f>DN6</f>
        <v>44195</v>
      </c>
      <c r="DO14" s="173" t="str">
        <f>DO6</f>
        <v>Adição</v>
      </c>
      <c r="DP14" s="170" t="str">
        <f>DP6</f>
        <v>Amortização</v>
      </c>
      <c r="DQ14" s="170" t="str">
        <f>DQ6</f>
        <v>Outros</v>
      </c>
      <c r="DR14" s="175">
        <f>DR6</f>
        <v>44286</v>
      </c>
      <c r="DS14" s="173" t="str">
        <f>DS6</f>
        <v>Adição</v>
      </c>
      <c r="DT14" s="170" t="str">
        <f>DT6</f>
        <v>Amortização</v>
      </c>
      <c r="DU14" s="170" t="str">
        <f>DU6</f>
        <v>Outros</v>
      </c>
      <c r="DV14" s="175">
        <f>DV6</f>
        <v>44377</v>
      </c>
      <c r="DW14" s="173" t="str">
        <f>DW6</f>
        <v>Adição</v>
      </c>
      <c r="DX14" s="170" t="str">
        <f>DX6</f>
        <v>Amortização</v>
      </c>
      <c r="DY14" s="170" t="str">
        <f>DY6</f>
        <v>Outros</v>
      </c>
      <c r="DZ14" s="175">
        <f>DZ6</f>
        <v>44469</v>
      </c>
      <c r="EA14" s="173" t="str">
        <f>EA6</f>
        <v>Adição</v>
      </c>
      <c r="EB14" s="170" t="str">
        <f>EB6</f>
        <v>Amortização</v>
      </c>
      <c r="EC14" s="170" t="str">
        <f>EC6</f>
        <v>Outros</v>
      </c>
      <c r="ED14" s="175">
        <f>ED6</f>
        <v>44561</v>
      </c>
      <c r="EE14" s="173" t="str">
        <f>EE6</f>
        <v>Adição</v>
      </c>
      <c r="EF14" s="170" t="str">
        <f>EF6</f>
        <v>Amortização</v>
      </c>
      <c r="EG14" s="170" t="str">
        <f>EG6</f>
        <v>Transferências</v>
      </c>
      <c r="EH14" s="175">
        <f>EH6</f>
        <v>44651</v>
      </c>
      <c r="EI14" s="173" t="str">
        <f>EI6</f>
        <v>Adição</v>
      </c>
      <c r="EJ14" s="170" t="str">
        <f>EJ6</f>
        <v>Amortização</v>
      </c>
      <c r="EK14" s="170" t="str">
        <f>EK6</f>
        <v>Transferências</v>
      </c>
      <c r="EL14" s="175">
        <f>EL6</f>
        <v>44742</v>
      </c>
      <c r="EM14" s="173" t="str">
        <f>EM6</f>
        <v>Adição</v>
      </c>
      <c r="EN14" s="170" t="str">
        <f>EN6</f>
        <v>Amortização</v>
      </c>
      <c r="EO14" s="170" t="str">
        <f>EO6</f>
        <v>Transferências</v>
      </c>
      <c r="EP14" s="175">
        <f>EP6</f>
        <v>44834</v>
      </c>
      <c r="EQ14" s="173" t="str">
        <f>EQ6</f>
        <v>Adição</v>
      </c>
      <c r="ER14" s="170" t="str">
        <f>ER6</f>
        <v>Amortização</v>
      </c>
      <c r="ES14" s="170" t="str">
        <f>ES6</f>
        <v>Transferências</v>
      </c>
      <c r="ET14" s="175">
        <f>ET6</f>
        <v>44926</v>
      </c>
      <c r="EU14" s="173" t="str">
        <f>EU6</f>
        <v>Adição</v>
      </c>
      <c r="EV14" s="170" t="str">
        <f>EV6</f>
        <v>Amortização</v>
      </c>
      <c r="EW14" s="170" t="str">
        <f>EW6</f>
        <v>Transferências</v>
      </c>
      <c r="EX14" s="175">
        <f>EX6</f>
        <v>45016</v>
      </c>
      <c r="EY14" s="173" t="str">
        <f>EY6</f>
        <v>Adição</v>
      </c>
      <c r="EZ14" s="170" t="str">
        <f>EZ6</f>
        <v>Amortização</v>
      </c>
      <c r="FA14" s="170" t="str">
        <f>FA6</f>
        <v>Transferências</v>
      </c>
      <c r="FB14" s="175">
        <f>FB6</f>
        <v>45107</v>
      </c>
      <c r="FC14" s="173" t="str">
        <f>FC6</f>
        <v>Adição</v>
      </c>
      <c r="FD14" s="170" t="str">
        <f>FD6</f>
        <v>Amortização</v>
      </c>
      <c r="FE14" s="170" t="str">
        <f>FE6</f>
        <v>Transferências</v>
      </c>
      <c r="FF14" s="175">
        <f>FF6</f>
        <v>45199</v>
      </c>
      <c r="FG14" s="173" t="str">
        <f>FG6</f>
        <v>Adição</v>
      </c>
      <c r="FH14" s="170" t="str">
        <f>FH6</f>
        <v>Amortização</v>
      </c>
      <c r="FI14" s="170" t="str">
        <f>FI6</f>
        <v>Transferências</v>
      </c>
      <c r="FJ14" s="175">
        <f>FJ6</f>
        <v>45291</v>
      </c>
      <c r="FK14" s="173" t="str">
        <f>FK6</f>
        <v>Adição</v>
      </c>
      <c r="FL14" s="170" t="str">
        <f>FL6</f>
        <v>Amortização</v>
      </c>
      <c r="FM14" s="170" t="str">
        <f>FM6</f>
        <v>Transferências</v>
      </c>
      <c r="FN14" s="175">
        <f>FN6</f>
        <v>45382</v>
      </c>
      <c r="FO14" s="173" t="str">
        <f>FO6</f>
        <v>Adição</v>
      </c>
      <c r="FP14" s="170" t="str">
        <f>FP6</f>
        <v>Amortização</v>
      </c>
      <c r="FQ14" s="170" t="str">
        <f>FQ6</f>
        <v>Transferências</v>
      </c>
      <c r="FR14" s="175" t="str">
        <f>FR6</f>
        <v>31/06/2024</v>
      </c>
      <c r="FS14" s="173" t="s">
        <v>1251</v>
      </c>
      <c r="FT14" s="170" t="s">
        <v>247</v>
      </c>
      <c r="FU14" s="170" t="s">
        <v>1230</v>
      </c>
      <c r="FV14" s="175">
        <v>45565</v>
      </c>
      <c r="FW14" s="173" t="str">
        <f>FW6</f>
        <v>Adição</v>
      </c>
      <c r="FX14" s="170" t="str">
        <f>FX6</f>
        <v>Ativação</v>
      </c>
      <c r="FY14" s="170" t="str">
        <f>FY6</f>
        <v>Amortização</v>
      </c>
      <c r="FZ14" s="170" t="str">
        <f>FZ6</f>
        <v>Transferências</v>
      </c>
      <c r="GA14" s="170" t="str">
        <f>GA6</f>
        <v>Outros</v>
      </c>
      <c r="GB14" s="175">
        <f>GB6</f>
        <v>45657</v>
      </c>
      <c r="GC14" s="173" t="str">
        <f>GC6</f>
        <v>Adição</v>
      </c>
      <c r="GD14" s="170" t="str">
        <f>GD6</f>
        <v>Ativação</v>
      </c>
      <c r="GE14" s="170" t="str">
        <f>GE6</f>
        <v>Amortização</v>
      </c>
      <c r="GF14" s="170" t="str">
        <f>GF6</f>
        <v>Transferências</v>
      </c>
      <c r="GG14" s="170" t="str">
        <f>GG6</f>
        <v>Outros</v>
      </c>
      <c r="GH14" s="175">
        <f>GH6</f>
        <v>45747</v>
      </c>
      <c r="GI14" s="173" t="str">
        <f>GI6</f>
        <v>Adição</v>
      </c>
      <c r="GJ14" s="170" t="str">
        <f>GJ6</f>
        <v>Ativação</v>
      </c>
      <c r="GK14" s="170" t="str">
        <f>GK6</f>
        <v>Amortização</v>
      </c>
      <c r="GL14" s="170" t="str">
        <f>GL6</f>
        <v>Transferências</v>
      </c>
      <c r="GM14" s="170" t="str">
        <f>GM6</f>
        <v>Outros</v>
      </c>
      <c r="GN14" s="175">
        <f>GN6</f>
        <v>45838</v>
      </c>
      <c r="GO14" s="173" t="str">
        <f>GO6</f>
        <v>Adição</v>
      </c>
      <c r="GP14" s="170" t="str">
        <f>GP6</f>
        <v>Ativação</v>
      </c>
      <c r="GQ14" s="170" t="str">
        <f>GQ6</f>
        <v>Amortização</v>
      </c>
      <c r="GR14" s="170" t="str">
        <f>GR6</f>
        <v>Transferências</v>
      </c>
      <c r="GS14" s="170" t="str">
        <f>GS6</f>
        <v>Outros</v>
      </c>
      <c r="GT14" s="175">
        <f>GT6</f>
        <v>45930</v>
      </c>
      <c r="GU14" s="173" t="str">
        <f>GU6</f>
        <v>Adição</v>
      </c>
      <c r="GV14" s="170" t="str">
        <f>GV6</f>
        <v>Ativação</v>
      </c>
      <c r="GW14" s="170" t="str">
        <f>GW6</f>
        <v>Amortização</v>
      </c>
      <c r="GX14" s="170" t="str">
        <f>GX6</f>
        <v>Transferências</v>
      </c>
      <c r="GY14" s="170" t="str">
        <f>GY6</f>
        <v>Outros</v>
      </c>
      <c r="GZ14" s="175">
        <f>GZ6</f>
        <v>46022</v>
      </c>
      <c r="HA14" s="173" t="str">
        <f>HA6</f>
        <v>Adição</v>
      </c>
      <c r="HB14" s="170" t="str">
        <f>HB6</f>
        <v>Ativação</v>
      </c>
      <c r="HC14" s="170" t="str">
        <f>HC6</f>
        <v>Amortização</v>
      </c>
      <c r="HD14" s="170" t="str">
        <f>HD6</f>
        <v>Transferências</v>
      </c>
      <c r="HE14" s="170" t="str">
        <f>HE6</f>
        <v>Outros</v>
      </c>
      <c r="HF14" s="175">
        <f>HF6</f>
        <v>46112</v>
      </c>
    </row>
    <row r="15" spans="3:214" x14ac:dyDescent="0.2">
      <c r="C15" t="s">
        <v>111</v>
      </c>
      <c r="D15" t="s">
        <v>111</v>
      </c>
      <c r="F15" s="129" t="s">
        <v>111</v>
      </c>
      <c r="G15" s="160">
        <v>851</v>
      </c>
      <c r="H15" s="118">
        <v>-703</v>
      </c>
      <c r="I15" s="161">
        <v>9847</v>
      </c>
      <c r="J15" s="160">
        <v>-608</v>
      </c>
      <c r="K15" s="118">
        <v>-524</v>
      </c>
      <c r="L15" s="118">
        <v>-1107</v>
      </c>
      <c r="M15" s="118">
        <v>0</v>
      </c>
      <c r="N15" s="161">
        <v>7608</v>
      </c>
      <c r="O15" s="160">
        <v>35</v>
      </c>
      <c r="P15" s="118">
        <v>-603</v>
      </c>
      <c r="Q15" s="118">
        <v>0</v>
      </c>
      <c r="R15" s="118">
        <v>0</v>
      </c>
      <c r="S15" s="118">
        <v>0</v>
      </c>
      <c r="T15" s="161">
        <v>7040</v>
      </c>
      <c r="U15" s="160">
        <v>1497</v>
      </c>
      <c r="V15" s="118">
        <v>-1184</v>
      </c>
      <c r="W15" s="118">
        <v>0</v>
      </c>
      <c r="X15" s="118">
        <v>0</v>
      </c>
      <c r="Y15" s="118">
        <v>-39</v>
      </c>
      <c r="Z15" s="161">
        <v>7314</v>
      </c>
      <c r="AA15" s="160">
        <v>93</v>
      </c>
      <c r="AB15" s="118">
        <v>7206</v>
      </c>
      <c r="AC15" s="118">
        <v>-783</v>
      </c>
      <c r="AD15" s="161">
        <v>13830</v>
      </c>
      <c r="AE15" s="160">
        <v>357</v>
      </c>
      <c r="AF15" s="118">
        <v>1395</v>
      </c>
      <c r="AG15" s="118">
        <v>-1018</v>
      </c>
      <c r="AH15" s="161">
        <v>14564</v>
      </c>
      <c r="AI15" s="160">
        <v>245</v>
      </c>
      <c r="AJ15" s="118">
        <v>1326</v>
      </c>
      <c r="AK15" s="118">
        <v>-1215</v>
      </c>
      <c r="AL15" s="161">
        <f>SUM(AH15:AK15)</f>
        <v>14920</v>
      </c>
      <c r="AM15" s="160">
        <v>160</v>
      </c>
      <c r="AN15" s="118">
        <v>1024</v>
      </c>
      <c r="AO15" s="118">
        <v>-1401</v>
      </c>
      <c r="AP15" s="161">
        <f>SUM(AL15:AO15)</f>
        <v>14703</v>
      </c>
      <c r="AQ15" s="212">
        <v>323</v>
      </c>
      <c r="AR15" s="211">
        <v>44</v>
      </c>
      <c r="AS15" s="211">
        <v>-1408</v>
      </c>
      <c r="AT15" s="213">
        <f>SUM(AP15:AS15)</f>
        <v>13662</v>
      </c>
      <c r="AU15" s="212">
        <v>908</v>
      </c>
      <c r="AV15" s="211">
        <v>1981</v>
      </c>
      <c r="AW15" s="211">
        <v>-1192</v>
      </c>
      <c r="AX15" s="213">
        <f>SUM(AT15:AW15)</f>
        <v>15359</v>
      </c>
      <c r="AY15" s="212">
        <v>311</v>
      </c>
      <c r="AZ15" s="211">
        <v>-708</v>
      </c>
      <c r="BA15" s="211">
        <v>-1200</v>
      </c>
      <c r="BB15" s="213">
        <f>SUM(AX15:BA15)</f>
        <v>13762</v>
      </c>
      <c r="BC15" s="211">
        <v>318</v>
      </c>
      <c r="BD15" s="211">
        <v>1</v>
      </c>
      <c r="BE15" s="211">
        <v>-1184</v>
      </c>
      <c r="BF15" s="211">
        <v>12897</v>
      </c>
      <c r="BG15" s="212">
        <v>1244</v>
      </c>
      <c r="BH15" s="211">
        <v>-1172</v>
      </c>
      <c r="BI15" s="213">
        <f>SUM(BF15:BH15)</f>
        <v>12969</v>
      </c>
      <c r="BJ15" s="211">
        <v>878</v>
      </c>
      <c r="BK15" s="211">
        <v>-1181</v>
      </c>
      <c r="BL15" s="211">
        <v>0</v>
      </c>
      <c r="BM15" s="213">
        <f>SUM(BI15:BL15)</f>
        <v>12666</v>
      </c>
      <c r="BN15" s="211">
        <v>976</v>
      </c>
      <c r="BO15" s="211">
        <v>-1161</v>
      </c>
      <c r="BP15" s="211">
        <v>0</v>
      </c>
      <c r="BQ15" s="211">
        <v>12481</v>
      </c>
      <c r="BR15" s="212">
        <v>1273</v>
      </c>
      <c r="BS15" s="211">
        <v>-1186</v>
      </c>
      <c r="BT15" s="211">
        <v>0</v>
      </c>
      <c r="BU15" s="213">
        <f>SUM(BQ15:BT15)</f>
        <v>12568</v>
      </c>
      <c r="BV15" s="212">
        <v>1039</v>
      </c>
      <c r="BW15" s="211">
        <v>-1154</v>
      </c>
      <c r="BX15" s="211">
        <v>-1036</v>
      </c>
      <c r="BY15" s="213">
        <f>SUM(BU15:BX15)</f>
        <v>11417</v>
      </c>
      <c r="BZ15" s="212">
        <v>897</v>
      </c>
      <c r="CA15" s="211">
        <v>-1158</v>
      </c>
      <c r="CB15" s="211">
        <v>0</v>
      </c>
      <c r="CC15" s="213">
        <f>SUM(BY15:CB15)</f>
        <v>11156</v>
      </c>
      <c r="CD15" s="212">
        <v>1443</v>
      </c>
      <c r="CE15" s="211">
        <v>-1193</v>
      </c>
      <c r="CF15" s="211" t="s">
        <v>160</v>
      </c>
      <c r="CG15" s="213">
        <f>SUM(CC15:CF15)</f>
        <v>11406</v>
      </c>
      <c r="CH15" s="212">
        <v>2222</v>
      </c>
      <c r="CI15" s="211">
        <v>-1185</v>
      </c>
      <c r="CJ15" s="211">
        <v>-21</v>
      </c>
      <c r="CK15" s="213">
        <f>SUM(CG15:CJ15)</f>
        <v>12422</v>
      </c>
      <c r="CL15" s="211">
        <v>1424</v>
      </c>
      <c r="CM15" s="211">
        <v>-1232</v>
      </c>
      <c r="CN15" s="213">
        <f>SUM(CK15:CM15)</f>
        <v>12614</v>
      </c>
      <c r="CO15" s="212">
        <v>672</v>
      </c>
      <c r="CP15" s="211">
        <v>-1284</v>
      </c>
      <c r="CQ15" s="213">
        <f>SUM(CN15:CP15)</f>
        <v>12002</v>
      </c>
      <c r="CR15" s="212">
        <v>874</v>
      </c>
      <c r="CS15" s="211">
        <v>-1319</v>
      </c>
      <c r="CT15" s="213">
        <v>11557</v>
      </c>
      <c r="CU15" s="212">
        <v>1227</v>
      </c>
      <c r="CV15" s="211">
        <v>-1349</v>
      </c>
      <c r="CW15" s="211">
        <v>-21</v>
      </c>
      <c r="CX15" s="213">
        <v>11414</v>
      </c>
      <c r="CY15" s="212">
        <v>1497</v>
      </c>
      <c r="CZ15" s="211">
        <v>-1200</v>
      </c>
      <c r="DA15" s="211">
        <v>-21</v>
      </c>
      <c r="DB15" s="213">
        <v>11690</v>
      </c>
      <c r="DC15" s="212">
        <v>961</v>
      </c>
      <c r="DD15" s="211">
        <v>-1042</v>
      </c>
      <c r="DE15" s="211">
        <v>51</v>
      </c>
      <c r="DF15" s="213">
        <f>SUM(DB15:DE15)</f>
        <v>11660</v>
      </c>
      <c r="DG15" s="212">
        <v>633</v>
      </c>
      <c r="DH15" s="211">
        <v>-1051</v>
      </c>
      <c r="DI15" s="211">
        <v>-50</v>
      </c>
      <c r="DJ15" s="213">
        <f>SUM(DF15:DI15)</f>
        <v>11192</v>
      </c>
      <c r="DK15" s="212">
        <v>766</v>
      </c>
      <c r="DL15" s="211">
        <v>-1026</v>
      </c>
      <c r="DM15" s="211">
        <v>-195</v>
      </c>
      <c r="DN15" s="213">
        <f>SUM(DJ15:DM15)</f>
        <v>10737</v>
      </c>
      <c r="DO15" s="212">
        <v>1791</v>
      </c>
      <c r="DP15" s="211">
        <v>-1028</v>
      </c>
      <c r="DQ15" s="211">
        <v>43</v>
      </c>
      <c r="DR15" s="213">
        <f>SUM(DN15:DQ15)</f>
        <v>11543</v>
      </c>
      <c r="DS15" s="212">
        <v>1091</v>
      </c>
      <c r="DT15" s="211">
        <v>-1046</v>
      </c>
      <c r="DU15" s="211">
        <v>125</v>
      </c>
      <c r="DV15" s="213">
        <v>11713</v>
      </c>
      <c r="DW15" s="212">
        <v>1227</v>
      </c>
      <c r="DX15" s="211">
        <v>-1074</v>
      </c>
      <c r="DY15" s="211">
        <v>0</v>
      </c>
      <c r="DZ15" s="213">
        <v>11866</v>
      </c>
      <c r="EA15" s="212">
        <v>1786</v>
      </c>
      <c r="EB15" s="211">
        <v>-1125</v>
      </c>
      <c r="EC15" s="211">
        <v>-6</v>
      </c>
      <c r="ED15" s="213">
        <f>SUM(DZ15:EC15)</f>
        <v>12521</v>
      </c>
      <c r="EE15" s="212">
        <v>2182</v>
      </c>
      <c r="EF15" s="211">
        <v>-1203</v>
      </c>
      <c r="EG15" s="211">
        <v>0</v>
      </c>
      <c r="EH15" s="213">
        <f>SUM(ED15:EG15)</f>
        <v>13500</v>
      </c>
      <c r="EI15" s="212">
        <v>886</v>
      </c>
      <c r="EJ15" s="211">
        <v>-1223</v>
      </c>
      <c r="EK15" s="211">
        <v>3</v>
      </c>
      <c r="EL15" s="213">
        <f>SUM(EH15:EK15)</f>
        <v>13166</v>
      </c>
      <c r="EM15" s="212">
        <v>2323</v>
      </c>
      <c r="EN15" s="211">
        <v>-1240</v>
      </c>
      <c r="EO15" s="211">
        <v>-3</v>
      </c>
      <c r="EP15" s="213">
        <f>SUM(EL15:EO15)</f>
        <v>14246</v>
      </c>
      <c r="EQ15" s="212">
        <v>3171</v>
      </c>
      <c r="ER15" s="211">
        <v>-1330</v>
      </c>
      <c r="ES15" s="211">
        <v>-15</v>
      </c>
      <c r="ET15" s="213">
        <f>SUM(EP15:ES15)</f>
        <v>16072</v>
      </c>
      <c r="EU15" s="212">
        <v>2642</v>
      </c>
      <c r="EV15" s="211">
        <v>-1407</v>
      </c>
      <c r="EW15" s="211">
        <v>-25</v>
      </c>
      <c r="EX15" s="213">
        <f>SUM(ET15:EW15)</f>
        <v>17282</v>
      </c>
      <c r="EY15" s="212">
        <v>1536</v>
      </c>
      <c r="EZ15" s="211">
        <v>-1490</v>
      </c>
      <c r="FA15" s="211">
        <v>25</v>
      </c>
      <c r="FB15" s="213">
        <f>SUM(EX15:FA15)</f>
        <v>17353</v>
      </c>
      <c r="FC15" s="212">
        <v>1381</v>
      </c>
      <c r="FD15" s="211">
        <v>-1523</v>
      </c>
      <c r="FE15" s="211">
        <v>-24</v>
      </c>
      <c r="FF15" s="213">
        <f>SUM(FB15:FE15)</f>
        <v>17187</v>
      </c>
      <c r="FG15" s="212">
        <v>1057</v>
      </c>
      <c r="FH15" s="211">
        <v>-1496</v>
      </c>
      <c r="FI15" s="211">
        <v>0</v>
      </c>
      <c r="FJ15" s="213">
        <f>SUM(FF15:FI15)</f>
        <v>16748</v>
      </c>
      <c r="FK15" s="212">
        <v>2137</v>
      </c>
      <c r="FL15" s="211">
        <v>-1477</v>
      </c>
      <c r="FM15" s="211">
        <v>0</v>
      </c>
      <c r="FN15" s="213">
        <f>SUM(FJ15:FM15)</f>
        <v>17408</v>
      </c>
      <c r="FO15" s="211">
        <v>338</v>
      </c>
      <c r="FP15" s="211">
        <v>-1492</v>
      </c>
      <c r="FQ15" s="211">
        <v>-18</v>
      </c>
      <c r="FR15" s="213">
        <f>SUM(FN15:FQ15)</f>
        <v>16236</v>
      </c>
      <c r="FS15" s="211">
        <v>338</v>
      </c>
      <c r="FT15" s="211">
        <v>-1492</v>
      </c>
      <c r="FU15" s="211">
        <v>-18</v>
      </c>
      <c r="FV15" s="213">
        <f>SUM(FR15:FU15)</f>
        <v>15064</v>
      </c>
      <c r="FW15" s="212">
        <v>389</v>
      </c>
      <c r="FX15" s="211">
        <v>16603</v>
      </c>
      <c r="FY15" s="211">
        <v>-1718</v>
      </c>
      <c r="FZ15" s="211">
        <v>0</v>
      </c>
      <c r="GA15" s="211">
        <v>-22</v>
      </c>
      <c r="GB15" s="213">
        <f>SUM(FV15:GA15)</f>
        <v>30316</v>
      </c>
      <c r="GC15" s="212">
        <v>0</v>
      </c>
      <c r="GD15" s="211">
        <v>2562</v>
      </c>
      <c r="GE15" s="211">
        <v>-2377</v>
      </c>
      <c r="GF15" s="211">
        <v>0</v>
      </c>
      <c r="GG15" s="211">
        <v>0</v>
      </c>
      <c r="GH15" s="213">
        <v>30501</v>
      </c>
      <c r="GI15" s="212">
        <v>1</v>
      </c>
      <c r="GJ15" s="211">
        <v>180</v>
      </c>
      <c r="GK15" s="211">
        <v>-2295</v>
      </c>
      <c r="GL15" s="211">
        <v>0</v>
      </c>
      <c r="GM15" s="211">
        <v>-9</v>
      </c>
      <c r="GN15" s="213">
        <v>28378</v>
      </c>
      <c r="GO15" s="212">
        <v>3718</v>
      </c>
      <c r="GP15" s="211">
        <v>6891</v>
      </c>
      <c r="GQ15" s="211">
        <v>-2473</v>
      </c>
      <c r="GR15" s="211">
        <v>0</v>
      </c>
      <c r="GS15" s="211">
        <v>152</v>
      </c>
      <c r="GT15" s="213">
        <f>SUM(GN15:GS15)</f>
        <v>36666</v>
      </c>
      <c r="GU15" s="212">
        <v>-14</v>
      </c>
      <c r="GV15" s="211">
        <v>1468</v>
      </c>
      <c r="GW15" s="211">
        <v>-2821</v>
      </c>
      <c r="GX15" s="211">
        <v>0</v>
      </c>
      <c r="GY15" s="211">
        <v>229</v>
      </c>
      <c r="GZ15" s="213">
        <f>SUM(GT15:GY15)</f>
        <v>35528</v>
      </c>
      <c r="HA15" s="212">
        <v>1508</v>
      </c>
      <c r="HB15" s="211">
        <v>0</v>
      </c>
      <c r="HC15" s="211">
        <v>-2812</v>
      </c>
      <c r="HD15" s="211">
        <v>0</v>
      </c>
      <c r="HE15" s="211">
        <v>0</v>
      </c>
      <c r="HF15" s="213">
        <f>SUM(GZ15:HE15)</f>
        <v>34224</v>
      </c>
    </row>
    <row r="16" spans="3:214" x14ac:dyDescent="0.2">
      <c r="C16" t="s">
        <v>260</v>
      </c>
      <c r="D16" t="s">
        <v>663</v>
      </c>
      <c r="F16" s="129" t="s">
        <v>260</v>
      </c>
      <c r="G16" s="160">
        <v>0</v>
      </c>
      <c r="H16" s="118">
        <v>0</v>
      </c>
      <c r="I16" s="161">
        <v>0</v>
      </c>
      <c r="J16" s="160">
        <v>0</v>
      </c>
      <c r="K16" s="118">
        <v>0</v>
      </c>
      <c r="L16" s="118">
        <v>0</v>
      </c>
      <c r="M16" s="118">
        <v>0</v>
      </c>
      <c r="N16" s="161">
        <v>0</v>
      </c>
      <c r="O16" s="160">
        <v>0</v>
      </c>
      <c r="P16" s="118">
        <v>0</v>
      </c>
      <c r="Q16" s="118">
        <v>0</v>
      </c>
      <c r="R16" s="118">
        <v>0</v>
      </c>
      <c r="S16" s="118">
        <v>0</v>
      </c>
      <c r="T16" s="161">
        <v>0</v>
      </c>
      <c r="U16" s="160">
        <v>0</v>
      </c>
      <c r="V16" s="118">
        <v>0</v>
      </c>
      <c r="W16" s="118">
        <v>0</v>
      </c>
      <c r="X16" s="118">
        <v>0</v>
      </c>
      <c r="Y16" s="118">
        <v>0</v>
      </c>
      <c r="Z16" s="161">
        <v>0</v>
      </c>
      <c r="AA16" s="160"/>
      <c r="AB16" s="118"/>
      <c r="AC16" s="118"/>
      <c r="AD16" s="161"/>
      <c r="AE16" s="160">
        <v>0</v>
      </c>
      <c r="AF16" s="118">
        <v>0</v>
      </c>
      <c r="AG16" s="118">
        <v>0</v>
      </c>
      <c r="AH16" s="161"/>
      <c r="AI16" s="160">
        <v>0</v>
      </c>
      <c r="AJ16" s="118">
        <v>0</v>
      </c>
      <c r="AK16" s="118">
        <v>0</v>
      </c>
      <c r="AL16" s="161"/>
      <c r="AM16" s="160">
        <v>0</v>
      </c>
      <c r="AN16" s="118">
        <v>0</v>
      </c>
      <c r="AO16" s="118">
        <v>0</v>
      </c>
      <c r="AP16" s="161"/>
      <c r="AQ16" s="212">
        <v>0</v>
      </c>
      <c r="AR16" s="211">
        <v>0</v>
      </c>
      <c r="AS16" s="211">
        <v>0</v>
      </c>
      <c r="AT16" s="213">
        <v>0</v>
      </c>
      <c r="AU16" s="212">
        <v>0</v>
      </c>
      <c r="AV16" s="211">
        <v>0</v>
      </c>
      <c r="AW16" s="211">
        <v>0</v>
      </c>
      <c r="AX16" s="213">
        <v>0</v>
      </c>
      <c r="AY16" s="212">
        <v>0</v>
      </c>
      <c r="AZ16" s="211">
        <v>0</v>
      </c>
      <c r="BA16" s="211">
        <v>0</v>
      </c>
      <c r="BB16" s="213">
        <v>0</v>
      </c>
      <c r="BC16" s="211">
        <v>0</v>
      </c>
      <c r="BD16" s="211">
        <v>0</v>
      </c>
      <c r="BE16" s="211">
        <v>0</v>
      </c>
      <c r="BF16" s="211">
        <v>0</v>
      </c>
      <c r="BG16" s="212">
        <v>0</v>
      </c>
      <c r="BH16" s="211">
        <v>0</v>
      </c>
      <c r="BI16" s="213">
        <v>0</v>
      </c>
      <c r="BJ16" s="211">
        <v>0</v>
      </c>
      <c r="BK16" s="211">
        <v>0</v>
      </c>
      <c r="BL16" s="211">
        <v>0</v>
      </c>
      <c r="BM16" s="211">
        <v>0</v>
      </c>
      <c r="BN16" s="212">
        <v>0</v>
      </c>
      <c r="BO16" s="211">
        <v>0</v>
      </c>
      <c r="BP16" s="211">
        <v>0</v>
      </c>
      <c r="BQ16" s="211">
        <v>0</v>
      </c>
      <c r="BR16" s="212">
        <v>0</v>
      </c>
      <c r="BS16" s="211">
        <v>0</v>
      </c>
      <c r="BT16" s="211">
        <v>0</v>
      </c>
      <c r="BU16" s="213">
        <f>SUM(BM16:BT16)</f>
        <v>0</v>
      </c>
      <c r="BV16" s="212">
        <v>0</v>
      </c>
      <c r="BW16" s="211">
        <v>0</v>
      </c>
      <c r="BX16" s="211">
        <v>0</v>
      </c>
      <c r="BY16" s="213">
        <f>SUM(BQ16:BX16)</f>
        <v>0</v>
      </c>
      <c r="BZ16" s="212">
        <v>0</v>
      </c>
      <c r="CA16" s="211">
        <v>0</v>
      </c>
      <c r="CB16" s="211">
        <v>0</v>
      </c>
      <c r="CC16" s="213">
        <f>SUM(BU16:CB16)</f>
        <v>0</v>
      </c>
      <c r="CD16" s="212">
        <v>0</v>
      </c>
      <c r="CE16" s="211">
        <v>0</v>
      </c>
      <c r="CF16" s="211">
        <v>0</v>
      </c>
      <c r="CG16" s="213">
        <f>SUM(BU16:CF16)</f>
        <v>0</v>
      </c>
      <c r="CH16" s="212">
        <v>0</v>
      </c>
      <c r="CI16" s="211">
        <v>0</v>
      </c>
      <c r="CJ16" s="211">
        <v>0</v>
      </c>
      <c r="CK16" s="213">
        <f>SUM(BY16:CJ16)</f>
        <v>0</v>
      </c>
      <c r="CL16" s="211">
        <v>0</v>
      </c>
      <c r="CM16" s="211">
        <v>0</v>
      </c>
      <c r="CN16" s="213">
        <f>SUM(CC16:CM16)</f>
        <v>0</v>
      </c>
      <c r="CO16" s="212">
        <v>0</v>
      </c>
      <c r="CP16" s="211">
        <v>0</v>
      </c>
      <c r="CQ16" s="213">
        <f>SUM(CG16:CP16)</f>
        <v>0</v>
      </c>
      <c r="CR16" s="212">
        <v>0</v>
      </c>
      <c r="CS16" s="211">
        <v>0</v>
      </c>
      <c r="CT16" s="213">
        <v>0</v>
      </c>
      <c r="CU16" s="212">
        <v>0</v>
      </c>
      <c r="CV16" s="211">
        <v>0</v>
      </c>
      <c r="CW16" s="211">
        <v>0</v>
      </c>
      <c r="CX16" s="213">
        <v>0</v>
      </c>
      <c r="CY16" s="212">
        <v>0</v>
      </c>
      <c r="CZ16" s="211">
        <v>0</v>
      </c>
      <c r="DA16" s="211">
        <v>0</v>
      </c>
      <c r="DB16" s="213">
        <v>0</v>
      </c>
      <c r="DC16" s="212">
        <v>0</v>
      </c>
      <c r="DD16" s="211">
        <v>0</v>
      </c>
      <c r="DE16" s="211">
        <v>0</v>
      </c>
      <c r="DF16" s="213">
        <f>SUM(CV16:DD16)</f>
        <v>0</v>
      </c>
      <c r="DG16" s="212">
        <v>0</v>
      </c>
      <c r="DH16" s="211">
        <v>0</v>
      </c>
      <c r="DI16" s="211">
        <v>0</v>
      </c>
      <c r="DJ16" s="213">
        <f>SUM(CZ16:DH16)</f>
        <v>0</v>
      </c>
      <c r="DK16" s="212">
        <v>0</v>
      </c>
      <c r="DL16" s="211">
        <v>0</v>
      </c>
      <c r="DM16" s="211">
        <v>0</v>
      </c>
      <c r="DN16" s="213">
        <f>SUM(DD16:DL16)</f>
        <v>0</v>
      </c>
      <c r="DO16" s="212">
        <v>0</v>
      </c>
      <c r="DP16" s="211">
        <v>0</v>
      </c>
      <c r="DQ16" s="211">
        <v>0</v>
      </c>
      <c r="DR16" s="213">
        <f>SUM(DH16:DP16)</f>
        <v>0</v>
      </c>
      <c r="DS16" s="212">
        <v>0</v>
      </c>
      <c r="DT16" s="211">
        <v>0</v>
      </c>
      <c r="DU16" s="211">
        <v>0</v>
      </c>
      <c r="DV16" s="213">
        <f>SUM(DL16:DT16)</f>
        <v>0</v>
      </c>
      <c r="DW16" s="212">
        <v>0</v>
      </c>
      <c r="DX16" s="211">
        <v>0</v>
      </c>
      <c r="DY16" s="211">
        <v>0</v>
      </c>
      <c r="DZ16" s="213">
        <v>0</v>
      </c>
      <c r="EA16" s="212">
        <v>0</v>
      </c>
      <c r="EB16" s="211">
        <v>0</v>
      </c>
      <c r="EC16" s="211">
        <v>0</v>
      </c>
      <c r="ED16" s="213">
        <f>SUM(DT16:EB16)</f>
        <v>0</v>
      </c>
      <c r="EE16" s="212">
        <v>0</v>
      </c>
      <c r="EF16" s="211">
        <v>0</v>
      </c>
      <c r="EG16" s="211">
        <v>0</v>
      </c>
      <c r="EH16" s="213">
        <f>SUM(DT16:EF16)</f>
        <v>0</v>
      </c>
      <c r="EI16" s="212">
        <v>0</v>
      </c>
      <c r="EJ16" s="211">
        <v>0</v>
      </c>
      <c r="EK16" s="211">
        <v>0</v>
      </c>
      <c r="EL16" s="213">
        <f>SUM(DX16:EJ16)</f>
        <v>0</v>
      </c>
      <c r="EM16" s="212">
        <v>0</v>
      </c>
      <c r="EN16" s="211">
        <v>0</v>
      </c>
      <c r="EO16" s="211">
        <v>0</v>
      </c>
      <c r="EP16" s="213">
        <f>SUM(EB16:EN16)</f>
        <v>0</v>
      </c>
      <c r="EQ16" s="212">
        <v>0</v>
      </c>
      <c r="ER16" s="211">
        <v>0</v>
      </c>
      <c r="ES16" s="211">
        <v>0</v>
      </c>
      <c r="ET16" s="213">
        <f>SUM(EF16:ER16)</f>
        <v>0</v>
      </c>
      <c r="EU16" s="212">
        <v>0</v>
      </c>
      <c r="EV16" s="211">
        <v>0</v>
      </c>
      <c r="EW16" s="211">
        <v>0</v>
      </c>
      <c r="EX16" s="213">
        <f>SUM(EJ16:EV16)</f>
        <v>0</v>
      </c>
      <c r="EY16" s="212">
        <v>0</v>
      </c>
      <c r="EZ16" s="211">
        <v>0</v>
      </c>
      <c r="FA16" s="211">
        <v>0</v>
      </c>
      <c r="FB16" s="213">
        <f>SUM(EN16:EZ16)</f>
        <v>0</v>
      </c>
      <c r="FC16" s="212">
        <v>0</v>
      </c>
      <c r="FD16" s="211">
        <v>0</v>
      </c>
      <c r="FE16" s="211">
        <v>0</v>
      </c>
      <c r="FF16" s="213">
        <f>SUM(ER16:FD16)</f>
        <v>0</v>
      </c>
      <c r="FG16" s="212">
        <v>0</v>
      </c>
      <c r="FH16" s="211">
        <v>0</v>
      </c>
      <c r="FI16" s="211">
        <v>0</v>
      </c>
      <c r="FJ16" s="213">
        <f>SUM(EV16:FH16)</f>
        <v>0</v>
      </c>
      <c r="FK16" s="212">
        <v>0</v>
      </c>
      <c r="FL16" s="211">
        <v>0</v>
      </c>
      <c r="FM16" s="211">
        <v>0</v>
      </c>
      <c r="FN16" s="213">
        <f>SUM(FJ16:FM16)</f>
        <v>0</v>
      </c>
      <c r="FO16" s="211">
        <v>0</v>
      </c>
      <c r="FP16" s="211">
        <v>0</v>
      </c>
      <c r="FQ16" s="211">
        <v>0</v>
      </c>
      <c r="FR16" s="213">
        <f>SUM(FN16:FQ16)</f>
        <v>0</v>
      </c>
      <c r="FS16" s="211">
        <v>0</v>
      </c>
      <c r="FT16" s="211">
        <v>0</v>
      </c>
      <c r="FU16" s="211">
        <v>0</v>
      </c>
      <c r="FV16" s="213">
        <f>SUM(FR16:FU16)</f>
        <v>0</v>
      </c>
      <c r="FW16" s="212">
        <v>0</v>
      </c>
      <c r="FX16" s="211" t="s">
        <v>160</v>
      </c>
      <c r="FY16" s="211">
        <v>0</v>
      </c>
      <c r="FZ16" s="211">
        <v>0</v>
      </c>
      <c r="GA16" s="211">
        <v>0</v>
      </c>
      <c r="GB16" s="213">
        <f>SUM(FL16:FZ16)</f>
        <v>0</v>
      </c>
      <c r="GC16" s="212">
        <v>0</v>
      </c>
      <c r="GD16" s="211">
        <v>0</v>
      </c>
      <c r="GE16" s="211">
        <v>0</v>
      </c>
      <c r="GF16" s="211">
        <v>0</v>
      </c>
      <c r="GG16" s="211" t="s">
        <v>160</v>
      </c>
      <c r="GH16" s="213">
        <v>0</v>
      </c>
      <c r="GI16" s="212">
        <v>0</v>
      </c>
      <c r="GJ16" s="211">
        <v>0</v>
      </c>
      <c r="GK16" s="211">
        <v>0</v>
      </c>
      <c r="GL16" s="211">
        <v>0</v>
      </c>
      <c r="GM16" s="211" t="s">
        <v>160</v>
      </c>
      <c r="GN16" s="213">
        <v>0</v>
      </c>
      <c r="GO16" s="212">
        <v>0</v>
      </c>
      <c r="GP16" s="211">
        <v>0</v>
      </c>
      <c r="GQ16" s="211">
        <v>0</v>
      </c>
      <c r="GR16" s="211">
        <v>0</v>
      </c>
      <c r="GS16" s="211" t="s">
        <v>160</v>
      </c>
      <c r="GT16" s="213">
        <f>SUM(GN16:GS16)</f>
        <v>0</v>
      </c>
      <c r="GU16" s="212">
        <v>0</v>
      </c>
      <c r="GV16" s="211">
        <v>0</v>
      </c>
      <c r="GW16" s="211">
        <v>0</v>
      </c>
      <c r="GX16" s="211">
        <v>0</v>
      </c>
      <c r="GY16" s="211" t="s">
        <v>160</v>
      </c>
      <c r="GZ16" s="213">
        <f>SUM(GT16:GY16)</f>
        <v>0</v>
      </c>
      <c r="HA16" s="212">
        <v>0</v>
      </c>
      <c r="HB16" s="211">
        <v>0</v>
      </c>
      <c r="HC16" s="211">
        <v>0</v>
      </c>
      <c r="HD16" s="211">
        <v>0</v>
      </c>
      <c r="HE16" s="211" t="s">
        <v>160</v>
      </c>
      <c r="HF16" s="213">
        <f>SUM(GZ16:HE16)</f>
        <v>0</v>
      </c>
    </row>
    <row r="17" spans="3:214" x14ac:dyDescent="0.2">
      <c r="C17" t="s">
        <v>1264</v>
      </c>
      <c r="D17" t="s">
        <v>1265</v>
      </c>
      <c r="F17" s="129" t="s">
        <v>1264</v>
      </c>
      <c r="G17" s="160">
        <v>0</v>
      </c>
      <c r="H17" s="118">
        <v>0</v>
      </c>
      <c r="I17" s="161">
        <v>0</v>
      </c>
      <c r="J17" s="160">
        <v>0</v>
      </c>
      <c r="K17" s="118">
        <v>0</v>
      </c>
      <c r="L17" s="118">
        <v>0</v>
      </c>
      <c r="M17" s="118">
        <v>0</v>
      </c>
      <c r="N17" s="161">
        <v>0</v>
      </c>
      <c r="O17" s="160">
        <v>0</v>
      </c>
      <c r="P17" s="118">
        <v>0</v>
      </c>
      <c r="Q17" s="118">
        <v>0</v>
      </c>
      <c r="R17" s="118">
        <v>0</v>
      </c>
      <c r="S17" s="118">
        <v>0</v>
      </c>
      <c r="T17" s="161">
        <v>0</v>
      </c>
      <c r="U17" s="160">
        <v>0</v>
      </c>
      <c r="V17" s="118">
        <v>0</v>
      </c>
      <c r="W17" s="118">
        <v>0</v>
      </c>
      <c r="X17" s="118">
        <v>0</v>
      </c>
      <c r="Y17" s="118">
        <v>0</v>
      </c>
      <c r="Z17" s="161">
        <v>0</v>
      </c>
      <c r="AA17" s="160"/>
      <c r="AB17" s="118"/>
      <c r="AC17" s="118"/>
      <c r="AD17" s="161"/>
      <c r="AE17" s="160">
        <v>0</v>
      </c>
      <c r="AF17" s="118">
        <v>0</v>
      </c>
      <c r="AG17" s="118">
        <v>0</v>
      </c>
      <c r="AH17" s="161"/>
      <c r="AI17" s="160">
        <v>0</v>
      </c>
      <c r="AJ17" s="118">
        <v>0</v>
      </c>
      <c r="AK17" s="118">
        <v>0</v>
      </c>
      <c r="AL17" s="161"/>
      <c r="AM17" s="160">
        <v>0</v>
      </c>
      <c r="AN17" s="118">
        <v>0</v>
      </c>
      <c r="AO17" s="118">
        <v>0</v>
      </c>
      <c r="AP17" s="161"/>
      <c r="AQ17" s="212">
        <v>0</v>
      </c>
      <c r="AR17" s="211">
        <v>0</v>
      </c>
      <c r="AS17" s="211">
        <v>0</v>
      </c>
      <c r="AT17" s="213">
        <v>0</v>
      </c>
      <c r="AU17" s="212">
        <v>0</v>
      </c>
      <c r="AV17" s="211">
        <v>0</v>
      </c>
      <c r="AW17" s="211">
        <v>0</v>
      </c>
      <c r="AX17" s="213">
        <v>0</v>
      </c>
      <c r="AY17" s="212">
        <v>0</v>
      </c>
      <c r="AZ17" s="211">
        <v>0</v>
      </c>
      <c r="BA17" s="211">
        <v>0</v>
      </c>
      <c r="BB17" s="213">
        <v>0</v>
      </c>
      <c r="BC17" s="211">
        <v>0</v>
      </c>
      <c r="BD17" s="211">
        <v>0</v>
      </c>
      <c r="BE17" s="211">
        <v>0</v>
      </c>
      <c r="BF17" s="211">
        <v>0</v>
      </c>
      <c r="BG17" s="212">
        <v>0</v>
      </c>
      <c r="BH17" s="211">
        <v>0</v>
      </c>
      <c r="BI17" s="213">
        <v>0</v>
      </c>
      <c r="BJ17" s="211">
        <v>0</v>
      </c>
      <c r="BK17" s="211">
        <v>0</v>
      </c>
      <c r="BL17" s="211">
        <v>0</v>
      </c>
      <c r="BM17" s="211">
        <v>0</v>
      </c>
      <c r="BN17" s="212">
        <v>0</v>
      </c>
      <c r="BO17" s="211">
        <v>0</v>
      </c>
      <c r="BP17" s="211">
        <v>0</v>
      </c>
      <c r="BQ17" s="211">
        <v>0</v>
      </c>
      <c r="BR17" s="212">
        <v>0</v>
      </c>
      <c r="BS17" s="211">
        <v>0</v>
      </c>
      <c r="BT17" s="211">
        <v>0</v>
      </c>
      <c r="BU17" s="213">
        <f>SUM(BM17:BT17)</f>
        <v>0</v>
      </c>
      <c r="BV17" s="212">
        <v>0</v>
      </c>
      <c r="BW17" s="211">
        <v>0</v>
      </c>
      <c r="BX17" s="211">
        <v>0</v>
      </c>
      <c r="BY17" s="213">
        <f>SUM(BQ17:BX17)</f>
        <v>0</v>
      </c>
      <c r="BZ17" s="212">
        <v>0</v>
      </c>
      <c r="CA17" s="211">
        <v>0</v>
      </c>
      <c r="CB17" s="211">
        <v>0</v>
      </c>
      <c r="CC17" s="213">
        <f>SUM(BU17:CB17)</f>
        <v>0</v>
      </c>
      <c r="CD17" s="212">
        <v>0</v>
      </c>
      <c r="CE17" s="211">
        <v>0</v>
      </c>
      <c r="CF17" s="211">
        <v>0</v>
      </c>
      <c r="CG17" s="213">
        <f>SUM(BU17:CF17)</f>
        <v>0</v>
      </c>
      <c r="CH17" s="212">
        <v>0</v>
      </c>
      <c r="CI17" s="211">
        <v>0</v>
      </c>
      <c r="CJ17" s="211">
        <v>0</v>
      </c>
      <c r="CK17" s="213">
        <f>SUM(BY17:CJ17)</f>
        <v>0</v>
      </c>
      <c r="CL17" s="211">
        <v>0</v>
      </c>
      <c r="CM17" s="211">
        <v>0</v>
      </c>
      <c r="CN17" s="213">
        <f>SUM(CC17:CM17)</f>
        <v>0</v>
      </c>
      <c r="CO17" s="212">
        <v>0</v>
      </c>
      <c r="CP17" s="211">
        <v>0</v>
      </c>
      <c r="CQ17" s="213">
        <f>SUM(CG17:CP17)</f>
        <v>0</v>
      </c>
      <c r="CR17" s="212">
        <v>0</v>
      </c>
      <c r="CS17" s="211">
        <v>0</v>
      </c>
      <c r="CT17" s="213">
        <v>0</v>
      </c>
      <c r="CU17" s="212">
        <v>0</v>
      </c>
      <c r="CV17" s="211">
        <v>0</v>
      </c>
      <c r="CW17" s="211">
        <v>0</v>
      </c>
      <c r="CX17" s="213">
        <v>0</v>
      </c>
      <c r="CY17" s="212">
        <v>0</v>
      </c>
      <c r="CZ17" s="211">
        <v>0</v>
      </c>
      <c r="DA17" s="211">
        <v>0</v>
      </c>
      <c r="DB17" s="213">
        <v>0</v>
      </c>
      <c r="DC17" s="212">
        <v>0</v>
      </c>
      <c r="DD17" s="211">
        <v>0</v>
      </c>
      <c r="DE17" s="211">
        <v>0</v>
      </c>
      <c r="DF17" s="213">
        <f>SUM(CV17:DD17)</f>
        <v>0</v>
      </c>
      <c r="DG17" s="212">
        <v>0</v>
      </c>
      <c r="DH17" s="211">
        <v>0</v>
      </c>
      <c r="DI17" s="211">
        <v>0</v>
      </c>
      <c r="DJ17" s="213">
        <f>SUM(CZ17:DH17)</f>
        <v>0</v>
      </c>
      <c r="DK17" s="212">
        <v>0</v>
      </c>
      <c r="DL17" s="211">
        <v>0</v>
      </c>
      <c r="DM17" s="211">
        <v>0</v>
      </c>
      <c r="DN17" s="213">
        <f>SUM(DD17:DL17)</f>
        <v>0</v>
      </c>
      <c r="DO17" s="212">
        <v>0</v>
      </c>
      <c r="DP17" s="211">
        <v>0</v>
      </c>
      <c r="DQ17" s="211">
        <v>0</v>
      </c>
      <c r="DR17" s="213">
        <f>SUM(DH17:DP17)</f>
        <v>0</v>
      </c>
      <c r="DS17" s="212">
        <v>0</v>
      </c>
      <c r="DT17" s="211">
        <v>0</v>
      </c>
      <c r="DU17" s="211">
        <v>0</v>
      </c>
      <c r="DV17" s="213">
        <f>SUM(DL17:DT17)</f>
        <v>0</v>
      </c>
      <c r="DW17" s="212">
        <v>0</v>
      </c>
      <c r="DX17" s="211">
        <v>0</v>
      </c>
      <c r="DY17" s="211">
        <v>0</v>
      </c>
      <c r="DZ17" s="213">
        <v>0</v>
      </c>
      <c r="EA17" s="212">
        <v>0</v>
      </c>
      <c r="EB17" s="211">
        <v>0</v>
      </c>
      <c r="EC17" s="211">
        <v>0</v>
      </c>
      <c r="ED17" s="213">
        <f>SUM(DT17:EB17)</f>
        <v>0</v>
      </c>
      <c r="EE17" s="212">
        <v>0</v>
      </c>
      <c r="EF17" s="211">
        <v>0</v>
      </c>
      <c r="EG17" s="211">
        <v>0</v>
      </c>
      <c r="EH17" s="213">
        <f>SUM(DT17:EF17)</f>
        <v>0</v>
      </c>
      <c r="EI17" s="212">
        <v>0</v>
      </c>
      <c r="EJ17" s="211">
        <v>0</v>
      </c>
      <c r="EK17" s="211">
        <v>0</v>
      </c>
      <c r="EL17" s="213">
        <f>SUM(DX17:EJ17)</f>
        <v>0</v>
      </c>
      <c r="EM17" s="212">
        <v>0</v>
      </c>
      <c r="EN17" s="211">
        <v>0</v>
      </c>
      <c r="EO17" s="211">
        <v>0</v>
      </c>
      <c r="EP17" s="213">
        <f>SUM(EB17:EN17)</f>
        <v>0</v>
      </c>
      <c r="EQ17" s="212">
        <v>0</v>
      </c>
      <c r="ER17" s="211">
        <v>0</v>
      </c>
      <c r="ES17" s="211">
        <v>0</v>
      </c>
      <c r="ET17" s="213">
        <f>SUM(EF17:ER17)</f>
        <v>0</v>
      </c>
      <c r="EU17" s="212">
        <v>0</v>
      </c>
      <c r="EV17" s="211">
        <v>0</v>
      </c>
      <c r="EW17" s="211">
        <v>0</v>
      </c>
      <c r="EX17" s="213">
        <f>SUM(EJ17:EV17)</f>
        <v>0</v>
      </c>
      <c r="EY17" s="212">
        <v>0</v>
      </c>
      <c r="EZ17" s="211">
        <v>0</v>
      </c>
      <c r="FA17" s="211">
        <v>0</v>
      </c>
      <c r="FB17" s="213">
        <f>SUM(EN17:EZ17)</f>
        <v>0</v>
      </c>
      <c r="FC17" s="212">
        <v>0</v>
      </c>
      <c r="FD17" s="211">
        <v>0</v>
      </c>
      <c r="FE17" s="211">
        <v>0</v>
      </c>
      <c r="FF17" s="213">
        <f>SUM(ER17:FD17)</f>
        <v>0</v>
      </c>
      <c r="FG17" s="212">
        <v>0</v>
      </c>
      <c r="FH17" s="211">
        <v>0</v>
      </c>
      <c r="FI17" s="211">
        <v>0</v>
      </c>
      <c r="FJ17" s="213">
        <f>SUM(EV17:FH17)</f>
        <v>0</v>
      </c>
      <c r="FK17" s="212">
        <v>1222</v>
      </c>
      <c r="FL17" s="211">
        <v>0</v>
      </c>
      <c r="FM17" s="211">
        <v>3638</v>
      </c>
      <c r="FN17" s="213">
        <f>SUM(FJ17:FM17)</f>
        <v>4860</v>
      </c>
      <c r="FO17" s="211">
        <v>2747</v>
      </c>
      <c r="FP17" s="211">
        <v>0</v>
      </c>
      <c r="FQ17" s="211">
        <v>18</v>
      </c>
      <c r="FR17" s="213">
        <f>SUM(FN17:FQ17)</f>
        <v>7625</v>
      </c>
      <c r="FS17" s="211">
        <v>2747</v>
      </c>
      <c r="FT17" s="211">
        <v>0</v>
      </c>
      <c r="FU17" s="211">
        <v>18</v>
      </c>
      <c r="FV17" s="213">
        <f>SUM(FR17:FU17)</f>
        <v>10390</v>
      </c>
      <c r="FW17" s="212">
        <v>6808</v>
      </c>
      <c r="FX17" s="211">
        <v>-16567</v>
      </c>
      <c r="FY17" s="211">
        <v>0</v>
      </c>
      <c r="FZ17" s="211">
        <v>0</v>
      </c>
      <c r="GA17" s="211">
        <v>-36</v>
      </c>
      <c r="GB17" s="213">
        <f>SUM(FV17:GA17)</f>
        <v>595</v>
      </c>
      <c r="GC17" s="212">
        <v>5763</v>
      </c>
      <c r="GD17" s="211">
        <v>-2562</v>
      </c>
      <c r="GE17" s="211">
        <v>0</v>
      </c>
      <c r="GF17" s="211">
        <v>0</v>
      </c>
      <c r="GG17" s="211" t="s">
        <v>160</v>
      </c>
      <c r="GH17" s="213">
        <v>3796</v>
      </c>
      <c r="GI17" s="212">
        <v>2641</v>
      </c>
      <c r="GJ17" s="211">
        <v>-180</v>
      </c>
      <c r="GK17" s="211">
        <v>0</v>
      </c>
      <c r="GL17" s="211">
        <v>0</v>
      </c>
      <c r="GM17" s="211" t="s">
        <v>160</v>
      </c>
      <c r="GN17" s="213">
        <v>6257</v>
      </c>
      <c r="GO17" s="212">
        <v>2300</v>
      </c>
      <c r="GP17" s="211">
        <v>-6891</v>
      </c>
      <c r="GQ17" s="211">
        <v>0</v>
      </c>
      <c r="GR17" s="211">
        <v>0</v>
      </c>
      <c r="GS17" s="211" t="s">
        <v>160</v>
      </c>
      <c r="GT17" s="213">
        <f>SUM(GN17:GS17)</f>
        <v>1666</v>
      </c>
      <c r="GU17" s="212">
        <v>3792</v>
      </c>
      <c r="GV17" s="211">
        <v>-1468</v>
      </c>
      <c r="GW17" s="211">
        <v>0</v>
      </c>
      <c r="GX17" s="211">
        <v>0</v>
      </c>
      <c r="GY17" s="211">
        <v>-236</v>
      </c>
      <c r="GZ17" s="213">
        <f>SUM(GT17:GY17)</f>
        <v>3754</v>
      </c>
      <c r="HA17" s="212">
        <v>2551</v>
      </c>
      <c r="HB17" s="211">
        <v>0</v>
      </c>
      <c r="HC17" s="211">
        <v>0</v>
      </c>
      <c r="HD17" s="211">
        <v>0</v>
      </c>
      <c r="HE17" s="211">
        <v>0</v>
      </c>
      <c r="HF17" s="213">
        <f>SUM(GZ17:HE17)</f>
        <v>6305</v>
      </c>
    </row>
    <row r="18" spans="3:214" x14ac:dyDescent="0.2">
      <c r="C18" t="s">
        <v>112</v>
      </c>
      <c r="D18" t="s">
        <v>112</v>
      </c>
      <c r="F18" s="120" t="s">
        <v>112</v>
      </c>
      <c r="G18" s="162">
        <f t="shared" ref="G18:AH18" si="1">SUM(G15:G16)</f>
        <v>851</v>
      </c>
      <c r="H18" s="120">
        <f t="shared" si="1"/>
        <v>-703</v>
      </c>
      <c r="I18" s="163">
        <f t="shared" si="1"/>
        <v>9847</v>
      </c>
      <c r="J18" s="162">
        <f t="shared" si="1"/>
        <v>-608</v>
      </c>
      <c r="K18" s="120">
        <f t="shared" si="1"/>
        <v>-524</v>
      </c>
      <c r="L18" s="120">
        <f t="shared" si="1"/>
        <v>-1107</v>
      </c>
      <c r="M18" s="120">
        <f t="shared" si="1"/>
        <v>0</v>
      </c>
      <c r="N18" s="163">
        <f t="shared" si="1"/>
        <v>7608</v>
      </c>
      <c r="O18" s="162">
        <f t="shared" si="1"/>
        <v>35</v>
      </c>
      <c r="P18" s="120">
        <f t="shared" si="1"/>
        <v>-603</v>
      </c>
      <c r="Q18" s="120">
        <f t="shared" si="1"/>
        <v>0</v>
      </c>
      <c r="R18" s="120">
        <f t="shared" si="1"/>
        <v>0</v>
      </c>
      <c r="S18" s="120">
        <f t="shared" si="1"/>
        <v>0</v>
      </c>
      <c r="T18" s="163">
        <f t="shared" si="1"/>
        <v>7040</v>
      </c>
      <c r="U18" s="162">
        <f t="shared" si="1"/>
        <v>1497</v>
      </c>
      <c r="V18" s="120">
        <f t="shared" si="1"/>
        <v>-1184</v>
      </c>
      <c r="W18" s="120">
        <f t="shared" si="1"/>
        <v>0</v>
      </c>
      <c r="X18" s="120">
        <f t="shared" si="1"/>
        <v>0</v>
      </c>
      <c r="Y18" s="120">
        <f t="shared" si="1"/>
        <v>-39</v>
      </c>
      <c r="Z18" s="163">
        <f t="shared" si="1"/>
        <v>7314</v>
      </c>
      <c r="AA18" s="162">
        <f t="shared" si="1"/>
        <v>93</v>
      </c>
      <c r="AB18" s="120">
        <f t="shared" si="1"/>
        <v>7206</v>
      </c>
      <c r="AC18" s="120">
        <f t="shared" si="1"/>
        <v>-783</v>
      </c>
      <c r="AD18" s="163">
        <f t="shared" si="1"/>
        <v>13830</v>
      </c>
      <c r="AE18" s="162">
        <f t="shared" si="1"/>
        <v>357</v>
      </c>
      <c r="AF18" s="120">
        <f t="shared" si="1"/>
        <v>1395</v>
      </c>
      <c r="AG18" s="120">
        <f t="shared" si="1"/>
        <v>-1018</v>
      </c>
      <c r="AH18" s="163">
        <f t="shared" si="1"/>
        <v>14564</v>
      </c>
      <c r="AI18" s="162">
        <f t="shared" ref="AI18:BB18" si="2">SUM(AI15:AI16)</f>
        <v>245</v>
      </c>
      <c r="AJ18" s="120">
        <f t="shared" si="2"/>
        <v>1326</v>
      </c>
      <c r="AK18" s="120">
        <f t="shared" si="2"/>
        <v>-1215</v>
      </c>
      <c r="AL18" s="163">
        <f t="shared" si="2"/>
        <v>14920</v>
      </c>
      <c r="AM18" s="162">
        <f t="shared" si="2"/>
        <v>160</v>
      </c>
      <c r="AN18" s="120">
        <f t="shared" si="2"/>
        <v>1024</v>
      </c>
      <c r="AO18" s="120">
        <f t="shared" si="2"/>
        <v>-1401</v>
      </c>
      <c r="AP18" s="163">
        <f t="shared" si="2"/>
        <v>14703</v>
      </c>
      <c r="AQ18" s="162">
        <f t="shared" si="2"/>
        <v>323</v>
      </c>
      <c r="AR18" s="120">
        <f t="shared" si="2"/>
        <v>44</v>
      </c>
      <c r="AS18" s="120">
        <f t="shared" si="2"/>
        <v>-1408</v>
      </c>
      <c r="AT18" s="163">
        <f t="shared" si="2"/>
        <v>13662</v>
      </c>
      <c r="AU18" s="162">
        <f t="shared" si="2"/>
        <v>908</v>
      </c>
      <c r="AV18" s="120">
        <f t="shared" si="2"/>
        <v>1981</v>
      </c>
      <c r="AW18" s="120">
        <f t="shared" si="2"/>
        <v>-1192</v>
      </c>
      <c r="AX18" s="163">
        <f t="shared" si="2"/>
        <v>15359</v>
      </c>
      <c r="AY18" s="162">
        <f t="shared" si="2"/>
        <v>311</v>
      </c>
      <c r="AZ18" s="120">
        <f t="shared" si="2"/>
        <v>-708</v>
      </c>
      <c r="BA18" s="120">
        <f t="shared" si="2"/>
        <v>-1200</v>
      </c>
      <c r="BB18" s="163">
        <f t="shared" si="2"/>
        <v>13762</v>
      </c>
      <c r="BC18" s="120">
        <v>318</v>
      </c>
      <c r="BD18" s="120">
        <v>1</v>
      </c>
      <c r="BE18" s="120">
        <v>-1184</v>
      </c>
      <c r="BF18" s="120">
        <v>12897</v>
      </c>
      <c r="BG18" s="162">
        <v>1244</v>
      </c>
      <c r="BH18" s="120">
        <v>-1172</v>
      </c>
      <c r="BI18" s="163">
        <f>SUM(BF18:BH18)</f>
        <v>12969</v>
      </c>
      <c r="BJ18" s="120">
        <v>878</v>
      </c>
      <c r="BK18" s="120">
        <v>-1181</v>
      </c>
      <c r="BL18" s="120">
        <v>0</v>
      </c>
      <c r="BM18" s="163">
        <f>SUM(BI18:BL18)</f>
        <v>12666</v>
      </c>
      <c r="BN18" s="162">
        <f t="shared" ref="BN18:CM18" si="3">SUM(BN15:BN16)</f>
        <v>976</v>
      </c>
      <c r="BO18" s="120">
        <f t="shared" si="3"/>
        <v>-1161</v>
      </c>
      <c r="BP18" s="120">
        <f t="shared" si="3"/>
        <v>0</v>
      </c>
      <c r="BQ18" s="163">
        <f t="shared" si="3"/>
        <v>12481</v>
      </c>
      <c r="BR18" s="162">
        <f t="shared" si="3"/>
        <v>1273</v>
      </c>
      <c r="BS18" s="120">
        <f t="shared" si="3"/>
        <v>-1186</v>
      </c>
      <c r="BT18" s="120">
        <f t="shared" si="3"/>
        <v>0</v>
      </c>
      <c r="BU18" s="163">
        <f t="shared" si="3"/>
        <v>12568</v>
      </c>
      <c r="BV18" s="162">
        <f t="shared" si="3"/>
        <v>1039</v>
      </c>
      <c r="BW18" s="120">
        <f t="shared" si="3"/>
        <v>-1154</v>
      </c>
      <c r="BX18" s="120">
        <f t="shared" si="3"/>
        <v>-1036</v>
      </c>
      <c r="BY18" s="163">
        <f t="shared" si="3"/>
        <v>11417</v>
      </c>
      <c r="BZ18" s="162">
        <f t="shared" si="3"/>
        <v>897</v>
      </c>
      <c r="CA18" s="120">
        <f t="shared" si="3"/>
        <v>-1158</v>
      </c>
      <c r="CB18" s="120">
        <f t="shared" si="3"/>
        <v>0</v>
      </c>
      <c r="CC18" s="163">
        <f t="shared" si="3"/>
        <v>11156</v>
      </c>
      <c r="CD18" s="162">
        <f>SUM(CD15:CD16)</f>
        <v>1443</v>
      </c>
      <c r="CE18" s="120">
        <f>SUM(CE15:CE16)</f>
        <v>-1193</v>
      </c>
      <c r="CF18" s="120">
        <f>SUM(CF15:CF16)</f>
        <v>0</v>
      </c>
      <c r="CG18" s="163">
        <f>SUM(CG15:CG16)</f>
        <v>11406</v>
      </c>
      <c r="CH18" s="162">
        <f t="shared" si="3"/>
        <v>2222</v>
      </c>
      <c r="CI18" s="120">
        <f t="shared" si="3"/>
        <v>-1185</v>
      </c>
      <c r="CJ18" s="120">
        <f t="shared" si="3"/>
        <v>-21</v>
      </c>
      <c r="CK18" s="163">
        <f t="shared" si="3"/>
        <v>12422</v>
      </c>
      <c r="CL18" s="162">
        <f t="shared" si="3"/>
        <v>1424</v>
      </c>
      <c r="CM18" s="120">
        <f t="shared" si="3"/>
        <v>-1232</v>
      </c>
      <c r="CN18" s="163">
        <f>SUM(CN15:CN16)</f>
        <v>12614</v>
      </c>
      <c r="CO18" s="162">
        <f>SUM(CO15:CO16)</f>
        <v>672</v>
      </c>
      <c r="CP18" s="120">
        <f>SUM(CP15:CP16)</f>
        <v>-1284</v>
      </c>
      <c r="CQ18" s="163">
        <f>SUM(CQ15:CQ16)</f>
        <v>12002</v>
      </c>
      <c r="CR18" s="162">
        <v>874</v>
      </c>
      <c r="CS18" s="120">
        <v>-1319</v>
      </c>
      <c r="CT18" s="163">
        <v>11557</v>
      </c>
      <c r="CU18" s="162">
        <f t="shared" ref="CU18:EK18" si="4">SUM(CU15:CU16)</f>
        <v>1227</v>
      </c>
      <c r="CV18" s="120">
        <f t="shared" si="4"/>
        <v>-1349</v>
      </c>
      <c r="CW18" s="120">
        <f t="shared" si="4"/>
        <v>-21</v>
      </c>
      <c r="CX18" s="163">
        <f t="shared" si="4"/>
        <v>11414</v>
      </c>
      <c r="CY18" s="162">
        <f t="shared" si="4"/>
        <v>1497</v>
      </c>
      <c r="CZ18" s="120">
        <f t="shared" si="4"/>
        <v>-1200</v>
      </c>
      <c r="DA18" s="120">
        <f t="shared" si="4"/>
        <v>-21</v>
      </c>
      <c r="DB18" s="163">
        <f t="shared" si="4"/>
        <v>11690</v>
      </c>
      <c r="DC18" s="162">
        <f t="shared" si="4"/>
        <v>961</v>
      </c>
      <c r="DD18" s="120">
        <f t="shared" si="4"/>
        <v>-1042</v>
      </c>
      <c r="DE18" s="120">
        <f t="shared" si="4"/>
        <v>51</v>
      </c>
      <c r="DF18" s="163">
        <f t="shared" si="4"/>
        <v>11660</v>
      </c>
      <c r="DG18" s="162">
        <f t="shared" si="4"/>
        <v>633</v>
      </c>
      <c r="DH18" s="120">
        <f t="shared" si="4"/>
        <v>-1051</v>
      </c>
      <c r="DI18" s="120">
        <f t="shared" si="4"/>
        <v>-50</v>
      </c>
      <c r="DJ18" s="163">
        <f t="shared" si="4"/>
        <v>11192</v>
      </c>
      <c r="DK18" s="162">
        <f t="shared" si="4"/>
        <v>766</v>
      </c>
      <c r="DL18" s="120">
        <f t="shared" si="4"/>
        <v>-1026</v>
      </c>
      <c r="DM18" s="120">
        <f t="shared" si="4"/>
        <v>-195</v>
      </c>
      <c r="DN18" s="163">
        <f t="shared" si="4"/>
        <v>10737</v>
      </c>
      <c r="DO18" s="162">
        <f t="shared" si="4"/>
        <v>1791</v>
      </c>
      <c r="DP18" s="120">
        <f t="shared" si="4"/>
        <v>-1028</v>
      </c>
      <c r="DQ18" s="120">
        <f t="shared" si="4"/>
        <v>43</v>
      </c>
      <c r="DR18" s="163">
        <f t="shared" si="4"/>
        <v>11543</v>
      </c>
      <c r="DS18" s="162">
        <f t="shared" si="4"/>
        <v>1091</v>
      </c>
      <c r="DT18" s="120">
        <f t="shared" si="4"/>
        <v>-1046</v>
      </c>
      <c r="DU18" s="120">
        <f t="shared" si="4"/>
        <v>125</v>
      </c>
      <c r="DV18" s="163">
        <f t="shared" si="4"/>
        <v>11713</v>
      </c>
      <c r="DW18" s="162">
        <f t="shared" si="4"/>
        <v>1227</v>
      </c>
      <c r="DX18" s="120">
        <f t="shared" si="4"/>
        <v>-1074</v>
      </c>
      <c r="DY18" s="120">
        <f t="shared" si="4"/>
        <v>0</v>
      </c>
      <c r="DZ18" s="163">
        <f t="shared" si="4"/>
        <v>11866</v>
      </c>
      <c r="EA18" s="162">
        <f t="shared" si="4"/>
        <v>1786</v>
      </c>
      <c r="EB18" s="120">
        <f t="shared" si="4"/>
        <v>-1125</v>
      </c>
      <c r="EC18" s="120">
        <f t="shared" si="4"/>
        <v>-6</v>
      </c>
      <c r="ED18" s="163">
        <f t="shared" si="4"/>
        <v>12521</v>
      </c>
      <c r="EE18" s="162">
        <f>SUM(EE15:EE16)</f>
        <v>2182</v>
      </c>
      <c r="EF18" s="120">
        <f>SUM(EF15:EF16)</f>
        <v>-1203</v>
      </c>
      <c r="EG18" s="120">
        <f>SUM(EG15:EG16)</f>
        <v>0</v>
      </c>
      <c r="EH18" s="163">
        <f>SUM(EH15:EH16)</f>
        <v>13500</v>
      </c>
      <c r="EI18" s="162">
        <f t="shared" si="4"/>
        <v>886</v>
      </c>
      <c r="EJ18" s="120">
        <f t="shared" si="4"/>
        <v>-1223</v>
      </c>
      <c r="EK18" s="120">
        <f t="shared" si="4"/>
        <v>3</v>
      </c>
      <c r="EL18" s="163">
        <f>SUM(EH18:EK18)</f>
        <v>13166</v>
      </c>
      <c r="EM18" s="162">
        <f>SUM(EM15:EM16)</f>
        <v>2323</v>
      </c>
      <c r="EN18" s="120">
        <f>SUM(EN15:EN16)</f>
        <v>-1240</v>
      </c>
      <c r="EO18" s="120">
        <f>SUM(EO15:EO16)</f>
        <v>-3</v>
      </c>
      <c r="EP18" s="163">
        <f>SUM(EL18:EO18)</f>
        <v>14246</v>
      </c>
      <c r="EQ18" s="162">
        <f>SUM(EQ15:EQ16)</f>
        <v>3171</v>
      </c>
      <c r="ER18" s="120">
        <f>SUM(ER15:ER16)</f>
        <v>-1330</v>
      </c>
      <c r="ES18" s="120">
        <f>SUM(ES15:ES16)</f>
        <v>-15</v>
      </c>
      <c r="ET18" s="163">
        <f>SUM(EP18:ES18)</f>
        <v>16072</v>
      </c>
      <c r="EU18" s="162">
        <f>SUM(EU15:EU16)</f>
        <v>2642</v>
      </c>
      <c r="EV18" s="120">
        <f>SUM(EV15:EV16)</f>
        <v>-1407</v>
      </c>
      <c r="EW18" s="120">
        <f>SUM(EW15:EW16)</f>
        <v>-25</v>
      </c>
      <c r="EX18" s="163">
        <f>SUM(ET18:EW18)</f>
        <v>17282</v>
      </c>
      <c r="EY18" s="162">
        <f>SUM(EY15:EY16)</f>
        <v>1536</v>
      </c>
      <c r="EZ18" s="120">
        <f>SUM(EZ15:EZ16)</f>
        <v>-1490</v>
      </c>
      <c r="FA18" s="120">
        <f>SUM(FA15:FA16)</f>
        <v>25</v>
      </c>
      <c r="FB18" s="163">
        <f>SUM(EX18:FA18)</f>
        <v>17353</v>
      </c>
      <c r="FC18" s="162">
        <f>SUM(FC15:FC16)</f>
        <v>1381</v>
      </c>
      <c r="FD18" s="120">
        <f>SUM(FD15:FD16)</f>
        <v>-1523</v>
      </c>
      <c r="FE18" s="120">
        <f>SUM(FE15:FE16)</f>
        <v>-24</v>
      </c>
      <c r="FF18" s="163">
        <f>SUM(FB18:FE18)</f>
        <v>17187</v>
      </c>
      <c r="FG18" s="162">
        <f>SUM(FG15:FG16)</f>
        <v>1057</v>
      </c>
      <c r="FH18" s="120">
        <f>SUM(FH15:FH16)</f>
        <v>-1496</v>
      </c>
      <c r="FI18" s="120">
        <f>SUM(FI15:FI16)</f>
        <v>0</v>
      </c>
      <c r="FJ18" s="163">
        <f>SUM(FF18:FI18)</f>
        <v>16748</v>
      </c>
      <c r="FK18" s="162">
        <f t="shared" ref="FK18:GS18" si="5">SUM(FK15:FK17)</f>
        <v>3359</v>
      </c>
      <c r="FL18" s="120">
        <f t="shared" si="5"/>
        <v>-1477</v>
      </c>
      <c r="FM18" s="120">
        <f t="shared" si="5"/>
        <v>3638</v>
      </c>
      <c r="FN18" s="163">
        <f t="shared" si="5"/>
        <v>22268</v>
      </c>
      <c r="FO18" s="162">
        <f t="shared" si="5"/>
        <v>3085</v>
      </c>
      <c r="FP18" s="120">
        <f t="shared" si="5"/>
        <v>-1492</v>
      </c>
      <c r="FQ18" s="120">
        <f t="shared" si="5"/>
        <v>0</v>
      </c>
      <c r="FR18" s="163">
        <f t="shared" si="5"/>
        <v>23861</v>
      </c>
      <c r="FS18" s="162">
        <f t="shared" si="5"/>
        <v>3085</v>
      </c>
      <c r="FT18" s="120">
        <f t="shared" si="5"/>
        <v>-1492</v>
      </c>
      <c r="FU18" s="120">
        <f t="shared" si="5"/>
        <v>0</v>
      </c>
      <c r="FV18" s="163">
        <f t="shared" si="5"/>
        <v>25454</v>
      </c>
      <c r="FW18" s="162">
        <f t="shared" si="5"/>
        <v>7197</v>
      </c>
      <c r="FX18" s="162">
        <f t="shared" si="5"/>
        <v>36</v>
      </c>
      <c r="FY18" s="120">
        <f t="shared" si="5"/>
        <v>-1718</v>
      </c>
      <c r="FZ18" s="120">
        <f t="shared" si="5"/>
        <v>0</v>
      </c>
      <c r="GA18" s="120">
        <f t="shared" si="5"/>
        <v>-58</v>
      </c>
      <c r="GB18" s="163">
        <f t="shared" si="5"/>
        <v>30911</v>
      </c>
      <c r="GC18" s="162">
        <f t="shared" si="5"/>
        <v>5763</v>
      </c>
      <c r="GD18" s="207" t="s">
        <v>160</v>
      </c>
      <c r="GE18" s="120">
        <f t="shared" ref="GE18:GM18" si="6">SUM(GE15:GE17)</f>
        <v>-2377</v>
      </c>
      <c r="GF18" s="120">
        <f t="shared" si="6"/>
        <v>0</v>
      </c>
      <c r="GG18" s="120">
        <f t="shared" si="6"/>
        <v>0</v>
      </c>
      <c r="GH18" s="163">
        <f t="shared" si="6"/>
        <v>34297</v>
      </c>
      <c r="GI18" s="162">
        <f t="shared" si="6"/>
        <v>2642</v>
      </c>
      <c r="GJ18" s="120">
        <f t="shared" si="6"/>
        <v>0</v>
      </c>
      <c r="GK18" s="120">
        <f t="shared" si="6"/>
        <v>-2295</v>
      </c>
      <c r="GL18" s="120">
        <f t="shared" si="6"/>
        <v>0</v>
      </c>
      <c r="GM18" s="120">
        <f t="shared" si="6"/>
        <v>-9</v>
      </c>
      <c r="GN18" s="120">
        <v>34634</v>
      </c>
      <c r="GO18" s="162">
        <f t="shared" si="5"/>
        <v>6018</v>
      </c>
      <c r="GP18" s="120">
        <f t="shared" si="5"/>
        <v>0</v>
      </c>
      <c r="GQ18" s="120">
        <f t="shared" si="5"/>
        <v>-2473</v>
      </c>
      <c r="GR18" s="120">
        <f t="shared" si="5"/>
        <v>0</v>
      </c>
      <c r="GS18" s="120">
        <f t="shared" si="5"/>
        <v>152</v>
      </c>
      <c r="GT18" s="163">
        <f t="shared" ref="GT18:HF18" si="7">SUM(GT15:GT17)</f>
        <v>38332</v>
      </c>
      <c r="GU18" s="162">
        <f t="shared" si="7"/>
        <v>3778</v>
      </c>
      <c r="GV18" s="120">
        <f t="shared" si="7"/>
        <v>0</v>
      </c>
      <c r="GW18" s="120">
        <f t="shared" si="7"/>
        <v>-2821</v>
      </c>
      <c r="GX18" s="120">
        <f t="shared" si="7"/>
        <v>0</v>
      </c>
      <c r="GY18" s="120">
        <f t="shared" si="7"/>
        <v>-7</v>
      </c>
      <c r="GZ18" s="163">
        <f t="shared" si="7"/>
        <v>39282</v>
      </c>
      <c r="HA18" s="162">
        <f t="shared" si="7"/>
        <v>4059</v>
      </c>
      <c r="HB18" s="120">
        <f t="shared" si="7"/>
        <v>0</v>
      </c>
      <c r="HC18" s="120">
        <f t="shared" si="7"/>
        <v>-2812</v>
      </c>
      <c r="HD18" s="120">
        <f t="shared" si="7"/>
        <v>0</v>
      </c>
      <c r="HE18" s="120">
        <f t="shared" si="7"/>
        <v>0</v>
      </c>
      <c r="HF18" s="163">
        <f t="shared" si="7"/>
        <v>40529</v>
      </c>
    </row>
    <row r="19" spans="3:214" s="232" customFormat="1" hidden="1" outlineLevel="1" x14ac:dyDescent="0.2">
      <c r="C19" s="232" t="s">
        <v>262</v>
      </c>
      <c r="D19" s="232" t="s">
        <v>664</v>
      </c>
      <c r="F19" s="249" t="s">
        <v>262</v>
      </c>
      <c r="G19" s="219"/>
      <c r="H19" s="218"/>
      <c r="I19" s="746"/>
      <c r="J19" s="219">
        <v>0</v>
      </c>
      <c r="K19" s="218">
        <v>0</v>
      </c>
      <c r="L19" s="218"/>
      <c r="M19" s="218"/>
      <c r="N19" s="746">
        <v>0</v>
      </c>
      <c r="O19" s="219">
        <v>0</v>
      </c>
      <c r="P19" s="218">
        <v>0</v>
      </c>
      <c r="Q19" s="218">
        <v>0</v>
      </c>
      <c r="R19" s="218"/>
      <c r="S19" s="218">
        <v>0</v>
      </c>
      <c r="T19" s="746"/>
      <c r="U19" s="219">
        <v>0</v>
      </c>
      <c r="V19" s="218">
        <v>0</v>
      </c>
      <c r="W19" s="218">
        <v>0</v>
      </c>
      <c r="X19" s="218">
        <v>0</v>
      </c>
      <c r="Y19" s="218">
        <v>0</v>
      </c>
      <c r="Z19" s="746"/>
      <c r="AA19" s="747"/>
      <c r="AB19" s="218"/>
      <c r="AC19" s="218"/>
      <c r="AD19" s="746"/>
      <c r="AE19" s="219">
        <v>0</v>
      </c>
      <c r="AF19" s="218">
        <v>0</v>
      </c>
      <c r="AG19" s="218">
        <v>0</v>
      </c>
      <c r="AH19" s="746"/>
      <c r="AI19" s="219">
        <v>0</v>
      </c>
      <c r="AJ19" s="218">
        <v>0</v>
      </c>
      <c r="AK19" s="218">
        <v>0</v>
      </c>
      <c r="AL19" s="746"/>
      <c r="AM19" s="219">
        <v>0</v>
      </c>
      <c r="AN19" s="218">
        <v>0</v>
      </c>
      <c r="AO19" s="218">
        <v>0</v>
      </c>
      <c r="AP19" s="746"/>
      <c r="AQ19" s="219">
        <v>0</v>
      </c>
      <c r="AR19" s="218">
        <v>0</v>
      </c>
      <c r="AS19" s="218">
        <v>0</v>
      </c>
      <c r="AT19" s="746">
        <f t="shared" ref="AT19:AT25" si="8">SUM(AP19:AS19)</f>
        <v>0</v>
      </c>
      <c r="AU19" s="219">
        <v>0</v>
      </c>
      <c r="AV19" s="218">
        <v>0</v>
      </c>
      <c r="AW19" s="218">
        <v>0</v>
      </c>
      <c r="AX19" s="746">
        <f t="shared" ref="AX19:AX25" si="9">SUM(AT19:AW19)</f>
        <v>0</v>
      </c>
      <c r="AY19" s="219">
        <v>0</v>
      </c>
      <c r="AZ19" s="218">
        <v>0</v>
      </c>
      <c r="BA19" s="218">
        <v>0</v>
      </c>
      <c r="BB19" s="746">
        <f t="shared" ref="BB19:BB25" si="10">SUM(AX19:BA19)</f>
        <v>0</v>
      </c>
      <c r="BC19" s="218">
        <v>0</v>
      </c>
      <c r="BD19" s="218">
        <v>0</v>
      </c>
      <c r="BE19" s="218">
        <v>0</v>
      </c>
      <c r="BF19" s="218">
        <v>0</v>
      </c>
      <c r="BG19" s="219">
        <v>0</v>
      </c>
      <c r="BH19" s="218">
        <v>0</v>
      </c>
      <c r="BI19" s="746">
        <v>0</v>
      </c>
      <c r="BJ19" s="218">
        <v>0</v>
      </c>
      <c r="BK19" s="218">
        <v>0</v>
      </c>
      <c r="BL19" s="218">
        <v>0</v>
      </c>
      <c r="BM19" s="218">
        <v>0</v>
      </c>
      <c r="BN19" s="219">
        <v>0</v>
      </c>
      <c r="BO19" s="218">
        <v>0</v>
      </c>
      <c r="BP19" s="218">
        <v>0</v>
      </c>
      <c r="BQ19" s="748">
        <f t="shared" ref="BQ19:BQ25" si="11">SUM(BI19:BP19)</f>
        <v>0</v>
      </c>
      <c r="BR19" s="219">
        <v>0</v>
      </c>
      <c r="BS19" s="218">
        <v>0</v>
      </c>
      <c r="BT19" s="218">
        <v>0</v>
      </c>
      <c r="BU19" s="748">
        <f t="shared" ref="BU19:BU25" si="12">SUM(BM19:BT19)</f>
        <v>0</v>
      </c>
      <c r="BV19" s="219">
        <v>0</v>
      </c>
      <c r="BW19" s="218">
        <v>0</v>
      </c>
      <c r="BX19" s="218">
        <v>0</v>
      </c>
      <c r="BY19" s="748">
        <f t="shared" ref="BY19:BY25" si="13">SUM(BQ19:BX19)</f>
        <v>0</v>
      </c>
      <c r="BZ19" s="219">
        <v>0</v>
      </c>
      <c r="CA19" s="218">
        <v>0</v>
      </c>
      <c r="CB19" s="218">
        <v>0</v>
      </c>
      <c r="CC19" s="748">
        <f t="shared" ref="CC19:CC25" si="14">SUM(BU19:CB19)</f>
        <v>0</v>
      </c>
      <c r="CD19" s="219">
        <v>0</v>
      </c>
      <c r="CE19" s="218">
        <v>0</v>
      </c>
      <c r="CF19" s="218">
        <v>0</v>
      </c>
      <c r="CG19" s="748">
        <f t="shared" ref="CG19:CG25" si="15">SUM(BU19:CF19)</f>
        <v>0</v>
      </c>
      <c r="CH19" s="219">
        <v>0</v>
      </c>
      <c r="CI19" s="218">
        <v>0</v>
      </c>
      <c r="CJ19" s="218">
        <v>0</v>
      </c>
      <c r="CK19" s="748">
        <f t="shared" ref="CK19:CK25" si="16">SUM(BY19:CJ19)</f>
        <v>0</v>
      </c>
      <c r="CL19" s="749">
        <v>0</v>
      </c>
      <c r="CM19" s="749">
        <v>0</v>
      </c>
      <c r="CN19" s="748">
        <f t="shared" ref="CN19:CN25" si="17">SUM(CC19:CM19)</f>
        <v>0</v>
      </c>
      <c r="CO19" s="219">
        <v>0</v>
      </c>
      <c r="CP19" s="218">
        <v>0</v>
      </c>
      <c r="CQ19" s="748">
        <f t="shared" ref="CQ19:CQ25" si="18">SUM(CG19:CP19)</f>
        <v>0</v>
      </c>
      <c r="CR19" s="219">
        <v>0</v>
      </c>
      <c r="CS19" s="218">
        <v>0</v>
      </c>
      <c r="CT19" s="748">
        <v>0</v>
      </c>
      <c r="CU19" s="219">
        <v>0</v>
      </c>
      <c r="CV19" s="218">
        <v>0</v>
      </c>
      <c r="CW19" s="218">
        <v>0</v>
      </c>
      <c r="CX19" s="748">
        <f t="shared" ref="CX19:CX25" si="19">SUM(CN19:CV19)</f>
        <v>0</v>
      </c>
      <c r="CY19" s="219">
        <v>0</v>
      </c>
      <c r="CZ19" s="218">
        <v>0</v>
      </c>
      <c r="DA19" s="218">
        <v>0</v>
      </c>
      <c r="DB19" s="748">
        <f t="shared" ref="DB19:DB25" si="20">SUM(CR19:CZ19)</f>
        <v>0</v>
      </c>
      <c r="DC19" s="219">
        <v>0</v>
      </c>
      <c r="DD19" s="218">
        <v>0</v>
      </c>
      <c r="DE19" s="218">
        <v>0</v>
      </c>
      <c r="DF19" s="748">
        <f t="shared" ref="DF19:DF25" si="21">SUM(CV19:DD19)</f>
        <v>0</v>
      </c>
      <c r="DG19" s="219">
        <v>0</v>
      </c>
      <c r="DH19" s="218">
        <v>0</v>
      </c>
      <c r="DI19" s="218">
        <v>0</v>
      </c>
      <c r="DJ19" s="748">
        <f t="shared" ref="DJ19:DJ25" si="22">SUM(CZ19:DH19)</f>
        <v>0</v>
      </c>
      <c r="DK19" s="219">
        <v>0</v>
      </c>
      <c r="DL19" s="218">
        <v>0</v>
      </c>
      <c r="DM19" s="218">
        <v>0</v>
      </c>
      <c r="DN19" s="748">
        <f t="shared" ref="DN19:DN25" si="23">SUM(DD19:DL19)</f>
        <v>0</v>
      </c>
      <c r="DO19" s="219">
        <v>0</v>
      </c>
      <c r="DP19" s="218">
        <v>0</v>
      </c>
      <c r="DQ19" s="218">
        <v>0</v>
      </c>
      <c r="DR19" s="748">
        <f t="shared" ref="DR19:DR25" si="24">SUM(DH19:DP19)</f>
        <v>0</v>
      </c>
      <c r="DS19" s="219">
        <v>0</v>
      </c>
      <c r="DT19" s="218">
        <v>0</v>
      </c>
      <c r="DU19" s="218">
        <v>0</v>
      </c>
      <c r="DV19" s="748">
        <f t="shared" ref="DV19:DV25" si="25">SUM(DL19:DT19)</f>
        <v>0</v>
      </c>
      <c r="DW19" s="219">
        <v>0</v>
      </c>
      <c r="DX19" s="218">
        <v>0</v>
      </c>
      <c r="DY19" s="218">
        <v>0</v>
      </c>
      <c r="DZ19" s="748">
        <f t="shared" ref="DZ19:DZ25" si="26">SUM(DP19:DX19)</f>
        <v>0</v>
      </c>
      <c r="EA19" s="219">
        <v>0</v>
      </c>
      <c r="EB19" s="218">
        <v>0</v>
      </c>
      <c r="EC19" s="218">
        <v>0</v>
      </c>
      <c r="ED19" s="748">
        <f t="shared" ref="ED19:ED25" si="27">SUM(DT19:EB19)</f>
        <v>0</v>
      </c>
      <c r="EE19" s="219">
        <v>0</v>
      </c>
      <c r="EF19" s="218">
        <v>0</v>
      </c>
      <c r="EG19" s="218">
        <v>0</v>
      </c>
      <c r="EH19" s="748">
        <f t="shared" ref="EH19:EH25" si="28">SUM(DT19:EF19)</f>
        <v>0</v>
      </c>
      <c r="EI19" s="219">
        <v>0</v>
      </c>
      <c r="EJ19" s="218">
        <v>0</v>
      </c>
      <c r="EK19" s="218">
        <v>0</v>
      </c>
      <c r="EL19" s="748">
        <f t="shared" ref="EL19:EL25" si="29">SUM(DX19:EJ19)</f>
        <v>0</v>
      </c>
      <c r="EM19" s="219">
        <v>0</v>
      </c>
      <c r="EN19" s="218">
        <v>0</v>
      </c>
      <c r="EO19" s="218">
        <v>0</v>
      </c>
      <c r="EP19" s="748">
        <f t="shared" ref="EP19:EP25" si="30">SUM(EB19:EN19)</f>
        <v>0</v>
      </c>
      <c r="EQ19" s="219">
        <v>0</v>
      </c>
      <c r="ER19" s="218">
        <v>0</v>
      </c>
      <c r="ES19" s="218">
        <v>0</v>
      </c>
      <c r="ET19" s="748">
        <f t="shared" ref="ET19:ET25" si="31">SUM(EF19:ER19)</f>
        <v>0</v>
      </c>
      <c r="EU19" s="219">
        <v>0</v>
      </c>
      <c r="EV19" s="218">
        <v>0</v>
      </c>
      <c r="EW19" s="218">
        <v>0</v>
      </c>
      <c r="EX19" s="748">
        <f t="shared" ref="EX19:EX25" si="32">SUM(EJ19:EV19)</f>
        <v>0</v>
      </c>
      <c r="EY19" s="219">
        <v>0</v>
      </c>
      <c r="EZ19" s="218">
        <v>0</v>
      </c>
      <c r="FA19" s="218">
        <v>0</v>
      </c>
      <c r="FB19" s="748">
        <f t="shared" ref="FB19:FB25" si="33">SUM(EN19:EZ19)</f>
        <v>0</v>
      </c>
      <c r="FC19" s="219">
        <v>0</v>
      </c>
      <c r="FD19" s="218">
        <v>0</v>
      </c>
      <c r="FE19" s="218">
        <v>0</v>
      </c>
      <c r="FF19" s="748">
        <f t="shared" ref="FF19:FF25" si="34">SUM(ER19:FD19)</f>
        <v>0</v>
      </c>
      <c r="FG19" s="219">
        <v>0</v>
      </c>
      <c r="FH19" s="218">
        <v>0</v>
      </c>
      <c r="FI19" s="218">
        <v>0</v>
      </c>
      <c r="FJ19" s="748">
        <f t="shared" ref="FJ19:FJ25" si="35">SUM(EV19:FH19)</f>
        <v>0</v>
      </c>
      <c r="FK19" s="219">
        <v>0</v>
      </c>
      <c r="FL19" s="218">
        <v>0</v>
      </c>
      <c r="FM19" s="218">
        <v>0</v>
      </c>
      <c r="FN19" s="748">
        <f t="shared" ref="FN19:FN25" si="36">SUM(EZ19:FL19)</f>
        <v>0</v>
      </c>
      <c r="FO19" s="749" t="s">
        <v>160</v>
      </c>
      <c r="FP19" s="749" t="s">
        <v>160</v>
      </c>
      <c r="FQ19" s="749" t="s">
        <v>160</v>
      </c>
      <c r="FR19" s="748">
        <f t="shared" ref="FR19:FR25" si="37">SUM(FD19:FP19)</f>
        <v>0</v>
      </c>
      <c r="FS19" s="749" t="s">
        <v>160</v>
      </c>
      <c r="FT19" s="749" t="s">
        <v>160</v>
      </c>
      <c r="FU19" s="749" t="s">
        <v>160</v>
      </c>
      <c r="FV19" s="748">
        <f t="shared" ref="FV19:FV25" si="38">SUM(FH19:FT19)</f>
        <v>0</v>
      </c>
      <c r="FW19" s="219">
        <v>0</v>
      </c>
      <c r="FX19" s="118" t="s">
        <v>160</v>
      </c>
      <c r="FY19" s="218">
        <v>0</v>
      </c>
      <c r="FZ19" s="218">
        <v>0</v>
      </c>
      <c r="GA19" s="118" t="s">
        <v>160</v>
      </c>
      <c r="GB19" s="748">
        <f t="shared" ref="GB19:GB25" si="39">SUM(EX19:FY19)</f>
        <v>0</v>
      </c>
      <c r="GC19" s="219">
        <v>0</v>
      </c>
      <c r="GD19" s="118" t="s">
        <v>160</v>
      </c>
      <c r="GE19" s="218">
        <v>0</v>
      </c>
      <c r="GF19" s="218">
        <v>0</v>
      </c>
      <c r="GG19" s="118" t="s">
        <v>160</v>
      </c>
      <c r="GH19" s="748">
        <f t="shared" ref="GH19:GH25" si="40">SUM(EX19:GE19)</f>
        <v>0</v>
      </c>
      <c r="GI19" s="219">
        <v>0</v>
      </c>
      <c r="GJ19" s="118" t="s">
        <v>160</v>
      </c>
      <c r="GK19" s="218">
        <v>0</v>
      </c>
      <c r="GL19" s="218">
        <v>0</v>
      </c>
      <c r="GM19" s="118" t="s">
        <v>160</v>
      </c>
      <c r="GN19" s="749">
        <v>0</v>
      </c>
      <c r="GO19" s="219">
        <v>0</v>
      </c>
      <c r="GP19" s="118" t="s">
        <v>160</v>
      </c>
      <c r="GQ19" s="218">
        <v>0</v>
      </c>
      <c r="GR19" s="218">
        <v>0</v>
      </c>
      <c r="GS19" s="118" t="s">
        <v>160</v>
      </c>
      <c r="GT19" s="748">
        <f t="shared" ref="GT19:GT25" si="41">SUM(FD19:GQ19)</f>
        <v>0</v>
      </c>
      <c r="GU19" s="219">
        <v>0</v>
      </c>
      <c r="GV19" s="118" t="s">
        <v>160</v>
      </c>
      <c r="GW19" s="218">
        <v>0</v>
      </c>
      <c r="GX19" s="218">
        <v>0</v>
      </c>
      <c r="GY19" s="118" t="s">
        <v>160</v>
      </c>
      <c r="GZ19" s="748">
        <f t="shared" ref="GZ19:GZ25" si="42">SUM(FJ19:GW19)</f>
        <v>0</v>
      </c>
      <c r="HA19" s="219">
        <v>0</v>
      </c>
      <c r="HB19" s="118" t="s">
        <v>160</v>
      </c>
      <c r="HC19" s="218">
        <v>0</v>
      </c>
      <c r="HD19" s="218">
        <v>0</v>
      </c>
      <c r="HE19" s="118" t="s">
        <v>160</v>
      </c>
      <c r="HF19" s="748">
        <f t="shared" ref="HF19:HF25" si="43">SUM(FP19:HC19)</f>
        <v>0</v>
      </c>
    </row>
    <row r="20" spans="3:214" s="232" customFormat="1" hidden="1" outlineLevel="1" x14ac:dyDescent="0.2">
      <c r="C20" s="232" t="s">
        <v>263</v>
      </c>
      <c r="D20" s="232" t="s">
        <v>665</v>
      </c>
      <c r="F20" s="249" t="s">
        <v>263</v>
      </c>
      <c r="G20" s="219">
        <v>0</v>
      </c>
      <c r="H20" s="218">
        <v>-175</v>
      </c>
      <c r="I20" s="746">
        <v>5494</v>
      </c>
      <c r="J20" s="219">
        <v>0</v>
      </c>
      <c r="K20" s="218">
        <v>175</v>
      </c>
      <c r="L20" s="218">
        <v>-5669</v>
      </c>
      <c r="M20" s="218">
        <v>0</v>
      </c>
      <c r="N20" s="746">
        <v>0</v>
      </c>
      <c r="O20" s="219">
        <v>0</v>
      </c>
      <c r="P20" s="218">
        <v>0</v>
      </c>
      <c r="Q20" s="218">
        <v>0</v>
      </c>
      <c r="R20" s="218">
        <v>0</v>
      </c>
      <c r="S20" s="218">
        <v>0</v>
      </c>
      <c r="T20" s="746">
        <v>0</v>
      </c>
      <c r="U20" s="219">
        <v>0</v>
      </c>
      <c r="V20" s="218">
        <v>0</v>
      </c>
      <c r="W20" s="218">
        <v>0</v>
      </c>
      <c r="X20" s="218">
        <v>0</v>
      </c>
      <c r="Y20" s="218">
        <v>0</v>
      </c>
      <c r="Z20" s="746">
        <v>0</v>
      </c>
      <c r="AA20" s="747">
        <v>0</v>
      </c>
      <c r="AB20" s="218">
        <v>0</v>
      </c>
      <c r="AC20" s="218">
        <v>0</v>
      </c>
      <c r="AD20" s="746">
        <v>0</v>
      </c>
      <c r="AE20" s="219">
        <v>0</v>
      </c>
      <c r="AF20" s="218">
        <v>0</v>
      </c>
      <c r="AG20" s="218">
        <v>0</v>
      </c>
      <c r="AH20" s="746">
        <v>0</v>
      </c>
      <c r="AI20" s="219">
        <v>0</v>
      </c>
      <c r="AJ20" s="218">
        <v>0</v>
      </c>
      <c r="AK20" s="218">
        <v>0</v>
      </c>
      <c r="AL20" s="746">
        <v>0</v>
      </c>
      <c r="AM20" s="219">
        <v>0</v>
      </c>
      <c r="AN20" s="218">
        <v>0</v>
      </c>
      <c r="AO20" s="218">
        <v>0</v>
      </c>
      <c r="AP20" s="746">
        <v>0</v>
      </c>
      <c r="AQ20" s="219">
        <v>0</v>
      </c>
      <c r="AR20" s="218">
        <v>0</v>
      </c>
      <c r="AS20" s="218">
        <v>0</v>
      </c>
      <c r="AT20" s="746">
        <f t="shared" si="8"/>
        <v>0</v>
      </c>
      <c r="AU20" s="219">
        <v>0</v>
      </c>
      <c r="AV20" s="218">
        <v>0</v>
      </c>
      <c r="AW20" s="218">
        <v>0</v>
      </c>
      <c r="AX20" s="746">
        <f t="shared" si="9"/>
        <v>0</v>
      </c>
      <c r="AY20" s="219">
        <v>0</v>
      </c>
      <c r="AZ20" s="218">
        <v>0</v>
      </c>
      <c r="BA20" s="218">
        <v>0</v>
      </c>
      <c r="BB20" s="746">
        <f t="shared" si="10"/>
        <v>0</v>
      </c>
      <c r="BC20" s="218">
        <v>0</v>
      </c>
      <c r="BD20" s="218">
        <v>0</v>
      </c>
      <c r="BE20" s="218">
        <v>0</v>
      </c>
      <c r="BF20" s="218">
        <v>0</v>
      </c>
      <c r="BG20" s="219">
        <v>0</v>
      </c>
      <c r="BH20" s="218">
        <v>0</v>
      </c>
      <c r="BI20" s="746">
        <v>0</v>
      </c>
      <c r="BJ20" s="218">
        <v>0</v>
      </c>
      <c r="BK20" s="218">
        <v>0</v>
      </c>
      <c r="BL20" s="218">
        <v>0</v>
      </c>
      <c r="BM20" s="218">
        <v>0</v>
      </c>
      <c r="BN20" s="219">
        <v>0</v>
      </c>
      <c r="BO20" s="218">
        <v>0</v>
      </c>
      <c r="BP20" s="218">
        <v>0</v>
      </c>
      <c r="BQ20" s="748">
        <f t="shared" si="11"/>
        <v>0</v>
      </c>
      <c r="BR20" s="219">
        <v>0</v>
      </c>
      <c r="BS20" s="218">
        <v>0</v>
      </c>
      <c r="BT20" s="218">
        <v>0</v>
      </c>
      <c r="BU20" s="748">
        <f t="shared" si="12"/>
        <v>0</v>
      </c>
      <c r="BV20" s="219">
        <v>0</v>
      </c>
      <c r="BW20" s="218">
        <v>0</v>
      </c>
      <c r="BX20" s="218">
        <v>0</v>
      </c>
      <c r="BY20" s="748">
        <f t="shared" si="13"/>
        <v>0</v>
      </c>
      <c r="BZ20" s="219">
        <v>0</v>
      </c>
      <c r="CA20" s="218">
        <v>0</v>
      </c>
      <c r="CB20" s="218">
        <v>0</v>
      </c>
      <c r="CC20" s="748">
        <f t="shared" si="14"/>
        <v>0</v>
      </c>
      <c r="CD20" s="219">
        <v>0</v>
      </c>
      <c r="CE20" s="218">
        <v>0</v>
      </c>
      <c r="CF20" s="218">
        <v>0</v>
      </c>
      <c r="CG20" s="748">
        <f t="shared" si="15"/>
        <v>0</v>
      </c>
      <c r="CH20" s="219">
        <v>0</v>
      </c>
      <c r="CI20" s="218">
        <v>0</v>
      </c>
      <c r="CJ20" s="218">
        <v>0</v>
      </c>
      <c r="CK20" s="748">
        <f t="shared" si="16"/>
        <v>0</v>
      </c>
      <c r="CL20" s="749">
        <v>0</v>
      </c>
      <c r="CM20" s="749">
        <v>0</v>
      </c>
      <c r="CN20" s="748">
        <f t="shared" si="17"/>
        <v>0</v>
      </c>
      <c r="CO20" s="219">
        <v>0</v>
      </c>
      <c r="CP20" s="218">
        <v>0</v>
      </c>
      <c r="CQ20" s="748">
        <f t="shared" si="18"/>
        <v>0</v>
      </c>
      <c r="CR20" s="219">
        <v>0</v>
      </c>
      <c r="CS20" s="218">
        <v>0</v>
      </c>
      <c r="CT20" s="748">
        <v>0</v>
      </c>
      <c r="CU20" s="219">
        <v>0</v>
      </c>
      <c r="CV20" s="218">
        <v>0</v>
      </c>
      <c r="CW20" s="218">
        <v>0</v>
      </c>
      <c r="CX20" s="748">
        <f t="shared" si="19"/>
        <v>0</v>
      </c>
      <c r="CY20" s="219">
        <v>0</v>
      </c>
      <c r="CZ20" s="218">
        <v>0</v>
      </c>
      <c r="DA20" s="218">
        <v>0</v>
      </c>
      <c r="DB20" s="748">
        <f t="shared" si="20"/>
        <v>0</v>
      </c>
      <c r="DC20" s="219">
        <v>0</v>
      </c>
      <c r="DD20" s="218">
        <v>0</v>
      </c>
      <c r="DE20" s="218">
        <v>0</v>
      </c>
      <c r="DF20" s="748">
        <f t="shared" si="21"/>
        <v>0</v>
      </c>
      <c r="DG20" s="219">
        <v>0</v>
      </c>
      <c r="DH20" s="218">
        <v>0</v>
      </c>
      <c r="DI20" s="218">
        <v>0</v>
      </c>
      <c r="DJ20" s="748">
        <f t="shared" si="22"/>
        <v>0</v>
      </c>
      <c r="DK20" s="219">
        <v>0</v>
      </c>
      <c r="DL20" s="218">
        <v>0</v>
      </c>
      <c r="DM20" s="218">
        <v>0</v>
      </c>
      <c r="DN20" s="748">
        <f t="shared" si="23"/>
        <v>0</v>
      </c>
      <c r="DO20" s="219">
        <v>0</v>
      </c>
      <c r="DP20" s="218">
        <v>0</v>
      </c>
      <c r="DQ20" s="218">
        <v>0</v>
      </c>
      <c r="DR20" s="748">
        <f t="shared" si="24"/>
        <v>0</v>
      </c>
      <c r="DS20" s="219">
        <v>0</v>
      </c>
      <c r="DT20" s="218">
        <v>0</v>
      </c>
      <c r="DU20" s="218">
        <v>0</v>
      </c>
      <c r="DV20" s="748">
        <f t="shared" si="25"/>
        <v>0</v>
      </c>
      <c r="DW20" s="219">
        <v>0</v>
      </c>
      <c r="DX20" s="218">
        <v>0</v>
      </c>
      <c r="DY20" s="218">
        <v>0</v>
      </c>
      <c r="DZ20" s="748">
        <f t="shared" si="26"/>
        <v>0</v>
      </c>
      <c r="EA20" s="219">
        <v>0</v>
      </c>
      <c r="EB20" s="218">
        <v>0</v>
      </c>
      <c r="EC20" s="218">
        <v>0</v>
      </c>
      <c r="ED20" s="748">
        <f t="shared" si="27"/>
        <v>0</v>
      </c>
      <c r="EE20" s="219">
        <v>0</v>
      </c>
      <c r="EF20" s="218">
        <v>0</v>
      </c>
      <c r="EG20" s="218">
        <v>0</v>
      </c>
      <c r="EH20" s="748">
        <f t="shared" si="28"/>
        <v>0</v>
      </c>
      <c r="EI20" s="219">
        <v>0</v>
      </c>
      <c r="EJ20" s="218">
        <v>0</v>
      </c>
      <c r="EK20" s="218">
        <v>0</v>
      </c>
      <c r="EL20" s="748">
        <f t="shared" si="29"/>
        <v>0</v>
      </c>
      <c r="EM20" s="219">
        <v>0</v>
      </c>
      <c r="EN20" s="218">
        <v>0</v>
      </c>
      <c r="EO20" s="218">
        <v>0</v>
      </c>
      <c r="EP20" s="748">
        <f t="shared" si="30"/>
        <v>0</v>
      </c>
      <c r="EQ20" s="219">
        <v>0</v>
      </c>
      <c r="ER20" s="218">
        <v>0</v>
      </c>
      <c r="ES20" s="218">
        <v>0</v>
      </c>
      <c r="ET20" s="748">
        <f t="shared" si="31"/>
        <v>0</v>
      </c>
      <c r="EU20" s="219">
        <v>0</v>
      </c>
      <c r="EV20" s="218">
        <v>0</v>
      </c>
      <c r="EW20" s="218">
        <v>0</v>
      </c>
      <c r="EX20" s="748">
        <f t="shared" si="32"/>
        <v>0</v>
      </c>
      <c r="EY20" s="219">
        <v>0</v>
      </c>
      <c r="EZ20" s="218">
        <v>0</v>
      </c>
      <c r="FA20" s="218">
        <v>0</v>
      </c>
      <c r="FB20" s="748">
        <f t="shared" si="33"/>
        <v>0</v>
      </c>
      <c r="FC20" s="219">
        <v>0</v>
      </c>
      <c r="FD20" s="218">
        <v>0</v>
      </c>
      <c r="FE20" s="218">
        <v>0</v>
      </c>
      <c r="FF20" s="748">
        <f t="shared" si="34"/>
        <v>0</v>
      </c>
      <c r="FG20" s="219">
        <v>0</v>
      </c>
      <c r="FH20" s="218">
        <v>0</v>
      </c>
      <c r="FI20" s="218">
        <v>0</v>
      </c>
      <c r="FJ20" s="748">
        <f t="shared" si="35"/>
        <v>0</v>
      </c>
      <c r="FK20" s="219">
        <v>0</v>
      </c>
      <c r="FL20" s="218">
        <v>0</v>
      </c>
      <c r="FM20" s="218">
        <v>0</v>
      </c>
      <c r="FN20" s="748">
        <f t="shared" si="36"/>
        <v>0</v>
      </c>
      <c r="FO20" s="749" t="s">
        <v>160</v>
      </c>
      <c r="FP20" s="749" t="s">
        <v>160</v>
      </c>
      <c r="FQ20" s="749" t="s">
        <v>160</v>
      </c>
      <c r="FR20" s="748">
        <f t="shared" si="37"/>
        <v>0</v>
      </c>
      <c r="FS20" s="749" t="s">
        <v>160</v>
      </c>
      <c r="FT20" s="749" t="s">
        <v>160</v>
      </c>
      <c r="FU20" s="749" t="s">
        <v>160</v>
      </c>
      <c r="FV20" s="748">
        <f t="shared" si="38"/>
        <v>0</v>
      </c>
      <c r="FW20" s="219">
        <v>0</v>
      </c>
      <c r="FX20" s="118" t="s">
        <v>160</v>
      </c>
      <c r="FY20" s="218">
        <v>0</v>
      </c>
      <c r="FZ20" s="218">
        <v>0</v>
      </c>
      <c r="GA20" s="118" t="s">
        <v>160</v>
      </c>
      <c r="GB20" s="748">
        <f t="shared" si="39"/>
        <v>0</v>
      </c>
      <c r="GC20" s="219">
        <v>0</v>
      </c>
      <c r="GD20" s="118" t="s">
        <v>160</v>
      </c>
      <c r="GE20" s="218">
        <v>0</v>
      </c>
      <c r="GF20" s="218">
        <v>0</v>
      </c>
      <c r="GG20" s="118" t="s">
        <v>160</v>
      </c>
      <c r="GH20" s="748">
        <f t="shared" si="40"/>
        <v>0</v>
      </c>
      <c r="GI20" s="219">
        <v>0</v>
      </c>
      <c r="GJ20" s="118" t="s">
        <v>160</v>
      </c>
      <c r="GK20" s="218">
        <v>0</v>
      </c>
      <c r="GL20" s="218">
        <v>0</v>
      </c>
      <c r="GM20" s="118" t="s">
        <v>160</v>
      </c>
      <c r="GN20" s="749">
        <v>0</v>
      </c>
      <c r="GO20" s="219">
        <v>0</v>
      </c>
      <c r="GP20" s="118" t="s">
        <v>160</v>
      </c>
      <c r="GQ20" s="218">
        <v>0</v>
      </c>
      <c r="GR20" s="218">
        <v>0</v>
      </c>
      <c r="GS20" s="118" t="s">
        <v>160</v>
      </c>
      <c r="GT20" s="748">
        <f t="shared" si="41"/>
        <v>0</v>
      </c>
      <c r="GU20" s="219">
        <v>0</v>
      </c>
      <c r="GV20" s="118" t="s">
        <v>160</v>
      </c>
      <c r="GW20" s="218">
        <v>0</v>
      </c>
      <c r="GX20" s="218">
        <v>0</v>
      </c>
      <c r="GY20" s="118" t="s">
        <v>160</v>
      </c>
      <c r="GZ20" s="748">
        <f t="shared" si="42"/>
        <v>0</v>
      </c>
      <c r="HA20" s="219">
        <v>0</v>
      </c>
      <c r="HB20" s="118" t="s">
        <v>160</v>
      </c>
      <c r="HC20" s="218">
        <v>0</v>
      </c>
      <c r="HD20" s="218">
        <v>0</v>
      </c>
      <c r="HE20" s="118" t="s">
        <v>160</v>
      </c>
      <c r="HF20" s="748">
        <f t="shared" si="43"/>
        <v>0</v>
      </c>
    </row>
    <row r="21" spans="3:214" s="232" customFormat="1" hidden="1" outlineLevel="1" x14ac:dyDescent="0.2">
      <c r="C21" s="232" t="s">
        <v>264</v>
      </c>
      <c r="D21" s="232" t="s">
        <v>666</v>
      </c>
      <c r="F21" s="249" t="s">
        <v>264</v>
      </c>
      <c r="G21" s="219">
        <v>0</v>
      </c>
      <c r="H21" s="218">
        <v>-173</v>
      </c>
      <c r="I21" s="746">
        <v>5407</v>
      </c>
      <c r="J21" s="219">
        <v>0</v>
      </c>
      <c r="K21" s="218">
        <v>173</v>
      </c>
      <c r="L21" s="218">
        <v>-5580</v>
      </c>
      <c r="M21" s="218">
        <v>0</v>
      </c>
      <c r="N21" s="746">
        <v>0</v>
      </c>
      <c r="O21" s="219">
        <v>0</v>
      </c>
      <c r="P21" s="218">
        <v>0</v>
      </c>
      <c r="Q21" s="218">
        <v>0</v>
      </c>
      <c r="R21" s="218">
        <v>0</v>
      </c>
      <c r="S21" s="218">
        <v>0</v>
      </c>
      <c r="T21" s="746">
        <v>0</v>
      </c>
      <c r="U21" s="219">
        <v>0</v>
      </c>
      <c r="V21" s="218">
        <v>0</v>
      </c>
      <c r="W21" s="218">
        <v>0</v>
      </c>
      <c r="X21" s="218">
        <v>0</v>
      </c>
      <c r="Y21" s="218">
        <v>0</v>
      </c>
      <c r="Z21" s="746">
        <v>0</v>
      </c>
      <c r="AA21" s="747">
        <v>0</v>
      </c>
      <c r="AB21" s="218">
        <v>0</v>
      </c>
      <c r="AC21" s="218">
        <v>0</v>
      </c>
      <c r="AD21" s="746">
        <v>0</v>
      </c>
      <c r="AE21" s="219">
        <v>0</v>
      </c>
      <c r="AF21" s="218">
        <v>0</v>
      </c>
      <c r="AG21" s="218">
        <v>0</v>
      </c>
      <c r="AH21" s="746">
        <v>0</v>
      </c>
      <c r="AI21" s="219">
        <v>0</v>
      </c>
      <c r="AJ21" s="218">
        <v>0</v>
      </c>
      <c r="AK21" s="218">
        <v>0</v>
      </c>
      <c r="AL21" s="746">
        <v>0</v>
      </c>
      <c r="AM21" s="219">
        <v>0</v>
      </c>
      <c r="AN21" s="218">
        <v>0</v>
      </c>
      <c r="AO21" s="218">
        <v>0</v>
      </c>
      <c r="AP21" s="746">
        <v>0</v>
      </c>
      <c r="AQ21" s="219">
        <v>0</v>
      </c>
      <c r="AR21" s="218">
        <v>0</v>
      </c>
      <c r="AS21" s="218">
        <v>0</v>
      </c>
      <c r="AT21" s="746">
        <f t="shared" si="8"/>
        <v>0</v>
      </c>
      <c r="AU21" s="219">
        <v>0</v>
      </c>
      <c r="AV21" s="218">
        <v>0</v>
      </c>
      <c r="AW21" s="218">
        <v>0</v>
      </c>
      <c r="AX21" s="746">
        <f t="shared" si="9"/>
        <v>0</v>
      </c>
      <c r="AY21" s="219">
        <v>0</v>
      </c>
      <c r="AZ21" s="218">
        <v>0</v>
      </c>
      <c r="BA21" s="218">
        <v>0</v>
      </c>
      <c r="BB21" s="746">
        <f t="shared" si="10"/>
        <v>0</v>
      </c>
      <c r="BC21" s="218">
        <v>0</v>
      </c>
      <c r="BD21" s="218">
        <v>0</v>
      </c>
      <c r="BE21" s="218">
        <v>0</v>
      </c>
      <c r="BF21" s="218">
        <v>0</v>
      </c>
      <c r="BG21" s="219">
        <v>0</v>
      </c>
      <c r="BH21" s="218">
        <v>0</v>
      </c>
      <c r="BI21" s="746">
        <v>0</v>
      </c>
      <c r="BJ21" s="218">
        <v>0</v>
      </c>
      <c r="BK21" s="218">
        <v>0</v>
      </c>
      <c r="BL21" s="218">
        <v>0</v>
      </c>
      <c r="BM21" s="218">
        <v>0</v>
      </c>
      <c r="BN21" s="219">
        <v>0</v>
      </c>
      <c r="BO21" s="218">
        <v>0</v>
      </c>
      <c r="BP21" s="218">
        <v>0</v>
      </c>
      <c r="BQ21" s="748">
        <f t="shared" si="11"/>
        <v>0</v>
      </c>
      <c r="BR21" s="219">
        <v>0</v>
      </c>
      <c r="BS21" s="218">
        <v>0</v>
      </c>
      <c r="BT21" s="218">
        <v>0</v>
      </c>
      <c r="BU21" s="748">
        <f>SUM(BM21:BT21)</f>
        <v>0</v>
      </c>
      <c r="BV21" s="219">
        <v>0</v>
      </c>
      <c r="BW21" s="218">
        <v>0</v>
      </c>
      <c r="BX21" s="218">
        <v>0</v>
      </c>
      <c r="BY21" s="748">
        <f t="shared" si="13"/>
        <v>0</v>
      </c>
      <c r="BZ21" s="219">
        <v>0</v>
      </c>
      <c r="CA21" s="218">
        <v>0</v>
      </c>
      <c r="CB21" s="218">
        <v>0</v>
      </c>
      <c r="CC21" s="748">
        <f t="shared" si="14"/>
        <v>0</v>
      </c>
      <c r="CD21" s="219">
        <v>0</v>
      </c>
      <c r="CE21" s="218">
        <v>0</v>
      </c>
      <c r="CF21" s="218">
        <v>0</v>
      </c>
      <c r="CG21" s="748">
        <f t="shared" si="15"/>
        <v>0</v>
      </c>
      <c r="CH21" s="219">
        <v>0</v>
      </c>
      <c r="CI21" s="218">
        <v>0</v>
      </c>
      <c r="CJ21" s="218">
        <v>0</v>
      </c>
      <c r="CK21" s="748">
        <f t="shared" si="16"/>
        <v>0</v>
      </c>
      <c r="CL21" s="749">
        <v>0</v>
      </c>
      <c r="CM21" s="749">
        <v>0</v>
      </c>
      <c r="CN21" s="748">
        <f t="shared" si="17"/>
        <v>0</v>
      </c>
      <c r="CO21" s="219">
        <v>0</v>
      </c>
      <c r="CP21" s="218">
        <v>0</v>
      </c>
      <c r="CQ21" s="748">
        <f t="shared" si="18"/>
        <v>0</v>
      </c>
      <c r="CR21" s="219">
        <v>0</v>
      </c>
      <c r="CS21" s="218">
        <v>0</v>
      </c>
      <c r="CT21" s="748">
        <v>0</v>
      </c>
      <c r="CU21" s="219">
        <v>0</v>
      </c>
      <c r="CV21" s="218">
        <v>0</v>
      </c>
      <c r="CW21" s="218">
        <v>0</v>
      </c>
      <c r="CX21" s="748">
        <f t="shared" si="19"/>
        <v>0</v>
      </c>
      <c r="CY21" s="219">
        <v>0</v>
      </c>
      <c r="CZ21" s="218">
        <v>0</v>
      </c>
      <c r="DA21" s="218">
        <v>0</v>
      </c>
      <c r="DB21" s="748">
        <f t="shared" si="20"/>
        <v>0</v>
      </c>
      <c r="DC21" s="219">
        <v>0</v>
      </c>
      <c r="DD21" s="218">
        <v>0</v>
      </c>
      <c r="DE21" s="218">
        <v>0</v>
      </c>
      <c r="DF21" s="748">
        <f t="shared" si="21"/>
        <v>0</v>
      </c>
      <c r="DG21" s="219">
        <v>0</v>
      </c>
      <c r="DH21" s="218">
        <v>0</v>
      </c>
      <c r="DI21" s="218">
        <v>0</v>
      </c>
      <c r="DJ21" s="748">
        <f t="shared" si="22"/>
        <v>0</v>
      </c>
      <c r="DK21" s="219">
        <v>0</v>
      </c>
      <c r="DL21" s="218">
        <v>0</v>
      </c>
      <c r="DM21" s="218">
        <v>0</v>
      </c>
      <c r="DN21" s="748">
        <f t="shared" si="23"/>
        <v>0</v>
      </c>
      <c r="DO21" s="219">
        <v>0</v>
      </c>
      <c r="DP21" s="218">
        <v>0</v>
      </c>
      <c r="DQ21" s="218">
        <v>0</v>
      </c>
      <c r="DR21" s="748">
        <f t="shared" si="24"/>
        <v>0</v>
      </c>
      <c r="DS21" s="219">
        <v>0</v>
      </c>
      <c r="DT21" s="218">
        <v>0</v>
      </c>
      <c r="DU21" s="218">
        <v>0</v>
      </c>
      <c r="DV21" s="748">
        <f t="shared" si="25"/>
        <v>0</v>
      </c>
      <c r="DW21" s="219">
        <v>0</v>
      </c>
      <c r="DX21" s="218">
        <v>0</v>
      </c>
      <c r="DY21" s="218">
        <v>0</v>
      </c>
      <c r="DZ21" s="748">
        <f t="shared" si="26"/>
        <v>0</v>
      </c>
      <c r="EA21" s="219">
        <v>0</v>
      </c>
      <c r="EB21" s="218">
        <v>0</v>
      </c>
      <c r="EC21" s="218">
        <v>0</v>
      </c>
      <c r="ED21" s="748">
        <f t="shared" si="27"/>
        <v>0</v>
      </c>
      <c r="EE21" s="219">
        <v>0</v>
      </c>
      <c r="EF21" s="218">
        <v>0</v>
      </c>
      <c r="EG21" s="218">
        <v>0</v>
      </c>
      <c r="EH21" s="748">
        <f t="shared" si="28"/>
        <v>0</v>
      </c>
      <c r="EI21" s="219">
        <v>0</v>
      </c>
      <c r="EJ21" s="218">
        <v>0</v>
      </c>
      <c r="EK21" s="218">
        <v>0</v>
      </c>
      <c r="EL21" s="748">
        <f t="shared" si="29"/>
        <v>0</v>
      </c>
      <c r="EM21" s="219">
        <v>0</v>
      </c>
      <c r="EN21" s="218">
        <v>0</v>
      </c>
      <c r="EO21" s="218">
        <v>0</v>
      </c>
      <c r="EP21" s="748">
        <f t="shared" si="30"/>
        <v>0</v>
      </c>
      <c r="EQ21" s="219">
        <v>0</v>
      </c>
      <c r="ER21" s="218">
        <v>0</v>
      </c>
      <c r="ES21" s="218">
        <v>0</v>
      </c>
      <c r="ET21" s="748">
        <f t="shared" si="31"/>
        <v>0</v>
      </c>
      <c r="EU21" s="219">
        <v>0</v>
      </c>
      <c r="EV21" s="218">
        <v>0</v>
      </c>
      <c r="EW21" s="218">
        <v>0</v>
      </c>
      <c r="EX21" s="748">
        <f t="shared" si="32"/>
        <v>0</v>
      </c>
      <c r="EY21" s="219">
        <v>0</v>
      </c>
      <c r="EZ21" s="218">
        <v>0</v>
      </c>
      <c r="FA21" s="218">
        <v>0</v>
      </c>
      <c r="FB21" s="748">
        <f t="shared" si="33"/>
        <v>0</v>
      </c>
      <c r="FC21" s="219">
        <v>0</v>
      </c>
      <c r="FD21" s="218">
        <v>0</v>
      </c>
      <c r="FE21" s="218">
        <v>0</v>
      </c>
      <c r="FF21" s="748">
        <f t="shared" si="34"/>
        <v>0</v>
      </c>
      <c r="FG21" s="219">
        <v>0</v>
      </c>
      <c r="FH21" s="218">
        <v>0</v>
      </c>
      <c r="FI21" s="218">
        <v>0</v>
      </c>
      <c r="FJ21" s="748">
        <f t="shared" si="35"/>
        <v>0</v>
      </c>
      <c r="FK21" s="219">
        <v>0</v>
      </c>
      <c r="FL21" s="218">
        <v>0</v>
      </c>
      <c r="FM21" s="218">
        <v>0</v>
      </c>
      <c r="FN21" s="748">
        <f t="shared" si="36"/>
        <v>0</v>
      </c>
      <c r="FO21" s="749" t="s">
        <v>160</v>
      </c>
      <c r="FP21" s="749" t="s">
        <v>160</v>
      </c>
      <c r="FQ21" s="749" t="s">
        <v>160</v>
      </c>
      <c r="FR21" s="748">
        <f t="shared" si="37"/>
        <v>0</v>
      </c>
      <c r="FS21" s="749" t="s">
        <v>160</v>
      </c>
      <c r="FT21" s="749" t="s">
        <v>160</v>
      </c>
      <c r="FU21" s="749" t="s">
        <v>160</v>
      </c>
      <c r="FV21" s="748">
        <f t="shared" si="38"/>
        <v>0</v>
      </c>
      <c r="FW21" s="219">
        <v>0</v>
      </c>
      <c r="FX21" s="118" t="s">
        <v>160</v>
      </c>
      <c r="FY21" s="218">
        <v>0</v>
      </c>
      <c r="FZ21" s="218">
        <v>0</v>
      </c>
      <c r="GA21" s="118" t="s">
        <v>160</v>
      </c>
      <c r="GB21" s="748">
        <f t="shared" si="39"/>
        <v>0</v>
      </c>
      <c r="GC21" s="219">
        <v>0</v>
      </c>
      <c r="GD21" s="118" t="s">
        <v>160</v>
      </c>
      <c r="GE21" s="218">
        <v>0</v>
      </c>
      <c r="GF21" s="218">
        <v>0</v>
      </c>
      <c r="GG21" s="118" t="s">
        <v>160</v>
      </c>
      <c r="GH21" s="748">
        <f t="shared" si="40"/>
        <v>0</v>
      </c>
      <c r="GI21" s="219">
        <v>0</v>
      </c>
      <c r="GJ21" s="118" t="s">
        <v>160</v>
      </c>
      <c r="GK21" s="218">
        <v>0</v>
      </c>
      <c r="GL21" s="218">
        <v>0</v>
      </c>
      <c r="GM21" s="118" t="s">
        <v>160</v>
      </c>
      <c r="GN21" s="749">
        <v>0</v>
      </c>
      <c r="GO21" s="219">
        <v>0</v>
      </c>
      <c r="GP21" s="118" t="s">
        <v>160</v>
      </c>
      <c r="GQ21" s="218">
        <v>0</v>
      </c>
      <c r="GR21" s="218">
        <v>0</v>
      </c>
      <c r="GS21" s="118" t="s">
        <v>160</v>
      </c>
      <c r="GT21" s="748">
        <f t="shared" si="41"/>
        <v>0</v>
      </c>
      <c r="GU21" s="219">
        <v>0</v>
      </c>
      <c r="GV21" s="118" t="s">
        <v>160</v>
      </c>
      <c r="GW21" s="218">
        <v>0</v>
      </c>
      <c r="GX21" s="218">
        <v>0</v>
      </c>
      <c r="GY21" s="118" t="s">
        <v>160</v>
      </c>
      <c r="GZ21" s="748">
        <f t="shared" si="42"/>
        <v>0</v>
      </c>
      <c r="HA21" s="219">
        <v>0</v>
      </c>
      <c r="HB21" s="118" t="s">
        <v>160</v>
      </c>
      <c r="HC21" s="218">
        <v>0</v>
      </c>
      <c r="HD21" s="218">
        <v>0</v>
      </c>
      <c r="HE21" s="118" t="s">
        <v>160</v>
      </c>
      <c r="HF21" s="748">
        <f t="shared" si="43"/>
        <v>0</v>
      </c>
    </row>
    <row r="22" spans="3:214" s="232" customFormat="1" hidden="1" outlineLevel="1" x14ac:dyDescent="0.2">
      <c r="C22" s="232" t="s">
        <v>265</v>
      </c>
      <c r="D22" s="232" t="s">
        <v>667</v>
      </c>
      <c r="F22" s="249" t="s">
        <v>265</v>
      </c>
      <c r="G22" s="219"/>
      <c r="H22" s="218"/>
      <c r="I22" s="746"/>
      <c r="J22" s="219">
        <v>0</v>
      </c>
      <c r="K22" s="218">
        <v>0</v>
      </c>
      <c r="L22" s="218"/>
      <c r="M22" s="218"/>
      <c r="N22" s="746">
        <v>0</v>
      </c>
      <c r="O22" s="219">
        <v>0</v>
      </c>
      <c r="P22" s="218">
        <v>0</v>
      </c>
      <c r="Q22" s="218">
        <v>0</v>
      </c>
      <c r="R22" s="218"/>
      <c r="S22" s="218">
        <v>0</v>
      </c>
      <c r="T22" s="746"/>
      <c r="U22" s="219">
        <v>0</v>
      </c>
      <c r="V22" s="218">
        <v>0</v>
      </c>
      <c r="W22" s="218">
        <v>0</v>
      </c>
      <c r="X22" s="218">
        <v>0</v>
      </c>
      <c r="Y22" s="218">
        <v>0</v>
      </c>
      <c r="Z22" s="746"/>
      <c r="AA22" s="747"/>
      <c r="AB22" s="218"/>
      <c r="AC22" s="218"/>
      <c r="AD22" s="746"/>
      <c r="AE22" s="219">
        <v>0</v>
      </c>
      <c r="AF22" s="218">
        <v>0</v>
      </c>
      <c r="AG22" s="218">
        <v>0</v>
      </c>
      <c r="AH22" s="746"/>
      <c r="AI22" s="219">
        <v>0</v>
      </c>
      <c r="AJ22" s="218">
        <v>0</v>
      </c>
      <c r="AK22" s="218">
        <v>0</v>
      </c>
      <c r="AL22" s="746"/>
      <c r="AM22" s="219">
        <v>0</v>
      </c>
      <c r="AN22" s="218">
        <v>0</v>
      </c>
      <c r="AO22" s="218">
        <v>0</v>
      </c>
      <c r="AP22" s="746"/>
      <c r="AQ22" s="219">
        <v>0</v>
      </c>
      <c r="AR22" s="218">
        <v>0</v>
      </c>
      <c r="AS22" s="218">
        <v>0</v>
      </c>
      <c r="AT22" s="746">
        <f t="shared" si="8"/>
        <v>0</v>
      </c>
      <c r="AU22" s="219">
        <v>0</v>
      </c>
      <c r="AV22" s="218">
        <v>0</v>
      </c>
      <c r="AW22" s="218">
        <v>0</v>
      </c>
      <c r="AX22" s="746">
        <f t="shared" si="9"/>
        <v>0</v>
      </c>
      <c r="AY22" s="219">
        <v>0</v>
      </c>
      <c r="AZ22" s="218">
        <v>0</v>
      </c>
      <c r="BA22" s="218">
        <v>0</v>
      </c>
      <c r="BB22" s="746">
        <f t="shared" si="10"/>
        <v>0</v>
      </c>
      <c r="BC22" s="218">
        <v>0</v>
      </c>
      <c r="BD22" s="218">
        <v>0</v>
      </c>
      <c r="BE22" s="218">
        <v>0</v>
      </c>
      <c r="BF22" s="218">
        <v>0</v>
      </c>
      <c r="BG22" s="219">
        <v>0</v>
      </c>
      <c r="BH22" s="218">
        <v>0</v>
      </c>
      <c r="BI22" s="746">
        <v>0</v>
      </c>
      <c r="BJ22" s="218">
        <v>0</v>
      </c>
      <c r="BK22" s="218">
        <v>0</v>
      </c>
      <c r="BL22" s="218">
        <v>0</v>
      </c>
      <c r="BM22" s="218">
        <v>0</v>
      </c>
      <c r="BN22" s="219">
        <v>0</v>
      </c>
      <c r="BO22" s="218">
        <v>0</v>
      </c>
      <c r="BP22" s="218">
        <v>0</v>
      </c>
      <c r="BQ22" s="748">
        <f t="shared" si="11"/>
        <v>0</v>
      </c>
      <c r="BR22" s="219">
        <v>0</v>
      </c>
      <c r="BS22" s="218">
        <v>0</v>
      </c>
      <c r="BT22" s="218">
        <v>0</v>
      </c>
      <c r="BU22" s="748">
        <f t="shared" si="12"/>
        <v>0</v>
      </c>
      <c r="BV22" s="219">
        <v>0</v>
      </c>
      <c r="BW22" s="218">
        <v>0</v>
      </c>
      <c r="BX22" s="218">
        <v>0</v>
      </c>
      <c r="BY22" s="748">
        <f t="shared" si="13"/>
        <v>0</v>
      </c>
      <c r="BZ22" s="219">
        <v>0</v>
      </c>
      <c r="CA22" s="218">
        <v>0</v>
      </c>
      <c r="CB22" s="218">
        <v>0</v>
      </c>
      <c r="CC22" s="748">
        <f t="shared" si="14"/>
        <v>0</v>
      </c>
      <c r="CD22" s="219">
        <v>0</v>
      </c>
      <c r="CE22" s="218">
        <v>0</v>
      </c>
      <c r="CF22" s="218">
        <v>0</v>
      </c>
      <c r="CG22" s="748">
        <f t="shared" si="15"/>
        <v>0</v>
      </c>
      <c r="CH22" s="219">
        <v>0</v>
      </c>
      <c r="CI22" s="218">
        <v>0</v>
      </c>
      <c r="CJ22" s="218">
        <v>0</v>
      </c>
      <c r="CK22" s="748">
        <f t="shared" si="16"/>
        <v>0</v>
      </c>
      <c r="CL22" s="749">
        <v>0</v>
      </c>
      <c r="CM22" s="749">
        <v>0</v>
      </c>
      <c r="CN22" s="748">
        <f t="shared" si="17"/>
        <v>0</v>
      </c>
      <c r="CO22" s="219">
        <v>0</v>
      </c>
      <c r="CP22" s="218">
        <v>0</v>
      </c>
      <c r="CQ22" s="748">
        <f t="shared" si="18"/>
        <v>0</v>
      </c>
      <c r="CR22" s="219">
        <v>0</v>
      </c>
      <c r="CS22" s="218">
        <v>0</v>
      </c>
      <c r="CT22" s="748">
        <v>0</v>
      </c>
      <c r="CU22" s="219">
        <v>0</v>
      </c>
      <c r="CV22" s="218">
        <v>0</v>
      </c>
      <c r="CW22" s="218">
        <v>0</v>
      </c>
      <c r="CX22" s="748">
        <f t="shared" si="19"/>
        <v>0</v>
      </c>
      <c r="CY22" s="219">
        <v>0</v>
      </c>
      <c r="CZ22" s="218">
        <v>0</v>
      </c>
      <c r="DA22" s="218">
        <v>0</v>
      </c>
      <c r="DB22" s="748">
        <f t="shared" si="20"/>
        <v>0</v>
      </c>
      <c r="DC22" s="219">
        <v>0</v>
      </c>
      <c r="DD22" s="218">
        <v>0</v>
      </c>
      <c r="DE22" s="218">
        <v>0</v>
      </c>
      <c r="DF22" s="748">
        <f t="shared" si="21"/>
        <v>0</v>
      </c>
      <c r="DG22" s="219">
        <v>0</v>
      </c>
      <c r="DH22" s="218">
        <v>0</v>
      </c>
      <c r="DI22" s="218">
        <v>0</v>
      </c>
      <c r="DJ22" s="748">
        <f t="shared" si="22"/>
        <v>0</v>
      </c>
      <c r="DK22" s="219">
        <v>0</v>
      </c>
      <c r="DL22" s="218">
        <v>0</v>
      </c>
      <c r="DM22" s="218">
        <v>0</v>
      </c>
      <c r="DN22" s="748">
        <f t="shared" si="23"/>
        <v>0</v>
      </c>
      <c r="DO22" s="219">
        <v>0</v>
      </c>
      <c r="DP22" s="218">
        <v>0</v>
      </c>
      <c r="DQ22" s="218">
        <v>0</v>
      </c>
      <c r="DR22" s="748">
        <f t="shared" si="24"/>
        <v>0</v>
      </c>
      <c r="DS22" s="219">
        <v>0</v>
      </c>
      <c r="DT22" s="218">
        <v>0</v>
      </c>
      <c r="DU22" s="218">
        <v>0</v>
      </c>
      <c r="DV22" s="748">
        <f t="shared" si="25"/>
        <v>0</v>
      </c>
      <c r="DW22" s="219">
        <v>0</v>
      </c>
      <c r="DX22" s="218">
        <v>0</v>
      </c>
      <c r="DY22" s="218">
        <v>0</v>
      </c>
      <c r="DZ22" s="748">
        <f t="shared" si="26"/>
        <v>0</v>
      </c>
      <c r="EA22" s="219">
        <v>0</v>
      </c>
      <c r="EB22" s="218">
        <v>0</v>
      </c>
      <c r="EC22" s="218">
        <v>0</v>
      </c>
      <c r="ED22" s="748">
        <f t="shared" si="27"/>
        <v>0</v>
      </c>
      <c r="EE22" s="219">
        <v>0</v>
      </c>
      <c r="EF22" s="218">
        <v>0</v>
      </c>
      <c r="EG22" s="218">
        <v>0</v>
      </c>
      <c r="EH22" s="748">
        <f t="shared" si="28"/>
        <v>0</v>
      </c>
      <c r="EI22" s="219">
        <v>0</v>
      </c>
      <c r="EJ22" s="218">
        <v>0</v>
      </c>
      <c r="EK22" s="218">
        <v>0</v>
      </c>
      <c r="EL22" s="748">
        <f t="shared" si="29"/>
        <v>0</v>
      </c>
      <c r="EM22" s="219">
        <v>0</v>
      </c>
      <c r="EN22" s="218">
        <v>0</v>
      </c>
      <c r="EO22" s="218">
        <v>0</v>
      </c>
      <c r="EP22" s="748">
        <f t="shared" si="30"/>
        <v>0</v>
      </c>
      <c r="EQ22" s="219">
        <v>0</v>
      </c>
      <c r="ER22" s="218">
        <v>0</v>
      </c>
      <c r="ES22" s="218">
        <v>0</v>
      </c>
      <c r="ET22" s="748">
        <f t="shared" si="31"/>
        <v>0</v>
      </c>
      <c r="EU22" s="219">
        <v>0</v>
      </c>
      <c r="EV22" s="218">
        <v>0</v>
      </c>
      <c r="EW22" s="218">
        <v>0</v>
      </c>
      <c r="EX22" s="748">
        <f t="shared" si="32"/>
        <v>0</v>
      </c>
      <c r="EY22" s="219">
        <v>0</v>
      </c>
      <c r="EZ22" s="218">
        <v>0</v>
      </c>
      <c r="FA22" s="218">
        <v>0</v>
      </c>
      <c r="FB22" s="748">
        <f t="shared" si="33"/>
        <v>0</v>
      </c>
      <c r="FC22" s="219">
        <v>0</v>
      </c>
      <c r="FD22" s="218">
        <v>0</v>
      </c>
      <c r="FE22" s="218">
        <v>0</v>
      </c>
      <c r="FF22" s="748">
        <f t="shared" si="34"/>
        <v>0</v>
      </c>
      <c r="FG22" s="219">
        <v>0</v>
      </c>
      <c r="FH22" s="218">
        <v>0</v>
      </c>
      <c r="FI22" s="218">
        <v>0</v>
      </c>
      <c r="FJ22" s="748">
        <f t="shared" si="35"/>
        <v>0</v>
      </c>
      <c r="FK22" s="219">
        <v>0</v>
      </c>
      <c r="FL22" s="218">
        <v>0</v>
      </c>
      <c r="FM22" s="218">
        <v>0</v>
      </c>
      <c r="FN22" s="748">
        <f t="shared" si="36"/>
        <v>0</v>
      </c>
      <c r="FO22" s="749" t="s">
        <v>160</v>
      </c>
      <c r="FP22" s="749" t="s">
        <v>160</v>
      </c>
      <c r="FQ22" s="749" t="s">
        <v>160</v>
      </c>
      <c r="FR22" s="748">
        <f t="shared" si="37"/>
        <v>0</v>
      </c>
      <c r="FS22" s="749" t="s">
        <v>160</v>
      </c>
      <c r="FT22" s="749" t="s">
        <v>160</v>
      </c>
      <c r="FU22" s="749" t="s">
        <v>160</v>
      </c>
      <c r="FV22" s="748">
        <f t="shared" si="38"/>
        <v>0</v>
      </c>
      <c r="FW22" s="219">
        <v>0</v>
      </c>
      <c r="FX22" s="118" t="s">
        <v>160</v>
      </c>
      <c r="FY22" s="218">
        <v>0</v>
      </c>
      <c r="FZ22" s="218">
        <v>0</v>
      </c>
      <c r="GA22" s="118" t="s">
        <v>160</v>
      </c>
      <c r="GB22" s="748">
        <f t="shared" si="39"/>
        <v>0</v>
      </c>
      <c r="GC22" s="219">
        <v>0</v>
      </c>
      <c r="GD22" s="118" t="s">
        <v>160</v>
      </c>
      <c r="GE22" s="218">
        <v>0</v>
      </c>
      <c r="GF22" s="218">
        <v>0</v>
      </c>
      <c r="GG22" s="118" t="s">
        <v>160</v>
      </c>
      <c r="GH22" s="748">
        <f t="shared" si="40"/>
        <v>0</v>
      </c>
      <c r="GI22" s="219">
        <v>0</v>
      </c>
      <c r="GJ22" s="118" t="s">
        <v>160</v>
      </c>
      <c r="GK22" s="218">
        <v>0</v>
      </c>
      <c r="GL22" s="218">
        <v>0</v>
      </c>
      <c r="GM22" s="118" t="s">
        <v>160</v>
      </c>
      <c r="GN22" s="749">
        <v>0</v>
      </c>
      <c r="GO22" s="219">
        <v>0</v>
      </c>
      <c r="GP22" s="118" t="s">
        <v>160</v>
      </c>
      <c r="GQ22" s="218">
        <v>0</v>
      </c>
      <c r="GR22" s="218">
        <v>0</v>
      </c>
      <c r="GS22" s="118" t="s">
        <v>160</v>
      </c>
      <c r="GT22" s="748">
        <f t="shared" si="41"/>
        <v>0</v>
      </c>
      <c r="GU22" s="219">
        <v>0</v>
      </c>
      <c r="GV22" s="118" t="s">
        <v>160</v>
      </c>
      <c r="GW22" s="218">
        <v>0</v>
      </c>
      <c r="GX22" s="218">
        <v>0</v>
      </c>
      <c r="GY22" s="118" t="s">
        <v>160</v>
      </c>
      <c r="GZ22" s="748">
        <f t="shared" si="42"/>
        <v>0</v>
      </c>
      <c r="HA22" s="219">
        <v>0</v>
      </c>
      <c r="HB22" s="118" t="s">
        <v>160</v>
      </c>
      <c r="HC22" s="218">
        <v>0</v>
      </c>
      <c r="HD22" s="218">
        <v>0</v>
      </c>
      <c r="HE22" s="118" t="s">
        <v>160</v>
      </c>
      <c r="HF22" s="748">
        <f t="shared" si="43"/>
        <v>0</v>
      </c>
    </row>
    <row r="23" spans="3:214" s="232" customFormat="1" hidden="1" outlineLevel="1" x14ac:dyDescent="0.2">
      <c r="C23" s="232" t="s">
        <v>266</v>
      </c>
      <c r="D23" s="232" t="s">
        <v>668</v>
      </c>
      <c r="F23" s="249" t="s">
        <v>266</v>
      </c>
      <c r="G23" s="219">
        <v>0</v>
      </c>
      <c r="H23" s="218">
        <v>0</v>
      </c>
      <c r="I23" s="746">
        <v>12581</v>
      </c>
      <c r="J23" s="219">
        <v>0</v>
      </c>
      <c r="K23" s="218">
        <v>0</v>
      </c>
      <c r="L23" s="218">
        <v>0</v>
      </c>
      <c r="M23" s="218">
        <v>-12581</v>
      </c>
      <c r="N23" s="746">
        <v>0</v>
      </c>
      <c r="O23" s="219">
        <v>0</v>
      </c>
      <c r="P23" s="218">
        <v>0</v>
      </c>
      <c r="Q23" s="218">
        <v>0</v>
      </c>
      <c r="R23" s="218">
        <v>0</v>
      </c>
      <c r="S23" s="218">
        <v>0</v>
      </c>
      <c r="T23" s="746">
        <v>0</v>
      </c>
      <c r="U23" s="219">
        <v>0</v>
      </c>
      <c r="V23" s="218">
        <v>0</v>
      </c>
      <c r="W23" s="218">
        <v>0</v>
      </c>
      <c r="X23" s="218">
        <v>0</v>
      </c>
      <c r="Y23" s="218">
        <v>0</v>
      </c>
      <c r="Z23" s="746">
        <v>0</v>
      </c>
      <c r="AA23" s="747">
        <v>0</v>
      </c>
      <c r="AB23" s="218">
        <v>0</v>
      </c>
      <c r="AC23" s="218">
        <v>0</v>
      </c>
      <c r="AD23" s="746">
        <v>0</v>
      </c>
      <c r="AE23" s="219">
        <v>0</v>
      </c>
      <c r="AF23" s="218">
        <v>0</v>
      </c>
      <c r="AG23" s="218">
        <v>0</v>
      </c>
      <c r="AH23" s="746">
        <v>0</v>
      </c>
      <c r="AI23" s="219">
        <v>0</v>
      </c>
      <c r="AJ23" s="218">
        <v>0</v>
      </c>
      <c r="AK23" s="218">
        <v>0</v>
      </c>
      <c r="AL23" s="746">
        <v>0</v>
      </c>
      <c r="AM23" s="219">
        <v>0</v>
      </c>
      <c r="AN23" s="218">
        <v>0</v>
      </c>
      <c r="AO23" s="218">
        <v>0</v>
      </c>
      <c r="AP23" s="746">
        <v>0</v>
      </c>
      <c r="AQ23" s="219">
        <v>0</v>
      </c>
      <c r="AR23" s="218">
        <v>0</v>
      </c>
      <c r="AS23" s="218">
        <v>0</v>
      </c>
      <c r="AT23" s="746">
        <f t="shared" si="8"/>
        <v>0</v>
      </c>
      <c r="AU23" s="219">
        <v>0</v>
      </c>
      <c r="AV23" s="218">
        <v>0</v>
      </c>
      <c r="AW23" s="218">
        <v>0</v>
      </c>
      <c r="AX23" s="746">
        <f t="shared" si="9"/>
        <v>0</v>
      </c>
      <c r="AY23" s="219">
        <v>0</v>
      </c>
      <c r="AZ23" s="218">
        <v>0</v>
      </c>
      <c r="BA23" s="218">
        <v>0</v>
      </c>
      <c r="BB23" s="746">
        <f t="shared" si="10"/>
        <v>0</v>
      </c>
      <c r="BC23" s="218">
        <v>0</v>
      </c>
      <c r="BD23" s="218">
        <v>0</v>
      </c>
      <c r="BE23" s="218">
        <v>0</v>
      </c>
      <c r="BF23" s="218">
        <v>0</v>
      </c>
      <c r="BG23" s="219">
        <v>0</v>
      </c>
      <c r="BH23" s="218">
        <v>0</v>
      </c>
      <c r="BI23" s="746">
        <v>0</v>
      </c>
      <c r="BJ23" s="218">
        <v>0</v>
      </c>
      <c r="BK23" s="218">
        <v>0</v>
      </c>
      <c r="BL23" s="218">
        <v>0</v>
      </c>
      <c r="BM23" s="218">
        <v>0</v>
      </c>
      <c r="BN23" s="219">
        <v>0</v>
      </c>
      <c r="BO23" s="218">
        <v>0</v>
      </c>
      <c r="BP23" s="218">
        <v>0</v>
      </c>
      <c r="BQ23" s="748">
        <f t="shared" si="11"/>
        <v>0</v>
      </c>
      <c r="BR23" s="219">
        <v>0</v>
      </c>
      <c r="BS23" s="218">
        <v>0</v>
      </c>
      <c r="BT23" s="218">
        <v>0</v>
      </c>
      <c r="BU23" s="748">
        <f>SUM(BM23:BT23)</f>
        <v>0</v>
      </c>
      <c r="BV23" s="219">
        <v>0</v>
      </c>
      <c r="BW23" s="218">
        <v>0</v>
      </c>
      <c r="BX23" s="218">
        <v>0</v>
      </c>
      <c r="BY23" s="748">
        <f t="shared" si="13"/>
        <v>0</v>
      </c>
      <c r="BZ23" s="219">
        <v>0</v>
      </c>
      <c r="CA23" s="218">
        <v>0</v>
      </c>
      <c r="CB23" s="218">
        <v>0</v>
      </c>
      <c r="CC23" s="748">
        <f t="shared" si="14"/>
        <v>0</v>
      </c>
      <c r="CD23" s="219">
        <v>0</v>
      </c>
      <c r="CE23" s="218">
        <v>0</v>
      </c>
      <c r="CF23" s="218">
        <v>0</v>
      </c>
      <c r="CG23" s="748">
        <f t="shared" si="15"/>
        <v>0</v>
      </c>
      <c r="CH23" s="219">
        <v>0</v>
      </c>
      <c r="CI23" s="218">
        <v>0</v>
      </c>
      <c r="CJ23" s="218">
        <v>0</v>
      </c>
      <c r="CK23" s="748">
        <f t="shared" si="16"/>
        <v>0</v>
      </c>
      <c r="CL23" s="749">
        <v>0</v>
      </c>
      <c r="CM23" s="749">
        <v>0</v>
      </c>
      <c r="CN23" s="748">
        <f t="shared" si="17"/>
        <v>0</v>
      </c>
      <c r="CO23" s="219">
        <v>0</v>
      </c>
      <c r="CP23" s="218">
        <v>0</v>
      </c>
      <c r="CQ23" s="748">
        <f t="shared" si="18"/>
        <v>0</v>
      </c>
      <c r="CR23" s="219">
        <v>0</v>
      </c>
      <c r="CS23" s="218">
        <v>0</v>
      </c>
      <c r="CT23" s="748">
        <v>0</v>
      </c>
      <c r="CU23" s="219">
        <v>0</v>
      </c>
      <c r="CV23" s="218">
        <v>0</v>
      </c>
      <c r="CW23" s="218">
        <v>0</v>
      </c>
      <c r="CX23" s="748">
        <f t="shared" si="19"/>
        <v>0</v>
      </c>
      <c r="CY23" s="219">
        <v>0</v>
      </c>
      <c r="CZ23" s="218">
        <v>0</v>
      </c>
      <c r="DA23" s="218">
        <v>0</v>
      </c>
      <c r="DB23" s="748">
        <f t="shared" si="20"/>
        <v>0</v>
      </c>
      <c r="DC23" s="219">
        <v>0</v>
      </c>
      <c r="DD23" s="218">
        <v>0</v>
      </c>
      <c r="DE23" s="218">
        <v>0</v>
      </c>
      <c r="DF23" s="748">
        <f t="shared" si="21"/>
        <v>0</v>
      </c>
      <c r="DG23" s="219">
        <v>0</v>
      </c>
      <c r="DH23" s="218">
        <v>0</v>
      </c>
      <c r="DI23" s="218">
        <v>0</v>
      </c>
      <c r="DJ23" s="748">
        <f t="shared" si="22"/>
        <v>0</v>
      </c>
      <c r="DK23" s="219">
        <v>0</v>
      </c>
      <c r="DL23" s="218">
        <v>0</v>
      </c>
      <c r="DM23" s="218">
        <v>0</v>
      </c>
      <c r="DN23" s="748">
        <f t="shared" si="23"/>
        <v>0</v>
      </c>
      <c r="DO23" s="219">
        <v>0</v>
      </c>
      <c r="DP23" s="218">
        <v>0</v>
      </c>
      <c r="DQ23" s="218">
        <v>0</v>
      </c>
      <c r="DR23" s="748">
        <f t="shared" si="24"/>
        <v>0</v>
      </c>
      <c r="DS23" s="219">
        <v>0</v>
      </c>
      <c r="DT23" s="218">
        <v>0</v>
      </c>
      <c r="DU23" s="218">
        <v>0</v>
      </c>
      <c r="DV23" s="748">
        <f t="shared" si="25"/>
        <v>0</v>
      </c>
      <c r="DW23" s="219">
        <v>0</v>
      </c>
      <c r="DX23" s="218">
        <v>0</v>
      </c>
      <c r="DY23" s="218">
        <v>0</v>
      </c>
      <c r="DZ23" s="748">
        <f t="shared" si="26"/>
        <v>0</v>
      </c>
      <c r="EA23" s="219">
        <v>0</v>
      </c>
      <c r="EB23" s="218">
        <v>0</v>
      </c>
      <c r="EC23" s="218">
        <v>0</v>
      </c>
      <c r="ED23" s="748">
        <f t="shared" si="27"/>
        <v>0</v>
      </c>
      <c r="EE23" s="219">
        <v>0</v>
      </c>
      <c r="EF23" s="218">
        <v>0</v>
      </c>
      <c r="EG23" s="218">
        <v>0</v>
      </c>
      <c r="EH23" s="748">
        <f t="shared" si="28"/>
        <v>0</v>
      </c>
      <c r="EI23" s="219">
        <v>0</v>
      </c>
      <c r="EJ23" s="218">
        <v>0</v>
      </c>
      <c r="EK23" s="218">
        <v>0</v>
      </c>
      <c r="EL23" s="748">
        <f t="shared" si="29"/>
        <v>0</v>
      </c>
      <c r="EM23" s="219">
        <v>0</v>
      </c>
      <c r="EN23" s="218">
        <v>0</v>
      </c>
      <c r="EO23" s="218">
        <v>0</v>
      </c>
      <c r="EP23" s="748">
        <f t="shared" si="30"/>
        <v>0</v>
      </c>
      <c r="EQ23" s="219">
        <v>0</v>
      </c>
      <c r="ER23" s="218">
        <v>0</v>
      </c>
      <c r="ES23" s="218">
        <v>0</v>
      </c>
      <c r="ET23" s="748">
        <f t="shared" si="31"/>
        <v>0</v>
      </c>
      <c r="EU23" s="219">
        <v>0</v>
      </c>
      <c r="EV23" s="218">
        <v>0</v>
      </c>
      <c r="EW23" s="218">
        <v>0</v>
      </c>
      <c r="EX23" s="748">
        <f t="shared" si="32"/>
        <v>0</v>
      </c>
      <c r="EY23" s="219">
        <v>0</v>
      </c>
      <c r="EZ23" s="218">
        <v>0</v>
      </c>
      <c r="FA23" s="218">
        <v>0</v>
      </c>
      <c r="FB23" s="748">
        <f t="shared" si="33"/>
        <v>0</v>
      </c>
      <c r="FC23" s="219">
        <v>0</v>
      </c>
      <c r="FD23" s="218">
        <v>0</v>
      </c>
      <c r="FE23" s="218">
        <v>0</v>
      </c>
      <c r="FF23" s="748">
        <f t="shared" si="34"/>
        <v>0</v>
      </c>
      <c r="FG23" s="219">
        <v>0</v>
      </c>
      <c r="FH23" s="218">
        <v>0</v>
      </c>
      <c r="FI23" s="218">
        <v>0</v>
      </c>
      <c r="FJ23" s="748">
        <f t="shared" si="35"/>
        <v>0</v>
      </c>
      <c r="FK23" s="219">
        <v>0</v>
      </c>
      <c r="FL23" s="218">
        <v>0</v>
      </c>
      <c r="FM23" s="218">
        <v>0</v>
      </c>
      <c r="FN23" s="748">
        <f t="shared" si="36"/>
        <v>0</v>
      </c>
      <c r="FO23" s="749" t="s">
        <v>160</v>
      </c>
      <c r="FP23" s="749" t="s">
        <v>160</v>
      </c>
      <c r="FQ23" s="749" t="s">
        <v>160</v>
      </c>
      <c r="FR23" s="748">
        <f t="shared" si="37"/>
        <v>0</v>
      </c>
      <c r="FS23" s="749" t="s">
        <v>160</v>
      </c>
      <c r="FT23" s="749" t="s">
        <v>160</v>
      </c>
      <c r="FU23" s="749" t="s">
        <v>160</v>
      </c>
      <c r="FV23" s="748">
        <f t="shared" si="38"/>
        <v>0</v>
      </c>
      <c r="FW23" s="219">
        <v>0</v>
      </c>
      <c r="FX23" s="118" t="s">
        <v>160</v>
      </c>
      <c r="FY23" s="218">
        <v>0</v>
      </c>
      <c r="FZ23" s="218">
        <v>0</v>
      </c>
      <c r="GA23" s="118" t="s">
        <v>160</v>
      </c>
      <c r="GB23" s="748">
        <f t="shared" si="39"/>
        <v>0</v>
      </c>
      <c r="GC23" s="219">
        <v>0</v>
      </c>
      <c r="GD23" s="118" t="s">
        <v>160</v>
      </c>
      <c r="GE23" s="218">
        <v>0</v>
      </c>
      <c r="GF23" s="218">
        <v>0</v>
      </c>
      <c r="GG23" s="118" t="s">
        <v>160</v>
      </c>
      <c r="GH23" s="748">
        <f t="shared" si="40"/>
        <v>0</v>
      </c>
      <c r="GI23" s="219">
        <v>0</v>
      </c>
      <c r="GJ23" s="118" t="s">
        <v>160</v>
      </c>
      <c r="GK23" s="218">
        <v>0</v>
      </c>
      <c r="GL23" s="218">
        <v>0</v>
      </c>
      <c r="GM23" s="118" t="s">
        <v>160</v>
      </c>
      <c r="GN23" s="749">
        <v>0</v>
      </c>
      <c r="GO23" s="219">
        <v>0</v>
      </c>
      <c r="GP23" s="118" t="s">
        <v>160</v>
      </c>
      <c r="GQ23" s="218">
        <v>0</v>
      </c>
      <c r="GR23" s="218">
        <v>0</v>
      </c>
      <c r="GS23" s="118" t="s">
        <v>160</v>
      </c>
      <c r="GT23" s="748">
        <f t="shared" si="41"/>
        <v>0</v>
      </c>
      <c r="GU23" s="219">
        <v>0</v>
      </c>
      <c r="GV23" s="118" t="s">
        <v>160</v>
      </c>
      <c r="GW23" s="218">
        <v>0</v>
      </c>
      <c r="GX23" s="218">
        <v>0</v>
      </c>
      <c r="GY23" s="118" t="s">
        <v>160</v>
      </c>
      <c r="GZ23" s="748">
        <f t="shared" si="42"/>
        <v>0</v>
      </c>
      <c r="HA23" s="219">
        <v>0</v>
      </c>
      <c r="HB23" s="118" t="s">
        <v>160</v>
      </c>
      <c r="HC23" s="218">
        <v>0</v>
      </c>
      <c r="HD23" s="218">
        <v>0</v>
      </c>
      <c r="HE23" s="118" t="s">
        <v>160</v>
      </c>
      <c r="HF23" s="748">
        <f t="shared" si="43"/>
        <v>0</v>
      </c>
    </row>
    <row r="24" spans="3:214" s="232" customFormat="1" hidden="1" outlineLevel="1" x14ac:dyDescent="0.2">
      <c r="C24" s="232" t="s">
        <v>267</v>
      </c>
      <c r="D24" s="232" t="s">
        <v>669</v>
      </c>
      <c r="F24" s="249" t="s">
        <v>267</v>
      </c>
      <c r="G24" s="219">
        <v>0</v>
      </c>
      <c r="H24" s="218">
        <v>-493</v>
      </c>
      <c r="I24" s="746">
        <v>7341</v>
      </c>
      <c r="J24" s="219">
        <v>0</v>
      </c>
      <c r="K24" s="218">
        <v>-493</v>
      </c>
      <c r="L24" s="218">
        <v>0</v>
      </c>
      <c r="M24" s="218">
        <v>-6848</v>
      </c>
      <c r="N24" s="746">
        <v>0</v>
      </c>
      <c r="O24" s="219">
        <v>0</v>
      </c>
      <c r="P24" s="218">
        <v>0</v>
      </c>
      <c r="Q24" s="218">
        <v>0</v>
      </c>
      <c r="R24" s="218">
        <v>0</v>
      </c>
      <c r="S24" s="218">
        <v>0</v>
      </c>
      <c r="T24" s="746">
        <v>0</v>
      </c>
      <c r="U24" s="219">
        <v>0</v>
      </c>
      <c r="V24" s="218">
        <v>0</v>
      </c>
      <c r="W24" s="218">
        <v>0</v>
      </c>
      <c r="X24" s="218">
        <v>0</v>
      </c>
      <c r="Y24" s="218">
        <v>0</v>
      </c>
      <c r="Z24" s="746">
        <v>0</v>
      </c>
      <c r="AA24" s="747">
        <v>0</v>
      </c>
      <c r="AB24" s="218">
        <v>0</v>
      </c>
      <c r="AC24" s="218">
        <v>0</v>
      </c>
      <c r="AD24" s="746">
        <v>0</v>
      </c>
      <c r="AE24" s="219">
        <v>0</v>
      </c>
      <c r="AF24" s="218">
        <v>0</v>
      </c>
      <c r="AG24" s="218">
        <v>0</v>
      </c>
      <c r="AH24" s="746">
        <v>0</v>
      </c>
      <c r="AI24" s="219">
        <v>0</v>
      </c>
      <c r="AJ24" s="218">
        <v>0</v>
      </c>
      <c r="AK24" s="218">
        <v>0</v>
      </c>
      <c r="AL24" s="746">
        <v>0</v>
      </c>
      <c r="AM24" s="219">
        <v>0</v>
      </c>
      <c r="AN24" s="218">
        <v>0</v>
      </c>
      <c r="AO24" s="218">
        <v>0</v>
      </c>
      <c r="AP24" s="746">
        <v>0</v>
      </c>
      <c r="AQ24" s="219">
        <v>0</v>
      </c>
      <c r="AR24" s="218">
        <v>0</v>
      </c>
      <c r="AS24" s="218">
        <v>0</v>
      </c>
      <c r="AT24" s="746">
        <f t="shared" si="8"/>
        <v>0</v>
      </c>
      <c r="AU24" s="219">
        <v>0</v>
      </c>
      <c r="AV24" s="218">
        <v>0</v>
      </c>
      <c r="AW24" s="218">
        <v>0</v>
      </c>
      <c r="AX24" s="746">
        <f t="shared" si="9"/>
        <v>0</v>
      </c>
      <c r="AY24" s="219">
        <v>0</v>
      </c>
      <c r="AZ24" s="218">
        <v>0</v>
      </c>
      <c r="BA24" s="218">
        <v>0</v>
      </c>
      <c r="BB24" s="746">
        <f t="shared" si="10"/>
        <v>0</v>
      </c>
      <c r="BC24" s="218">
        <v>0</v>
      </c>
      <c r="BD24" s="218">
        <v>0</v>
      </c>
      <c r="BE24" s="218">
        <v>0</v>
      </c>
      <c r="BF24" s="218">
        <v>0</v>
      </c>
      <c r="BG24" s="219">
        <v>0</v>
      </c>
      <c r="BH24" s="218">
        <v>0</v>
      </c>
      <c r="BI24" s="746">
        <v>0</v>
      </c>
      <c r="BJ24" s="218">
        <v>0</v>
      </c>
      <c r="BK24" s="218">
        <v>0</v>
      </c>
      <c r="BL24" s="218">
        <v>0</v>
      </c>
      <c r="BM24" s="218">
        <v>0</v>
      </c>
      <c r="BN24" s="219">
        <v>0</v>
      </c>
      <c r="BO24" s="218">
        <v>0</v>
      </c>
      <c r="BP24" s="218">
        <v>0</v>
      </c>
      <c r="BQ24" s="748">
        <f t="shared" si="11"/>
        <v>0</v>
      </c>
      <c r="BR24" s="219">
        <v>0</v>
      </c>
      <c r="BS24" s="218">
        <v>0</v>
      </c>
      <c r="BT24" s="218">
        <v>0</v>
      </c>
      <c r="BU24" s="748">
        <f t="shared" si="12"/>
        <v>0</v>
      </c>
      <c r="BV24" s="219">
        <v>0</v>
      </c>
      <c r="BW24" s="218">
        <v>0</v>
      </c>
      <c r="BX24" s="218">
        <v>0</v>
      </c>
      <c r="BY24" s="748">
        <f t="shared" si="13"/>
        <v>0</v>
      </c>
      <c r="BZ24" s="219">
        <v>0</v>
      </c>
      <c r="CA24" s="218">
        <v>0</v>
      </c>
      <c r="CB24" s="218">
        <v>0</v>
      </c>
      <c r="CC24" s="748">
        <f t="shared" si="14"/>
        <v>0</v>
      </c>
      <c r="CD24" s="219">
        <v>0</v>
      </c>
      <c r="CE24" s="218">
        <v>0</v>
      </c>
      <c r="CF24" s="218">
        <v>0</v>
      </c>
      <c r="CG24" s="748">
        <f t="shared" si="15"/>
        <v>0</v>
      </c>
      <c r="CH24" s="219">
        <v>0</v>
      </c>
      <c r="CI24" s="218">
        <v>0</v>
      </c>
      <c r="CJ24" s="218">
        <v>0</v>
      </c>
      <c r="CK24" s="748">
        <f t="shared" si="16"/>
        <v>0</v>
      </c>
      <c r="CL24" s="749">
        <v>0</v>
      </c>
      <c r="CM24" s="749">
        <v>0</v>
      </c>
      <c r="CN24" s="748">
        <f t="shared" si="17"/>
        <v>0</v>
      </c>
      <c r="CO24" s="219">
        <v>0</v>
      </c>
      <c r="CP24" s="218">
        <v>0</v>
      </c>
      <c r="CQ24" s="748">
        <f t="shared" si="18"/>
        <v>0</v>
      </c>
      <c r="CR24" s="219">
        <v>0</v>
      </c>
      <c r="CS24" s="218">
        <v>0</v>
      </c>
      <c r="CT24" s="748">
        <v>0</v>
      </c>
      <c r="CU24" s="219">
        <v>0</v>
      </c>
      <c r="CV24" s="218">
        <v>0</v>
      </c>
      <c r="CW24" s="218">
        <v>0</v>
      </c>
      <c r="CX24" s="748">
        <f t="shared" si="19"/>
        <v>0</v>
      </c>
      <c r="CY24" s="219">
        <v>0</v>
      </c>
      <c r="CZ24" s="218">
        <v>0</v>
      </c>
      <c r="DA24" s="218">
        <v>0</v>
      </c>
      <c r="DB24" s="748">
        <f t="shared" si="20"/>
        <v>0</v>
      </c>
      <c r="DC24" s="219">
        <v>0</v>
      </c>
      <c r="DD24" s="218">
        <v>0</v>
      </c>
      <c r="DE24" s="218">
        <v>0</v>
      </c>
      <c r="DF24" s="748">
        <f t="shared" si="21"/>
        <v>0</v>
      </c>
      <c r="DG24" s="219">
        <v>0</v>
      </c>
      <c r="DH24" s="218">
        <v>0</v>
      </c>
      <c r="DI24" s="218">
        <v>0</v>
      </c>
      <c r="DJ24" s="748">
        <f t="shared" si="22"/>
        <v>0</v>
      </c>
      <c r="DK24" s="219">
        <v>0</v>
      </c>
      <c r="DL24" s="218">
        <v>0</v>
      </c>
      <c r="DM24" s="218">
        <v>0</v>
      </c>
      <c r="DN24" s="748">
        <f t="shared" si="23"/>
        <v>0</v>
      </c>
      <c r="DO24" s="219">
        <v>0</v>
      </c>
      <c r="DP24" s="218">
        <v>0</v>
      </c>
      <c r="DQ24" s="218">
        <v>0</v>
      </c>
      <c r="DR24" s="748">
        <f t="shared" si="24"/>
        <v>0</v>
      </c>
      <c r="DS24" s="219">
        <v>0</v>
      </c>
      <c r="DT24" s="218">
        <v>0</v>
      </c>
      <c r="DU24" s="218">
        <v>0</v>
      </c>
      <c r="DV24" s="748">
        <f t="shared" si="25"/>
        <v>0</v>
      </c>
      <c r="DW24" s="219">
        <v>0</v>
      </c>
      <c r="DX24" s="218">
        <v>0</v>
      </c>
      <c r="DY24" s="218">
        <v>0</v>
      </c>
      <c r="DZ24" s="748">
        <f t="shared" si="26"/>
        <v>0</v>
      </c>
      <c r="EA24" s="219">
        <v>0</v>
      </c>
      <c r="EB24" s="218">
        <v>0</v>
      </c>
      <c r="EC24" s="218">
        <v>0</v>
      </c>
      <c r="ED24" s="748">
        <f t="shared" si="27"/>
        <v>0</v>
      </c>
      <c r="EE24" s="219">
        <v>0</v>
      </c>
      <c r="EF24" s="218">
        <v>0</v>
      </c>
      <c r="EG24" s="218">
        <v>0</v>
      </c>
      <c r="EH24" s="748">
        <f t="shared" si="28"/>
        <v>0</v>
      </c>
      <c r="EI24" s="219">
        <v>0</v>
      </c>
      <c r="EJ24" s="218">
        <v>0</v>
      </c>
      <c r="EK24" s="218">
        <v>0</v>
      </c>
      <c r="EL24" s="748">
        <f t="shared" si="29"/>
        <v>0</v>
      </c>
      <c r="EM24" s="219">
        <v>0</v>
      </c>
      <c r="EN24" s="218">
        <v>0</v>
      </c>
      <c r="EO24" s="218">
        <v>0</v>
      </c>
      <c r="EP24" s="748">
        <f t="shared" si="30"/>
        <v>0</v>
      </c>
      <c r="EQ24" s="219">
        <v>0</v>
      </c>
      <c r="ER24" s="218">
        <v>0</v>
      </c>
      <c r="ES24" s="218">
        <v>0</v>
      </c>
      <c r="ET24" s="748">
        <f t="shared" si="31"/>
        <v>0</v>
      </c>
      <c r="EU24" s="219">
        <v>0</v>
      </c>
      <c r="EV24" s="218">
        <v>0</v>
      </c>
      <c r="EW24" s="218">
        <v>0</v>
      </c>
      <c r="EX24" s="748">
        <f t="shared" si="32"/>
        <v>0</v>
      </c>
      <c r="EY24" s="219">
        <v>0</v>
      </c>
      <c r="EZ24" s="218">
        <v>0</v>
      </c>
      <c r="FA24" s="218">
        <v>0</v>
      </c>
      <c r="FB24" s="748">
        <f t="shared" si="33"/>
        <v>0</v>
      </c>
      <c r="FC24" s="219">
        <v>0</v>
      </c>
      <c r="FD24" s="218">
        <v>0</v>
      </c>
      <c r="FE24" s="218">
        <v>0</v>
      </c>
      <c r="FF24" s="748">
        <f t="shared" si="34"/>
        <v>0</v>
      </c>
      <c r="FG24" s="219">
        <v>0</v>
      </c>
      <c r="FH24" s="218">
        <v>0</v>
      </c>
      <c r="FI24" s="218">
        <v>0</v>
      </c>
      <c r="FJ24" s="748">
        <f t="shared" si="35"/>
        <v>0</v>
      </c>
      <c r="FK24" s="219">
        <v>0</v>
      </c>
      <c r="FL24" s="218">
        <v>0</v>
      </c>
      <c r="FM24" s="218">
        <v>0</v>
      </c>
      <c r="FN24" s="748">
        <f t="shared" si="36"/>
        <v>0</v>
      </c>
      <c r="FO24" s="749" t="s">
        <v>160</v>
      </c>
      <c r="FP24" s="749" t="s">
        <v>160</v>
      </c>
      <c r="FQ24" s="749" t="s">
        <v>160</v>
      </c>
      <c r="FR24" s="748">
        <f t="shared" si="37"/>
        <v>0</v>
      </c>
      <c r="FS24" s="749" t="s">
        <v>160</v>
      </c>
      <c r="FT24" s="749" t="s">
        <v>160</v>
      </c>
      <c r="FU24" s="749" t="s">
        <v>160</v>
      </c>
      <c r="FV24" s="748">
        <f t="shared" si="38"/>
        <v>0</v>
      </c>
      <c r="FW24" s="219">
        <v>0</v>
      </c>
      <c r="FX24" s="118" t="s">
        <v>160</v>
      </c>
      <c r="FY24" s="218">
        <v>0</v>
      </c>
      <c r="FZ24" s="218">
        <v>0</v>
      </c>
      <c r="GA24" s="118" t="s">
        <v>160</v>
      </c>
      <c r="GB24" s="748">
        <f t="shared" si="39"/>
        <v>0</v>
      </c>
      <c r="GC24" s="219">
        <v>0</v>
      </c>
      <c r="GD24" s="118" t="s">
        <v>160</v>
      </c>
      <c r="GE24" s="218">
        <v>0</v>
      </c>
      <c r="GF24" s="218">
        <v>0</v>
      </c>
      <c r="GG24" s="118" t="s">
        <v>160</v>
      </c>
      <c r="GH24" s="748">
        <f t="shared" si="40"/>
        <v>0</v>
      </c>
      <c r="GI24" s="219">
        <v>0</v>
      </c>
      <c r="GJ24" s="118" t="s">
        <v>160</v>
      </c>
      <c r="GK24" s="218">
        <v>0</v>
      </c>
      <c r="GL24" s="218">
        <v>0</v>
      </c>
      <c r="GM24" s="118" t="s">
        <v>160</v>
      </c>
      <c r="GN24" s="749">
        <v>0</v>
      </c>
      <c r="GO24" s="219">
        <v>0</v>
      </c>
      <c r="GP24" s="118" t="s">
        <v>160</v>
      </c>
      <c r="GQ24" s="218">
        <v>0</v>
      </c>
      <c r="GR24" s="218">
        <v>0</v>
      </c>
      <c r="GS24" s="118" t="s">
        <v>160</v>
      </c>
      <c r="GT24" s="748">
        <f t="shared" si="41"/>
        <v>0</v>
      </c>
      <c r="GU24" s="219">
        <v>0</v>
      </c>
      <c r="GV24" s="118" t="s">
        <v>160</v>
      </c>
      <c r="GW24" s="218">
        <v>0</v>
      </c>
      <c r="GX24" s="218">
        <v>0</v>
      </c>
      <c r="GY24" s="118" t="s">
        <v>160</v>
      </c>
      <c r="GZ24" s="748">
        <f t="shared" si="42"/>
        <v>0</v>
      </c>
      <c r="HA24" s="219">
        <v>0</v>
      </c>
      <c r="HB24" s="118" t="s">
        <v>160</v>
      </c>
      <c r="HC24" s="218">
        <v>0</v>
      </c>
      <c r="HD24" s="218">
        <v>0</v>
      </c>
      <c r="HE24" s="118" t="s">
        <v>160</v>
      </c>
      <c r="HF24" s="748">
        <f t="shared" si="43"/>
        <v>0</v>
      </c>
    </row>
    <row r="25" spans="3:214" s="232" customFormat="1" hidden="1" outlineLevel="1" x14ac:dyDescent="0.2">
      <c r="C25" s="232" t="s">
        <v>268</v>
      </c>
      <c r="D25" s="232" t="s">
        <v>670</v>
      </c>
      <c r="F25" s="249" t="s">
        <v>268</v>
      </c>
      <c r="G25" s="219">
        <v>0</v>
      </c>
      <c r="H25" s="218">
        <v>-125</v>
      </c>
      <c r="I25" s="746">
        <v>1416</v>
      </c>
      <c r="J25" s="219">
        <v>0</v>
      </c>
      <c r="K25" s="218">
        <v>-125</v>
      </c>
      <c r="L25" s="218">
        <v>0</v>
      </c>
      <c r="M25" s="218">
        <v>-1291</v>
      </c>
      <c r="N25" s="746">
        <v>0</v>
      </c>
      <c r="O25" s="219">
        <v>0</v>
      </c>
      <c r="P25" s="218">
        <v>0</v>
      </c>
      <c r="Q25" s="218">
        <v>0</v>
      </c>
      <c r="R25" s="218">
        <v>0</v>
      </c>
      <c r="S25" s="218">
        <v>0</v>
      </c>
      <c r="T25" s="746">
        <v>0</v>
      </c>
      <c r="U25" s="219">
        <v>0</v>
      </c>
      <c r="V25" s="218">
        <v>0</v>
      </c>
      <c r="W25" s="218">
        <v>0</v>
      </c>
      <c r="X25" s="218">
        <v>0</v>
      </c>
      <c r="Y25" s="218">
        <v>0</v>
      </c>
      <c r="Z25" s="746">
        <v>0</v>
      </c>
      <c r="AA25" s="747">
        <v>0</v>
      </c>
      <c r="AB25" s="218">
        <v>0</v>
      </c>
      <c r="AC25" s="218">
        <v>0</v>
      </c>
      <c r="AD25" s="746">
        <v>0</v>
      </c>
      <c r="AE25" s="219">
        <v>0</v>
      </c>
      <c r="AF25" s="218">
        <v>0</v>
      </c>
      <c r="AG25" s="218">
        <v>0</v>
      </c>
      <c r="AH25" s="746">
        <v>0</v>
      </c>
      <c r="AI25" s="219">
        <v>0</v>
      </c>
      <c r="AJ25" s="218">
        <v>0</v>
      </c>
      <c r="AK25" s="218">
        <v>0</v>
      </c>
      <c r="AL25" s="746">
        <v>0</v>
      </c>
      <c r="AM25" s="219">
        <v>0</v>
      </c>
      <c r="AN25" s="218">
        <v>0</v>
      </c>
      <c r="AO25" s="218">
        <v>0</v>
      </c>
      <c r="AP25" s="746">
        <v>0</v>
      </c>
      <c r="AQ25" s="219">
        <v>0</v>
      </c>
      <c r="AR25" s="218">
        <v>0</v>
      </c>
      <c r="AS25" s="218">
        <v>0</v>
      </c>
      <c r="AT25" s="746">
        <f t="shared" si="8"/>
        <v>0</v>
      </c>
      <c r="AU25" s="219">
        <v>0</v>
      </c>
      <c r="AV25" s="218">
        <v>0</v>
      </c>
      <c r="AW25" s="218">
        <v>0</v>
      </c>
      <c r="AX25" s="746">
        <f t="shared" si="9"/>
        <v>0</v>
      </c>
      <c r="AY25" s="219">
        <v>0</v>
      </c>
      <c r="AZ25" s="218">
        <v>0</v>
      </c>
      <c r="BA25" s="218">
        <v>0</v>
      </c>
      <c r="BB25" s="746">
        <f t="shared" si="10"/>
        <v>0</v>
      </c>
      <c r="BC25" s="218">
        <v>0</v>
      </c>
      <c r="BD25" s="218">
        <v>0</v>
      </c>
      <c r="BE25" s="218">
        <v>0</v>
      </c>
      <c r="BF25" s="218">
        <v>0</v>
      </c>
      <c r="BG25" s="219">
        <v>0</v>
      </c>
      <c r="BH25" s="218">
        <v>0</v>
      </c>
      <c r="BI25" s="746">
        <v>0</v>
      </c>
      <c r="BJ25" s="218">
        <v>0</v>
      </c>
      <c r="BK25" s="218">
        <v>0</v>
      </c>
      <c r="BL25" s="218">
        <v>0</v>
      </c>
      <c r="BM25" s="218">
        <v>0</v>
      </c>
      <c r="BN25" s="219">
        <v>0</v>
      </c>
      <c r="BO25" s="218">
        <v>0</v>
      </c>
      <c r="BP25" s="218">
        <v>0</v>
      </c>
      <c r="BQ25" s="748">
        <f t="shared" si="11"/>
        <v>0</v>
      </c>
      <c r="BR25" s="219">
        <v>0</v>
      </c>
      <c r="BS25" s="218">
        <v>0</v>
      </c>
      <c r="BT25" s="218">
        <v>0</v>
      </c>
      <c r="BU25" s="748">
        <f t="shared" si="12"/>
        <v>0</v>
      </c>
      <c r="BV25" s="219">
        <v>0</v>
      </c>
      <c r="BW25" s="218">
        <v>0</v>
      </c>
      <c r="BX25" s="218">
        <v>0</v>
      </c>
      <c r="BY25" s="748">
        <f t="shared" si="13"/>
        <v>0</v>
      </c>
      <c r="BZ25" s="219">
        <v>0</v>
      </c>
      <c r="CA25" s="218">
        <v>0</v>
      </c>
      <c r="CB25" s="218">
        <v>0</v>
      </c>
      <c r="CC25" s="748">
        <f t="shared" si="14"/>
        <v>0</v>
      </c>
      <c r="CD25" s="219">
        <v>0</v>
      </c>
      <c r="CE25" s="218">
        <v>0</v>
      </c>
      <c r="CF25" s="218">
        <v>0</v>
      </c>
      <c r="CG25" s="748">
        <f t="shared" si="15"/>
        <v>0</v>
      </c>
      <c r="CH25" s="219">
        <v>0</v>
      </c>
      <c r="CI25" s="218">
        <v>0</v>
      </c>
      <c r="CJ25" s="218">
        <v>0</v>
      </c>
      <c r="CK25" s="748">
        <f t="shared" si="16"/>
        <v>0</v>
      </c>
      <c r="CL25" s="749">
        <v>0</v>
      </c>
      <c r="CM25" s="749">
        <v>0</v>
      </c>
      <c r="CN25" s="748">
        <f t="shared" si="17"/>
        <v>0</v>
      </c>
      <c r="CO25" s="219">
        <v>0</v>
      </c>
      <c r="CP25" s="218">
        <v>0</v>
      </c>
      <c r="CQ25" s="748">
        <f t="shared" si="18"/>
        <v>0</v>
      </c>
      <c r="CR25" s="219">
        <v>0</v>
      </c>
      <c r="CS25" s="218">
        <v>0</v>
      </c>
      <c r="CT25" s="748">
        <v>0</v>
      </c>
      <c r="CU25" s="219">
        <v>0</v>
      </c>
      <c r="CV25" s="218">
        <v>0</v>
      </c>
      <c r="CW25" s="218">
        <v>0</v>
      </c>
      <c r="CX25" s="748">
        <f t="shared" si="19"/>
        <v>0</v>
      </c>
      <c r="CY25" s="219">
        <v>0</v>
      </c>
      <c r="CZ25" s="218">
        <v>0</v>
      </c>
      <c r="DA25" s="218">
        <v>0</v>
      </c>
      <c r="DB25" s="748">
        <f t="shared" si="20"/>
        <v>0</v>
      </c>
      <c r="DC25" s="219">
        <v>0</v>
      </c>
      <c r="DD25" s="218">
        <v>0</v>
      </c>
      <c r="DE25" s="218">
        <v>0</v>
      </c>
      <c r="DF25" s="748">
        <f t="shared" si="21"/>
        <v>0</v>
      </c>
      <c r="DG25" s="219">
        <v>0</v>
      </c>
      <c r="DH25" s="218">
        <v>0</v>
      </c>
      <c r="DI25" s="218">
        <v>0</v>
      </c>
      <c r="DJ25" s="748">
        <f t="shared" si="22"/>
        <v>0</v>
      </c>
      <c r="DK25" s="219">
        <v>0</v>
      </c>
      <c r="DL25" s="218">
        <v>0</v>
      </c>
      <c r="DM25" s="218">
        <v>0</v>
      </c>
      <c r="DN25" s="748">
        <f t="shared" si="23"/>
        <v>0</v>
      </c>
      <c r="DO25" s="219">
        <v>0</v>
      </c>
      <c r="DP25" s="218">
        <v>0</v>
      </c>
      <c r="DQ25" s="218">
        <v>0</v>
      </c>
      <c r="DR25" s="748">
        <f t="shared" si="24"/>
        <v>0</v>
      </c>
      <c r="DS25" s="219">
        <v>0</v>
      </c>
      <c r="DT25" s="218">
        <v>0</v>
      </c>
      <c r="DU25" s="218">
        <v>0</v>
      </c>
      <c r="DV25" s="748">
        <f t="shared" si="25"/>
        <v>0</v>
      </c>
      <c r="DW25" s="219">
        <v>0</v>
      </c>
      <c r="DX25" s="218">
        <v>0</v>
      </c>
      <c r="DY25" s="218">
        <v>0</v>
      </c>
      <c r="DZ25" s="748">
        <f t="shared" si="26"/>
        <v>0</v>
      </c>
      <c r="EA25" s="219">
        <v>0</v>
      </c>
      <c r="EB25" s="218">
        <v>0</v>
      </c>
      <c r="EC25" s="218">
        <v>0</v>
      </c>
      <c r="ED25" s="748">
        <f t="shared" si="27"/>
        <v>0</v>
      </c>
      <c r="EE25" s="219">
        <v>0</v>
      </c>
      <c r="EF25" s="218">
        <v>0</v>
      </c>
      <c r="EG25" s="218">
        <v>0</v>
      </c>
      <c r="EH25" s="748">
        <f t="shared" si="28"/>
        <v>0</v>
      </c>
      <c r="EI25" s="219">
        <v>0</v>
      </c>
      <c r="EJ25" s="218">
        <v>0</v>
      </c>
      <c r="EK25" s="218">
        <v>0</v>
      </c>
      <c r="EL25" s="748">
        <f t="shared" si="29"/>
        <v>0</v>
      </c>
      <c r="EM25" s="219">
        <v>0</v>
      </c>
      <c r="EN25" s="218">
        <v>0</v>
      </c>
      <c r="EO25" s="218">
        <v>0</v>
      </c>
      <c r="EP25" s="748">
        <f t="shared" si="30"/>
        <v>0</v>
      </c>
      <c r="EQ25" s="219">
        <v>0</v>
      </c>
      <c r="ER25" s="218">
        <v>0</v>
      </c>
      <c r="ES25" s="218">
        <v>0</v>
      </c>
      <c r="ET25" s="748">
        <f t="shared" si="31"/>
        <v>0</v>
      </c>
      <c r="EU25" s="219">
        <v>0</v>
      </c>
      <c r="EV25" s="218">
        <v>0</v>
      </c>
      <c r="EW25" s="218">
        <v>0</v>
      </c>
      <c r="EX25" s="748">
        <f t="shared" si="32"/>
        <v>0</v>
      </c>
      <c r="EY25" s="219">
        <v>0</v>
      </c>
      <c r="EZ25" s="218">
        <v>0</v>
      </c>
      <c r="FA25" s="218">
        <v>0</v>
      </c>
      <c r="FB25" s="748">
        <f t="shared" si="33"/>
        <v>0</v>
      </c>
      <c r="FC25" s="219">
        <v>0</v>
      </c>
      <c r="FD25" s="218">
        <v>0</v>
      </c>
      <c r="FE25" s="218">
        <v>0</v>
      </c>
      <c r="FF25" s="748">
        <f t="shared" si="34"/>
        <v>0</v>
      </c>
      <c r="FG25" s="219">
        <v>0</v>
      </c>
      <c r="FH25" s="218">
        <v>0</v>
      </c>
      <c r="FI25" s="218">
        <v>0</v>
      </c>
      <c r="FJ25" s="748">
        <f t="shared" si="35"/>
        <v>0</v>
      </c>
      <c r="FK25" s="219">
        <v>0</v>
      </c>
      <c r="FL25" s="218">
        <v>0</v>
      </c>
      <c r="FM25" s="218">
        <v>0</v>
      </c>
      <c r="FN25" s="748">
        <f t="shared" si="36"/>
        <v>0</v>
      </c>
      <c r="FO25" s="749" t="s">
        <v>160</v>
      </c>
      <c r="FP25" s="749" t="s">
        <v>160</v>
      </c>
      <c r="FQ25" s="749" t="s">
        <v>160</v>
      </c>
      <c r="FR25" s="748">
        <f t="shared" si="37"/>
        <v>0</v>
      </c>
      <c r="FS25" s="749" t="s">
        <v>160</v>
      </c>
      <c r="FT25" s="749" t="s">
        <v>160</v>
      </c>
      <c r="FU25" s="749" t="s">
        <v>160</v>
      </c>
      <c r="FV25" s="748">
        <f t="shared" si="38"/>
        <v>0</v>
      </c>
      <c r="FW25" s="219">
        <v>0</v>
      </c>
      <c r="FX25" s="118" t="s">
        <v>160</v>
      </c>
      <c r="FY25" s="218">
        <v>0</v>
      </c>
      <c r="FZ25" s="218">
        <v>0</v>
      </c>
      <c r="GA25" s="118" t="s">
        <v>160</v>
      </c>
      <c r="GB25" s="748">
        <f t="shared" si="39"/>
        <v>0</v>
      </c>
      <c r="GC25" s="219">
        <v>0</v>
      </c>
      <c r="GD25" s="118" t="s">
        <v>160</v>
      </c>
      <c r="GE25" s="218">
        <v>0</v>
      </c>
      <c r="GF25" s="218">
        <v>0</v>
      </c>
      <c r="GG25" s="118" t="s">
        <v>160</v>
      </c>
      <c r="GH25" s="748">
        <f t="shared" si="40"/>
        <v>0</v>
      </c>
      <c r="GI25" s="219">
        <v>0</v>
      </c>
      <c r="GJ25" s="118" t="s">
        <v>160</v>
      </c>
      <c r="GK25" s="218">
        <v>0</v>
      </c>
      <c r="GL25" s="218">
        <v>0</v>
      </c>
      <c r="GM25" s="118" t="s">
        <v>160</v>
      </c>
      <c r="GN25" s="749">
        <v>0</v>
      </c>
      <c r="GO25" s="219">
        <v>0</v>
      </c>
      <c r="GP25" s="118" t="s">
        <v>160</v>
      </c>
      <c r="GQ25" s="218">
        <v>0</v>
      </c>
      <c r="GR25" s="218">
        <v>0</v>
      </c>
      <c r="GS25" s="118" t="s">
        <v>160</v>
      </c>
      <c r="GT25" s="748">
        <f t="shared" si="41"/>
        <v>0</v>
      </c>
      <c r="GU25" s="219">
        <v>0</v>
      </c>
      <c r="GV25" s="118" t="s">
        <v>160</v>
      </c>
      <c r="GW25" s="218">
        <v>0</v>
      </c>
      <c r="GX25" s="218">
        <v>0</v>
      </c>
      <c r="GY25" s="118" t="s">
        <v>160</v>
      </c>
      <c r="GZ25" s="748">
        <f t="shared" si="42"/>
        <v>0</v>
      </c>
      <c r="HA25" s="219">
        <v>0</v>
      </c>
      <c r="HB25" s="118" t="s">
        <v>160</v>
      </c>
      <c r="HC25" s="218">
        <v>0</v>
      </c>
      <c r="HD25" s="218">
        <v>0</v>
      </c>
      <c r="HE25" s="118" t="s">
        <v>160</v>
      </c>
      <c r="HF25" s="748">
        <f t="shared" si="43"/>
        <v>0</v>
      </c>
    </row>
    <row r="26" spans="3:214" collapsed="1" x14ac:dyDescent="0.2">
      <c r="C26" t="s">
        <v>261</v>
      </c>
      <c r="D26" t="s">
        <v>671</v>
      </c>
      <c r="F26" s="120" t="s">
        <v>261</v>
      </c>
      <c r="G26" s="162">
        <f t="shared" ref="G26:AH26" si="44">SUM(G19:G25)</f>
        <v>0</v>
      </c>
      <c r="H26" s="120">
        <f t="shared" si="44"/>
        <v>-966</v>
      </c>
      <c r="I26" s="163">
        <f t="shared" si="44"/>
        <v>32239</v>
      </c>
      <c r="J26" s="162">
        <f t="shared" si="44"/>
        <v>0</v>
      </c>
      <c r="K26" s="120">
        <f t="shared" si="44"/>
        <v>-270</v>
      </c>
      <c r="L26" s="120">
        <f t="shared" si="44"/>
        <v>-11249</v>
      </c>
      <c r="M26" s="120">
        <f t="shared" si="44"/>
        <v>-20720</v>
      </c>
      <c r="N26" s="163">
        <f t="shared" si="44"/>
        <v>0</v>
      </c>
      <c r="O26" s="162">
        <f t="shared" si="44"/>
        <v>0</v>
      </c>
      <c r="P26" s="120">
        <f t="shared" si="44"/>
        <v>0</v>
      </c>
      <c r="Q26" s="120">
        <f t="shared" si="44"/>
        <v>0</v>
      </c>
      <c r="R26" s="120">
        <f t="shared" si="44"/>
        <v>0</v>
      </c>
      <c r="S26" s="120">
        <f t="shared" si="44"/>
        <v>0</v>
      </c>
      <c r="T26" s="163">
        <f t="shared" si="44"/>
        <v>0</v>
      </c>
      <c r="U26" s="162">
        <f t="shared" si="44"/>
        <v>0</v>
      </c>
      <c r="V26" s="120">
        <f t="shared" si="44"/>
        <v>0</v>
      </c>
      <c r="W26" s="120">
        <f t="shared" si="44"/>
        <v>0</v>
      </c>
      <c r="X26" s="120">
        <f t="shared" si="44"/>
        <v>0</v>
      </c>
      <c r="Y26" s="120">
        <f t="shared" si="44"/>
        <v>0</v>
      </c>
      <c r="Z26" s="163">
        <f t="shared" si="44"/>
        <v>0</v>
      </c>
      <c r="AA26" s="162">
        <f t="shared" si="44"/>
        <v>0</v>
      </c>
      <c r="AB26" s="120">
        <f t="shared" si="44"/>
        <v>0</v>
      </c>
      <c r="AC26" s="120">
        <f t="shared" si="44"/>
        <v>0</v>
      </c>
      <c r="AD26" s="163">
        <f t="shared" si="44"/>
        <v>0</v>
      </c>
      <c r="AE26" s="162">
        <f t="shared" si="44"/>
        <v>0</v>
      </c>
      <c r="AF26" s="120">
        <f t="shared" si="44"/>
        <v>0</v>
      </c>
      <c r="AG26" s="120">
        <f t="shared" si="44"/>
        <v>0</v>
      </c>
      <c r="AH26" s="163">
        <f t="shared" si="44"/>
        <v>0</v>
      </c>
      <c r="AI26" s="162">
        <f t="shared" ref="AI26:BB26" si="45">SUM(AI19:AI25)</f>
        <v>0</v>
      </c>
      <c r="AJ26" s="120">
        <f t="shared" si="45"/>
        <v>0</v>
      </c>
      <c r="AK26" s="120">
        <f t="shared" si="45"/>
        <v>0</v>
      </c>
      <c r="AL26" s="163">
        <f t="shared" si="45"/>
        <v>0</v>
      </c>
      <c r="AM26" s="162">
        <f t="shared" si="45"/>
        <v>0</v>
      </c>
      <c r="AN26" s="120">
        <f t="shared" si="45"/>
        <v>0</v>
      </c>
      <c r="AO26" s="120">
        <f t="shared" si="45"/>
        <v>0</v>
      </c>
      <c r="AP26" s="163">
        <f t="shared" si="45"/>
        <v>0</v>
      </c>
      <c r="AQ26" s="162">
        <f t="shared" si="45"/>
        <v>0</v>
      </c>
      <c r="AR26" s="120">
        <f t="shared" si="45"/>
        <v>0</v>
      </c>
      <c r="AS26" s="120">
        <f t="shared" si="45"/>
        <v>0</v>
      </c>
      <c r="AT26" s="163">
        <f t="shared" si="45"/>
        <v>0</v>
      </c>
      <c r="AU26" s="162">
        <f t="shared" si="45"/>
        <v>0</v>
      </c>
      <c r="AV26" s="120">
        <f t="shared" si="45"/>
        <v>0</v>
      </c>
      <c r="AW26" s="120">
        <f t="shared" si="45"/>
        <v>0</v>
      </c>
      <c r="AX26" s="163">
        <f t="shared" si="45"/>
        <v>0</v>
      </c>
      <c r="AY26" s="162">
        <f t="shared" si="45"/>
        <v>0</v>
      </c>
      <c r="AZ26" s="120">
        <f t="shared" si="45"/>
        <v>0</v>
      </c>
      <c r="BA26" s="120">
        <f t="shared" si="45"/>
        <v>0</v>
      </c>
      <c r="BB26" s="163">
        <f t="shared" si="45"/>
        <v>0</v>
      </c>
      <c r="BC26" s="120">
        <v>0</v>
      </c>
      <c r="BD26" s="120">
        <v>0</v>
      </c>
      <c r="BE26" s="120">
        <v>0</v>
      </c>
      <c r="BF26" s="120">
        <v>0</v>
      </c>
      <c r="BG26" s="162">
        <v>0</v>
      </c>
      <c r="BH26" s="120">
        <v>0</v>
      </c>
      <c r="BI26" s="163">
        <v>0</v>
      </c>
      <c r="BJ26" s="120">
        <v>0</v>
      </c>
      <c r="BK26" s="120">
        <v>0</v>
      </c>
      <c r="BL26" s="120">
        <v>0</v>
      </c>
      <c r="BM26" s="120">
        <v>0</v>
      </c>
      <c r="BN26" s="162">
        <f>SUM(BN19:BN25)</f>
        <v>0</v>
      </c>
      <c r="BO26" s="120">
        <f>SUM(BO19:BO25)</f>
        <v>0</v>
      </c>
      <c r="BP26" s="120">
        <f>SUM(BP19:BP25)</f>
        <v>0</v>
      </c>
      <c r="BQ26" s="163">
        <f>SUM(BQ19:BQ25)</f>
        <v>0</v>
      </c>
      <c r="BR26" s="162">
        <v>0</v>
      </c>
      <c r="BS26" s="120">
        <v>0</v>
      </c>
      <c r="BT26" s="120">
        <v>0</v>
      </c>
      <c r="BU26" s="163">
        <f t="shared" ref="BU26:CM26" si="46">SUM(BU19:BU25)</f>
        <v>0</v>
      </c>
      <c r="BV26" s="162">
        <f t="shared" si="46"/>
        <v>0</v>
      </c>
      <c r="BW26" s="120">
        <f t="shared" si="46"/>
        <v>0</v>
      </c>
      <c r="BX26" s="120">
        <f t="shared" si="46"/>
        <v>0</v>
      </c>
      <c r="BY26" s="163">
        <f t="shared" si="46"/>
        <v>0</v>
      </c>
      <c r="BZ26" s="162">
        <f t="shared" si="46"/>
        <v>0</v>
      </c>
      <c r="CA26" s="120">
        <f t="shared" si="46"/>
        <v>0</v>
      </c>
      <c r="CB26" s="120">
        <f t="shared" si="46"/>
        <v>0</v>
      </c>
      <c r="CC26" s="163">
        <f t="shared" si="46"/>
        <v>0</v>
      </c>
      <c r="CD26" s="162">
        <f>SUM(CD19:CD25)</f>
        <v>0</v>
      </c>
      <c r="CE26" s="120">
        <f>SUM(CE19:CE25)</f>
        <v>0</v>
      </c>
      <c r="CF26" s="120">
        <f>SUM(CF19:CF25)</f>
        <v>0</v>
      </c>
      <c r="CG26" s="163">
        <f>SUM(CG19:CG25)</f>
        <v>0</v>
      </c>
      <c r="CH26" s="162">
        <f t="shared" si="46"/>
        <v>0</v>
      </c>
      <c r="CI26" s="120">
        <f t="shared" si="46"/>
        <v>0</v>
      </c>
      <c r="CJ26" s="120">
        <f t="shared" si="46"/>
        <v>0</v>
      </c>
      <c r="CK26" s="163">
        <f t="shared" si="46"/>
        <v>0</v>
      </c>
      <c r="CL26" s="162">
        <f t="shared" si="46"/>
        <v>0</v>
      </c>
      <c r="CM26" s="120">
        <f t="shared" si="46"/>
        <v>0</v>
      </c>
      <c r="CN26" s="163">
        <f>SUM(CN19:CN25)</f>
        <v>0</v>
      </c>
      <c r="CO26" s="162">
        <f>SUM(CO19:CO25)</f>
        <v>0</v>
      </c>
      <c r="CP26" s="120">
        <f>SUM(CP19:CP25)</f>
        <v>0</v>
      </c>
      <c r="CQ26" s="163">
        <f>SUM(CQ19:CQ25)</f>
        <v>0</v>
      </c>
      <c r="CR26" s="162">
        <v>0</v>
      </c>
      <c r="CS26" s="120">
        <v>0</v>
      </c>
      <c r="CT26" s="163">
        <v>0</v>
      </c>
      <c r="CU26" s="162">
        <f t="shared" ref="CU26:FF26" si="47">SUM(CU19:CU25)</f>
        <v>0</v>
      </c>
      <c r="CV26" s="120">
        <f t="shared" si="47"/>
        <v>0</v>
      </c>
      <c r="CW26" s="120">
        <f t="shared" si="47"/>
        <v>0</v>
      </c>
      <c r="CX26" s="163">
        <f t="shared" si="47"/>
        <v>0</v>
      </c>
      <c r="CY26" s="162">
        <f t="shared" si="47"/>
        <v>0</v>
      </c>
      <c r="CZ26" s="120">
        <f t="shared" si="47"/>
        <v>0</v>
      </c>
      <c r="DA26" s="120">
        <f t="shared" si="47"/>
        <v>0</v>
      </c>
      <c r="DB26" s="163">
        <f t="shared" si="47"/>
        <v>0</v>
      </c>
      <c r="DC26" s="162">
        <f t="shared" si="47"/>
        <v>0</v>
      </c>
      <c r="DD26" s="120">
        <f t="shared" si="47"/>
        <v>0</v>
      </c>
      <c r="DE26" s="120">
        <f t="shared" si="47"/>
        <v>0</v>
      </c>
      <c r="DF26" s="163">
        <f t="shared" si="47"/>
        <v>0</v>
      </c>
      <c r="DG26" s="162">
        <f t="shared" si="47"/>
        <v>0</v>
      </c>
      <c r="DH26" s="120">
        <f t="shared" si="47"/>
        <v>0</v>
      </c>
      <c r="DI26" s="120">
        <f t="shared" si="47"/>
        <v>0</v>
      </c>
      <c r="DJ26" s="163">
        <f t="shared" si="47"/>
        <v>0</v>
      </c>
      <c r="DK26" s="162">
        <f t="shared" si="47"/>
        <v>0</v>
      </c>
      <c r="DL26" s="120">
        <f t="shared" si="47"/>
        <v>0</v>
      </c>
      <c r="DM26" s="120">
        <f t="shared" si="47"/>
        <v>0</v>
      </c>
      <c r="DN26" s="163">
        <f t="shared" si="47"/>
        <v>0</v>
      </c>
      <c r="DO26" s="162">
        <f t="shared" si="47"/>
        <v>0</v>
      </c>
      <c r="DP26" s="120">
        <f t="shared" si="47"/>
        <v>0</v>
      </c>
      <c r="DQ26" s="120">
        <f t="shared" si="47"/>
        <v>0</v>
      </c>
      <c r="DR26" s="163">
        <f t="shared" si="47"/>
        <v>0</v>
      </c>
      <c r="DS26" s="162">
        <f t="shared" si="47"/>
        <v>0</v>
      </c>
      <c r="DT26" s="120">
        <f t="shared" si="47"/>
        <v>0</v>
      </c>
      <c r="DU26" s="120">
        <f t="shared" si="47"/>
        <v>0</v>
      </c>
      <c r="DV26" s="163">
        <f t="shared" si="47"/>
        <v>0</v>
      </c>
      <c r="DW26" s="162">
        <f t="shared" si="47"/>
        <v>0</v>
      </c>
      <c r="DX26" s="120">
        <f t="shared" si="47"/>
        <v>0</v>
      </c>
      <c r="DY26" s="120">
        <f t="shared" si="47"/>
        <v>0</v>
      </c>
      <c r="DZ26" s="163">
        <f t="shared" si="47"/>
        <v>0</v>
      </c>
      <c r="EA26" s="162">
        <f t="shared" si="47"/>
        <v>0</v>
      </c>
      <c r="EB26" s="120">
        <f t="shared" si="47"/>
        <v>0</v>
      </c>
      <c r="EC26" s="120">
        <f t="shared" si="47"/>
        <v>0</v>
      </c>
      <c r="ED26" s="163">
        <f t="shared" si="47"/>
        <v>0</v>
      </c>
      <c r="EE26" s="162">
        <f>SUM(EE19:EE25)</f>
        <v>0</v>
      </c>
      <c r="EF26" s="120">
        <f>SUM(EF19:EF25)</f>
        <v>0</v>
      </c>
      <c r="EG26" s="120">
        <f>SUM(EG19:EG25)</f>
        <v>0</v>
      </c>
      <c r="EH26" s="163">
        <f>SUM(EH19:EH25)</f>
        <v>0</v>
      </c>
      <c r="EI26" s="162">
        <f t="shared" si="47"/>
        <v>0</v>
      </c>
      <c r="EJ26" s="120">
        <f t="shared" si="47"/>
        <v>0</v>
      </c>
      <c r="EK26" s="120">
        <f t="shared" si="47"/>
        <v>0</v>
      </c>
      <c r="EL26" s="163">
        <f t="shared" si="47"/>
        <v>0</v>
      </c>
      <c r="EM26" s="162">
        <f t="shared" si="47"/>
        <v>0</v>
      </c>
      <c r="EN26" s="120">
        <f t="shared" si="47"/>
        <v>0</v>
      </c>
      <c r="EO26" s="120">
        <f t="shared" si="47"/>
        <v>0</v>
      </c>
      <c r="EP26" s="163">
        <f t="shared" si="47"/>
        <v>0</v>
      </c>
      <c r="EQ26" s="162">
        <f t="shared" si="47"/>
        <v>0</v>
      </c>
      <c r="ER26" s="120">
        <f t="shared" si="47"/>
        <v>0</v>
      </c>
      <c r="ES26" s="120">
        <f t="shared" si="47"/>
        <v>0</v>
      </c>
      <c r="ET26" s="163">
        <f t="shared" si="47"/>
        <v>0</v>
      </c>
      <c r="EU26" s="162">
        <f t="shared" si="47"/>
        <v>0</v>
      </c>
      <c r="EV26" s="120">
        <f t="shared" si="47"/>
        <v>0</v>
      </c>
      <c r="EW26" s="120">
        <f t="shared" si="47"/>
        <v>0</v>
      </c>
      <c r="EX26" s="163">
        <f t="shared" si="47"/>
        <v>0</v>
      </c>
      <c r="EY26" s="162">
        <f t="shared" si="47"/>
        <v>0</v>
      </c>
      <c r="EZ26" s="120">
        <f t="shared" si="47"/>
        <v>0</v>
      </c>
      <c r="FA26" s="120">
        <f t="shared" si="47"/>
        <v>0</v>
      </c>
      <c r="FB26" s="163">
        <f t="shared" si="47"/>
        <v>0</v>
      </c>
      <c r="FC26" s="162">
        <f t="shared" si="47"/>
        <v>0</v>
      </c>
      <c r="FD26" s="120">
        <f t="shared" si="47"/>
        <v>0</v>
      </c>
      <c r="FE26" s="120">
        <f t="shared" si="47"/>
        <v>0</v>
      </c>
      <c r="FF26" s="163">
        <f t="shared" si="47"/>
        <v>0</v>
      </c>
      <c r="FG26" s="162">
        <f t="shared" ref="FG26:FN26" si="48">SUM(FG19:FG25)</f>
        <v>0</v>
      </c>
      <c r="FH26" s="120">
        <f t="shared" si="48"/>
        <v>0</v>
      </c>
      <c r="FI26" s="120">
        <f t="shared" si="48"/>
        <v>0</v>
      </c>
      <c r="FJ26" s="163">
        <f t="shared" si="48"/>
        <v>0</v>
      </c>
      <c r="FK26" s="162">
        <f t="shared" si="48"/>
        <v>0</v>
      </c>
      <c r="FL26" s="120">
        <f t="shared" si="48"/>
        <v>0</v>
      </c>
      <c r="FM26" s="120">
        <f t="shared" si="48"/>
        <v>0</v>
      </c>
      <c r="FN26" s="163">
        <f t="shared" si="48"/>
        <v>0</v>
      </c>
      <c r="FO26" s="120" t="s">
        <v>160</v>
      </c>
      <c r="FP26" s="120" t="s">
        <v>160</v>
      </c>
      <c r="FQ26" s="120" t="s">
        <v>160</v>
      </c>
      <c r="FR26" s="163">
        <f>SUM(FR19:FR25)</f>
        <v>0</v>
      </c>
      <c r="FS26" s="120" t="s">
        <v>160</v>
      </c>
      <c r="FT26" s="120" t="s">
        <v>160</v>
      </c>
      <c r="FU26" s="120" t="s">
        <v>160</v>
      </c>
      <c r="FV26" s="163">
        <f>SUM(FV19:FV25)</f>
        <v>0</v>
      </c>
      <c r="FW26" s="162">
        <f>SUM(FW19:FW25)</f>
        <v>0</v>
      </c>
      <c r="FX26" s="207" t="s">
        <v>160</v>
      </c>
      <c r="FY26" s="120">
        <f>SUM(FY19:FY25)</f>
        <v>0</v>
      </c>
      <c r="FZ26" s="120">
        <f>SUM(FZ19:FZ25)</f>
        <v>0</v>
      </c>
      <c r="GA26" s="207" t="s">
        <v>160</v>
      </c>
      <c r="GB26" s="163">
        <f>SUM(GB19:GB25)</f>
        <v>0</v>
      </c>
      <c r="GC26" s="162">
        <f>SUM(GC19:GC25)</f>
        <v>0</v>
      </c>
      <c r="GD26" s="207" t="s">
        <v>160</v>
      </c>
      <c r="GE26" s="120">
        <f>SUM(GE19:GE25)</f>
        <v>0</v>
      </c>
      <c r="GF26" s="120">
        <f>SUM(GF19:GF25)</f>
        <v>0</v>
      </c>
      <c r="GG26" s="207" t="s">
        <v>160</v>
      </c>
      <c r="GH26" s="163">
        <f>SUM(GH19:GH25)</f>
        <v>0</v>
      </c>
      <c r="GI26" s="162">
        <f>SUM(GI19:GI25)</f>
        <v>0</v>
      </c>
      <c r="GJ26" s="207" t="s">
        <v>160</v>
      </c>
      <c r="GK26" s="120">
        <f>SUM(GK19:GK25)</f>
        <v>0</v>
      </c>
      <c r="GL26" s="120">
        <f>SUM(GL19:GL25)</f>
        <v>0</v>
      </c>
      <c r="GM26" s="207" t="s">
        <v>160</v>
      </c>
      <c r="GN26" s="120">
        <v>0</v>
      </c>
      <c r="GO26" s="162">
        <f>SUM(GO19:GO25)</f>
        <v>0</v>
      </c>
      <c r="GP26" s="207" t="s">
        <v>160</v>
      </c>
      <c r="GQ26" s="120">
        <f>SUM(GQ19:GQ25)</f>
        <v>0</v>
      </c>
      <c r="GR26" s="120">
        <f>SUM(GR19:GR25)</f>
        <v>0</v>
      </c>
      <c r="GS26" s="207" t="s">
        <v>160</v>
      </c>
      <c r="GT26" s="163">
        <f>SUM(GT19:GT25)</f>
        <v>0</v>
      </c>
      <c r="GU26" s="162">
        <f>SUM(GU19:GU25)</f>
        <v>0</v>
      </c>
      <c r="GV26" s="207" t="s">
        <v>160</v>
      </c>
      <c r="GW26" s="120">
        <f>SUM(GW19:GW25)</f>
        <v>0</v>
      </c>
      <c r="GX26" s="120">
        <f>SUM(GX19:GX25)</f>
        <v>0</v>
      </c>
      <c r="GY26" s="207" t="s">
        <v>160</v>
      </c>
      <c r="GZ26" s="163">
        <f>SUM(GZ19:GZ25)</f>
        <v>0</v>
      </c>
      <c r="HA26" s="162">
        <f>SUM(HA19:HA25)</f>
        <v>0</v>
      </c>
      <c r="HB26" s="207" t="s">
        <v>160</v>
      </c>
      <c r="HC26" s="120">
        <f>SUM(HC19:HC25)</f>
        <v>0</v>
      </c>
      <c r="HD26" s="120">
        <f>SUM(HD19:HD25)</f>
        <v>0</v>
      </c>
      <c r="HE26" s="207" t="s">
        <v>160</v>
      </c>
      <c r="HF26" s="163">
        <f>SUM(HF19:HF25)</f>
        <v>0</v>
      </c>
    </row>
    <row r="27" spans="3:214" x14ac:dyDescent="0.2">
      <c r="C27" t="s">
        <v>269</v>
      </c>
      <c r="D27" t="s">
        <v>269</v>
      </c>
      <c r="F27" s="129" t="s">
        <v>269</v>
      </c>
      <c r="G27" s="160">
        <v>0</v>
      </c>
      <c r="H27" s="118">
        <v>0</v>
      </c>
      <c r="I27" s="161">
        <v>120877</v>
      </c>
      <c r="J27" s="160">
        <v>0</v>
      </c>
      <c r="K27" s="118">
        <v>0</v>
      </c>
      <c r="L27" s="118">
        <v>0</v>
      </c>
      <c r="M27" s="118">
        <v>0</v>
      </c>
      <c r="N27" s="161">
        <v>120877</v>
      </c>
      <c r="O27" s="160">
        <v>0</v>
      </c>
      <c r="P27" s="118">
        <v>0</v>
      </c>
      <c r="Q27" s="118">
        <v>0</v>
      </c>
      <c r="R27" s="118">
        <v>0</v>
      </c>
      <c r="S27" s="118">
        <v>0</v>
      </c>
      <c r="T27" s="161">
        <v>120877</v>
      </c>
      <c r="U27" s="160">
        <v>0</v>
      </c>
      <c r="V27" s="118">
        <v>0</v>
      </c>
      <c r="W27" s="118">
        <v>0</v>
      </c>
      <c r="X27" s="118">
        <v>0</v>
      </c>
      <c r="Y27" s="118">
        <v>0</v>
      </c>
      <c r="Z27" s="161">
        <v>120877</v>
      </c>
      <c r="AA27" s="176">
        <v>0</v>
      </c>
      <c r="AB27" s="118">
        <v>0</v>
      </c>
      <c r="AC27" s="118">
        <v>0</v>
      </c>
      <c r="AD27" s="161">
        <v>120877</v>
      </c>
      <c r="AE27" s="160">
        <v>0</v>
      </c>
      <c r="AF27" s="118">
        <v>0</v>
      </c>
      <c r="AG27" s="118">
        <v>0</v>
      </c>
      <c r="AH27" s="161">
        <v>120877</v>
      </c>
      <c r="AI27" s="160">
        <v>0</v>
      </c>
      <c r="AJ27" s="118">
        <v>0</v>
      </c>
      <c r="AK27" s="118">
        <v>0</v>
      </c>
      <c r="AL27" s="161">
        <v>120877</v>
      </c>
      <c r="AM27" s="160">
        <v>0</v>
      </c>
      <c r="AN27" s="118">
        <v>0</v>
      </c>
      <c r="AO27" s="118">
        <v>0</v>
      </c>
      <c r="AP27" s="161">
        <v>120877</v>
      </c>
      <c r="AQ27" s="160">
        <v>0</v>
      </c>
      <c r="AR27" s="118">
        <v>0</v>
      </c>
      <c r="AS27" s="118">
        <v>0</v>
      </c>
      <c r="AT27" s="161">
        <f t="shared" ref="AT27:AT35" si="49">SUM(AP27:AS27)</f>
        <v>120877</v>
      </c>
      <c r="AU27" s="160">
        <v>0</v>
      </c>
      <c r="AV27" s="118">
        <v>0</v>
      </c>
      <c r="AW27" s="118">
        <v>0</v>
      </c>
      <c r="AX27" s="161">
        <f t="shared" ref="AX27:AX35" si="50">SUM(AT27:AW27)</f>
        <v>120877</v>
      </c>
      <c r="AY27" s="160">
        <v>0</v>
      </c>
      <c r="AZ27" s="118">
        <v>0</v>
      </c>
      <c r="BA27" s="118">
        <v>0</v>
      </c>
      <c r="BB27" s="161">
        <f t="shared" ref="BB27:BB35" si="51">SUM(AX27:BA27)</f>
        <v>120877</v>
      </c>
      <c r="BC27" s="118">
        <v>0</v>
      </c>
      <c r="BD27" s="118">
        <v>0</v>
      </c>
      <c r="BE27" s="118">
        <v>0</v>
      </c>
      <c r="BF27" s="118">
        <v>120877</v>
      </c>
      <c r="BG27" s="160">
        <v>0</v>
      </c>
      <c r="BH27" s="118">
        <v>0</v>
      </c>
      <c r="BI27" s="161">
        <v>120877</v>
      </c>
      <c r="BJ27" s="118">
        <v>0</v>
      </c>
      <c r="BK27" s="118">
        <v>0</v>
      </c>
      <c r="BL27" s="118">
        <v>0</v>
      </c>
      <c r="BM27" s="118">
        <v>120877</v>
      </c>
      <c r="BN27" s="160">
        <v>0</v>
      </c>
      <c r="BO27" s="118">
        <v>0</v>
      </c>
      <c r="BP27" s="118">
        <v>0</v>
      </c>
      <c r="BQ27" s="213">
        <f>SUM(BM27:BP27)</f>
        <v>120877</v>
      </c>
      <c r="BR27" s="160">
        <v>0</v>
      </c>
      <c r="BS27" s="118">
        <v>0</v>
      </c>
      <c r="BT27" s="118">
        <v>0</v>
      </c>
      <c r="BU27" s="213">
        <f>SUM(BN27:BT27)</f>
        <v>120877</v>
      </c>
      <c r="BV27" s="160">
        <v>0</v>
      </c>
      <c r="BW27" s="118">
        <v>0</v>
      </c>
      <c r="BX27" s="118">
        <v>0</v>
      </c>
      <c r="BY27" s="213">
        <f>SUM(BU27:BX27)</f>
        <v>120877</v>
      </c>
      <c r="BZ27" s="160">
        <v>0</v>
      </c>
      <c r="CA27" s="118">
        <v>0</v>
      </c>
      <c r="CB27" s="118">
        <v>0</v>
      </c>
      <c r="CC27" s="213">
        <f>SUM(BY27:CB27)</f>
        <v>120877</v>
      </c>
      <c r="CD27" s="160">
        <v>0</v>
      </c>
      <c r="CE27" s="118">
        <v>0</v>
      </c>
      <c r="CF27" s="118">
        <v>0</v>
      </c>
      <c r="CG27" s="213">
        <f>SUM(CC27:CF27)</f>
        <v>120877</v>
      </c>
      <c r="CH27" s="160">
        <v>0</v>
      </c>
      <c r="CI27" s="118">
        <v>0</v>
      </c>
      <c r="CJ27" s="118">
        <v>0</v>
      </c>
      <c r="CK27" s="213">
        <f>SUM(CG27:CJ27)</f>
        <v>120877</v>
      </c>
      <c r="CL27" s="211">
        <v>0</v>
      </c>
      <c r="CM27" s="211">
        <v>0</v>
      </c>
      <c r="CN27" s="213">
        <f>SUM(CK27:CM27)</f>
        <v>120877</v>
      </c>
      <c r="CO27" s="160">
        <v>0</v>
      </c>
      <c r="CP27" s="118">
        <v>0</v>
      </c>
      <c r="CQ27" s="213">
        <f>SUM(CN27:CP27)</f>
        <v>120877</v>
      </c>
      <c r="CR27" s="160">
        <v>0</v>
      </c>
      <c r="CS27" s="118">
        <v>0</v>
      </c>
      <c r="CT27" s="213">
        <v>120877</v>
      </c>
      <c r="CU27" s="160">
        <v>0</v>
      </c>
      <c r="CV27" s="118">
        <v>0</v>
      </c>
      <c r="CW27" s="118">
        <v>0</v>
      </c>
      <c r="CX27" s="213">
        <v>120877</v>
      </c>
      <c r="CY27" s="160">
        <v>0</v>
      </c>
      <c r="CZ27" s="118">
        <v>0</v>
      </c>
      <c r="DA27" s="118">
        <v>0</v>
      </c>
      <c r="DB27" s="213">
        <v>120877</v>
      </c>
      <c r="DC27" s="160">
        <v>0</v>
      </c>
      <c r="DD27" s="118">
        <v>0</v>
      </c>
      <c r="DE27" s="118">
        <v>0</v>
      </c>
      <c r="DF27" s="213">
        <f>SUM(DB27:DD27)</f>
        <v>120877</v>
      </c>
      <c r="DG27" s="160">
        <v>0</v>
      </c>
      <c r="DH27" s="118">
        <v>0</v>
      </c>
      <c r="DI27" s="118">
        <v>0</v>
      </c>
      <c r="DJ27" s="213">
        <f>SUM(DF27:DH27)</f>
        <v>120877</v>
      </c>
      <c r="DK27" s="160">
        <v>0</v>
      </c>
      <c r="DL27" s="118">
        <v>0</v>
      </c>
      <c r="DM27" s="118">
        <v>0</v>
      </c>
      <c r="DN27" s="213">
        <f>SUM(DJ27:DL27)</f>
        <v>120877</v>
      </c>
      <c r="DO27" s="160">
        <v>0</v>
      </c>
      <c r="DP27" s="118">
        <v>0</v>
      </c>
      <c r="DQ27" s="118">
        <v>0</v>
      </c>
      <c r="DR27" s="213">
        <f>SUM(DN27:DP27)</f>
        <v>120877</v>
      </c>
      <c r="DS27" s="160">
        <v>0</v>
      </c>
      <c r="DT27" s="118">
        <v>0</v>
      </c>
      <c r="DU27" s="118">
        <v>0</v>
      </c>
      <c r="DV27" s="213">
        <f>SUM(DR27:DT27)</f>
        <v>120877</v>
      </c>
      <c r="DW27" s="160">
        <v>0</v>
      </c>
      <c r="DX27" s="118">
        <v>0</v>
      </c>
      <c r="DY27" s="118">
        <v>0</v>
      </c>
      <c r="DZ27" s="213">
        <v>120877</v>
      </c>
      <c r="EA27" s="160">
        <v>0</v>
      </c>
      <c r="EB27" s="118">
        <v>0</v>
      </c>
      <c r="EC27" s="118">
        <v>0</v>
      </c>
      <c r="ED27" s="213">
        <f>SUM(DZ27:EB27)</f>
        <v>120877</v>
      </c>
      <c r="EE27" s="160">
        <v>0</v>
      </c>
      <c r="EF27" s="118">
        <v>0</v>
      </c>
      <c r="EG27" s="118">
        <v>0</v>
      </c>
      <c r="EH27" s="213">
        <f>SUM(ED27:EG27)</f>
        <v>120877</v>
      </c>
      <c r="EI27" s="160">
        <v>0</v>
      </c>
      <c r="EJ27" s="118">
        <v>0</v>
      </c>
      <c r="EK27" s="118">
        <v>-1</v>
      </c>
      <c r="EL27" s="213">
        <f>SUM(EH27:EK27)</f>
        <v>120876</v>
      </c>
      <c r="EM27" s="160">
        <v>0</v>
      </c>
      <c r="EN27" s="118">
        <v>0</v>
      </c>
      <c r="EO27" s="118">
        <v>1</v>
      </c>
      <c r="EP27" s="213">
        <f>SUM(EL27:EO27)</f>
        <v>120877</v>
      </c>
      <c r="EQ27" s="160">
        <v>0</v>
      </c>
      <c r="ER27" s="118">
        <v>0</v>
      </c>
      <c r="ES27" s="118">
        <v>0</v>
      </c>
      <c r="ET27" s="213">
        <f>SUM(EP27:ES27)</f>
        <v>120877</v>
      </c>
      <c r="EU27" s="160">
        <v>0</v>
      </c>
      <c r="EV27" s="118">
        <v>0</v>
      </c>
      <c r="EW27" s="118">
        <v>0</v>
      </c>
      <c r="EX27" s="213">
        <f>SUM(ET27:EW27)</f>
        <v>120877</v>
      </c>
      <c r="EY27" s="160">
        <v>0</v>
      </c>
      <c r="EZ27" s="118">
        <v>0</v>
      </c>
      <c r="FA27" s="118">
        <v>0</v>
      </c>
      <c r="FB27" s="213">
        <f>SUM(EX27:FA27)</f>
        <v>120877</v>
      </c>
      <c r="FC27" s="160">
        <v>0</v>
      </c>
      <c r="FD27" s="118">
        <v>0</v>
      </c>
      <c r="FE27" s="118">
        <v>0</v>
      </c>
      <c r="FF27" s="213">
        <f>SUM(FB27:FE27)</f>
        <v>120877</v>
      </c>
      <c r="FG27" s="160">
        <v>0</v>
      </c>
      <c r="FH27" s="118">
        <v>0</v>
      </c>
      <c r="FI27" s="118">
        <v>0</v>
      </c>
      <c r="FJ27" s="213">
        <f>SUM(FF27:FI27)</f>
        <v>120877</v>
      </c>
      <c r="FK27" s="160">
        <v>0</v>
      </c>
      <c r="FL27" s="118">
        <v>0</v>
      </c>
      <c r="FM27" s="118">
        <v>0</v>
      </c>
      <c r="FN27" s="213">
        <f>SUM(FJ27:FM27)</f>
        <v>120877</v>
      </c>
      <c r="FO27" s="211" t="s">
        <v>160</v>
      </c>
      <c r="FP27" s="211" t="s">
        <v>160</v>
      </c>
      <c r="FQ27" s="211" t="s">
        <v>160</v>
      </c>
      <c r="FR27" s="213">
        <f>SUM(FN27:FQ27)</f>
        <v>120877</v>
      </c>
      <c r="FS27" s="211" t="s">
        <v>160</v>
      </c>
      <c r="FT27" s="211" t="s">
        <v>160</v>
      </c>
      <c r="FU27" s="211" t="s">
        <v>160</v>
      </c>
      <c r="FV27" s="213">
        <f>SUM(FR27:FU27)</f>
        <v>120877</v>
      </c>
      <c r="FW27" s="160">
        <v>0</v>
      </c>
      <c r="FX27" s="118" t="s">
        <v>160</v>
      </c>
      <c r="FY27" s="118">
        <v>0</v>
      </c>
      <c r="FZ27" s="118">
        <v>0</v>
      </c>
      <c r="GA27" s="118" t="s">
        <v>160</v>
      </c>
      <c r="GB27" s="213">
        <f>SUM(FV27:GA27)</f>
        <v>120877</v>
      </c>
      <c r="GC27" s="160">
        <v>0</v>
      </c>
      <c r="GD27" s="118" t="s">
        <v>160</v>
      </c>
      <c r="GE27" s="118">
        <v>0</v>
      </c>
      <c r="GF27" s="118">
        <v>0</v>
      </c>
      <c r="GG27" s="118" t="s">
        <v>160</v>
      </c>
      <c r="GH27" s="213">
        <f>SUM(GB27:GG27)</f>
        <v>120877</v>
      </c>
      <c r="GI27" s="211">
        <v>0</v>
      </c>
      <c r="GJ27" s="211" t="s">
        <v>160</v>
      </c>
      <c r="GK27" s="211">
        <v>0</v>
      </c>
      <c r="GL27" s="211">
        <v>0</v>
      </c>
      <c r="GM27" s="211" t="s">
        <v>160</v>
      </c>
      <c r="GN27" s="211">
        <v>120877</v>
      </c>
      <c r="GO27" s="160">
        <v>0</v>
      </c>
      <c r="GP27" s="118" t="s">
        <v>160</v>
      </c>
      <c r="GQ27" s="118">
        <v>0</v>
      </c>
      <c r="GR27" s="118">
        <v>0</v>
      </c>
      <c r="GS27" s="118" t="s">
        <v>160</v>
      </c>
      <c r="GT27" s="213">
        <f>SUM(GN27:GS27)</f>
        <v>120877</v>
      </c>
      <c r="GU27" s="160">
        <v>0</v>
      </c>
      <c r="GV27" s="118" t="s">
        <v>160</v>
      </c>
      <c r="GW27" s="118">
        <v>0</v>
      </c>
      <c r="GX27" s="118">
        <v>0</v>
      </c>
      <c r="GY27" s="118" t="s">
        <v>160</v>
      </c>
      <c r="GZ27" s="213">
        <f>SUM(GT27:GY27)</f>
        <v>120877</v>
      </c>
      <c r="HA27" s="160">
        <v>0</v>
      </c>
      <c r="HB27" s="118" t="s">
        <v>160</v>
      </c>
      <c r="HC27" s="118">
        <v>0</v>
      </c>
      <c r="HD27" s="118">
        <v>0</v>
      </c>
      <c r="HE27" s="118" t="s">
        <v>160</v>
      </c>
      <c r="HF27" s="213">
        <f>SUM(GZ27:HE27)</f>
        <v>120877</v>
      </c>
    </row>
    <row r="28" spans="3:214" x14ac:dyDescent="0.2">
      <c r="C28" t="s">
        <v>270</v>
      </c>
      <c r="D28" t="s">
        <v>270</v>
      </c>
      <c r="F28" s="129" t="s">
        <v>270</v>
      </c>
      <c r="G28" s="160">
        <v>0</v>
      </c>
      <c r="H28" s="118">
        <v>0</v>
      </c>
      <c r="I28" s="161">
        <v>32791</v>
      </c>
      <c r="J28" s="160">
        <v>0</v>
      </c>
      <c r="K28" s="118">
        <v>0</v>
      </c>
      <c r="L28" s="118">
        <v>0</v>
      </c>
      <c r="M28" s="118">
        <v>0</v>
      </c>
      <c r="N28" s="161">
        <v>32791</v>
      </c>
      <c r="O28" s="160">
        <v>0</v>
      </c>
      <c r="P28" s="118">
        <v>0</v>
      </c>
      <c r="Q28" s="118">
        <v>0</v>
      </c>
      <c r="R28" s="118">
        <v>0</v>
      </c>
      <c r="S28" s="118">
        <v>0</v>
      </c>
      <c r="T28" s="161">
        <v>32791</v>
      </c>
      <c r="U28" s="160">
        <v>0</v>
      </c>
      <c r="V28" s="118">
        <v>0</v>
      </c>
      <c r="W28" s="118">
        <v>0</v>
      </c>
      <c r="X28" s="118">
        <v>0</v>
      </c>
      <c r="Y28" s="118">
        <v>0</v>
      </c>
      <c r="Z28" s="161">
        <v>32791</v>
      </c>
      <c r="AA28" s="176">
        <v>0</v>
      </c>
      <c r="AB28" s="118">
        <v>0</v>
      </c>
      <c r="AC28" s="118">
        <v>0</v>
      </c>
      <c r="AD28" s="161">
        <v>32791</v>
      </c>
      <c r="AE28" s="160">
        <v>0</v>
      </c>
      <c r="AF28" s="118">
        <v>0</v>
      </c>
      <c r="AG28" s="118">
        <v>0</v>
      </c>
      <c r="AH28" s="161">
        <v>32791</v>
      </c>
      <c r="AI28" s="160">
        <v>0</v>
      </c>
      <c r="AJ28" s="118">
        <v>0</v>
      </c>
      <c r="AK28" s="118">
        <v>0</v>
      </c>
      <c r="AL28" s="161">
        <v>32791</v>
      </c>
      <c r="AM28" s="160">
        <v>0</v>
      </c>
      <c r="AN28" s="118">
        <v>0</v>
      </c>
      <c r="AO28" s="118">
        <v>0</v>
      </c>
      <c r="AP28" s="161">
        <v>32791</v>
      </c>
      <c r="AQ28" s="160">
        <v>0</v>
      </c>
      <c r="AR28" s="118">
        <v>0</v>
      </c>
      <c r="AS28" s="118">
        <v>0</v>
      </c>
      <c r="AT28" s="161">
        <f t="shared" si="49"/>
        <v>32791</v>
      </c>
      <c r="AU28" s="160">
        <v>0</v>
      </c>
      <c r="AV28" s="118">
        <v>0</v>
      </c>
      <c r="AW28" s="118">
        <v>0</v>
      </c>
      <c r="AX28" s="161">
        <f t="shared" si="50"/>
        <v>32791</v>
      </c>
      <c r="AY28" s="160">
        <v>0</v>
      </c>
      <c r="AZ28" s="118">
        <v>0</v>
      </c>
      <c r="BA28" s="118">
        <v>0</v>
      </c>
      <c r="BB28" s="161">
        <f t="shared" si="51"/>
        <v>32791</v>
      </c>
      <c r="BC28" s="118">
        <v>0</v>
      </c>
      <c r="BD28" s="118">
        <v>0</v>
      </c>
      <c r="BE28" s="118">
        <v>0</v>
      </c>
      <c r="BF28" s="118">
        <v>32791</v>
      </c>
      <c r="BG28" s="160">
        <v>0</v>
      </c>
      <c r="BH28" s="118">
        <v>0</v>
      </c>
      <c r="BI28" s="161">
        <v>32791</v>
      </c>
      <c r="BJ28" s="118">
        <v>0</v>
      </c>
      <c r="BK28" s="118">
        <v>0</v>
      </c>
      <c r="BL28" s="118">
        <v>0</v>
      </c>
      <c r="BM28" s="118">
        <v>32791</v>
      </c>
      <c r="BN28" s="160">
        <v>0</v>
      </c>
      <c r="BO28" s="118">
        <v>0</v>
      </c>
      <c r="BP28" s="118">
        <v>0</v>
      </c>
      <c r="BQ28" s="213">
        <f t="shared" ref="BQ28:BQ35" si="52">SUM(BM28:BP28)</f>
        <v>32791</v>
      </c>
      <c r="BR28" s="160">
        <v>0</v>
      </c>
      <c r="BS28" s="118">
        <v>0</v>
      </c>
      <c r="BT28" s="118">
        <v>0</v>
      </c>
      <c r="BU28" s="213">
        <f t="shared" ref="BU28:BU35" si="53">SUM(BN28:BT28)</f>
        <v>32791</v>
      </c>
      <c r="BV28" s="160">
        <v>0</v>
      </c>
      <c r="BW28" s="118">
        <v>0</v>
      </c>
      <c r="BX28" s="118">
        <v>0</v>
      </c>
      <c r="BY28" s="213">
        <f t="shared" ref="BY28:BY36" si="54">SUM(BU28:BX28)</f>
        <v>32791</v>
      </c>
      <c r="BZ28" s="160">
        <v>0</v>
      </c>
      <c r="CA28" s="118">
        <v>0</v>
      </c>
      <c r="CB28" s="118">
        <v>0</v>
      </c>
      <c r="CC28" s="213">
        <f t="shared" ref="CC28:CC36" si="55">SUM(BY28:CB28)</f>
        <v>32791</v>
      </c>
      <c r="CD28" s="160">
        <v>0</v>
      </c>
      <c r="CE28" s="118">
        <v>0</v>
      </c>
      <c r="CF28" s="118">
        <v>0</v>
      </c>
      <c r="CG28" s="213">
        <f>SUM(CC28:CF28)</f>
        <v>32791</v>
      </c>
      <c r="CH28" s="160">
        <v>0</v>
      </c>
      <c r="CI28" s="118">
        <v>0</v>
      </c>
      <c r="CJ28" s="118">
        <v>0</v>
      </c>
      <c r="CK28" s="213">
        <f>SUM(CG28:CJ28)</f>
        <v>32791</v>
      </c>
      <c r="CL28" s="211">
        <v>0</v>
      </c>
      <c r="CM28" s="211">
        <v>0</v>
      </c>
      <c r="CN28" s="213">
        <f>SUM(CK28:CM28)</f>
        <v>32791</v>
      </c>
      <c r="CO28" s="160">
        <v>0</v>
      </c>
      <c r="CP28" s="118">
        <v>0</v>
      </c>
      <c r="CQ28" s="213">
        <f>SUM(CN28:CP28)</f>
        <v>32791</v>
      </c>
      <c r="CR28" s="160">
        <v>0</v>
      </c>
      <c r="CS28" s="118">
        <v>0</v>
      </c>
      <c r="CT28" s="213">
        <v>32791</v>
      </c>
      <c r="CU28" s="160">
        <v>0</v>
      </c>
      <c r="CV28" s="118">
        <v>0</v>
      </c>
      <c r="CW28" s="118">
        <v>0</v>
      </c>
      <c r="CX28" s="213">
        <v>32791</v>
      </c>
      <c r="CY28" s="160">
        <v>0</v>
      </c>
      <c r="CZ28" s="118">
        <v>0</v>
      </c>
      <c r="DA28" s="118">
        <v>0</v>
      </c>
      <c r="DB28" s="213">
        <v>32791</v>
      </c>
      <c r="DC28" s="160">
        <v>0</v>
      </c>
      <c r="DD28" s="118">
        <v>0</v>
      </c>
      <c r="DE28" s="118">
        <v>0</v>
      </c>
      <c r="DF28" s="213">
        <f>SUM(DB28:DD28)</f>
        <v>32791</v>
      </c>
      <c r="DG28" s="160">
        <v>0</v>
      </c>
      <c r="DH28" s="118">
        <v>0</v>
      </c>
      <c r="DI28" s="118">
        <v>0</v>
      </c>
      <c r="DJ28" s="213">
        <f>SUM(DF28:DH28)</f>
        <v>32791</v>
      </c>
      <c r="DK28" s="160">
        <v>0</v>
      </c>
      <c r="DL28" s="118">
        <v>0</v>
      </c>
      <c r="DM28" s="118">
        <v>0</v>
      </c>
      <c r="DN28" s="213">
        <f>SUM(DJ28:DL28)</f>
        <v>32791</v>
      </c>
      <c r="DO28" s="160">
        <v>0</v>
      </c>
      <c r="DP28" s="118">
        <v>0</v>
      </c>
      <c r="DQ28" s="118">
        <v>0</v>
      </c>
      <c r="DR28" s="213">
        <f>SUM(DN28:DP28)</f>
        <v>32791</v>
      </c>
      <c r="DS28" s="160">
        <v>0</v>
      </c>
      <c r="DT28" s="118">
        <v>0</v>
      </c>
      <c r="DU28" s="118">
        <v>0</v>
      </c>
      <c r="DV28" s="213">
        <f>SUM(DR28:DT28)</f>
        <v>32791</v>
      </c>
      <c r="DW28" s="160">
        <v>0</v>
      </c>
      <c r="DX28" s="118">
        <v>0</v>
      </c>
      <c r="DY28" s="118">
        <v>0</v>
      </c>
      <c r="DZ28" s="213">
        <v>32791</v>
      </c>
      <c r="EA28" s="160">
        <v>0</v>
      </c>
      <c r="EB28" s="118">
        <v>0</v>
      </c>
      <c r="EC28" s="118">
        <v>0</v>
      </c>
      <c r="ED28" s="213">
        <f>SUM(DZ28:EB28)</f>
        <v>32791</v>
      </c>
      <c r="EE28" s="160">
        <v>0</v>
      </c>
      <c r="EF28" s="118">
        <v>0</v>
      </c>
      <c r="EG28" s="118">
        <v>0</v>
      </c>
      <c r="EH28" s="213">
        <f>SUM(ED28:EG28)</f>
        <v>32791</v>
      </c>
      <c r="EI28" s="160">
        <v>0</v>
      </c>
      <c r="EJ28" s="118">
        <v>0</v>
      </c>
      <c r="EK28" s="118">
        <v>0</v>
      </c>
      <c r="EL28" s="213">
        <f>SUM(EH28:EK28)</f>
        <v>32791</v>
      </c>
      <c r="EM28" s="160">
        <v>0</v>
      </c>
      <c r="EN28" s="118">
        <v>0</v>
      </c>
      <c r="EO28" s="118">
        <v>0</v>
      </c>
      <c r="EP28" s="213">
        <f>SUM(EL28:EO28)</f>
        <v>32791</v>
      </c>
      <c r="EQ28" s="160">
        <v>0</v>
      </c>
      <c r="ER28" s="118">
        <v>0</v>
      </c>
      <c r="ES28" s="118">
        <v>0</v>
      </c>
      <c r="ET28" s="213">
        <f>SUM(EP28:ES28)</f>
        <v>32791</v>
      </c>
      <c r="EU28" s="160">
        <v>0</v>
      </c>
      <c r="EV28" s="118">
        <v>0</v>
      </c>
      <c r="EW28" s="118">
        <v>0</v>
      </c>
      <c r="EX28" s="213">
        <f>SUM(ET28:EW28)</f>
        <v>32791</v>
      </c>
      <c r="EY28" s="160">
        <v>0</v>
      </c>
      <c r="EZ28" s="118">
        <v>0</v>
      </c>
      <c r="FA28" s="118">
        <v>0</v>
      </c>
      <c r="FB28" s="213">
        <f>SUM(EX28:FA28)</f>
        <v>32791</v>
      </c>
      <c r="FC28" s="160">
        <v>0</v>
      </c>
      <c r="FD28" s="118">
        <v>0</v>
      </c>
      <c r="FE28" s="118">
        <v>0</v>
      </c>
      <c r="FF28" s="213">
        <f>SUM(FB28:FE28)</f>
        <v>32791</v>
      </c>
      <c r="FG28" s="160">
        <v>0</v>
      </c>
      <c r="FH28" s="118">
        <v>0</v>
      </c>
      <c r="FI28" s="118">
        <v>0</v>
      </c>
      <c r="FJ28" s="213">
        <f>SUM(FF28:FI28)</f>
        <v>32791</v>
      </c>
      <c r="FK28" s="160">
        <v>0</v>
      </c>
      <c r="FL28" s="118">
        <v>0</v>
      </c>
      <c r="FM28" s="118">
        <v>0</v>
      </c>
      <c r="FN28" s="213">
        <f>SUM(FJ28:FM28)</f>
        <v>32791</v>
      </c>
      <c r="FO28" s="211" t="s">
        <v>160</v>
      </c>
      <c r="FP28" s="211" t="s">
        <v>160</v>
      </c>
      <c r="FQ28" s="211" t="s">
        <v>160</v>
      </c>
      <c r="FR28" s="213">
        <f>SUM(FN28:FQ28)</f>
        <v>32791</v>
      </c>
      <c r="FS28" s="211" t="s">
        <v>160</v>
      </c>
      <c r="FT28" s="211" t="s">
        <v>160</v>
      </c>
      <c r="FU28" s="211" t="s">
        <v>160</v>
      </c>
      <c r="FV28" s="213">
        <f>SUM(FR28:FU28)</f>
        <v>32791</v>
      </c>
      <c r="FW28" s="160">
        <v>0</v>
      </c>
      <c r="FX28" s="118" t="s">
        <v>160</v>
      </c>
      <c r="FY28" s="118">
        <v>0</v>
      </c>
      <c r="FZ28" s="118">
        <v>0</v>
      </c>
      <c r="GA28" s="118" t="s">
        <v>160</v>
      </c>
      <c r="GB28" s="213">
        <f>SUM(FV28:GA28)</f>
        <v>32791</v>
      </c>
      <c r="GC28" s="160">
        <v>0</v>
      </c>
      <c r="GD28" s="118" t="s">
        <v>160</v>
      </c>
      <c r="GE28" s="118">
        <v>0</v>
      </c>
      <c r="GF28" s="118">
        <v>0</v>
      </c>
      <c r="GG28" s="118" t="s">
        <v>160</v>
      </c>
      <c r="GH28" s="213">
        <f>SUM(GB28:GG28)</f>
        <v>32791</v>
      </c>
      <c r="GI28" s="211">
        <v>0</v>
      </c>
      <c r="GJ28" s="211" t="s">
        <v>160</v>
      </c>
      <c r="GK28" s="211">
        <v>0</v>
      </c>
      <c r="GL28" s="211">
        <v>0</v>
      </c>
      <c r="GM28" s="211" t="s">
        <v>160</v>
      </c>
      <c r="GN28" s="211">
        <v>32791</v>
      </c>
      <c r="GO28" s="160">
        <v>0</v>
      </c>
      <c r="GP28" s="118" t="s">
        <v>160</v>
      </c>
      <c r="GQ28" s="118">
        <v>0</v>
      </c>
      <c r="GR28" s="118">
        <v>0</v>
      </c>
      <c r="GS28" s="118" t="s">
        <v>160</v>
      </c>
      <c r="GT28" s="213">
        <f t="shared" ref="GT28:GT36" si="56">SUM(GN28:GS28)</f>
        <v>32791</v>
      </c>
      <c r="GU28" s="160">
        <v>0</v>
      </c>
      <c r="GV28" s="118" t="s">
        <v>160</v>
      </c>
      <c r="GW28" s="118">
        <v>0</v>
      </c>
      <c r="GX28" s="118">
        <v>0</v>
      </c>
      <c r="GY28" s="118" t="s">
        <v>160</v>
      </c>
      <c r="GZ28" s="213">
        <f t="shared" ref="GZ28:GZ36" si="57">SUM(GT28:GY28)</f>
        <v>32791</v>
      </c>
      <c r="HA28" s="160">
        <v>0</v>
      </c>
      <c r="HB28" s="118" t="s">
        <v>160</v>
      </c>
      <c r="HC28" s="118">
        <v>0</v>
      </c>
      <c r="HD28" s="118">
        <v>0</v>
      </c>
      <c r="HE28" s="118" t="s">
        <v>160</v>
      </c>
      <c r="HF28" s="213">
        <f t="shared" ref="HF28:HF36" si="58">SUM(GZ28:HE28)</f>
        <v>32791</v>
      </c>
    </row>
    <row r="29" spans="3:214" s="232" customFormat="1" hidden="1" outlineLevel="1" x14ac:dyDescent="0.2">
      <c r="C29" s="232" t="s">
        <v>249</v>
      </c>
      <c r="D29" s="232" t="s">
        <v>249</v>
      </c>
      <c r="F29" s="249" t="s">
        <v>249</v>
      </c>
      <c r="G29" s="219">
        <v>0</v>
      </c>
      <c r="H29" s="218">
        <v>0</v>
      </c>
      <c r="I29" s="746">
        <v>59536</v>
      </c>
      <c r="J29" s="219">
        <v>0</v>
      </c>
      <c r="K29" s="218">
        <v>0</v>
      </c>
      <c r="L29" s="218">
        <v>0</v>
      </c>
      <c r="M29" s="218">
        <v>-59536</v>
      </c>
      <c r="N29" s="746">
        <v>0</v>
      </c>
      <c r="O29" s="219">
        <v>0</v>
      </c>
      <c r="P29" s="218">
        <v>0</v>
      </c>
      <c r="Q29" s="218">
        <v>0</v>
      </c>
      <c r="R29" s="218">
        <v>655</v>
      </c>
      <c r="S29" s="218">
        <v>-655</v>
      </c>
      <c r="T29" s="746">
        <v>0</v>
      </c>
      <c r="U29" s="219">
        <v>0</v>
      </c>
      <c r="V29" s="218">
        <v>0</v>
      </c>
      <c r="W29" s="218">
        <v>0</v>
      </c>
      <c r="X29" s="218">
        <v>0</v>
      </c>
      <c r="Y29" s="218">
        <v>0</v>
      </c>
      <c r="Z29" s="746">
        <v>0</v>
      </c>
      <c r="AA29" s="747">
        <v>0</v>
      </c>
      <c r="AB29" s="218">
        <v>0</v>
      </c>
      <c r="AC29" s="218">
        <v>0</v>
      </c>
      <c r="AD29" s="746">
        <v>0</v>
      </c>
      <c r="AE29" s="219">
        <v>0</v>
      </c>
      <c r="AF29" s="218">
        <v>0</v>
      </c>
      <c r="AG29" s="218">
        <v>0</v>
      </c>
      <c r="AH29" s="746">
        <v>0</v>
      </c>
      <c r="AI29" s="219">
        <v>0</v>
      </c>
      <c r="AJ29" s="218">
        <v>0</v>
      </c>
      <c r="AK29" s="218">
        <v>0</v>
      </c>
      <c r="AL29" s="746">
        <v>0</v>
      </c>
      <c r="AM29" s="219">
        <v>0</v>
      </c>
      <c r="AN29" s="218">
        <v>0</v>
      </c>
      <c r="AO29" s="218">
        <v>0</v>
      </c>
      <c r="AP29" s="746">
        <v>0</v>
      </c>
      <c r="AQ29" s="219">
        <v>0</v>
      </c>
      <c r="AR29" s="218">
        <v>0</v>
      </c>
      <c r="AS29" s="218">
        <v>0</v>
      </c>
      <c r="AT29" s="746">
        <f t="shared" si="49"/>
        <v>0</v>
      </c>
      <c r="AU29" s="219">
        <v>0</v>
      </c>
      <c r="AV29" s="218">
        <v>0</v>
      </c>
      <c r="AW29" s="218">
        <v>0</v>
      </c>
      <c r="AX29" s="746">
        <f t="shared" si="50"/>
        <v>0</v>
      </c>
      <c r="AY29" s="219">
        <v>0</v>
      </c>
      <c r="AZ29" s="218">
        <v>0</v>
      </c>
      <c r="BA29" s="218">
        <v>0</v>
      </c>
      <c r="BB29" s="746">
        <f t="shared" si="51"/>
        <v>0</v>
      </c>
      <c r="BC29" s="218">
        <v>0</v>
      </c>
      <c r="BD29" s="218">
        <v>0</v>
      </c>
      <c r="BE29" s="218">
        <v>0</v>
      </c>
      <c r="BF29" s="218">
        <v>0</v>
      </c>
      <c r="BG29" s="219">
        <v>0</v>
      </c>
      <c r="BH29" s="218">
        <v>0</v>
      </c>
      <c r="BI29" s="746">
        <v>0</v>
      </c>
      <c r="BJ29" s="218">
        <v>0</v>
      </c>
      <c r="BK29" s="218">
        <v>0</v>
      </c>
      <c r="BL29" s="218">
        <v>0</v>
      </c>
      <c r="BM29" s="218">
        <v>0</v>
      </c>
      <c r="BN29" s="219">
        <v>0</v>
      </c>
      <c r="BO29" s="218">
        <v>0</v>
      </c>
      <c r="BP29" s="218">
        <v>0</v>
      </c>
      <c r="BQ29" s="748">
        <f t="shared" si="52"/>
        <v>0</v>
      </c>
      <c r="BR29" s="219">
        <v>0</v>
      </c>
      <c r="BS29" s="218">
        <v>0</v>
      </c>
      <c r="BT29" s="218">
        <v>0</v>
      </c>
      <c r="BU29" s="748">
        <f t="shared" si="53"/>
        <v>0</v>
      </c>
      <c r="BV29" s="219">
        <v>0</v>
      </c>
      <c r="BW29" s="218">
        <v>0</v>
      </c>
      <c r="BX29" s="218">
        <v>0</v>
      </c>
      <c r="BY29" s="748">
        <f t="shared" si="54"/>
        <v>0</v>
      </c>
      <c r="BZ29" s="219">
        <v>0</v>
      </c>
      <c r="CA29" s="218">
        <v>0</v>
      </c>
      <c r="CB29" s="218">
        <v>0</v>
      </c>
      <c r="CC29" s="748">
        <f t="shared" si="55"/>
        <v>0</v>
      </c>
      <c r="CD29" s="219">
        <v>0</v>
      </c>
      <c r="CE29" s="218">
        <v>0</v>
      </c>
      <c r="CF29" s="218">
        <v>0</v>
      </c>
      <c r="CG29" s="748">
        <f t="shared" ref="CG29:CG36" si="59">SUM(CC29:CF29)</f>
        <v>0</v>
      </c>
      <c r="CH29" s="219">
        <v>0</v>
      </c>
      <c r="CI29" s="218">
        <v>0</v>
      </c>
      <c r="CJ29" s="218">
        <v>0</v>
      </c>
      <c r="CK29" s="748">
        <f>SUM(CG29:CJ29)</f>
        <v>0</v>
      </c>
      <c r="CL29" s="749">
        <v>0</v>
      </c>
      <c r="CM29" s="749">
        <v>0</v>
      </c>
      <c r="CN29" s="748">
        <f>SUM(CK29:CM29)</f>
        <v>0</v>
      </c>
      <c r="CO29" s="219">
        <v>0</v>
      </c>
      <c r="CP29" s="218">
        <v>0</v>
      </c>
      <c r="CQ29" s="748">
        <f>SUM(CN29:CP29)</f>
        <v>0</v>
      </c>
      <c r="CR29" s="219">
        <v>0</v>
      </c>
      <c r="CS29" s="218">
        <v>0</v>
      </c>
      <c r="CT29" s="748">
        <v>0</v>
      </c>
      <c r="CU29" s="219">
        <v>0</v>
      </c>
      <c r="CV29" s="218">
        <v>0</v>
      </c>
      <c r="CW29" s="218">
        <v>0</v>
      </c>
      <c r="CX29" s="748">
        <v>0</v>
      </c>
      <c r="CY29" s="219">
        <v>0</v>
      </c>
      <c r="CZ29" s="218">
        <v>0</v>
      </c>
      <c r="DA29" s="218">
        <v>0</v>
      </c>
      <c r="DB29" s="748">
        <v>0</v>
      </c>
      <c r="DC29" s="219">
        <v>0</v>
      </c>
      <c r="DD29" s="218">
        <v>0</v>
      </c>
      <c r="DE29" s="218">
        <v>0</v>
      </c>
      <c r="DF29" s="748">
        <f>SUM(DB29:DD29)</f>
        <v>0</v>
      </c>
      <c r="DG29" s="219">
        <v>0</v>
      </c>
      <c r="DH29" s="218">
        <v>0</v>
      </c>
      <c r="DI29" s="218">
        <v>0</v>
      </c>
      <c r="DJ29" s="748">
        <f>SUM(DF29:DH29)</f>
        <v>0</v>
      </c>
      <c r="DK29" s="219">
        <v>0</v>
      </c>
      <c r="DL29" s="218">
        <v>0</v>
      </c>
      <c r="DM29" s="218">
        <v>0</v>
      </c>
      <c r="DN29" s="748">
        <f>SUM(DJ29:DL29)</f>
        <v>0</v>
      </c>
      <c r="DO29" s="219">
        <v>0</v>
      </c>
      <c r="DP29" s="218">
        <v>0</v>
      </c>
      <c r="DQ29" s="218">
        <v>0</v>
      </c>
      <c r="DR29" s="748">
        <f>SUM(DN29:DP29)</f>
        <v>0</v>
      </c>
      <c r="DS29" s="219">
        <v>0</v>
      </c>
      <c r="DT29" s="218">
        <v>0</v>
      </c>
      <c r="DU29" s="218">
        <v>0</v>
      </c>
      <c r="DV29" s="748">
        <f>SUM(DR29:DT29)</f>
        <v>0</v>
      </c>
      <c r="DW29" s="219">
        <v>0</v>
      </c>
      <c r="DX29" s="218">
        <v>0</v>
      </c>
      <c r="DY29" s="218">
        <v>0</v>
      </c>
      <c r="DZ29" s="748">
        <v>0</v>
      </c>
      <c r="EA29" s="219">
        <v>0</v>
      </c>
      <c r="EB29" s="218">
        <v>0</v>
      </c>
      <c r="EC29" s="218">
        <v>0</v>
      </c>
      <c r="ED29" s="748">
        <f>SUM(DZ29:EB29)</f>
        <v>0</v>
      </c>
      <c r="EE29" s="219">
        <v>0</v>
      </c>
      <c r="EF29" s="218">
        <v>0</v>
      </c>
      <c r="EG29" s="218">
        <v>0</v>
      </c>
      <c r="EH29" s="748">
        <f>SUM(DZ29:EF29)</f>
        <v>0</v>
      </c>
      <c r="EI29" s="219">
        <v>0</v>
      </c>
      <c r="EJ29" s="218">
        <v>0</v>
      </c>
      <c r="EK29" s="218">
        <v>0</v>
      </c>
      <c r="EL29" s="748">
        <f>SUM(ED29:EJ29)</f>
        <v>0</v>
      </c>
      <c r="EM29" s="219">
        <v>0</v>
      </c>
      <c r="EN29" s="218">
        <v>0</v>
      </c>
      <c r="EO29" s="218">
        <v>0</v>
      </c>
      <c r="EP29" s="748">
        <f>SUM(EH29:EN29)</f>
        <v>0</v>
      </c>
      <c r="EQ29" s="219">
        <v>0</v>
      </c>
      <c r="ER29" s="218">
        <v>0</v>
      </c>
      <c r="ES29" s="218">
        <v>0</v>
      </c>
      <c r="ET29" s="748">
        <f>SUM(EL29:ER29)</f>
        <v>0</v>
      </c>
      <c r="EU29" s="219">
        <v>0</v>
      </c>
      <c r="EV29" s="218">
        <v>0</v>
      </c>
      <c r="EW29" s="218">
        <v>0</v>
      </c>
      <c r="EX29" s="748">
        <f>SUM(EP29:EV29)</f>
        <v>0</v>
      </c>
      <c r="EY29" s="219">
        <v>0</v>
      </c>
      <c r="EZ29" s="218">
        <v>0</v>
      </c>
      <c r="FA29" s="218">
        <v>0</v>
      </c>
      <c r="FB29" s="748">
        <f>SUM(ET29:EZ29)</f>
        <v>0</v>
      </c>
      <c r="FC29" s="219">
        <v>0</v>
      </c>
      <c r="FD29" s="218">
        <v>0</v>
      </c>
      <c r="FE29" s="218">
        <v>0</v>
      </c>
      <c r="FF29" s="748">
        <f>SUM(EX29:FD29)</f>
        <v>0</v>
      </c>
      <c r="FG29" s="219">
        <v>0</v>
      </c>
      <c r="FH29" s="218">
        <v>0</v>
      </c>
      <c r="FI29" s="218">
        <v>0</v>
      </c>
      <c r="FJ29" s="748">
        <f>SUM(FB29:FH29)</f>
        <v>0</v>
      </c>
      <c r="FK29" s="219">
        <v>0</v>
      </c>
      <c r="FL29" s="218">
        <v>0</v>
      </c>
      <c r="FM29" s="218">
        <v>0</v>
      </c>
      <c r="FN29" s="748">
        <f>SUM(FF29:FL29)</f>
        <v>0</v>
      </c>
      <c r="FO29" s="749" t="s">
        <v>160</v>
      </c>
      <c r="FP29" s="749" t="s">
        <v>160</v>
      </c>
      <c r="FQ29" s="749" t="s">
        <v>160</v>
      </c>
      <c r="FR29" s="748">
        <f>SUM(FJ29:FP29)</f>
        <v>0</v>
      </c>
      <c r="FS29" s="749" t="s">
        <v>160</v>
      </c>
      <c r="FT29" s="749" t="s">
        <v>160</v>
      </c>
      <c r="FU29" s="749" t="s">
        <v>160</v>
      </c>
      <c r="FV29" s="748">
        <f>SUM(FN29:FT29)</f>
        <v>0</v>
      </c>
      <c r="FW29" s="219">
        <v>0</v>
      </c>
      <c r="FX29" s="118" t="s">
        <v>160</v>
      </c>
      <c r="FY29" s="218">
        <v>0</v>
      </c>
      <c r="FZ29" s="218">
        <v>0</v>
      </c>
      <c r="GA29" s="118" t="s">
        <v>160</v>
      </c>
      <c r="GB29" s="748">
        <f t="shared" ref="GB29:GB36" si="60">SUM(FP29:FZ29)</f>
        <v>0</v>
      </c>
      <c r="GC29" s="219">
        <v>0</v>
      </c>
      <c r="GD29" s="118" t="s">
        <v>160</v>
      </c>
      <c r="GE29" s="218">
        <v>0</v>
      </c>
      <c r="GF29" s="218">
        <v>0</v>
      </c>
      <c r="GG29" s="118" t="s">
        <v>160</v>
      </c>
      <c r="GH29" s="748">
        <f>SUM(FV29:GF29)</f>
        <v>0</v>
      </c>
      <c r="GI29" s="749">
        <v>0</v>
      </c>
      <c r="GJ29" s="749" t="s">
        <v>160</v>
      </c>
      <c r="GK29" s="749">
        <v>0</v>
      </c>
      <c r="GL29" s="749">
        <v>0</v>
      </c>
      <c r="GM29" s="749" t="s">
        <v>160</v>
      </c>
      <c r="GN29" s="749">
        <v>0</v>
      </c>
      <c r="GO29" s="219">
        <v>0</v>
      </c>
      <c r="GP29" s="118" t="s">
        <v>160</v>
      </c>
      <c r="GQ29" s="218">
        <v>0</v>
      </c>
      <c r="GR29" s="218">
        <v>0</v>
      </c>
      <c r="GS29" s="118" t="s">
        <v>160</v>
      </c>
      <c r="GT29" s="213">
        <f t="shared" si="56"/>
        <v>0</v>
      </c>
      <c r="GU29" s="219">
        <v>0</v>
      </c>
      <c r="GV29" s="118" t="s">
        <v>160</v>
      </c>
      <c r="GW29" s="218">
        <v>0</v>
      </c>
      <c r="GX29" s="218">
        <v>0</v>
      </c>
      <c r="GY29" s="118" t="s">
        <v>160</v>
      </c>
      <c r="GZ29" s="213">
        <f t="shared" si="57"/>
        <v>0</v>
      </c>
      <c r="HA29" s="219">
        <v>0</v>
      </c>
      <c r="HB29" s="118" t="s">
        <v>160</v>
      </c>
      <c r="HC29" s="218">
        <v>0</v>
      </c>
      <c r="HD29" s="218">
        <v>0</v>
      </c>
      <c r="HE29" s="118" t="s">
        <v>160</v>
      </c>
      <c r="HF29" s="213">
        <f t="shared" si="58"/>
        <v>0</v>
      </c>
    </row>
    <row r="30" spans="3:214" s="232" customFormat="1" ht="25.5" hidden="1" outlineLevel="1" x14ac:dyDescent="0.2">
      <c r="C30" s="232" t="s">
        <v>250</v>
      </c>
      <c r="D30" s="232" t="s">
        <v>250</v>
      </c>
      <c r="F30" s="249" t="s">
        <v>250</v>
      </c>
      <c r="G30" s="219">
        <v>0</v>
      </c>
      <c r="H30" s="218">
        <v>0</v>
      </c>
      <c r="I30" s="746">
        <v>11015</v>
      </c>
      <c r="J30" s="219">
        <v>0</v>
      </c>
      <c r="K30" s="218">
        <v>0</v>
      </c>
      <c r="L30" s="218">
        <v>-11015</v>
      </c>
      <c r="M30" s="218">
        <v>0</v>
      </c>
      <c r="N30" s="746">
        <v>0</v>
      </c>
      <c r="O30" s="219">
        <v>0</v>
      </c>
      <c r="P30" s="218">
        <v>0</v>
      </c>
      <c r="Q30" s="218">
        <v>0</v>
      </c>
      <c r="R30" s="218">
        <v>0</v>
      </c>
      <c r="S30" s="218">
        <v>0</v>
      </c>
      <c r="T30" s="746">
        <v>0</v>
      </c>
      <c r="U30" s="219">
        <v>0</v>
      </c>
      <c r="V30" s="218">
        <v>0</v>
      </c>
      <c r="W30" s="218">
        <v>0</v>
      </c>
      <c r="X30" s="218">
        <v>0</v>
      </c>
      <c r="Y30" s="218">
        <v>0</v>
      </c>
      <c r="Z30" s="746">
        <v>0</v>
      </c>
      <c r="AA30" s="747">
        <v>0</v>
      </c>
      <c r="AB30" s="218">
        <v>0</v>
      </c>
      <c r="AC30" s="218">
        <v>0</v>
      </c>
      <c r="AD30" s="746">
        <v>0</v>
      </c>
      <c r="AE30" s="219">
        <v>0</v>
      </c>
      <c r="AF30" s="218">
        <v>0</v>
      </c>
      <c r="AG30" s="218">
        <v>0</v>
      </c>
      <c r="AH30" s="746">
        <v>0</v>
      </c>
      <c r="AI30" s="219">
        <v>0</v>
      </c>
      <c r="AJ30" s="218">
        <v>0</v>
      </c>
      <c r="AK30" s="218">
        <v>0</v>
      </c>
      <c r="AL30" s="746">
        <v>0</v>
      </c>
      <c r="AM30" s="219">
        <v>0</v>
      </c>
      <c r="AN30" s="218">
        <v>0</v>
      </c>
      <c r="AO30" s="218">
        <v>0</v>
      </c>
      <c r="AP30" s="746">
        <v>0</v>
      </c>
      <c r="AQ30" s="219">
        <v>0</v>
      </c>
      <c r="AR30" s="218">
        <v>0</v>
      </c>
      <c r="AS30" s="218">
        <v>0</v>
      </c>
      <c r="AT30" s="746">
        <f t="shared" si="49"/>
        <v>0</v>
      </c>
      <c r="AU30" s="219">
        <v>0</v>
      </c>
      <c r="AV30" s="218">
        <v>0</v>
      </c>
      <c r="AW30" s="218">
        <v>0</v>
      </c>
      <c r="AX30" s="746">
        <f t="shared" si="50"/>
        <v>0</v>
      </c>
      <c r="AY30" s="219">
        <v>0</v>
      </c>
      <c r="AZ30" s="218">
        <v>0</v>
      </c>
      <c r="BA30" s="218">
        <v>0</v>
      </c>
      <c r="BB30" s="746">
        <f t="shared" si="51"/>
        <v>0</v>
      </c>
      <c r="BC30" s="218">
        <v>0</v>
      </c>
      <c r="BD30" s="218">
        <v>0</v>
      </c>
      <c r="BE30" s="218">
        <v>0</v>
      </c>
      <c r="BF30" s="218">
        <v>0</v>
      </c>
      <c r="BG30" s="219">
        <v>0</v>
      </c>
      <c r="BH30" s="218">
        <v>0</v>
      </c>
      <c r="BI30" s="746">
        <v>0</v>
      </c>
      <c r="BJ30" s="218">
        <v>0</v>
      </c>
      <c r="BK30" s="218">
        <v>0</v>
      </c>
      <c r="BL30" s="218">
        <v>0</v>
      </c>
      <c r="BM30" s="218">
        <v>0</v>
      </c>
      <c r="BN30" s="219">
        <v>0</v>
      </c>
      <c r="BO30" s="218">
        <v>0</v>
      </c>
      <c r="BP30" s="218">
        <v>0</v>
      </c>
      <c r="BQ30" s="748">
        <f t="shared" si="52"/>
        <v>0</v>
      </c>
      <c r="BR30" s="219">
        <v>0</v>
      </c>
      <c r="BS30" s="218">
        <v>0</v>
      </c>
      <c r="BT30" s="218">
        <v>0</v>
      </c>
      <c r="BU30" s="748">
        <f t="shared" si="53"/>
        <v>0</v>
      </c>
      <c r="BV30" s="219">
        <v>0</v>
      </c>
      <c r="BW30" s="218">
        <v>0</v>
      </c>
      <c r="BX30" s="218">
        <v>0</v>
      </c>
      <c r="BY30" s="748">
        <f t="shared" si="54"/>
        <v>0</v>
      </c>
      <c r="BZ30" s="219">
        <v>0</v>
      </c>
      <c r="CA30" s="218">
        <v>0</v>
      </c>
      <c r="CB30" s="218">
        <v>0</v>
      </c>
      <c r="CC30" s="748">
        <f t="shared" si="55"/>
        <v>0</v>
      </c>
      <c r="CD30" s="219">
        <v>0</v>
      </c>
      <c r="CE30" s="218">
        <v>0</v>
      </c>
      <c r="CF30" s="218">
        <v>0</v>
      </c>
      <c r="CG30" s="748">
        <f t="shared" si="59"/>
        <v>0</v>
      </c>
      <c r="CH30" s="219">
        <v>0</v>
      </c>
      <c r="CI30" s="218">
        <v>0</v>
      </c>
      <c r="CJ30" s="218">
        <v>0</v>
      </c>
      <c r="CK30" s="748">
        <f>SUM(CG30:CJ30)</f>
        <v>0</v>
      </c>
      <c r="CL30" s="749">
        <v>0</v>
      </c>
      <c r="CM30" s="749">
        <v>0</v>
      </c>
      <c r="CN30" s="748">
        <f>SUM(CK30:CM30)</f>
        <v>0</v>
      </c>
      <c r="CO30" s="219">
        <v>0</v>
      </c>
      <c r="CP30" s="218">
        <v>0</v>
      </c>
      <c r="CQ30" s="748">
        <f>SUM(CN30:CP30)</f>
        <v>0</v>
      </c>
      <c r="CR30" s="219">
        <v>0</v>
      </c>
      <c r="CS30" s="218">
        <v>0</v>
      </c>
      <c r="CT30" s="748">
        <v>0</v>
      </c>
      <c r="CU30" s="219">
        <v>0</v>
      </c>
      <c r="CV30" s="218">
        <v>0</v>
      </c>
      <c r="CW30" s="218">
        <v>0</v>
      </c>
      <c r="CX30" s="748">
        <v>0</v>
      </c>
      <c r="CY30" s="219">
        <v>0</v>
      </c>
      <c r="CZ30" s="218">
        <v>0</v>
      </c>
      <c r="DA30" s="218">
        <v>0</v>
      </c>
      <c r="DB30" s="748">
        <v>0</v>
      </c>
      <c r="DC30" s="219">
        <v>0</v>
      </c>
      <c r="DD30" s="218">
        <v>0</v>
      </c>
      <c r="DE30" s="218">
        <v>0</v>
      </c>
      <c r="DF30" s="748">
        <f>SUM(DB30:DD30)</f>
        <v>0</v>
      </c>
      <c r="DG30" s="219">
        <v>0</v>
      </c>
      <c r="DH30" s="218">
        <v>0</v>
      </c>
      <c r="DI30" s="218">
        <v>0</v>
      </c>
      <c r="DJ30" s="748">
        <f>SUM(DF30:DH30)</f>
        <v>0</v>
      </c>
      <c r="DK30" s="219">
        <v>0</v>
      </c>
      <c r="DL30" s="218">
        <v>0</v>
      </c>
      <c r="DM30" s="218">
        <v>0</v>
      </c>
      <c r="DN30" s="748">
        <f>SUM(DJ30:DL30)</f>
        <v>0</v>
      </c>
      <c r="DO30" s="219">
        <v>0</v>
      </c>
      <c r="DP30" s="218">
        <v>0</v>
      </c>
      <c r="DQ30" s="218">
        <v>0</v>
      </c>
      <c r="DR30" s="748">
        <f>SUM(DN30:DP30)</f>
        <v>0</v>
      </c>
      <c r="DS30" s="219">
        <v>0</v>
      </c>
      <c r="DT30" s="218">
        <v>0</v>
      </c>
      <c r="DU30" s="218">
        <v>0</v>
      </c>
      <c r="DV30" s="748">
        <f>SUM(DR30:DT30)</f>
        <v>0</v>
      </c>
      <c r="DW30" s="219">
        <v>0</v>
      </c>
      <c r="DX30" s="218">
        <v>0</v>
      </c>
      <c r="DY30" s="218">
        <v>0</v>
      </c>
      <c r="DZ30" s="748">
        <v>0</v>
      </c>
      <c r="EA30" s="219">
        <v>0</v>
      </c>
      <c r="EB30" s="218">
        <v>0</v>
      </c>
      <c r="EC30" s="218">
        <v>0</v>
      </c>
      <c r="ED30" s="748">
        <f>SUM(DZ30:EB30)</f>
        <v>0</v>
      </c>
      <c r="EE30" s="219">
        <v>0</v>
      </c>
      <c r="EF30" s="218">
        <v>0</v>
      </c>
      <c r="EG30" s="218">
        <v>0</v>
      </c>
      <c r="EH30" s="748">
        <f>SUM(DZ30:EF30)</f>
        <v>0</v>
      </c>
      <c r="EI30" s="219">
        <v>0</v>
      </c>
      <c r="EJ30" s="218">
        <v>0</v>
      </c>
      <c r="EK30" s="218">
        <v>0</v>
      </c>
      <c r="EL30" s="748">
        <f>SUM(ED30:EJ30)</f>
        <v>0</v>
      </c>
      <c r="EM30" s="219">
        <v>0</v>
      </c>
      <c r="EN30" s="218">
        <v>0</v>
      </c>
      <c r="EO30" s="218">
        <v>0</v>
      </c>
      <c r="EP30" s="748">
        <f>SUM(EH30:EN30)</f>
        <v>0</v>
      </c>
      <c r="EQ30" s="219">
        <v>0</v>
      </c>
      <c r="ER30" s="218">
        <v>0</v>
      </c>
      <c r="ES30" s="218">
        <v>0</v>
      </c>
      <c r="ET30" s="748">
        <f>SUM(EL30:ER30)</f>
        <v>0</v>
      </c>
      <c r="EU30" s="219">
        <v>0</v>
      </c>
      <c r="EV30" s="218">
        <v>0</v>
      </c>
      <c r="EW30" s="218">
        <v>0</v>
      </c>
      <c r="EX30" s="748">
        <f>SUM(EP30:EV30)</f>
        <v>0</v>
      </c>
      <c r="EY30" s="219">
        <v>0</v>
      </c>
      <c r="EZ30" s="218">
        <v>0</v>
      </c>
      <c r="FA30" s="218">
        <v>0</v>
      </c>
      <c r="FB30" s="748">
        <f>SUM(ET30:EZ30)</f>
        <v>0</v>
      </c>
      <c r="FC30" s="219">
        <v>0</v>
      </c>
      <c r="FD30" s="218">
        <v>0</v>
      </c>
      <c r="FE30" s="218">
        <v>0</v>
      </c>
      <c r="FF30" s="748">
        <f>SUM(EX30:FD30)</f>
        <v>0</v>
      </c>
      <c r="FG30" s="219">
        <v>0</v>
      </c>
      <c r="FH30" s="218">
        <v>0</v>
      </c>
      <c r="FI30" s="218">
        <v>0</v>
      </c>
      <c r="FJ30" s="748">
        <f>SUM(FB30:FH30)</f>
        <v>0</v>
      </c>
      <c r="FK30" s="219">
        <v>0</v>
      </c>
      <c r="FL30" s="218">
        <v>0</v>
      </c>
      <c r="FM30" s="218">
        <v>0</v>
      </c>
      <c r="FN30" s="748">
        <f>SUM(FF30:FL30)</f>
        <v>0</v>
      </c>
      <c r="FO30" s="749" t="s">
        <v>160</v>
      </c>
      <c r="FP30" s="749" t="s">
        <v>160</v>
      </c>
      <c r="FQ30" s="749" t="s">
        <v>160</v>
      </c>
      <c r="FR30" s="748">
        <f>SUM(FJ30:FP30)</f>
        <v>0</v>
      </c>
      <c r="FS30" s="749" t="s">
        <v>160</v>
      </c>
      <c r="FT30" s="749" t="s">
        <v>160</v>
      </c>
      <c r="FU30" s="749" t="s">
        <v>160</v>
      </c>
      <c r="FV30" s="748">
        <f>SUM(FN30:FT30)</f>
        <v>0</v>
      </c>
      <c r="FW30" s="219">
        <v>0</v>
      </c>
      <c r="FX30" s="118" t="s">
        <v>160</v>
      </c>
      <c r="FY30" s="218">
        <v>0</v>
      </c>
      <c r="FZ30" s="218">
        <v>0</v>
      </c>
      <c r="GA30" s="118" t="s">
        <v>160</v>
      </c>
      <c r="GB30" s="748">
        <f t="shared" si="60"/>
        <v>0</v>
      </c>
      <c r="GC30" s="219">
        <v>0</v>
      </c>
      <c r="GD30" s="118" t="s">
        <v>160</v>
      </c>
      <c r="GE30" s="218">
        <v>0</v>
      </c>
      <c r="GF30" s="218">
        <v>0</v>
      </c>
      <c r="GG30" s="118" t="s">
        <v>160</v>
      </c>
      <c r="GH30" s="748">
        <f>SUM(FV30:GF30)</f>
        <v>0</v>
      </c>
      <c r="GI30" s="749">
        <v>0</v>
      </c>
      <c r="GJ30" s="749" t="s">
        <v>160</v>
      </c>
      <c r="GK30" s="749">
        <v>0</v>
      </c>
      <c r="GL30" s="749">
        <v>0</v>
      </c>
      <c r="GM30" s="749" t="s">
        <v>160</v>
      </c>
      <c r="GN30" s="749">
        <v>0</v>
      </c>
      <c r="GO30" s="219">
        <v>0</v>
      </c>
      <c r="GP30" s="118" t="s">
        <v>160</v>
      </c>
      <c r="GQ30" s="218">
        <v>0</v>
      </c>
      <c r="GR30" s="218">
        <v>0</v>
      </c>
      <c r="GS30" s="118" t="s">
        <v>160</v>
      </c>
      <c r="GT30" s="213">
        <f t="shared" si="56"/>
        <v>0</v>
      </c>
      <c r="GU30" s="219">
        <v>0</v>
      </c>
      <c r="GV30" s="118" t="s">
        <v>160</v>
      </c>
      <c r="GW30" s="218">
        <v>0</v>
      </c>
      <c r="GX30" s="218">
        <v>0</v>
      </c>
      <c r="GY30" s="118" t="s">
        <v>160</v>
      </c>
      <c r="GZ30" s="213">
        <f t="shared" si="57"/>
        <v>0</v>
      </c>
      <c r="HA30" s="219">
        <v>0</v>
      </c>
      <c r="HB30" s="118" t="s">
        <v>160</v>
      </c>
      <c r="HC30" s="218">
        <v>0</v>
      </c>
      <c r="HD30" s="218">
        <v>0</v>
      </c>
      <c r="HE30" s="118" t="s">
        <v>160</v>
      </c>
      <c r="HF30" s="213">
        <f t="shared" si="58"/>
        <v>0</v>
      </c>
    </row>
    <row r="31" spans="3:214" s="232" customFormat="1" hidden="1" outlineLevel="1" x14ac:dyDescent="0.2">
      <c r="C31" s="232" t="s">
        <v>253</v>
      </c>
      <c r="D31" s="232" t="s">
        <v>253</v>
      </c>
      <c r="F31" s="249" t="s">
        <v>253</v>
      </c>
      <c r="G31" s="219">
        <v>0</v>
      </c>
      <c r="H31" s="218">
        <v>0</v>
      </c>
      <c r="I31" s="746">
        <v>1365</v>
      </c>
      <c r="J31" s="219">
        <v>0</v>
      </c>
      <c r="K31" s="218">
        <v>0</v>
      </c>
      <c r="L31" s="218">
        <v>0</v>
      </c>
      <c r="M31" s="218">
        <v>0</v>
      </c>
      <c r="N31" s="746">
        <v>1365</v>
      </c>
      <c r="O31" s="219">
        <v>0</v>
      </c>
      <c r="P31" s="218">
        <v>0</v>
      </c>
      <c r="Q31" s="218">
        <v>0</v>
      </c>
      <c r="R31" s="218">
        <v>0</v>
      </c>
      <c r="S31" s="218">
        <v>0</v>
      </c>
      <c r="T31" s="746">
        <v>1365</v>
      </c>
      <c r="U31" s="219">
        <v>0</v>
      </c>
      <c r="V31" s="218">
        <v>0</v>
      </c>
      <c r="W31" s="218">
        <v>0</v>
      </c>
      <c r="X31" s="218">
        <v>0</v>
      </c>
      <c r="Y31" s="218">
        <v>0</v>
      </c>
      <c r="Z31" s="746">
        <v>1365</v>
      </c>
      <c r="AA31" s="747">
        <v>0</v>
      </c>
      <c r="AB31" s="218">
        <v>0</v>
      </c>
      <c r="AC31" s="218">
        <v>0</v>
      </c>
      <c r="AD31" s="746">
        <v>1365</v>
      </c>
      <c r="AE31" s="219">
        <v>0</v>
      </c>
      <c r="AF31" s="218">
        <v>0</v>
      </c>
      <c r="AG31" s="218">
        <v>0</v>
      </c>
      <c r="AH31" s="746">
        <v>1365</v>
      </c>
      <c r="AI31" s="219">
        <v>0</v>
      </c>
      <c r="AJ31" s="218">
        <v>0</v>
      </c>
      <c r="AK31" s="218">
        <v>0</v>
      </c>
      <c r="AL31" s="746">
        <v>1365</v>
      </c>
      <c r="AM31" s="219">
        <v>0</v>
      </c>
      <c r="AN31" s="218">
        <v>0</v>
      </c>
      <c r="AO31" s="218">
        <v>0</v>
      </c>
      <c r="AP31" s="746">
        <v>1365</v>
      </c>
      <c r="AQ31" s="219">
        <v>0</v>
      </c>
      <c r="AR31" s="218">
        <v>0</v>
      </c>
      <c r="AS31" s="218">
        <v>0</v>
      </c>
      <c r="AT31" s="746">
        <f>SUM(AP31:AS31)</f>
        <v>1365</v>
      </c>
      <c r="AU31" s="219">
        <v>0</v>
      </c>
      <c r="AV31" s="218">
        <v>0</v>
      </c>
      <c r="AW31" s="218">
        <v>0</v>
      </c>
      <c r="AX31" s="746">
        <f>SUM(AT31:AW31)</f>
        <v>1365</v>
      </c>
      <c r="AY31" s="219">
        <v>0</v>
      </c>
      <c r="AZ31" s="218">
        <v>0</v>
      </c>
      <c r="BA31" s="218">
        <v>0</v>
      </c>
      <c r="BB31" s="746">
        <f>SUM(AX31:BA31)</f>
        <v>1365</v>
      </c>
      <c r="BC31" s="218">
        <v>0</v>
      </c>
      <c r="BD31" s="218">
        <v>0</v>
      </c>
      <c r="BE31" s="218">
        <v>0</v>
      </c>
      <c r="BF31" s="218">
        <v>1365</v>
      </c>
      <c r="BG31" s="219">
        <v>0</v>
      </c>
      <c r="BH31" s="218">
        <v>0</v>
      </c>
      <c r="BI31" s="746">
        <v>1365</v>
      </c>
      <c r="BJ31" s="218">
        <v>0</v>
      </c>
      <c r="BK31" s="218">
        <v>0</v>
      </c>
      <c r="BL31" s="218">
        <v>-1364.59871</v>
      </c>
      <c r="BM31" s="218">
        <v>0.40129000000001724</v>
      </c>
      <c r="BN31" s="219">
        <v>0</v>
      </c>
      <c r="BO31" s="218">
        <v>0</v>
      </c>
      <c r="BP31" s="218">
        <v>0</v>
      </c>
      <c r="BQ31" s="748">
        <f>SUM(BM31:BP31)</f>
        <v>0.40129000000001724</v>
      </c>
      <c r="BR31" s="219">
        <v>0</v>
      </c>
      <c r="BS31" s="218">
        <v>0</v>
      </c>
      <c r="BT31" s="218">
        <v>-0.40129000000001724</v>
      </c>
      <c r="BU31" s="748">
        <f>SUM(BN31:BT31)</f>
        <v>0</v>
      </c>
      <c r="BV31" s="219">
        <v>0</v>
      </c>
      <c r="BW31" s="218">
        <v>0</v>
      </c>
      <c r="BX31" s="218"/>
      <c r="BY31" s="748">
        <f>SUM(BU31:BX31)</f>
        <v>0</v>
      </c>
      <c r="BZ31" s="219">
        <v>0</v>
      </c>
      <c r="CA31" s="218">
        <v>0</v>
      </c>
      <c r="CB31" s="218"/>
      <c r="CC31" s="748">
        <f>SUM(BY31:CB31)</f>
        <v>0</v>
      </c>
      <c r="CD31" s="219">
        <v>0</v>
      </c>
      <c r="CE31" s="218">
        <v>0</v>
      </c>
      <c r="CF31" s="218">
        <v>0</v>
      </c>
      <c r="CG31" s="748">
        <f>SUM(CC31:CF31)</f>
        <v>0</v>
      </c>
      <c r="CH31" s="219">
        <v>0</v>
      </c>
      <c r="CI31" s="218">
        <v>0</v>
      </c>
      <c r="CJ31" s="218">
        <v>0</v>
      </c>
      <c r="CK31" s="748">
        <f>SUM(CG31:CJ31)</f>
        <v>0</v>
      </c>
      <c r="CL31" s="749">
        <v>0</v>
      </c>
      <c r="CM31" s="749">
        <v>0</v>
      </c>
      <c r="CN31" s="748">
        <f>SUM(CK31:CM31)</f>
        <v>0</v>
      </c>
      <c r="CO31" s="219">
        <v>0</v>
      </c>
      <c r="CP31" s="218">
        <v>0</v>
      </c>
      <c r="CQ31" s="748">
        <f>SUM(CN31:CP31)</f>
        <v>0</v>
      </c>
      <c r="CR31" s="219">
        <v>0</v>
      </c>
      <c r="CS31" s="218">
        <v>0</v>
      </c>
      <c r="CT31" s="748">
        <v>0</v>
      </c>
      <c r="CU31" s="219">
        <v>0</v>
      </c>
      <c r="CV31" s="218">
        <v>0</v>
      </c>
      <c r="CW31" s="218">
        <v>0</v>
      </c>
      <c r="CX31" s="748">
        <v>0</v>
      </c>
      <c r="CY31" s="219">
        <v>0</v>
      </c>
      <c r="CZ31" s="218">
        <v>0</v>
      </c>
      <c r="DA31" s="218">
        <v>0</v>
      </c>
      <c r="DB31" s="748">
        <v>0</v>
      </c>
      <c r="DC31" s="219">
        <v>0</v>
      </c>
      <c r="DD31" s="218">
        <v>0</v>
      </c>
      <c r="DE31" s="218">
        <v>0</v>
      </c>
      <c r="DF31" s="748">
        <f>SUM(DB31:DD31)</f>
        <v>0</v>
      </c>
      <c r="DG31" s="219">
        <v>0</v>
      </c>
      <c r="DH31" s="218">
        <v>0</v>
      </c>
      <c r="DI31" s="218">
        <v>0</v>
      </c>
      <c r="DJ31" s="748">
        <f>SUM(DF31:DH31)</f>
        <v>0</v>
      </c>
      <c r="DK31" s="219">
        <v>0</v>
      </c>
      <c r="DL31" s="218">
        <v>0</v>
      </c>
      <c r="DM31" s="218">
        <v>0</v>
      </c>
      <c r="DN31" s="748">
        <f>SUM(DJ31:DL31)</f>
        <v>0</v>
      </c>
      <c r="DO31" s="219">
        <v>0</v>
      </c>
      <c r="DP31" s="218">
        <v>0</v>
      </c>
      <c r="DQ31" s="218">
        <v>0</v>
      </c>
      <c r="DR31" s="748">
        <f>SUM(DN31:DP31)</f>
        <v>0</v>
      </c>
      <c r="DS31" s="219">
        <v>0</v>
      </c>
      <c r="DT31" s="218">
        <v>0</v>
      </c>
      <c r="DU31" s="218">
        <v>0</v>
      </c>
      <c r="DV31" s="748">
        <f>SUM(DR31:DT31)</f>
        <v>0</v>
      </c>
      <c r="DW31" s="219">
        <v>0</v>
      </c>
      <c r="DX31" s="218">
        <v>0</v>
      </c>
      <c r="DY31" s="218">
        <v>0</v>
      </c>
      <c r="DZ31" s="748">
        <v>0</v>
      </c>
      <c r="EA31" s="219">
        <v>0</v>
      </c>
      <c r="EB31" s="218">
        <v>0</v>
      </c>
      <c r="EC31" s="218">
        <v>0</v>
      </c>
      <c r="ED31" s="748">
        <f>SUM(DZ31:EB31)</f>
        <v>0</v>
      </c>
      <c r="EE31" s="219">
        <v>0</v>
      </c>
      <c r="EF31" s="218">
        <v>0</v>
      </c>
      <c r="EG31" s="218">
        <v>0</v>
      </c>
      <c r="EH31" s="748">
        <f>SUM(DZ31:EF31)</f>
        <v>0</v>
      </c>
      <c r="EI31" s="219">
        <v>0</v>
      </c>
      <c r="EJ31" s="218">
        <v>0</v>
      </c>
      <c r="EK31" s="218">
        <v>0</v>
      </c>
      <c r="EL31" s="748">
        <f>SUM(ED31:EJ31)</f>
        <v>0</v>
      </c>
      <c r="EM31" s="219">
        <v>0</v>
      </c>
      <c r="EN31" s="218">
        <v>0</v>
      </c>
      <c r="EO31" s="218">
        <v>0</v>
      </c>
      <c r="EP31" s="748">
        <f>SUM(EH31:EN31)</f>
        <v>0</v>
      </c>
      <c r="EQ31" s="219">
        <v>0</v>
      </c>
      <c r="ER31" s="218">
        <v>0</v>
      </c>
      <c r="ES31" s="218">
        <v>0</v>
      </c>
      <c r="ET31" s="748">
        <f>SUM(EL31:ER31)</f>
        <v>0</v>
      </c>
      <c r="EU31" s="219">
        <v>0</v>
      </c>
      <c r="EV31" s="218">
        <v>0</v>
      </c>
      <c r="EW31" s="218">
        <v>0</v>
      </c>
      <c r="EX31" s="748">
        <f>SUM(EP31:EV31)</f>
        <v>0</v>
      </c>
      <c r="EY31" s="219">
        <v>0</v>
      </c>
      <c r="EZ31" s="218">
        <v>0</v>
      </c>
      <c r="FA31" s="218">
        <v>0</v>
      </c>
      <c r="FB31" s="748">
        <f>SUM(ET31:EZ31)</f>
        <v>0</v>
      </c>
      <c r="FC31" s="219">
        <v>0</v>
      </c>
      <c r="FD31" s="218">
        <v>0</v>
      </c>
      <c r="FE31" s="218">
        <v>0</v>
      </c>
      <c r="FF31" s="748">
        <f>SUM(EX31:FD31)</f>
        <v>0</v>
      </c>
      <c r="FG31" s="219">
        <v>0</v>
      </c>
      <c r="FH31" s="218">
        <v>0</v>
      </c>
      <c r="FI31" s="218">
        <v>0</v>
      </c>
      <c r="FJ31" s="748">
        <f>SUM(FB31:FH31)</f>
        <v>0</v>
      </c>
      <c r="FK31" s="219">
        <v>0</v>
      </c>
      <c r="FL31" s="218">
        <v>0</v>
      </c>
      <c r="FM31" s="218">
        <v>0</v>
      </c>
      <c r="FN31" s="748">
        <f>SUM(FF31:FL31)</f>
        <v>0</v>
      </c>
      <c r="FO31" s="749" t="s">
        <v>160</v>
      </c>
      <c r="FP31" s="749" t="s">
        <v>160</v>
      </c>
      <c r="FQ31" s="749" t="s">
        <v>160</v>
      </c>
      <c r="FR31" s="748">
        <f>SUM(FJ31:FP31)</f>
        <v>0</v>
      </c>
      <c r="FS31" s="749" t="s">
        <v>160</v>
      </c>
      <c r="FT31" s="749" t="s">
        <v>160</v>
      </c>
      <c r="FU31" s="749" t="s">
        <v>160</v>
      </c>
      <c r="FV31" s="748">
        <f>SUM(FN31:FT31)</f>
        <v>0</v>
      </c>
      <c r="FW31" s="219">
        <v>0</v>
      </c>
      <c r="FX31" s="118" t="s">
        <v>160</v>
      </c>
      <c r="FY31" s="218">
        <v>0</v>
      </c>
      <c r="FZ31" s="218">
        <v>0</v>
      </c>
      <c r="GA31" s="118" t="s">
        <v>160</v>
      </c>
      <c r="GB31" s="748">
        <f t="shared" si="60"/>
        <v>0</v>
      </c>
      <c r="GC31" s="219">
        <v>0</v>
      </c>
      <c r="GD31" s="118" t="s">
        <v>160</v>
      </c>
      <c r="GE31" s="218">
        <v>0</v>
      </c>
      <c r="GF31" s="218">
        <v>0</v>
      </c>
      <c r="GG31" s="118" t="s">
        <v>160</v>
      </c>
      <c r="GH31" s="748">
        <f>SUM(FV31:GF31)</f>
        <v>0</v>
      </c>
      <c r="GI31" s="749">
        <v>0</v>
      </c>
      <c r="GJ31" s="749" t="s">
        <v>160</v>
      </c>
      <c r="GK31" s="749">
        <v>0</v>
      </c>
      <c r="GL31" s="749">
        <v>0</v>
      </c>
      <c r="GM31" s="749" t="s">
        <v>160</v>
      </c>
      <c r="GN31" s="749">
        <v>0</v>
      </c>
      <c r="GO31" s="219">
        <v>0</v>
      </c>
      <c r="GP31" s="118" t="s">
        <v>160</v>
      </c>
      <c r="GQ31" s="218">
        <v>0</v>
      </c>
      <c r="GR31" s="218">
        <v>0</v>
      </c>
      <c r="GS31" s="118" t="s">
        <v>160</v>
      </c>
      <c r="GT31" s="213">
        <f t="shared" si="56"/>
        <v>0</v>
      </c>
      <c r="GU31" s="219">
        <v>0</v>
      </c>
      <c r="GV31" s="118" t="s">
        <v>160</v>
      </c>
      <c r="GW31" s="218">
        <v>0</v>
      </c>
      <c r="GX31" s="218">
        <v>0</v>
      </c>
      <c r="GY31" s="118" t="s">
        <v>160</v>
      </c>
      <c r="GZ31" s="213">
        <f t="shared" si="57"/>
        <v>0</v>
      </c>
      <c r="HA31" s="219">
        <v>0</v>
      </c>
      <c r="HB31" s="118" t="s">
        <v>160</v>
      </c>
      <c r="HC31" s="218">
        <v>0</v>
      </c>
      <c r="HD31" s="218">
        <v>0</v>
      </c>
      <c r="HE31" s="118" t="s">
        <v>160</v>
      </c>
      <c r="HF31" s="213">
        <f t="shared" si="58"/>
        <v>0</v>
      </c>
    </row>
    <row r="32" spans="3:214" collapsed="1" x14ac:dyDescent="0.2">
      <c r="C32" t="s">
        <v>251</v>
      </c>
      <c r="D32" t="s">
        <v>251</v>
      </c>
      <c r="F32" s="129" t="s">
        <v>251</v>
      </c>
      <c r="G32" s="160">
        <v>0</v>
      </c>
      <c r="H32" s="118">
        <v>0</v>
      </c>
      <c r="I32" s="161">
        <v>2491</v>
      </c>
      <c r="J32" s="160">
        <v>0</v>
      </c>
      <c r="K32" s="118">
        <v>0</v>
      </c>
      <c r="L32" s="118">
        <v>0</v>
      </c>
      <c r="M32" s="118">
        <v>0</v>
      </c>
      <c r="N32" s="161">
        <v>2491</v>
      </c>
      <c r="O32" s="160">
        <v>0</v>
      </c>
      <c r="P32" s="118">
        <v>0</v>
      </c>
      <c r="Q32" s="118">
        <v>0</v>
      </c>
      <c r="R32" s="118">
        <v>0</v>
      </c>
      <c r="S32" s="118">
        <v>0</v>
      </c>
      <c r="T32" s="161">
        <v>2491</v>
      </c>
      <c r="U32" s="160">
        <v>0</v>
      </c>
      <c r="V32" s="118">
        <v>0</v>
      </c>
      <c r="W32" s="118">
        <v>0</v>
      </c>
      <c r="X32" s="118">
        <v>0</v>
      </c>
      <c r="Y32" s="118">
        <v>0</v>
      </c>
      <c r="Z32" s="161">
        <v>2491</v>
      </c>
      <c r="AA32" s="176">
        <v>0</v>
      </c>
      <c r="AB32" s="118">
        <v>0</v>
      </c>
      <c r="AC32" s="118">
        <v>0</v>
      </c>
      <c r="AD32" s="161">
        <v>2491</v>
      </c>
      <c r="AE32" s="160">
        <v>0</v>
      </c>
      <c r="AF32" s="118">
        <v>0</v>
      </c>
      <c r="AG32" s="118">
        <v>0</v>
      </c>
      <c r="AH32" s="161">
        <v>2491</v>
      </c>
      <c r="AI32" s="160">
        <v>0</v>
      </c>
      <c r="AJ32" s="118">
        <v>0</v>
      </c>
      <c r="AK32" s="118">
        <v>0</v>
      </c>
      <c r="AL32" s="161">
        <v>2491</v>
      </c>
      <c r="AM32" s="160">
        <v>0</v>
      </c>
      <c r="AN32" s="118">
        <v>0</v>
      </c>
      <c r="AO32" s="118">
        <v>0</v>
      </c>
      <c r="AP32" s="161">
        <v>2491</v>
      </c>
      <c r="AQ32" s="160">
        <v>0</v>
      </c>
      <c r="AR32" s="118">
        <v>0</v>
      </c>
      <c r="AS32" s="118">
        <v>0</v>
      </c>
      <c r="AT32" s="161">
        <f t="shared" si="49"/>
        <v>2491</v>
      </c>
      <c r="AU32" s="160">
        <v>0</v>
      </c>
      <c r="AV32" s="118">
        <v>0</v>
      </c>
      <c r="AW32" s="118">
        <v>0</v>
      </c>
      <c r="AX32" s="161">
        <f t="shared" si="50"/>
        <v>2491</v>
      </c>
      <c r="AY32" s="160">
        <v>0</v>
      </c>
      <c r="AZ32" s="118">
        <v>0</v>
      </c>
      <c r="BA32" s="118">
        <v>0</v>
      </c>
      <c r="BB32" s="161">
        <f t="shared" si="51"/>
        <v>2491</v>
      </c>
      <c r="BC32" s="118">
        <v>0</v>
      </c>
      <c r="BD32" s="118">
        <v>0</v>
      </c>
      <c r="BE32" s="118">
        <v>0</v>
      </c>
      <c r="BF32" s="118">
        <v>2491</v>
      </c>
      <c r="BG32" s="160">
        <v>0</v>
      </c>
      <c r="BH32" s="118">
        <v>0</v>
      </c>
      <c r="BI32" s="161">
        <v>2491</v>
      </c>
      <c r="BJ32" s="118">
        <v>0</v>
      </c>
      <c r="BK32" s="118">
        <v>0</v>
      </c>
      <c r="BL32" s="118">
        <v>0</v>
      </c>
      <c r="BM32" s="118">
        <v>2491</v>
      </c>
      <c r="BN32" s="160">
        <v>0</v>
      </c>
      <c r="BO32" s="118">
        <v>0</v>
      </c>
      <c r="BP32" s="118">
        <v>0</v>
      </c>
      <c r="BQ32" s="213">
        <f t="shared" si="52"/>
        <v>2491</v>
      </c>
      <c r="BR32" s="160">
        <v>0</v>
      </c>
      <c r="BS32" s="118">
        <v>0</v>
      </c>
      <c r="BT32" s="118">
        <v>0</v>
      </c>
      <c r="BU32" s="213">
        <f t="shared" si="53"/>
        <v>2491</v>
      </c>
      <c r="BV32" s="160">
        <v>0</v>
      </c>
      <c r="BW32" s="118">
        <v>0</v>
      </c>
      <c r="BX32" s="118">
        <v>-2491</v>
      </c>
      <c r="BY32" s="213">
        <f t="shared" si="54"/>
        <v>0</v>
      </c>
      <c r="BZ32" s="160">
        <v>0</v>
      </c>
      <c r="CA32" s="118">
        <v>0</v>
      </c>
      <c r="CB32" s="118">
        <v>0</v>
      </c>
      <c r="CC32" s="213">
        <f t="shared" si="55"/>
        <v>0</v>
      </c>
      <c r="CD32" s="160">
        <v>0</v>
      </c>
      <c r="CE32" s="118">
        <v>0</v>
      </c>
      <c r="CF32" s="118">
        <v>0</v>
      </c>
      <c r="CG32" s="213">
        <f t="shared" si="59"/>
        <v>0</v>
      </c>
      <c r="CH32" s="160">
        <v>0</v>
      </c>
      <c r="CI32" s="118">
        <v>0</v>
      </c>
      <c r="CJ32" s="118">
        <v>0</v>
      </c>
      <c r="CK32" s="213"/>
      <c r="CL32" s="211">
        <v>0</v>
      </c>
      <c r="CM32" s="211">
        <v>0</v>
      </c>
      <c r="CN32" s="213" t="s">
        <v>160</v>
      </c>
      <c r="CO32" s="160">
        <v>0</v>
      </c>
      <c r="CP32" s="118">
        <v>0</v>
      </c>
      <c r="CQ32" s="213" t="s">
        <v>160</v>
      </c>
      <c r="CR32" s="160">
        <v>0</v>
      </c>
      <c r="CS32" s="118">
        <v>0</v>
      </c>
      <c r="CT32" s="213" t="s">
        <v>160</v>
      </c>
      <c r="CU32" s="160">
        <v>0</v>
      </c>
      <c r="CV32" s="118">
        <v>0</v>
      </c>
      <c r="CW32" s="118">
        <v>0</v>
      </c>
      <c r="CX32" s="213" t="s">
        <v>160</v>
      </c>
      <c r="CY32" s="160">
        <v>0</v>
      </c>
      <c r="CZ32" s="118">
        <v>0</v>
      </c>
      <c r="DA32" s="118">
        <v>0</v>
      </c>
      <c r="DB32" s="213" t="s">
        <v>160</v>
      </c>
      <c r="DC32" s="160">
        <v>0</v>
      </c>
      <c r="DD32" s="118">
        <v>0</v>
      </c>
      <c r="DE32" s="118">
        <v>0</v>
      </c>
      <c r="DF32" s="213" t="s">
        <v>160</v>
      </c>
      <c r="DG32" s="160">
        <v>0</v>
      </c>
      <c r="DH32" s="118">
        <v>0</v>
      </c>
      <c r="DI32" s="118">
        <v>0</v>
      </c>
      <c r="DJ32" s="213" t="s">
        <v>160</v>
      </c>
      <c r="DK32" s="160">
        <v>0</v>
      </c>
      <c r="DL32" s="118">
        <v>0</v>
      </c>
      <c r="DM32" s="118">
        <v>0</v>
      </c>
      <c r="DN32" s="213" t="s">
        <v>160</v>
      </c>
      <c r="DO32" s="160">
        <v>0</v>
      </c>
      <c r="DP32" s="118">
        <v>0</v>
      </c>
      <c r="DQ32" s="118">
        <v>0</v>
      </c>
      <c r="DR32" s="213" t="s">
        <v>160</v>
      </c>
      <c r="DS32" s="160">
        <v>0</v>
      </c>
      <c r="DT32" s="118">
        <v>0</v>
      </c>
      <c r="DU32" s="118">
        <v>0</v>
      </c>
      <c r="DV32" s="213" t="s">
        <v>160</v>
      </c>
      <c r="DW32" s="160">
        <v>0</v>
      </c>
      <c r="DX32" s="118">
        <v>0</v>
      </c>
      <c r="DY32" s="118">
        <v>0</v>
      </c>
      <c r="DZ32" s="213" t="s">
        <v>160</v>
      </c>
      <c r="EA32" s="160">
        <v>0</v>
      </c>
      <c r="EB32" s="118">
        <v>0</v>
      </c>
      <c r="EC32" s="118">
        <v>0</v>
      </c>
      <c r="ED32" s="213" t="s">
        <v>160</v>
      </c>
      <c r="EE32" s="160">
        <v>0</v>
      </c>
      <c r="EF32" s="118">
        <v>0</v>
      </c>
      <c r="EG32" s="118">
        <v>0</v>
      </c>
      <c r="EH32" s="213" t="s">
        <v>160</v>
      </c>
      <c r="EI32" s="160">
        <v>0</v>
      </c>
      <c r="EJ32" s="118">
        <v>0</v>
      </c>
      <c r="EK32" s="118">
        <v>0</v>
      </c>
      <c r="EL32" s="213" t="s">
        <v>160</v>
      </c>
      <c r="EM32" s="160">
        <v>0</v>
      </c>
      <c r="EN32" s="118">
        <v>0</v>
      </c>
      <c r="EO32" s="118">
        <v>0</v>
      </c>
      <c r="EP32" s="213" t="s">
        <v>160</v>
      </c>
      <c r="EQ32" s="160">
        <v>0</v>
      </c>
      <c r="ER32" s="118">
        <v>0</v>
      </c>
      <c r="ES32" s="118">
        <v>0</v>
      </c>
      <c r="ET32" s="213" t="s">
        <v>160</v>
      </c>
      <c r="EU32" s="160">
        <v>0</v>
      </c>
      <c r="EV32" s="118">
        <v>0</v>
      </c>
      <c r="EW32" s="118">
        <v>0</v>
      </c>
      <c r="EX32" s="213" t="s">
        <v>160</v>
      </c>
      <c r="EY32" s="160">
        <v>0</v>
      </c>
      <c r="EZ32" s="118">
        <v>0</v>
      </c>
      <c r="FA32" s="118">
        <v>0</v>
      </c>
      <c r="FB32" s="213" t="s">
        <v>160</v>
      </c>
      <c r="FC32" s="160">
        <v>0</v>
      </c>
      <c r="FD32" s="118">
        <v>0</v>
      </c>
      <c r="FE32" s="118">
        <v>0</v>
      </c>
      <c r="FF32" s="213" t="s">
        <v>160</v>
      </c>
      <c r="FG32" s="160">
        <v>0</v>
      </c>
      <c r="FH32" s="118">
        <v>0</v>
      </c>
      <c r="FI32" s="118">
        <v>0</v>
      </c>
      <c r="FJ32" s="213" t="s">
        <v>160</v>
      </c>
      <c r="FK32" s="160">
        <v>0</v>
      </c>
      <c r="FL32" s="118">
        <v>0</v>
      </c>
      <c r="FM32" s="118">
        <v>0</v>
      </c>
      <c r="FN32" s="213" t="s">
        <v>160</v>
      </c>
      <c r="FO32" s="211" t="s">
        <v>160</v>
      </c>
      <c r="FP32" s="211" t="s">
        <v>160</v>
      </c>
      <c r="FQ32" s="211" t="s">
        <v>160</v>
      </c>
      <c r="FR32" s="213" t="s">
        <v>160</v>
      </c>
      <c r="FS32" s="211" t="s">
        <v>160</v>
      </c>
      <c r="FT32" s="211" t="s">
        <v>160</v>
      </c>
      <c r="FU32" s="211" t="s">
        <v>160</v>
      </c>
      <c r="FV32" s="213" t="s">
        <v>160</v>
      </c>
      <c r="FW32" s="160">
        <v>0</v>
      </c>
      <c r="FX32" s="118" t="s">
        <v>160</v>
      </c>
      <c r="FY32" s="118">
        <v>0</v>
      </c>
      <c r="FZ32" s="118">
        <v>0</v>
      </c>
      <c r="GA32" s="118" t="s">
        <v>160</v>
      </c>
      <c r="GB32" s="213">
        <f t="shared" si="60"/>
        <v>0</v>
      </c>
      <c r="GC32" s="160">
        <v>0</v>
      </c>
      <c r="GD32" s="118" t="s">
        <v>160</v>
      </c>
      <c r="GE32" s="118">
        <v>0</v>
      </c>
      <c r="GF32" s="118">
        <v>0</v>
      </c>
      <c r="GG32" s="118" t="s">
        <v>160</v>
      </c>
      <c r="GH32" s="213">
        <f>SUM(GB32:GG32)</f>
        <v>0</v>
      </c>
      <c r="GI32" s="211">
        <v>0</v>
      </c>
      <c r="GJ32" s="211" t="s">
        <v>160</v>
      </c>
      <c r="GK32" s="211">
        <v>0</v>
      </c>
      <c r="GL32" s="211">
        <v>0</v>
      </c>
      <c r="GM32" s="211" t="s">
        <v>160</v>
      </c>
      <c r="GN32" s="211">
        <v>0</v>
      </c>
      <c r="GO32" s="160">
        <v>0</v>
      </c>
      <c r="GP32" s="118" t="s">
        <v>160</v>
      </c>
      <c r="GQ32" s="118">
        <v>0</v>
      </c>
      <c r="GR32" s="118">
        <v>0</v>
      </c>
      <c r="GS32" s="118" t="s">
        <v>160</v>
      </c>
      <c r="GT32" s="213">
        <f t="shared" si="56"/>
        <v>0</v>
      </c>
      <c r="GU32" s="160">
        <v>0</v>
      </c>
      <c r="GV32" s="118" t="s">
        <v>160</v>
      </c>
      <c r="GW32" s="118">
        <v>0</v>
      </c>
      <c r="GX32" s="118">
        <v>0</v>
      </c>
      <c r="GY32" s="118" t="s">
        <v>160</v>
      </c>
      <c r="GZ32" s="213">
        <f t="shared" si="57"/>
        <v>0</v>
      </c>
      <c r="HA32" s="160">
        <v>0</v>
      </c>
      <c r="HB32" s="118" t="s">
        <v>160</v>
      </c>
      <c r="HC32" s="118">
        <v>0</v>
      </c>
      <c r="HD32" s="118">
        <v>0</v>
      </c>
      <c r="HE32" s="118" t="s">
        <v>160</v>
      </c>
      <c r="HF32" s="213">
        <f t="shared" si="58"/>
        <v>0</v>
      </c>
    </row>
    <row r="33" spans="3:214" x14ac:dyDescent="0.2">
      <c r="C33" t="s">
        <v>252</v>
      </c>
      <c r="D33" t="s">
        <v>252</v>
      </c>
      <c r="F33" s="129" t="s">
        <v>252</v>
      </c>
      <c r="G33" s="160">
        <v>0</v>
      </c>
      <c r="H33" s="118">
        <v>0</v>
      </c>
      <c r="I33" s="161">
        <v>6364</v>
      </c>
      <c r="J33" s="160">
        <v>0</v>
      </c>
      <c r="K33" s="118">
        <v>0</v>
      </c>
      <c r="L33" s="118">
        <v>0</v>
      </c>
      <c r="M33" s="118">
        <v>0</v>
      </c>
      <c r="N33" s="161">
        <v>6364</v>
      </c>
      <c r="O33" s="160">
        <v>0</v>
      </c>
      <c r="P33" s="118">
        <v>0</v>
      </c>
      <c r="Q33" s="118">
        <v>0</v>
      </c>
      <c r="R33" s="118">
        <v>0</v>
      </c>
      <c r="S33" s="118">
        <v>0</v>
      </c>
      <c r="T33" s="161">
        <v>6364</v>
      </c>
      <c r="U33" s="160">
        <v>0</v>
      </c>
      <c r="V33" s="118">
        <v>0</v>
      </c>
      <c r="W33" s="118">
        <v>0</v>
      </c>
      <c r="X33" s="118">
        <v>0</v>
      </c>
      <c r="Y33" s="118">
        <v>0</v>
      </c>
      <c r="Z33" s="161">
        <v>6364</v>
      </c>
      <c r="AA33" s="176">
        <v>0</v>
      </c>
      <c r="AB33" s="118">
        <v>0</v>
      </c>
      <c r="AC33" s="118">
        <v>0</v>
      </c>
      <c r="AD33" s="161">
        <v>6364</v>
      </c>
      <c r="AE33" s="160">
        <v>0</v>
      </c>
      <c r="AF33" s="118">
        <v>0</v>
      </c>
      <c r="AG33" s="118">
        <v>0</v>
      </c>
      <c r="AH33" s="161">
        <v>6364</v>
      </c>
      <c r="AI33" s="160">
        <v>0</v>
      </c>
      <c r="AJ33" s="118">
        <v>0</v>
      </c>
      <c r="AK33" s="118">
        <v>0</v>
      </c>
      <c r="AL33" s="161">
        <v>6364</v>
      </c>
      <c r="AM33" s="160">
        <v>0</v>
      </c>
      <c r="AN33" s="118">
        <v>0</v>
      </c>
      <c r="AO33" s="118">
        <v>0</v>
      </c>
      <c r="AP33" s="161">
        <v>6364</v>
      </c>
      <c r="AQ33" s="160">
        <v>0</v>
      </c>
      <c r="AR33" s="118">
        <v>0</v>
      </c>
      <c r="AS33" s="118">
        <v>0</v>
      </c>
      <c r="AT33" s="161">
        <f t="shared" si="49"/>
        <v>6364</v>
      </c>
      <c r="AU33" s="160">
        <v>0</v>
      </c>
      <c r="AV33" s="118">
        <v>0</v>
      </c>
      <c r="AW33" s="118">
        <v>0</v>
      </c>
      <c r="AX33" s="161">
        <f t="shared" si="50"/>
        <v>6364</v>
      </c>
      <c r="AY33" s="160">
        <v>0</v>
      </c>
      <c r="AZ33" s="118">
        <v>0</v>
      </c>
      <c r="BA33" s="118">
        <v>0</v>
      </c>
      <c r="BB33" s="161">
        <f t="shared" si="51"/>
        <v>6364</v>
      </c>
      <c r="BC33" s="118">
        <v>0</v>
      </c>
      <c r="BD33" s="118">
        <v>0</v>
      </c>
      <c r="BE33" s="118">
        <v>0</v>
      </c>
      <c r="BF33" s="118">
        <v>6364</v>
      </c>
      <c r="BG33" s="160">
        <v>0</v>
      </c>
      <c r="BH33" s="118">
        <v>0</v>
      </c>
      <c r="BI33" s="161">
        <v>6364</v>
      </c>
      <c r="BJ33" s="118">
        <v>0</v>
      </c>
      <c r="BK33" s="118">
        <v>0</v>
      </c>
      <c r="BL33" s="118">
        <v>0</v>
      </c>
      <c r="BM33" s="118">
        <v>6364</v>
      </c>
      <c r="BN33" s="160">
        <v>0</v>
      </c>
      <c r="BO33" s="118">
        <v>0</v>
      </c>
      <c r="BP33" s="118">
        <v>0</v>
      </c>
      <c r="BQ33" s="213">
        <f t="shared" si="52"/>
        <v>6364</v>
      </c>
      <c r="BR33" s="160">
        <v>0</v>
      </c>
      <c r="BS33" s="118">
        <v>0</v>
      </c>
      <c r="BT33" s="118">
        <v>0</v>
      </c>
      <c r="BU33" s="213">
        <f t="shared" si="53"/>
        <v>6364</v>
      </c>
      <c r="BV33" s="160">
        <v>0</v>
      </c>
      <c r="BW33" s="118">
        <v>0</v>
      </c>
      <c r="BX33" s="118">
        <v>0</v>
      </c>
      <c r="BY33" s="213">
        <f t="shared" si="54"/>
        <v>6364</v>
      </c>
      <c r="BZ33" s="160">
        <v>0</v>
      </c>
      <c r="CA33" s="118">
        <v>0</v>
      </c>
      <c r="CB33" s="118">
        <v>0</v>
      </c>
      <c r="CC33" s="213">
        <f t="shared" si="55"/>
        <v>6364</v>
      </c>
      <c r="CD33" s="160">
        <v>0</v>
      </c>
      <c r="CE33" s="118">
        <v>0</v>
      </c>
      <c r="CF33" s="118">
        <v>0</v>
      </c>
      <c r="CG33" s="213">
        <f t="shared" si="59"/>
        <v>6364</v>
      </c>
      <c r="CH33" s="160">
        <v>0</v>
      </c>
      <c r="CI33" s="118">
        <v>0</v>
      </c>
      <c r="CJ33" s="118">
        <v>0</v>
      </c>
      <c r="CK33" s="213">
        <f>SUM(CG33:CJ33)</f>
        <v>6364</v>
      </c>
      <c r="CL33" s="211">
        <v>0</v>
      </c>
      <c r="CM33" s="211">
        <v>0</v>
      </c>
      <c r="CN33" s="213">
        <f>SUM(CK33:CM33)</f>
        <v>6364</v>
      </c>
      <c r="CO33" s="160">
        <v>0</v>
      </c>
      <c r="CP33" s="118">
        <v>0</v>
      </c>
      <c r="CQ33" s="213">
        <f>SUM(CN33:CP33)</f>
        <v>6364</v>
      </c>
      <c r="CR33" s="160">
        <v>0</v>
      </c>
      <c r="CS33" s="118">
        <v>0</v>
      </c>
      <c r="CT33" s="213">
        <v>6364</v>
      </c>
      <c r="CU33" s="160">
        <v>0</v>
      </c>
      <c r="CV33" s="118">
        <v>0</v>
      </c>
      <c r="CW33" s="118">
        <v>0</v>
      </c>
      <c r="CX33" s="213">
        <v>6364</v>
      </c>
      <c r="CY33" s="160">
        <v>0</v>
      </c>
      <c r="CZ33" s="118">
        <v>0</v>
      </c>
      <c r="DA33" s="118">
        <v>0</v>
      </c>
      <c r="DB33" s="213">
        <v>6364</v>
      </c>
      <c r="DC33" s="160">
        <v>0</v>
      </c>
      <c r="DD33" s="118">
        <v>0</v>
      </c>
      <c r="DE33" s="118">
        <v>0</v>
      </c>
      <c r="DF33" s="213">
        <f>SUM(DB33:DD33)</f>
        <v>6364</v>
      </c>
      <c r="DG33" s="160">
        <v>0</v>
      </c>
      <c r="DH33" s="118">
        <v>0</v>
      </c>
      <c r="DI33" s="118">
        <v>0</v>
      </c>
      <c r="DJ33" s="213">
        <f>SUM(DF33:DH33)</f>
        <v>6364</v>
      </c>
      <c r="DK33" s="160">
        <v>0</v>
      </c>
      <c r="DL33" s="118">
        <v>0</v>
      </c>
      <c r="DM33" s="118">
        <v>0</v>
      </c>
      <c r="DN33" s="213">
        <f>SUM(DJ33:DL33)</f>
        <v>6364</v>
      </c>
      <c r="DO33" s="160">
        <v>0</v>
      </c>
      <c r="DP33" s="118">
        <v>0</v>
      </c>
      <c r="DQ33" s="118">
        <v>0</v>
      </c>
      <c r="DR33" s="213">
        <f>SUM(DN33:DP33)</f>
        <v>6364</v>
      </c>
      <c r="DS33" s="160">
        <v>0</v>
      </c>
      <c r="DT33" s="118">
        <v>0</v>
      </c>
      <c r="DU33" s="118">
        <v>0</v>
      </c>
      <c r="DV33" s="213">
        <f>SUM(DR33:DT33)</f>
        <v>6364</v>
      </c>
      <c r="DW33" s="160">
        <v>0</v>
      </c>
      <c r="DX33" s="118">
        <v>0</v>
      </c>
      <c r="DY33" s="118">
        <v>0</v>
      </c>
      <c r="DZ33" s="213">
        <v>6364</v>
      </c>
      <c r="EA33" s="160">
        <v>0</v>
      </c>
      <c r="EB33" s="118">
        <v>0</v>
      </c>
      <c r="EC33" s="118">
        <v>0</v>
      </c>
      <c r="ED33" s="213">
        <f>SUM(DZ33:EB33)</f>
        <v>6364</v>
      </c>
      <c r="EE33" s="160">
        <v>0</v>
      </c>
      <c r="EF33" s="118">
        <v>0</v>
      </c>
      <c r="EG33" s="118">
        <v>0</v>
      </c>
      <c r="EH33" s="213">
        <f>SUM(ED33:EG33)</f>
        <v>6364</v>
      </c>
      <c r="EI33" s="160">
        <v>0</v>
      </c>
      <c r="EJ33" s="118">
        <v>0</v>
      </c>
      <c r="EK33" s="118">
        <v>-1</v>
      </c>
      <c r="EL33" s="213">
        <f>SUM(EH33:EK33)</f>
        <v>6363</v>
      </c>
      <c r="EM33" s="160">
        <v>0</v>
      </c>
      <c r="EN33" s="118">
        <v>0</v>
      </c>
      <c r="EO33" s="118">
        <v>1</v>
      </c>
      <c r="EP33" s="213">
        <f>SUM(EL33:EO33)</f>
        <v>6364</v>
      </c>
      <c r="EQ33" s="160">
        <v>0</v>
      </c>
      <c r="ER33" s="118">
        <v>0</v>
      </c>
      <c r="ES33" s="118">
        <v>0</v>
      </c>
      <c r="ET33" s="213">
        <f>SUM(EP33:ES33)</f>
        <v>6364</v>
      </c>
      <c r="EU33" s="160">
        <v>0</v>
      </c>
      <c r="EV33" s="118">
        <v>0</v>
      </c>
      <c r="EW33" s="118">
        <v>0</v>
      </c>
      <c r="EX33" s="213">
        <f>SUM(ET33:EW33)</f>
        <v>6364</v>
      </c>
      <c r="EY33" s="160">
        <v>0</v>
      </c>
      <c r="EZ33" s="118">
        <v>0</v>
      </c>
      <c r="FA33" s="118">
        <v>0</v>
      </c>
      <c r="FB33" s="213">
        <f>SUM(EX33:FA33)</f>
        <v>6364</v>
      </c>
      <c r="FC33" s="160">
        <v>0</v>
      </c>
      <c r="FD33" s="118">
        <v>0</v>
      </c>
      <c r="FE33" s="118">
        <v>0</v>
      </c>
      <c r="FF33" s="213">
        <f>SUM(FB33:FE33)</f>
        <v>6364</v>
      </c>
      <c r="FG33" s="160">
        <v>0</v>
      </c>
      <c r="FH33" s="118">
        <v>0</v>
      </c>
      <c r="FI33" s="118">
        <v>0</v>
      </c>
      <c r="FJ33" s="213">
        <f>SUM(FF33:FI33)</f>
        <v>6364</v>
      </c>
      <c r="FK33" s="160">
        <v>0</v>
      </c>
      <c r="FL33" s="118">
        <v>0</v>
      </c>
      <c r="FM33" s="118">
        <v>0</v>
      </c>
      <c r="FN33" s="213">
        <f>SUM(FJ33:FM33)</f>
        <v>6364</v>
      </c>
      <c r="FO33" s="211" t="s">
        <v>160</v>
      </c>
      <c r="FP33" s="211" t="s">
        <v>160</v>
      </c>
      <c r="FQ33" s="211" t="s">
        <v>160</v>
      </c>
      <c r="FR33" s="213">
        <f>SUM(FN33:FQ33)</f>
        <v>6364</v>
      </c>
      <c r="FS33" s="211" t="s">
        <v>160</v>
      </c>
      <c r="FT33" s="211" t="s">
        <v>160</v>
      </c>
      <c r="FU33" s="211" t="s">
        <v>160</v>
      </c>
      <c r="FV33" s="213">
        <f>SUM(FR33:FU33)</f>
        <v>6364</v>
      </c>
      <c r="FW33" s="160">
        <v>0</v>
      </c>
      <c r="FX33" s="118" t="s">
        <v>160</v>
      </c>
      <c r="FY33" s="118">
        <v>0</v>
      </c>
      <c r="FZ33" s="118">
        <v>0</v>
      </c>
      <c r="GA33" s="118" t="s">
        <v>160</v>
      </c>
      <c r="GB33" s="213">
        <f>SUM(FV33:GA33)</f>
        <v>6364</v>
      </c>
      <c r="GC33" s="160">
        <v>0</v>
      </c>
      <c r="GD33" s="118" t="s">
        <v>160</v>
      </c>
      <c r="GE33" s="118">
        <v>0</v>
      </c>
      <c r="GF33" s="118">
        <v>0</v>
      </c>
      <c r="GG33" s="118" t="s">
        <v>160</v>
      </c>
      <c r="GH33" s="213">
        <f>SUM(GB33:GG33)</f>
        <v>6364</v>
      </c>
      <c r="GI33" s="211">
        <v>0</v>
      </c>
      <c r="GJ33" s="211" t="s">
        <v>160</v>
      </c>
      <c r="GK33" s="211">
        <v>0</v>
      </c>
      <c r="GL33" s="211">
        <v>0</v>
      </c>
      <c r="GM33" s="211" t="s">
        <v>160</v>
      </c>
      <c r="GN33" s="211">
        <v>6364</v>
      </c>
      <c r="GO33" s="160">
        <v>0</v>
      </c>
      <c r="GP33" s="118" t="s">
        <v>160</v>
      </c>
      <c r="GQ33" s="118">
        <v>0</v>
      </c>
      <c r="GR33" s="118">
        <v>0</v>
      </c>
      <c r="GS33" s="118" t="s">
        <v>160</v>
      </c>
      <c r="GT33" s="213">
        <f t="shared" si="56"/>
        <v>6364</v>
      </c>
      <c r="GU33" s="160">
        <v>0</v>
      </c>
      <c r="GV33" s="118" t="s">
        <v>160</v>
      </c>
      <c r="GW33" s="118">
        <v>0</v>
      </c>
      <c r="GX33" s="118">
        <v>0</v>
      </c>
      <c r="GY33" s="118" t="s">
        <v>160</v>
      </c>
      <c r="GZ33" s="213">
        <f t="shared" si="57"/>
        <v>6364</v>
      </c>
      <c r="HA33" s="160">
        <v>0</v>
      </c>
      <c r="HB33" s="118" t="s">
        <v>160</v>
      </c>
      <c r="HC33" s="118">
        <v>0</v>
      </c>
      <c r="HD33" s="118">
        <v>0</v>
      </c>
      <c r="HE33" s="118" t="s">
        <v>160</v>
      </c>
      <c r="HF33" s="213">
        <f t="shared" si="58"/>
        <v>6364</v>
      </c>
    </row>
    <row r="34" spans="3:214" x14ac:dyDescent="0.2">
      <c r="C34" s="232" t="s">
        <v>1353</v>
      </c>
      <c r="D34" s="232" t="s">
        <v>1353</v>
      </c>
      <c r="F34" s="129" t="s">
        <v>1353</v>
      </c>
      <c r="G34" s="160">
        <v>0</v>
      </c>
      <c r="H34" s="118">
        <v>0</v>
      </c>
      <c r="I34" s="161">
        <v>0</v>
      </c>
      <c r="J34" s="160">
        <v>0</v>
      </c>
      <c r="K34" s="118">
        <v>0</v>
      </c>
      <c r="L34" s="118">
        <v>0</v>
      </c>
      <c r="M34" s="118">
        <v>0</v>
      </c>
      <c r="N34" s="161">
        <v>0</v>
      </c>
      <c r="O34" s="160">
        <v>0</v>
      </c>
      <c r="P34" s="118">
        <v>0</v>
      </c>
      <c r="Q34" s="118">
        <v>0</v>
      </c>
      <c r="R34" s="118">
        <v>0</v>
      </c>
      <c r="S34" s="118">
        <v>0</v>
      </c>
      <c r="T34" s="161">
        <v>0</v>
      </c>
      <c r="U34" s="160">
        <v>0</v>
      </c>
      <c r="V34" s="118">
        <v>0</v>
      </c>
      <c r="W34" s="118">
        <v>0</v>
      </c>
      <c r="X34" s="118">
        <v>0</v>
      </c>
      <c r="Y34" s="118">
        <v>0</v>
      </c>
      <c r="Z34" s="161">
        <v>0</v>
      </c>
      <c r="AA34" s="176">
        <v>0</v>
      </c>
      <c r="AB34" s="118">
        <v>0</v>
      </c>
      <c r="AC34" s="118">
        <v>0</v>
      </c>
      <c r="AD34" s="161">
        <v>0</v>
      </c>
      <c r="AE34" s="160">
        <v>0</v>
      </c>
      <c r="AF34" s="118">
        <v>0</v>
      </c>
      <c r="AG34" s="118">
        <v>0</v>
      </c>
      <c r="AH34" s="161">
        <v>0</v>
      </c>
      <c r="AI34" s="160">
        <v>0</v>
      </c>
      <c r="AJ34" s="118">
        <v>0</v>
      </c>
      <c r="AK34" s="118">
        <v>0</v>
      </c>
      <c r="AL34" s="161">
        <v>0</v>
      </c>
      <c r="AM34" s="160">
        <v>0</v>
      </c>
      <c r="AN34" s="118">
        <v>0</v>
      </c>
      <c r="AO34" s="118">
        <v>0</v>
      </c>
      <c r="AP34" s="161">
        <v>0</v>
      </c>
      <c r="AQ34" s="160">
        <v>0</v>
      </c>
      <c r="AR34" s="118">
        <v>0</v>
      </c>
      <c r="AS34" s="118">
        <v>0</v>
      </c>
      <c r="AT34" s="161">
        <v>0</v>
      </c>
      <c r="AU34" s="160">
        <v>0</v>
      </c>
      <c r="AV34" s="118">
        <v>0</v>
      </c>
      <c r="AW34" s="118">
        <v>0</v>
      </c>
      <c r="AX34" s="161">
        <v>0</v>
      </c>
      <c r="AY34" s="160">
        <v>0</v>
      </c>
      <c r="AZ34" s="118">
        <v>0</v>
      </c>
      <c r="BA34" s="118">
        <v>0</v>
      </c>
      <c r="BB34" s="161">
        <v>0</v>
      </c>
      <c r="BC34" s="118">
        <v>0</v>
      </c>
      <c r="BD34" s="118">
        <v>0</v>
      </c>
      <c r="BE34" s="118">
        <v>0</v>
      </c>
      <c r="BF34" s="118">
        <v>0</v>
      </c>
      <c r="BG34" s="160">
        <v>0</v>
      </c>
      <c r="BH34" s="118">
        <v>0</v>
      </c>
      <c r="BI34" s="161">
        <v>0</v>
      </c>
      <c r="BJ34" s="118">
        <v>0</v>
      </c>
      <c r="BK34" s="118">
        <v>0</v>
      </c>
      <c r="BL34" s="118">
        <v>0</v>
      </c>
      <c r="BM34" s="118">
        <v>0</v>
      </c>
      <c r="BN34" s="160">
        <v>0</v>
      </c>
      <c r="BO34" s="118">
        <v>0</v>
      </c>
      <c r="BP34" s="118">
        <v>0</v>
      </c>
      <c r="BQ34" s="213">
        <v>0</v>
      </c>
      <c r="BR34" s="160">
        <v>0</v>
      </c>
      <c r="BS34" s="118">
        <v>0</v>
      </c>
      <c r="BT34" s="118">
        <v>0</v>
      </c>
      <c r="BU34" s="213">
        <v>0</v>
      </c>
      <c r="BV34" s="160">
        <v>0</v>
      </c>
      <c r="BW34" s="118">
        <v>0</v>
      </c>
      <c r="BX34" s="118">
        <v>0</v>
      </c>
      <c r="BY34" s="213">
        <v>0</v>
      </c>
      <c r="BZ34" s="160">
        <v>0</v>
      </c>
      <c r="CA34" s="118">
        <v>0</v>
      </c>
      <c r="CB34" s="118">
        <v>0</v>
      </c>
      <c r="CC34" s="213">
        <v>0</v>
      </c>
      <c r="CD34" s="160">
        <v>0</v>
      </c>
      <c r="CE34" s="118">
        <v>0</v>
      </c>
      <c r="CF34" s="118">
        <v>0</v>
      </c>
      <c r="CG34" s="213">
        <v>0</v>
      </c>
      <c r="CH34" s="160">
        <v>0</v>
      </c>
      <c r="CI34" s="118">
        <v>0</v>
      </c>
      <c r="CJ34" s="118">
        <v>0</v>
      </c>
      <c r="CK34" s="213">
        <v>0</v>
      </c>
      <c r="CL34" s="211">
        <v>0</v>
      </c>
      <c r="CM34" s="211">
        <v>0</v>
      </c>
      <c r="CN34" s="213">
        <v>0</v>
      </c>
      <c r="CO34" s="160">
        <v>0</v>
      </c>
      <c r="CP34" s="118">
        <v>0</v>
      </c>
      <c r="CQ34" s="213">
        <v>0</v>
      </c>
      <c r="CR34" s="160">
        <v>0</v>
      </c>
      <c r="CS34" s="118">
        <v>0</v>
      </c>
      <c r="CT34" s="213">
        <v>0</v>
      </c>
      <c r="CU34" s="160">
        <v>0</v>
      </c>
      <c r="CV34" s="118">
        <v>0</v>
      </c>
      <c r="CW34" s="118">
        <v>0</v>
      </c>
      <c r="CX34" s="213">
        <v>0</v>
      </c>
      <c r="CY34" s="160">
        <v>0</v>
      </c>
      <c r="CZ34" s="118">
        <v>0</v>
      </c>
      <c r="DA34" s="118">
        <v>0</v>
      </c>
      <c r="DB34" s="213">
        <v>0</v>
      </c>
      <c r="DC34" s="160">
        <v>0</v>
      </c>
      <c r="DD34" s="118">
        <v>0</v>
      </c>
      <c r="DE34" s="118">
        <v>0</v>
      </c>
      <c r="DF34" s="213">
        <v>0</v>
      </c>
      <c r="DG34" s="160">
        <v>0</v>
      </c>
      <c r="DH34" s="118">
        <v>0</v>
      </c>
      <c r="DI34" s="118">
        <v>0</v>
      </c>
      <c r="DJ34" s="213">
        <v>0</v>
      </c>
      <c r="DK34" s="160">
        <v>0</v>
      </c>
      <c r="DL34" s="118">
        <v>0</v>
      </c>
      <c r="DM34" s="118">
        <v>0</v>
      </c>
      <c r="DN34" s="213">
        <v>0</v>
      </c>
      <c r="DO34" s="160">
        <v>0</v>
      </c>
      <c r="DP34" s="118">
        <v>0</v>
      </c>
      <c r="DQ34" s="118">
        <v>0</v>
      </c>
      <c r="DR34" s="213">
        <v>0</v>
      </c>
      <c r="DS34" s="160">
        <v>0</v>
      </c>
      <c r="DT34" s="118">
        <v>0</v>
      </c>
      <c r="DU34" s="118">
        <v>0</v>
      </c>
      <c r="DV34" s="213">
        <v>0</v>
      </c>
      <c r="DW34" s="160">
        <v>0</v>
      </c>
      <c r="DX34" s="118">
        <v>0</v>
      </c>
      <c r="DY34" s="118">
        <v>0</v>
      </c>
      <c r="DZ34" s="213">
        <v>0</v>
      </c>
      <c r="EA34" s="160">
        <v>0</v>
      </c>
      <c r="EB34" s="118">
        <v>0</v>
      </c>
      <c r="EC34" s="118">
        <v>0</v>
      </c>
      <c r="ED34" s="213">
        <v>0</v>
      </c>
      <c r="EE34" s="160">
        <v>0</v>
      </c>
      <c r="EF34" s="118">
        <v>0</v>
      </c>
      <c r="EG34" s="118">
        <v>0</v>
      </c>
      <c r="EH34" s="213">
        <v>0</v>
      </c>
      <c r="EI34" s="160">
        <v>0</v>
      </c>
      <c r="EJ34" s="118">
        <v>0</v>
      </c>
      <c r="EK34" s="118">
        <v>0</v>
      </c>
      <c r="EL34" s="213">
        <v>0</v>
      </c>
      <c r="EM34" s="160">
        <v>0</v>
      </c>
      <c r="EN34" s="118">
        <v>0</v>
      </c>
      <c r="EO34" s="118">
        <v>0</v>
      </c>
      <c r="EP34" s="213">
        <v>0</v>
      </c>
      <c r="EQ34" s="160">
        <v>0</v>
      </c>
      <c r="ER34" s="118">
        <v>0</v>
      </c>
      <c r="ES34" s="118">
        <v>0</v>
      </c>
      <c r="ET34" s="213">
        <v>0</v>
      </c>
      <c r="EU34" s="160">
        <v>0</v>
      </c>
      <c r="EV34" s="118">
        <v>0</v>
      </c>
      <c r="EW34" s="118">
        <v>0</v>
      </c>
      <c r="EX34" s="213">
        <v>0</v>
      </c>
      <c r="EY34" s="160">
        <v>0</v>
      </c>
      <c r="EZ34" s="118">
        <v>0</v>
      </c>
      <c r="FA34" s="118">
        <v>0</v>
      </c>
      <c r="FB34" s="213">
        <v>0</v>
      </c>
      <c r="FC34" s="160">
        <v>0</v>
      </c>
      <c r="FD34" s="118">
        <v>0</v>
      </c>
      <c r="FE34" s="118">
        <v>0</v>
      </c>
      <c r="FF34" s="213">
        <v>0</v>
      </c>
      <c r="FG34" s="160">
        <v>0</v>
      </c>
      <c r="FH34" s="118">
        <v>0</v>
      </c>
      <c r="FI34" s="118">
        <v>0</v>
      </c>
      <c r="FJ34" s="213">
        <v>0</v>
      </c>
      <c r="FK34" s="160">
        <v>0</v>
      </c>
      <c r="FL34" s="118">
        <v>0</v>
      </c>
      <c r="FM34" s="118">
        <v>0</v>
      </c>
      <c r="FN34" s="213">
        <v>0</v>
      </c>
      <c r="FO34" s="211">
        <v>0</v>
      </c>
      <c r="FP34" s="211">
        <v>0</v>
      </c>
      <c r="FQ34" s="211">
        <v>0</v>
      </c>
      <c r="FR34" s="213">
        <v>0</v>
      </c>
      <c r="FS34" s="211">
        <v>0</v>
      </c>
      <c r="FT34" s="211">
        <v>0</v>
      </c>
      <c r="FU34" s="211">
        <v>0</v>
      </c>
      <c r="FV34" s="213">
        <v>0</v>
      </c>
      <c r="FW34" s="160">
        <v>0</v>
      </c>
      <c r="FX34" s="118">
        <v>0</v>
      </c>
      <c r="FY34" s="118">
        <v>0</v>
      </c>
      <c r="FZ34" s="118">
        <v>0</v>
      </c>
      <c r="GA34" s="118">
        <v>0</v>
      </c>
      <c r="GB34" s="213">
        <v>0</v>
      </c>
      <c r="GC34" s="160">
        <v>0</v>
      </c>
      <c r="GD34" s="118">
        <v>0</v>
      </c>
      <c r="GE34" s="118">
        <v>0</v>
      </c>
      <c r="GF34" s="118">
        <v>0</v>
      </c>
      <c r="GG34" s="118">
        <v>0</v>
      </c>
      <c r="GH34" s="213">
        <v>0</v>
      </c>
      <c r="GI34" s="211">
        <v>0</v>
      </c>
      <c r="GJ34" s="211">
        <v>0</v>
      </c>
      <c r="GK34" s="211">
        <v>0</v>
      </c>
      <c r="GL34" s="211">
        <v>0</v>
      </c>
      <c r="GM34" s="211">
        <v>0</v>
      </c>
      <c r="GN34" s="211">
        <v>0</v>
      </c>
      <c r="GO34" s="160">
        <v>12983</v>
      </c>
      <c r="GP34" s="118" t="s">
        <v>160</v>
      </c>
      <c r="GQ34" s="118">
        <v>0</v>
      </c>
      <c r="GR34" s="118">
        <v>0</v>
      </c>
      <c r="GS34" s="118" t="s">
        <v>160</v>
      </c>
      <c r="GT34" s="213">
        <f t="shared" si="56"/>
        <v>12983</v>
      </c>
      <c r="GU34" s="160">
        <v>0</v>
      </c>
      <c r="GV34" s="118" t="s">
        <v>160</v>
      </c>
      <c r="GW34" s="118">
        <v>0</v>
      </c>
      <c r="GX34" s="118">
        <v>0</v>
      </c>
      <c r="GY34" s="118" t="s">
        <v>160</v>
      </c>
      <c r="GZ34" s="213">
        <f t="shared" si="57"/>
        <v>12983</v>
      </c>
      <c r="HA34" s="160">
        <v>0</v>
      </c>
      <c r="HB34" s="118" t="s">
        <v>160</v>
      </c>
      <c r="HC34" s="118">
        <v>0</v>
      </c>
      <c r="HD34" s="118">
        <v>0</v>
      </c>
      <c r="HE34" s="118" t="s">
        <v>160</v>
      </c>
      <c r="HF34" s="213">
        <f t="shared" si="58"/>
        <v>12983</v>
      </c>
    </row>
    <row r="35" spans="3:214" x14ac:dyDescent="0.2">
      <c r="C35" t="s">
        <v>254</v>
      </c>
      <c r="D35" t="s">
        <v>254</v>
      </c>
      <c r="F35" s="129" t="s">
        <v>254</v>
      </c>
      <c r="G35" s="160">
        <v>0</v>
      </c>
      <c r="H35" s="118">
        <v>0</v>
      </c>
      <c r="I35" s="161">
        <v>36</v>
      </c>
      <c r="J35" s="160">
        <v>0</v>
      </c>
      <c r="K35" s="118">
        <v>0</v>
      </c>
      <c r="L35" s="118">
        <v>0</v>
      </c>
      <c r="M35" s="118">
        <v>0</v>
      </c>
      <c r="N35" s="161">
        <v>36</v>
      </c>
      <c r="O35" s="160">
        <v>0</v>
      </c>
      <c r="P35" s="118">
        <v>0</v>
      </c>
      <c r="Q35" s="118">
        <v>0</v>
      </c>
      <c r="R35" s="118">
        <v>0</v>
      </c>
      <c r="S35" s="118">
        <v>0</v>
      </c>
      <c r="T35" s="161">
        <v>36</v>
      </c>
      <c r="U35" s="160">
        <v>0</v>
      </c>
      <c r="V35" s="118">
        <v>0</v>
      </c>
      <c r="W35" s="118">
        <v>0</v>
      </c>
      <c r="X35" s="118">
        <v>0</v>
      </c>
      <c r="Y35" s="118">
        <v>0</v>
      </c>
      <c r="Z35" s="161">
        <v>36</v>
      </c>
      <c r="AA35" s="176">
        <v>0</v>
      </c>
      <c r="AB35" s="118">
        <v>0</v>
      </c>
      <c r="AC35" s="118">
        <v>0</v>
      </c>
      <c r="AD35" s="161">
        <v>36</v>
      </c>
      <c r="AE35" s="160">
        <v>0</v>
      </c>
      <c r="AF35" s="118">
        <v>0</v>
      </c>
      <c r="AG35" s="118">
        <v>0</v>
      </c>
      <c r="AH35" s="161">
        <v>36</v>
      </c>
      <c r="AI35" s="160">
        <v>0</v>
      </c>
      <c r="AJ35" s="118">
        <v>0</v>
      </c>
      <c r="AK35" s="118">
        <v>0</v>
      </c>
      <c r="AL35" s="161">
        <v>36</v>
      </c>
      <c r="AM35" s="160">
        <v>0</v>
      </c>
      <c r="AN35" s="118">
        <v>0</v>
      </c>
      <c r="AO35" s="118">
        <v>0</v>
      </c>
      <c r="AP35" s="161">
        <v>36</v>
      </c>
      <c r="AQ35" s="160">
        <v>0</v>
      </c>
      <c r="AR35" s="118">
        <v>0</v>
      </c>
      <c r="AS35" s="118">
        <v>0</v>
      </c>
      <c r="AT35" s="161">
        <f t="shared" si="49"/>
        <v>36</v>
      </c>
      <c r="AU35" s="160">
        <v>0</v>
      </c>
      <c r="AV35" s="118">
        <v>0</v>
      </c>
      <c r="AW35" s="118">
        <v>0</v>
      </c>
      <c r="AX35" s="161">
        <f t="shared" si="50"/>
        <v>36</v>
      </c>
      <c r="AY35" s="160">
        <v>0</v>
      </c>
      <c r="AZ35" s="118">
        <v>0</v>
      </c>
      <c r="BA35" s="118">
        <v>0</v>
      </c>
      <c r="BB35" s="161">
        <f t="shared" si="51"/>
        <v>36</v>
      </c>
      <c r="BC35" s="118">
        <v>0</v>
      </c>
      <c r="BD35" s="118">
        <v>0</v>
      </c>
      <c r="BE35" s="118">
        <v>0</v>
      </c>
      <c r="BF35" s="118">
        <v>36</v>
      </c>
      <c r="BG35" s="160">
        <v>0</v>
      </c>
      <c r="BH35" s="118">
        <v>0</v>
      </c>
      <c r="BI35" s="161">
        <v>36</v>
      </c>
      <c r="BJ35" s="118">
        <v>0</v>
      </c>
      <c r="BK35" s="118">
        <v>0</v>
      </c>
      <c r="BL35" s="118">
        <v>0</v>
      </c>
      <c r="BM35" s="118">
        <v>36</v>
      </c>
      <c r="BN35" s="160">
        <v>0</v>
      </c>
      <c r="BO35" s="118">
        <v>0</v>
      </c>
      <c r="BP35" s="118">
        <v>0</v>
      </c>
      <c r="BQ35" s="213">
        <f t="shared" si="52"/>
        <v>36</v>
      </c>
      <c r="BR35" s="160">
        <v>0</v>
      </c>
      <c r="BS35" s="118">
        <v>0</v>
      </c>
      <c r="BT35" s="118">
        <v>0</v>
      </c>
      <c r="BU35" s="213">
        <f t="shared" si="53"/>
        <v>36</v>
      </c>
      <c r="BV35" s="160">
        <v>0</v>
      </c>
      <c r="BW35" s="118">
        <v>0</v>
      </c>
      <c r="BX35" s="118">
        <v>-36</v>
      </c>
      <c r="BY35" s="213">
        <f t="shared" si="54"/>
        <v>0</v>
      </c>
      <c r="BZ35" s="160">
        <v>0</v>
      </c>
      <c r="CA35" s="118">
        <v>0</v>
      </c>
      <c r="CB35" s="118">
        <v>0</v>
      </c>
      <c r="CC35" s="213">
        <f t="shared" si="55"/>
        <v>0</v>
      </c>
      <c r="CD35" s="160">
        <v>0</v>
      </c>
      <c r="CE35" s="118">
        <v>0</v>
      </c>
      <c r="CF35" s="118">
        <v>0</v>
      </c>
      <c r="CG35" s="213">
        <f t="shared" si="59"/>
        <v>0</v>
      </c>
      <c r="CH35" s="160">
        <v>0</v>
      </c>
      <c r="CI35" s="118">
        <v>0</v>
      </c>
      <c r="CJ35" s="118">
        <v>0</v>
      </c>
      <c r="CK35" s="213"/>
      <c r="CL35" s="211">
        <v>0</v>
      </c>
      <c r="CM35" s="211">
        <v>0</v>
      </c>
      <c r="CN35" s="213" t="s">
        <v>160</v>
      </c>
      <c r="CO35" s="160">
        <v>0</v>
      </c>
      <c r="CP35" s="118">
        <v>0</v>
      </c>
      <c r="CQ35" s="213" t="s">
        <v>160</v>
      </c>
      <c r="CR35" s="160">
        <v>0</v>
      </c>
      <c r="CS35" s="118">
        <v>0</v>
      </c>
      <c r="CT35" s="213" t="s">
        <v>160</v>
      </c>
      <c r="CU35" s="160">
        <v>0</v>
      </c>
      <c r="CV35" s="118">
        <v>0</v>
      </c>
      <c r="CW35" s="118">
        <v>0</v>
      </c>
      <c r="CX35" s="213" t="s">
        <v>160</v>
      </c>
      <c r="CY35" s="160">
        <v>0</v>
      </c>
      <c r="CZ35" s="118">
        <v>0</v>
      </c>
      <c r="DA35" s="118">
        <v>0</v>
      </c>
      <c r="DB35" s="213" t="s">
        <v>160</v>
      </c>
      <c r="DC35" s="160">
        <v>0</v>
      </c>
      <c r="DD35" s="118">
        <v>0</v>
      </c>
      <c r="DE35" s="118">
        <v>0</v>
      </c>
      <c r="DF35" s="213" t="s">
        <v>160</v>
      </c>
      <c r="DG35" s="160">
        <v>0</v>
      </c>
      <c r="DH35" s="118">
        <v>0</v>
      </c>
      <c r="DI35" s="118">
        <v>0</v>
      </c>
      <c r="DJ35" s="213" t="s">
        <v>160</v>
      </c>
      <c r="DK35" s="160">
        <v>0</v>
      </c>
      <c r="DL35" s="118">
        <v>0</v>
      </c>
      <c r="DM35" s="118">
        <v>0</v>
      </c>
      <c r="DN35" s="213" t="s">
        <v>160</v>
      </c>
      <c r="DO35" s="160">
        <v>0</v>
      </c>
      <c r="DP35" s="118">
        <v>0</v>
      </c>
      <c r="DQ35" s="118">
        <v>0</v>
      </c>
      <c r="DR35" s="213" t="s">
        <v>160</v>
      </c>
      <c r="DS35" s="160">
        <v>0</v>
      </c>
      <c r="DT35" s="118">
        <v>0</v>
      </c>
      <c r="DU35" s="118">
        <v>0</v>
      </c>
      <c r="DV35" s="213" t="s">
        <v>160</v>
      </c>
      <c r="DW35" s="160">
        <v>0</v>
      </c>
      <c r="DX35" s="118">
        <v>0</v>
      </c>
      <c r="DY35" s="118">
        <v>0</v>
      </c>
      <c r="DZ35" s="213" t="s">
        <v>160</v>
      </c>
      <c r="EA35" s="160">
        <v>0</v>
      </c>
      <c r="EB35" s="118">
        <v>0</v>
      </c>
      <c r="EC35" s="118">
        <v>0</v>
      </c>
      <c r="ED35" s="213" t="s">
        <v>160</v>
      </c>
      <c r="EE35" s="160">
        <v>0</v>
      </c>
      <c r="EF35" s="118">
        <v>0</v>
      </c>
      <c r="EG35" s="118">
        <v>0</v>
      </c>
      <c r="EH35" s="213" t="s">
        <v>160</v>
      </c>
      <c r="EI35" s="160">
        <v>0</v>
      </c>
      <c r="EJ35" s="118">
        <v>0</v>
      </c>
      <c r="EK35" s="118">
        <v>0</v>
      </c>
      <c r="EL35" s="213" t="s">
        <v>160</v>
      </c>
      <c r="EM35" s="160">
        <v>0</v>
      </c>
      <c r="EN35" s="118">
        <v>0</v>
      </c>
      <c r="EO35" s="118">
        <v>0</v>
      </c>
      <c r="EP35" s="213" t="s">
        <v>160</v>
      </c>
      <c r="EQ35" s="160">
        <v>0</v>
      </c>
      <c r="ER35" s="118">
        <v>0</v>
      </c>
      <c r="ES35" s="118">
        <v>0</v>
      </c>
      <c r="ET35" s="213" t="s">
        <v>160</v>
      </c>
      <c r="EU35" s="160">
        <v>0</v>
      </c>
      <c r="EV35" s="118">
        <v>0</v>
      </c>
      <c r="EW35" s="118">
        <v>0</v>
      </c>
      <c r="EX35" s="213" t="s">
        <v>160</v>
      </c>
      <c r="EY35" s="160">
        <v>0</v>
      </c>
      <c r="EZ35" s="118">
        <v>0</v>
      </c>
      <c r="FA35" s="118">
        <v>0</v>
      </c>
      <c r="FB35" s="213" t="s">
        <v>160</v>
      </c>
      <c r="FC35" s="160">
        <v>0</v>
      </c>
      <c r="FD35" s="118">
        <v>0</v>
      </c>
      <c r="FE35" s="118">
        <v>0</v>
      </c>
      <c r="FF35" s="213" t="s">
        <v>160</v>
      </c>
      <c r="FG35" s="160">
        <v>0</v>
      </c>
      <c r="FH35" s="118">
        <v>0</v>
      </c>
      <c r="FI35" s="118">
        <v>0</v>
      </c>
      <c r="FJ35" s="213" t="s">
        <v>160</v>
      </c>
      <c r="FK35" s="160">
        <v>0</v>
      </c>
      <c r="FL35" s="118">
        <v>0</v>
      </c>
      <c r="FM35" s="118">
        <v>0</v>
      </c>
      <c r="FN35" s="213" t="s">
        <v>160</v>
      </c>
      <c r="FO35" s="211" t="s">
        <v>160</v>
      </c>
      <c r="FP35" s="211" t="s">
        <v>160</v>
      </c>
      <c r="FQ35" s="211" t="s">
        <v>160</v>
      </c>
      <c r="FR35" s="213" t="s">
        <v>160</v>
      </c>
      <c r="FS35" s="211" t="s">
        <v>160</v>
      </c>
      <c r="FT35" s="211" t="s">
        <v>160</v>
      </c>
      <c r="FU35" s="211" t="s">
        <v>160</v>
      </c>
      <c r="FV35" s="213" t="s">
        <v>160</v>
      </c>
      <c r="FW35" s="160">
        <v>0</v>
      </c>
      <c r="FX35" s="118" t="s">
        <v>160</v>
      </c>
      <c r="FY35" s="118">
        <v>0</v>
      </c>
      <c r="FZ35" s="118">
        <v>0</v>
      </c>
      <c r="GA35" s="118" t="s">
        <v>160</v>
      </c>
      <c r="GB35" s="213">
        <f t="shared" si="60"/>
        <v>0</v>
      </c>
      <c r="GC35" s="160">
        <v>0</v>
      </c>
      <c r="GD35" s="118" t="s">
        <v>160</v>
      </c>
      <c r="GE35" s="118">
        <v>0</v>
      </c>
      <c r="GF35" s="118">
        <v>0</v>
      </c>
      <c r="GG35" s="118" t="s">
        <v>160</v>
      </c>
      <c r="GH35" s="213">
        <f>SUM(FP35:GF35)</f>
        <v>0</v>
      </c>
      <c r="GI35" s="211">
        <v>0</v>
      </c>
      <c r="GJ35" s="211" t="s">
        <v>160</v>
      </c>
      <c r="GK35" s="211">
        <v>0</v>
      </c>
      <c r="GL35" s="211">
        <v>0</v>
      </c>
      <c r="GM35" s="211" t="s">
        <v>160</v>
      </c>
      <c r="GN35" s="211">
        <v>0</v>
      </c>
      <c r="GO35" s="160">
        <v>0</v>
      </c>
      <c r="GP35" s="118" t="s">
        <v>160</v>
      </c>
      <c r="GQ35" s="118">
        <v>0</v>
      </c>
      <c r="GR35" s="118">
        <v>0</v>
      </c>
      <c r="GS35" s="118" t="s">
        <v>160</v>
      </c>
      <c r="GT35" s="213">
        <f t="shared" si="56"/>
        <v>0</v>
      </c>
      <c r="GU35" s="160">
        <v>0</v>
      </c>
      <c r="GV35" s="118" t="s">
        <v>160</v>
      </c>
      <c r="GW35" s="118">
        <v>0</v>
      </c>
      <c r="GX35" s="118">
        <v>0</v>
      </c>
      <c r="GY35" s="118" t="s">
        <v>160</v>
      </c>
      <c r="GZ35" s="213">
        <f t="shared" si="57"/>
        <v>0</v>
      </c>
      <c r="HA35" s="160">
        <v>0</v>
      </c>
      <c r="HB35" s="118" t="s">
        <v>160</v>
      </c>
      <c r="HC35" s="118">
        <v>0</v>
      </c>
      <c r="HD35" s="118">
        <v>0</v>
      </c>
      <c r="HE35" s="118" t="s">
        <v>160</v>
      </c>
      <c r="HF35" s="213">
        <f t="shared" si="58"/>
        <v>0</v>
      </c>
    </row>
    <row r="36" spans="3:214" ht="25.5" x14ac:dyDescent="0.2">
      <c r="F36" s="129" t="s">
        <v>749</v>
      </c>
      <c r="G36" s="160"/>
      <c r="H36" s="118"/>
      <c r="I36" s="161"/>
      <c r="J36" s="160"/>
      <c r="K36" s="118"/>
      <c r="L36" s="118"/>
      <c r="M36" s="118"/>
      <c r="N36" s="161"/>
      <c r="O36" s="160"/>
      <c r="P36" s="118"/>
      <c r="Q36" s="118"/>
      <c r="R36" s="118"/>
      <c r="S36" s="118"/>
      <c r="T36" s="161"/>
      <c r="U36" s="160"/>
      <c r="V36" s="118"/>
      <c r="W36" s="118"/>
      <c r="X36" s="118"/>
      <c r="Y36" s="118"/>
      <c r="Z36" s="161"/>
      <c r="AA36" s="176"/>
      <c r="AB36" s="118"/>
      <c r="AC36" s="118"/>
      <c r="AD36" s="161"/>
      <c r="AE36" s="160"/>
      <c r="AF36" s="118"/>
      <c r="AG36" s="118"/>
      <c r="AH36" s="161"/>
      <c r="AI36" s="160"/>
      <c r="AJ36" s="118"/>
      <c r="AK36" s="118"/>
      <c r="AL36" s="161"/>
      <c r="AM36" s="160"/>
      <c r="AN36" s="118"/>
      <c r="AO36" s="118"/>
      <c r="AP36" s="161"/>
      <c r="AQ36" s="160" t="s">
        <v>160</v>
      </c>
      <c r="AR36" s="118" t="s">
        <v>160</v>
      </c>
      <c r="AS36" s="118" t="s">
        <v>160</v>
      </c>
      <c r="AT36" s="161" t="s">
        <v>160</v>
      </c>
      <c r="AU36" s="160" t="s">
        <v>160</v>
      </c>
      <c r="AV36" s="118" t="s">
        <v>160</v>
      </c>
      <c r="AW36" s="118" t="s">
        <v>160</v>
      </c>
      <c r="AX36" s="161" t="s">
        <v>160</v>
      </c>
      <c r="AY36" s="160" t="s">
        <v>160</v>
      </c>
      <c r="AZ36" s="118" t="s">
        <v>160</v>
      </c>
      <c r="BA36" s="118" t="s">
        <v>160</v>
      </c>
      <c r="BB36" s="161" t="s">
        <v>160</v>
      </c>
      <c r="BC36" s="118" t="s">
        <v>160</v>
      </c>
      <c r="BD36" s="118" t="s">
        <v>160</v>
      </c>
      <c r="BE36" s="118" t="s">
        <v>160</v>
      </c>
      <c r="BF36" s="118" t="s">
        <v>160</v>
      </c>
      <c r="BG36" s="160" t="s">
        <v>160</v>
      </c>
      <c r="BH36" s="118" t="s">
        <v>160</v>
      </c>
      <c r="BI36" s="161" t="s">
        <v>160</v>
      </c>
      <c r="BJ36" s="118" t="s">
        <v>160</v>
      </c>
      <c r="BK36" s="118" t="s">
        <v>160</v>
      </c>
      <c r="BL36" s="118" t="s">
        <v>160</v>
      </c>
      <c r="BM36" s="118" t="s">
        <v>160</v>
      </c>
      <c r="BN36" s="160" t="s">
        <v>160</v>
      </c>
      <c r="BO36" s="118" t="s">
        <v>160</v>
      </c>
      <c r="BP36" s="118" t="s">
        <v>160</v>
      </c>
      <c r="BQ36" s="213" t="s">
        <v>160</v>
      </c>
      <c r="BR36" s="160" t="s">
        <v>160</v>
      </c>
      <c r="BS36" s="118" t="s">
        <v>160</v>
      </c>
      <c r="BT36" s="118" t="s">
        <v>160</v>
      </c>
      <c r="BU36" s="213" t="s">
        <v>160</v>
      </c>
      <c r="BV36" s="160">
        <v>16693</v>
      </c>
      <c r="BW36" s="118" t="s">
        <v>160</v>
      </c>
      <c r="BX36" s="118" t="s">
        <v>160</v>
      </c>
      <c r="BY36" s="213">
        <f t="shared" si="54"/>
        <v>16693</v>
      </c>
      <c r="BZ36" s="160">
        <v>0</v>
      </c>
      <c r="CA36" s="118" t="s">
        <v>160</v>
      </c>
      <c r="CB36" s="118" t="s">
        <v>160</v>
      </c>
      <c r="CC36" s="213">
        <f t="shared" si="55"/>
        <v>16693</v>
      </c>
      <c r="CD36" s="160">
        <v>0</v>
      </c>
      <c r="CE36" s="118" t="s">
        <v>160</v>
      </c>
      <c r="CF36" s="118" t="s">
        <v>160</v>
      </c>
      <c r="CG36" s="213">
        <f t="shared" si="59"/>
        <v>16693</v>
      </c>
      <c r="CH36" s="160">
        <v>0</v>
      </c>
      <c r="CI36" s="118">
        <v>0</v>
      </c>
      <c r="CJ36" s="118">
        <v>0</v>
      </c>
      <c r="CK36" s="213">
        <v>0</v>
      </c>
      <c r="CL36" s="211">
        <v>0</v>
      </c>
      <c r="CM36" s="211">
        <v>0</v>
      </c>
      <c r="CN36" s="213">
        <f>SUM(CJ36:CM36)</f>
        <v>0</v>
      </c>
      <c r="CO36" s="160">
        <v>0</v>
      </c>
      <c r="CP36" s="118">
        <v>0</v>
      </c>
      <c r="CQ36" s="213">
        <f>SUM(CM36:CP36)</f>
        <v>0</v>
      </c>
      <c r="CR36" s="160">
        <v>0</v>
      </c>
      <c r="CS36" s="118">
        <v>0</v>
      </c>
      <c r="CT36" s="213">
        <f>SUM(CP36:CS36)</f>
        <v>0</v>
      </c>
      <c r="CU36" s="160">
        <v>0</v>
      </c>
      <c r="CV36" s="118">
        <v>0</v>
      </c>
      <c r="CW36" s="118">
        <v>0</v>
      </c>
      <c r="CX36" s="213">
        <f>SUM(CT36:CW36)</f>
        <v>0</v>
      </c>
      <c r="CY36" s="160">
        <v>0</v>
      </c>
      <c r="CZ36" s="118">
        <v>0</v>
      </c>
      <c r="DA36" s="118">
        <v>0</v>
      </c>
      <c r="DB36" s="213">
        <v>0</v>
      </c>
      <c r="DC36" s="160">
        <v>0</v>
      </c>
      <c r="DD36" s="118">
        <v>0</v>
      </c>
      <c r="DE36" s="118">
        <v>0</v>
      </c>
      <c r="DF36" s="213">
        <v>0</v>
      </c>
      <c r="DG36" s="160">
        <v>0</v>
      </c>
      <c r="DH36" s="118">
        <v>0</v>
      </c>
      <c r="DI36" s="118">
        <v>0</v>
      </c>
      <c r="DJ36" s="213">
        <v>0</v>
      </c>
      <c r="DK36" s="160">
        <v>0</v>
      </c>
      <c r="DL36" s="118">
        <v>0</v>
      </c>
      <c r="DM36" s="118">
        <v>0</v>
      </c>
      <c r="DN36" s="213">
        <v>0</v>
      </c>
      <c r="DO36" s="160">
        <v>0</v>
      </c>
      <c r="DP36" s="118">
        <v>0</v>
      </c>
      <c r="DQ36" s="118">
        <v>0</v>
      </c>
      <c r="DR36" s="213">
        <v>0</v>
      </c>
      <c r="DS36" s="160">
        <v>0</v>
      </c>
      <c r="DT36" s="118">
        <v>0</v>
      </c>
      <c r="DU36" s="118">
        <v>0</v>
      </c>
      <c r="DV36" s="213">
        <v>0</v>
      </c>
      <c r="DW36" s="160">
        <v>0</v>
      </c>
      <c r="DX36" s="118">
        <v>0</v>
      </c>
      <c r="DY36" s="118">
        <v>0</v>
      </c>
      <c r="DZ36" s="213">
        <v>0</v>
      </c>
      <c r="EA36" s="160">
        <v>0</v>
      </c>
      <c r="EB36" s="118">
        <v>0</v>
      </c>
      <c r="EC36" s="118">
        <v>0</v>
      </c>
      <c r="ED36" s="213">
        <v>0</v>
      </c>
      <c r="EE36" s="160">
        <v>0</v>
      </c>
      <c r="EF36" s="118">
        <v>0</v>
      </c>
      <c r="EG36" s="118">
        <v>0</v>
      </c>
      <c r="EH36" s="213">
        <v>0</v>
      </c>
      <c r="EI36" s="160">
        <v>0</v>
      </c>
      <c r="EJ36" s="118">
        <v>0</v>
      </c>
      <c r="EK36" s="118">
        <v>0</v>
      </c>
      <c r="EL36" s="213">
        <v>0</v>
      </c>
      <c r="EM36" s="160">
        <v>0</v>
      </c>
      <c r="EN36" s="118">
        <v>0</v>
      </c>
      <c r="EO36" s="118">
        <v>0</v>
      </c>
      <c r="EP36" s="213">
        <v>0</v>
      </c>
      <c r="EQ36" s="160">
        <v>0</v>
      </c>
      <c r="ER36" s="118">
        <v>0</v>
      </c>
      <c r="ES36" s="118">
        <v>0</v>
      </c>
      <c r="ET36" s="213">
        <v>0</v>
      </c>
      <c r="EU36" s="160">
        <v>0</v>
      </c>
      <c r="EV36" s="118">
        <v>0</v>
      </c>
      <c r="EW36" s="118">
        <v>0</v>
      </c>
      <c r="EX36" s="213">
        <v>0</v>
      </c>
      <c r="EY36" s="160">
        <v>0</v>
      </c>
      <c r="EZ36" s="118">
        <v>0</v>
      </c>
      <c r="FA36" s="118">
        <v>0</v>
      </c>
      <c r="FB36" s="213">
        <v>0</v>
      </c>
      <c r="FC36" s="160">
        <v>0</v>
      </c>
      <c r="FD36" s="118">
        <v>0</v>
      </c>
      <c r="FE36" s="118">
        <v>0</v>
      </c>
      <c r="FF36" s="213">
        <v>0</v>
      </c>
      <c r="FG36" s="160">
        <v>0</v>
      </c>
      <c r="FH36" s="118">
        <v>0</v>
      </c>
      <c r="FI36" s="118">
        <v>0</v>
      </c>
      <c r="FJ36" s="213">
        <v>0</v>
      </c>
      <c r="FK36" s="160">
        <v>0</v>
      </c>
      <c r="FL36" s="118">
        <v>0</v>
      </c>
      <c r="FM36" s="118">
        <v>0</v>
      </c>
      <c r="FN36" s="213">
        <v>0</v>
      </c>
      <c r="FO36" s="211" t="s">
        <v>160</v>
      </c>
      <c r="FP36" s="211" t="s">
        <v>160</v>
      </c>
      <c r="FQ36" s="211" t="s">
        <v>160</v>
      </c>
      <c r="FR36" s="213">
        <v>0</v>
      </c>
      <c r="FS36" s="211" t="s">
        <v>160</v>
      </c>
      <c r="FT36" s="211" t="s">
        <v>160</v>
      </c>
      <c r="FU36" s="211" t="s">
        <v>160</v>
      </c>
      <c r="FV36" s="213">
        <v>0</v>
      </c>
      <c r="FW36" s="160">
        <v>0</v>
      </c>
      <c r="FX36" s="118" t="s">
        <v>160</v>
      </c>
      <c r="FY36" s="118">
        <v>0</v>
      </c>
      <c r="FZ36" s="118">
        <v>0</v>
      </c>
      <c r="GA36" s="118" t="s">
        <v>160</v>
      </c>
      <c r="GB36" s="213">
        <f t="shared" si="60"/>
        <v>0</v>
      </c>
      <c r="GC36" s="160">
        <v>0</v>
      </c>
      <c r="GD36" s="118" t="s">
        <v>160</v>
      </c>
      <c r="GE36" s="118">
        <v>0</v>
      </c>
      <c r="GF36" s="118">
        <v>0</v>
      </c>
      <c r="GG36" s="118" t="s">
        <v>160</v>
      </c>
      <c r="GH36" s="213">
        <f>SUM(FP36:GF36)</f>
        <v>0</v>
      </c>
      <c r="GI36" s="211">
        <v>0</v>
      </c>
      <c r="GJ36" s="211" t="s">
        <v>160</v>
      </c>
      <c r="GK36" s="211">
        <v>0</v>
      </c>
      <c r="GL36" s="211">
        <v>0</v>
      </c>
      <c r="GM36" s="211" t="s">
        <v>160</v>
      </c>
      <c r="GN36" s="211">
        <v>0</v>
      </c>
      <c r="GO36" s="160">
        <v>0</v>
      </c>
      <c r="GP36" s="118" t="s">
        <v>160</v>
      </c>
      <c r="GQ36" s="118">
        <v>0</v>
      </c>
      <c r="GR36" s="118">
        <v>0</v>
      </c>
      <c r="GS36" s="118" t="s">
        <v>160</v>
      </c>
      <c r="GT36" s="213">
        <f t="shared" si="56"/>
        <v>0</v>
      </c>
      <c r="GU36" s="160">
        <v>0</v>
      </c>
      <c r="GV36" s="118" t="s">
        <v>160</v>
      </c>
      <c r="GW36" s="118">
        <v>0</v>
      </c>
      <c r="GX36" s="118">
        <v>0</v>
      </c>
      <c r="GY36" s="118" t="s">
        <v>160</v>
      </c>
      <c r="GZ36" s="213">
        <f t="shared" si="57"/>
        <v>0</v>
      </c>
      <c r="HA36" s="160">
        <v>0</v>
      </c>
      <c r="HB36" s="118" t="s">
        <v>160</v>
      </c>
      <c r="HC36" s="118">
        <v>0</v>
      </c>
      <c r="HD36" s="118">
        <v>0</v>
      </c>
      <c r="HE36" s="118" t="s">
        <v>160</v>
      </c>
      <c r="HF36" s="213">
        <f t="shared" si="58"/>
        <v>0</v>
      </c>
    </row>
    <row r="37" spans="3:214" x14ac:dyDescent="0.2">
      <c r="C37" t="s">
        <v>259</v>
      </c>
      <c r="D37" t="s">
        <v>662</v>
      </c>
      <c r="F37" s="120" t="s">
        <v>259</v>
      </c>
      <c r="G37" s="162">
        <f t="shared" ref="G37:BB37" si="61">SUM(G27:G35)</f>
        <v>0</v>
      </c>
      <c r="H37" s="120">
        <f t="shared" si="61"/>
        <v>0</v>
      </c>
      <c r="I37" s="163">
        <f t="shared" si="61"/>
        <v>234475</v>
      </c>
      <c r="J37" s="162">
        <f t="shared" si="61"/>
        <v>0</v>
      </c>
      <c r="K37" s="120">
        <f t="shared" si="61"/>
        <v>0</v>
      </c>
      <c r="L37" s="120">
        <f t="shared" si="61"/>
        <v>-11015</v>
      </c>
      <c r="M37" s="120">
        <f t="shared" si="61"/>
        <v>-59536</v>
      </c>
      <c r="N37" s="163">
        <f t="shared" si="61"/>
        <v>163924</v>
      </c>
      <c r="O37" s="162">
        <f t="shared" si="61"/>
        <v>0</v>
      </c>
      <c r="P37" s="120">
        <f t="shared" si="61"/>
        <v>0</v>
      </c>
      <c r="Q37" s="120">
        <f t="shared" si="61"/>
        <v>0</v>
      </c>
      <c r="R37" s="120">
        <f t="shared" si="61"/>
        <v>655</v>
      </c>
      <c r="S37" s="120">
        <f t="shared" si="61"/>
        <v>-655</v>
      </c>
      <c r="T37" s="163">
        <f t="shared" si="61"/>
        <v>163924</v>
      </c>
      <c r="U37" s="162">
        <f t="shared" si="61"/>
        <v>0</v>
      </c>
      <c r="V37" s="120">
        <f t="shared" si="61"/>
        <v>0</v>
      </c>
      <c r="W37" s="120">
        <f t="shared" si="61"/>
        <v>0</v>
      </c>
      <c r="X37" s="120">
        <f t="shared" si="61"/>
        <v>0</v>
      </c>
      <c r="Y37" s="120">
        <f t="shared" si="61"/>
        <v>0</v>
      </c>
      <c r="Z37" s="163">
        <f t="shared" si="61"/>
        <v>163924</v>
      </c>
      <c r="AA37" s="162">
        <f t="shared" si="61"/>
        <v>0</v>
      </c>
      <c r="AB37" s="120">
        <f t="shared" si="61"/>
        <v>0</v>
      </c>
      <c r="AC37" s="120">
        <f t="shared" si="61"/>
        <v>0</v>
      </c>
      <c r="AD37" s="163">
        <f t="shared" si="61"/>
        <v>163924</v>
      </c>
      <c r="AE37" s="162">
        <f t="shared" si="61"/>
        <v>0</v>
      </c>
      <c r="AF37" s="120">
        <f t="shared" si="61"/>
        <v>0</v>
      </c>
      <c r="AG37" s="120">
        <f t="shared" si="61"/>
        <v>0</v>
      </c>
      <c r="AH37" s="163">
        <f t="shared" si="61"/>
        <v>163924</v>
      </c>
      <c r="AI37" s="162">
        <f t="shared" si="61"/>
        <v>0</v>
      </c>
      <c r="AJ37" s="120">
        <f t="shared" si="61"/>
        <v>0</v>
      </c>
      <c r="AK37" s="120">
        <f t="shared" si="61"/>
        <v>0</v>
      </c>
      <c r="AL37" s="163">
        <f t="shared" si="61"/>
        <v>163924</v>
      </c>
      <c r="AM37" s="162">
        <f t="shared" si="61"/>
        <v>0</v>
      </c>
      <c r="AN37" s="120">
        <f t="shared" si="61"/>
        <v>0</v>
      </c>
      <c r="AO37" s="120">
        <f t="shared" si="61"/>
        <v>0</v>
      </c>
      <c r="AP37" s="163">
        <f t="shared" si="61"/>
        <v>163924</v>
      </c>
      <c r="AQ37" s="162">
        <f t="shared" si="61"/>
        <v>0</v>
      </c>
      <c r="AR37" s="120">
        <f t="shared" si="61"/>
        <v>0</v>
      </c>
      <c r="AS37" s="120">
        <f t="shared" si="61"/>
        <v>0</v>
      </c>
      <c r="AT37" s="163">
        <f t="shared" si="61"/>
        <v>163924</v>
      </c>
      <c r="AU37" s="162">
        <f t="shared" si="61"/>
        <v>0</v>
      </c>
      <c r="AV37" s="120">
        <f t="shared" si="61"/>
        <v>0</v>
      </c>
      <c r="AW37" s="120">
        <f t="shared" si="61"/>
        <v>0</v>
      </c>
      <c r="AX37" s="163">
        <f t="shared" si="61"/>
        <v>163924</v>
      </c>
      <c r="AY37" s="162">
        <f t="shared" si="61"/>
        <v>0</v>
      </c>
      <c r="AZ37" s="120">
        <f t="shared" si="61"/>
        <v>0</v>
      </c>
      <c r="BA37" s="120">
        <f t="shared" si="61"/>
        <v>0</v>
      </c>
      <c r="BB37" s="163">
        <f t="shared" si="61"/>
        <v>163924</v>
      </c>
      <c r="BC37" s="120">
        <v>0</v>
      </c>
      <c r="BD37" s="120">
        <v>0</v>
      </c>
      <c r="BE37" s="120">
        <v>0</v>
      </c>
      <c r="BF37" s="120">
        <v>163924</v>
      </c>
      <c r="BG37" s="162">
        <v>0</v>
      </c>
      <c r="BH37" s="120">
        <v>0</v>
      </c>
      <c r="BI37" s="163">
        <v>163924</v>
      </c>
      <c r="BJ37" s="120">
        <v>0</v>
      </c>
      <c r="BK37" s="120">
        <v>0</v>
      </c>
      <c r="BL37" s="120">
        <v>-1364.59871</v>
      </c>
      <c r="BM37" s="120">
        <v>162559.40129000001</v>
      </c>
      <c r="BN37" s="162">
        <f t="shared" ref="BN37:BU37" si="62">SUM(BN27:BN35)</f>
        <v>0</v>
      </c>
      <c r="BO37" s="120">
        <f t="shared" si="62"/>
        <v>0</v>
      </c>
      <c r="BP37" s="120">
        <f t="shared" si="62"/>
        <v>0</v>
      </c>
      <c r="BQ37" s="163">
        <f t="shared" si="62"/>
        <v>162559.40129000001</v>
      </c>
      <c r="BR37" s="162">
        <f t="shared" si="62"/>
        <v>0</v>
      </c>
      <c r="BS37" s="120">
        <f t="shared" si="62"/>
        <v>0</v>
      </c>
      <c r="BT37" s="120">
        <f t="shared" si="62"/>
        <v>-0.40129000000001724</v>
      </c>
      <c r="BU37" s="163">
        <f t="shared" si="62"/>
        <v>162559</v>
      </c>
      <c r="BV37" s="162">
        <f t="shared" ref="BV37:CM37" si="63">SUM(BV27:BV36)</f>
        <v>16693</v>
      </c>
      <c r="BW37" s="120">
        <f t="shared" si="63"/>
        <v>0</v>
      </c>
      <c r="BX37" s="120">
        <f t="shared" si="63"/>
        <v>-2527</v>
      </c>
      <c r="BY37" s="163">
        <f t="shared" si="63"/>
        <v>176725</v>
      </c>
      <c r="BZ37" s="162">
        <f t="shared" si="63"/>
        <v>0</v>
      </c>
      <c r="CA37" s="120">
        <f t="shared" si="63"/>
        <v>0</v>
      </c>
      <c r="CB37" s="120">
        <f t="shared" si="63"/>
        <v>0</v>
      </c>
      <c r="CC37" s="163">
        <f t="shared" si="63"/>
        <v>176725</v>
      </c>
      <c r="CD37" s="162">
        <f t="shared" si="63"/>
        <v>0</v>
      </c>
      <c r="CE37" s="120">
        <f t="shared" si="63"/>
        <v>0</v>
      </c>
      <c r="CF37" s="120">
        <f t="shared" si="63"/>
        <v>0</v>
      </c>
      <c r="CG37" s="163">
        <f t="shared" si="63"/>
        <v>176725</v>
      </c>
      <c r="CH37" s="162">
        <f t="shared" si="63"/>
        <v>0</v>
      </c>
      <c r="CI37" s="120">
        <f t="shared" si="63"/>
        <v>0</v>
      </c>
      <c r="CJ37" s="120">
        <f t="shared" si="63"/>
        <v>0</v>
      </c>
      <c r="CK37" s="163">
        <f t="shared" si="63"/>
        <v>160032</v>
      </c>
      <c r="CL37" s="162">
        <f t="shared" si="63"/>
        <v>0</v>
      </c>
      <c r="CM37" s="120">
        <f t="shared" si="63"/>
        <v>0</v>
      </c>
      <c r="CN37" s="163">
        <f>SUM(CN27:CN36)</f>
        <v>160032</v>
      </c>
      <c r="CO37" s="162"/>
      <c r="CP37" s="120"/>
      <c r="CQ37" s="163">
        <f>SUM(CQ27:CQ36)</f>
        <v>160032</v>
      </c>
      <c r="CR37" s="162">
        <v>0</v>
      </c>
      <c r="CS37" s="120">
        <v>0</v>
      </c>
      <c r="CT37" s="163">
        <f>SUM(CT27:CT36)</f>
        <v>160032</v>
      </c>
      <c r="CU37" s="162">
        <f t="shared" ref="CU37:EK37" si="64">SUM(CU27:CU36)</f>
        <v>0</v>
      </c>
      <c r="CV37" s="120">
        <f t="shared" si="64"/>
        <v>0</v>
      </c>
      <c r="CW37" s="120">
        <f t="shared" si="64"/>
        <v>0</v>
      </c>
      <c r="CX37" s="163">
        <f t="shared" si="64"/>
        <v>160032</v>
      </c>
      <c r="CY37" s="162">
        <f t="shared" si="64"/>
        <v>0</v>
      </c>
      <c r="CZ37" s="120">
        <f t="shared" si="64"/>
        <v>0</v>
      </c>
      <c r="DA37" s="120">
        <f t="shared" si="64"/>
        <v>0</v>
      </c>
      <c r="DB37" s="163">
        <f t="shared" si="64"/>
        <v>160032</v>
      </c>
      <c r="DC37" s="162">
        <f t="shared" si="64"/>
        <v>0</v>
      </c>
      <c r="DD37" s="120">
        <f t="shared" si="64"/>
        <v>0</v>
      </c>
      <c r="DE37" s="120">
        <f t="shared" si="64"/>
        <v>0</v>
      </c>
      <c r="DF37" s="163">
        <f t="shared" si="64"/>
        <v>160032</v>
      </c>
      <c r="DG37" s="162">
        <f t="shared" si="64"/>
        <v>0</v>
      </c>
      <c r="DH37" s="120">
        <f t="shared" si="64"/>
        <v>0</v>
      </c>
      <c r="DI37" s="120">
        <f t="shared" si="64"/>
        <v>0</v>
      </c>
      <c r="DJ37" s="163">
        <f t="shared" si="64"/>
        <v>160032</v>
      </c>
      <c r="DK37" s="162">
        <f t="shared" si="64"/>
        <v>0</v>
      </c>
      <c r="DL37" s="120">
        <f t="shared" si="64"/>
        <v>0</v>
      </c>
      <c r="DM37" s="120">
        <f t="shared" si="64"/>
        <v>0</v>
      </c>
      <c r="DN37" s="163">
        <f t="shared" si="64"/>
        <v>160032</v>
      </c>
      <c r="DO37" s="162">
        <f t="shared" si="64"/>
        <v>0</v>
      </c>
      <c r="DP37" s="120">
        <f t="shared" si="64"/>
        <v>0</v>
      </c>
      <c r="DQ37" s="120">
        <f t="shared" si="64"/>
        <v>0</v>
      </c>
      <c r="DR37" s="163">
        <f t="shared" si="64"/>
        <v>160032</v>
      </c>
      <c r="DS37" s="162">
        <f t="shared" si="64"/>
        <v>0</v>
      </c>
      <c r="DT37" s="120">
        <f t="shared" si="64"/>
        <v>0</v>
      </c>
      <c r="DU37" s="120">
        <f t="shared" si="64"/>
        <v>0</v>
      </c>
      <c r="DV37" s="163">
        <f t="shared" si="64"/>
        <v>160032</v>
      </c>
      <c r="DW37" s="162">
        <f t="shared" si="64"/>
        <v>0</v>
      </c>
      <c r="DX37" s="120">
        <f t="shared" si="64"/>
        <v>0</v>
      </c>
      <c r="DY37" s="120">
        <f t="shared" si="64"/>
        <v>0</v>
      </c>
      <c r="DZ37" s="163">
        <f t="shared" si="64"/>
        <v>160032</v>
      </c>
      <c r="EA37" s="162">
        <f t="shared" si="64"/>
        <v>0</v>
      </c>
      <c r="EB37" s="120">
        <f t="shared" si="64"/>
        <v>0</v>
      </c>
      <c r="EC37" s="120">
        <f t="shared" si="64"/>
        <v>0</v>
      </c>
      <c r="ED37" s="163">
        <f t="shared" si="64"/>
        <v>160032</v>
      </c>
      <c r="EE37" s="162">
        <f>SUM(EE27:EE36)</f>
        <v>0</v>
      </c>
      <c r="EF37" s="120">
        <f>SUM(EF27:EF36)</f>
        <v>0</v>
      </c>
      <c r="EG37" s="120">
        <f>SUM(EG27:EG36)</f>
        <v>0</v>
      </c>
      <c r="EH37" s="163">
        <f>SUM(ED37:EG37)</f>
        <v>160032</v>
      </c>
      <c r="EI37" s="162">
        <f t="shared" si="64"/>
        <v>0</v>
      </c>
      <c r="EJ37" s="120">
        <f t="shared" si="64"/>
        <v>0</v>
      </c>
      <c r="EK37" s="120">
        <f t="shared" si="64"/>
        <v>-2</v>
      </c>
      <c r="EL37" s="163">
        <f>SUM(EH37:EK37)</f>
        <v>160030</v>
      </c>
      <c r="EM37" s="162">
        <f>SUM(EM27:EM36)</f>
        <v>0</v>
      </c>
      <c r="EN37" s="120">
        <f>SUM(EN27:EN36)</f>
        <v>0</v>
      </c>
      <c r="EO37" s="120">
        <f>SUM(EO27:EO36)</f>
        <v>2</v>
      </c>
      <c r="EP37" s="163">
        <f>SUM(EL37:EO37)</f>
        <v>160032</v>
      </c>
      <c r="EQ37" s="162">
        <f>SUM(EQ27:EQ36)</f>
        <v>0</v>
      </c>
      <c r="ER37" s="120">
        <f>SUM(ER27:ER36)</f>
        <v>0</v>
      </c>
      <c r="ES37" s="120">
        <f>SUM(ES27:ES36)</f>
        <v>0</v>
      </c>
      <c r="ET37" s="163">
        <f>SUM(EP37:ES37)</f>
        <v>160032</v>
      </c>
      <c r="EU37" s="162">
        <f>SUM(EU27:EU36)</f>
        <v>0</v>
      </c>
      <c r="EV37" s="120">
        <f>SUM(EV27:EV36)</f>
        <v>0</v>
      </c>
      <c r="EW37" s="120">
        <f>SUM(EW27:EW36)</f>
        <v>0</v>
      </c>
      <c r="EX37" s="163">
        <f>SUM(ET37:EW37)</f>
        <v>160032</v>
      </c>
      <c r="EY37" s="162">
        <f>SUM(EY27:EY36)</f>
        <v>0</v>
      </c>
      <c r="EZ37" s="120">
        <f>SUM(EZ27:EZ36)</f>
        <v>0</v>
      </c>
      <c r="FA37" s="120">
        <f>SUM(FA27:FA36)</f>
        <v>0</v>
      </c>
      <c r="FB37" s="163">
        <f>SUM(EX37:FA37)</f>
        <v>160032</v>
      </c>
      <c r="FC37" s="162">
        <f>SUM(FC27:FC36)</f>
        <v>0</v>
      </c>
      <c r="FD37" s="120">
        <f>SUM(FD27:FD36)</f>
        <v>0</v>
      </c>
      <c r="FE37" s="120">
        <f>SUM(FE27:FE36)</f>
        <v>0</v>
      </c>
      <c r="FF37" s="163">
        <f>SUM(FB37:FE37)</f>
        <v>160032</v>
      </c>
      <c r="FG37" s="162">
        <f>SUM(FG27:FG36)</f>
        <v>0</v>
      </c>
      <c r="FH37" s="120">
        <f>SUM(FH27:FH36)</f>
        <v>0</v>
      </c>
      <c r="FI37" s="120">
        <f>SUM(FI27:FI36)</f>
        <v>0</v>
      </c>
      <c r="FJ37" s="163">
        <f>SUM(FF37:FI37)</f>
        <v>160032</v>
      </c>
      <c r="FK37" s="162">
        <f>SUM(FK27:FK36)</f>
        <v>0</v>
      </c>
      <c r="FL37" s="120">
        <f>SUM(FL27:FL36)</f>
        <v>0</v>
      </c>
      <c r="FM37" s="120">
        <f>SUM(FM27:FM36)</f>
        <v>0</v>
      </c>
      <c r="FN37" s="163">
        <f>SUM(FJ37:FM37)</f>
        <v>160032</v>
      </c>
      <c r="FO37" s="162">
        <f>SUM(FO27:FO36)</f>
        <v>0</v>
      </c>
      <c r="FP37" s="120">
        <f>SUM(FP27:FP36)</f>
        <v>0</v>
      </c>
      <c r="FQ37" s="120">
        <f>SUM(FQ27:FQ36)</f>
        <v>0</v>
      </c>
      <c r="FR37" s="163">
        <f>SUM(FN37:FQ37)</f>
        <v>160032</v>
      </c>
      <c r="FS37" s="162">
        <f>SUM(FS27:FS36)</f>
        <v>0</v>
      </c>
      <c r="FT37" s="120">
        <f>SUM(FT27:FT36)</f>
        <v>0</v>
      </c>
      <c r="FU37" s="120">
        <f>SUM(FU27:FU36)</f>
        <v>0</v>
      </c>
      <c r="FV37" s="163">
        <f>SUM(FR37:FU37)</f>
        <v>160032</v>
      </c>
      <c r="FW37" s="162">
        <f>SUM(FW27:FW36)</f>
        <v>0</v>
      </c>
      <c r="FX37" s="207" t="s">
        <v>160</v>
      </c>
      <c r="FY37" s="120">
        <f>SUM(FY27:FY36)</f>
        <v>0</v>
      </c>
      <c r="FZ37" s="120">
        <f>SUM(FZ27:FZ36)</f>
        <v>0</v>
      </c>
      <c r="GA37" s="207" t="s">
        <v>160</v>
      </c>
      <c r="GB37" s="163">
        <f>SUM(FV37:GA37)</f>
        <v>160032</v>
      </c>
      <c r="GC37" s="162">
        <f>SUM(GC27:GC36)</f>
        <v>0</v>
      </c>
      <c r="GD37" s="207" t="s">
        <v>160</v>
      </c>
      <c r="GE37" s="120">
        <f>SUM(GE27:GE36)</f>
        <v>0</v>
      </c>
      <c r="GF37" s="120">
        <f>SUM(GF27:GF36)</f>
        <v>0</v>
      </c>
      <c r="GG37" s="207" t="s">
        <v>160</v>
      </c>
      <c r="GH37" s="163">
        <f>SUM(GB37:GG37)</f>
        <v>160032</v>
      </c>
      <c r="GI37" s="162">
        <f>SUM(GI27:GI36)</f>
        <v>0</v>
      </c>
      <c r="GJ37" s="207" t="s">
        <v>160</v>
      </c>
      <c r="GK37" s="120">
        <f>SUM(GK27:GK36)</f>
        <v>0</v>
      </c>
      <c r="GL37" s="120">
        <f>SUM(GL27:GL36)</f>
        <v>0</v>
      </c>
      <c r="GM37" s="207" t="s">
        <v>160</v>
      </c>
      <c r="GN37" s="163">
        <f>SUM(GH37:GM37)</f>
        <v>160032</v>
      </c>
      <c r="GO37" s="162">
        <f>SUM(GO27:GO36)</f>
        <v>12983</v>
      </c>
      <c r="GP37" s="207" t="s">
        <v>160</v>
      </c>
      <c r="GQ37" s="120">
        <f>SUM(GQ27:GQ36)</f>
        <v>0</v>
      </c>
      <c r="GR37" s="120">
        <f>SUM(GR27:GR36)</f>
        <v>0</v>
      </c>
      <c r="GS37" s="207" t="s">
        <v>160</v>
      </c>
      <c r="GT37" s="163">
        <f>SUM(GN37:GS37)</f>
        <v>173015</v>
      </c>
      <c r="GU37" s="162">
        <f>SUM(GU27:GU36)</f>
        <v>0</v>
      </c>
      <c r="GV37" s="207" t="s">
        <v>160</v>
      </c>
      <c r="GW37" s="120">
        <f>SUM(GW27:GW36)</f>
        <v>0</v>
      </c>
      <c r="GX37" s="120">
        <f>SUM(GX27:GX36)</f>
        <v>0</v>
      </c>
      <c r="GY37" s="207" t="s">
        <v>160</v>
      </c>
      <c r="GZ37" s="163">
        <f>SUM(GT37:GY37)</f>
        <v>173015</v>
      </c>
      <c r="HA37" s="162">
        <f>SUM(HA27:HA36)</f>
        <v>0</v>
      </c>
      <c r="HB37" s="207" t="s">
        <v>160</v>
      </c>
      <c r="HC37" s="120">
        <f>SUM(HC27:HC36)</f>
        <v>0</v>
      </c>
      <c r="HD37" s="120">
        <f>SUM(HD27:HD36)</f>
        <v>0</v>
      </c>
      <c r="HE37" s="207" t="s">
        <v>160</v>
      </c>
      <c r="HF37" s="163">
        <f>SUM(GZ37:HE37)</f>
        <v>173015</v>
      </c>
    </row>
    <row r="38" spans="3:214" x14ac:dyDescent="0.2">
      <c r="C38" t="s">
        <v>271</v>
      </c>
      <c r="D38" t="s">
        <v>672</v>
      </c>
      <c r="F38" s="120" t="s">
        <v>271</v>
      </c>
      <c r="G38" s="164">
        <f t="shared" ref="G38:BB38" si="65">SUM(G37,G26,G18)</f>
        <v>851</v>
      </c>
      <c r="H38" s="125">
        <f t="shared" si="65"/>
        <v>-1669</v>
      </c>
      <c r="I38" s="165">
        <f t="shared" si="65"/>
        <v>276561</v>
      </c>
      <c r="J38" s="164">
        <f t="shared" si="65"/>
        <v>-608</v>
      </c>
      <c r="K38" s="125">
        <f t="shared" si="65"/>
        <v>-794</v>
      </c>
      <c r="L38" s="125">
        <f t="shared" si="65"/>
        <v>-23371</v>
      </c>
      <c r="M38" s="125">
        <f t="shared" si="65"/>
        <v>-80256</v>
      </c>
      <c r="N38" s="165">
        <f t="shared" si="65"/>
        <v>171532</v>
      </c>
      <c r="O38" s="164">
        <f t="shared" si="65"/>
        <v>35</v>
      </c>
      <c r="P38" s="125">
        <f t="shared" si="65"/>
        <v>-603</v>
      </c>
      <c r="Q38" s="125">
        <f t="shared" si="65"/>
        <v>0</v>
      </c>
      <c r="R38" s="125">
        <f t="shared" si="65"/>
        <v>655</v>
      </c>
      <c r="S38" s="125">
        <f t="shared" si="65"/>
        <v>-655</v>
      </c>
      <c r="T38" s="165">
        <f t="shared" si="65"/>
        <v>170964</v>
      </c>
      <c r="U38" s="164">
        <f t="shared" si="65"/>
        <v>1497</v>
      </c>
      <c r="V38" s="125">
        <f t="shared" si="65"/>
        <v>-1184</v>
      </c>
      <c r="W38" s="125">
        <f t="shared" si="65"/>
        <v>0</v>
      </c>
      <c r="X38" s="125">
        <f t="shared" si="65"/>
        <v>0</v>
      </c>
      <c r="Y38" s="125">
        <f t="shared" si="65"/>
        <v>-39</v>
      </c>
      <c r="Z38" s="165">
        <f t="shared" si="65"/>
        <v>171238</v>
      </c>
      <c r="AA38" s="164">
        <f t="shared" si="65"/>
        <v>93</v>
      </c>
      <c r="AB38" s="125">
        <f t="shared" si="65"/>
        <v>7206</v>
      </c>
      <c r="AC38" s="125">
        <f t="shared" si="65"/>
        <v>-783</v>
      </c>
      <c r="AD38" s="165">
        <f t="shared" si="65"/>
        <v>177754</v>
      </c>
      <c r="AE38" s="164">
        <f t="shared" si="65"/>
        <v>357</v>
      </c>
      <c r="AF38" s="125">
        <f t="shared" si="65"/>
        <v>1395</v>
      </c>
      <c r="AG38" s="125">
        <f t="shared" si="65"/>
        <v>-1018</v>
      </c>
      <c r="AH38" s="165">
        <f t="shared" si="65"/>
        <v>178488</v>
      </c>
      <c r="AI38" s="164">
        <f t="shared" si="65"/>
        <v>245</v>
      </c>
      <c r="AJ38" s="125">
        <f t="shared" si="65"/>
        <v>1326</v>
      </c>
      <c r="AK38" s="125">
        <f t="shared" si="65"/>
        <v>-1215</v>
      </c>
      <c r="AL38" s="165">
        <f t="shared" si="65"/>
        <v>178844</v>
      </c>
      <c r="AM38" s="164">
        <f t="shared" si="65"/>
        <v>160</v>
      </c>
      <c r="AN38" s="125">
        <f t="shared" si="65"/>
        <v>1024</v>
      </c>
      <c r="AO38" s="125">
        <f t="shared" si="65"/>
        <v>-1401</v>
      </c>
      <c r="AP38" s="165">
        <f t="shared" si="65"/>
        <v>178627</v>
      </c>
      <c r="AQ38" s="164">
        <f t="shared" si="65"/>
        <v>323</v>
      </c>
      <c r="AR38" s="125">
        <f t="shared" si="65"/>
        <v>44</v>
      </c>
      <c r="AS38" s="125">
        <f t="shared" si="65"/>
        <v>-1408</v>
      </c>
      <c r="AT38" s="165">
        <f t="shared" si="65"/>
        <v>177586</v>
      </c>
      <c r="AU38" s="164">
        <f t="shared" si="65"/>
        <v>908</v>
      </c>
      <c r="AV38" s="125">
        <f t="shared" si="65"/>
        <v>1981</v>
      </c>
      <c r="AW38" s="125">
        <f t="shared" si="65"/>
        <v>-1192</v>
      </c>
      <c r="AX38" s="165">
        <f t="shared" si="65"/>
        <v>179283</v>
      </c>
      <c r="AY38" s="164">
        <f t="shared" si="65"/>
        <v>311</v>
      </c>
      <c r="AZ38" s="125">
        <f t="shared" si="65"/>
        <v>-708</v>
      </c>
      <c r="BA38" s="125">
        <f t="shared" si="65"/>
        <v>-1200</v>
      </c>
      <c r="BB38" s="165">
        <f t="shared" si="65"/>
        <v>177686</v>
      </c>
      <c r="BC38" s="125">
        <v>318</v>
      </c>
      <c r="BD38" s="125">
        <v>1</v>
      </c>
      <c r="BE38" s="125">
        <v>-1184</v>
      </c>
      <c r="BF38" s="125">
        <v>176821</v>
      </c>
      <c r="BG38" s="164">
        <v>1244</v>
      </c>
      <c r="BH38" s="125">
        <v>-1172</v>
      </c>
      <c r="BI38" s="165">
        <v>176893</v>
      </c>
      <c r="BJ38" s="125">
        <v>878</v>
      </c>
      <c r="BK38" s="125">
        <v>-1181</v>
      </c>
      <c r="BL38" s="125">
        <v>-1364.59871</v>
      </c>
      <c r="BM38" s="125">
        <v>175225.40129000001</v>
      </c>
      <c r="BN38" s="164">
        <f>SUM(BN37,BN26,BN18)</f>
        <v>976</v>
      </c>
      <c r="BO38" s="125">
        <f>SUM(BO37,BO26,BO18)</f>
        <v>-1161</v>
      </c>
      <c r="BP38" s="125">
        <f>SUM(BP37,BP26,BP18)</f>
        <v>0</v>
      </c>
      <c r="BQ38" s="165">
        <f>+SUM(BM38:BP38)</f>
        <v>175040.40129000001</v>
      </c>
      <c r="BR38" s="164">
        <f>SUM(BR37,BR26,BR18)</f>
        <v>1273</v>
      </c>
      <c r="BS38" s="125">
        <f>SUM(BS37,BS26,BS18)</f>
        <v>-1186</v>
      </c>
      <c r="BT38" s="125">
        <f>SUM(BT37,BT26,BT18)</f>
        <v>-0.40129000000001724</v>
      </c>
      <c r="BU38" s="165">
        <f>+SUM(BQ38:BT38)</f>
        <v>175127</v>
      </c>
      <c r="BV38" s="164">
        <f>SUM(BV37,BV26,BV18)</f>
        <v>17732</v>
      </c>
      <c r="BW38" s="125">
        <f>SUM(BW37,BW26,BW18)</f>
        <v>-1154</v>
      </c>
      <c r="BX38" s="125">
        <f>SUM(BX37,BX26,BX18)</f>
        <v>-3563</v>
      </c>
      <c r="BY38" s="165">
        <f>+SUM(BU38:BX38)</f>
        <v>188142</v>
      </c>
      <c r="BZ38" s="164">
        <f>SUM(BZ37,BZ26,BZ18)</f>
        <v>897</v>
      </c>
      <c r="CA38" s="125">
        <f>SUM(CA37,CA26,CA18)</f>
        <v>-1158</v>
      </c>
      <c r="CB38" s="125">
        <f>SUM(CB37,CB26,CB18)</f>
        <v>0</v>
      </c>
      <c r="CC38" s="165">
        <f>+SUM(BY38:CB38)</f>
        <v>187881</v>
      </c>
      <c r="CD38" s="164">
        <f>SUM(CD37,CD26,CD18)</f>
        <v>1443</v>
      </c>
      <c r="CE38" s="125">
        <f>SUM(CE37,CE26,CE18)</f>
        <v>-1193</v>
      </c>
      <c r="CF38" s="125">
        <f>SUM(CF37,CF26,CF18)</f>
        <v>0</v>
      </c>
      <c r="CG38" s="165">
        <f>+SUM(CC38:CF38)</f>
        <v>188131</v>
      </c>
      <c r="CH38" s="164">
        <f>SUM(CH37,CH26,CH18)</f>
        <v>2222</v>
      </c>
      <c r="CI38" s="125">
        <f>SUM(CI37,CI26,CI18)</f>
        <v>-1185</v>
      </c>
      <c r="CJ38" s="125">
        <f>SUM(CJ37,CJ26,CJ18)-CG36</f>
        <v>-16714</v>
      </c>
      <c r="CK38" s="165">
        <f>+SUM(CG38:CJ38)</f>
        <v>172454</v>
      </c>
      <c r="CL38" s="164">
        <f>SUM(CL37,CL26,CL18)</f>
        <v>1424</v>
      </c>
      <c r="CM38" s="125">
        <f>SUM(CM37,CM26,CM18)</f>
        <v>-1232</v>
      </c>
      <c r="CN38" s="165">
        <f>+SUM(CK38:CM38)</f>
        <v>172646</v>
      </c>
      <c r="CO38" s="164">
        <f>SUM(CO37,CO26,CO18)</f>
        <v>672</v>
      </c>
      <c r="CP38" s="125">
        <f>SUM(CP37,CP26,CP18)</f>
        <v>-1284</v>
      </c>
      <c r="CQ38" s="165">
        <f>+SUM(CN38:CP38)</f>
        <v>172034</v>
      </c>
      <c r="CR38" s="164">
        <v>874</v>
      </c>
      <c r="CS38" s="125">
        <v>-1319</v>
      </c>
      <c r="CT38" s="165">
        <f>+SUM(CQ38:CS38)</f>
        <v>171589</v>
      </c>
      <c r="CU38" s="164">
        <f>SUM(CU37,CU26,CU18)</f>
        <v>1227</v>
      </c>
      <c r="CV38" s="125">
        <f>SUM(CV37,CV26,CV18)</f>
        <v>-1349</v>
      </c>
      <c r="CW38" s="125">
        <f>SUM(CW37,CW26,CW18)</f>
        <v>-21</v>
      </c>
      <c r="CX38" s="165">
        <f>+SUM(CT38:CW38)</f>
        <v>171446</v>
      </c>
      <c r="CY38" s="164">
        <f>SUM(CY37,CY26,CY18)</f>
        <v>1497</v>
      </c>
      <c r="CZ38" s="125">
        <f>SUM(CZ37,CZ26,CZ18)</f>
        <v>-1200</v>
      </c>
      <c r="DA38" s="125">
        <f>SUM(DA37,DA26,DA18)</f>
        <v>-21</v>
      </c>
      <c r="DB38" s="165">
        <f>+SUM(CX38:DA38)</f>
        <v>171722</v>
      </c>
      <c r="DC38" s="164">
        <f>SUM(DC37,DC26,DC18)</f>
        <v>961</v>
      </c>
      <c r="DD38" s="125">
        <f>SUM(DD37,DD26,DD18)</f>
        <v>-1042</v>
      </c>
      <c r="DE38" s="125">
        <f>SUM(DE37,DE26,DE18)</f>
        <v>51</v>
      </c>
      <c r="DF38" s="165">
        <f>+SUM(DB38:DE38)-DB36</f>
        <v>171692</v>
      </c>
      <c r="DG38" s="164">
        <f>SUM(DG37,DG26,DG18)</f>
        <v>633</v>
      </c>
      <c r="DH38" s="125">
        <f>SUM(DH37,DH26,DH18)</f>
        <v>-1051</v>
      </c>
      <c r="DI38" s="125">
        <f>SUM(DI37,DI26,DI18)</f>
        <v>-50</v>
      </c>
      <c r="DJ38" s="165">
        <f>+SUM(DF38:DI38)-DF36</f>
        <v>171224</v>
      </c>
      <c r="DK38" s="164">
        <f>SUM(DK37,DK26,DK18)</f>
        <v>766</v>
      </c>
      <c r="DL38" s="125">
        <f>SUM(DL37,DL26,DL18)</f>
        <v>-1026</v>
      </c>
      <c r="DM38" s="125">
        <f>SUM(DM37,DM26,DM18)</f>
        <v>-195</v>
      </c>
      <c r="DN38" s="165">
        <f>+SUM(DJ38:DM38)-DJ36</f>
        <v>170769</v>
      </c>
      <c r="DO38" s="164">
        <f>SUM(DO37,DO26,DO18)</f>
        <v>1791</v>
      </c>
      <c r="DP38" s="125">
        <f>SUM(DP37,DP26,DP18)</f>
        <v>-1028</v>
      </c>
      <c r="DQ38" s="125">
        <f>SUM(DQ37,DQ26,DQ18)</f>
        <v>43</v>
      </c>
      <c r="DR38" s="165">
        <f>+SUM(DN38:DQ38)</f>
        <v>171575</v>
      </c>
      <c r="DS38" s="164">
        <f>SUM(DS37,DS26,DS18)</f>
        <v>1091</v>
      </c>
      <c r="DT38" s="125">
        <f>SUM(DT37,DT26,DT18)</f>
        <v>-1046</v>
      </c>
      <c r="DU38" s="125">
        <f>SUM(DU37,DU26,DU18)</f>
        <v>125</v>
      </c>
      <c r="DV38" s="165">
        <f>+SUM(DR38:DU38)-DR36</f>
        <v>171745</v>
      </c>
      <c r="DW38" s="164">
        <f>SUM(DW37,DW26,DW18)</f>
        <v>1227</v>
      </c>
      <c r="DX38" s="125">
        <f>SUM(DX37,DX26,DX18)</f>
        <v>-1074</v>
      </c>
      <c r="DY38" s="125">
        <f>SUM(DY37,DY26,DY18)</f>
        <v>0</v>
      </c>
      <c r="DZ38" s="165">
        <f>+SUM(DV38:DY38)-DV36</f>
        <v>171898</v>
      </c>
      <c r="EA38" s="164">
        <f>SUM(EA37,EA26,EA18)</f>
        <v>1786</v>
      </c>
      <c r="EB38" s="125">
        <f>SUM(EB37,EB26,EB18)</f>
        <v>-1125</v>
      </c>
      <c r="EC38" s="125">
        <f>SUM(EC37,EC26,EC18)</f>
        <v>-6</v>
      </c>
      <c r="ED38" s="165">
        <f>+SUM(DZ38:EC38)-DZ36</f>
        <v>172553</v>
      </c>
      <c r="EE38" s="164">
        <f>SUM(EE37,EE26,EE18)</f>
        <v>2182</v>
      </c>
      <c r="EF38" s="125">
        <f>SUM(EF37,EF26,EF18)</f>
        <v>-1203</v>
      </c>
      <c r="EG38" s="125">
        <f>SUM(EG37,EG26,EG18)</f>
        <v>0</v>
      </c>
      <c r="EH38" s="165">
        <f>SUM(ED38:EG38)</f>
        <v>173532</v>
      </c>
      <c r="EI38" s="164">
        <f>SUM(EI37,EI26,EI18)</f>
        <v>886</v>
      </c>
      <c r="EJ38" s="125">
        <f>SUM(EJ37,EJ26,EJ18)</f>
        <v>-1223</v>
      </c>
      <c r="EK38" s="125">
        <f>SUM(EK37,EK26,EK18)</f>
        <v>1</v>
      </c>
      <c r="EL38" s="165">
        <f>SUM(EH38:EK38)</f>
        <v>173196</v>
      </c>
      <c r="EM38" s="164">
        <f>SUM(EM37,EM26,EM18)</f>
        <v>2323</v>
      </c>
      <c r="EN38" s="125">
        <f>SUM(EN37,EN26,EN18)</f>
        <v>-1240</v>
      </c>
      <c r="EO38" s="125">
        <f>SUM(EO37,EO26,EO18)</f>
        <v>-1</v>
      </c>
      <c r="EP38" s="165">
        <f>SUM(EL38:EO38)</f>
        <v>174278</v>
      </c>
      <c r="EQ38" s="164">
        <f>SUM(EQ37,EQ26,EQ18)</f>
        <v>3171</v>
      </c>
      <c r="ER38" s="125">
        <f>SUM(ER37,ER26,ER18)</f>
        <v>-1330</v>
      </c>
      <c r="ES38" s="125">
        <f>SUM(ES37,ES26,ES18)</f>
        <v>-15</v>
      </c>
      <c r="ET38" s="165">
        <f>SUM(EP38:ES38)</f>
        <v>176104</v>
      </c>
      <c r="EU38" s="164">
        <f>SUM(EU37,EU26,EU18)</f>
        <v>2642</v>
      </c>
      <c r="EV38" s="125">
        <f>SUM(EV37,EV26,EV18)</f>
        <v>-1407</v>
      </c>
      <c r="EW38" s="125">
        <f>SUM(EW37,EW26,EW18)</f>
        <v>-25</v>
      </c>
      <c r="EX38" s="165">
        <f>SUM(ET38:EW38)</f>
        <v>177314</v>
      </c>
      <c r="EY38" s="164">
        <f>SUM(EY37,EY26,EY18)</f>
        <v>1536</v>
      </c>
      <c r="EZ38" s="125">
        <f>SUM(EZ37,EZ26,EZ18)</f>
        <v>-1490</v>
      </c>
      <c r="FA38" s="125">
        <f>SUM(FA37,FA26,FA18)</f>
        <v>25</v>
      </c>
      <c r="FB38" s="165">
        <f>SUM(EX38:FA38)</f>
        <v>177385</v>
      </c>
      <c r="FC38" s="164">
        <f>SUM(FC37,FC26,FC18)</f>
        <v>1381</v>
      </c>
      <c r="FD38" s="125">
        <f>SUM(FD37,FD26,FD18)</f>
        <v>-1523</v>
      </c>
      <c r="FE38" s="125">
        <f>SUM(FE37,FE26,FE18)</f>
        <v>-24</v>
      </c>
      <c r="FF38" s="165">
        <f>SUM(FB38:FE38)</f>
        <v>177219</v>
      </c>
      <c r="FG38" s="164">
        <f>SUM(FG37,FG26,FG18)</f>
        <v>1057</v>
      </c>
      <c r="FH38" s="125">
        <f>SUM(FH37,FH26,FH18)</f>
        <v>-1496</v>
      </c>
      <c r="FI38" s="125">
        <f>SUM(FI37,FI26,FI18)</f>
        <v>0</v>
      </c>
      <c r="FJ38" s="165">
        <f>SUM(FF38:FI38)</f>
        <v>176780</v>
      </c>
      <c r="FK38" s="164">
        <f>SUM(FK37,FK26,FK18)</f>
        <v>3359</v>
      </c>
      <c r="FL38" s="125">
        <f>SUM(FL37,FL26,FL18)</f>
        <v>-1477</v>
      </c>
      <c r="FM38" s="125">
        <f>SUM(FM37,FM26,FM18)</f>
        <v>3638</v>
      </c>
      <c r="FN38" s="165">
        <f>SUM(FJ38:FM38)</f>
        <v>182300</v>
      </c>
      <c r="FO38" s="164">
        <f>SUM(FO37,FO26,FO18)</f>
        <v>3085</v>
      </c>
      <c r="FP38" s="125">
        <f>SUM(FP37,FP26,FP18)</f>
        <v>-1492</v>
      </c>
      <c r="FQ38" s="125">
        <f>SUM(FQ37,FQ26,FQ18)</f>
        <v>0</v>
      </c>
      <c r="FR38" s="165">
        <f>SUM(FN38:FQ38)</f>
        <v>183893</v>
      </c>
      <c r="FS38" s="164">
        <f>SUM(FS37,FS26,FS18)</f>
        <v>3085</v>
      </c>
      <c r="FT38" s="125">
        <f>SUM(FT37,FT26,FT18)</f>
        <v>-1492</v>
      </c>
      <c r="FU38" s="125">
        <f>SUM(FU37,FU26,FU18)</f>
        <v>0</v>
      </c>
      <c r="FV38" s="165">
        <f>SUM(FR38:FU38)</f>
        <v>185486</v>
      </c>
      <c r="FW38" s="164">
        <f>SUM(FW37,FW26,FW18)</f>
        <v>7197</v>
      </c>
      <c r="FX38" s="1181" t="s">
        <v>160</v>
      </c>
      <c r="FY38" s="125">
        <f>SUM(FY37,FY26,FY18)</f>
        <v>-1718</v>
      </c>
      <c r="FZ38" s="125">
        <f>SUM(FZ37,FZ26,FZ18)</f>
        <v>0</v>
      </c>
      <c r="GA38" s="125">
        <f>SUM(GA37,GA26,GA18)</f>
        <v>-58</v>
      </c>
      <c r="GB38" s="165">
        <v>190943</v>
      </c>
      <c r="GC38" s="164">
        <f>SUM(GC37,GC26,GC18)</f>
        <v>5763</v>
      </c>
      <c r="GD38" s="1181" t="s">
        <v>160</v>
      </c>
      <c r="GE38" s="125">
        <f>SUM(GE37,GE26,GE18)</f>
        <v>-2377</v>
      </c>
      <c r="GF38" s="125">
        <f>SUM(GF37,GF26,GF18)</f>
        <v>0</v>
      </c>
      <c r="GG38" s="125">
        <f>SUM(GG37,GG26,GG18)</f>
        <v>0</v>
      </c>
      <c r="GH38" s="165">
        <f>SUM(GB38:GG38)</f>
        <v>194329</v>
      </c>
      <c r="GI38" s="164">
        <f>SUM(GI37,GI26,GI18)</f>
        <v>2642</v>
      </c>
      <c r="GJ38" s="125">
        <f>SUM(GJ37,GJ26,GJ18)</f>
        <v>0</v>
      </c>
      <c r="GK38" s="125">
        <f>SUM(GK37,GK26,GK18)</f>
        <v>-2295</v>
      </c>
      <c r="GL38" s="125">
        <f>SUM(GL37,GL26,GL18)</f>
        <v>0</v>
      </c>
      <c r="GM38" s="125">
        <f>SUM(GM37,GM26,GM18)</f>
        <v>-9</v>
      </c>
      <c r="GN38" s="165">
        <f>SUM(GH38:GM38)</f>
        <v>194667</v>
      </c>
      <c r="GO38" s="164">
        <f>SUM(GO37,GO26,GO18)</f>
        <v>19001</v>
      </c>
      <c r="GP38" s="125">
        <f>SUM(GP37,GP26,GP18)</f>
        <v>0</v>
      </c>
      <c r="GQ38" s="125">
        <f>SUM(GQ37,GQ26,GQ18)</f>
        <v>-2473</v>
      </c>
      <c r="GR38" s="125">
        <f>SUM(GR37,GR26,GR18)</f>
        <v>0</v>
      </c>
      <c r="GS38" s="125">
        <f>SUM(GS37,GS26,GS18)</f>
        <v>152</v>
      </c>
      <c r="GT38" s="165">
        <f>SUM(GN38:GS38)</f>
        <v>211347</v>
      </c>
      <c r="GU38" s="164">
        <f>SUM(GU37,GU26,GU18)</f>
        <v>3778</v>
      </c>
      <c r="GV38" s="125">
        <f>SUM(GV37,GV26,GV18)</f>
        <v>0</v>
      </c>
      <c r="GW38" s="125">
        <f>SUM(GW37,GW26,GW18)</f>
        <v>-2821</v>
      </c>
      <c r="GX38" s="125">
        <f>SUM(GX37,GX26,GX18)</f>
        <v>0</v>
      </c>
      <c r="GY38" s="125">
        <f>SUM(GY37,GY26,GY18)</f>
        <v>-7</v>
      </c>
      <c r="GZ38" s="165">
        <f>SUM(GT38:GY38)</f>
        <v>212297</v>
      </c>
      <c r="HA38" s="164">
        <f>SUM(HA37,HA26,HA18)</f>
        <v>4059</v>
      </c>
      <c r="HB38" s="125">
        <f>SUM(HB37,HB26,HB18)</f>
        <v>0</v>
      </c>
      <c r="HC38" s="125">
        <f>SUM(HC37,HC26,HC18)</f>
        <v>-2812</v>
      </c>
      <c r="HD38" s="125">
        <f>SUM(HD37,HD26,HD18)</f>
        <v>0</v>
      </c>
      <c r="HE38" s="125">
        <f>SUM(HE37,HE26,HE18)</f>
        <v>0</v>
      </c>
      <c r="HF38" s="165">
        <f>SUM(GZ38:HE38)</f>
        <v>213544</v>
      </c>
    </row>
    <row r="39" spans="3:214" s="189" customFormat="1" x14ac:dyDescent="0.2">
      <c r="I39" s="189">
        <f>+I38-BP!S36</f>
        <v>0</v>
      </c>
      <c r="N39" s="189">
        <f>+N38-BP!T36</f>
        <v>0</v>
      </c>
      <c r="T39" s="189">
        <f>+T38-BP!U36</f>
        <v>0</v>
      </c>
      <c r="Z39" s="189">
        <f>+Z38-BP!V36</f>
        <v>0</v>
      </c>
      <c r="AD39" s="189">
        <f>+AD38-BP!W36</f>
        <v>0</v>
      </c>
      <c r="AH39" s="189">
        <f>+AH38-BP!X36</f>
        <v>0</v>
      </c>
      <c r="AL39" s="189">
        <f>+AL38-BP!Y36</f>
        <v>0</v>
      </c>
      <c r="AP39" s="189">
        <f>+AP38-BP!Z36</f>
        <v>0</v>
      </c>
      <c r="AT39" s="189">
        <f>+AT38-BP!AA36</f>
        <v>0</v>
      </c>
      <c r="AX39" s="189">
        <f>+AX38-BP!AB36</f>
        <v>0</v>
      </c>
      <c r="BB39" s="189">
        <f>+BB38-BP!AC36</f>
        <v>0</v>
      </c>
      <c r="BF39" s="189">
        <v>0</v>
      </c>
      <c r="BI39" s="189">
        <v>0</v>
      </c>
      <c r="BM39" s="189">
        <v>-0.40129000000888482</v>
      </c>
      <c r="BQ39" s="189">
        <f>BP!AG36-BQ38</f>
        <v>-0.40129000000888482</v>
      </c>
      <c r="BU39" s="189">
        <f>BP!AH36-BU38</f>
        <v>0</v>
      </c>
      <c r="BY39" s="189">
        <f>BP!AI36-BY38</f>
        <v>0</v>
      </c>
      <c r="CC39" s="189">
        <f>BP!AJ36-CC38</f>
        <v>0</v>
      </c>
      <c r="CK39" s="189">
        <f>BP!AL36-CK38</f>
        <v>0</v>
      </c>
      <c r="CN39" s="189">
        <v>0</v>
      </c>
      <c r="CU39" s="960"/>
      <c r="CV39" s="960"/>
      <c r="CW39" s="960"/>
      <c r="CX39" s="960"/>
      <c r="CY39" s="960"/>
      <c r="CZ39" s="960"/>
      <c r="DA39" s="960"/>
      <c r="DB39" s="960">
        <f>BP!AQ36-DB38</f>
        <v>50</v>
      </c>
      <c r="DC39" s="960"/>
      <c r="DD39" s="960"/>
      <c r="DE39" s="960"/>
      <c r="DF39" s="960"/>
      <c r="DG39" s="960"/>
      <c r="DH39" s="960"/>
      <c r="DI39" s="960"/>
      <c r="DJ39" s="960"/>
      <c r="DK39" s="960"/>
      <c r="DL39" s="960"/>
      <c r="DM39" s="960"/>
      <c r="DN39" s="960"/>
      <c r="DO39" s="960"/>
      <c r="DP39" s="960"/>
      <c r="DQ39" s="960"/>
      <c r="DR39" s="960"/>
      <c r="DS39" s="960"/>
      <c r="DT39" s="960"/>
      <c r="DU39" s="960"/>
      <c r="DV39" s="960"/>
      <c r="DW39" s="960"/>
      <c r="DX39" s="960"/>
      <c r="DY39" s="960"/>
      <c r="DZ39" s="960"/>
      <c r="EA39" s="960"/>
      <c r="EB39" s="960"/>
      <c r="EC39" s="960"/>
      <c r="ED39" s="960"/>
      <c r="EE39" s="960"/>
      <c r="EF39" s="960"/>
      <c r="EG39" s="960"/>
      <c r="EH39" s="1138"/>
      <c r="EI39" s="960"/>
      <c r="EJ39" s="960"/>
      <c r="EK39" s="960"/>
      <c r="EL39" s="960"/>
      <c r="EM39" s="960"/>
      <c r="EN39" s="960"/>
      <c r="EO39" s="960"/>
      <c r="EP39" s="960"/>
      <c r="EQ39" s="960"/>
      <c r="ER39" s="960"/>
      <c r="ES39" s="960"/>
      <c r="ET39" s="960"/>
      <c r="EU39" s="960"/>
      <c r="EV39" s="960"/>
      <c r="EW39" s="960"/>
      <c r="EX39" s="960"/>
      <c r="EY39" s="960"/>
      <c r="EZ39" s="1138"/>
      <c r="FA39" s="1138"/>
      <c r="FB39" s="1138"/>
      <c r="FC39" s="1138"/>
      <c r="FD39" s="1138"/>
      <c r="FE39" s="1138"/>
      <c r="FF39" s="1138"/>
      <c r="FG39" s="1138"/>
      <c r="FH39" s="1138"/>
      <c r="FI39" s="1138"/>
      <c r="FJ39" s="1138"/>
      <c r="FK39" s="1138"/>
      <c r="FL39" s="1138"/>
      <c r="FM39" s="1138"/>
      <c r="FN39" s="1138"/>
      <c r="FO39" s="1138"/>
      <c r="FP39" s="1138"/>
      <c r="FQ39" s="1138"/>
      <c r="FR39" s="1138"/>
      <c r="FS39" s="1138"/>
      <c r="FT39" s="1138"/>
      <c r="FU39" s="1138"/>
      <c r="FV39" s="1138"/>
      <c r="FW39" s="1138"/>
      <c r="FX39" s="1138"/>
      <c r="FY39" s="1138"/>
      <c r="FZ39" s="1138"/>
      <c r="GA39" s="1138"/>
      <c r="GB39" s="1138">
        <f>+GB38-GB40</f>
        <v>0</v>
      </c>
      <c r="GC39" s="1138"/>
      <c r="GD39" s="1138"/>
      <c r="GE39" s="1138"/>
      <c r="GF39" s="1138"/>
      <c r="GG39" s="1138"/>
      <c r="GH39" s="1138"/>
      <c r="GI39" s="1138"/>
      <c r="GJ39" s="1138"/>
      <c r="GK39" s="1138"/>
      <c r="GL39" s="1138"/>
      <c r="GM39" s="1138"/>
      <c r="GN39" s="1138"/>
      <c r="GO39" s="1138"/>
      <c r="GP39" s="1138"/>
      <c r="GQ39" s="1138"/>
      <c r="GR39" s="1138"/>
      <c r="GS39" s="1138"/>
      <c r="GT39" s="1138"/>
      <c r="GU39" s="1138"/>
      <c r="GV39" s="1138"/>
      <c r="GW39" s="1138"/>
      <c r="GX39" s="1138"/>
      <c r="GY39" s="1138"/>
      <c r="HA39" s="1138"/>
      <c r="HB39" s="1138"/>
      <c r="HC39" s="1138"/>
      <c r="HD39" s="1138"/>
      <c r="HE39" s="1138"/>
    </row>
    <row r="40" spans="3:214" s="328" customFormat="1" x14ac:dyDescent="0.2">
      <c r="CU40" s="544"/>
      <c r="CV40" s="544"/>
      <c r="CW40" s="544" t="s">
        <v>511</v>
      </c>
      <c r="CX40" s="544" t="s">
        <v>538</v>
      </c>
      <c r="CY40" s="544" t="s">
        <v>567</v>
      </c>
      <c r="CZ40" s="544" t="s">
        <v>575</v>
      </c>
      <c r="DA40" s="544" t="s">
        <v>595</v>
      </c>
      <c r="DB40" s="544" t="s">
        <v>596</v>
      </c>
      <c r="DC40" s="544" t="s">
        <v>623</v>
      </c>
      <c r="DD40" s="544" t="s">
        <v>624</v>
      </c>
      <c r="DE40" s="544" t="s">
        <v>625</v>
      </c>
      <c r="DF40" s="544" t="s">
        <v>626</v>
      </c>
      <c r="DG40" s="544" t="s">
        <v>798</v>
      </c>
      <c r="DH40" s="544" t="s">
        <v>799</v>
      </c>
      <c r="DI40" s="544" t="s">
        <v>800</v>
      </c>
      <c r="DJ40" s="544" t="s">
        <v>801</v>
      </c>
      <c r="DK40" s="544" t="s">
        <v>913</v>
      </c>
      <c r="DL40" s="544" t="s">
        <v>914</v>
      </c>
      <c r="DM40" s="544" t="s">
        <v>923</v>
      </c>
      <c r="DN40" s="544" t="s">
        <v>924</v>
      </c>
      <c r="DO40" s="544" t="s">
        <v>913</v>
      </c>
      <c r="DP40" s="544" t="s">
        <v>914</v>
      </c>
      <c r="DQ40" s="544" t="s">
        <v>923</v>
      </c>
      <c r="DR40" s="544" t="s">
        <v>924</v>
      </c>
      <c r="DS40" s="544" t="s">
        <v>913</v>
      </c>
      <c r="DT40" s="544" t="s">
        <v>914</v>
      </c>
      <c r="DU40" s="544" t="s">
        <v>923</v>
      </c>
      <c r="DV40" s="544" t="s">
        <v>924</v>
      </c>
      <c r="DW40" s="544" t="s">
        <v>913</v>
      </c>
      <c r="DX40" s="544" t="s">
        <v>914</v>
      </c>
      <c r="DY40" s="544" t="s">
        <v>923</v>
      </c>
      <c r="DZ40" s="544" t="s">
        <v>924</v>
      </c>
      <c r="EA40" s="544" t="s">
        <v>913</v>
      </c>
      <c r="EB40" s="544" t="s">
        <v>914</v>
      </c>
      <c r="EC40" s="544" t="s">
        <v>923</v>
      </c>
      <c r="ED40" s="544" t="s">
        <v>924</v>
      </c>
      <c r="EE40" s="544" t="s">
        <v>913</v>
      </c>
      <c r="EF40" s="544" t="s">
        <v>914</v>
      </c>
      <c r="EG40" s="544" t="s">
        <v>923</v>
      </c>
      <c r="EH40" s="544" t="s">
        <v>924</v>
      </c>
      <c r="EI40" s="544" t="s">
        <v>913</v>
      </c>
      <c r="EJ40" s="544" t="s">
        <v>914</v>
      </c>
      <c r="EK40" s="544" t="s">
        <v>923</v>
      </c>
      <c r="EL40" s="544" t="s">
        <v>924</v>
      </c>
      <c r="EM40" s="544" t="s">
        <v>913</v>
      </c>
      <c r="EN40" s="544" t="s">
        <v>914</v>
      </c>
      <c r="EO40" s="544" t="s">
        <v>923</v>
      </c>
      <c r="EP40" s="544" t="s">
        <v>924</v>
      </c>
      <c r="EQ40" s="544" t="s">
        <v>913</v>
      </c>
      <c r="ER40" s="544" t="s">
        <v>914</v>
      </c>
      <c r="ES40" s="544" t="s">
        <v>923</v>
      </c>
      <c r="ET40" s="544" t="s">
        <v>924</v>
      </c>
      <c r="EU40" s="544" t="s">
        <v>913</v>
      </c>
      <c r="EV40" s="544" t="s">
        <v>914</v>
      </c>
      <c r="EW40" s="544" t="s">
        <v>923</v>
      </c>
      <c r="EX40" s="544" t="s">
        <v>924</v>
      </c>
      <c r="EY40" s="544" t="s">
        <v>913</v>
      </c>
      <c r="EZ40" s="544" t="s">
        <v>914</v>
      </c>
      <c r="FA40" s="544" t="s">
        <v>923</v>
      </c>
      <c r="FB40" s="544" t="s">
        <v>924</v>
      </c>
      <c r="FC40" s="544" t="s">
        <v>913</v>
      </c>
      <c r="FD40" s="544" t="s">
        <v>914</v>
      </c>
      <c r="FE40" s="544" t="s">
        <v>923</v>
      </c>
      <c r="FF40" s="544" t="s">
        <v>924</v>
      </c>
      <c r="FG40" s="544" t="s">
        <v>913</v>
      </c>
      <c r="FH40" s="544" t="s">
        <v>914</v>
      </c>
      <c r="FI40" s="544" t="s">
        <v>923</v>
      </c>
      <c r="FJ40" s="544" t="s">
        <v>924</v>
      </c>
      <c r="FK40" s="544" t="s">
        <v>913</v>
      </c>
      <c r="FL40" s="544" t="s">
        <v>914</v>
      </c>
      <c r="FM40" s="544" t="s">
        <v>923</v>
      </c>
      <c r="FN40" s="544" t="s">
        <v>924</v>
      </c>
      <c r="FO40" s="544"/>
      <c r="FP40" s="544"/>
      <c r="FQ40" s="544"/>
      <c r="FR40" s="544"/>
      <c r="FS40" s="544"/>
      <c r="FT40" s="544"/>
      <c r="FU40" s="544"/>
      <c r="FV40" s="544"/>
      <c r="FW40" s="544" t="s">
        <v>913</v>
      </c>
      <c r="FX40" s="544"/>
      <c r="FY40" s="544" t="s">
        <v>914</v>
      </c>
      <c r="FZ40" s="544" t="s">
        <v>923</v>
      </c>
      <c r="GA40" s="544"/>
      <c r="GB40" s="544">
        <v>190943</v>
      </c>
      <c r="GC40" s="544" t="s">
        <v>913</v>
      </c>
      <c r="GD40" s="544"/>
      <c r="GE40" s="544" t="s">
        <v>914</v>
      </c>
      <c r="GF40" s="544" t="s">
        <v>923</v>
      </c>
      <c r="GG40" s="544"/>
      <c r="GH40" s="544" t="s">
        <v>924</v>
      </c>
      <c r="GO40" s="544" t="s">
        <v>913</v>
      </c>
      <c r="GP40" s="544"/>
      <c r="GQ40" s="544" t="s">
        <v>914</v>
      </c>
      <c r="GR40" s="544" t="s">
        <v>923</v>
      </c>
      <c r="GS40" s="544"/>
      <c r="GT40" s="544" t="s">
        <v>924</v>
      </c>
      <c r="GU40" s="544" t="s">
        <v>913</v>
      </c>
      <c r="GV40" s="544"/>
      <c r="GW40" s="544" t="s">
        <v>914</v>
      </c>
      <c r="GX40" s="544" t="s">
        <v>923</v>
      </c>
      <c r="GZ40" s="544" t="s">
        <v>924</v>
      </c>
      <c r="HA40" s="544" t="s">
        <v>913</v>
      </c>
      <c r="HB40" s="544"/>
      <c r="HC40" s="544" t="s">
        <v>914</v>
      </c>
      <c r="HD40" s="544" t="s">
        <v>923</v>
      </c>
      <c r="HF40" s="544" t="s">
        <v>924</v>
      </c>
    </row>
    <row r="41" spans="3:214" s="330" customFormat="1" x14ac:dyDescent="0.2">
      <c r="CW41" s="330">
        <f>BB37</f>
        <v>163924</v>
      </c>
      <c r="CX41" s="330">
        <f>BF37</f>
        <v>163924</v>
      </c>
      <c r="CY41" s="330">
        <f>BI37</f>
        <v>163924</v>
      </c>
      <c r="CZ41" s="330">
        <f>BM37</f>
        <v>162559.40129000001</v>
      </c>
      <c r="DA41" s="330">
        <f>BQ37</f>
        <v>162559.40129000001</v>
      </c>
      <c r="DB41" s="330">
        <f>BU37</f>
        <v>162559</v>
      </c>
      <c r="DC41" s="330">
        <f>BY37</f>
        <v>176725</v>
      </c>
      <c r="DD41" s="330">
        <f>CC37</f>
        <v>176725</v>
      </c>
      <c r="DE41" s="330">
        <f>CG37</f>
        <v>176725</v>
      </c>
      <c r="DF41" s="330">
        <f>CK37</f>
        <v>160032</v>
      </c>
      <c r="DG41" s="330">
        <f>CN37</f>
        <v>160032</v>
      </c>
      <c r="DH41" s="330">
        <f>CQ37</f>
        <v>160032</v>
      </c>
      <c r="DI41" s="330">
        <f>CT37</f>
        <v>160032</v>
      </c>
      <c r="DJ41" s="330">
        <f>CX37</f>
        <v>160032</v>
      </c>
      <c r="DK41" s="330">
        <f>DB37</f>
        <v>160032</v>
      </c>
      <c r="DL41" s="330">
        <f>DF37</f>
        <v>160032</v>
      </c>
      <c r="DM41" s="330">
        <f>DJ37</f>
        <v>160032</v>
      </c>
      <c r="DN41" s="330">
        <f>DN37</f>
        <v>160032</v>
      </c>
      <c r="DO41" s="330">
        <f>DF37</f>
        <v>160032</v>
      </c>
      <c r="DP41" s="330">
        <f>DJ37</f>
        <v>160032</v>
      </c>
      <c r="DQ41" s="330">
        <f>DN37</f>
        <v>160032</v>
      </c>
      <c r="DR41" s="330">
        <f>DF37</f>
        <v>160032</v>
      </c>
      <c r="DS41" s="330">
        <f>DJ37</f>
        <v>160032</v>
      </c>
      <c r="DT41" s="330">
        <f>DN37</f>
        <v>160032</v>
      </c>
      <c r="DU41" s="330">
        <f>DR37</f>
        <v>160032</v>
      </c>
      <c r="DV41" s="330">
        <f>DV37</f>
        <v>160032</v>
      </c>
      <c r="DW41" s="330">
        <f>DZ37</f>
        <v>160032</v>
      </c>
      <c r="DX41" s="330">
        <f>ED37</f>
        <v>160032</v>
      </c>
      <c r="EB41" s="330">
        <f>EH37</f>
        <v>160032</v>
      </c>
      <c r="EC41" s="1157"/>
      <c r="ED41" s="1157"/>
      <c r="EE41" s="1157"/>
      <c r="EF41" s="1157"/>
      <c r="EG41" s="1157"/>
      <c r="EH41" s="1157"/>
      <c r="EI41" s="1157"/>
      <c r="EJ41" s="1157"/>
      <c r="EK41" s="1157"/>
      <c r="EL41" s="1157"/>
      <c r="EM41" s="1157"/>
      <c r="EN41" s="1157"/>
      <c r="EO41" s="1157"/>
      <c r="EP41" s="1157"/>
      <c r="EQ41" s="1157"/>
      <c r="ER41" s="1157"/>
      <c r="ES41" s="1157"/>
      <c r="ET41" s="1157"/>
      <c r="EU41" s="1157"/>
      <c r="EV41" s="1157"/>
      <c r="EW41" s="1157"/>
      <c r="EX41" s="1157"/>
      <c r="EY41" s="1157"/>
      <c r="EZ41" s="1157"/>
      <c r="FA41" s="1157"/>
      <c r="FB41" s="1157"/>
      <c r="FC41" s="1157"/>
      <c r="FD41" s="1157"/>
      <c r="FE41" s="1157"/>
      <c r="FF41" s="1157"/>
      <c r="FG41" s="1157"/>
      <c r="FH41" s="1157"/>
      <c r="FI41" s="1157"/>
      <c r="FJ41" s="1157"/>
      <c r="FK41" s="1157"/>
      <c r="FL41" s="1157"/>
      <c r="FM41" s="1157"/>
      <c r="FN41" s="1157"/>
      <c r="FO41" s="1157"/>
      <c r="FP41" s="1157"/>
      <c r="FQ41" s="1157"/>
      <c r="FR41" s="1157"/>
      <c r="FS41" s="1157"/>
      <c r="FT41" s="1157"/>
      <c r="FU41" s="1157"/>
      <c r="FV41" s="1157"/>
      <c r="FW41" s="1157"/>
      <c r="FX41" s="1157"/>
      <c r="FY41" s="1157"/>
      <c r="FZ41" s="1157"/>
      <c r="GA41" s="1157"/>
      <c r="GB41" s="1157"/>
      <c r="GC41" s="1157"/>
      <c r="GD41" s="1157"/>
      <c r="GE41" s="1157"/>
      <c r="GF41" s="1157"/>
      <c r="GG41" s="1157"/>
      <c r="GH41" s="1157"/>
      <c r="GI41" s="1157"/>
      <c r="GJ41" s="1157"/>
      <c r="GK41" s="1157"/>
      <c r="GL41" s="1157"/>
      <c r="GM41" s="1157"/>
      <c r="GN41" s="1157"/>
      <c r="GO41" s="1157"/>
      <c r="GP41" s="1157"/>
      <c r="GQ41" s="1157"/>
      <c r="GR41" s="1157"/>
      <c r="GS41" s="1157"/>
      <c r="GT41" s="1157"/>
      <c r="GU41" s="1157"/>
      <c r="GV41" s="1157"/>
      <c r="GW41" s="1157"/>
      <c r="GX41" s="1157"/>
      <c r="GY41" s="1157"/>
      <c r="GZ41" s="1157"/>
      <c r="HA41" s="1157"/>
      <c r="HB41" s="1157"/>
      <c r="HC41" s="1157"/>
      <c r="HD41" s="1157"/>
      <c r="HE41" s="1157"/>
      <c r="HF41" s="1157"/>
    </row>
    <row r="42" spans="3:214" s="328" customFormat="1" x14ac:dyDescent="0.2">
      <c r="CU42" s="544"/>
      <c r="CV42" s="544"/>
      <c r="CW42" s="544"/>
      <c r="CX42" s="544"/>
      <c r="CY42" s="544"/>
      <c r="CZ42" s="544"/>
      <c r="DA42" s="544"/>
      <c r="DB42" s="544"/>
      <c r="DC42" s="544"/>
      <c r="DD42" s="544"/>
      <c r="DE42" s="544"/>
      <c r="DF42" s="544"/>
      <c r="DG42" s="544"/>
      <c r="DH42" s="544"/>
      <c r="DI42" s="544"/>
      <c r="DJ42" s="544"/>
      <c r="DK42" s="544"/>
      <c r="DL42" s="544"/>
      <c r="DM42" s="544"/>
      <c r="DN42" s="544"/>
      <c r="DO42" s="544"/>
      <c r="DP42" s="544"/>
      <c r="DQ42" s="544"/>
      <c r="DR42" s="544"/>
      <c r="DS42" s="544"/>
      <c r="DT42" s="544"/>
      <c r="DU42" s="544"/>
      <c r="DV42" s="544"/>
      <c r="DW42" s="544"/>
      <c r="DX42" s="544"/>
      <c r="DY42" s="544"/>
      <c r="DZ42" s="544"/>
      <c r="EA42" s="544"/>
      <c r="EB42" s="544"/>
      <c r="EC42" s="544"/>
      <c r="ED42" s="544"/>
      <c r="EE42" s="544"/>
      <c r="EF42" s="544"/>
      <c r="EG42" s="544"/>
      <c r="EH42" s="544"/>
      <c r="EI42" s="544"/>
      <c r="EJ42" s="544"/>
      <c r="EK42" s="544"/>
      <c r="EL42" s="544"/>
      <c r="EM42" s="544"/>
      <c r="EN42" s="544"/>
      <c r="EO42" s="544"/>
      <c r="EP42" s="544"/>
      <c r="EQ42" s="544"/>
      <c r="ER42" s="544"/>
      <c r="ES42" s="544"/>
      <c r="ET42" s="544"/>
      <c r="EU42" s="544"/>
      <c r="EV42" s="544"/>
      <c r="EW42" s="544"/>
      <c r="EX42" s="544"/>
      <c r="EY42" s="544"/>
      <c r="GZ42" s="544"/>
      <c r="HF42" s="544"/>
    </row>
    <row r="43" spans="3:214" s="328" customFormat="1" x14ac:dyDescent="0.2">
      <c r="CU43" s="544"/>
      <c r="CV43" s="544"/>
      <c r="CW43" s="544"/>
      <c r="CX43" s="544"/>
      <c r="CY43" s="544"/>
      <c r="CZ43" s="544"/>
      <c r="DA43" s="544"/>
      <c r="DB43" s="544"/>
      <c r="DC43" s="544"/>
      <c r="DD43" s="544"/>
      <c r="DE43" s="544"/>
      <c r="DF43" s="544"/>
      <c r="DG43" s="544"/>
      <c r="DH43" s="544"/>
      <c r="DI43" s="544"/>
      <c r="DJ43" s="544"/>
      <c r="DK43" s="544"/>
      <c r="DL43" s="544"/>
      <c r="DM43" s="544"/>
      <c r="DN43" s="544"/>
      <c r="DO43" s="544"/>
      <c r="DP43" s="544"/>
      <c r="DQ43" s="544"/>
      <c r="DR43" s="544"/>
      <c r="DS43" s="544"/>
      <c r="DT43" s="544"/>
      <c r="DU43" s="544"/>
      <c r="DV43" s="544"/>
      <c r="DW43" s="544"/>
      <c r="DX43" s="544"/>
      <c r="DY43" s="544"/>
      <c r="DZ43" s="544"/>
      <c r="EA43" s="544"/>
      <c r="EB43" s="544"/>
      <c r="EC43" s="544"/>
      <c r="ED43" s="544"/>
      <c r="EE43" s="544"/>
      <c r="EF43" s="544"/>
      <c r="EG43" s="544"/>
      <c r="EH43" s="544"/>
      <c r="EI43" s="544"/>
      <c r="EJ43" s="544"/>
      <c r="EK43" s="544"/>
      <c r="EL43" s="544"/>
      <c r="EM43" s="544"/>
      <c r="EN43" s="544"/>
      <c r="EO43" s="544"/>
      <c r="EP43" s="544"/>
      <c r="EQ43" s="544"/>
      <c r="ER43" s="544"/>
      <c r="ES43" s="544"/>
      <c r="ET43" s="544"/>
      <c r="EU43" s="544"/>
      <c r="EV43" s="544"/>
      <c r="EW43" s="544"/>
      <c r="EX43" s="544"/>
      <c r="EY43" s="544"/>
      <c r="GP43" s="544"/>
      <c r="GQ43" s="544"/>
      <c r="GR43" s="544"/>
      <c r="GS43" s="544"/>
      <c r="GT43" s="544"/>
      <c r="GU43" s="544"/>
      <c r="GV43" s="544"/>
      <c r="GW43" s="544"/>
      <c r="GX43" s="544"/>
      <c r="GY43" s="544"/>
      <c r="GZ43" s="544"/>
      <c r="HA43" s="544"/>
      <c r="HB43" s="544"/>
      <c r="HC43" s="544"/>
      <c r="HD43" s="544"/>
      <c r="HE43" s="544"/>
      <c r="HF43" s="544"/>
    </row>
    <row r="44" spans="3:214" s="328" customFormat="1" x14ac:dyDescent="0.2"/>
    <row r="45" spans="3:214" s="328" customFormat="1" x14ac:dyDescent="0.2"/>
    <row r="46" spans="3:214" s="328" customFormat="1" x14ac:dyDescent="0.2"/>
    <row r="47" spans="3:214" s="328" customFormat="1" x14ac:dyDescent="0.2"/>
    <row r="48" spans="3:214" s="328" customFormat="1" x14ac:dyDescent="0.2"/>
    <row r="49" s="328" customFormat="1" x14ac:dyDescent="0.2"/>
    <row r="50" s="328" customFormat="1" x14ac:dyDescent="0.2"/>
    <row r="51" s="328" customFormat="1" x14ac:dyDescent="0.2"/>
    <row r="52" s="328" customFormat="1" x14ac:dyDescent="0.2"/>
  </sheetData>
  <mergeCells count="1">
    <mergeCell ref="BG5:BI5"/>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41">
    <pageSetUpPr autoPageBreaks="0"/>
  </sheetPr>
  <dimension ref="B1:AZ33"/>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2.75" outlineLevelRow="1" x14ac:dyDescent="0.2"/>
  <cols>
    <col min="1" max="1" width="1.85546875" customWidth="1"/>
    <col min="2" max="2" width="42.140625" bestFit="1" customWidth="1"/>
    <col min="3" max="20" width="10.85546875" customWidth="1"/>
  </cols>
  <sheetData>
    <row r="1" spans="2:52" s="544" customFormat="1" ht="7.5" customHeight="1" x14ac:dyDescent="0.2"/>
    <row r="2" spans="2:52" s="544" customFormat="1" ht="12.75" customHeight="1" x14ac:dyDescent="0.2"/>
    <row r="3" spans="2:52" ht="12.75" customHeight="1" x14ac:dyDescent="0.2">
      <c r="V3" s="544"/>
      <c r="W3" s="544"/>
      <c r="X3" s="544"/>
      <c r="Y3" s="544"/>
      <c r="Z3" s="544"/>
      <c r="AA3" s="544"/>
      <c r="AB3" s="544"/>
      <c r="AC3" s="544"/>
      <c r="AD3" s="544"/>
      <c r="AE3" s="544"/>
      <c r="AF3" s="544"/>
      <c r="AG3" s="544"/>
      <c r="AH3" s="544"/>
      <c r="AI3" s="544"/>
      <c r="AJ3" s="544"/>
      <c r="AK3" s="544"/>
      <c r="AL3" s="544"/>
      <c r="AM3" s="544"/>
      <c r="AN3" s="544"/>
      <c r="AO3" s="544"/>
      <c r="AP3" s="544"/>
      <c r="AQ3" s="544"/>
      <c r="AR3" s="328"/>
      <c r="AS3" s="328"/>
      <c r="AT3" s="328"/>
      <c r="AU3" s="328"/>
      <c r="AV3" s="328"/>
      <c r="AW3" s="328"/>
      <c r="AX3" s="328"/>
      <c r="AY3" s="328"/>
      <c r="AZ3" s="328"/>
    </row>
    <row r="4" spans="2:52" ht="12.75" customHeight="1" x14ac:dyDescent="0.2">
      <c r="C4" s="1235" t="s">
        <v>1426</v>
      </c>
      <c r="D4" s="1236"/>
      <c r="E4" s="224" t="s">
        <v>1427</v>
      </c>
    </row>
    <row r="5" spans="2:52" x14ac:dyDescent="0.2">
      <c r="B5" s="145" t="s">
        <v>96</v>
      </c>
      <c r="C5" s="115">
        <v>2013</v>
      </c>
      <c r="D5" s="115" t="s">
        <v>45</v>
      </c>
      <c r="E5" s="222" t="s">
        <v>55</v>
      </c>
      <c r="F5" s="115" t="s">
        <v>71</v>
      </c>
      <c r="G5" s="115" t="s">
        <v>77</v>
      </c>
      <c r="H5" s="115" t="s">
        <v>87</v>
      </c>
      <c r="I5" s="115" t="s">
        <v>88</v>
      </c>
      <c r="J5" s="115" t="s">
        <v>378</v>
      </c>
      <c r="K5" s="115" t="s">
        <v>406</v>
      </c>
      <c r="L5" s="115" t="s">
        <v>467</v>
      </c>
      <c r="M5" s="115" t="s">
        <v>501</v>
      </c>
      <c r="N5" s="115" t="s">
        <v>511</v>
      </c>
      <c r="O5" s="115" t="s">
        <v>538</v>
      </c>
      <c r="P5" s="115" t="s">
        <v>567</v>
      </c>
      <c r="Q5" s="115" t="s">
        <v>575</v>
      </c>
      <c r="R5" s="115" t="s">
        <v>595</v>
      </c>
      <c r="S5" s="115" t="s">
        <v>596</v>
      </c>
      <c r="T5" s="115" t="s">
        <v>623</v>
      </c>
      <c r="U5" s="115" t="s">
        <v>624</v>
      </c>
      <c r="V5" s="115" t="s">
        <v>625</v>
      </c>
      <c r="W5" s="115" t="s">
        <v>626</v>
      </c>
      <c r="X5" s="115" t="s">
        <v>798</v>
      </c>
      <c r="Y5" s="115" t="s">
        <v>799</v>
      </c>
      <c r="Z5" s="115" t="s">
        <v>800</v>
      </c>
      <c r="AA5" s="115" t="s">
        <v>801</v>
      </c>
      <c r="AB5" s="115" t="s">
        <v>913</v>
      </c>
      <c r="AC5" s="115" t="s">
        <v>914</v>
      </c>
      <c r="AD5" s="115" t="s">
        <v>923</v>
      </c>
      <c r="AE5" s="115" t="s">
        <v>924</v>
      </c>
      <c r="AF5" s="115" t="s">
        <v>1049</v>
      </c>
      <c r="AG5" s="115" t="s">
        <v>1023</v>
      </c>
      <c r="AH5" s="115" t="s">
        <v>1024</v>
      </c>
      <c r="AI5" s="115" t="s">
        <v>1050</v>
      </c>
      <c r="AJ5" s="115" t="s">
        <v>1114</v>
      </c>
      <c r="AK5" s="115" t="s">
        <v>1119</v>
      </c>
      <c r="AL5" s="115" t="s">
        <v>1121</v>
      </c>
      <c r="AM5" s="115" t="s">
        <v>1123</v>
      </c>
      <c r="AN5" s="115" t="s">
        <v>1176</v>
      </c>
      <c r="AO5" s="115" t="s">
        <v>1177</v>
      </c>
      <c r="AP5" s="115" t="s">
        <v>1179</v>
      </c>
      <c r="AQ5" s="115" t="s">
        <v>1181</v>
      </c>
      <c r="AR5" s="115" t="s">
        <v>1243</v>
      </c>
      <c r="AS5" s="115" t="s">
        <v>1250</v>
      </c>
      <c r="AT5" s="115" t="s">
        <v>1251</v>
      </c>
      <c r="AU5" s="115" t="s">
        <v>1252</v>
      </c>
      <c r="AV5" s="115" t="s">
        <v>1311</v>
      </c>
      <c r="AW5" s="115" t="s">
        <v>1313</v>
      </c>
      <c r="AX5" s="115" t="s">
        <v>1315</v>
      </c>
      <c r="AY5" s="115" t="s">
        <v>1317</v>
      </c>
      <c r="AZ5" s="115" t="s">
        <v>1344</v>
      </c>
    </row>
    <row r="6" spans="2:52" x14ac:dyDescent="0.2">
      <c r="B6" s="129" t="s">
        <v>493</v>
      </c>
      <c r="C6" s="118">
        <v>19538</v>
      </c>
      <c r="D6" s="118">
        <v>14039</v>
      </c>
      <c r="E6" s="160">
        <v>10797</v>
      </c>
      <c r="F6" s="118">
        <v>10855</v>
      </c>
      <c r="G6" s="118">
        <v>11891</v>
      </c>
      <c r="H6" s="118">
        <v>10899</v>
      </c>
      <c r="I6" s="118">
        <v>10834</v>
      </c>
      <c r="J6" s="118">
        <v>10437</v>
      </c>
      <c r="K6" s="118">
        <v>11941</v>
      </c>
      <c r="L6" s="118">
        <v>9603</v>
      </c>
      <c r="M6" s="118">
        <v>10297</v>
      </c>
      <c r="N6" s="118">
        <v>10366</v>
      </c>
      <c r="O6" s="118">
        <v>11227</v>
      </c>
      <c r="P6" s="118">
        <v>9863</v>
      </c>
      <c r="Q6" s="118">
        <v>10716</v>
      </c>
      <c r="R6" s="118">
        <v>11311</v>
      </c>
      <c r="S6" s="118">
        <v>12220</v>
      </c>
      <c r="T6" s="118">
        <v>9960</v>
      </c>
      <c r="U6" s="118">
        <v>10711</v>
      </c>
      <c r="V6" s="118">
        <v>11171</v>
      </c>
      <c r="W6" s="118">
        <v>12004</v>
      </c>
      <c r="X6" s="118">
        <v>10692</v>
      </c>
      <c r="Y6" s="118">
        <v>11321</v>
      </c>
      <c r="Z6" s="118">
        <v>11730</v>
      </c>
      <c r="AA6" s="118">
        <v>12672</v>
      </c>
      <c r="AB6" s="118">
        <v>10583</v>
      </c>
      <c r="AC6" s="118">
        <v>9530</v>
      </c>
      <c r="AD6" s="118">
        <v>10008</v>
      </c>
      <c r="AE6" s="118">
        <v>10597</v>
      </c>
      <c r="AF6" s="118">
        <v>9500</v>
      </c>
      <c r="AG6" s="118">
        <v>9895</v>
      </c>
      <c r="AH6" s="118">
        <v>10724</v>
      </c>
      <c r="AI6" s="118">
        <v>11232</v>
      </c>
      <c r="AJ6" s="118">
        <v>9928</v>
      </c>
      <c r="AK6" s="118">
        <v>10628</v>
      </c>
      <c r="AL6" s="118">
        <v>11168</v>
      </c>
      <c r="AM6" s="118">
        <v>12561</v>
      </c>
      <c r="AN6" s="118">
        <v>11388</v>
      </c>
      <c r="AO6" s="118">
        <v>12516</v>
      </c>
      <c r="AP6" s="118">
        <v>12664</v>
      </c>
      <c r="AQ6" s="118">
        <v>13860</v>
      </c>
      <c r="AR6" s="118">
        <v>12571</v>
      </c>
      <c r="AS6" s="118">
        <v>13862</v>
      </c>
      <c r="AT6" s="118">
        <v>14603</v>
      </c>
      <c r="AU6" s="118">
        <v>16085</v>
      </c>
      <c r="AV6" s="118">
        <v>14751</v>
      </c>
      <c r="AW6" s="118">
        <v>16563</v>
      </c>
      <c r="AX6" s="118">
        <v>17157</v>
      </c>
      <c r="AY6" s="118">
        <v>18434</v>
      </c>
      <c r="AZ6" s="118">
        <v>17758</v>
      </c>
    </row>
    <row r="7" spans="2:52" x14ac:dyDescent="0.2">
      <c r="B7" s="129" t="s">
        <v>494</v>
      </c>
      <c r="C7" s="118">
        <v>11792</v>
      </c>
      <c r="D7" s="118">
        <v>8994</v>
      </c>
      <c r="E7" s="160">
        <v>6647</v>
      </c>
      <c r="F7" s="118">
        <v>8806</v>
      </c>
      <c r="G7" s="118">
        <v>10966</v>
      </c>
      <c r="H7" s="118">
        <v>8835</v>
      </c>
      <c r="I7" s="118">
        <v>4518</v>
      </c>
      <c r="J7" s="118">
        <v>7077</v>
      </c>
      <c r="K7" s="118">
        <v>8084</v>
      </c>
      <c r="L7" s="118">
        <v>6781</v>
      </c>
      <c r="M7" s="118">
        <v>5011</v>
      </c>
      <c r="N7" s="118">
        <v>6689</v>
      </c>
      <c r="O7" s="118">
        <v>6627</v>
      </c>
      <c r="P7" s="118">
        <v>7021</v>
      </c>
      <c r="Q7" s="118">
        <v>4449</v>
      </c>
      <c r="R7" s="118">
        <v>5791</v>
      </c>
      <c r="S7" s="118">
        <v>7783</v>
      </c>
      <c r="T7" s="118">
        <v>3624</v>
      </c>
      <c r="U7" s="118">
        <v>4062</v>
      </c>
      <c r="V7" s="118">
        <v>5538</v>
      </c>
      <c r="W7" s="118">
        <v>7888</v>
      </c>
      <c r="X7" s="118">
        <v>2852</v>
      </c>
      <c r="Y7" s="118">
        <v>4828</v>
      </c>
      <c r="Z7" s="118">
        <v>6409</v>
      </c>
      <c r="AA7" s="118">
        <v>8814</v>
      </c>
      <c r="AB7" s="118">
        <v>3893</v>
      </c>
      <c r="AC7" s="118">
        <v>4573</v>
      </c>
      <c r="AD7" s="118">
        <v>5017</v>
      </c>
      <c r="AE7" s="118">
        <v>6150</v>
      </c>
      <c r="AF7" s="118">
        <v>2520</v>
      </c>
      <c r="AG7" s="118">
        <v>4533</v>
      </c>
      <c r="AH7" s="118">
        <v>5505</v>
      </c>
      <c r="AI7" s="118">
        <v>8425</v>
      </c>
      <c r="AJ7" s="118">
        <v>3145</v>
      </c>
      <c r="AK7" s="118">
        <v>4384</v>
      </c>
      <c r="AL7" s="118">
        <v>5995</v>
      </c>
      <c r="AM7" s="118">
        <v>8444</v>
      </c>
      <c r="AN7" s="118">
        <v>2961</v>
      </c>
      <c r="AO7" s="118">
        <v>5514</v>
      </c>
      <c r="AP7" s="118">
        <v>7381</v>
      </c>
      <c r="AQ7" s="118">
        <v>9898</v>
      </c>
      <c r="AR7" s="118">
        <v>3240</v>
      </c>
      <c r="AS7" s="118">
        <v>5674</v>
      </c>
      <c r="AT7" s="118">
        <v>7666</v>
      </c>
      <c r="AU7" s="118">
        <v>10581</v>
      </c>
      <c r="AV7" s="118">
        <v>3414</v>
      </c>
      <c r="AW7" s="118">
        <v>7029</v>
      </c>
      <c r="AX7" s="118">
        <v>9325</v>
      </c>
      <c r="AY7" s="118">
        <v>12547</v>
      </c>
      <c r="AZ7" s="118">
        <v>3841</v>
      </c>
    </row>
    <row r="8" spans="2:52" x14ac:dyDescent="0.2">
      <c r="B8" s="129" t="s">
        <v>280</v>
      </c>
      <c r="C8" s="118">
        <v>6484</v>
      </c>
      <c r="D8" s="118">
        <v>2541</v>
      </c>
      <c r="E8" s="160">
        <v>2790</v>
      </c>
      <c r="F8" s="118">
        <v>5211</v>
      </c>
      <c r="G8" s="118">
        <v>6822</v>
      </c>
      <c r="H8" s="118">
        <v>6633</v>
      </c>
      <c r="I8" s="118">
        <v>6883</v>
      </c>
      <c r="J8" s="118">
        <v>6923</v>
      </c>
      <c r="K8" s="118">
        <v>8199</v>
      </c>
      <c r="L8" s="118">
        <v>7807</v>
      </c>
      <c r="M8" s="118">
        <v>8124</v>
      </c>
      <c r="N8" s="118">
        <v>7922</v>
      </c>
      <c r="O8" s="118">
        <v>8070</v>
      </c>
      <c r="P8" s="118">
        <v>7719</v>
      </c>
      <c r="Q8" s="261">
        <v>2455</v>
      </c>
      <c r="R8" s="118">
        <v>2432</v>
      </c>
      <c r="S8" s="118">
        <v>2645</v>
      </c>
      <c r="T8" s="118">
        <v>2683</v>
      </c>
      <c r="U8" s="118">
        <v>2437</v>
      </c>
      <c r="V8" s="118">
        <v>2558</v>
      </c>
      <c r="W8" s="118">
        <v>2695</v>
      </c>
      <c r="X8" s="118">
        <v>2488</v>
      </c>
      <c r="Y8" s="118">
        <v>2678</v>
      </c>
      <c r="Z8" s="118">
        <v>2737</v>
      </c>
      <c r="AA8" s="118">
        <v>2925</v>
      </c>
      <c r="AB8" s="118">
        <v>2695</v>
      </c>
      <c r="AC8" s="118">
        <v>5430</v>
      </c>
      <c r="AD8" s="118">
        <v>4610</v>
      </c>
      <c r="AE8" s="118">
        <v>2333</v>
      </c>
      <c r="AF8" s="118">
        <v>2206</v>
      </c>
      <c r="AG8" s="118">
        <v>2051</v>
      </c>
      <c r="AH8" s="118">
        <v>2135</v>
      </c>
      <c r="AI8" s="118">
        <v>2609</v>
      </c>
      <c r="AJ8" s="118">
        <v>2622</v>
      </c>
      <c r="AK8" s="118">
        <v>2679</v>
      </c>
      <c r="AL8" s="118">
        <v>2694</v>
      </c>
      <c r="AM8" s="118">
        <v>3002</v>
      </c>
      <c r="AN8" s="118">
        <v>2897</v>
      </c>
      <c r="AO8" s="118">
        <v>3365</v>
      </c>
      <c r="AP8" s="118">
        <v>3422</v>
      </c>
      <c r="AQ8" s="118">
        <v>3465</v>
      </c>
      <c r="AR8" s="118">
        <v>3394</v>
      </c>
      <c r="AS8" s="118">
        <v>3604</v>
      </c>
      <c r="AT8" s="118">
        <v>3869</v>
      </c>
      <c r="AU8" s="118">
        <v>3907</v>
      </c>
      <c r="AV8" s="118">
        <v>4528</v>
      </c>
      <c r="AW8" s="118">
        <v>5634</v>
      </c>
      <c r="AX8" s="118">
        <v>6483</v>
      </c>
      <c r="AY8" s="118">
        <v>7913</v>
      </c>
      <c r="AZ8" s="118">
        <v>7968</v>
      </c>
    </row>
    <row r="9" spans="2:52" x14ac:dyDescent="0.2">
      <c r="B9" s="129" t="s">
        <v>283</v>
      </c>
      <c r="C9" s="118">
        <v>0</v>
      </c>
      <c r="D9" s="118">
        <v>2698</v>
      </c>
      <c r="E9" s="160">
        <v>3896</v>
      </c>
      <c r="F9" s="118">
        <v>5784</v>
      </c>
      <c r="G9" s="118">
        <v>0</v>
      </c>
      <c r="H9" s="118">
        <v>2062</v>
      </c>
      <c r="I9" s="118">
        <v>3804</v>
      </c>
      <c r="J9" s="118">
        <v>5517</v>
      </c>
      <c r="K9" s="118">
        <v>0</v>
      </c>
      <c r="L9" s="118">
        <v>1833</v>
      </c>
      <c r="M9" s="118">
        <v>3640</v>
      </c>
      <c r="N9" s="118">
        <v>5388</v>
      </c>
      <c r="O9" s="118">
        <v>0</v>
      </c>
      <c r="P9" s="118">
        <v>1899</v>
      </c>
      <c r="Q9" s="118">
        <v>3850</v>
      </c>
      <c r="R9" s="118">
        <v>5826</v>
      </c>
      <c r="S9" s="118">
        <v>0</v>
      </c>
      <c r="T9" s="118">
        <v>1885</v>
      </c>
      <c r="U9" s="118">
        <v>3831</v>
      </c>
      <c r="V9" s="118">
        <v>5720</v>
      </c>
      <c r="W9" s="118">
        <v>0</v>
      </c>
      <c r="X9" s="118">
        <v>2002</v>
      </c>
      <c r="Y9" s="118">
        <v>4084</v>
      </c>
      <c r="Z9" s="118">
        <v>6157</v>
      </c>
      <c r="AA9" s="118">
        <v>0</v>
      </c>
      <c r="AB9" s="118">
        <v>2089</v>
      </c>
      <c r="AC9" s="118">
        <v>3289</v>
      </c>
      <c r="AD9" s="118">
        <v>4964</v>
      </c>
      <c r="AE9" s="118">
        <v>0</v>
      </c>
      <c r="AF9" s="118">
        <v>1756</v>
      </c>
      <c r="AG9" s="118">
        <v>3374</v>
      </c>
      <c r="AH9" s="118">
        <v>4952</v>
      </c>
      <c r="AI9" s="118">
        <v>0</v>
      </c>
      <c r="AJ9" s="118">
        <v>1845</v>
      </c>
      <c r="AK9" s="118">
        <v>3812</v>
      </c>
      <c r="AL9" s="118">
        <v>5717</v>
      </c>
      <c r="AM9" s="118">
        <v>0</v>
      </c>
      <c r="AN9" s="118">
        <v>2196</v>
      </c>
      <c r="AO9" s="118">
        <v>4556</v>
      </c>
      <c r="AP9" s="118">
        <v>6729</v>
      </c>
      <c r="AQ9" s="118">
        <v>0</v>
      </c>
      <c r="AR9" s="118">
        <v>2431</v>
      </c>
      <c r="AS9" s="118">
        <v>5092</v>
      </c>
      <c r="AT9" s="118">
        <v>7809</v>
      </c>
      <c r="AU9" s="118">
        <v>0</v>
      </c>
      <c r="AV9" s="118">
        <v>2857</v>
      </c>
      <c r="AW9" s="118">
        <v>6069</v>
      </c>
      <c r="AX9" s="118">
        <v>9194</v>
      </c>
      <c r="AY9" s="118">
        <v>0</v>
      </c>
      <c r="AZ9" s="118">
        <v>3312</v>
      </c>
    </row>
    <row r="10" spans="2:52" x14ac:dyDescent="0.2">
      <c r="B10" s="129" t="s">
        <v>281</v>
      </c>
      <c r="C10" s="118">
        <v>2028</v>
      </c>
      <c r="D10" s="118">
        <v>682</v>
      </c>
      <c r="E10" s="160">
        <v>371</v>
      </c>
      <c r="F10" s="118">
        <v>540</v>
      </c>
      <c r="G10" s="118">
        <v>738</v>
      </c>
      <c r="H10" s="118">
        <v>405</v>
      </c>
      <c r="I10" s="118">
        <v>457</v>
      </c>
      <c r="J10" s="118">
        <v>488</v>
      </c>
      <c r="K10" s="118">
        <v>779</v>
      </c>
      <c r="L10" s="118">
        <v>454</v>
      </c>
      <c r="M10" s="118">
        <v>548</v>
      </c>
      <c r="N10" s="118">
        <v>768</v>
      </c>
      <c r="O10" s="118">
        <v>702</v>
      </c>
      <c r="P10" s="118">
        <v>477</v>
      </c>
      <c r="Q10" s="118">
        <v>501</v>
      </c>
      <c r="R10" s="118">
        <v>508</v>
      </c>
      <c r="S10" s="118">
        <v>780</v>
      </c>
      <c r="T10" s="118">
        <v>567</v>
      </c>
      <c r="U10" s="118">
        <v>491</v>
      </c>
      <c r="V10" s="118">
        <v>519</v>
      </c>
      <c r="W10" s="118">
        <v>765</v>
      </c>
      <c r="X10" s="118">
        <v>508</v>
      </c>
      <c r="Y10" s="118">
        <v>544</v>
      </c>
      <c r="Z10" s="118">
        <v>541</v>
      </c>
      <c r="AA10" s="118">
        <v>766</v>
      </c>
      <c r="AB10" s="118">
        <v>587</v>
      </c>
      <c r="AC10" s="118">
        <v>1442</v>
      </c>
      <c r="AD10" s="118">
        <v>963</v>
      </c>
      <c r="AE10" s="118">
        <v>684</v>
      </c>
      <c r="AF10" s="118">
        <v>451</v>
      </c>
      <c r="AG10" s="118">
        <v>1249</v>
      </c>
      <c r="AH10" s="118">
        <v>1610</v>
      </c>
      <c r="AI10" s="118">
        <v>726</v>
      </c>
      <c r="AJ10" s="118">
        <v>525</v>
      </c>
      <c r="AK10" s="118">
        <v>437</v>
      </c>
      <c r="AL10" s="118">
        <v>525</v>
      </c>
      <c r="AM10" s="118">
        <v>820</v>
      </c>
      <c r="AN10" s="118">
        <v>570</v>
      </c>
      <c r="AO10" s="118">
        <v>661</v>
      </c>
      <c r="AP10" s="118">
        <v>674</v>
      </c>
      <c r="AQ10" s="118">
        <v>984</v>
      </c>
      <c r="AR10" s="118">
        <v>702</v>
      </c>
      <c r="AS10" s="118">
        <v>726</v>
      </c>
      <c r="AT10" s="118">
        <v>746</v>
      </c>
      <c r="AU10" s="118">
        <v>1123</v>
      </c>
      <c r="AV10" s="118">
        <v>779</v>
      </c>
      <c r="AW10" s="118">
        <v>909</v>
      </c>
      <c r="AX10" s="118">
        <v>968</v>
      </c>
      <c r="AY10" s="118">
        <v>1814</v>
      </c>
      <c r="AZ10" s="118">
        <v>1518</v>
      </c>
    </row>
    <row r="11" spans="2:52" x14ac:dyDescent="0.2">
      <c r="B11" s="129" t="s">
        <v>128</v>
      </c>
      <c r="C11" s="118">
        <v>2609</v>
      </c>
      <c r="D11" s="118">
        <v>1259</v>
      </c>
      <c r="E11" s="160">
        <v>1481</v>
      </c>
      <c r="F11" s="118">
        <v>1189</v>
      </c>
      <c r="G11" s="118">
        <v>1311</v>
      </c>
      <c r="H11" s="118">
        <v>1459</v>
      </c>
      <c r="I11" s="118">
        <v>1271</v>
      </c>
      <c r="J11" s="118">
        <v>600</v>
      </c>
      <c r="K11" s="118">
        <v>905</v>
      </c>
      <c r="L11" s="118">
        <v>805</v>
      </c>
      <c r="M11" s="118">
        <v>908</v>
      </c>
      <c r="N11" s="118">
        <v>690</v>
      </c>
      <c r="O11" s="118">
        <v>863</v>
      </c>
      <c r="P11" s="118">
        <v>683</v>
      </c>
      <c r="Q11" s="118">
        <v>562</v>
      </c>
      <c r="R11" s="118">
        <v>719</v>
      </c>
      <c r="S11" s="118">
        <v>1216</v>
      </c>
      <c r="T11" s="118">
        <v>1943</v>
      </c>
      <c r="U11" s="118">
        <v>758</v>
      </c>
      <c r="V11" s="118">
        <v>834</v>
      </c>
      <c r="W11" s="118">
        <v>909</v>
      </c>
      <c r="X11" s="118">
        <v>2056</v>
      </c>
      <c r="Y11" s="118">
        <v>813</v>
      </c>
      <c r="Z11" s="118">
        <v>588</v>
      </c>
      <c r="AA11" s="118">
        <v>1086</v>
      </c>
      <c r="AB11" s="118">
        <v>2153</v>
      </c>
      <c r="AC11" s="118">
        <v>603</v>
      </c>
      <c r="AD11" s="118">
        <v>567</v>
      </c>
      <c r="AE11" s="118">
        <v>977</v>
      </c>
      <c r="AF11" s="118">
        <v>1582</v>
      </c>
      <c r="AG11" s="118">
        <v>640</v>
      </c>
      <c r="AH11" s="118">
        <v>673</v>
      </c>
      <c r="AI11" s="118">
        <v>1464</v>
      </c>
      <c r="AJ11" s="118">
        <v>2194</v>
      </c>
      <c r="AK11" s="118">
        <v>908</v>
      </c>
      <c r="AL11" s="118">
        <v>894</v>
      </c>
      <c r="AM11" s="118">
        <v>1534</v>
      </c>
      <c r="AN11" s="118">
        <v>2571</v>
      </c>
      <c r="AO11" s="118">
        <v>1025</v>
      </c>
      <c r="AP11" s="118">
        <v>1511</v>
      </c>
      <c r="AQ11" s="118">
        <v>2022</v>
      </c>
      <c r="AR11" s="118">
        <v>2887</v>
      </c>
      <c r="AS11" s="118">
        <v>1172</v>
      </c>
      <c r="AT11" s="118">
        <v>1166</v>
      </c>
      <c r="AU11" s="118">
        <v>1734</v>
      </c>
      <c r="AV11" s="118">
        <v>3154</v>
      </c>
      <c r="AW11" s="118">
        <v>1354</v>
      </c>
      <c r="AX11" s="118">
        <v>1215</v>
      </c>
      <c r="AY11" s="118">
        <v>1974</v>
      </c>
      <c r="AZ11" s="118">
        <v>3130</v>
      </c>
    </row>
    <row r="12" spans="2:52" s="311" customFormat="1" hidden="1" outlineLevel="1" x14ac:dyDescent="0.2">
      <c r="B12" s="318" t="s">
        <v>282</v>
      </c>
      <c r="C12" s="312">
        <v>185</v>
      </c>
      <c r="D12" s="312">
        <v>4</v>
      </c>
      <c r="E12" s="319">
        <v>23</v>
      </c>
      <c r="F12" s="312">
        <v>0</v>
      </c>
      <c r="G12" s="312">
        <v>0</v>
      </c>
      <c r="H12" s="312">
        <v>0</v>
      </c>
      <c r="I12" s="312">
        <v>0</v>
      </c>
      <c r="J12" s="312">
        <v>0</v>
      </c>
      <c r="K12" s="312">
        <v>0</v>
      </c>
      <c r="L12" s="312">
        <v>0</v>
      </c>
      <c r="M12" s="312">
        <v>0</v>
      </c>
      <c r="N12" s="312">
        <v>0</v>
      </c>
      <c r="O12" s="312">
        <v>0</v>
      </c>
      <c r="P12" s="312">
        <v>0</v>
      </c>
      <c r="Q12" s="312">
        <v>0</v>
      </c>
      <c r="R12" s="118">
        <v>0</v>
      </c>
      <c r="S12" s="118">
        <v>0</v>
      </c>
      <c r="T12" s="118">
        <v>0</v>
      </c>
      <c r="U12" s="118">
        <v>0</v>
      </c>
      <c r="V12" s="118">
        <v>0</v>
      </c>
      <c r="W12" s="118">
        <v>0</v>
      </c>
      <c r="X12" s="118">
        <v>0</v>
      </c>
      <c r="Y12" s="118"/>
      <c r="Z12" s="118">
        <v>0</v>
      </c>
      <c r="AA12" s="118">
        <v>0</v>
      </c>
      <c r="AB12" s="118">
        <v>0</v>
      </c>
      <c r="AC12" s="118">
        <v>0</v>
      </c>
      <c r="AD12" s="118">
        <v>0</v>
      </c>
      <c r="AE12" s="118">
        <v>0</v>
      </c>
      <c r="AF12" s="118">
        <v>0</v>
      </c>
      <c r="AG12" s="118">
        <v>0</v>
      </c>
      <c r="AH12" s="118">
        <v>0</v>
      </c>
      <c r="AI12" s="118">
        <v>0</v>
      </c>
      <c r="AJ12" s="118">
        <v>0</v>
      </c>
      <c r="AK12" s="118">
        <v>0</v>
      </c>
      <c r="AL12" s="118">
        <v>0</v>
      </c>
      <c r="AM12" s="118">
        <v>0</v>
      </c>
      <c r="AN12" s="118">
        <v>0</v>
      </c>
      <c r="AO12" s="118">
        <v>0</v>
      </c>
      <c r="AP12" s="118">
        <v>0</v>
      </c>
      <c r="AQ12" s="118">
        <v>0</v>
      </c>
      <c r="AR12" s="118">
        <v>0</v>
      </c>
      <c r="AS12" s="118"/>
      <c r="AT12" s="118"/>
      <c r="AU12" s="118"/>
      <c r="AV12" s="118"/>
      <c r="AW12" s="118">
        <v>0</v>
      </c>
      <c r="AX12" s="118">
        <v>0</v>
      </c>
      <c r="AY12" s="118">
        <v>0</v>
      </c>
      <c r="AZ12" s="118">
        <v>0</v>
      </c>
    </row>
    <row r="13" spans="2:52" collapsed="1" x14ac:dyDescent="0.2">
      <c r="B13" s="126" t="s">
        <v>112</v>
      </c>
      <c r="C13" s="120">
        <f t="shared" ref="C13:Q13" si="0">SUM(C6:C12)</f>
        <v>42636</v>
      </c>
      <c r="D13" s="120">
        <f t="shared" si="0"/>
        <v>30217</v>
      </c>
      <c r="E13" s="162">
        <f t="shared" si="0"/>
        <v>26005</v>
      </c>
      <c r="F13" s="120">
        <f t="shared" si="0"/>
        <v>32385</v>
      </c>
      <c r="G13" s="120">
        <f t="shared" si="0"/>
        <v>31728</v>
      </c>
      <c r="H13" s="120">
        <f t="shared" si="0"/>
        <v>30293</v>
      </c>
      <c r="I13" s="120">
        <f t="shared" si="0"/>
        <v>27767</v>
      </c>
      <c r="J13" s="120">
        <f t="shared" si="0"/>
        <v>31042</v>
      </c>
      <c r="K13" s="120">
        <f t="shared" si="0"/>
        <v>29908</v>
      </c>
      <c r="L13" s="120">
        <f t="shared" si="0"/>
        <v>27283</v>
      </c>
      <c r="M13" s="120">
        <f t="shared" si="0"/>
        <v>28528</v>
      </c>
      <c r="N13" s="120">
        <f t="shared" si="0"/>
        <v>31823</v>
      </c>
      <c r="O13" s="120">
        <f t="shared" si="0"/>
        <v>27489</v>
      </c>
      <c r="P13" s="120">
        <f t="shared" si="0"/>
        <v>27662</v>
      </c>
      <c r="Q13" s="120">
        <f t="shared" si="0"/>
        <v>22533</v>
      </c>
      <c r="R13" s="120">
        <f t="shared" ref="R13:AA13" si="1">SUM(R6:R12)</f>
        <v>26587</v>
      </c>
      <c r="S13" s="120">
        <f t="shared" si="1"/>
        <v>24644</v>
      </c>
      <c r="T13" s="120">
        <f t="shared" si="1"/>
        <v>20662</v>
      </c>
      <c r="U13" s="120">
        <f t="shared" si="1"/>
        <v>22290</v>
      </c>
      <c r="V13" s="120">
        <f t="shared" si="1"/>
        <v>26340</v>
      </c>
      <c r="W13" s="120">
        <f t="shared" si="1"/>
        <v>24261</v>
      </c>
      <c r="X13" s="120">
        <f t="shared" si="1"/>
        <v>20598</v>
      </c>
      <c r="Y13" s="120">
        <f t="shared" si="1"/>
        <v>24268</v>
      </c>
      <c r="Z13" s="120">
        <f t="shared" si="1"/>
        <v>28162</v>
      </c>
      <c r="AA13" s="120">
        <f t="shared" si="1"/>
        <v>26263</v>
      </c>
      <c r="AB13" s="120">
        <f t="shared" ref="AB13:AJ13" si="2">SUM(AB6:AB12)</f>
        <v>22000</v>
      </c>
      <c r="AC13" s="120">
        <f t="shared" si="2"/>
        <v>24867</v>
      </c>
      <c r="AD13" s="120">
        <f t="shared" si="2"/>
        <v>26129</v>
      </c>
      <c r="AE13" s="120">
        <f t="shared" si="2"/>
        <v>20741</v>
      </c>
      <c r="AF13" s="120">
        <f t="shared" si="2"/>
        <v>18015</v>
      </c>
      <c r="AG13" s="120">
        <f t="shared" si="2"/>
        <v>21742</v>
      </c>
      <c r="AH13" s="120">
        <f t="shared" si="2"/>
        <v>25599</v>
      </c>
      <c r="AI13" s="120">
        <f t="shared" si="2"/>
        <v>24456</v>
      </c>
      <c r="AJ13" s="120">
        <f t="shared" si="2"/>
        <v>20259</v>
      </c>
      <c r="AK13" s="120">
        <f>SUM(AK6:AK12)</f>
        <v>22848</v>
      </c>
      <c r="AL13" s="120">
        <f>SUM(AL6:AL12)</f>
        <v>26993</v>
      </c>
      <c r="AM13" s="120">
        <f t="shared" ref="AM13:AS13" si="3">SUM(AM6:AM11)</f>
        <v>26361</v>
      </c>
      <c r="AN13" s="120">
        <f t="shared" si="3"/>
        <v>22583</v>
      </c>
      <c r="AO13" s="120">
        <f t="shared" si="3"/>
        <v>27637</v>
      </c>
      <c r="AP13" s="120">
        <f t="shared" si="3"/>
        <v>32381</v>
      </c>
      <c r="AQ13" s="120">
        <f t="shared" si="3"/>
        <v>30229</v>
      </c>
      <c r="AR13" s="120">
        <f t="shared" si="3"/>
        <v>25225</v>
      </c>
      <c r="AS13" s="120">
        <f t="shared" si="3"/>
        <v>30130</v>
      </c>
      <c r="AT13" s="120">
        <f t="shared" ref="AT13:AY13" si="4">SUM(AT6:AT11)</f>
        <v>35859</v>
      </c>
      <c r="AU13" s="120">
        <f t="shared" si="4"/>
        <v>33430</v>
      </c>
      <c r="AV13" s="120">
        <f t="shared" si="4"/>
        <v>29483</v>
      </c>
      <c r="AW13" s="120">
        <f t="shared" si="4"/>
        <v>37558</v>
      </c>
      <c r="AX13" s="120">
        <f t="shared" si="4"/>
        <v>44342</v>
      </c>
      <c r="AY13" s="120">
        <f t="shared" si="4"/>
        <v>42682</v>
      </c>
      <c r="AZ13" s="120">
        <f>SUM(AZ6:AZ11)</f>
        <v>37527</v>
      </c>
    </row>
    <row r="14" spans="2:52" s="550" customFormat="1" x14ac:dyDescent="0.2">
      <c r="B14" s="595"/>
      <c r="C14" s="596">
        <f>+C13-BP!R49</f>
        <v>0</v>
      </c>
      <c r="D14" s="596">
        <f>+D13-BP!S49</f>
        <v>0</v>
      </c>
      <c r="E14" s="596">
        <f>+E13-BP!T49</f>
        <v>0</v>
      </c>
      <c r="F14" s="596">
        <f>+F13-BP!U49</f>
        <v>0</v>
      </c>
      <c r="G14" s="596">
        <f>+G13-BP!V49</f>
        <v>0</v>
      </c>
      <c r="H14" s="596">
        <f>+H13-BP!W49</f>
        <v>0</v>
      </c>
      <c r="I14" s="596">
        <f>+I13-BP!X49</f>
        <v>0</v>
      </c>
      <c r="J14" s="596">
        <f>+J13-BP!Y49</f>
        <v>0</v>
      </c>
      <c r="K14" s="596">
        <f>+K13-BP!Z49</f>
        <v>0</v>
      </c>
      <c r="L14" s="596">
        <f>+L13-BP!AA49</f>
        <v>0</v>
      </c>
      <c r="M14" s="596">
        <f>+M13-BP!AB49</f>
        <v>0</v>
      </c>
      <c r="N14" s="596">
        <f>+N13-BP!AC49</f>
        <v>0</v>
      </c>
      <c r="O14" s="596">
        <f>+O13-BP!AD49</f>
        <v>0</v>
      </c>
      <c r="P14" s="596">
        <f>+P13-BP!AE49</f>
        <v>0</v>
      </c>
      <c r="Q14" s="596">
        <f>+Q13-BP!AF49</f>
        <v>0</v>
      </c>
      <c r="R14" s="596">
        <f>+R13-BP!AG49</f>
        <v>0</v>
      </c>
      <c r="S14" s="596">
        <f>+S13-BP!AI49</f>
        <v>3982</v>
      </c>
      <c r="T14" s="596">
        <f>+T13-BP!AJ49</f>
        <v>-1628</v>
      </c>
      <c r="U14" s="596">
        <f>+U13-BP!AK49</f>
        <v>-4050</v>
      </c>
      <c r="V14" s="596">
        <f>+V13-BP!AL49</f>
        <v>2079</v>
      </c>
      <c r="W14" s="596">
        <f>+W13-BP!AM49</f>
        <v>3663</v>
      </c>
      <c r="X14" s="596">
        <f>+X13-BP!AP49</f>
        <v>-5665</v>
      </c>
      <c r="Y14" s="596"/>
      <c r="Z14" s="596">
        <v>28162</v>
      </c>
      <c r="AA14" s="596">
        <f>+AA13-BP!AQ49</f>
        <v>4263</v>
      </c>
      <c r="AB14" s="596">
        <f>+AB13-BP!AR49</f>
        <v>-2867</v>
      </c>
      <c r="AC14" s="596">
        <f>+AC13-BP!AS49</f>
        <v>-1262</v>
      </c>
      <c r="AD14" s="596">
        <f>+AD13-BP!AT49</f>
        <v>5388</v>
      </c>
      <c r="AE14" s="596">
        <f>+AE13-BP!AV49</f>
        <v>-1001</v>
      </c>
      <c r="AF14" s="596">
        <f>+AF13-BP!AW49</f>
        <v>-7584</v>
      </c>
      <c r="AG14" s="596">
        <f>+AG13-BP!AZ49</f>
        <v>-1106</v>
      </c>
      <c r="AH14" s="596">
        <v>25599</v>
      </c>
      <c r="AI14" s="596"/>
      <c r="AJ14" s="596">
        <v>20259</v>
      </c>
      <c r="AK14" s="596">
        <f>+AK13-BP!BB49</f>
        <v>-3513</v>
      </c>
      <c r="AL14" s="596">
        <f>+AL13-BP!BC49</f>
        <v>4410</v>
      </c>
      <c r="AM14" s="596">
        <f>+AM13-BP!BD49</f>
        <v>-1276</v>
      </c>
      <c r="AN14" s="596">
        <f>+AN13-BP!BE49</f>
        <v>-9798</v>
      </c>
      <c r="AO14" s="596">
        <f>+AO13-BP!BF49</f>
        <v>-2592</v>
      </c>
      <c r="AP14" s="596">
        <f>+AP13-BP!BM49</f>
        <v>-11961</v>
      </c>
      <c r="AQ14" s="596">
        <f>+AQ13-BP!BP49</f>
        <v>30229</v>
      </c>
      <c r="AR14" s="596">
        <f>+AR13-BP!BQ49</f>
        <v>25225</v>
      </c>
      <c r="AS14" s="596"/>
      <c r="AT14" s="596"/>
      <c r="AU14" s="596"/>
      <c r="AV14" s="596">
        <f>+AV13-BP!BQ49</f>
        <v>29483</v>
      </c>
      <c r="AW14" s="596">
        <f>+AW13-BP!BR49</f>
        <v>37558</v>
      </c>
      <c r="AX14" s="596">
        <f>+AX13-BP!BS49</f>
        <v>44342</v>
      </c>
      <c r="AY14" s="596">
        <f>+AY13-BP!BT49</f>
        <v>42682</v>
      </c>
      <c r="AZ14" s="596">
        <f>+AZ13-BP!BU49</f>
        <v>37527</v>
      </c>
    </row>
    <row r="15" spans="2:52" x14ac:dyDescent="0.2">
      <c r="B15" s="145" t="s">
        <v>97</v>
      </c>
      <c r="C15" s="115">
        <f>C5</f>
        <v>2013</v>
      </c>
      <c r="D15" s="115" t="str">
        <f t="shared" ref="D15:R15" si="5">D5</f>
        <v>1T14</v>
      </c>
      <c r="E15" s="115" t="str">
        <f t="shared" si="5"/>
        <v>2T14</v>
      </c>
      <c r="F15" s="115" t="str">
        <f t="shared" si="5"/>
        <v>3T14</v>
      </c>
      <c r="G15" s="115" t="str">
        <f t="shared" si="5"/>
        <v>4T14</v>
      </c>
      <c r="H15" s="115" t="str">
        <f t="shared" si="5"/>
        <v>1T15</v>
      </c>
      <c r="I15" s="115" t="str">
        <f t="shared" si="5"/>
        <v>2T15</v>
      </c>
      <c r="J15" s="115" t="str">
        <f t="shared" si="5"/>
        <v>3T15</v>
      </c>
      <c r="K15" s="115" t="str">
        <f t="shared" si="5"/>
        <v>4T15</v>
      </c>
      <c r="L15" s="115" t="str">
        <f t="shared" si="5"/>
        <v>1T16</v>
      </c>
      <c r="M15" s="115" t="str">
        <f t="shared" si="5"/>
        <v>2T16</v>
      </c>
      <c r="N15" s="115" t="str">
        <f t="shared" si="5"/>
        <v>3T16</v>
      </c>
      <c r="O15" s="115" t="str">
        <f t="shared" si="5"/>
        <v>4T16</v>
      </c>
      <c r="P15" s="115" t="str">
        <f t="shared" si="5"/>
        <v>1T17</v>
      </c>
      <c r="Q15" s="115" t="str">
        <f t="shared" si="5"/>
        <v>2T17</v>
      </c>
      <c r="R15" s="115" t="str">
        <f t="shared" si="5"/>
        <v>3T17</v>
      </c>
      <c r="S15" s="115" t="str">
        <f t="shared" ref="S15:AA15" si="6">S5</f>
        <v>4T17</v>
      </c>
      <c r="T15" s="115" t="str">
        <f t="shared" si="6"/>
        <v>1T18</v>
      </c>
      <c r="U15" s="115" t="str">
        <f t="shared" si="6"/>
        <v>2T18</v>
      </c>
      <c r="V15" s="115" t="str">
        <f t="shared" si="6"/>
        <v>3T18</v>
      </c>
      <c r="W15" s="115" t="str">
        <f t="shared" si="6"/>
        <v>4T18</v>
      </c>
      <c r="X15" s="115" t="str">
        <f t="shared" si="6"/>
        <v>1T19</v>
      </c>
      <c r="Y15" s="115" t="str">
        <f t="shared" si="6"/>
        <v>2T19</v>
      </c>
      <c r="Z15" s="115" t="str">
        <f t="shared" si="6"/>
        <v>3T19</v>
      </c>
      <c r="AA15" s="115" t="str">
        <f t="shared" si="6"/>
        <v>4T19</v>
      </c>
      <c r="AB15" s="115" t="str">
        <f t="shared" ref="AB15:AJ15" si="7">AB5</f>
        <v>1T20</v>
      </c>
      <c r="AC15" s="115" t="str">
        <f t="shared" si="7"/>
        <v>2T20</v>
      </c>
      <c r="AD15" s="115" t="str">
        <f t="shared" si="7"/>
        <v>3T20</v>
      </c>
      <c r="AE15" s="115" t="str">
        <f t="shared" si="7"/>
        <v>4T20</v>
      </c>
      <c r="AF15" s="115" t="str">
        <f t="shared" si="7"/>
        <v>1T21</v>
      </c>
      <c r="AG15" s="115" t="str">
        <f t="shared" si="7"/>
        <v>2T21</v>
      </c>
      <c r="AH15" s="115" t="str">
        <f t="shared" si="7"/>
        <v>3T21</v>
      </c>
      <c r="AI15" s="115" t="str">
        <f t="shared" si="7"/>
        <v>4T21</v>
      </c>
      <c r="AJ15" s="115" t="str">
        <f t="shared" si="7"/>
        <v>1T22</v>
      </c>
      <c r="AK15" s="115" t="str">
        <f t="shared" ref="AK15:AP15" si="8">AK5</f>
        <v>2T22</v>
      </c>
      <c r="AL15" s="115" t="str">
        <f t="shared" si="8"/>
        <v>3T22</v>
      </c>
      <c r="AM15" s="115" t="str">
        <f t="shared" si="8"/>
        <v>4T22</v>
      </c>
      <c r="AN15" s="115" t="str">
        <f t="shared" si="8"/>
        <v>1T23</v>
      </c>
      <c r="AO15" s="115" t="str">
        <f t="shared" si="8"/>
        <v>2T23</v>
      </c>
      <c r="AP15" s="115" t="str">
        <f t="shared" si="8"/>
        <v>3T23</v>
      </c>
      <c r="AQ15" s="115" t="str">
        <f t="shared" ref="AQ15:AW15" si="9">AQ5</f>
        <v>4T23</v>
      </c>
      <c r="AR15" s="115" t="str">
        <f t="shared" si="9"/>
        <v>1T24</v>
      </c>
      <c r="AS15" s="115" t="str">
        <f t="shared" si="9"/>
        <v>2T24</v>
      </c>
      <c r="AT15" s="115" t="str">
        <f t="shared" si="9"/>
        <v>3T24</v>
      </c>
      <c r="AU15" s="115" t="str">
        <f t="shared" si="9"/>
        <v>4T24</v>
      </c>
      <c r="AV15" s="115" t="str">
        <f t="shared" si="9"/>
        <v>1T25</v>
      </c>
      <c r="AW15" s="115" t="str">
        <f t="shared" si="9"/>
        <v>2T25</v>
      </c>
      <c r="AX15" s="115" t="str">
        <f>AX5</f>
        <v>3T25</v>
      </c>
      <c r="AY15" s="115" t="str">
        <f>AY5</f>
        <v>4T25</v>
      </c>
      <c r="AZ15" s="115" t="str">
        <f>AZ5</f>
        <v>1T26</v>
      </c>
    </row>
    <row r="16" spans="2:52" x14ac:dyDescent="0.2">
      <c r="B16" s="129" t="s">
        <v>493</v>
      </c>
      <c r="C16" s="118">
        <v>11862</v>
      </c>
      <c r="D16" s="118">
        <v>7996</v>
      </c>
      <c r="E16" s="160">
        <v>8269</v>
      </c>
      <c r="F16" s="118">
        <v>8384</v>
      </c>
      <c r="G16" s="118">
        <v>9184</v>
      </c>
      <c r="H16" s="118">
        <v>8498</v>
      </c>
      <c r="I16" s="118">
        <v>8486</v>
      </c>
      <c r="J16" s="118">
        <v>7987</v>
      </c>
      <c r="K16" s="118">
        <v>9324</v>
      </c>
      <c r="L16" s="118">
        <v>7309</v>
      </c>
      <c r="M16" s="118">
        <v>8087</v>
      </c>
      <c r="N16" s="118">
        <v>8065</v>
      </c>
      <c r="O16" s="118">
        <v>8912</v>
      </c>
      <c r="P16" s="118">
        <v>7759</v>
      </c>
      <c r="Q16" s="118">
        <v>8437</v>
      </c>
      <c r="R16" s="118">
        <v>8930</v>
      </c>
      <c r="S16" s="118">
        <v>9632</v>
      </c>
      <c r="T16" s="118">
        <v>8328</v>
      </c>
      <c r="U16" s="118">
        <v>9028</v>
      </c>
      <c r="V16" s="118">
        <v>9397</v>
      </c>
      <c r="W16" s="118">
        <v>10138</v>
      </c>
      <c r="X16" s="118">
        <v>9076</v>
      </c>
      <c r="Y16" s="118">
        <v>9543</v>
      </c>
      <c r="Z16" s="118">
        <v>9876</v>
      </c>
      <c r="AA16" s="118">
        <v>10778</v>
      </c>
      <c r="AB16" s="118">
        <v>8854</v>
      </c>
      <c r="AC16" s="118">
        <v>7586</v>
      </c>
      <c r="AD16" s="118">
        <v>8059</v>
      </c>
      <c r="AE16" s="118">
        <v>8819</v>
      </c>
      <c r="AF16" s="118">
        <v>7810</v>
      </c>
      <c r="AG16" s="118">
        <v>8158</v>
      </c>
      <c r="AH16" s="118">
        <v>8781</v>
      </c>
      <c r="AI16" s="118">
        <v>9252</v>
      </c>
      <c r="AJ16" s="118">
        <v>8275</v>
      </c>
      <c r="AK16" s="118">
        <v>8728</v>
      </c>
      <c r="AL16" s="118">
        <v>9087</v>
      </c>
      <c r="AM16" s="118">
        <v>10933</v>
      </c>
      <c r="AN16" s="118">
        <v>9788</v>
      </c>
      <c r="AO16" s="118">
        <v>10773</v>
      </c>
      <c r="AP16" s="118">
        <v>10796</v>
      </c>
      <c r="AQ16" s="118">
        <v>12011</v>
      </c>
      <c r="AR16" s="118">
        <v>10397</v>
      </c>
      <c r="AS16" s="118">
        <v>11429</v>
      </c>
      <c r="AT16" s="118">
        <v>12171</v>
      </c>
      <c r="AU16" s="118">
        <v>13667</v>
      </c>
      <c r="AV16" s="118">
        <v>12345</v>
      </c>
      <c r="AW16" s="118">
        <v>13842</v>
      </c>
      <c r="AX16" s="118">
        <v>14360</v>
      </c>
      <c r="AY16" s="118">
        <v>15883</v>
      </c>
      <c r="AZ16" s="118">
        <v>14983</v>
      </c>
    </row>
    <row r="17" spans="2:52" x14ac:dyDescent="0.2">
      <c r="B17" s="129" t="s">
        <v>494</v>
      </c>
      <c r="C17" s="118">
        <v>9374</v>
      </c>
      <c r="D17" s="118">
        <v>6878</v>
      </c>
      <c r="E17" s="160">
        <v>5737</v>
      </c>
      <c r="F17" s="118">
        <v>7609</v>
      </c>
      <c r="G17" s="118">
        <v>9480</v>
      </c>
      <c r="H17" s="118">
        <v>8230</v>
      </c>
      <c r="I17" s="118">
        <v>3863</v>
      </c>
      <c r="J17" s="118">
        <v>6096</v>
      </c>
      <c r="K17" s="118">
        <v>6938</v>
      </c>
      <c r="L17" s="118">
        <v>6037</v>
      </c>
      <c r="M17" s="118">
        <v>4224</v>
      </c>
      <c r="N17" s="118">
        <v>5725</v>
      </c>
      <c r="O17" s="118">
        <v>6014</v>
      </c>
      <c r="P17" s="118">
        <v>6470</v>
      </c>
      <c r="Q17" s="118">
        <v>3913</v>
      </c>
      <c r="R17" s="118">
        <v>5228</v>
      </c>
      <c r="S17" s="118">
        <v>7014</v>
      </c>
      <c r="T17" s="118">
        <v>3177</v>
      </c>
      <c r="U17" s="118">
        <v>3726</v>
      </c>
      <c r="V17" s="118">
        <v>5203</v>
      </c>
      <c r="W17" s="118">
        <v>7402</v>
      </c>
      <c r="X17" s="118">
        <v>2728</v>
      </c>
      <c r="Y17" s="118">
        <v>4549</v>
      </c>
      <c r="Z17" s="118">
        <v>6126</v>
      </c>
      <c r="AA17" s="118">
        <v>8386</v>
      </c>
      <c r="AB17" s="118">
        <v>3580</v>
      </c>
      <c r="AC17" s="118">
        <v>4051</v>
      </c>
      <c r="AD17" s="118">
        <v>4471</v>
      </c>
      <c r="AE17" s="118">
        <v>5718</v>
      </c>
      <c r="AF17" s="118">
        <v>2310</v>
      </c>
      <c r="AG17" s="118">
        <v>4163</v>
      </c>
      <c r="AH17" s="118">
        <v>5195</v>
      </c>
      <c r="AI17" s="118">
        <v>7967</v>
      </c>
      <c r="AJ17" s="118">
        <v>2926</v>
      </c>
      <c r="AK17" s="118">
        <v>4000</v>
      </c>
      <c r="AL17" s="118">
        <v>5604</v>
      </c>
      <c r="AM17" s="118">
        <v>7970</v>
      </c>
      <c r="AN17" s="118">
        <v>2750</v>
      </c>
      <c r="AO17" s="118">
        <v>5154</v>
      </c>
      <c r="AP17" s="118">
        <v>6984</v>
      </c>
      <c r="AQ17" s="118">
        <v>9386</v>
      </c>
      <c r="AR17" s="118">
        <v>3070</v>
      </c>
      <c r="AS17" s="118">
        <v>5337</v>
      </c>
      <c r="AT17" s="118">
        <v>7255</v>
      </c>
      <c r="AU17" s="118">
        <v>9810</v>
      </c>
      <c r="AV17" s="118">
        <v>3137</v>
      </c>
      <c r="AW17" s="118">
        <v>6437</v>
      </c>
      <c r="AX17" s="118">
        <v>8688</v>
      </c>
      <c r="AY17" s="118">
        <v>11676</v>
      </c>
      <c r="AZ17" s="118">
        <v>3408</v>
      </c>
    </row>
    <row r="18" spans="2:52" x14ac:dyDescent="0.2">
      <c r="B18" s="129" t="s">
        <v>280</v>
      </c>
      <c r="C18" s="118">
        <v>4164</v>
      </c>
      <c r="D18" s="118">
        <v>1566</v>
      </c>
      <c r="E18" s="160">
        <v>1744</v>
      </c>
      <c r="F18" s="118">
        <v>3868</v>
      </c>
      <c r="G18" s="118">
        <v>5401</v>
      </c>
      <c r="H18" s="118">
        <v>5328</v>
      </c>
      <c r="I18" s="118">
        <v>5547</v>
      </c>
      <c r="J18" s="118">
        <v>5520</v>
      </c>
      <c r="K18" s="118">
        <v>6617</v>
      </c>
      <c r="L18" s="118">
        <v>6339</v>
      </c>
      <c r="M18" s="118">
        <v>6707</v>
      </c>
      <c r="N18" s="118">
        <v>6488</v>
      </c>
      <c r="O18" s="118">
        <v>6612</v>
      </c>
      <c r="P18" s="118">
        <v>6333</v>
      </c>
      <c r="Q18" s="261">
        <v>1898</v>
      </c>
      <c r="R18" s="118">
        <v>1886</v>
      </c>
      <c r="S18" s="118">
        <v>2020</v>
      </c>
      <c r="T18" s="118">
        <v>2316</v>
      </c>
      <c r="U18" s="118">
        <v>2065</v>
      </c>
      <c r="V18" s="118">
        <v>2149</v>
      </c>
      <c r="W18" s="118">
        <v>2224</v>
      </c>
      <c r="X18" s="118">
        <v>2132</v>
      </c>
      <c r="Y18" s="118">
        <v>2302</v>
      </c>
      <c r="Z18" s="118">
        <v>2343</v>
      </c>
      <c r="AA18" s="118">
        <v>2457</v>
      </c>
      <c r="AB18" s="118">
        <v>2280</v>
      </c>
      <c r="AC18" s="118">
        <v>4415</v>
      </c>
      <c r="AD18" s="118">
        <v>3585</v>
      </c>
      <c r="AE18" s="118">
        <v>1912</v>
      </c>
      <c r="AF18" s="118">
        <v>1757</v>
      </c>
      <c r="AG18" s="118">
        <v>1721</v>
      </c>
      <c r="AH18" s="118">
        <v>1756</v>
      </c>
      <c r="AI18" s="118">
        <v>2134</v>
      </c>
      <c r="AJ18" s="118">
        <v>2175</v>
      </c>
      <c r="AK18" s="118">
        <v>2168</v>
      </c>
      <c r="AL18" s="118">
        <v>2191</v>
      </c>
      <c r="AM18" s="118">
        <v>2631</v>
      </c>
      <c r="AN18" s="118">
        <v>2543</v>
      </c>
      <c r="AO18" s="118">
        <v>2980</v>
      </c>
      <c r="AP18" s="118">
        <v>3007</v>
      </c>
      <c r="AQ18" s="118">
        <v>3043</v>
      </c>
      <c r="AR18" s="118">
        <v>2914</v>
      </c>
      <c r="AS18" s="118">
        <v>3072</v>
      </c>
      <c r="AT18" s="118">
        <v>3339</v>
      </c>
      <c r="AU18" s="118">
        <v>3281</v>
      </c>
      <c r="AV18" s="118">
        <v>3895</v>
      </c>
      <c r="AW18" s="118">
        <v>4942</v>
      </c>
      <c r="AX18" s="118">
        <v>5697</v>
      </c>
      <c r="AY18" s="118">
        <v>7060</v>
      </c>
      <c r="AZ18" s="118">
        <v>7087</v>
      </c>
    </row>
    <row r="19" spans="2:52" x14ac:dyDescent="0.2">
      <c r="B19" s="129" t="s">
        <v>283</v>
      </c>
      <c r="C19" s="118">
        <v>0</v>
      </c>
      <c r="D19" s="118">
        <v>1538</v>
      </c>
      <c r="E19" s="160">
        <v>2971</v>
      </c>
      <c r="F19" s="118">
        <v>4440</v>
      </c>
      <c r="G19" s="118">
        <v>0</v>
      </c>
      <c r="H19" s="118">
        <v>1620</v>
      </c>
      <c r="I19" s="118">
        <v>2974</v>
      </c>
      <c r="J19" s="118">
        <v>4238</v>
      </c>
      <c r="K19" s="118"/>
      <c r="L19" s="118">
        <v>1415</v>
      </c>
      <c r="M19" s="118">
        <v>2852</v>
      </c>
      <c r="N19" s="118">
        <v>4208</v>
      </c>
      <c r="O19" s="118">
        <v>0</v>
      </c>
      <c r="P19" s="118">
        <v>1486</v>
      </c>
      <c r="Q19" s="118">
        <v>2980</v>
      </c>
      <c r="R19" s="118">
        <v>4540</v>
      </c>
      <c r="S19" s="118">
        <v>0</v>
      </c>
      <c r="T19" s="118">
        <v>1568</v>
      </c>
      <c r="U19" s="118">
        <v>3221</v>
      </c>
      <c r="V19" s="118">
        <v>4823</v>
      </c>
      <c r="W19" s="118">
        <v>0</v>
      </c>
      <c r="X19" s="118">
        <v>1720</v>
      </c>
      <c r="Y19" s="118">
        <v>3496</v>
      </c>
      <c r="Z19" s="118">
        <v>5240</v>
      </c>
      <c r="AA19" s="118">
        <v>0</v>
      </c>
      <c r="AB19" s="118">
        <v>1765</v>
      </c>
      <c r="AC19" s="118">
        <v>2618</v>
      </c>
      <c r="AD19" s="118">
        <v>4049</v>
      </c>
      <c r="AE19" s="118">
        <v>0</v>
      </c>
      <c r="AF19" s="118">
        <v>1410</v>
      </c>
      <c r="AG19" s="118">
        <v>2807</v>
      </c>
      <c r="AH19" s="118">
        <v>4113</v>
      </c>
      <c r="AI19" s="118">
        <v>0</v>
      </c>
      <c r="AJ19" s="118">
        <v>1497</v>
      </c>
      <c r="AK19" s="118">
        <v>3076</v>
      </c>
      <c r="AL19" s="118">
        <v>4607</v>
      </c>
      <c r="AM19" s="118">
        <v>0</v>
      </c>
      <c r="AN19" s="118">
        <v>1920</v>
      </c>
      <c r="AO19" s="118">
        <v>3978</v>
      </c>
      <c r="AP19" s="118">
        <v>5854</v>
      </c>
      <c r="AQ19" s="118">
        <v>0</v>
      </c>
      <c r="AR19" s="118">
        <v>2039</v>
      </c>
      <c r="AS19" s="118">
        <v>4259</v>
      </c>
      <c r="AT19" s="118">
        <v>6590</v>
      </c>
      <c r="AU19" s="118">
        <v>0</v>
      </c>
      <c r="AV19" s="118">
        <v>2376</v>
      </c>
      <c r="AW19" s="118">
        <v>5100</v>
      </c>
      <c r="AX19" s="118">
        <v>7789</v>
      </c>
      <c r="AY19" s="118">
        <v>0</v>
      </c>
      <c r="AZ19" s="118">
        <v>2769</v>
      </c>
    </row>
    <row r="20" spans="2:52" ht="12" customHeight="1" x14ac:dyDescent="0.2">
      <c r="B20" s="129" t="s">
        <v>281</v>
      </c>
      <c r="C20" s="118">
        <v>1489</v>
      </c>
      <c r="D20" s="118">
        <v>343</v>
      </c>
      <c r="E20" s="160">
        <v>255</v>
      </c>
      <c r="F20" s="118">
        <v>425</v>
      </c>
      <c r="G20" s="118">
        <v>551</v>
      </c>
      <c r="H20" s="118">
        <v>307</v>
      </c>
      <c r="I20" s="118">
        <v>365</v>
      </c>
      <c r="J20" s="118">
        <v>366</v>
      </c>
      <c r="K20" s="118">
        <v>609</v>
      </c>
      <c r="L20" s="118">
        <v>352</v>
      </c>
      <c r="M20" s="118">
        <v>450</v>
      </c>
      <c r="N20" s="118">
        <v>666</v>
      </c>
      <c r="O20" s="118">
        <v>553</v>
      </c>
      <c r="P20" s="118">
        <v>373</v>
      </c>
      <c r="Q20" s="118">
        <v>387</v>
      </c>
      <c r="R20" s="118">
        <v>394</v>
      </c>
      <c r="S20" s="118">
        <v>598</v>
      </c>
      <c r="T20" s="118">
        <v>489</v>
      </c>
      <c r="U20" s="118">
        <v>414</v>
      </c>
      <c r="V20" s="118">
        <v>440</v>
      </c>
      <c r="W20" s="118">
        <v>645</v>
      </c>
      <c r="X20" s="118">
        <v>437</v>
      </c>
      <c r="Y20" s="118">
        <v>468</v>
      </c>
      <c r="Z20" s="118">
        <v>461</v>
      </c>
      <c r="AA20" s="118">
        <v>696</v>
      </c>
      <c r="AB20" s="118">
        <v>504</v>
      </c>
      <c r="AC20" s="118">
        <v>1120</v>
      </c>
      <c r="AD20" s="118">
        <v>781</v>
      </c>
      <c r="AE20" s="118">
        <v>551</v>
      </c>
      <c r="AF20" s="118">
        <v>357</v>
      </c>
      <c r="AG20" s="118">
        <v>1052</v>
      </c>
      <c r="AH20" s="118">
        <v>1347</v>
      </c>
      <c r="AI20" s="118">
        <v>598</v>
      </c>
      <c r="AJ20" s="118">
        <v>433</v>
      </c>
      <c r="AK20" s="118">
        <v>335</v>
      </c>
      <c r="AL20" s="118">
        <v>424</v>
      </c>
      <c r="AM20" s="118">
        <v>713</v>
      </c>
      <c r="AN20" s="118">
        <v>500</v>
      </c>
      <c r="AO20" s="118">
        <v>584</v>
      </c>
      <c r="AP20" s="118">
        <v>592</v>
      </c>
      <c r="AQ20" s="118">
        <v>861</v>
      </c>
      <c r="AR20" s="118">
        <v>604</v>
      </c>
      <c r="AS20" s="118">
        <v>616</v>
      </c>
      <c r="AT20" s="118">
        <v>629</v>
      </c>
      <c r="AU20" s="118">
        <v>935</v>
      </c>
      <c r="AV20" s="118">
        <v>656</v>
      </c>
      <c r="AW20" s="118">
        <v>778</v>
      </c>
      <c r="AX20" s="118">
        <v>814</v>
      </c>
      <c r="AY20" s="118">
        <v>1527</v>
      </c>
      <c r="AZ20" s="118">
        <v>1271</v>
      </c>
    </row>
    <row r="21" spans="2:52" x14ac:dyDescent="0.2">
      <c r="B21" s="129" t="s">
        <v>128</v>
      </c>
      <c r="C21" s="118">
        <v>1846</v>
      </c>
      <c r="D21" s="118">
        <v>803</v>
      </c>
      <c r="E21" s="160">
        <v>1251</v>
      </c>
      <c r="F21" s="118">
        <v>1070</v>
      </c>
      <c r="G21" s="118">
        <v>1124</v>
      </c>
      <c r="H21" s="118">
        <v>1152</v>
      </c>
      <c r="I21" s="118">
        <v>1132</v>
      </c>
      <c r="J21" s="118">
        <v>495</v>
      </c>
      <c r="K21" s="118">
        <v>756</v>
      </c>
      <c r="L21" s="118">
        <v>652</v>
      </c>
      <c r="M21" s="118">
        <v>844</v>
      </c>
      <c r="N21" s="118">
        <v>623</v>
      </c>
      <c r="O21" s="118">
        <v>743</v>
      </c>
      <c r="P21" s="118">
        <v>595</v>
      </c>
      <c r="Q21" s="118">
        <v>492</v>
      </c>
      <c r="R21" s="118">
        <v>622</v>
      </c>
      <c r="S21" s="118">
        <v>1013</v>
      </c>
      <c r="T21" s="118">
        <v>1836</v>
      </c>
      <c r="U21" s="118">
        <v>687</v>
      </c>
      <c r="V21" s="118">
        <v>747</v>
      </c>
      <c r="W21" s="118">
        <v>831</v>
      </c>
      <c r="X21" s="118">
        <v>1964</v>
      </c>
      <c r="Y21" s="118">
        <v>721</v>
      </c>
      <c r="Z21" s="118">
        <v>535</v>
      </c>
      <c r="AA21" s="118">
        <v>939</v>
      </c>
      <c r="AB21" s="118">
        <v>2073</v>
      </c>
      <c r="AC21" s="118">
        <v>532</v>
      </c>
      <c r="AD21" s="118">
        <v>504</v>
      </c>
      <c r="AE21" s="118">
        <v>876</v>
      </c>
      <c r="AF21" s="118">
        <v>1432</v>
      </c>
      <c r="AG21" s="118">
        <v>538</v>
      </c>
      <c r="AH21" s="118">
        <v>497</v>
      </c>
      <c r="AI21" s="118">
        <v>1222</v>
      </c>
      <c r="AJ21" s="118">
        <v>1943</v>
      </c>
      <c r="AK21" s="118">
        <v>667</v>
      </c>
      <c r="AL21" s="118">
        <v>655</v>
      </c>
      <c r="AM21" s="118">
        <v>1297</v>
      </c>
      <c r="AN21" s="118">
        <v>2369</v>
      </c>
      <c r="AO21" s="118">
        <v>867</v>
      </c>
      <c r="AP21" s="118">
        <v>1285</v>
      </c>
      <c r="AQ21" s="118">
        <v>1741</v>
      </c>
      <c r="AR21" s="118">
        <v>2607</v>
      </c>
      <c r="AS21" s="118">
        <v>983</v>
      </c>
      <c r="AT21" s="118">
        <v>968</v>
      </c>
      <c r="AU21" s="118">
        <v>1483</v>
      </c>
      <c r="AV21" s="118">
        <v>2980</v>
      </c>
      <c r="AW21" s="118">
        <v>1157</v>
      </c>
      <c r="AX21" s="118">
        <v>1021</v>
      </c>
      <c r="AY21" s="118">
        <v>1739</v>
      </c>
      <c r="AZ21" s="118">
        <v>2816</v>
      </c>
    </row>
    <row r="22" spans="2:52" s="311" customFormat="1" hidden="1" outlineLevel="1" x14ac:dyDescent="0.2">
      <c r="B22" s="318" t="s">
        <v>282</v>
      </c>
      <c r="C22" s="312">
        <v>0</v>
      </c>
      <c r="D22" s="312">
        <v>0</v>
      </c>
      <c r="E22" s="319">
        <v>0</v>
      </c>
      <c r="F22" s="312">
        <v>0</v>
      </c>
      <c r="G22" s="312">
        <v>0</v>
      </c>
      <c r="H22" s="312">
        <v>0</v>
      </c>
      <c r="I22" s="312">
        <v>0</v>
      </c>
      <c r="J22" s="312">
        <v>0</v>
      </c>
      <c r="K22" s="312">
        <v>0</v>
      </c>
      <c r="L22" s="312">
        <v>0</v>
      </c>
      <c r="M22" s="312">
        <v>0</v>
      </c>
      <c r="N22" s="312">
        <v>0</v>
      </c>
      <c r="O22" s="312">
        <v>0</v>
      </c>
      <c r="P22" s="312">
        <v>0</v>
      </c>
      <c r="Q22" s="312">
        <v>0</v>
      </c>
      <c r="R22" s="118">
        <v>0</v>
      </c>
      <c r="S22" s="118">
        <v>0</v>
      </c>
      <c r="T22" s="118">
        <v>0</v>
      </c>
      <c r="U22" s="118">
        <v>0</v>
      </c>
      <c r="V22" s="118">
        <v>0</v>
      </c>
      <c r="W22" s="118">
        <v>0</v>
      </c>
      <c r="X22" s="118">
        <v>0</v>
      </c>
      <c r="Y22" s="118">
        <v>0</v>
      </c>
      <c r="Z22" s="118">
        <v>0</v>
      </c>
      <c r="AA22" s="118">
        <v>0</v>
      </c>
      <c r="AB22" s="118">
        <v>0</v>
      </c>
      <c r="AC22" s="118">
        <v>0</v>
      </c>
      <c r="AD22" s="118">
        <v>0</v>
      </c>
      <c r="AE22" s="118">
        <v>0</v>
      </c>
      <c r="AF22" s="118">
        <v>0</v>
      </c>
      <c r="AG22" s="118">
        <v>0</v>
      </c>
      <c r="AH22" s="118">
        <v>0</v>
      </c>
      <c r="AI22" s="118">
        <v>0</v>
      </c>
      <c r="AJ22" s="118">
        <v>0</v>
      </c>
      <c r="AK22" s="118" t="e">
        <f>+#REF!</f>
        <v>#REF!</v>
      </c>
      <c r="AL22" s="118" t="e">
        <f>+#REF!</f>
        <v>#REF!</v>
      </c>
      <c r="AM22" s="118" t="e">
        <f>+#REF!</f>
        <v>#REF!</v>
      </c>
      <c r="AN22" s="118" t="e">
        <f>+#REF!</f>
        <v>#REF!</v>
      </c>
      <c r="AO22" s="118" t="e">
        <f>+#REF!</f>
        <v>#REF!</v>
      </c>
      <c r="AP22" s="118" t="e">
        <f>+#REF!</f>
        <v>#REF!</v>
      </c>
      <c r="AQ22" s="118" t="e">
        <f>+#REF!</f>
        <v>#REF!</v>
      </c>
      <c r="AR22" s="118" t="e">
        <f>+#REF!</f>
        <v>#REF!</v>
      </c>
      <c r="AS22" s="118"/>
      <c r="AT22" s="118"/>
      <c r="AU22" s="118"/>
      <c r="AV22" s="118"/>
      <c r="AW22" s="118" t="e">
        <f>+#REF!</f>
        <v>#REF!</v>
      </c>
      <c r="AX22" s="118" t="e">
        <f>+#REF!</f>
        <v>#REF!</v>
      </c>
      <c r="AY22" s="118" t="e">
        <f>+#REF!</f>
        <v>#REF!</v>
      </c>
      <c r="AZ22" s="118" t="e">
        <f>+#REF!</f>
        <v>#REF!</v>
      </c>
    </row>
    <row r="23" spans="2:52" collapsed="1" x14ac:dyDescent="0.2">
      <c r="B23" s="126" t="s">
        <v>112</v>
      </c>
      <c r="C23" s="120">
        <f t="shared" ref="C23:Q23" si="10">SUM(C16:C22)</f>
        <v>28735</v>
      </c>
      <c r="D23" s="120">
        <f t="shared" si="10"/>
        <v>19124</v>
      </c>
      <c r="E23" s="162">
        <f t="shared" si="10"/>
        <v>20227</v>
      </c>
      <c r="F23" s="120">
        <f t="shared" si="10"/>
        <v>25796</v>
      </c>
      <c r="G23" s="120">
        <f t="shared" si="10"/>
        <v>25740</v>
      </c>
      <c r="H23" s="120">
        <f t="shared" si="10"/>
        <v>25135</v>
      </c>
      <c r="I23" s="120">
        <f t="shared" si="10"/>
        <v>22367</v>
      </c>
      <c r="J23" s="120">
        <f t="shared" si="10"/>
        <v>24702</v>
      </c>
      <c r="K23" s="120">
        <f t="shared" si="10"/>
        <v>24244</v>
      </c>
      <c r="L23" s="120">
        <f t="shared" si="10"/>
        <v>22104</v>
      </c>
      <c r="M23" s="120">
        <f t="shared" si="10"/>
        <v>23164</v>
      </c>
      <c r="N23" s="120">
        <f t="shared" si="10"/>
        <v>25775</v>
      </c>
      <c r="O23" s="120">
        <f t="shared" si="10"/>
        <v>22834</v>
      </c>
      <c r="P23" s="120">
        <f t="shared" si="10"/>
        <v>23016</v>
      </c>
      <c r="Q23" s="120">
        <f t="shared" si="10"/>
        <v>18107</v>
      </c>
      <c r="R23" s="120">
        <f t="shared" ref="R23:AA23" si="11">SUM(R16:R22)</f>
        <v>21600</v>
      </c>
      <c r="S23" s="120">
        <f t="shared" si="11"/>
        <v>20277</v>
      </c>
      <c r="T23" s="120">
        <f t="shared" si="11"/>
        <v>17714</v>
      </c>
      <c r="U23" s="120">
        <f t="shared" si="11"/>
        <v>19141</v>
      </c>
      <c r="V23" s="120">
        <f t="shared" si="11"/>
        <v>22759</v>
      </c>
      <c r="W23" s="120">
        <f t="shared" si="11"/>
        <v>21240</v>
      </c>
      <c r="X23" s="120">
        <f t="shared" si="11"/>
        <v>18057</v>
      </c>
      <c r="Y23" s="120">
        <f t="shared" si="11"/>
        <v>21079</v>
      </c>
      <c r="Z23" s="120">
        <f t="shared" si="11"/>
        <v>24581</v>
      </c>
      <c r="AA23" s="120">
        <f t="shared" si="11"/>
        <v>23256</v>
      </c>
      <c r="AB23" s="120">
        <f t="shared" ref="AB23:AJ23" si="12">SUM(AB16:AB22)</f>
        <v>19056</v>
      </c>
      <c r="AC23" s="120">
        <f t="shared" si="12"/>
        <v>20322</v>
      </c>
      <c r="AD23" s="120">
        <f t="shared" si="12"/>
        <v>21449</v>
      </c>
      <c r="AE23" s="120">
        <f t="shared" si="12"/>
        <v>17876</v>
      </c>
      <c r="AF23" s="120">
        <f t="shared" si="12"/>
        <v>15076</v>
      </c>
      <c r="AG23" s="120">
        <f t="shared" si="12"/>
        <v>18439</v>
      </c>
      <c r="AH23" s="120">
        <f t="shared" si="12"/>
        <v>21689</v>
      </c>
      <c r="AI23" s="120">
        <f t="shared" si="12"/>
        <v>21173</v>
      </c>
      <c r="AJ23" s="120">
        <f t="shared" si="12"/>
        <v>17249</v>
      </c>
      <c r="AK23" s="120">
        <f>SUM(AK16:AK21)</f>
        <v>18974</v>
      </c>
      <c r="AL23" s="120">
        <f t="shared" ref="AL23:AQ23" si="13">SUM(AL16:AL21)</f>
        <v>22568</v>
      </c>
      <c r="AM23" s="120">
        <f t="shared" si="13"/>
        <v>23544</v>
      </c>
      <c r="AN23" s="120">
        <f t="shared" si="13"/>
        <v>19870</v>
      </c>
      <c r="AO23" s="120">
        <f t="shared" si="13"/>
        <v>24336</v>
      </c>
      <c r="AP23" s="120">
        <f t="shared" si="13"/>
        <v>28518</v>
      </c>
      <c r="AQ23" s="120">
        <f t="shared" si="13"/>
        <v>27042</v>
      </c>
      <c r="AR23" s="120">
        <f t="shared" ref="AR23:AW23" si="14">SUM(AR16:AR21)</f>
        <v>21631</v>
      </c>
      <c r="AS23" s="120">
        <f t="shared" si="14"/>
        <v>25696</v>
      </c>
      <c r="AT23" s="120">
        <f t="shared" si="14"/>
        <v>30952</v>
      </c>
      <c r="AU23" s="120">
        <f t="shared" si="14"/>
        <v>29176</v>
      </c>
      <c r="AV23" s="120">
        <f t="shared" si="14"/>
        <v>25389</v>
      </c>
      <c r="AW23" s="120">
        <f t="shared" si="14"/>
        <v>32256</v>
      </c>
      <c r="AX23" s="120">
        <f>SUM(AX16:AX21)</f>
        <v>38369</v>
      </c>
      <c r="AY23" s="120">
        <f>SUM(AY16:AY21)</f>
        <v>37885</v>
      </c>
      <c r="AZ23" s="120">
        <f>SUM(AZ16:AZ21)</f>
        <v>32334</v>
      </c>
    </row>
    <row r="25" spans="2:52" x14ac:dyDescent="0.2">
      <c r="B25" s="145" t="s">
        <v>98</v>
      </c>
      <c r="C25" s="115">
        <f>C5</f>
        <v>2013</v>
      </c>
      <c r="D25" s="115" t="str">
        <f t="shared" ref="D25:R25" si="15">D5</f>
        <v>1T14</v>
      </c>
      <c r="E25" s="115" t="str">
        <f t="shared" si="15"/>
        <v>2T14</v>
      </c>
      <c r="F25" s="115" t="str">
        <f t="shared" si="15"/>
        <v>3T14</v>
      </c>
      <c r="G25" s="115" t="str">
        <f t="shared" si="15"/>
        <v>4T14</v>
      </c>
      <c r="H25" s="115" t="str">
        <f t="shared" si="15"/>
        <v>1T15</v>
      </c>
      <c r="I25" s="115" t="str">
        <f t="shared" si="15"/>
        <v>2T15</v>
      </c>
      <c r="J25" s="115" t="str">
        <f t="shared" si="15"/>
        <v>3T15</v>
      </c>
      <c r="K25" s="115" t="str">
        <f t="shared" si="15"/>
        <v>4T15</v>
      </c>
      <c r="L25" s="115" t="str">
        <f t="shared" si="15"/>
        <v>1T16</v>
      </c>
      <c r="M25" s="115" t="str">
        <f t="shared" si="15"/>
        <v>2T16</v>
      </c>
      <c r="N25" s="115" t="str">
        <f t="shared" si="15"/>
        <v>3T16</v>
      </c>
      <c r="O25" s="115" t="str">
        <f t="shared" si="15"/>
        <v>4T16</v>
      </c>
      <c r="P25" s="115" t="str">
        <f t="shared" si="15"/>
        <v>1T17</v>
      </c>
      <c r="Q25" s="115" t="str">
        <f t="shared" si="15"/>
        <v>2T17</v>
      </c>
      <c r="R25" s="115" t="str">
        <f t="shared" si="15"/>
        <v>3T17</v>
      </c>
      <c r="S25" s="115" t="str">
        <f t="shared" ref="S25:AA25" si="16">S5</f>
        <v>4T17</v>
      </c>
      <c r="T25" s="115" t="str">
        <f t="shared" si="16"/>
        <v>1T18</v>
      </c>
      <c r="U25" s="115" t="str">
        <f t="shared" si="16"/>
        <v>2T18</v>
      </c>
      <c r="V25" s="115" t="str">
        <f t="shared" si="16"/>
        <v>3T18</v>
      </c>
      <c r="W25" s="115" t="str">
        <f t="shared" si="16"/>
        <v>4T18</v>
      </c>
      <c r="X25" s="115" t="str">
        <f t="shared" si="16"/>
        <v>1T19</v>
      </c>
      <c r="Y25" s="115" t="str">
        <f t="shared" si="16"/>
        <v>2T19</v>
      </c>
      <c r="Z25" s="115" t="str">
        <f t="shared" si="16"/>
        <v>3T19</v>
      </c>
      <c r="AA25" s="115" t="str">
        <f t="shared" si="16"/>
        <v>4T19</v>
      </c>
      <c r="AB25" s="115" t="str">
        <f t="shared" ref="AB25:AJ25" si="17">AB5</f>
        <v>1T20</v>
      </c>
      <c r="AC25" s="115" t="str">
        <f t="shared" si="17"/>
        <v>2T20</v>
      </c>
      <c r="AD25" s="115" t="str">
        <f t="shared" si="17"/>
        <v>3T20</v>
      </c>
      <c r="AE25" s="115" t="str">
        <f t="shared" si="17"/>
        <v>4T20</v>
      </c>
      <c r="AF25" s="115" t="str">
        <f t="shared" si="17"/>
        <v>1T21</v>
      </c>
      <c r="AG25" s="115" t="str">
        <f t="shared" si="17"/>
        <v>2T21</v>
      </c>
      <c r="AH25" s="115" t="str">
        <f t="shared" si="17"/>
        <v>3T21</v>
      </c>
      <c r="AI25" s="115" t="str">
        <f t="shared" si="17"/>
        <v>4T21</v>
      </c>
      <c r="AJ25" s="115" t="str">
        <f t="shared" si="17"/>
        <v>1T22</v>
      </c>
      <c r="AK25" s="115" t="str">
        <f t="shared" ref="AK25:AP25" si="18">AK5</f>
        <v>2T22</v>
      </c>
      <c r="AL25" s="115" t="str">
        <f t="shared" si="18"/>
        <v>3T22</v>
      </c>
      <c r="AM25" s="115" t="str">
        <f t="shared" si="18"/>
        <v>4T22</v>
      </c>
      <c r="AN25" s="115" t="str">
        <f t="shared" si="18"/>
        <v>1T23</v>
      </c>
      <c r="AO25" s="115" t="str">
        <f t="shared" si="18"/>
        <v>2T23</v>
      </c>
      <c r="AP25" s="115" t="str">
        <f t="shared" si="18"/>
        <v>3T23</v>
      </c>
      <c r="AQ25" s="115" t="str">
        <f t="shared" ref="AQ25:AW25" si="19">AQ5</f>
        <v>4T23</v>
      </c>
      <c r="AR25" s="115" t="str">
        <f t="shared" si="19"/>
        <v>1T24</v>
      </c>
      <c r="AS25" s="115" t="str">
        <f t="shared" si="19"/>
        <v>2T24</v>
      </c>
      <c r="AT25" s="115" t="str">
        <f t="shared" si="19"/>
        <v>3T24</v>
      </c>
      <c r="AU25" s="115" t="str">
        <f t="shared" si="19"/>
        <v>4T24</v>
      </c>
      <c r="AV25" s="115" t="str">
        <f t="shared" si="19"/>
        <v>1T25</v>
      </c>
      <c r="AW25" s="115" t="str">
        <f t="shared" si="19"/>
        <v>2T25</v>
      </c>
      <c r="AX25" s="115" t="str">
        <f>AX5</f>
        <v>3T25</v>
      </c>
      <c r="AY25" s="115" t="str">
        <f>AY5</f>
        <v>4T25</v>
      </c>
      <c r="AZ25" s="115" t="str">
        <f>AZ5</f>
        <v>1T26</v>
      </c>
    </row>
    <row r="26" spans="2:52" x14ac:dyDescent="0.2">
      <c r="B26" s="129" t="s">
        <v>493</v>
      </c>
      <c r="C26" s="118">
        <f t="shared" ref="C26:Q26" si="20">+C6-C16</f>
        <v>7676</v>
      </c>
      <c r="D26" s="118">
        <f t="shared" si="20"/>
        <v>6043</v>
      </c>
      <c r="E26" s="160">
        <f t="shared" si="20"/>
        <v>2528</v>
      </c>
      <c r="F26" s="118">
        <f t="shared" si="20"/>
        <v>2471</v>
      </c>
      <c r="G26" s="118">
        <f t="shared" si="20"/>
        <v>2707</v>
      </c>
      <c r="H26" s="118">
        <f t="shared" si="20"/>
        <v>2401</v>
      </c>
      <c r="I26" s="118">
        <f t="shared" si="20"/>
        <v>2348</v>
      </c>
      <c r="J26" s="118">
        <f t="shared" si="20"/>
        <v>2450</v>
      </c>
      <c r="K26" s="118">
        <f t="shared" si="20"/>
        <v>2617</v>
      </c>
      <c r="L26" s="118">
        <f t="shared" si="20"/>
        <v>2294</v>
      </c>
      <c r="M26" s="118">
        <f t="shared" si="20"/>
        <v>2210</v>
      </c>
      <c r="N26" s="118">
        <f t="shared" si="20"/>
        <v>2301</v>
      </c>
      <c r="O26" s="118">
        <f t="shared" si="20"/>
        <v>2315</v>
      </c>
      <c r="P26" s="118">
        <f t="shared" si="20"/>
        <v>2104</v>
      </c>
      <c r="Q26" s="118">
        <f t="shared" si="20"/>
        <v>2279</v>
      </c>
      <c r="R26" s="118">
        <v>2381</v>
      </c>
      <c r="S26" s="118">
        <f t="shared" ref="S26:T32" si="21">+S6-S16</f>
        <v>2588</v>
      </c>
      <c r="T26" s="118">
        <f t="shared" si="21"/>
        <v>1632</v>
      </c>
      <c r="U26" s="118">
        <f t="shared" ref="U26:V32" si="22">+U6-U16</f>
        <v>1683</v>
      </c>
      <c r="V26" s="118">
        <f t="shared" si="22"/>
        <v>1774</v>
      </c>
      <c r="W26" s="118">
        <v>1866</v>
      </c>
      <c r="X26" s="118">
        <v>1616</v>
      </c>
      <c r="Y26" s="118">
        <v>1778</v>
      </c>
      <c r="Z26" s="118">
        <v>1854</v>
      </c>
      <c r="AA26" s="118">
        <v>1894</v>
      </c>
      <c r="AB26" s="118">
        <v>1729</v>
      </c>
      <c r="AC26" s="118">
        <f t="shared" ref="AC26:AD31" si="23">+AC6-AC16</f>
        <v>1944</v>
      </c>
      <c r="AD26" s="118">
        <f t="shared" si="23"/>
        <v>1949</v>
      </c>
      <c r="AE26" s="118">
        <f t="shared" ref="AE26:AF32" si="24">+AE6-AE16</f>
        <v>1778</v>
      </c>
      <c r="AF26" s="118">
        <f t="shared" si="24"/>
        <v>1690</v>
      </c>
      <c r="AG26" s="118">
        <f t="shared" ref="AG26:AK32" si="25">+AG6-AG16</f>
        <v>1737</v>
      </c>
      <c r="AH26" s="118">
        <f t="shared" si="25"/>
        <v>1943</v>
      </c>
      <c r="AI26" s="118">
        <f t="shared" si="25"/>
        <v>1980</v>
      </c>
      <c r="AJ26" s="118">
        <f t="shared" ref="AJ26:AJ31" si="26">+AJ6-AJ16</f>
        <v>1653</v>
      </c>
      <c r="AK26" s="118">
        <f t="shared" si="25"/>
        <v>1900</v>
      </c>
      <c r="AL26" s="118">
        <f t="shared" ref="AL26:AM32" si="27">+AL6-AL16</f>
        <v>2081</v>
      </c>
      <c r="AM26" s="118">
        <f t="shared" si="27"/>
        <v>1628</v>
      </c>
      <c r="AN26" s="118">
        <v>1600</v>
      </c>
      <c r="AO26" s="118">
        <f t="shared" ref="AO26:AR32" si="28">+AO6-AO16</f>
        <v>1743</v>
      </c>
      <c r="AP26" s="118">
        <f t="shared" si="28"/>
        <v>1868</v>
      </c>
      <c r="AQ26" s="118">
        <f t="shared" si="28"/>
        <v>1849</v>
      </c>
      <c r="AR26" s="118">
        <f t="shared" si="28"/>
        <v>2174</v>
      </c>
      <c r="AS26" s="118">
        <f t="shared" ref="AS26:AZ31" si="29">+AS6-AS16</f>
        <v>2433</v>
      </c>
      <c r="AT26" s="118">
        <f t="shared" si="29"/>
        <v>2432</v>
      </c>
      <c r="AU26" s="118">
        <f t="shared" si="29"/>
        <v>2418</v>
      </c>
      <c r="AV26" s="118">
        <f t="shared" si="29"/>
        <v>2406</v>
      </c>
      <c r="AW26" s="118">
        <f t="shared" si="29"/>
        <v>2721</v>
      </c>
      <c r="AX26" s="118">
        <f t="shared" si="29"/>
        <v>2797</v>
      </c>
      <c r="AY26" s="118">
        <f t="shared" si="29"/>
        <v>2551</v>
      </c>
      <c r="AZ26" s="118">
        <f t="shared" si="29"/>
        <v>2775</v>
      </c>
    </row>
    <row r="27" spans="2:52" x14ac:dyDescent="0.2">
      <c r="B27" s="129" t="s">
        <v>494</v>
      </c>
      <c r="C27" s="118">
        <f t="shared" ref="C27:N27" si="30">+C7-C17</f>
        <v>2418</v>
      </c>
      <c r="D27" s="118">
        <f t="shared" si="30"/>
        <v>2116</v>
      </c>
      <c r="E27" s="160">
        <f t="shared" si="30"/>
        <v>910</v>
      </c>
      <c r="F27" s="118">
        <f t="shared" si="30"/>
        <v>1197</v>
      </c>
      <c r="G27" s="118">
        <f t="shared" si="30"/>
        <v>1486</v>
      </c>
      <c r="H27" s="118">
        <f t="shared" si="30"/>
        <v>605</v>
      </c>
      <c r="I27" s="118">
        <f t="shared" si="30"/>
        <v>655</v>
      </c>
      <c r="J27" s="118">
        <f t="shared" si="30"/>
        <v>981</v>
      </c>
      <c r="K27" s="118">
        <f t="shared" si="30"/>
        <v>1146</v>
      </c>
      <c r="L27" s="118">
        <f t="shared" si="30"/>
        <v>744</v>
      </c>
      <c r="M27" s="118">
        <f t="shared" si="30"/>
        <v>787</v>
      </c>
      <c r="N27" s="118">
        <f t="shared" si="30"/>
        <v>964</v>
      </c>
      <c r="O27" s="118">
        <f t="shared" ref="O27:Q32" si="31">+O7-O17</f>
        <v>613</v>
      </c>
      <c r="P27" s="118">
        <f t="shared" si="31"/>
        <v>551</v>
      </c>
      <c r="Q27" s="118">
        <f t="shared" si="31"/>
        <v>536</v>
      </c>
      <c r="R27" s="118">
        <v>563</v>
      </c>
      <c r="S27" s="118">
        <f t="shared" si="21"/>
        <v>769</v>
      </c>
      <c r="T27" s="118">
        <f t="shared" si="21"/>
        <v>447</v>
      </c>
      <c r="U27" s="118">
        <f t="shared" si="22"/>
        <v>336</v>
      </c>
      <c r="V27" s="118">
        <f t="shared" si="22"/>
        <v>335</v>
      </c>
      <c r="W27" s="118">
        <v>486</v>
      </c>
      <c r="X27" s="118">
        <v>124</v>
      </c>
      <c r="Y27" s="118">
        <v>279</v>
      </c>
      <c r="Z27" s="118">
        <v>283</v>
      </c>
      <c r="AA27" s="118">
        <v>428</v>
      </c>
      <c r="AB27" s="118">
        <v>313</v>
      </c>
      <c r="AC27" s="118">
        <f t="shared" si="23"/>
        <v>522</v>
      </c>
      <c r="AD27" s="118">
        <f t="shared" si="23"/>
        <v>546</v>
      </c>
      <c r="AE27" s="118">
        <f t="shared" si="24"/>
        <v>432</v>
      </c>
      <c r="AF27" s="118">
        <f t="shared" si="24"/>
        <v>210</v>
      </c>
      <c r="AG27" s="118">
        <f t="shared" si="25"/>
        <v>370</v>
      </c>
      <c r="AH27" s="118">
        <f t="shared" si="25"/>
        <v>310</v>
      </c>
      <c r="AI27" s="118">
        <f t="shared" si="25"/>
        <v>458</v>
      </c>
      <c r="AJ27" s="118">
        <f t="shared" si="26"/>
        <v>219</v>
      </c>
      <c r="AK27" s="118">
        <f t="shared" si="25"/>
        <v>384</v>
      </c>
      <c r="AL27" s="118">
        <f t="shared" si="27"/>
        <v>391</v>
      </c>
      <c r="AM27" s="118">
        <f t="shared" si="27"/>
        <v>474</v>
      </c>
      <c r="AN27" s="118">
        <v>211</v>
      </c>
      <c r="AO27" s="118">
        <f t="shared" si="28"/>
        <v>360</v>
      </c>
      <c r="AP27" s="118">
        <f t="shared" si="28"/>
        <v>397</v>
      </c>
      <c r="AQ27" s="118">
        <f t="shared" si="28"/>
        <v>512</v>
      </c>
      <c r="AR27" s="118">
        <f t="shared" si="28"/>
        <v>170</v>
      </c>
      <c r="AS27" s="118">
        <f t="shared" si="29"/>
        <v>337</v>
      </c>
      <c r="AT27" s="118">
        <f t="shared" si="29"/>
        <v>411</v>
      </c>
      <c r="AU27" s="118">
        <f t="shared" si="29"/>
        <v>771</v>
      </c>
      <c r="AV27" s="118">
        <f t="shared" si="29"/>
        <v>277</v>
      </c>
      <c r="AW27" s="118">
        <f t="shared" si="29"/>
        <v>592</v>
      </c>
      <c r="AX27" s="118">
        <f t="shared" si="29"/>
        <v>637</v>
      </c>
      <c r="AY27" s="118">
        <f t="shared" si="29"/>
        <v>871</v>
      </c>
      <c r="AZ27" s="118">
        <f t="shared" si="29"/>
        <v>433</v>
      </c>
    </row>
    <row r="28" spans="2:52" x14ac:dyDescent="0.2">
      <c r="B28" s="129" t="s">
        <v>280</v>
      </c>
      <c r="C28" s="118">
        <f t="shared" ref="C28:N28" si="32">+C8-C18</f>
        <v>2320</v>
      </c>
      <c r="D28" s="118">
        <f t="shared" si="32"/>
        <v>975</v>
      </c>
      <c r="E28" s="160">
        <f t="shared" si="32"/>
        <v>1046</v>
      </c>
      <c r="F28" s="118">
        <f t="shared" si="32"/>
        <v>1343</v>
      </c>
      <c r="G28" s="118">
        <f t="shared" si="32"/>
        <v>1421</v>
      </c>
      <c r="H28" s="118">
        <f t="shared" si="32"/>
        <v>1305</v>
      </c>
      <c r="I28" s="118">
        <f t="shared" si="32"/>
        <v>1336</v>
      </c>
      <c r="J28" s="118">
        <f t="shared" si="32"/>
        <v>1403</v>
      </c>
      <c r="K28" s="118">
        <f t="shared" si="32"/>
        <v>1582</v>
      </c>
      <c r="L28" s="118">
        <f t="shared" si="32"/>
        <v>1468</v>
      </c>
      <c r="M28" s="118">
        <f t="shared" si="32"/>
        <v>1417</v>
      </c>
      <c r="N28" s="118">
        <f t="shared" si="32"/>
        <v>1434</v>
      </c>
      <c r="O28" s="118">
        <f t="shared" si="31"/>
        <v>1458</v>
      </c>
      <c r="P28" s="118">
        <f t="shared" si="31"/>
        <v>1386</v>
      </c>
      <c r="Q28" s="261">
        <f t="shared" si="31"/>
        <v>557</v>
      </c>
      <c r="R28" s="118">
        <v>546</v>
      </c>
      <c r="S28" s="118">
        <f t="shared" si="21"/>
        <v>625</v>
      </c>
      <c r="T28" s="118">
        <f t="shared" si="21"/>
        <v>367</v>
      </c>
      <c r="U28" s="118">
        <f t="shared" si="22"/>
        <v>372</v>
      </c>
      <c r="V28" s="118">
        <f t="shared" si="22"/>
        <v>409</v>
      </c>
      <c r="W28" s="118">
        <v>471</v>
      </c>
      <c r="X28" s="118">
        <v>356</v>
      </c>
      <c r="Y28" s="118">
        <v>376</v>
      </c>
      <c r="Z28" s="118">
        <v>394</v>
      </c>
      <c r="AA28" s="118">
        <v>468</v>
      </c>
      <c r="AB28" s="118">
        <v>415</v>
      </c>
      <c r="AC28" s="118">
        <f t="shared" si="23"/>
        <v>1015</v>
      </c>
      <c r="AD28" s="118">
        <f t="shared" si="23"/>
        <v>1025</v>
      </c>
      <c r="AE28" s="118">
        <f t="shared" si="24"/>
        <v>421</v>
      </c>
      <c r="AF28" s="118">
        <f t="shared" si="24"/>
        <v>449</v>
      </c>
      <c r="AG28" s="118">
        <f t="shared" si="25"/>
        <v>330</v>
      </c>
      <c r="AH28" s="118">
        <f t="shared" si="25"/>
        <v>379</v>
      </c>
      <c r="AI28" s="118">
        <f t="shared" si="25"/>
        <v>475</v>
      </c>
      <c r="AJ28" s="118">
        <f t="shared" si="26"/>
        <v>447</v>
      </c>
      <c r="AK28" s="118">
        <f t="shared" si="25"/>
        <v>511</v>
      </c>
      <c r="AL28" s="118">
        <f t="shared" si="27"/>
        <v>503</v>
      </c>
      <c r="AM28" s="118">
        <f t="shared" si="27"/>
        <v>371</v>
      </c>
      <c r="AN28" s="118">
        <v>354</v>
      </c>
      <c r="AO28" s="118">
        <f t="shared" si="28"/>
        <v>385</v>
      </c>
      <c r="AP28" s="118">
        <f t="shared" si="28"/>
        <v>415</v>
      </c>
      <c r="AQ28" s="118">
        <f t="shared" si="28"/>
        <v>422</v>
      </c>
      <c r="AR28" s="118">
        <f t="shared" si="28"/>
        <v>480</v>
      </c>
      <c r="AS28" s="118">
        <f t="shared" si="29"/>
        <v>532</v>
      </c>
      <c r="AT28" s="118">
        <f t="shared" si="29"/>
        <v>530</v>
      </c>
      <c r="AU28" s="118">
        <f t="shared" si="29"/>
        <v>626</v>
      </c>
      <c r="AV28" s="118">
        <f t="shared" si="29"/>
        <v>633</v>
      </c>
      <c r="AW28" s="118">
        <f t="shared" si="29"/>
        <v>692</v>
      </c>
      <c r="AX28" s="118">
        <f t="shared" si="29"/>
        <v>786</v>
      </c>
      <c r="AY28" s="118">
        <f t="shared" si="29"/>
        <v>853</v>
      </c>
      <c r="AZ28" s="118">
        <f t="shared" si="29"/>
        <v>881</v>
      </c>
    </row>
    <row r="29" spans="2:52" x14ac:dyDescent="0.2">
      <c r="B29" s="129" t="s">
        <v>283</v>
      </c>
      <c r="C29" s="118">
        <f t="shared" ref="C29:N29" si="33">+C9-C19</f>
        <v>0</v>
      </c>
      <c r="D29" s="118">
        <f t="shared" si="33"/>
        <v>1160</v>
      </c>
      <c r="E29" s="160">
        <f t="shared" si="33"/>
        <v>925</v>
      </c>
      <c r="F29" s="118">
        <f t="shared" si="33"/>
        <v>1344</v>
      </c>
      <c r="G29" s="118">
        <f t="shared" si="33"/>
        <v>0</v>
      </c>
      <c r="H29" s="118">
        <f t="shared" si="33"/>
        <v>442</v>
      </c>
      <c r="I29" s="118">
        <f t="shared" si="33"/>
        <v>830</v>
      </c>
      <c r="J29" s="118">
        <f t="shared" si="33"/>
        <v>1279</v>
      </c>
      <c r="K29" s="118">
        <f t="shared" si="33"/>
        <v>0</v>
      </c>
      <c r="L29" s="118">
        <f t="shared" si="33"/>
        <v>418</v>
      </c>
      <c r="M29" s="118">
        <f t="shared" si="33"/>
        <v>788</v>
      </c>
      <c r="N29" s="118">
        <f t="shared" si="33"/>
        <v>1180</v>
      </c>
      <c r="O29" s="118">
        <f t="shared" si="31"/>
        <v>0</v>
      </c>
      <c r="P29" s="118">
        <f t="shared" si="31"/>
        <v>413</v>
      </c>
      <c r="Q29" s="118">
        <f t="shared" si="31"/>
        <v>870</v>
      </c>
      <c r="R29" s="118">
        <v>1286</v>
      </c>
      <c r="S29" s="118">
        <f t="shared" si="21"/>
        <v>0</v>
      </c>
      <c r="T29" s="118">
        <f t="shared" si="21"/>
        <v>317</v>
      </c>
      <c r="U29" s="118">
        <f t="shared" si="22"/>
        <v>610</v>
      </c>
      <c r="V29" s="118">
        <f t="shared" si="22"/>
        <v>897</v>
      </c>
      <c r="W29" s="118">
        <v>0</v>
      </c>
      <c r="X29" s="118">
        <v>282</v>
      </c>
      <c r="Y29" s="118">
        <v>588</v>
      </c>
      <c r="Z29" s="118">
        <v>917</v>
      </c>
      <c r="AA29" s="118">
        <v>0</v>
      </c>
      <c r="AB29" s="118">
        <v>324</v>
      </c>
      <c r="AC29" s="118">
        <f t="shared" si="23"/>
        <v>671</v>
      </c>
      <c r="AD29" s="118">
        <f t="shared" si="23"/>
        <v>915</v>
      </c>
      <c r="AE29" s="118">
        <f t="shared" si="24"/>
        <v>0</v>
      </c>
      <c r="AF29" s="118">
        <f t="shared" si="24"/>
        <v>346</v>
      </c>
      <c r="AG29" s="118">
        <f t="shared" si="25"/>
        <v>567</v>
      </c>
      <c r="AH29" s="118">
        <f t="shared" si="25"/>
        <v>839</v>
      </c>
      <c r="AI29" s="118">
        <f t="shared" si="25"/>
        <v>0</v>
      </c>
      <c r="AJ29" s="118">
        <f t="shared" si="26"/>
        <v>348</v>
      </c>
      <c r="AK29" s="118">
        <f t="shared" si="25"/>
        <v>736</v>
      </c>
      <c r="AL29" s="118">
        <f t="shared" si="27"/>
        <v>1110</v>
      </c>
      <c r="AM29" s="118">
        <f t="shared" si="27"/>
        <v>0</v>
      </c>
      <c r="AN29" s="118">
        <v>276</v>
      </c>
      <c r="AO29" s="118">
        <f t="shared" si="28"/>
        <v>578</v>
      </c>
      <c r="AP29" s="118">
        <f t="shared" si="28"/>
        <v>875</v>
      </c>
      <c r="AQ29" s="118">
        <f t="shared" si="28"/>
        <v>0</v>
      </c>
      <c r="AR29" s="118">
        <f t="shared" si="28"/>
        <v>392</v>
      </c>
      <c r="AS29" s="118">
        <f t="shared" si="29"/>
        <v>833</v>
      </c>
      <c r="AT29" s="118">
        <f t="shared" si="29"/>
        <v>1219</v>
      </c>
      <c r="AU29" s="118">
        <f t="shared" si="29"/>
        <v>0</v>
      </c>
      <c r="AV29" s="118">
        <f t="shared" si="29"/>
        <v>481</v>
      </c>
      <c r="AW29" s="118">
        <f t="shared" si="29"/>
        <v>969</v>
      </c>
      <c r="AX29" s="118">
        <f t="shared" si="29"/>
        <v>1405</v>
      </c>
      <c r="AY29" s="118">
        <f t="shared" si="29"/>
        <v>0</v>
      </c>
      <c r="AZ29" s="118">
        <f t="shared" si="29"/>
        <v>543</v>
      </c>
    </row>
    <row r="30" spans="2:52" x14ac:dyDescent="0.2">
      <c r="B30" s="129" t="s">
        <v>281</v>
      </c>
      <c r="C30" s="118">
        <f t="shared" ref="C30:N30" si="34">+C10-C20</f>
        <v>539</v>
      </c>
      <c r="D30" s="118">
        <f t="shared" si="34"/>
        <v>339</v>
      </c>
      <c r="E30" s="160">
        <f t="shared" si="34"/>
        <v>116</v>
      </c>
      <c r="F30" s="118">
        <f t="shared" si="34"/>
        <v>115</v>
      </c>
      <c r="G30" s="118">
        <f t="shared" si="34"/>
        <v>187</v>
      </c>
      <c r="H30" s="118">
        <f t="shared" si="34"/>
        <v>98</v>
      </c>
      <c r="I30" s="118">
        <f t="shared" si="34"/>
        <v>92</v>
      </c>
      <c r="J30" s="118">
        <f t="shared" si="34"/>
        <v>122</v>
      </c>
      <c r="K30" s="118">
        <f t="shared" si="34"/>
        <v>170</v>
      </c>
      <c r="L30" s="118">
        <f t="shared" si="34"/>
        <v>102</v>
      </c>
      <c r="M30" s="118">
        <f t="shared" si="34"/>
        <v>98</v>
      </c>
      <c r="N30" s="118">
        <f t="shared" si="34"/>
        <v>102</v>
      </c>
      <c r="O30" s="118">
        <f t="shared" si="31"/>
        <v>149</v>
      </c>
      <c r="P30" s="118">
        <f t="shared" si="31"/>
        <v>104</v>
      </c>
      <c r="Q30" s="118">
        <f t="shared" si="31"/>
        <v>114</v>
      </c>
      <c r="R30" s="118">
        <v>114</v>
      </c>
      <c r="S30" s="118">
        <f t="shared" si="21"/>
        <v>182</v>
      </c>
      <c r="T30" s="118">
        <f t="shared" si="21"/>
        <v>78</v>
      </c>
      <c r="U30" s="118">
        <f t="shared" si="22"/>
        <v>77</v>
      </c>
      <c r="V30" s="118">
        <f t="shared" si="22"/>
        <v>79</v>
      </c>
      <c r="W30" s="118">
        <v>120</v>
      </c>
      <c r="X30" s="118">
        <v>71</v>
      </c>
      <c r="Y30" s="118">
        <v>76</v>
      </c>
      <c r="Z30" s="118">
        <v>80</v>
      </c>
      <c r="AA30" s="118">
        <v>70</v>
      </c>
      <c r="AB30" s="118">
        <v>83</v>
      </c>
      <c r="AC30" s="118">
        <f t="shared" si="23"/>
        <v>322</v>
      </c>
      <c r="AD30" s="118">
        <f t="shared" si="23"/>
        <v>182</v>
      </c>
      <c r="AE30" s="118">
        <f t="shared" si="24"/>
        <v>133</v>
      </c>
      <c r="AF30" s="118">
        <f t="shared" si="24"/>
        <v>94</v>
      </c>
      <c r="AG30" s="118">
        <f t="shared" si="25"/>
        <v>197</v>
      </c>
      <c r="AH30" s="118">
        <f t="shared" si="25"/>
        <v>263</v>
      </c>
      <c r="AI30" s="118">
        <f t="shared" si="25"/>
        <v>128</v>
      </c>
      <c r="AJ30" s="118">
        <f t="shared" si="26"/>
        <v>92</v>
      </c>
      <c r="AK30" s="118">
        <f t="shared" si="25"/>
        <v>102</v>
      </c>
      <c r="AL30" s="118">
        <f t="shared" si="27"/>
        <v>101</v>
      </c>
      <c r="AM30" s="118">
        <f t="shared" si="27"/>
        <v>107</v>
      </c>
      <c r="AN30" s="118">
        <v>70</v>
      </c>
      <c r="AO30" s="118">
        <f t="shared" si="28"/>
        <v>77</v>
      </c>
      <c r="AP30" s="118">
        <f t="shared" si="28"/>
        <v>82</v>
      </c>
      <c r="AQ30" s="118">
        <f t="shared" si="28"/>
        <v>123</v>
      </c>
      <c r="AR30" s="118">
        <f t="shared" si="28"/>
        <v>98</v>
      </c>
      <c r="AS30" s="118">
        <f t="shared" si="29"/>
        <v>110</v>
      </c>
      <c r="AT30" s="118">
        <f t="shared" si="29"/>
        <v>117</v>
      </c>
      <c r="AU30" s="636">
        <f t="shared" si="29"/>
        <v>188</v>
      </c>
      <c r="AV30" s="636">
        <f t="shared" si="29"/>
        <v>123</v>
      </c>
      <c r="AW30" s="636">
        <f t="shared" si="29"/>
        <v>131</v>
      </c>
      <c r="AX30" s="636">
        <f t="shared" si="29"/>
        <v>154</v>
      </c>
      <c r="AY30" s="636">
        <f t="shared" si="29"/>
        <v>287</v>
      </c>
      <c r="AZ30" s="636">
        <f t="shared" si="29"/>
        <v>247</v>
      </c>
    </row>
    <row r="31" spans="2:52" x14ac:dyDescent="0.2">
      <c r="B31" s="129" t="s">
        <v>128</v>
      </c>
      <c r="C31" s="118">
        <f t="shared" ref="C31:N31" si="35">+C11-C21</f>
        <v>763</v>
      </c>
      <c r="D31" s="118">
        <f t="shared" si="35"/>
        <v>456</v>
      </c>
      <c r="E31" s="160">
        <f t="shared" si="35"/>
        <v>230</v>
      </c>
      <c r="F31" s="118">
        <f t="shared" si="35"/>
        <v>119</v>
      </c>
      <c r="G31" s="118">
        <f t="shared" si="35"/>
        <v>187</v>
      </c>
      <c r="H31" s="118">
        <f t="shared" si="35"/>
        <v>307</v>
      </c>
      <c r="I31" s="118">
        <f t="shared" si="35"/>
        <v>139</v>
      </c>
      <c r="J31" s="118">
        <f t="shared" si="35"/>
        <v>105</v>
      </c>
      <c r="K31" s="118">
        <f t="shared" si="35"/>
        <v>149</v>
      </c>
      <c r="L31" s="118">
        <f t="shared" si="35"/>
        <v>153</v>
      </c>
      <c r="M31" s="118">
        <f t="shared" si="35"/>
        <v>64</v>
      </c>
      <c r="N31" s="118">
        <f t="shared" si="35"/>
        <v>67</v>
      </c>
      <c r="O31" s="118">
        <f t="shared" si="31"/>
        <v>120</v>
      </c>
      <c r="P31" s="118">
        <f t="shared" si="31"/>
        <v>88</v>
      </c>
      <c r="Q31" s="118">
        <f t="shared" si="31"/>
        <v>70</v>
      </c>
      <c r="R31" s="118">
        <v>97</v>
      </c>
      <c r="S31" s="118">
        <f t="shared" si="21"/>
        <v>203</v>
      </c>
      <c r="T31" s="118">
        <f t="shared" si="21"/>
        <v>107</v>
      </c>
      <c r="U31" s="118">
        <f t="shared" si="22"/>
        <v>71</v>
      </c>
      <c r="V31" s="118">
        <f t="shared" si="22"/>
        <v>87</v>
      </c>
      <c r="W31" s="118">
        <v>78</v>
      </c>
      <c r="X31" s="118">
        <v>92</v>
      </c>
      <c r="Y31" s="118">
        <v>92</v>
      </c>
      <c r="Z31" s="118">
        <v>53</v>
      </c>
      <c r="AA31" s="118">
        <v>147</v>
      </c>
      <c r="AB31" s="118">
        <v>80</v>
      </c>
      <c r="AC31" s="118">
        <f t="shared" si="23"/>
        <v>71</v>
      </c>
      <c r="AD31" s="118">
        <f t="shared" si="23"/>
        <v>63</v>
      </c>
      <c r="AE31" s="118">
        <f t="shared" si="24"/>
        <v>101</v>
      </c>
      <c r="AF31" s="118">
        <f t="shared" si="24"/>
        <v>150</v>
      </c>
      <c r="AG31" s="118">
        <f t="shared" si="25"/>
        <v>102</v>
      </c>
      <c r="AH31" s="118">
        <f t="shared" si="25"/>
        <v>176</v>
      </c>
      <c r="AI31" s="118">
        <f t="shared" si="25"/>
        <v>242</v>
      </c>
      <c r="AJ31" s="118">
        <f t="shared" si="26"/>
        <v>251</v>
      </c>
      <c r="AK31" s="118">
        <f t="shared" si="25"/>
        <v>241</v>
      </c>
      <c r="AL31" s="118">
        <f t="shared" si="27"/>
        <v>239</v>
      </c>
      <c r="AM31" s="118">
        <f t="shared" si="27"/>
        <v>237</v>
      </c>
      <c r="AN31" s="118">
        <v>202</v>
      </c>
      <c r="AO31" s="118">
        <f t="shared" si="28"/>
        <v>158</v>
      </c>
      <c r="AP31" s="118">
        <f t="shared" si="28"/>
        <v>226</v>
      </c>
      <c r="AQ31" s="118">
        <f t="shared" si="28"/>
        <v>281</v>
      </c>
      <c r="AR31" s="118">
        <f t="shared" si="28"/>
        <v>280</v>
      </c>
      <c r="AS31" s="118">
        <f t="shared" si="29"/>
        <v>189</v>
      </c>
      <c r="AT31" s="118">
        <f t="shared" si="29"/>
        <v>198</v>
      </c>
      <c r="AU31" s="118">
        <f t="shared" si="29"/>
        <v>251</v>
      </c>
      <c r="AV31" s="118">
        <f t="shared" si="29"/>
        <v>174</v>
      </c>
      <c r="AW31" s="118">
        <f t="shared" si="29"/>
        <v>197</v>
      </c>
      <c r="AX31" s="118">
        <f t="shared" si="29"/>
        <v>194</v>
      </c>
      <c r="AY31" s="118">
        <f t="shared" si="29"/>
        <v>235</v>
      </c>
      <c r="AZ31" s="118">
        <f t="shared" si="29"/>
        <v>314</v>
      </c>
    </row>
    <row r="32" spans="2:52" s="311" customFormat="1" hidden="1" outlineLevel="1" x14ac:dyDescent="0.2">
      <c r="B32" s="318" t="s">
        <v>282</v>
      </c>
      <c r="C32" s="312">
        <f t="shared" ref="C32:N32" si="36">+C12-C22</f>
        <v>185</v>
      </c>
      <c r="D32" s="312">
        <f t="shared" si="36"/>
        <v>4</v>
      </c>
      <c r="E32" s="319">
        <f t="shared" si="36"/>
        <v>23</v>
      </c>
      <c r="F32" s="312">
        <f t="shared" si="36"/>
        <v>0</v>
      </c>
      <c r="G32" s="312">
        <f t="shared" si="36"/>
        <v>0</v>
      </c>
      <c r="H32" s="312">
        <f t="shared" si="36"/>
        <v>0</v>
      </c>
      <c r="I32" s="312">
        <f t="shared" si="36"/>
        <v>0</v>
      </c>
      <c r="J32" s="312">
        <f t="shared" si="36"/>
        <v>0</v>
      </c>
      <c r="K32" s="312">
        <f t="shared" si="36"/>
        <v>0</v>
      </c>
      <c r="L32" s="312">
        <f t="shared" si="36"/>
        <v>0</v>
      </c>
      <c r="M32" s="312">
        <f t="shared" si="36"/>
        <v>0</v>
      </c>
      <c r="N32" s="312">
        <f t="shared" si="36"/>
        <v>0</v>
      </c>
      <c r="O32" s="312">
        <f t="shared" si="31"/>
        <v>0</v>
      </c>
      <c r="P32" s="312">
        <f t="shared" si="31"/>
        <v>0</v>
      </c>
      <c r="Q32" s="312">
        <f t="shared" si="31"/>
        <v>0</v>
      </c>
      <c r="R32" s="312">
        <v>0</v>
      </c>
      <c r="S32" s="312">
        <f t="shared" si="21"/>
        <v>0</v>
      </c>
      <c r="T32" s="312">
        <f t="shared" si="21"/>
        <v>0</v>
      </c>
      <c r="U32" s="312">
        <f t="shared" si="22"/>
        <v>0</v>
      </c>
      <c r="V32" s="312">
        <v>0</v>
      </c>
      <c r="W32" s="312">
        <v>0</v>
      </c>
      <c r="X32" s="312">
        <v>0</v>
      </c>
      <c r="Y32" s="312"/>
      <c r="Z32" s="312">
        <v>0</v>
      </c>
      <c r="AA32" s="312">
        <v>0</v>
      </c>
      <c r="AB32" s="312">
        <v>0</v>
      </c>
      <c r="AC32" s="312">
        <f>+AC12-AC22</f>
        <v>0</v>
      </c>
      <c r="AD32" s="312">
        <f>+AD12-AD22</f>
        <v>0</v>
      </c>
      <c r="AE32" s="312">
        <f t="shared" si="24"/>
        <v>0</v>
      </c>
      <c r="AF32" s="312">
        <f t="shared" si="24"/>
        <v>0</v>
      </c>
      <c r="AG32" s="312">
        <f t="shared" si="25"/>
        <v>0</v>
      </c>
      <c r="AH32" s="312">
        <f t="shared" si="25"/>
        <v>0</v>
      </c>
      <c r="AI32" s="312">
        <f t="shared" si="25"/>
        <v>0</v>
      </c>
      <c r="AJ32" s="312">
        <v>0</v>
      </c>
      <c r="AK32" s="312" t="e">
        <f t="shared" si="25"/>
        <v>#REF!</v>
      </c>
      <c r="AL32" s="312" t="e">
        <f t="shared" si="27"/>
        <v>#REF!</v>
      </c>
      <c r="AM32" s="312" t="e">
        <f t="shared" si="27"/>
        <v>#REF!</v>
      </c>
      <c r="AN32" s="312" t="e">
        <f>+AN12-AN22</f>
        <v>#REF!</v>
      </c>
      <c r="AO32" s="312" t="e">
        <f t="shared" si="28"/>
        <v>#REF!</v>
      </c>
      <c r="AP32" s="312" t="e">
        <f t="shared" si="28"/>
        <v>#REF!</v>
      </c>
      <c r="AQ32" s="312" t="e">
        <f t="shared" si="28"/>
        <v>#REF!</v>
      </c>
      <c r="AR32" s="312" t="e">
        <f t="shared" si="28"/>
        <v>#REF!</v>
      </c>
      <c r="AS32" s="312">
        <f>+AS12-AS22</f>
        <v>0</v>
      </c>
      <c r="AT32" s="312"/>
      <c r="AU32" s="312">
        <f>+AU12-AU22</f>
        <v>0</v>
      </c>
      <c r="AV32" s="312"/>
      <c r="AW32" s="312" t="e">
        <f>+AW12-AW22</f>
        <v>#REF!</v>
      </c>
      <c r="AX32" s="312" t="e">
        <f>+AX12-AX22</f>
        <v>#REF!</v>
      </c>
      <c r="AY32" s="312" t="e">
        <f>+AY12-AY22</f>
        <v>#REF!</v>
      </c>
      <c r="AZ32" s="312" t="e">
        <f>+AZ12-AZ22</f>
        <v>#REF!</v>
      </c>
    </row>
    <row r="33" spans="2:52" collapsed="1" x14ac:dyDescent="0.2">
      <c r="B33" s="126" t="s">
        <v>112</v>
      </c>
      <c r="C33" s="120">
        <f t="shared" ref="C33:Q33" si="37">SUM(C26:C32)</f>
        <v>13901</v>
      </c>
      <c r="D33" s="120">
        <f t="shared" si="37"/>
        <v>11093</v>
      </c>
      <c r="E33" s="162">
        <f t="shared" si="37"/>
        <v>5778</v>
      </c>
      <c r="F33" s="120">
        <f t="shared" si="37"/>
        <v>6589</v>
      </c>
      <c r="G33" s="120">
        <f t="shared" si="37"/>
        <v>5988</v>
      </c>
      <c r="H33" s="120">
        <f t="shared" si="37"/>
        <v>5158</v>
      </c>
      <c r="I33" s="120">
        <f t="shared" si="37"/>
        <v>5400</v>
      </c>
      <c r="J33" s="120">
        <f t="shared" si="37"/>
        <v>6340</v>
      </c>
      <c r="K33" s="120">
        <f t="shared" si="37"/>
        <v>5664</v>
      </c>
      <c r="L33" s="120">
        <f t="shared" si="37"/>
        <v>5179</v>
      </c>
      <c r="M33" s="120">
        <f t="shared" si="37"/>
        <v>5364</v>
      </c>
      <c r="N33" s="120">
        <f t="shared" si="37"/>
        <v>6048</v>
      </c>
      <c r="O33" s="120">
        <f t="shared" si="37"/>
        <v>4655</v>
      </c>
      <c r="P33" s="120">
        <f t="shared" si="37"/>
        <v>4646</v>
      </c>
      <c r="Q33" s="120">
        <f t="shared" si="37"/>
        <v>4426</v>
      </c>
      <c r="R33" s="120">
        <f t="shared" ref="R33:AA33" si="38">SUM(R26:R32)</f>
        <v>4987</v>
      </c>
      <c r="S33" s="120">
        <f t="shared" si="38"/>
        <v>4367</v>
      </c>
      <c r="T33" s="120">
        <f t="shared" si="38"/>
        <v>2948</v>
      </c>
      <c r="U33" s="120">
        <f t="shared" si="38"/>
        <v>3149</v>
      </c>
      <c r="V33" s="120">
        <f t="shared" si="38"/>
        <v>3581</v>
      </c>
      <c r="W33" s="120">
        <f t="shared" si="38"/>
        <v>3021</v>
      </c>
      <c r="X33" s="120">
        <f t="shared" si="38"/>
        <v>2541</v>
      </c>
      <c r="Y33" s="120">
        <f t="shared" si="38"/>
        <v>3189</v>
      </c>
      <c r="Z33" s="120">
        <f t="shared" si="38"/>
        <v>3581</v>
      </c>
      <c r="AA33" s="120">
        <f t="shared" si="38"/>
        <v>3007</v>
      </c>
      <c r="AB33" s="120">
        <f t="shared" ref="AB33:AG33" si="39">SUM(AB26:AB32)</f>
        <v>2944</v>
      </c>
      <c r="AC33" s="120">
        <f t="shared" si="39"/>
        <v>4545</v>
      </c>
      <c r="AD33" s="120">
        <f t="shared" si="39"/>
        <v>4680</v>
      </c>
      <c r="AE33" s="120">
        <f t="shared" si="39"/>
        <v>2865</v>
      </c>
      <c r="AF33" s="120">
        <f t="shared" si="39"/>
        <v>2939</v>
      </c>
      <c r="AG33" s="120">
        <f t="shared" si="39"/>
        <v>3303</v>
      </c>
      <c r="AH33" s="120">
        <f>SUM(AH26:AH32)</f>
        <v>3910</v>
      </c>
      <c r="AI33" s="120">
        <f>SUM(AI26:AI32)</f>
        <v>3283</v>
      </c>
      <c r="AJ33" s="120">
        <f>SUM(AJ26:AJ32)</f>
        <v>3010</v>
      </c>
      <c r="AK33" s="120">
        <f>SUM(AK26:AK31)</f>
        <v>3874</v>
      </c>
      <c r="AL33" s="120">
        <f t="shared" ref="AL33:AQ33" si="40">SUM(AL26:AL31)</f>
        <v>4425</v>
      </c>
      <c r="AM33" s="120">
        <f t="shared" si="40"/>
        <v>2817</v>
      </c>
      <c r="AN33" s="120">
        <f t="shared" si="40"/>
        <v>2713</v>
      </c>
      <c r="AO33" s="120">
        <f t="shared" si="40"/>
        <v>3301</v>
      </c>
      <c r="AP33" s="120">
        <f t="shared" si="40"/>
        <v>3863</v>
      </c>
      <c r="AQ33" s="120">
        <f t="shared" si="40"/>
        <v>3187</v>
      </c>
      <c r="AR33" s="120">
        <f t="shared" ref="AR33:AZ33" si="41">SUM(AR26:AR31)</f>
        <v>3594</v>
      </c>
      <c r="AS33" s="120">
        <f t="shared" si="41"/>
        <v>4434</v>
      </c>
      <c r="AT33" s="120">
        <f t="shared" si="41"/>
        <v>4907</v>
      </c>
      <c r="AU33" s="120">
        <f t="shared" si="41"/>
        <v>4254</v>
      </c>
      <c r="AV33" s="120">
        <f t="shared" si="41"/>
        <v>4094</v>
      </c>
      <c r="AW33" s="120">
        <f t="shared" si="41"/>
        <v>5302</v>
      </c>
      <c r="AX33" s="120">
        <f t="shared" si="41"/>
        <v>5973</v>
      </c>
      <c r="AY33" s="120">
        <f t="shared" si="41"/>
        <v>4797</v>
      </c>
      <c r="AZ33" s="120">
        <f t="shared" si="41"/>
        <v>5193</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42">
    <pageSetUpPr autoPageBreaks="0"/>
  </sheetPr>
  <dimension ref="B1:BC113"/>
  <sheetViews>
    <sheetView showGridLines="0" zoomScale="90" zoomScaleNormal="9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ColWidth="9.140625" defaultRowHeight="18" x14ac:dyDescent="0.25"/>
  <cols>
    <col min="1" max="1" width="1.42578125" style="70" customWidth="1"/>
    <col min="2" max="2" width="24.140625" style="70" customWidth="1"/>
    <col min="3" max="55" width="10.85546875" style="70" customWidth="1"/>
    <col min="56" max="16384" width="9.140625" style="70"/>
  </cols>
  <sheetData>
    <row r="1" spans="2:55" s="554" customFormat="1" ht="7.5" customHeight="1" x14ac:dyDescent="0.25">
      <c r="D1" s="555"/>
      <c r="E1" s="555"/>
      <c r="F1" s="555"/>
      <c r="G1" s="555"/>
      <c r="H1" s="555"/>
      <c r="I1" s="555"/>
      <c r="J1" s="555"/>
      <c r="K1" s="555"/>
      <c r="L1" s="555"/>
    </row>
    <row r="2" spans="2:55" s="554" customFormat="1" ht="12.75" customHeight="1" x14ac:dyDescent="0.25"/>
    <row r="3" spans="2:55" s="554" customFormat="1" ht="12.75" customHeight="1" x14ac:dyDescent="0.25">
      <c r="D3" s="555"/>
      <c r="E3" s="555"/>
      <c r="F3" s="555"/>
      <c r="G3" s="555"/>
      <c r="H3" s="555"/>
      <c r="I3" s="555"/>
      <c r="J3" s="555"/>
      <c r="K3" s="555"/>
      <c r="L3" s="555"/>
      <c r="AA3" s="794"/>
      <c r="AB3" s="794"/>
      <c r="AC3" s="794"/>
      <c r="AD3" s="794"/>
      <c r="AE3" s="794"/>
      <c r="AF3" s="794"/>
      <c r="AG3" s="794"/>
      <c r="AH3" s="794"/>
      <c r="AI3" s="794"/>
      <c r="AJ3" s="794"/>
      <c r="AK3" s="794"/>
      <c r="AL3" s="794"/>
      <c r="AM3" s="794"/>
      <c r="AN3" s="794"/>
      <c r="AO3" s="794"/>
      <c r="AP3" s="794"/>
      <c r="AQ3" s="794"/>
      <c r="AR3" s="794"/>
      <c r="AS3" s="794"/>
    </row>
    <row r="4" spans="2:55" ht="12.75" customHeight="1" x14ac:dyDescent="0.25">
      <c r="D4" s="71"/>
      <c r="E4" s="71"/>
      <c r="F4" s="1235" t="s">
        <v>1426</v>
      </c>
      <c r="G4" s="1236"/>
      <c r="H4" s="224" t="s">
        <v>1427</v>
      </c>
      <c r="I4" s="71"/>
      <c r="J4" s="71"/>
      <c r="K4" s="71"/>
      <c r="L4" s="71"/>
      <c r="AA4" s="794"/>
      <c r="AB4" s="794"/>
      <c r="AC4" s="794"/>
      <c r="AD4" s="794"/>
      <c r="AE4" s="794"/>
      <c r="AF4" s="794"/>
      <c r="AG4" s="794"/>
      <c r="AH4" s="794"/>
      <c r="AI4" s="794"/>
      <c r="AJ4" s="794"/>
      <c r="AK4" s="794"/>
      <c r="AL4" s="794"/>
      <c r="AM4" s="794"/>
      <c r="AN4" s="794"/>
      <c r="AO4" s="794"/>
      <c r="AP4" s="794"/>
      <c r="AQ4" s="794"/>
      <c r="AR4" s="794"/>
      <c r="AS4" s="794"/>
      <c r="AT4" s="794"/>
      <c r="AU4" s="794"/>
      <c r="AV4" s="794"/>
      <c r="AW4" s="794"/>
      <c r="AX4" s="794"/>
      <c r="AY4" s="794"/>
      <c r="AZ4" s="794"/>
      <c r="BA4" s="794"/>
      <c r="BB4" s="794"/>
      <c r="BC4" s="794"/>
    </row>
    <row r="5" spans="2:55" x14ac:dyDescent="0.25">
      <c r="B5" s="145" t="s">
        <v>96</v>
      </c>
      <c r="C5" s="115" t="s">
        <v>3</v>
      </c>
      <c r="D5" s="115" t="s">
        <v>2</v>
      </c>
      <c r="E5" s="115" t="s">
        <v>1</v>
      </c>
      <c r="F5" s="115" t="s">
        <v>0</v>
      </c>
      <c r="G5" s="115" t="s">
        <v>45</v>
      </c>
      <c r="H5" s="115" t="s">
        <v>55</v>
      </c>
      <c r="I5" s="115" t="s">
        <v>71</v>
      </c>
      <c r="J5" s="115" t="s">
        <v>77</v>
      </c>
      <c r="K5" s="115" t="s">
        <v>87</v>
      </c>
      <c r="L5" s="115" t="s">
        <v>88</v>
      </c>
      <c r="M5" s="115" t="s">
        <v>378</v>
      </c>
      <c r="N5" s="115" t="s">
        <v>406</v>
      </c>
      <c r="O5" s="115" t="s">
        <v>467</v>
      </c>
      <c r="P5" s="115" t="s">
        <v>501</v>
      </c>
      <c r="Q5" s="115" t="s">
        <v>511</v>
      </c>
      <c r="R5" s="115" t="s">
        <v>538</v>
      </c>
      <c r="S5" s="115" t="s">
        <v>567</v>
      </c>
      <c r="T5" s="115" t="s">
        <v>575</v>
      </c>
      <c r="U5" s="115" t="s">
        <v>595</v>
      </c>
      <c r="V5" s="115" t="s">
        <v>596</v>
      </c>
      <c r="W5" s="115" t="s">
        <v>623</v>
      </c>
      <c r="X5" s="115" t="s">
        <v>624</v>
      </c>
      <c r="Y5" s="115" t="s">
        <v>625</v>
      </c>
      <c r="Z5" s="115" t="s">
        <v>626</v>
      </c>
      <c r="AA5" s="115" t="s">
        <v>798</v>
      </c>
      <c r="AB5" s="115" t="s">
        <v>799</v>
      </c>
      <c r="AC5" s="115" t="s">
        <v>800</v>
      </c>
      <c r="AD5" s="115" t="s">
        <v>801</v>
      </c>
      <c r="AE5" s="115" t="s">
        <v>913</v>
      </c>
      <c r="AF5" s="115" t="s">
        <v>914</v>
      </c>
      <c r="AG5" s="115" t="s">
        <v>923</v>
      </c>
      <c r="AH5" s="115" t="s">
        <v>924</v>
      </c>
      <c r="AI5" s="115" t="s">
        <v>1049</v>
      </c>
      <c r="AJ5" s="115" t="s">
        <v>1023</v>
      </c>
      <c r="AK5" s="115" t="s">
        <v>1024</v>
      </c>
      <c r="AL5" s="115" t="s">
        <v>1050</v>
      </c>
      <c r="AM5" s="115" t="s">
        <v>1114</v>
      </c>
      <c r="AN5" s="115" t="s">
        <v>1119</v>
      </c>
      <c r="AO5" s="115" t="s">
        <v>1121</v>
      </c>
      <c r="AP5" s="115" t="s">
        <v>1123</v>
      </c>
      <c r="AQ5" s="115" t="s">
        <v>1176</v>
      </c>
      <c r="AR5" s="115" t="s">
        <v>1177</v>
      </c>
      <c r="AS5" s="115" t="s">
        <v>1179</v>
      </c>
      <c r="AT5" s="115" t="s">
        <v>1181</v>
      </c>
      <c r="AU5" s="115" t="s">
        <v>1243</v>
      </c>
      <c r="AV5" s="115" t="s">
        <v>1250</v>
      </c>
      <c r="AW5" s="115" t="s">
        <v>1251</v>
      </c>
      <c r="AX5" s="115" t="s">
        <v>1252</v>
      </c>
      <c r="AY5" s="115" t="s">
        <v>1311</v>
      </c>
      <c r="AZ5" s="115" t="s">
        <v>1313</v>
      </c>
      <c r="BA5" s="115" t="s">
        <v>1315</v>
      </c>
      <c r="BB5" s="115" t="s">
        <v>1317</v>
      </c>
      <c r="BC5" s="115" t="s">
        <v>1344</v>
      </c>
    </row>
    <row r="6" spans="2:55" x14ac:dyDescent="0.25">
      <c r="B6" s="129" t="s">
        <v>115</v>
      </c>
      <c r="C6" s="118">
        <v>26518</v>
      </c>
      <c r="D6" s="118">
        <v>26518</v>
      </c>
      <c r="E6" s="118">
        <v>39871</v>
      </c>
      <c r="F6" s="118">
        <v>36991</v>
      </c>
      <c r="G6" s="118">
        <v>32167</v>
      </c>
      <c r="H6" s="160">
        <v>11047</v>
      </c>
      <c r="I6" s="118">
        <v>9656</v>
      </c>
      <c r="J6" s="118">
        <v>11754</v>
      </c>
      <c r="K6" s="118">
        <v>9645</v>
      </c>
      <c r="L6" s="118">
        <v>9861.4446800000005</v>
      </c>
      <c r="M6" s="118">
        <v>10007</v>
      </c>
      <c r="N6" s="118">
        <v>22751</v>
      </c>
      <c r="O6" s="118">
        <v>21795</v>
      </c>
      <c r="P6" s="118">
        <v>17017</v>
      </c>
      <c r="Q6" s="118">
        <v>15630</v>
      </c>
      <c r="R6" s="118">
        <v>14938</v>
      </c>
      <c r="S6" s="118">
        <v>14709</v>
      </c>
      <c r="T6" s="118">
        <v>36603</v>
      </c>
      <c r="U6" s="118">
        <v>34954</v>
      </c>
      <c r="V6" s="118">
        <v>38983</v>
      </c>
      <c r="W6" s="118">
        <v>43770</v>
      </c>
      <c r="X6" s="118">
        <v>41092</v>
      </c>
      <c r="Y6" s="118">
        <v>36834</v>
      </c>
      <c r="Z6" s="118">
        <v>44444</v>
      </c>
      <c r="AA6" s="118">
        <v>43202</v>
      </c>
      <c r="AB6" s="118">
        <v>42750</v>
      </c>
      <c r="AC6" s="118">
        <v>36611</v>
      </c>
      <c r="AD6" s="118">
        <v>35266</v>
      </c>
      <c r="AE6" s="118">
        <v>36832</v>
      </c>
      <c r="AF6" s="118">
        <v>34213</v>
      </c>
      <c r="AG6" s="118">
        <v>35552</v>
      </c>
      <c r="AH6" s="118">
        <v>33878</v>
      </c>
      <c r="AI6" s="118">
        <v>33106</v>
      </c>
      <c r="AJ6" s="118">
        <v>31961</v>
      </c>
      <c r="AK6" s="118">
        <v>26648</v>
      </c>
      <c r="AL6" s="118">
        <v>30830</v>
      </c>
      <c r="AM6" s="118">
        <v>29638</v>
      </c>
      <c r="AN6" s="118">
        <v>26394</v>
      </c>
      <c r="AO6" s="118">
        <v>32330</v>
      </c>
      <c r="AP6" s="118">
        <v>28382</v>
      </c>
      <c r="AQ6" s="118">
        <v>28655</v>
      </c>
      <c r="AR6" s="118">
        <v>26478</v>
      </c>
      <c r="AS6" s="118">
        <v>26648</v>
      </c>
      <c r="AT6" s="118">
        <v>28015</v>
      </c>
      <c r="AU6" s="118">
        <v>28737</v>
      </c>
      <c r="AV6" s="118">
        <v>29329</v>
      </c>
      <c r="AW6" s="118">
        <v>28133</v>
      </c>
      <c r="AX6" s="118">
        <v>21692</v>
      </c>
      <c r="AY6" s="118">
        <v>22091</v>
      </c>
      <c r="AZ6" s="118">
        <v>22253</v>
      </c>
      <c r="BA6" s="118">
        <v>21408</v>
      </c>
      <c r="BB6" s="118">
        <v>20664</v>
      </c>
      <c r="BC6" s="118">
        <v>20125</v>
      </c>
    </row>
    <row r="7" spans="2:55" x14ac:dyDescent="0.25">
      <c r="B7" s="129" t="s">
        <v>116</v>
      </c>
      <c r="C7" s="118">
        <v>139860</v>
      </c>
      <c r="D7" s="118">
        <v>139860</v>
      </c>
      <c r="E7" s="118">
        <v>139860</v>
      </c>
      <c r="F7" s="118">
        <v>123033</v>
      </c>
      <c r="G7" s="118">
        <v>66323</v>
      </c>
      <c r="H7" s="160">
        <v>63957</v>
      </c>
      <c r="I7" s="118">
        <v>99539</v>
      </c>
      <c r="J7" s="118">
        <v>106694</v>
      </c>
      <c r="K7" s="118">
        <v>147340</v>
      </c>
      <c r="L7" s="118">
        <v>154158.6134291621</v>
      </c>
      <c r="M7" s="118">
        <v>136961</v>
      </c>
      <c r="N7" s="118">
        <v>120717</v>
      </c>
      <c r="O7" s="118">
        <v>113192</v>
      </c>
      <c r="P7" s="118">
        <v>117448</v>
      </c>
      <c r="Q7" s="118">
        <v>126715</v>
      </c>
      <c r="R7" s="118">
        <v>129202</v>
      </c>
      <c r="S7" s="118">
        <v>144155</v>
      </c>
      <c r="T7" s="261">
        <v>106726</v>
      </c>
      <c r="U7" s="118">
        <v>111793</v>
      </c>
      <c r="V7" s="118">
        <v>132824</v>
      </c>
      <c r="W7" s="118">
        <v>129567</v>
      </c>
      <c r="X7" s="118">
        <v>125754</v>
      </c>
      <c r="Y7" s="118">
        <v>106200</v>
      </c>
      <c r="Z7" s="118">
        <v>99759</v>
      </c>
      <c r="AA7" s="118">
        <v>98467</v>
      </c>
      <c r="AB7" s="118">
        <v>100335</v>
      </c>
      <c r="AC7" s="118">
        <v>97388</v>
      </c>
      <c r="AD7" s="118">
        <v>97237</v>
      </c>
      <c r="AE7" s="118">
        <v>88555</v>
      </c>
      <c r="AF7" s="118">
        <v>82562</v>
      </c>
      <c r="AG7" s="118">
        <v>87763</v>
      </c>
      <c r="AH7" s="118">
        <v>87818</v>
      </c>
      <c r="AI7" s="118">
        <v>87266</v>
      </c>
      <c r="AJ7" s="118">
        <v>78234</v>
      </c>
      <c r="AK7" s="118">
        <v>71995</v>
      </c>
      <c r="AL7" s="118">
        <v>71761</v>
      </c>
      <c r="AM7" s="118">
        <v>73154</v>
      </c>
      <c r="AN7" s="118">
        <v>76960</v>
      </c>
      <c r="AO7" s="118">
        <v>71089</v>
      </c>
      <c r="AP7" s="118">
        <v>70850</v>
      </c>
      <c r="AQ7" s="261">
        <v>89634</v>
      </c>
      <c r="AR7" s="261">
        <v>144590</v>
      </c>
      <c r="AS7" s="118">
        <v>133077</v>
      </c>
      <c r="AT7" s="118">
        <v>142625</v>
      </c>
      <c r="AU7" s="118">
        <v>139192</v>
      </c>
      <c r="AV7" s="118">
        <v>154082</v>
      </c>
      <c r="AW7" s="118">
        <v>153680</v>
      </c>
      <c r="AX7" s="118">
        <v>163409</v>
      </c>
      <c r="AY7" s="118">
        <v>166958</v>
      </c>
      <c r="AZ7" s="118">
        <v>169264</v>
      </c>
      <c r="BA7" s="118">
        <v>175901</v>
      </c>
      <c r="BB7" s="118">
        <v>174008</v>
      </c>
      <c r="BC7" s="118">
        <v>183102</v>
      </c>
    </row>
    <row r="8" spans="2:55" x14ac:dyDescent="0.25">
      <c r="B8" s="129" t="s">
        <v>117</v>
      </c>
      <c r="C8" s="118">
        <v>77302</v>
      </c>
      <c r="D8" s="118">
        <v>77302</v>
      </c>
      <c r="E8" s="118">
        <v>77302</v>
      </c>
      <c r="F8" s="118">
        <v>85930</v>
      </c>
      <c r="G8" s="118">
        <v>160817</v>
      </c>
      <c r="H8" s="160">
        <v>77505</v>
      </c>
      <c r="I8" s="118">
        <v>64165</v>
      </c>
      <c r="J8" s="118">
        <v>20307</v>
      </c>
      <c r="K8" s="118">
        <v>8039</v>
      </c>
      <c r="L8" s="118">
        <v>8572.7878981035428</v>
      </c>
      <c r="M8" s="118">
        <v>7904</v>
      </c>
      <c r="N8" s="118">
        <v>6820</v>
      </c>
      <c r="O8" s="118">
        <v>20575</v>
      </c>
      <c r="P8" s="118">
        <v>32358</v>
      </c>
      <c r="Q8" s="118">
        <v>37967</v>
      </c>
      <c r="R8" s="118">
        <v>43110</v>
      </c>
      <c r="S8" s="118">
        <v>45196</v>
      </c>
      <c r="T8" s="261">
        <v>82688</v>
      </c>
      <c r="U8" s="118">
        <v>49400</v>
      </c>
      <c r="V8" s="118">
        <v>72441</v>
      </c>
      <c r="W8" s="118">
        <v>429459</v>
      </c>
      <c r="X8" s="118">
        <v>436349</v>
      </c>
      <c r="Y8" s="118">
        <v>447240</v>
      </c>
      <c r="Z8" s="118">
        <v>454666</v>
      </c>
      <c r="AA8" s="118">
        <v>501151</v>
      </c>
      <c r="AB8" s="118">
        <v>515842</v>
      </c>
      <c r="AC8" s="118">
        <v>521215</v>
      </c>
      <c r="AD8" s="118">
        <v>526930</v>
      </c>
      <c r="AE8" s="118">
        <v>542724</v>
      </c>
      <c r="AF8" s="118">
        <v>553626</v>
      </c>
      <c r="AG8" s="118">
        <v>553747</v>
      </c>
      <c r="AH8" s="118">
        <v>534204</v>
      </c>
      <c r="AI8" s="118">
        <v>570848</v>
      </c>
      <c r="AJ8" s="118">
        <v>590062</v>
      </c>
      <c r="AK8" s="118">
        <v>601208</v>
      </c>
      <c r="AL8" s="118">
        <v>605941</v>
      </c>
      <c r="AM8" s="118">
        <v>635213</v>
      </c>
      <c r="AN8" s="118">
        <v>640151</v>
      </c>
      <c r="AO8" s="118">
        <v>617317</v>
      </c>
      <c r="AP8" s="118">
        <v>634690</v>
      </c>
      <c r="AQ8" s="118">
        <v>652927</v>
      </c>
      <c r="AR8" s="118">
        <v>630211</v>
      </c>
      <c r="AS8" s="118">
        <v>648468</v>
      </c>
      <c r="AT8" s="118">
        <v>655988</v>
      </c>
      <c r="AU8" s="118">
        <v>674345</v>
      </c>
      <c r="AV8" s="118">
        <v>679177</v>
      </c>
      <c r="AW8" s="118">
        <v>694883</v>
      </c>
      <c r="AX8" s="118">
        <v>702375</v>
      </c>
      <c r="AY8" s="118">
        <v>723905</v>
      </c>
      <c r="AZ8" s="118">
        <v>740093</v>
      </c>
      <c r="BA8" s="118">
        <v>554783</v>
      </c>
      <c r="BB8" s="261">
        <v>41096</v>
      </c>
      <c r="BC8" s="118">
        <v>41188</v>
      </c>
    </row>
    <row r="9" spans="2:55" x14ac:dyDescent="0.25">
      <c r="B9" s="126" t="s">
        <v>73</v>
      </c>
      <c r="C9" s="120">
        <f t="shared" ref="C9:M9" si="0">SUM(C6:C8)</f>
        <v>243680</v>
      </c>
      <c r="D9" s="120">
        <f t="shared" si="0"/>
        <v>243680</v>
      </c>
      <c r="E9" s="120">
        <f t="shared" si="0"/>
        <v>257033</v>
      </c>
      <c r="F9" s="120">
        <f t="shared" si="0"/>
        <v>245954</v>
      </c>
      <c r="G9" s="120">
        <f t="shared" si="0"/>
        <v>259307</v>
      </c>
      <c r="H9" s="162">
        <f t="shared" si="0"/>
        <v>152509</v>
      </c>
      <c r="I9" s="120">
        <f t="shared" si="0"/>
        <v>173360</v>
      </c>
      <c r="J9" s="120">
        <f t="shared" si="0"/>
        <v>138755</v>
      </c>
      <c r="K9" s="120">
        <f t="shared" si="0"/>
        <v>165024</v>
      </c>
      <c r="L9" s="120">
        <f t="shared" si="0"/>
        <v>172592.84600726562</v>
      </c>
      <c r="M9" s="120">
        <f t="shared" si="0"/>
        <v>154872</v>
      </c>
      <c r="N9" s="120">
        <f t="shared" ref="N9:AD9" si="1">SUM(N6:N8)</f>
        <v>150288</v>
      </c>
      <c r="O9" s="120">
        <f t="shared" si="1"/>
        <v>155562</v>
      </c>
      <c r="P9" s="120">
        <f t="shared" si="1"/>
        <v>166823</v>
      </c>
      <c r="Q9" s="120">
        <f t="shared" si="1"/>
        <v>180312</v>
      </c>
      <c r="R9" s="120">
        <f t="shared" si="1"/>
        <v>187250</v>
      </c>
      <c r="S9" s="120">
        <f t="shared" si="1"/>
        <v>204060</v>
      </c>
      <c r="T9" s="120">
        <f t="shared" si="1"/>
        <v>226017</v>
      </c>
      <c r="U9" s="120">
        <f t="shared" si="1"/>
        <v>196147</v>
      </c>
      <c r="V9" s="120">
        <f t="shared" si="1"/>
        <v>244248</v>
      </c>
      <c r="W9" s="120">
        <f t="shared" si="1"/>
        <v>602796</v>
      </c>
      <c r="X9" s="120">
        <f t="shared" si="1"/>
        <v>603195</v>
      </c>
      <c r="Y9" s="120">
        <f t="shared" si="1"/>
        <v>590274</v>
      </c>
      <c r="Z9" s="120">
        <f t="shared" si="1"/>
        <v>598869</v>
      </c>
      <c r="AA9" s="120">
        <f t="shared" si="1"/>
        <v>642820</v>
      </c>
      <c r="AB9" s="120">
        <f t="shared" si="1"/>
        <v>658927</v>
      </c>
      <c r="AC9" s="120">
        <f t="shared" si="1"/>
        <v>655214</v>
      </c>
      <c r="AD9" s="120">
        <f t="shared" si="1"/>
        <v>659433</v>
      </c>
      <c r="AE9" s="120">
        <f t="shared" ref="AE9:AN9" si="2">SUM(AE6:AE8)</f>
        <v>668111</v>
      </c>
      <c r="AF9" s="120">
        <f t="shared" si="2"/>
        <v>670401</v>
      </c>
      <c r="AG9" s="120">
        <f t="shared" si="2"/>
        <v>677062</v>
      </c>
      <c r="AH9" s="120">
        <f t="shared" si="2"/>
        <v>655900</v>
      </c>
      <c r="AI9" s="120">
        <f t="shared" si="2"/>
        <v>691220</v>
      </c>
      <c r="AJ9" s="120">
        <f t="shared" si="2"/>
        <v>700257</v>
      </c>
      <c r="AK9" s="120">
        <f t="shared" si="2"/>
        <v>699851</v>
      </c>
      <c r="AL9" s="120">
        <f t="shared" si="2"/>
        <v>708532</v>
      </c>
      <c r="AM9" s="120">
        <f t="shared" si="2"/>
        <v>738005</v>
      </c>
      <c r="AN9" s="120">
        <f t="shared" si="2"/>
        <v>743505</v>
      </c>
      <c r="AO9" s="120">
        <f t="shared" ref="AO9:AV9" si="3">SUM(AO6:AO8)</f>
        <v>720736</v>
      </c>
      <c r="AP9" s="120">
        <f t="shared" si="3"/>
        <v>733922</v>
      </c>
      <c r="AQ9" s="120">
        <f t="shared" si="3"/>
        <v>771216</v>
      </c>
      <c r="AR9" s="120">
        <f t="shared" si="3"/>
        <v>801279</v>
      </c>
      <c r="AS9" s="120">
        <f t="shared" si="3"/>
        <v>808193</v>
      </c>
      <c r="AT9" s="120">
        <f t="shared" si="3"/>
        <v>826628</v>
      </c>
      <c r="AU9" s="120">
        <f t="shared" si="3"/>
        <v>842274</v>
      </c>
      <c r="AV9" s="120">
        <f t="shared" si="3"/>
        <v>862588</v>
      </c>
      <c r="AW9" s="120">
        <f t="shared" ref="AW9:BB9" si="4">SUM(AW6:AW8)</f>
        <v>876696</v>
      </c>
      <c r="AX9" s="120">
        <f t="shared" si="4"/>
        <v>887476</v>
      </c>
      <c r="AY9" s="120">
        <f t="shared" si="4"/>
        <v>912954</v>
      </c>
      <c r="AZ9" s="120">
        <f t="shared" si="4"/>
        <v>931610</v>
      </c>
      <c r="BA9" s="120">
        <f t="shared" si="4"/>
        <v>752092</v>
      </c>
      <c r="BB9" s="120">
        <f t="shared" si="4"/>
        <v>235768</v>
      </c>
      <c r="BC9" s="120">
        <f>SUM(BC6:BC8)</f>
        <v>244415</v>
      </c>
    </row>
    <row r="10" spans="2:55" x14ac:dyDescent="0.25">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191"/>
      <c r="AZ10" s="191"/>
      <c r="BA10" s="191"/>
      <c r="BB10" s="191"/>
      <c r="BC10" s="191"/>
    </row>
    <row r="11" spans="2:55" x14ac:dyDescent="0.25">
      <c r="B11" s="145" t="s">
        <v>97</v>
      </c>
      <c r="C11" s="115" t="str">
        <f>C5</f>
        <v>1T13</v>
      </c>
      <c r="D11" s="115" t="str">
        <f t="shared" ref="D11:U11" si="5">D5</f>
        <v>2T13</v>
      </c>
      <c r="E11" s="115" t="str">
        <f t="shared" si="5"/>
        <v>3T13</v>
      </c>
      <c r="F11" s="115" t="str">
        <f t="shared" si="5"/>
        <v>4T13</v>
      </c>
      <c r="G11" s="115" t="str">
        <f t="shared" si="5"/>
        <v>1T14</v>
      </c>
      <c r="H11" s="115" t="str">
        <f t="shared" si="5"/>
        <v>2T14</v>
      </c>
      <c r="I11" s="115" t="str">
        <f t="shared" si="5"/>
        <v>3T14</v>
      </c>
      <c r="J11" s="115" t="str">
        <f t="shared" si="5"/>
        <v>4T14</v>
      </c>
      <c r="K11" s="115" t="str">
        <f t="shared" si="5"/>
        <v>1T15</v>
      </c>
      <c r="L11" s="115" t="str">
        <f t="shared" si="5"/>
        <v>2T15</v>
      </c>
      <c r="M11" s="115" t="str">
        <f t="shared" si="5"/>
        <v>3T15</v>
      </c>
      <c r="N11" s="115" t="str">
        <f t="shared" si="5"/>
        <v>4T15</v>
      </c>
      <c r="O11" s="115" t="str">
        <f t="shared" si="5"/>
        <v>1T16</v>
      </c>
      <c r="P11" s="115" t="str">
        <f t="shared" si="5"/>
        <v>2T16</v>
      </c>
      <c r="Q11" s="115" t="str">
        <f t="shared" si="5"/>
        <v>3T16</v>
      </c>
      <c r="R11" s="115" t="str">
        <f t="shared" si="5"/>
        <v>4T16</v>
      </c>
      <c r="S11" s="115" t="str">
        <f t="shared" si="5"/>
        <v>1T17</v>
      </c>
      <c r="T11" s="115" t="str">
        <f t="shared" si="5"/>
        <v>2T17</v>
      </c>
      <c r="U11" s="115" t="str">
        <f t="shared" si="5"/>
        <v>3T17</v>
      </c>
      <c r="V11" s="115" t="str">
        <f t="shared" ref="V11:AD11" si="6">V5</f>
        <v>4T17</v>
      </c>
      <c r="W11" s="115" t="str">
        <f t="shared" si="6"/>
        <v>1T18</v>
      </c>
      <c r="X11" s="115" t="str">
        <f t="shared" si="6"/>
        <v>2T18</v>
      </c>
      <c r="Y11" s="115" t="str">
        <f t="shared" si="6"/>
        <v>3T18</v>
      </c>
      <c r="Z11" s="115" t="str">
        <f t="shared" si="6"/>
        <v>4T18</v>
      </c>
      <c r="AA11" s="115" t="str">
        <f t="shared" si="6"/>
        <v>1T19</v>
      </c>
      <c r="AB11" s="115" t="str">
        <f t="shared" si="6"/>
        <v>2T19</v>
      </c>
      <c r="AC11" s="115" t="str">
        <f t="shared" si="6"/>
        <v>3T19</v>
      </c>
      <c r="AD11" s="115" t="str">
        <f t="shared" si="6"/>
        <v>4T19</v>
      </c>
      <c r="AE11" s="115" t="str">
        <f t="shared" ref="AE11:AN11" si="7">AE5</f>
        <v>1T20</v>
      </c>
      <c r="AF11" s="115" t="str">
        <f t="shared" si="7"/>
        <v>2T20</v>
      </c>
      <c r="AG11" s="115" t="str">
        <f t="shared" si="7"/>
        <v>3T20</v>
      </c>
      <c r="AH11" s="115" t="str">
        <f t="shared" si="7"/>
        <v>4T20</v>
      </c>
      <c r="AI11" s="115" t="str">
        <f t="shared" si="7"/>
        <v>1T21</v>
      </c>
      <c r="AJ11" s="115" t="str">
        <f t="shared" si="7"/>
        <v>2T21</v>
      </c>
      <c r="AK11" s="115" t="str">
        <f t="shared" si="7"/>
        <v>3T21</v>
      </c>
      <c r="AL11" s="115" t="str">
        <f t="shared" si="7"/>
        <v>4T21</v>
      </c>
      <c r="AM11" s="115" t="str">
        <f t="shared" si="7"/>
        <v>1T22</v>
      </c>
      <c r="AN11" s="115" t="str">
        <f t="shared" si="7"/>
        <v>2T22</v>
      </c>
      <c r="AO11" s="115" t="str">
        <f t="shared" ref="AO11:AV11" si="8">AO5</f>
        <v>3T22</v>
      </c>
      <c r="AP11" s="115" t="str">
        <f t="shared" si="8"/>
        <v>4T22</v>
      </c>
      <c r="AQ11" s="115" t="str">
        <f t="shared" si="8"/>
        <v>1T23</v>
      </c>
      <c r="AR11" s="115" t="str">
        <f t="shared" si="8"/>
        <v>2T23</v>
      </c>
      <c r="AS11" s="115" t="str">
        <f t="shared" si="8"/>
        <v>3T23</v>
      </c>
      <c r="AT11" s="115" t="str">
        <f t="shared" si="8"/>
        <v>4T23</v>
      </c>
      <c r="AU11" s="115" t="str">
        <f t="shared" si="8"/>
        <v>1T24</v>
      </c>
      <c r="AV11" s="115" t="str">
        <f t="shared" si="8"/>
        <v>2T24</v>
      </c>
      <c r="AW11" s="115" t="str">
        <f t="shared" ref="AW11:BB11" si="9">AW5</f>
        <v>3T24</v>
      </c>
      <c r="AX11" s="115" t="str">
        <f t="shared" si="9"/>
        <v>4T24</v>
      </c>
      <c r="AY11" s="115" t="str">
        <f t="shared" si="9"/>
        <v>1T25</v>
      </c>
      <c r="AZ11" s="115" t="str">
        <f t="shared" si="9"/>
        <v>2T25</v>
      </c>
      <c r="BA11" s="115" t="str">
        <f t="shared" si="9"/>
        <v>3T25</v>
      </c>
      <c r="BB11" s="115" t="str">
        <f t="shared" si="9"/>
        <v>4T25</v>
      </c>
      <c r="BC11" s="115" t="str">
        <f>BC5</f>
        <v>1T26</v>
      </c>
    </row>
    <row r="12" spans="2:55" x14ac:dyDescent="0.25">
      <c r="B12" s="129" t="s">
        <v>115</v>
      </c>
      <c r="C12" s="118">
        <v>2855</v>
      </c>
      <c r="D12" s="118">
        <v>2855</v>
      </c>
      <c r="E12" s="118">
        <v>3071</v>
      </c>
      <c r="F12" s="118">
        <v>3071</v>
      </c>
      <c r="G12" s="118">
        <v>3071</v>
      </c>
      <c r="H12" s="160">
        <v>3071</v>
      </c>
      <c r="I12" s="118">
        <v>3071</v>
      </c>
      <c r="J12" s="118">
        <v>3194</v>
      </c>
      <c r="K12" s="118">
        <v>3194</v>
      </c>
      <c r="L12" s="118">
        <v>2537.8557599999999</v>
      </c>
      <c r="M12" s="118">
        <v>2514</v>
      </c>
      <c r="N12" s="118">
        <v>4990</v>
      </c>
      <c r="O12" s="118">
        <v>5207</v>
      </c>
      <c r="P12" s="118">
        <v>5300</v>
      </c>
      <c r="Q12" s="118">
        <v>4999</v>
      </c>
      <c r="R12" s="118">
        <v>4946</v>
      </c>
      <c r="S12" s="118">
        <v>6104</v>
      </c>
      <c r="T12" s="118">
        <v>27314</v>
      </c>
      <c r="U12" s="118">
        <v>27221</v>
      </c>
      <c r="V12" s="118">
        <v>30926</v>
      </c>
      <c r="W12" s="118">
        <v>32903</v>
      </c>
      <c r="X12" s="118">
        <v>30032</v>
      </c>
      <c r="Y12" s="118">
        <v>26056</v>
      </c>
      <c r="Z12" s="118">
        <v>34419</v>
      </c>
      <c r="AA12" s="118">
        <v>33700</v>
      </c>
      <c r="AB12" s="118">
        <v>32422</v>
      </c>
      <c r="AC12" s="118">
        <v>32048</v>
      </c>
      <c r="AD12" s="118">
        <v>30606</v>
      </c>
      <c r="AE12" s="118">
        <v>32570</v>
      </c>
      <c r="AF12" s="118">
        <v>30269</v>
      </c>
      <c r="AG12" s="118">
        <v>31629</v>
      </c>
      <c r="AH12" s="118">
        <v>30151</v>
      </c>
      <c r="AI12" s="118">
        <v>29631</v>
      </c>
      <c r="AJ12" s="118">
        <v>28660</v>
      </c>
      <c r="AK12" s="118">
        <v>23482</v>
      </c>
      <c r="AL12" s="118">
        <v>27802</v>
      </c>
      <c r="AM12" s="118">
        <v>25994</v>
      </c>
      <c r="AN12" s="118">
        <v>22639</v>
      </c>
      <c r="AO12" s="118">
        <v>28573</v>
      </c>
      <c r="AP12" s="118">
        <v>24627</v>
      </c>
      <c r="AQ12" s="118">
        <v>24853</v>
      </c>
      <c r="AR12" s="118">
        <v>23987</v>
      </c>
      <c r="AS12" s="118">
        <v>24185</v>
      </c>
      <c r="AT12" s="118">
        <v>24904</v>
      </c>
      <c r="AU12" s="118">
        <v>25407</v>
      </c>
      <c r="AV12" s="118">
        <v>26457</v>
      </c>
      <c r="AW12" s="118">
        <v>25243</v>
      </c>
      <c r="AX12" s="118">
        <v>18674</v>
      </c>
      <c r="AY12" s="118">
        <v>19045</v>
      </c>
      <c r="AZ12" s="118">
        <v>19200</v>
      </c>
      <c r="BA12" s="118">
        <v>18495</v>
      </c>
      <c r="BB12" s="118">
        <v>17680</v>
      </c>
      <c r="BC12" s="118">
        <v>17120</v>
      </c>
    </row>
    <row r="13" spans="2:55" x14ac:dyDescent="0.25">
      <c r="B13" s="129" t="s">
        <v>116</v>
      </c>
      <c r="C13" s="118">
        <v>36416</v>
      </c>
      <c r="D13" s="118">
        <v>36416</v>
      </c>
      <c r="E13" s="118">
        <v>36416</v>
      </c>
      <c r="F13" s="118">
        <v>31828</v>
      </c>
      <c r="G13" s="118">
        <v>22998</v>
      </c>
      <c r="H13" s="160">
        <v>36155</v>
      </c>
      <c r="I13" s="118">
        <v>39380</v>
      </c>
      <c r="J13" s="118">
        <v>36368</v>
      </c>
      <c r="K13" s="118">
        <v>85213</v>
      </c>
      <c r="L13" s="118">
        <v>90432.815976276004</v>
      </c>
      <c r="M13" s="118">
        <v>91393</v>
      </c>
      <c r="N13" s="118">
        <v>69815</v>
      </c>
      <c r="O13" s="118">
        <v>61820</v>
      </c>
      <c r="P13" s="118">
        <v>66385</v>
      </c>
      <c r="Q13" s="118">
        <v>73049</v>
      </c>
      <c r="R13" s="118">
        <v>72314</v>
      </c>
      <c r="S13" s="118">
        <v>84817</v>
      </c>
      <c r="T13" s="118">
        <v>86784</v>
      </c>
      <c r="U13" s="118">
        <v>91704</v>
      </c>
      <c r="V13" s="118">
        <v>109126</v>
      </c>
      <c r="W13" s="118">
        <v>117779</v>
      </c>
      <c r="X13" s="118">
        <v>113007</v>
      </c>
      <c r="Y13" s="118">
        <v>98069</v>
      </c>
      <c r="Z13" s="118">
        <v>92363</v>
      </c>
      <c r="AA13" s="118">
        <v>89057</v>
      </c>
      <c r="AB13" s="118">
        <v>91255</v>
      </c>
      <c r="AC13" s="118">
        <v>87765</v>
      </c>
      <c r="AD13" s="118">
        <v>88672</v>
      </c>
      <c r="AE13" s="118">
        <v>82200</v>
      </c>
      <c r="AF13" s="118">
        <v>76525</v>
      </c>
      <c r="AG13" s="118">
        <v>80944</v>
      </c>
      <c r="AH13" s="118">
        <v>81376</v>
      </c>
      <c r="AI13" s="118">
        <v>80878</v>
      </c>
      <c r="AJ13" s="118">
        <v>71712</v>
      </c>
      <c r="AK13" s="118">
        <v>65377</v>
      </c>
      <c r="AL13" s="118">
        <v>64780</v>
      </c>
      <c r="AM13" s="118">
        <v>66239</v>
      </c>
      <c r="AN13" s="118">
        <v>69961</v>
      </c>
      <c r="AO13" s="118">
        <v>65458</v>
      </c>
      <c r="AP13" s="118">
        <v>64376</v>
      </c>
      <c r="AQ13" s="261">
        <v>82204</v>
      </c>
      <c r="AR13" s="261">
        <v>134513</v>
      </c>
      <c r="AS13" s="118">
        <v>123110</v>
      </c>
      <c r="AT13" s="118">
        <v>132124</v>
      </c>
      <c r="AU13" s="118">
        <v>130252</v>
      </c>
      <c r="AV13" s="118">
        <v>146075</v>
      </c>
      <c r="AW13" s="118">
        <v>146883</v>
      </c>
      <c r="AX13" s="118">
        <v>155515</v>
      </c>
      <c r="AY13" s="118">
        <v>158738</v>
      </c>
      <c r="AZ13" s="118">
        <v>161507</v>
      </c>
      <c r="BA13" s="118">
        <v>156948</v>
      </c>
      <c r="BB13" s="118">
        <v>154098</v>
      </c>
      <c r="BC13" s="118">
        <v>162369</v>
      </c>
    </row>
    <row r="14" spans="2:55" x14ac:dyDescent="0.25">
      <c r="B14" s="129" t="s">
        <v>117</v>
      </c>
      <c r="C14" s="118">
        <v>7224</v>
      </c>
      <c r="D14" s="118">
        <v>7224</v>
      </c>
      <c r="E14" s="118">
        <v>7224</v>
      </c>
      <c r="F14" s="118">
        <v>24478</v>
      </c>
      <c r="G14" s="118">
        <v>29318</v>
      </c>
      <c r="H14" s="160">
        <v>35580</v>
      </c>
      <c r="I14" s="118">
        <v>11268</v>
      </c>
      <c r="J14" s="118">
        <v>11824</v>
      </c>
      <c r="K14" s="118">
        <v>3565</v>
      </c>
      <c r="L14" s="118">
        <v>4137.8305468999997</v>
      </c>
      <c r="M14" s="118">
        <v>4157</v>
      </c>
      <c r="N14" s="118">
        <v>4964</v>
      </c>
      <c r="O14" s="118">
        <v>18246</v>
      </c>
      <c r="P14" s="118">
        <v>29886</v>
      </c>
      <c r="Q14" s="118">
        <v>32574</v>
      </c>
      <c r="R14" s="118">
        <v>37628</v>
      </c>
      <c r="S14" s="118">
        <v>39970</v>
      </c>
      <c r="T14" s="118">
        <v>36255</v>
      </c>
      <c r="U14" s="118">
        <v>42014</v>
      </c>
      <c r="V14" s="118">
        <v>58806</v>
      </c>
      <c r="W14" s="118">
        <v>417974</v>
      </c>
      <c r="X14" s="118">
        <v>424061</v>
      </c>
      <c r="Y14" s="118">
        <v>437971</v>
      </c>
      <c r="Z14" s="118">
        <v>446957</v>
      </c>
      <c r="AA14" s="118">
        <v>495541</v>
      </c>
      <c r="AB14" s="118">
        <v>508942</v>
      </c>
      <c r="AC14" s="118">
        <v>514584</v>
      </c>
      <c r="AD14" s="118">
        <v>521113</v>
      </c>
      <c r="AE14" s="118">
        <v>536343</v>
      </c>
      <c r="AF14" s="118">
        <v>547573</v>
      </c>
      <c r="AG14" s="118">
        <v>548725</v>
      </c>
      <c r="AH14" s="118">
        <v>529367</v>
      </c>
      <c r="AI14" s="118">
        <v>565928</v>
      </c>
      <c r="AJ14" s="118">
        <v>584979</v>
      </c>
      <c r="AK14" s="118">
        <v>596434</v>
      </c>
      <c r="AL14" s="118">
        <v>601432</v>
      </c>
      <c r="AM14" s="118">
        <v>619315</v>
      </c>
      <c r="AN14" s="118">
        <v>635540</v>
      </c>
      <c r="AO14" s="118">
        <v>611769</v>
      </c>
      <c r="AP14" s="118">
        <v>629392</v>
      </c>
      <c r="AQ14" s="118">
        <v>646922</v>
      </c>
      <c r="AR14" s="118">
        <v>627166</v>
      </c>
      <c r="AS14" s="118">
        <v>645627</v>
      </c>
      <c r="AT14" s="118">
        <v>653080</v>
      </c>
      <c r="AU14" s="118">
        <v>671404</v>
      </c>
      <c r="AV14" s="118">
        <v>676994</v>
      </c>
      <c r="AW14" s="118">
        <v>693388</v>
      </c>
      <c r="AX14" s="118">
        <v>700931</v>
      </c>
      <c r="AY14" s="118">
        <v>722482</v>
      </c>
      <c r="AZ14" s="118">
        <v>736016</v>
      </c>
      <c r="BA14" s="118">
        <v>550797</v>
      </c>
      <c r="BB14" s="118">
        <v>37247</v>
      </c>
      <c r="BC14" s="118">
        <v>37160</v>
      </c>
    </row>
    <row r="15" spans="2:55" x14ac:dyDescent="0.25">
      <c r="B15" s="126" t="s">
        <v>73</v>
      </c>
      <c r="C15" s="120">
        <f>SUM(C12:C14)</f>
        <v>46495</v>
      </c>
      <c r="D15" s="120">
        <f t="shared" ref="D15:L15" si="10">SUM(D12:D14)</f>
        <v>46495</v>
      </c>
      <c r="E15" s="120">
        <f t="shared" si="10"/>
        <v>46711</v>
      </c>
      <c r="F15" s="120">
        <f t="shared" si="10"/>
        <v>59377</v>
      </c>
      <c r="G15" s="120">
        <f t="shared" si="10"/>
        <v>55387</v>
      </c>
      <c r="H15" s="162">
        <f t="shared" si="10"/>
        <v>74806</v>
      </c>
      <c r="I15" s="120">
        <f t="shared" si="10"/>
        <v>53719</v>
      </c>
      <c r="J15" s="120">
        <f t="shared" si="10"/>
        <v>51386</v>
      </c>
      <c r="K15" s="120">
        <f t="shared" si="10"/>
        <v>91972</v>
      </c>
      <c r="L15" s="120">
        <f t="shared" si="10"/>
        <v>97108.502283176014</v>
      </c>
      <c r="M15" s="120">
        <f t="shared" ref="M15:T15" si="11">SUM(M12:M14)</f>
        <v>98064</v>
      </c>
      <c r="N15" s="120">
        <f t="shared" si="11"/>
        <v>79769</v>
      </c>
      <c r="O15" s="120">
        <f t="shared" si="11"/>
        <v>85273</v>
      </c>
      <c r="P15" s="120">
        <f t="shared" si="11"/>
        <v>101571</v>
      </c>
      <c r="Q15" s="120">
        <f t="shared" si="11"/>
        <v>110622</v>
      </c>
      <c r="R15" s="120">
        <f t="shared" si="11"/>
        <v>114888</v>
      </c>
      <c r="S15" s="120">
        <f t="shared" si="11"/>
        <v>130891</v>
      </c>
      <c r="T15" s="120">
        <f t="shared" si="11"/>
        <v>150353</v>
      </c>
      <c r="U15" s="120">
        <f t="shared" ref="U15:AD15" si="12">SUM(U12:U14)</f>
        <v>160939</v>
      </c>
      <c r="V15" s="120">
        <f t="shared" si="12"/>
        <v>198858</v>
      </c>
      <c r="W15" s="120">
        <f t="shared" si="12"/>
        <v>568656</v>
      </c>
      <c r="X15" s="120">
        <f t="shared" si="12"/>
        <v>567100</v>
      </c>
      <c r="Y15" s="120">
        <f t="shared" si="12"/>
        <v>562096</v>
      </c>
      <c r="Z15" s="120">
        <f t="shared" si="12"/>
        <v>573739</v>
      </c>
      <c r="AA15" s="120">
        <f t="shared" si="12"/>
        <v>618298</v>
      </c>
      <c r="AB15" s="120">
        <f t="shared" si="12"/>
        <v>632619</v>
      </c>
      <c r="AC15" s="120">
        <f t="shared" si="12"/>
        <v>634397</v>
      </c>
      <c r="AD15" s="120">
        <f t="shared" si="12"/>
        <v>640391</v>
      </c>
      <c r="AE15" s="120">
        <f t="shared" ref="AE15:AN15" si="13">SUM(AE12:AE14)</f>
        <v>651113</v>
      </c>
      <c r="AF15" s="120">
        <f t="shared" si="13"/>
        <v>654367</v>
      </c>
      <c r="AG15" s="120">
        <f t="shared" si="13"/>
        <v>661298</v>
      </c>
      <c r="AH15" s="120">
        <f t="shared" si="13"/>
        <v>640894</v>
      </c>
      <c r="AI15" s="120">
        <f t="shared" si="13"/>
        <v>676437</v>
      </c>
      <c r="AJ15" s="120">
        <f t="shared" si="13"/>
        <v>685351</v>
      </c>
      <c r="AK15" s="120">
        <f t="shared" si="13"/>
        <v>685293</v>
      </c>
      <c r="AL15" s="120">
        <f t="shared" si="13"/>
        <v>694014</v>
      </c>
      <c r="AM15" s="120">
        <f t="shared" si="13"/>
        <v>711548</v>
      </c>
      <c r="AN15" s="120">
        <f t="shared" si="13"/>
        <v>728140</v>
      </c>
      <c r="AO15" s="120">
        <f t="shared" ref="AO15:AV15" si="14">SUM(AO12:AO14)</f>
        <v>705800</v>
      </c>
      <c r="AP15" s="120">
        <f t="shared" si="14"/>
        <v>718395</v>
      </c>
      <c r="AQ15" s="120">
        <f t="shared" si="14"/>
        <v>753979</v>
      </c>
      <c r="AR15" s="120">
        <f t="shared" si="14"/>
        <v>785666</v>
      </c>
      <c r="AS15" s="120">
        <f t="shared" si="14"/>
        <v>792922</v>
      </c>
      <c r="AT15" s="120">
        <f t="shared" si="14"/>
        <v>810108</v>
      </c>
      <c r="AU15" s="120">
        <f t="shared" si="14"/>
        <v>827063</v>
      </c>
      <c r="AV15" s="120">
        <f t="shared" si="14"/>
        <v>849526</v>
      </c>
      <c r="AW15" s="120">
        <f t="shared" ref="AW15:BB15" si="15">SUM(AW12:AW14)</f>
        <v>865514</v>
      </c>
      <c r="AX15" s="120">
        <f t="shared" si="15"/>
        <v>875120</v>
      </c>
      <c r="AY15" s="120">
        <f t="shared" si="15"/>
        <v>900265</v>
      </c>
      <c r="AZ15" s="120">
        <f t="shared" si="15"/>
        <v>916723</v>
      </c>
      <c r="BA15" s="120">
        <f t="shared" si="15"/>
        <v>726240</v>
      </c>
      <c r="BB15" s="120">
        <f t="shared" si="15"/>
        <v>209025</v>
      </c>
      <c r="BC15" s="120">
        <f>SUM(BC12:BC14)</f>
        <v>216649</v>
      </c>
    </row>
    <row r="17" spans="2:55" x14ac:dyDescent="0.25">
      <c r="B17" s="145" t="s">
        <v>98</v>
      </c>
      <c r="C17" s="115" t="str">
        <f>C5</f>
        <v>1T13</v>
      </c>
      <c r="D17" s="115" t="str">
        <f t="shared" ref="D17:U17" si="16">D5</f>
        <v>2T13</v>
      </c>
      <c r="E17" s="115" t="str">
        <f t="shared" si="16"/>
        <v>3T13</v>
      </c>
      <c r="F17" s="115" t="str">
        <f t="shared" si="16"/>
        <v>4T13</v>
      </c>
      <c r="G17" s="115" t="str">
        <f t="shared" si="16"/>
        <v>1T14</v>
      </c>
      <c r="H17" s="115" t="str">
        <f t="shared" si="16"/>
        <v>2T14</v>
      </c>
      <c r="I17" s="115" t="str">
        <f t="shared" si="16"/>
        <v>3T14</v>
      </c>
      <c r="J17" s="115" t="str">
        <f t="shared" si="16"/>
        <v>4T14</v>
      </c>
      <c r="K17" s="115" t="str">
        <f t="shared" si="16"/>
        <v>1T15</v>
      </c>
      <c r="L17" s="115" t="str">
        <f t="shared" si="16"/>
        <v>2T15</v>
      </c>
      <c r="M17" s="115" t="str">
        <f t="shared" si="16"/>
        <v>3T15</v>
      </c>
      <c r="N17" s="115" t="str">
        <f t="shared" si="16"/>
        <v>4T15</v>
      </c>
      <c r="O17" s="115" t="str">
        <f t="shared" si="16"/>
        <v>1T16</v>
      </c>
      <c r="P17" s="115" t="str">
        <f t="shared" si="16"/>
        <v>2T16</v>
      </c>
      <c r="Q17" s="115" t="str">
        <f t="shared" si="16"/>
        <v>3T16</v>
      </c>
      <c r="R17" s="115" t="str">
        <f t="shared" si="16"/>
        <v>4T16</v>
      </c>
      <c r="S17" s="115" t="str">
        <f t="shared" si="16"/>
        <v>1T17</v>
      </c>
      <c r="T17" s="115" t="str">
        <f t="shared" si="16"/>
        <v>2T17</v>
      </c>
      <c r="U17" s="115" t="str">
        <f t="shared" si="16"/>
        <v>3T17</v>
      </c>
      <c r="V17" s="115" t="str">
        <f t="shared" ref="V17:AD17" si="17">V5</f>
        <v>4T17</v>
      </c>
      <c r="W17" s="115" t="str">
        <f t="shared" si="17"/>
        <v>1T18</v>
      </c>
      <c r="X17" s="115" t="str">
        <f t="shared" si="17"/>
        <v>2T18</v>
      </c>
      <c r="Y17" s="115" t="str">
        <f t="shared" si="17"/>
        <v>3T18</v>
      </c>
      <c r="Z17" s="115" t="str">
        <f t="shared" si="17"/>
        <v>4T18</v>
      </c>
      <c r="AA17" s="115" t="str">
        <f t="shared" si="17"/>
        <v>1T19</v>
      </c>
      <c r="AB17" s="115" t="str">
        <f t="shared" si="17"/>
        <v>2T19</v>
      </c>
      <c r="AC17" s="115" t="str">
        <f t="shared" si="17"/>
        <v>3T19</v>
      </c>
      <c r="AD17" s="115" t="str">
        <f t="shared" si="17"/>
        <v>4T19</v>
      </c>
      <c r="AE17" s="115" t="str">
        <f t="shared" ref="AE17:AN17" si="18">AE5</f>
        <v>1T20</v>
      </c>
      <c r="AF17" s="115" t="str">
        <f t="shared" si="18"/>
        <v>2T20</v>
      </c>
      <c r="AG17" s="115" t="str">
        <f t="shared" si="18"/>
        <v>3T20</v>
      </c>
      <c r="AH17" s="115" t="str">
        <f t="shared" si="18"/>
        <v>4T20</v>
      </c>
      <c r="AI17" s="115" t="str">
        <f t="shared" si="18"/>
        <v>1T21</v>
      </c>
      <c r="AJ17" s="115" t="str">
        <f t="shared" si="18"/>
        <v>2T21</v>
      </c>
      <c r="AK17" s="115" t="str">
        <f t="shared" si="18"/>
        <v>3T21</v>
      </c>
      <c r="AL17" s="115" t="str">
        <f t="shared" si="18"/>
        <v>4T21</v>
      </c>
      <c r="AM17" s="115" t="str">
        <f t="shared" si="18"/>
        <v>1T22</v>
      </c>
      <c r="AN17" s="115" t="str">
        <f t="shared" si="18"/>
        <v>2T22</v>
      </c>
      <c r="AO17" s="115" t="str">
        <f t="shared" ref="AO17:AV17" si="19">AO5</f>
        <v>3T22</v>
      </c>
      <c r="AP17" s="115" t="str">
        <f t="shared" si="19"/>
        <v>4T22</v>
      </c>
      <c r="AQ17" s="115" t="str">
        <f t="shared" si="19"/>
        <v>1T23</v>
      </c>
      <c r="AR17" s="115" t="str">
        <f t="shared" si="19"/>
        <v>2T23</v>
      </c>
      <c r="AS17" s="115" t="str">
        <f t="shared" si="19"/>
        <v>3T23</v>
      </c>
      <c r="AT17" s="115" t="str">
        <f t="shared" si="19"/>
        <v>4T23</v>
      </c>
      <c r="AU17" s="115" t="str">
        <f t="shared" si="19"/>
        <v>1T24</v>
      </c>
      <c r="AV17" s="115" t="str">
        <f t="shared" si="19"/>
        <v>2T24</v>
      </c>
      <c r="AW17" s="115" t="str">
        <f t="shared" ref="AW17:BB17" si="20">AW5</f>
        <v>3T24</v>
      </c>
      <c r="AX17" s="115" t="str">
        <f t="shared" si="20"/>
        <v>4T24</v>
      </c>
      <c r="AY17" s="115" t="str">
        <f t="shared" si="20"/>
        <v>1T25</v>
      </c>
      <c r="AZ17" s="115" t="str">
        <f t="shared" si="20"/>
        <v>2T25</v>
      </c>
      <c r="BA17" s="115" t="str">
        <f t="shared" si="20"/>
        <v>3T25</v>
      </c>
      <c r="BB17" s="115" t="str">
        <f t="shared" si="20"/>
        <v>4T25</v>
      </c>
      <c r="BC17" s="115" t="str">
        <f>BC5</f>
        <v>1T26</v>
      </c>
    </row>
    <row r="18" spans="2:55" x14ac:dyDescent="0.25">
      <c r="B18" s="129" t="s">
        <v>115</v>
      </c>
      <c r="C18" s="118">
        <f t="shared" ref="C18:M18" si="21">+C6-C12</f>
        <v>23663</v>
      </c>
      <c r="D18" s="118">
        <f t="shared" si="21"/>
        <v>23663</v>
      </c>
      <c r="E18" s="118">
        <f t="shared" si="21"/>
        <v>36800</v>
      </c>
      <c r="F18" s="118">
        <f t="shared" si="21"/>
        <v>33920</v>
      </c>
      <c r="G18" s="118">
        <f t="shared" si="21"/>
        <v>29096</v>
      </c>
      <c r="H18" s="160">
        <f t="shared" si="21"/>
        <v>7976</v>
      </c>
      <c r="I18" s="118">
        <f t="shared" si="21"/>
        <v>6585</v>
      </c>
      <c r="J18" s="118">
        <f t="shared" si="21"/>
        <v>8560</v>
      </c>
      <c r="K18" s="118">
        <f t="shared" si="21"/>
        <v>6451</v>
      </c>
      <c r="L18" s="118">
        <f t="shared" si="21"/>
        <v>7323.5889200000001</v>
      </c>
      <c r="M18" s="118">
        <f t="shared" si="21"/>
        <v>7493</v>
      </c>
      <c r="N18" s="118">
        <f t="shared" ref="N18:O20" si="22">+N6-N12</f>
        <v>17761</v>
      </c>
      <c r="O18" s="118">
        <f t="shared" si="22"/>
        <v>16588</v>
      </c>
      <c r="P18" s="118">
        <f t="shared" ref="P18:T20" si="23">+P6-P12</f>
        <v>11717</v>
      </c>
      <c r="Q18" s="118">
        <f t="shared" si="23"/>
        <v>10631</v>
      </c>
      <c r="R18" s="118">
        <f t="shared" si="23"/>
        <v>9992</v>
      </c>
      <c r="S18" s="118">
        <f t="shared" si="23"/>
        <v>8605</v>
      </c>
      <c r="T18" s="118">
        <f t="shared" si="23"/>
        <v>9289</v>
      </c>
      <c r="U18" s="118">
        <v>7733</v>
      </c>
      <c r="V18" s="118">
        <f>+V6-V12</f>
        <v>8057</v>
      </c>
      <c r="W18" s="118">
        <v>10867</v>
      </c>
      <c r="X18" s="118">
        <f t="shared" ref="X18:AA20" si="24">+X6-X12</f>
        <v>11060</v>
      </c>
      <c r="Y18" s="118">
        <f t="shared" si="24"/>
        <v>10778</v>
      </c>
      <c r="Z18" s="118">
        <f>+Z6-Z12</f>
        <v>10025</v>
      </c>
      <c r="AA18" s="118">
        <f>+AA6-AA12</f>
        <v>9502</v>
      </c>
      <c r="AB18" s="118">
        <v>10328</v>
      </c>
      <c r="AC18" s="118">
        <v>4563</v>
      </c>
      <c r="AD18" s="118">
        <f t="shared" ref="AD18:AE20" si="25">+AD6-AD12</f>
        <v>4660</v>
      </c>
      <c r="AE18" s="118">
        <f t="shared" si="25"/>
        <v>4262</v>
      </c>
      <c r="AF18" s="118">
        <f t="shared" ref="AF18:AG20" si="26">+AF6-AF12</f>
        <v>3944</v>
      </c>
      <c r="AG18" s="118">
        <f t="shared" si="26"/>
        <v>3923</v>
      </c>
      <c r="AH18" s="118">
        <f t="shared" ref="AH18:AO18" si="27">+AH6-AH12</f>
        <v>3727</v>
      </c>
      <c r="AI18" s="118">
        <f t="shared" si="27"/>
        <v>3475</v>
      </c>
      <c r="AJ18" s="118">
        <f t="shared" si="27"/>
        <v>3301</v>
      </c>
      <c r="AK18" s="118">
        <f t="shared" si="27"/>
        <v>3166</v>
      </c>
      <c r="AL18" s="118">
        <f t="shared" si="27"/>
        <v>3028</v>
      </c>
      <c r="AM18" s="118">
        <f t="shared" si="27"/>
        <v>3644</v>
      </c>
      <c r="AN18" s="118">
        <f t="shared" si="27"/>
        <v>3755</v>
      </c>
      <c r="AO18" s="118">
        <f t="shared" si="27"/>
        <v>3757</v>
      </c>
      <c r="AP18" s="118">
        <f t="shared" ref="AP18:AU20" si="28">+AP6-AP12</f>
        <v>3755</v>
      </c>
      <c r="AQ18" s="118">
        <f t="shared" si="28"/>
        <v>3802</v>
      </c>
      <c r="AR18" s="118">
        <f t="shared" si="28"/>
        <v>2491</v>
      </c>
      <c r="AS18" s="118">
        <f t="shared" si="28"/>
        <v>2463</v>
      </c>
      <c r="AT18" s="118">
        <f t="shared" si="28"/>
        <v>3111</v>
      </c>
      <c r="AU18" s="118">
        <f t="shared" si="28"/>
        <v>3330</v>
      </c>
      <c r="AV18" s="118">
        <f t="shared" ref="AV18:AW20" si="29">+AV6-AV12</f>
        <v>2872</v>
      </c>
      <c r="AW18" s="118">
        <f t="shared" si="29"/>
        <v>2890</v>
      </c>
      <c r="AX18" s="118">
        <v>3018</v>
      </c>
      <c r="AY18" s="118">
        <v>3046</v>
      </c>
      <c r="AZ18" s="118">
        <v>3053</v>
      </c>
      <c r="BA18" s="118">
        <v>2913</v>
      </c>
      <c r="BB18" s="118">
        <v>2984</v>
      </c>
      <c r="BC18" s="118">
        <f>+BC6-BC12</f>
        <v>3005</v>
      </c>
    </row>
    <row r="19" spans="2:55" x14ac:dyDescent="0.25">
      <c r="B19" s="129" t="s">
        <v>116</v>
      </c>
      <c r="C19" s="118">
        <f t="shared" ref="C19:M19" si="30">+C7-C13</f>
        <v>103444</v>
      </c>
      <c r="D19" s="118">
        <f t="shared" si="30"/>
        <v>103444</v>
      </c>
      <c r="E19" s="118">
        <f t="shared" si="30"/>
        <v>103444</v>
      </c>
      <c r="F19" s="118">
        <f t="shared" si="30"/>
        <v>91205</v>
      </c>
      <c r="G19" s="118">
        <f t="shared" si="30"/>
        <v>43325</v>
      </c>
      <c r="H19" s="160">
        <f t="shared" si="30"/>
        <v>27802</v>
      </c>
      <c r="I19" s="118">
        <f t="shared" si="30"/>
        <v>60159</v>
      </c>
      <c r="J19" s="118">
        <f t="shared" si="30"/>
        <v>70326</v>
      </c>
      <c r="K19" s="118">
        <f t="shared" si="30"/>
        <v>62127</v>
      </c>
      <c r="L19" s="118">
        <f t="shared" si="30"/>
        <v>63725.797452886094</v>
      </c>
      <c r="M19" s="118">
        <f t="shared" si="30"/>
        <v>45568</v>
      </c>
      <c r="N19" s="118">
        <f t="shared" si="22"/>
        <v>50902</v>
      </c>
      <c r="O19" s="118">
        <f t="shared" si="22"/>
        <v>51372</v>
      </c>
      <c r="P19" s="118">
        <f t="shared" si="23"/>
        <v>51063</v>
      </c>
      <c r="Q19" s="118">
        <f t="shared" si="23"/>
        <v>53666</v>
      </c>
      <c r="R19" s="118">
        <f t="shared" si="23"/>
        <v>56888</v>
      </c>
      <c r="S19" s="118">
        <f t="shared" si="23"/>
        <v>59338</v>
      </c>
      <c r="T19" s="261">
        <f t="shared" si="23"/>
        <v>19942</v>
      </c>
      <c r="U19" s="118">
        <v>20089</v>
      </c>
      <c r="V19" s="118">
        <f>+V7-V13</f>
        <v>23698</v>
      </c>
      <c r="W19" s="118">
        <v>11788</v>
      </c>
      <c r="X19" s="118">
        <f t="shared" si="24"/>
        <v>12747</v>
      </c>
      <c r="Y19" s="118">
        <f t="shared" si="24"/>
        <v>8131</v>
      </c>
      <c r="Z19" s="118">
        <f t="shared" si="24"/>
        <v>7396</v>
      </c>
      <c r="AA19" s="118">
        <f t="shared" si="24"/>
        <v>9410</v>
      </c>
      <c r="AB19" s="118">
        <v>9080</v>
      </c>
      <c r="AC19" s="118">
        <v>9623</v>
      </c>
      <c r="AD19" s="118">
        <f t="shared" si="25"/>
        <v>8565</v>
      </c>
      <c r="AE19" s="118">
        <f t="shared" si="25"/>
        <v>6355</v>
      </c>
      <c r="AF19" s="118">
        <f t="shared" si="26"/>
        <v>6037</v>
      </c>
      <c r="AG19" s="118">
        <f t="shared" si="26"/>
        <v>6819</v>
      </c>
      <c r="AH19" s="118">
        <f t="shared" ref="AH19:AO19" si="31">+AH7-AH13</f>
        <v>6442</v>
      </c>
      <c r="AI19" s="118">
        <f t="shared" si="31"/>
        <v>6388</v>
      </c>
      <c r="AJ19" s="118">
        <f t="shared" si="31"/>
        <v>6522</v>
      </c>
      <c r="AK19" s="118">
        <f t="shared" si="31"/>
        <v>6618</v>
      </c>
      <c r="AL19" s="118">
        <f t="shared" si="31"/>
        <v>6981</v>
      </c>
      <c r="AM19" s="118">
        <f t="shared" si="31"/>
        <v>6915</v>
      </c>
      <c r="AN19" s="118">
        <f t="shared" si="31"/>
        <v>6999</v>
      </c>
      <c r="AO19" s="118">
        <f t="shared" si="31"/>
        <v>5631</v>
      </c>
      <c r="AP19" s="118">
        <f t="shared" si="28"/>
        <v>6474</v>
      </c>
      <c r="AQ19" s="118">
        <f t="shared" si="28"/>
        <v>7430</v>
      </c>
      <c r="AR19" s="118">
        <f t="shared" si="28"/>
        <v>10077</v>
      </c>
      <c r="AS19" s="118">
        <f t="shared" si="28"/>
        <v>9967</v>
      </c>
      <c r="AT19" s="118">
        <f t="shared" si="28"/>
        <v>10501</v>
      </c>
      <c r="AU19" s="118">
        <f t="shared" si="28"/>
        <v>8940</v>
      </c>
      <c r="AV19" s="118">
        <f t="shared" si="29"/>
        <v>8007</v>
      </c>
      <c r="AW19" s="118">
        <f t="shared" si="29"/>
        <v>6797</v>
      </c>
      <c r="AX19" s="118">
        <v>7894</v>
      </c>
      <c r="AY19" s="118">
        <v>8220</v>
      </c>
      <c r="AZ19" s="118">
        <v>7757</v>
      </c>
      <c r="BA19" s="118">
        <v>18953</v>
      </c>
      <c r="BB19" s="118">
        <v>19910</v>
      </c>
      <c r="BC19" s="118">
        <f>+BC7-BC13</f>
        <v>20733</v>
      </c>
    </row>
    <row r="20" spans="2:55" x14ac:dyDescent="0.25">
      <c r="B20" s="129" t="s">
        <v>117</v>
      </c>
      <c r="C20" s="118">
        <f t="shared" ref="C20:M20" si="32">+C8-C14</f>
        <v>70078</v>
      </c>
      <c r="D20" s="118">
        <f t="shared" si="32"/>
        <v>70078</v>
      </c>
      <c r="E20" s="118">
        <f t="shared" si="32"/>
        <v>70078</v>
      </c>
      <c r="F20" s="118">
        <f t="shared" si="32"/>
        <v>61452</v>
      </c>
      <c r="G20" s="118">
        <f t="shared" si="32"/>
        <v>131499</v>
      </c>
      <c r="H20" s="160">
        <f t="shared" si="32"/>
        <v>41925</v>
      </c>
      <c r="I20" s="118">
        <f t="shared" si="32"/>
        <v>52897</v>
      </c>
      <c r="J20" s="118">
        <f t="shared" si="32"/>
        <v>8483</v>
      </c>
      <c r="K20" s="118">
        <f t="shared" si="32"/>
        <v>4474</v>
      </c>
      <c r="L20" s="118">
        <f t="shared" si="32"/>
        <v>4434.9573512035431</v>
      </c>
      <c r="M20" s="118">
        <f t="shared" si="32"/>
        <v>3747</v>
      </c>
      <c r="N20" s="118">
        <f t="shared" si="22"/>
        <v>1856</v>
      </c>
      <c r="O20" s="118">
        <f t="shared" si="22"/>
        <v>2329</v>
      </c>
      <c r="P20" s="118">
        <f t="shared" si="23"/>
        <v>2472</v>
      </c>
      <c r="Q20" s="118">
        <f t="shared" si="23"/>
        <v>5393</v>
      </c>
      <c r="R20" s="118">
        <f t="shared" si="23"/>
        <v>5482</v>
      </c>
      <c r="S20" s="118">
        <f t="shared" si="23"/>
        <v>5226</v>
      </c>
      <c r="T20" s="261">
        <f t="shared" si="23"/>
        <v>46433</v>
      </c>
      <c r="U20" s="118">
        <v>7386</v>
      </c>
      <c r="V20" s="118">
        <f>+V8-V14</f>
        <v>13635</v>
      </c>
      <c r="W20" s="118">
        <v>11485</v>
      </c>
      <c r="X20" s="118">
        <f t="shared" si="24"/>
        <v>12288</v>
      </c>
      <c r="Y20" s="118">
        <f t="shared" si="24"/>
        <v>9269</v>
      </c>
      <c r="Z20" s="118">
        <f t="shared" si="24"/>
        <v>7709</v>
      </c>
      <c r="AA20" s="118">
        <f t="shared" si="24"/>
        <v>5610</v>
      </c>
      <c r="AB20" s="118">
        <v>6900</v>
      </c>
      <c r="AC20" s="118">
        <v>6631</v>
      </c>
      <c r="AD20" s="118">
        <f t="shared" si="25"/>
        <v>5817</v>
      </c>
      <c r="AE20" s="118">
        <f t="shared" si="25"/>
        <v>6381</v>
      </c>
      <c r="AF20" s="118">
        <f t="shared" si="26"/>
        <v>6053</v>
      </c>
      <c r="AG20" s="118">
        <f t="shared" si="26"/>
        <v>5022</v>
      </c>
      <c r="AH20" s="118">
        <f t="shared" ref="AH20:AO20" si="33">+AH8-AH14</f>
        <v>4837</v>
      </c>
      <c r="AI20" s="118">
        <f t="shared" si="33"/>
        <v>4920</v>
      </c>
      <c r="AJ20" s="118">
        <f t="shared" si="33"/>
        <v>5083</v>
      </c>
      <c r="AK20" s="118">
        <f t="shared" si="33"/>
        <v>4774</v>
      </c>
      <c r="AL20" s="118">
        <f t="shared" si="33"/>
        <v>4509</v>
      </c>
      <c r="AM20" s="118">
        <f t="shared" si="33"/>
        <v>15898</v>
      </c>
      <c r="AN20" s="118">
        <f t="shared" si="33"/>
        <v>4611</v>
      </c>
      <c r="AO20" s="118">
        <f t="shared" si="33"/>
        <v>5548</v>
      </c>
      <c r="AP20" s="118">
        <f t="shared" si="28"/>
        <v>5298</v>
      </c>
      <c r="AQ20" s="118">
        <f t="shared" si="28"/>
        <v>6005</v>
      </c>
      <c r="AR20" s="118">
        <f t="shared" si="28"/>
        <v>3045</v>
      </c>
      <c r="AS20" s="118">
        <f t="shared" si="28"/>
        <v>2841</v>
      </c>
      <c r="AT20" s="118">
        <f t="shared" si="28"/>
        <v>2908</v>
      </c>
      <c r="AU20" s="118">
        <f t="shared" si="28"/>
        <v>2941</v>
      </c>
      <c r="AV20" s="118">
        <f t="shared" si="29"/>
        <v>2183</v>
      </c>
      <c r="AW20" s="118">
        <f t="shared" si="29"/>
        <v>1495</v>
      </c>
      <c r="AX20" s="118">
        <v>1444</v>
      </c>
      <c r="AY20" s="118">
        <v>1423</v>
      </c>
      <c r="AZ20" s="118">
        <v>4077</v>
      </c>
      <c r="BA20" s="118">
        <v>3986</v>
      </c>
      <c r="BB20" s="118">
        <v>3849</v>
      </c>
      <c r="BC20" s="118">
        <f>+BC8-BC14</f>
        <v>4028</v>
      </c>
    </row>
    <row r="21" spans="2:55" x14ac:dyDescent="0.25">
      <c r="B21" s="126" t="s">
        <v>73</v>
      </c>
      <c r="C21" s="120">
        <f>SUM(C18:C20)</f>
        <v>197185</v>
      </c>
      <c r="D21" s="120">
        <f t="shared" ref="D21:L21" si="34">SUM(D18:D20)</f>
        <v>197185</v>
      </c>
      <c r="E21" s="120">
        <f t="shared" si="34"/>
        <v>210322</v>
      </c>
      <c r="F21" s="120">
        <f t="shared" si="34"/>
        <v>186577</v>
      </c>
      <c r="G21" s="120">
        <f t="shared" si="34"/>
        <v>203920</v>
      </c>
      <c r="H21" s="162">
        <f t="shared" si="34"/>
        <v>77703</v>
      </c>
      <c r="I21" s="120">
        <f t="shared" si="34"/>
        <v>119641</v>
      </c>
      <c r="J21" s="120">
        <f t="shared" si="34"/>
        <v>87369</v>
      </c>
      <c r="K21" s="120">
        <f t="shared" si="34"/>
        <v>73052</v>
      </c>
      <c r="L21" s="120">
        <f t="shared" si="34"/>
        <v>75484.343724089631</v>
      </c>
      <c r="M21" s="120">
        <f t="shared" ref="M21:T21" si="35">SUM(M18:M20)</f>
        <v>56808</v>
      </c>
      <c r="N21" s="120">
        <f t="shared" si="35"/>
        <v>70519</v>
      </c>
      <c r="O21" s="120">
        <f t="shared" si="35"/>
        <v>70289</v>
      </c>
      <c r="P21" s="120">
        <f t="shared" si="35"/>
        <v>65252</v>
      </c>
      <c r="Q21" s="120">
        <f t="shared" si="35"/>
        <v>69690</v>
      </c>
      <c r="R21" s="120">
        <f t="shared" si="35"/>
        <v>72362</v>
      </c>
      <c r="S21" s="120">
        <f t="shared" si="35"/>
        <v>73169</v>
      </c>
      <c r="T21" s="120">
        <f t="shared" si="35"/>
        <v>75664</v>
      </c>
      <c r="U21" s="120">
        <f t="shared" ref="U21:AD21" si="36">SUM(U18:U20)</f>
        <v>35208</v>
      </c>
      <c r="V21" s="120">
        <f t="shared" si="36"/>
        <v>45390</v>
      </c>
      <c r="W21" s="120">
        <f t="shared" si="36"/>
        <v>34140</v>
      </c>
      <c r="X21" s="120">
        <f t="shared" si="36"/>
        <v>36095</v>
      </c>
      <c r="Y21" s="120">
        <f t="shared" si="36"/>
        <v>28178</v>
      </c>
      <c r="Z21" s="120">
        <f t="shared" si="36"/>
        <v>25130</v>
      </c>
      <c r="AA21" s="120">
        <f t="shared" si="36"/>
        <v>24522</v>
      </c>
      <c r="AB21" s="120">
        <f t="shared" si="36"/>
        <v>26308</v>
      </c>
      <c r="AC21" s="120">
        <f t="shared" si="36"/>
        <v>20817</v>
      </c>
      <c r="AD21" s="120">
        <f t="shared" si="36"/>
        <v>19042</v>
      </c>
      <c r="AE21" s="120">
        <f t="shared" ref="AE21:AK21" si="37">SUM(AE18:AE20)</f>
        <v>16998</v>
      </c>
      <c r="AF21" s="120">
        <f t="shared" si="37"/>
        <v>16034</v>
      </c>
      <c r="AG21" s="120">
        <f t="shared" si="37"/>
        <v>15764</v>
      </c>
      <c r="AH21" s="120">
        <f t="shared" si="37"/>
        <v>15006</v>
      </c>
      <c r="AI21" s="120">
        <f t="shared" si="37"/>
        <v>14783</v>
      </c>
      <c r="AJ21" s="120">
        <f t="shared" si="37"/>
        <v>14906</v>
      </c>
      <c r="AK21" s="120">
        <f t="shared" si="37"/>
        <v>14558</v>
      </c>
      <c r="AL21" s="120">
        <f t="shared" ref="AL21:AQ21" si="38">SUM(AL18:AL20)</f>
        <v>14518</v>
      </c>
      <c r="AM21" s="120">
        <f t="shared" si="38"/>
        <v>26457</v>
      </c>
      <c r="AN21" s="120">
        <f t="shared" si="38"/>
        <v>15365</v>
      </c>
      <c r="AO21" s="120">
        <f t="shared" si="38"/>
        <v>14936</v>
      </c>
      <c r="AP21" s="120">
        <f t="shared" si="38"/>
        <v>15527</v>
      </c>
      <c r="AQ21" s="120">
        <f t="shared" si="38"/>
        <v>17237</v>
      </c>
      <c r="AR21" s="120">
        <f t="shared" ref="AR21:AZ21" si="39">SUM(AR18:AR20)</f>
        <v>15613</v>
      </c>
      <c r="AS21" s="120">
        <f t="shared" si="39"/>
        <v>15271</v>
      </c>
      <c r="AT21" s="120">
        <f t="shared" si="39"/>
        <v>16520</v>
      </c>
      <c r="AU21" s="120">
        <f t="shared" si="39"/>
        <v>15211</v>
      </c>
      <c r="AV21" s="120">
        <f t="shared" si="39"/>
        <v>13062</v>
      </c>
      <c r="AW21" s="120">
        <f t="shared" si="39"/>
        <v>11182</v>
      </c>
      <c r="AX21" s="120">
        <f t="shared" si="39"/>
        <v>12356</v>
      </c>
      <c r="AY21" s="120">
        <f t="shared" si="39"/>
        <v>12689</v>
      </c>
      <c r="AZ21" s="120">
        <f t="shared" si="39"/>
        <v>14887</v>
      </c>
      <c r="BA21" s="120">
        <f>SUM(BA18:BA20)</f>
        <v>25852</v>
      </c>
      <c r="BB21" s="120">
        <f>SUM(BB18:BB20)</f>
        <v>26743</v>
      </c>
      <c r="BC21" s="120">
        <f>SUM(BC18:BC20)</f>
        <v>27766</v>
      </c>
    </row>
    <row r="23" spans="2:55" x14ac:dyDescent="0.25">
      <c r="B23" s="934" t="s">
        <v>407</v>
      </c>
      <c r="C23" s="935"/>
      <c r="D23" s="935"/>
      <c r="E23" s="935"/>
      <c r="F23" s="935"/>
      <c r="G23" s="935"/>
      <c r="H23" s="935"/>
      <c r="I23" s="935"/>
      <c r="J23" s="935"/>
      <c r="K23" s="935"/>
      <c r="L23" s="935"/>
      <c r="M23" s="935"/>
      <c r="N23" s="935"/>
      <c r="O23" s="935"/>
      <c r="P23" s="935"/>
      <c r="Q23" s="935"/>
      <c r="R23" s="935"/>
      <c r="S23" s="935"/>
      <c r="T23" s="935"/>
      <c r="U23" s="935"/>
      <c r="V23" s="935"/>
      <c r="W23" s="935"/>
      <c r="X23" s="935"/>
      <c r="Y23" s="935"/>
      <c r="Z23" s="935"/>
      <c r="AA23" s="935"/>
      <c r="AB23" s="935"/>
      <c r="AC23" s="935"/>
      <c r="AD23" s="935"/>
      <c r="AE23" s="935"/>
      <c r="AF23" s="935"/>
      <c r="AG23" s="935"/>
      <c r="AH23" s="935"/>
      <c r="AI23" s="935"/>
      <c r="AJ23" s="935"/>
      <c r="AK23" s="935"/>
      <c r="AL23" s="935"/>
      <c r="AM23" s="935"/>
      <c r="AN23" s="935"/>
      <c r="AO23" s="935"/>
      <c r="AP23" s="935"/>
      <c r="AQ23" s="935"/>
      <c r="AR23" s="935"/>
      <c r="AS23" s="935"/>
      <c r="AT23" s="935"/>
      <c r="AU23" s="935"/>
      <c r="AV23" s="935"/>
      <c r="AW23" s="935"/>
      <c r="AX23" s="935"/>
      <c r="AY23" s="935"/>
      <c r="AZ23" s="935"/>
      <c r="BA23" s="935"/>
      <c r="BB23" s="935"/>
      <c r="BC23" s="935"/>
    </row>
    <row r="24" spans="2:55" x14ac:dyDescent="0.25">
      <c r="B24" s="145" t="s">
        <v>96</v>
      </c>
      <c r="C24" s="145"/>
      <c r="D24" s="145"/>
      <c r="E24" s="145" t="s">
        <v>160</v>
      </c>
      <c r="F24" s="145" t="s">
        <v>160</v>
      </c>
      <c r="G24" s="145" t="s">
        <v>160</v>
      </c>
      <c r="H24" s="145" t="s">
        <v>160</v>
      </c>
      <c r="I24" s="145" t="s">
        <v>160</v>
      </c>
      <c r="J24" s="115" t="str">
        <f>J5</f>
        <v>4T14</v>
      </c>
      <c r="K24" s="115" t="str">
        <f t="shared" ref="K24:U24" si="40">K5</f>
        <v>1T15</v>
      </c>
      <c r="L24" s="115" t="str">
        <f t="shared" si="40"/>
        <v>2T15</v>
      </c>
      <c r="M24" s="115" t="str">
        <f t="shared" si="40"/>
        <v>3T15</v>
      </c>
      <c r="N24" s="115" t="str">
        <f t="shared" si="40"/>
        <v>4T15</v>
      </c>
      <c r="O24" s="115" t="str">
        <f t="shared" si="40"/>
        <v>1T16</v>
      </c>
      <c r="P24" s="115" t="str">
        <f t="shared" si="40"/>
        <v>2T16</v>
      </c>
      <c r="Q24" s="115" t="str">
        <f t="shared" si="40"/>
        <v>3T16</v>
      </c>
      <c r="R24" s="115" t="str">
        <f t="shared" si="40"/>
        <v>4T16</v>
      </c>
      <c r="S24" s="115" t="str">
        <f t="shared" si="40"/>
        <v>1T17</v>
      </c>
      <c r="T24" s="115" t="str">
        <f t="shared" si="40"/>
        <v>2T17</v>
      </c>
      <c r="U24" s="115" t="str">
        <f t="shared" si="40"/>
        <v>3T17</v>
      </c>
      <c r="V24" s="115" t="str">
        <f t="shared" ref="V24:AD24" si="41">V5</f>
        <v>4T17</v>
      </c>
      <c r="W24" s="115" t="str">
        <f t="shared" si="41"/>
        <v>1T18</v>
      </c>
      <c r="X24" s="115" t="str">
        <f t="shared" si="41"/>
        <v>2T18</v>
      </c>
      <c r="Y24" s="115" t="str">
        <f t="shared" si="41"/>
        <v>3T18</v>
      </c>
      <c r="Z24" s="115" t="str">
        <f t="shared" si="41"/>
        <v>4T18</v>
      </c>
      <c r="AA24" s="115" t="str">
        <f t="shared" si="41"/>
        <v>1T19</v>
      </c>
      <c r="AB24" s="115" t="str">
        <f t="shared" si="41"/>
        <v>2T19</v>
      </c>
      <c r="AC24" s="115" t="str">
        <f t="shared" si="41"/>
        <v>3T19</v>
      </c>
      <c r="AD24" s="115" t="str">
        <f t="shared" si="41"/>
        <v>4T19</v>
      </c>
      <c r="AE24" s="115" t="str">
        <f>AE5</f>
        <v>1T20</v>
      </c>
      <c r="AF24" s="115" t="str">
        <f>AF5</f>
        <v>2T20</v>
      </c>
      <c r="AG24" s="115" t="str">
        <f t="shared" ref="AG24:BC24" si="42">AG$5</f>
        <v>3T20</v>
      </c>
      <c r="AH24" s="115" t="str">
        <f t="shared" si="42"/>
        <v>4T20</v>
      </c>
      <c r="AI24" s="115" t="str">
        <f t="shared" si="42"/>
        <v>1T21</v>
      </c>
      <c r="AJ24" s="115" t="str">
        <f t="shared" si="42"/>
        <v>2T21</v>
      </c>
      <c r="AK24" s="115" t="str">
        <f t="shared" si="42"/>
        <v>3T21</v>
      </c>
      <c r="AL24" s="115" t="str">
        <f t="shared" si="42"/>
        <v>4T21</v>
      </c>
      <c r="AM24" s="115" t="str">
        <f t="shared" si="42"/>
        <v>1T22</v>
      </c>
      <c r="AN24" s="115" t="str">
        <f t="shared" si="42"/>
        <v>2T22</v>
      </c>
      <c r="AO24" s="115" t="str">
        <f t="shared" si="42"/>
        <v>3T22</v>
      </c>
      <c r="AP24" s="115" t="str">
        <f t="shared" si="42"/>
        <v>4T22</v>
      </c>
      <c r="AQ24" s="115" t="str">
        <f t="shared" si="42"/>
        <v>1T23</v>
      </c>
      <c r="AR24" s="115" t="str">
        <f t="shared" si="42"/>
        <v>2T23</v>
      </c>
      <c r="AS24" s="115" t="str">
        <f t="shared" si="42"/>
        <v>3T23</v>
      </c>
      <c r="AT24" s="115" t="str">
        <f t="shared" si="42"/>
        <v>4T23</v>
      </c>
      <c r="AU24" s="115" t="str">
        <f t="shared" si="42"/>
        <v>1T24</v>
      </c>
      <c r="AV24" s="115" t="str">
        <f t="shared" si="42"/>
        <v>2T24</v>
      </c>
      <c r="AW24" s="115" t="str">
        <f t="shared" si="42"/>
        <v>3T24</v>
      </c>
      <c r="AX24" s="115" t="str">
        <f t="shared" si="42"/>
        <v>4T24</v>
      </c>
      <c r="AY24" s="115" t="str">
        <f t="shared" si="42"/>
        <v>1T25</v>
      </c>
      <c r="AZ24" s="115" t="str">
        <f t="shared" si="42"/>
        <v>2T25</v>
      </c>
      <c r="BA24" s="115" t="str">
        <f t="shared" si="42"/>
        <v>3T25</v>
      </c>
      <c r="BB24" s="115" t="str">
        <f t="shared" si="42"/>
        <v>4T25</v>
      </c>
      <c r="BC24" s="115" t="str">
        <f t="shared" si="42"/>
        <v>1T26</v>
      </c>
    </row>
    <row r="25" spans="2:55" x14ac:dyDescent="0.25">
      <c r="B25" s="129" t="s">
        <v>408</v>
      </c>
      <c r="C25" s="129"/>
      <c r="D25" s="130"/>
      <c r="E25" s="130">
        <v>0</v>
      </c>
      <c r="F25" s="130">
        <v>0</v>
      </c>
      <c r="G25" s="130">
        <v>0</v>
      </c>
      <c r="H25" s="130">
        <v>0</v>
      </c>
      <c r="I25" s="130">
        <v>0</v>
      </c>
      <c r="J25" s="118">
        <v>24744</v>
      </c>
      <c r="K25" s="118">
        <v>25478</v>
      </c>
      <c r="L25" s="118">
        <v>25766</v>
      </c>
      <c r="M25" s="118">
        <v>26079</v>
      </c>
      <c r="N25" s="118">
        <v>20355</v>
      </c>
      <c r="O25" s="118">
        <v>20294</v>
      </c>
      <c r="P25" s="118">
        <v>18534</v>
      </c>
      <c r="Q25" s="118">
        <v>17735</v>
      </c>
      <c r="R25" s="118">
        <v>17425</v>
      </c>
      <c r="S25" s="118">
        <v>16133</v>
      </c>
      <c r="T25" s="118">
        <v>13997</v>
      </c>
      <c r="U25" s="118">
        <v>13695</v>
      </c>
      <c r="V25" s="118">
        <v>11750</v>
      </c>
      <c r="W25" s="118">
        <v>10607</v>
      </c>
      <c r="X25" s="118">
        <v>10751</v>
      </c>
      <c r="Y25" s="118">
        <v>10561</v>
      </c>
      <c r="Z25" s="118">
        <v>10104</v>
      </c>
      <c r="AA25" s="118">
        <v>9782</v>
      </c>
      <c r="AB25" s="118">
        <v>10144</v>
      </c>
      <c r="AC25" s="118">
        <v>10086</v>
      </c>
      <c r="AD25" s="118">
        <v>9968</v>
      </c>
      <c r="AE25" s="118">
        <v>10177</v>
      </c>
      <c r="AF25" s="118">
        <v>9598</v>
      </c>
      <c r="AG25" s="118">
        <v>9598</v>
      </c>
      <c r="AH25" s="118">
        <v>10656</v>
      </c>
      <c r="AI25" s="118">
        <v>10752</v>
      </c>
      <c r="AJ25" s="118">
        <v>10548</v>
      </c>
      <c r="AK25" s="118">
        <v>10362</v>
      </c>
      <c r="AL25" s="118">
        <v>13688</v>
      </c>
      <c r="AM25" s="118">
        <v>14879</v>
      </c>
      <c r="AN25" s="118">
        <v>14939</v>
      </c>
      <c r="AO25" s="118">
        <v>17083</v>
      </c>
      <c r="AP25" s="118">
        <v>16879</v>
      </c>
      <c r="AQ25" s="118">
        <v>17202</v>
      </c>
      <c r="AR25" s="118">
        <v>17085</v>
      </c>
      <c r="AS25" s="118">
        <v>17131</v>
      </c>
      <c r="AT25" s="118">
        <v>18095</v>
      </c>
      <c r="AU25" s="118">
        <v>18434</v>
      </c>
      <c r="AV25" s="118">
        <v>18840</v>
      </c>
      <c r="AW25" s="118">
        <v>18931</v>
      </c>
      <c r="AX25" s="118">
        <v>19199</v>
      </c>
      <c r="AY25" s="118">
        <v>19505</v>
      </c>
      <c r="AZ25" s="118">
        <v>19722</v>
      </c>
      <c r="BA25" s="118">
        <v>19962</v>
      </c>
      <c r="BB25" s="118">
        <v>20267</v>
      </c>
      <c r="BC25" s="118">
        <v>20644</v>
      </c>
    </row>
    <row r="26" spans="2:55" x14ac:dyDescent="0.25">
      <c r="B26" s="129" t="s">
        <v>409</v>
      </c>
      <c r="C26" s="129"/>
      <c r="D26" s="130"/>
      <c r="E26" s="130">
        <v>0</v>
      </c>
      <c r="F26" s="130">
        <v>0</v>
      </c>
      <c r="G26" s="130">
        <v>0</v>
      </c>
      <c r="H26" s="130">
        <v>0</v>
      </c>
      <c r="I26" s="130">
        <v>0</v>
      </c>
      <c r="J26" s="118">
        <v>350</v>
      </c>
      <c r="K26" s="118">
        <v>510</v>
      </c>
      <c r="L26" s="118">
        <v>757</v>
      </c>
      <c r="M26" s="118">
        <v>1107</v>
      </c>
      <c r="N26" s="118">
        <v>1185</v>
      </c>
      <c r="O26" s="118">
        <v>1459</v>
      </c>
      <c r="P26" s="118">
        <v>3186</v>
      </c>
      <c r="Q26" s="118">
        <v>3334</v>
      </c>
      <c r="R26" s="118">
        <v>3461</v>
      </c>
      <c r="S26" s="636">
        <v>0</v>
      </c>
      <c r="T26" s="118">
        <v>3752</v>
      </c>
      <c r="U26" s="118">
        <v>3752</v>
      </c>
      <c r="V26" s="261">
        <v>1631</v>
      </c>
      <c r="W26" s="118">
        <v>1608</v>
      </c>
      <c r="X26" s="118">
        <v>1608</v>
      </c>
      <c r="Y26" s="118">
        <v>1608</v>
      </c>
      <c r="Z26" s="118">
        <v>1608</v>
      </c>
      <c r="AA26" s="118">
        <v>1608</v>
      </c>
      <c r="AB26" s="118">
        <v>1608</v>
      </c>
      <c r="AC26" s="118">
        <v>1608</v>
      </c>
      <c r="AD26" s="118">
        <v>1608</v>
      </c>
      <c r="AE26" s="118">
        <v>1608</v>
      </c>
      <c r="AF26" s="118">
        <v>1608</v>
      </c>
      <c r="AG26" s="118">
        <v>1608</v>
      </c>
      <c r="AH26" s="118">
        <v>1608</v>
      </c>
      <c r="AI26" s="118">
        <v>1608</v>
      </c>
      <c r="AJ26" s="118">
        <v>1608</v>
      </c>
      <c r="AK26" s="118">
        <v>1608</v>
      </c>
      <c r="AL26" s="118">
        <v>1608</v>
      </c>
      <c r="AM26" s="118">
        <v>1608</v>
      </c>
      <c r="AN26" s="118">
        <v>1608</v>
      </c>
      <c r="AO26" s="118">
        <v>1608</v>
      </c>
      <c r="AP26" s="118">
        <v>1608</v>
      </c>
      <c r="AQ26" s="118">
        <v>1608</v>
      </c>
      <c r="AR26" s="118">
        <v>1608</v>
      </c>
      <c r="AS26" s="118">
        <v>1608</v>
      </c>
      <c r="AT26" s="118">
        <v>1608</v>
      </c>
      <c r="AU26" s="118">
        <v>1608</v>
      </c>
      <c r="AV26" s="118">
        <v>3230</v>
      </c>
      <c r="AW26" s="118">
        <v>3266</v>
      </c>
      <c r="AX26" s="118">
        <v>3315</v>
      </c>
      <c r="AY26" s="118">
        <v>3357</v>
      </c>
      <c r="AZ26" s="118">
        <v>3404</v>
      </c>
      <c r="BA26" s="118">
        <v>3438</v>
      </c>
      <c r="BB26" s="118">
        <v>3505</v>
      </c>
      <c r="BC26" s="118">
        <v>3576</v>
      </c>
    </row>
    <row r="27" spans="2:55" x14ac:dyDescent="0.25">
      <c r="B27" s="129" t="s">
        <v>410</v>
      </c>
      <c r="C27" s="129"/>
      <c r="D27" s="130"/>
      <c r="E27" s="130">
        <v>0</v>
      </c>
      <c r="F27" s="130">
        <v>0</v>
      </c>
      <c r="G27" s="130">
        <v>0</v>
      </c>
      <c r="H27" s="130">
        <v>0</v>
      </c>
      <c r="I27" s="130">
        <v>0</v>
      </c>
      <c r="J27" s="118">
        <v>609</v>
      </c>
      <c r="K27" s="118">
        <v>609</v>
      </c>
      <c r="L27" s="118">
        <v>306</v>
      </c>
      <c r="M27" s="118">
        <v>300</v>
      </c>
      <c r="N27" s="118">
        <v>329</v>
      </c>
      <c r="O27" s="118">
        <v>445</v>
      </c>
      <c r="P27" s="118">
        <v>419</v>
      </c>
      <c r="Q27" s="118">
        <v>520</v>
      </c>
      <c r="R27" s="118">
        <v>641</v>
      </c>
      <c r="S27" s="118">
        <v>802</v>
      </c>
      <c r="T27" s="118">
        <v>190</v>
      </c>
      <c r="U27" s="118">
        <v>190</v>
      </c>
      <c r="V27" s="118">
        <v>190</v>
      </c>
      <c r="W27" s="118">
        <v>190</v>
      </c>
      <c r="X27" s="118">
        <v>190</v>
      </c>
      <c r="Y27" s="118">
        <v>190</v>
      </c>
      <c r="Z27" s="118">
        <v>190</v>
      </c>
      <c r="AA27" s="118">
        <v>190</v>
      </c>
      <c r="AB27" s="118">
        <v>198</v>
      </c>
      <c r="AC27" s="260">
        <v>2769</v>
      </c>
      <c r="AD27" s="118">
        <v>2876</v>
      </c>
      <c r="AE27" s="118">
        <v>2876</v>
      </c>
      <c r="AF27" s="118">
        <v>2876</v>
      </c>
      <c r="AG27" s="118">
        <v>2876</v>
      </c>
      <c r="AH27" s="118">
        <v>2876</v>
      </c>
      <c r="AI27" s="118">
        <v>2876</v>
      </c>
      <c r="AJ27" s="118">
        <v>2876</v>
      </c>
      <c r="AK27" s="118">
        <v>2876</v>
      </c>
      <c r="AL27" s="118">
        <v>2876</v>
      </c>
      <c r="AM27" s="118">
        <v>3362</v>
      </c>
      <c r="AN27" s="118">
        <v>3362</v>
      </c>
      <c r="AO27" s="118">
        <v>290</v>
      </c>
      <c r="AP27" s="118">
        <v>294</v>
      </c>
      <c r="AQ27" s="118">
        <v>309</v>
      </c>
      <c r="AR27" s="118">
        <v>346</v>
      </c>
      <c r="AS27" s="118">
        <v>416</v>
      </c>
      <c r="AT27" s="118">
        <v>553</v>
      </c>
      <c r="AU27" s="118">
        <v>579</v>
      </c>
      <c r="AV27" s="118">
        <v>579</v>
      </c>
      <c r="AW27" s="118">
        <v>748</v>
      </c>
      <c r="AX27" s="118">
        <v>664</v>
      </c>
      <c r="AY27" s="118">
        <v>704</v>
      </c>
      <c r="AZ27" s="118">
        <v>746</v>
      </c>
      <c r="BA27" s="118">
        <v>709</v>
      </c>
      <c r="BB27" s="118">
        <v>806</v>
      </c>
      <c r="BC27" s="118">
        <v>853</v>
      </c>
    </row>
    <row r="28" spans="2:55" x14ac:dyDescent="0.25">
      <c r="B28" s="126" t="s">
        <v>73</v>
      </c>
      <c r="C28" s="126"/>
      <c r="D28" s="120"/>
      <c r="E28" s="120">
        <v>0</v>
      </c>
      <c r="F28" s="120">
        <v>0</v>
      </c>
      <c r="G28" s="120">
        <v>0</v>
      </c>
      <c r="H28" s="120">
        <v>0</v>
      </c>
      <c r="I28" s="120">
        <v>0</v>
      </c>
      <c r="J28" s="120">
        <f t="shared" ref="J28:U28" si="43">+SUM(J25:J27)</f>
        <v>25703</v>
      </c>
      <c r="K28" s="120">
        <f t="shared" si="43"/>
        <v>26597</v>
      </c>
      <c r="L28" s="120">
        <f t="shared" si="43"/>
        <v>26829</v>
      </c>
      <c r="M28" s="120">
        <f t="shared" si="43"/>
        <v>27486</v>
      </c>
      <c r="N28" s="120">
        <f t="shared" si="43"/>
        <v>21869</v>
      </c>
      <c r="O28" s="120">
        <f t="shared" si="43"/>
        <v>22198</v>
      </c>
      <c r="P28" s="120">
        <f t="shared" si="43"/>
        <v>22139</v>
      </c>
      <c r="Q28" s="120">
        <f t="shared" si="43"/>
        <v>21589</v>
      </c>
      <c r="R28" s="120">
        <f t="shared" si="43"/>
        <v>21527</v>
      </c>
      <c r="S28" s="120">
        <f t="shared" si="43"/>
        <v>16935</v>
      </c>
      <c r="T28" s="120">
        <f t="shared" si="43"/>
        <v>17939</v>
      </c>
      <c r="U28" s="120">
        <f t="shared" si="43"/>
        <v>17637</v>
      </c>
      <c r="V28" s="120">
        <f t="shared" ref="V28:AD28" si="44">+SUM(V25:V27)</f>
        <v>13571</v>
      </c>
      <c r="W28" s="120">
        <f t="shared" si="44"/>
        <v>12405</v>
      </c>
      <c r="X28" s="120">
        <f t="shared" si="44"/>
        <v>12549</v>
      </c>
      <c r="Y28" s="120">
        <f t="shared" si="44"/>
        <v>12359</v>
      </c>
      <c r="Z28" s="120">
        <f t="shared" si="44"/>
        <v>11902</v>
      </c>
      <c r="AA28" s="120">
        <f t="shared" si="44"/>
        <v>11580</v>
      </c>
      <c r="AB28" s="120">
        <f t="shared" si="44"/>
        <v>11950</v>
      </c>
      <c r="AC28" s="120">
        <f t="shared" si="44"/>
        <v>14463</v>
      </c>
      <c r="AD28" s="120">
        <f t="shared" si="44"/>
        <v>14452</v>
      </c>
      <c r="AE28" s="120">
        <f t="shared" ref="AE28:AM28" si="45">+SUM(AE25:AE27)</f>
        <v>14661</v>
      </c>
      <c r="AF28" s="120">
        <f t="shared" si="45"/>
        <v>14082</v>
      </c>
      <c r="AG28" s="120">
        <f t="shared" si="45"/>
        <v>14082</v>
      </c>
      <c r="AH28" s="120">
        <f t="shared" si="45"/>
        <v>15140</v>
      </c>
      <c r="AI28" s="120">
        <f t="shared" si="45"/>
        <v>15236</v>
      </c>
      <c r="AJ28" s="120">
        <f t="shared" si="45"/>
        <v>15032</v>
      </c>
      <c r="AK28" s="120">
        <f t="shared" si="45"/>
        <v>14846</v>
      </c>
      <c r="AL28" s="120">
        <f t="shared" si="45"/>
        <v>18172</v>
      </c>
      <c r="AM28" s="120">
        <f t="shared" si="45"/>
        <v>19849</v>
      </c>
      <c r="AN28" s="120">
        <f t="shared" ref="AN28:AS28" si="46">+SUM(AN25:AN27)</f>
        <v>19909</v>
      </c>
      <c r="AO28" s="120">
        <f t="shared" si="46"/>
        <v>18981</v>
      </c>
      <c r="AP28" s="120">
        <f t="shared" si="46"/>
        <v>18781</v>
      </c>
      <c r="AQ28" s="120">
        <f t="shared" si="46"/>
        <v>19119</v>
      </c>
      <c r="AR28" s="120">
        <f t="shared" si="46"/>
        <v>19039</v>
      </c>
      <c r="AS28" s="120">
        <f t="shared" si="46"/>
        <v>19155</v>
      </c>
      <c r="AT28" s="120">
        <f t="shared" ref="AT28:AZ28" si="47">+SUM(AT25:AT27)</f>
        <v>20256</v>
      </c>
      <c r="AU28" s="120">
        <f t="shared" si="47"/>
        <v>20621</v>
      </c>
      <c r="AV28" s="120">
        <f t="shared" si="47"/>
        <v>22649</v>
      </c>
      <c r="AW28" s="120">
        <f t="shared" si="47"/>
        <v>22945</v>
      </c>
      <c r="AX28" s="120">
        <f t="shared" si="47"/>
        <v>23178</v>
      </c>
      <c r="AY28" s="120">
        <f t="shared" si="47"/>
        <v>23566</v>
      </c>
      <c r="AZ28" s="120">
        <f t="shared" si="47"/>
        <v>23872</v>
      </c>
      <c r="BA28" s="120">
        <f>+SUM(BA25:BA27)</f>
        <v>24109</v>
      </c>
      <c r="BB28" s="120">
        <f>+SUM(BB25:BB27)</f>
        <v>24578</v>
      </c>
      <c r="BC28" s="120">
        <f>+SUM(BC25:BC27)</f>
        <v>25073</v>
      </c>
    </row>
    <row r="29" spans="2:55" ht="9" customHeight="1" x14ac:dyDescent="0.25">
      <c r="D29" s="289"/>
      <c r="E29" s="289"/>
      <c r="F29" s="289"/>
      <c r="G29" s="289"/>
      <c r="H29" s="289"/>
      <c r="I29" s="289"/>
    </row>
    <row r="30" spans="2:55" x14ac:dyDescent="0.25">
      <c r="B30" s="145" t="s">
        <v>97</v>
      </c>
      <c r="C30" s="145"/>
      <c r="D30" s="145"/>
      <c r="E30" s="145" t="s">
        <v>160</v>
      </c>
      <c r="F30" s="145" t="s">
        <v>160</v>
      </c>
      <c r="G30" s="145" t="s">
        <v>160</v>
      </c>
      <c r="H30" s="145" t="s">
        <v>160</v>
      </c>
      <c r="I30" s="145" t="s">
        <v>160</v>
      </c>
      <c r="J30" s="115" t="str">
        <f>J24</f>
        <v>4T14</v>
      </c>
      <c r="K30" s="115" t="str">
        <f t="shared" ref="K30:U30" si="48">K24</f>
        <v>1T15</v>
      </c>
      <c r="L30" s="115" t="str">
        <f t="shared" si="48"/>
        <v>2T15</v>
      </c>
      <c r="M30" s="115" t="str">
        <f t="shared" si="48"/>
        <v>3T15</v>
      </c>
      <c r="N30" s="115" t="str">
        <f t="shared" si="48"/>
        <v>4T15</v>
      </c>
      <c r="O30" s="115" t="str">
        <f t="shared" si="48"/>
        <v>1T16</v>
      </c>
      <c r="P30" s="115" t="str">
        <f t="shared" si="48"/>
        <v>2T16</v>
      </c>
      <c r="Q30" s="115" t="str">
        <f t="shared" si="48"/>
        <v>3T16</v>
      </c>
      <c r="R30" s="115" t="str">
        <f t="shared" si="48"/>
        <v>4T16</v>
      </c>
      <c r="S30" s="115" t="str">
        <f t="shared" si="48"/>
        <v>1T17</v>
      </c>
      <c r="T30" s="115" t="str">
        <f t="shared" si="48"/>
        <v>2T17</v>
      </c>
      <c r="U30" s="115" t="str">
        <f t="shared" si="48"/>
        <v>3T17</v>
      </c>
      <c r="V30" s="115" t="str">
        <f t="shared" ref="V30:AA30" si="49">V24</f>
        <v>4T17</v>
      </c>
      <c r="W30" s="115" t="str">
        <f t="shared" si="49"/>
        <v>1T18</v>
      </c>
      <c r="X30" s="115" t="str">
        <f t="shared" si="49"/>
        <v>2T18</v>
      </c>
      <c r="Y30" s="115" t="str">
        <f t="shared" si="49"/>
        <v>3T18</v>
      </c>
      <c r="Z30" s="115" t="str">
        <f t="shared" si="49"/>
        <v>4T18</v>
      </c>
      <c r="AA30" s="115" t="str">
        <f t="shared" si="49"/>
        <v>1T19</v>
      </c>
      <c r="AB30" s="115" t="str">
        <f>AB24</f>
        <v>2T19</v>
      </c>
      <c r="AC30" s="115" t="str">
        <f>AC24</f>
        <v>3T19</v>
      </c>
      <c r="AD30" s="115" t="str">
        <f>AD24</f>
        <v>4T19</v>
      </c>
      <c r="AE30" s="115" t="str">
        <f>AE24</f>
        <v>1T20</v>
      </c>
      <c r="AF30" s="115" t="str">
        <f>AF24</f>
        <v>2T20</v>
      </c>
      <c r="AG30" s="115" t="str">
        <f t="shared" ref="AG30:BC30" si="50">AG$5</f>
        <v>3T20</v>
      </c>
      <c r="AH30" s="115" t="str">
        <f t="shared" si="50"/>
        <v>4T20</v>
      </c>
      <c r="AI30" s="115" t="str">
        <f t="shared" si="50"/>
        <v>1T21</v>
      </c>
      <c r="AJ30" s="115" t="str">
        <f t="shared" si="50"/>
        <v>2T21</v>
      </c>
      <c r="AK30" s="115" t="str">
        <f t="shared" si="50"/>
        <v>3T21</v>
      </c>
      <c r="AL30" s="115" t="str">
        <f t="shared" si="50"/>
        <v>4T21</v>
      </c>
      <c r="AM30" s="115" t="str">
        <f t="shared" si="50"/>
        <v>1T22</v>
      </c>
      <c r="AN30" s="115" t="str">
        <f t="shared" si="50"/>
        <v>2T22</v>
      </c>
      <c r="AO30" s="115" t="str">
        <f t="shared" si="50"/>
        <v>3T22</v>
      </c>
      <c r="AP30" s="115" t="str">
        <f t="shared" si="50"/>
        <v>4T22</v>
      </c>
      <c r="AQ30" s="115" t="str">
        <f t="shared" si="50"/>
        <v>1T23</v>
      </c>
      <c r="AR30" s="115" t="str">
        <f t="shared" si="50"/>
        <v>2T23</v>
      </c>
      <c r="AS30" s="115" t="str">
        <f t="shared" si="50"/>
        <v>3T23</v>
      </c>
      <c r="AT30" s="115" t="str">
        <f t="shared" si="50"/>
        <v>4T23</v>
      </c>
      <c r="AU30" s="115" t="str">
        <f t="shared" si="50"/>
        <v>1T24</v>
      </c>
      <c r="AV30" s="115" t="str">
        <f t="shared" si="50"/>
        <v>2T24</v>
      </c>
      <c r="AW30" s="115" t="str">
        <f t="shared" si="50"/>
        <v>3T24</v>
      </c>
      <c r="AX30" s="115" t="str">
        <f t="shared" si="50"/>
        <v>4T24</v>
      </c>
      <c r="AY30" s="115" t="str">
        <f t="shared" si="50"/>
        <v>1T25</v>
      </c>
      <c r="AZ30" s="115" t="str">
        <f t="shared" si="50"/>
        <v>2T25</v>
      </c>
      <c r="BA30" s="115" t="str">
        <f t="shared" si="50"/>
        <v>3T25</v>
      </c>
      <c r="BB30" s="115" t="str">
        <f t="shared" si="50"/>
        <v>4T25</v>
      </c>
      <c r="BC30" s="115" t="str">
        <f t="shared" si="50"/>
        <v>1T26</v>
      </c>
    </row>
    <row r="31" spans="2:55" x14ac:dyDescent="0.25">
      <c r="B31" s="129" t="s">
        <v>408</v>
      </c>
      <c r="C31" s="129"/>
      <c r="D31" s="130"/>
      <c r="E31" s="130">
        <v>0</v>
      </c>
      <c r="F31" s="130">
        <v>0</v>
      </c>
      <c r="G31" s="130">
        <v>0</v>
      </c>
      <c r="H31" s="130">
        <v>0</v>
      </c>
      <c r="I31" s="130">
        <v>0</v>
      </c>
      <c r="J31" s="118">
        <v>7184</v>
      </c>
      <c r="K31" s="118">
        <v>7381</v>
      </c>
      <c r="L31" s="118">
        <v>7680</v>
      </c>
      <c r="M31" s="118">
        <v>7840</v>
      </c>
      <c r="N31" s="118">
        <v>6787</v>
      </c>
      <c r="O31" s="118">
        <v>7037</v>
      </c>
      <c r="P31" s="118">
        <v>7511</v>
      </c>
      <c r="Q31" s="118">
        <v>7226</v>
      </c>
      <c r="R31" s="118">
        <v>7392</v>
      </c>
      <c r="S31" s="118">
        <v>7313</v>
      </c>
      <c r="T31" s="118">
        <v>7257</v>
      </c>
      <c r="U31" s="118">
        <v>7367</v>
      </c>
      <c r="V31" s="118">
        <v>7002</v>
      </c>
      <c r="W31" s="118">
        <v>7002</v>
      </c>
      <c r="X31" s="118">
        <v>7195</v>
      </c>
      <c r="Y31" s="118">
        <v>7200</v>
      </c>
      <c r="Z31" s="118">
        <v>7001</v>
      </c>
      <c r="AA31" s="118">
        <v>7063</v>
      </c>
      <c r="AB31" s="118">
        <v>7283</v>
      </c>
      <c r="AC31" s="118">
        <v>7359</v>
      </c>
      <c r="AD31" s="118">
        <v>7211</v>
      </c>
      <c r="AE31" s="118">
        <v>7427</v>
      </c>
      <c r="AF31" s="118">
        <v>7248</v>
      </c>
      <c r="AG31" s="118">
        <v>7259</v>
      </c>
      <c r="AH31" s="118">
        <v>7546</v>
      </c>
      <c r="AI31" s="118">
        <v>7672</v>
      </c>
      <c r="AJ31" s="118">
        <v>7707</v>
      </c>
      <c r="AK31" s="118">
        <v>7652</v>
      </c>
      <c r="AL31" s="118">
        <v>11155</v>
      </c>
      <c r="AM31" s="118">
        <v>11804</v>
      </c>
      <c r="AN31" s="118">
        <v>12008</v>
      </c>
      <c r="AO31" s="118">
        <v>14463</v>
      </c>
      <c r="AP31" s="118">
        <v>14213</v>
      </c>
      <c r="AQ31" s="118">
        <v>14471</v>
      </c>
      <c r="AR31" s="118">
        <v>14389</v>
      </c>
      <c r="AS31" s="118">
        <v>14529</v>
      </c>
      <c r="AT31" s="118">
        <v>15473</v>
      </c>
      <c r="AU31" s="118">
        <v>15745</v>
      </c>
      <c r="AV31" s="118">
        <v>16267</v>
      </c>
      <c r="AW31" s="118">
        <v>16383</v>
      </c>
      <c r="AX31" s="118">
        <v>16602</v>
      </c>
      <c r="AY31" s="118">
        <v>16844</v>
      </c>
      <c r="AZ31" s="118">
        <v>17052</v>
      </c>
      <c r="BA31" s="118">
        <v>17332</v>
      </c>
      <c r="BB31" s="118">
        <v>17587</v>
      </c>
      <c r="BC31" s="118">
        <v>17907</v>
      </c>
    </row>
    <row r="32" spans="2:55" x14ac:dyDescent="0.25">
      <c r="B32" s="129" t="s">
        <v>409</v>
      </c>
      <c r="C32" s="129"/>
      <c r="D32" s="130"/>
      <c r="E32" s="130">
        <v>0</v>
      </c>
      <c r="F32" s="130">
        <v>0</v>
      </c>
      <c r="G32" s="130">
        <v>0</v>
      </c>
      <c r="H32" s="130">
        <v>0</v>
      </c>
      <c r="I32" s="130">
        <v>0</v>
      </c>
      <c r="J32" s="118">
        <v>305</v>
      </c>
      <c r="K32" s="118">
        <v>305</v>
      </c>
      <c r="L32" s="118">
        <v>305</v>
      </c>
      <c r="M32" s="118">
        <v>305</v>
      </c>
      <c r="N32" s="118">
        <v>59</v>
      </c>
      <c r="O32" s="118">
        <v>59</v>
      </c>
      <c r="P32" s="118">
        <v>1608</v>
      </c>
      <c r="Q32" s="118">
        <v>1608</v>
      </c>
      <c r="R32" s="118">
        <v>1608</v>
      </c>
      <c r="S32" s="118">
        <v>1608</v>
      </c>
      <c r="T32" s="118">
        <v>1608</v>
      </c>
      <c r="U32" s="118">
        <v>1608</v>
      </c>
      <c r="V32" s="118">
        <v>1608</v>
      </c>
      <c r="W32" s="118">
        <v>1608</v>
      </c>
      <c r="X32" s="118">
        <v>1608</v>
      </c>
      <c r="Y32" s="118">
        <v>1608</v>
      </c>
      <c r="Z32" s="118">
        <v>1608</v>
      </c>
      <c r="AA32" s="118">
        <v>1608</v>
      </c>
      <c r="AB32" s="118">
        <v>1608</v>
      </c>
      <c r="AC32" s="118">
        <v>1608</v>
      </c>
      <c r="AD32" s="118">
        <v>1608</v>
      </c>
      <c r="AE32" s="118">
        <v>1608</v>
      </c>
      <c r="AF32" s="118">
        <v>1608</v>
      </c>
      <c r="AG32" s="118">
        <v>1608</v>
      </c>
      <c r="AH32" s="118">
        <v>1608</v>
      </c>
      <c r="AI32" s="118">
        <v>1608</v>
      </c>
      <c r="AJ32" s="118">
        <v>1608</v>
      </c>
      <c r="AK32" s="118">
        <v>1608</v>
      </c>
      <c r="AL32" s="118">
        <v>1608</v>
      </c>
      <c r="AM32" s="118">
        <v>1608</v>
      </c>
      <c r="AN32" s="118">
        <v>1608</v>
      </c>
      <c r="AO32" s="118">
        <v>1608</v>
      </c>
      <c r="AP32" s="118">
        <v>1608</v>
      </c>
      <c r="AQ32" s="118">
        <v>1608</v>
      </c>
      <c r="AR32" s="118">
        <v>1608</v>
      </c>
      <c r="AS32" s="118">
        <v>1608</v>
      </c>
      <c r="AT32" s="118">
        <v>1608</v>
      </c>
      <c r="AU32" s="118">
        <v>1608</v>
      </c>
      <c r="AV32" s="118">
        <v>3230</v>
      </c>
      <c r="AW32" s="118">
        <v>3266</v>
      </c>
      <c r="AX32" s="118">
        <v>3315</v>
      </c>
      <c r="AY32" s="118">
        <v>3357</v>
      </c>
      <c r="AZ32" s="118">
        <v>3404</v>
      </c>
      <c r="BA32" s="118">
        <v>3438</v>
      </c>
      <c r="BB32" s="118">
        <v>3505</v>
      </c>
      <c r="BC32" s="118">
        <v>3576</v>
      </c>
    </row>
    <row r="33" spans="2:55" x14ac:dyDescent="0.25">
      <c r="B33" s="129" t="s">
        <v>410</v>
      </c>
      <c r="C33" s="129"/>
      <c r="D33" s="130"/>
      <c r="E33" s="130">
        <v>0</v>
      </c>
      <c r="F33" s="130">
        <v>0</v>
      </c>
      <c r="G33" s="130">
        <v>0</v>
      </c>
      <c r="H33" s="130">
        <v>0</v>
      </c>
      <c r="I33" s="130">
        <v>0</v>
      </c>
      <c r="J33" s="118">
        <v>203</v>
      </c>
      <c r="K33" s="118">
        <v>203</v>
      </c>
      <c r="L33" s="118">
        <v>203</v>
      </c>
      <c r="M33" s="118">
        <v>203</v>
      </c>
      <c r="N33" s="118">
        <v>221</v>
      </c>
      <c r="O33" s="118">
        <v>337</v>
      </c>
      <c r="P33" s="118">
        <v>311</v>
      </c>
      <c r="Q33" s="118">
        <v>422</v>
      </c>
      <c r="R33" s="118">
        <v>473</v>
      </c>
      <c r="S33" s="118">
        <v>634</v>
      </c>
      <c r="T33" s="118">
        <v>93</v>
      </c>
      <c r="U33" s="118">
        <v>93</v>
      </c>
      <c r="V33" s="118">
        <v>93</v>
      </c>
      <c r="W33" s="118">
        <v>93</v>
      </c>
      <c r="X33" s="118">
        <v>93</v>
      </c>
      <c r="Y33" s="118">
        <v>93</v>
      </c>
      <c r="Z33" s="118">
        <v>93</v>
      </c>
      <c r="AA33" s="118">
        <v>93</v>
      </c>
      <c r="AB33" s="118">
        <v>93</v>
      </c>
      <c r="AC33" s="260">
        <v>2663</v>
      </c>
      <c r="AD33" s="118">
        <v>2667</v>
      </c>
      <c r="AE33" s="118">
        <v>2667</v>
      </c>
      <c r="AF33" s="118">
        <v>2667</v>
      </c>
      <c r="AG33" s="118">
        <v>2667</v>
      </c>
      <c r="AH33" s="118">
        <v>2667</v>
      </c>
      <c r="AI33" s="118">
        <v>2667</v>
      </c>
      <c r="AJ33" s="118">
        <v>2667</v>
      </c>
      <c r="AK33" s="118">
        <v>2667</v>
      </c>
      <c r="AL33" s="118">
        <v>2667</v>
      </c>
      <c r="AM33" s="118">
        <v>3161</v>
      </c>
      <c r="AN33" s="118">
        <v>3161</v>
      </c>
      <c r="AO33" s="118">
        <v>93</v>
      </c>
      <c r="AP33" s="118">
        <v>93</v>
      </c>
      <c r="AQ33" s="118">
        <v>108</v>
      </c>
      <c r="AR33" s="118">
        <v>139</v>
      </c>
      <c r="AS33" s="118">
        <v>195</v>
      </c>
      <c r="AT33" s="118">
        <v>332</v>
      </c>
      <c r="AU33" s="118">
        <v>359</v>
      </c>
      <c r="AV33" s="118">
        <v>359</v>
      </c>
      <c r="AW33" s="118">
        <v>527</v>
      </c>
      <c r="AX33" s="118">
        <v>549</v>
      </c>
      <c r="AY33" s="118">
        <v>590</v>
      </c>
      <c r="AZ33" s="118">
        <v>628</v>
      </c>
      <c r="BA33" s="118">
        <v>588</v>
      </c>
      <c r="BB33" s="118">
        <v>682</v>
      </c>
      <c r="BC33" s="118">
        <v>727</v>
      </c>
    </row>
    <row r="34" spans="2:55" x14ac:dyDescent="0.25">
      <c r="B34" s="126" t="s">
        <v>73</v>
      </c>
      <c r="C34" s="126"/>
      <c r="D34" s="120"/>
      <c r="E34" s="120">
        <v>0</v>
      </c>
      <c r="F34" s="120">
        <v>0</v>
      </c>
      <c r="G34" s="120">
        <v>0</v>
      </c>
      <c r="H34" s="120">
        <v>0</v>
      </c>
      <c r="I34" s="120">
        <v>0</v>
      </c>
      <c r="J34" s="120">
        <f t="shared" ref="J34:T34" si="51">+SUM(J31:J33)</f>
        <v>7692</v>
      </c>
      <c r="K34" s="120">
        <f t="shared" si="51"/>
        <v>7889</v>
      </c>
      <c r="L34" s="120">
        <f t="shared" si="51"/>
        <v>8188</v>
      </c>
      <c r="M34" s="120">
        <f t="shared" si="51"/>
        <v>8348</v>
      </c>
      <c r="N34" s="120">
        <f t="shared" si="51"/>
        <v>7067</v>
      </c>
      <c r="O34" s="120">
        <f t="shared" si="51"/>
        <v>7433</v>
      </c>
      <c r="P34" s="120">
        <f t="shared" si="51"/>
        <v>9430</v>
      </c>
      <c r="Q34" s="120">
        <f t="shared" si="51"/>
        <v>9256</v>
      </c>
      <c r="R34" s="120">
        <f t="shared" si="51"/>
        <v>9473</v>
      </c>
      <c r="S34" s="120">
        <f t="shared" si="51"/>
        <v>9555</v>
      </c>
      <c r="T34" s="120">
        <f t="shared" si="51"/>
        <v>8958</v>
      </c>
      <c r="U34" s="120">
        <f t="shared" ref="U34:AA34" si="52">+SUM(U31:U33)</f>
        <v>9068</v>
      </c>
      <c r="V34" s="120">
        <f t="shared" si="52"/>
        <v>8703</v>
      </c>
      <c r="W34" s="120">
        <f t="shared" si="52"/>
        <v>8703</v>
      </c>
      <c r="X34" s="120">
        <f t="shared" si="52"/>
        <v>8896</v>
      </c>
      <c r="Y34" s="120">
        <f t="shared" si="52"/>
        <v>8901</v>
      </c>
      <c r="Z34" s="120">
        <f t="shared" si="52"/>
        <v>8702</v>
      </c>
      <c r="AA34" s="120">
        <f t="shared" si="52"/>
        <v>8764</v>
      </c>
      <c r="AB34" s="120">
        <f t="shared" ref="AB34:AG34" si="53">+SUM(AB31:AB33)</f>
        <v>8984</v>
      </c>
      <c r="AC34" s="120">
        <f t="shared" si="53"/>
        <v>11630</v>
      </c>
      <c r="AD34" s="120">
        <f t="shared" si="53"/>
        <v>11486</v>
      </c>
      <c r="AE34" s="120">
        <f t="shared" si="53"/>
        <v>11702</v>
      </c>
      <c r="AF34" s="120">
        <f t="shared" si="53"/>
        <v>11523</v>
      </c>
      <c r="AG34" s="120">
        <f t="shared" si="53"/>
        <v>11534</v>
      </c>
      <c r="AH34" s="120">
        <f t="shared" ref="AH34:AN34" si="54">+SUM(AH31:AH33)</f>
        <v>11821</v>
      </c>
      <c r="AI34" s="120">
        <f t="shared" si="54"/>
        <v>11947</v>
      </c>
      <c r="AJ34" s="120">
        <f t="shared" si="54"/>
        <v>11982</v>
      </c>
      <c r="AK34" s="120">
        <f t="shared" si="54"/>
        <v>11927</v>
      </c>
      <c r="AL34" s="120">
        <f t="shared" si="54"/>
        <v>15430</v>
      </c>
      <c r="AM34" s="120">
        <f t="shared" si="54"/>
        <v>16573</v>
      </c>
      <c r="AN34" s="120">
        <f t="shared" si="54"/>
        <v>16777</v>
      </c>
      <c r="AO34" s="120">
        <f t="shared" ref="AO34:AV34" si="55">+SUM(AO31:AO33)</f>
        <v>16164</v>
      </c>
      <c r="AP34" s="120">
        <f t="shared" si="55"/>
        <v>15914</v>
      </c>
      <c r="AQ34" s="120">
        <f t="shared" si="55"/>
        <v>16187</v>
      </c>
      <c r="AR34" s="120">
        <f t="shared" si="55"/>
        <v>16136</v>
      </c>
      <c r="AS34" s="120">
        <f t="shared" si="55"/>
        <v>16332</v>
      </c>
      <c r="AT34" s="120">
        <f t="shared" si="55"/>
        <v>17413</v>
      </c>
      <c r="AU34" s="120">
        <f t="shared" si="55"/>
        <v>17712</v>
      </c>
      <c r="AV34" s="120">
        <f t="shared" si="55"/>
        <v>19856</v>
      </c>
      <c r="AW34" s="120">
        <f t="shared" ref="AW34:BB34" si="56">+SUM(AW31:AW33)</f>
        <v>20176</v>
      </c>
      <c r="AX34" s="120">
        <f t="shared" si="56"/>
        <v>20466</v>
      </c>
      <c r="AY34" s="120">
        <f t="shared" si="56"/>
        <v>20791</v>
      </c>
      <c r="AZ34" s="120">
        <f t="shared" si="56"/>
        <v>21084</v>
      </c>
      <c r="BA34" s="120">
        <f t="shared" si="56"/>
        <v>21358</v>
      </c>
      <c r="BB34" s="120">
        <f t="shared" si="56"/>
        <v>21774</v>
      </c>
      <c r="BC34" s="120">
        <f>+SUM(BC31:BC33)</f>
        <v>22210</v>
      </c>
    </row>
    <row r="35" spans="2:55" ht="9" customHeight="1" x14ac:dyDescent="0.25">
      <c r="B35" s="288"/>
      <c r="C35" s="288"/>
      <c r="D35" s="290"/>
      <c r="E35" s="290"/>
      <c r="F35" s="290"/>
      <c r="G35" s="290"/>
      <c r="H35" s="290"/>
      <c r="I35" s="290"/>
    </row>
    <row r="36" spans="2:55" x14ac:dyDescent="0.25">
      <c r="B36" s="145" t="s">
        <v>98</v>
      </c>
      <c r="C36" s="145"/>
      <c r="D36" s="145"/>
      <c r="E36" s="145" t="s">
        <v>160</v>
      </c>
      <c r="F36" s="145" t="s">
        <v>160</v>
      </c>
      <c r="G36" s="145" t="s">
        <v>160</v>
      </c>
      <c r="H36" s="145" t="s">
        <v>160</v>
      </c>
      <c r="I36" s="145" t="s">
        <v>160</v>
      </c>
      <c r="J36" s="115" t="str">
        <f>J30</f>
        <v>4T14</v>
      </c>
      <c r="K36" s="115" t="str">
        <f t="shared" ref="K36:U36" si="57">K30</f>
        <v>1T15</v>
      </c>
      <c r="L36" s="115" t="str">
        <f t="shared" si="57"/>
        <v>2T15</v>
      </c>
      <c r="M36" s="115" t="str">
        <f t="shared" si="57"/>
        <v>3T15</v>
      </c>
      <c r="N36" s="115" t="str">
        <f t="shared" si="57"/>
        <v>4T15</v>
      </c>
      <c r="O36" s="115" t="str">
        <f t="shared" si="57"/>
        <v>1T16</v>
      </c>
      <c r="P36" s="115" t="str">
        <f t="shared" si="57"/>
        <v>2T16</v>
      </c>
      <c r="Q36" s="115" t="str">
        <f t="shared" si="57"/>
        <v>3T16</v>
      </c>
      <c r="R36" s="115" t="str">
        <f t="shared" si="57"/>
        <v>4T16</v>
      </c>
      <c r="S36" s="115" t="str">
        <f t="shared" si="57"/>
        <v>1T17</v>
      </c>
      <c r="T36" s="115" t="str">
        <f t="shared" si="57"/>
        <v>2T17</v>
      </c>
      <c r="U36" s="115" t="str">
        <f t="shared" si="57"/>
        <v>3T17</v>
      </c>
      <c r="V36" s="115" t="str">
        <f t="shared" ref="V36:AA36" si="58">V30</f>
        <v>4T17</v>
      </c>
      <c r="W36" s="115" t="str">
        <f t="shared" si="58"/>
        <v>1T18</v>
      </c>
      <c r="X36" s="115" t="str">
        <f t="shared" si="58"/>
        <v>2T18</v>
      </c>
      <c r="Y36" s="115" t="str">
        <f t="shared" si="58"/>
        <v>3T18</v>
      </c>
      <c r="Z36" s="115" t="str">
        <f t="shared" si="58"/>
        <v>4T18</v>
      </c>
      <c r="AA36" s="115" t="str">
        <f t="shared" si="58"/>
        <v>1T19</v>
      </c>
      <c r="AB36" s="115" t="str">
        <f>AB30</f>
        <v>2T19</v>
      </c>
      <c r="AC36" s="115" t="str">
        <f>AC30</f>
        <v>3T19</v>
      </c>
      <c r="AD36" s="115" t="str">
        <f>AD30</f>
        <v>4T19</v>
      </c>
      <c r="AE36" s="115" t="str">
        <f>AE30</f>
        <v>1T20</v>
      </c>
      <c r="AF36" s="115" t="str">
        <f>AF30</f>
        <v>2T20</v>
      </c>
      <c r="AG36" s="115" t="str">
        <f t="shared" ref="AG36:BC36" si="59">AG$5</f>
        <v>3T20</v>
      </c>
      <c r="AH36" s="115" t="str">
        <f t="shared" si="59"/>
        <v>4T20</v>
      </c>
      <c r="AI36" s="115" t="str">
        <f t="shared" si="59"/>
        <v>1T21</v>
      </c>
      <c r="AJ36" s="115" t="str">
        <f t="shared" si="59"/>
        <v>2T21</v>
      </c>
      <c r="AK36" s="115" t="str">
        <f t="shared" si="59"/>
        <v>3T21</v>
      </c>
      <c r="AL36" s="115" t="str">
        <f t="shared" si="59"/>
        <v>4T21</v>
      </c>
      <c r="AM36" s="115" t="str">
        <f t="shared" si="59"/>
        <v>1T22</v>
      </c>
      <c r="AN36" s="115" t="str">
        <f t="shared" si="59"/>
        <v>2T22</v>
      </c>
      <c r="AO36" s="115" t="str">
        <f t="shared" si="59"/>
        <v>3T22</v>
      </c>
      <c r="AP36" s="115" t="str">
        <f t="shared" si="59"/>
        <v>4T22</v>
      </c>
      <c r="AQ36" s="115" t="str">
        <f t="shared" si="59"/>
        <v>1T23</v>
      </c>
      <c r="AR36" s="115" t="str">
        <f t="shared" si="59"/>
        <v>2T23</v>
      </c>
      <c r="AS36" s="115" t="str">
        <f t="shared" si="59"/>
        <v>3T23</v>
      </c>
      <c r="AT36" s="115" t="str">
        <f t="shared" si="59"/>
        <v>4T23</v>
      </c>
      <c r="AU36" s="115" t="str">
        <f t="shared" si="59"/>
        <v>1T24</v>
      </c>
      <c r="AV36" s="115" t="str">
        <f t="shared" si="59"/>
        <v>2T24</v>
      </c>
      <c r="AW36" s="115" t="str">
        <f t="shared" si="59"/>
        <v>3T24</v>
      </c>
      <c r="AX36" s="115" t="str">
        <f t="shared" si="59"/>
        <v>4T24</v>
      </c>
      <c r="AY36" s="115" t="str">
        <f t="shared" si="59"/>
        <v>1T25</v>
      </c>
      <c r="AZ36" s="115" t="str">
        <f t="shared" si="59"/>
        <v>2T25</v>
      </c>
      <c r="BA36" s="115" t="str">
        <f t="shared" si="59"/>
        <v>3T25</v>
      </c>
      <c r="BB36" s="115" t="str">
        <f t="shared" si="59"/>
        <v>4T25</v>
      </c>
      <c r="BC36" s="115" t="str">
        <f t="shared" si="59"/>
        <v>1T26</v>
      </c>
    </row>
    <row r="37" spans="2:55" x14ac:dyDescent="0.25">
      <c r="B37" s="129" t="s">
        <v>408</v>
      </c>
      <c r="C37" s="129"/>
      <c r="D37" s="130"/>
      <c r="E37" s="130">
        <v>0</v>
      </c>
      <c r="F37" s="130">
        <v>0</v>
      </c>
      <c r="G37" s="130">
        <v>0</v>
      </c>
      <c r="H37" s="130">
        <v>0</v>
      </c>
      <c r="I37" s="130">
        <v>0</v>
      </c>
      <c r="J37" s="118">
        <f t="shared" ref="J37:N39" si="60">+J25-J31</f>
        <v>17560</v>
      </c>
      <c r="K37" s="118">
        <f t="shared" ref="K37:L40" si="61">+K25-K31</f>
        <v>18097</v>
      </c>
      <c r="L37" s="118">
        <f t="shared" si="61"/>
        <v>18086</v>
      </c>
      <c r="M37" s="118">
        <f t="shared" si="60"/>
        <v>18239</v>
      </c>
      <c r="N37" s="118">
        <f t="shared" si="60"/>
        <v>13568</v>
      </c>
      <c r="O37" s="118">
        <f t="shared" ref="O37:Q39" si="62">+O25-O31</f>
        <v>13257</v>
      </c>
      <c r="P37" s="118">
        <f t="shared" si="62"/>
        <v>11023</v>
      </c>
      <c r="Q37" s="118">
        <f t="shared" si="62"/>
        <v>10509</v>
      </c>
      <c r="R37" s="118">
        <f t="shared" ref="R37:T39" si="63">+R25-R31</f>
        <v>10033</v>
      </c>
      <c r="S37" s="118">
        <f t="shared" si="63"/>
        <v>8820</v>
      </c>
      <c r="T37" s="118">
        <f t="shared" si="63"/>
        <v>6740</v>
      </c>
      <c r="U37" s="118">
        <v>6328</v>
      </c>
      <c r="V37" s="118">
        <f t="shared" ref="U37:V40" si="64">+V25-V31</f>
        <v>4748</v>
      </c>
      <c r="W37" s="118">
        <v>3605</v>
      </c>
      <c r="X37" s="118">
        <f t="shared" ref="X37:AA40" si="65">+X25-X31</f>
        <v>3556</v>
      </c>
      <c r="Y37" s="118">
        <f t="shared" si="65"/>
        <v>3361</v>
      </c>
      <c r="Z37" s="118">
        <f t="shared" si="65"/>
        <v>3103</v>
      </c>
      <c r="AA37" s="118">
        <f t="shared" si="65"/>
        <v>2719</v>
      </c>
      <c r="AB37" s="118">
        <v>2861</v>
      </c>
      <c r="AC37" s="118">
        <v>2727</v>
      </c>
      <c r="AD37" s="118">
        <v>2757</v>
      </c>
      <c r="AE37" s="118">
        <v>2750</v>
      </c>
      <c r="AF37" s="118">
        <v>2360</v>
      </c>
      <c r="AG37" s="118">
        <f t="shared" ref="AG37:AH40" si="66">+AG25-AG31</f>
        <v>2339</v>
      </c>
      <c r="AH37" s="118">
        <f t="shared" si="66"/>
        <v>3110</v>
      </c>
      <c r="AI37" s="118">
        <f>+AI25-AI31</f>
        <v>3080</v>
      </c>
      <c r="AJ37" s="118">
        <f t="shared" ref="AJ37:AK39" si="67">+AJ25-AJ31</f>
        <v>2841</v>
      </c>
      <c r="AK37" s="118">
        <f t="shared" si="67"/>
        <v>2710</v>
      </c>
      <c r="AL37" s="118">
        <f>+AL25-AL31</f>
        <v>2533</v>
      </c>
      <c r="AM37" s="118">
        <v>3075</v>
      </c>
      <c r="AN37" s="118">
        <f t="shared" ref="AN37:AO40" si="68">+AN25-AN31</f>
        <v>2931</v>
      </c>
      <c r="AO37" s="118">
        <v>2620</v>
      </c>
      <c r="AP37" s="118">
        <f t="shared" ref="AP37:AU40" si="69">+AP25-AP31</f>
        <v>2666</v>
      </c>
      <c r="AQ37" s="118">
        <f t="shared" si="69"/>
        <v>2731</v>
      </c>
      <c r="AR37" s="118">
        <f t="shared" si="69"/>
        <v>2696</v>
      </c>
      <c r="AS37" s="118">
        <f t="shared" si="69"/>
        <v>2602</v>
      </c>
      <c r="AT37" s="118">
        <f t="shared" si="69"/>
        <v>2622</v>
      </c>
      <c r="AU37" s="118">
        <f t="shared" si="69"/>
        <v>2689</v>
      </c>
      <c r="AV37" s="118">
        <f>+AV25-AV31</f>
        <v>2573</v>
      </c>
      <c r="AW37" s="118">
        <v>2548</v>
      </c>
      <c r="AX37" s="118">
        <v>2597</v>
      </c>
      <c r="AY37" s="118">
        <v>2661</v>
      </c>
      <c r="AZ37" s="118">
        <v>2670</v>
      </c>
      <c r="BA37" s="118">
        <v>2630</v>
      </c>
      <c r="BB37" s="118">
        <v>2680</v>
      </c>
      <c r="BC37" s="118">
        <f>+BC25-BC31</f>
        <v>2737</v>
      </c>
    </row>
    <row r="38" spans="2:55" x14ac:dyDescent="0.25">
      <c r="B38" s="129" t="s">
        <v>409</v>
      </c>
      <c r="C38" s="129"/>
      <c r="D38" s="130"/>
      <c r="E38" s="130">
        <v>0</v>
      </c>
      <c r="F38" s="130">
        <v>0</v>
      </c>
      <c r="G38" s="130">
        <v>0</v>
      </c>
      <c r="H38" s="130">
        <v>0</v>
      </c>
      <c r="I38" s="130">
        <v>0</v>
      </c>
      <c r="J38" s="118">
        <f t="shared" si="60"/>
        <v>45</v>
      </c>
      <c r="K38" s="118">
        <f t="shared" si="61"/>
        <v>205</v>
      </c>
      <c r="L38" s="118">
        <f t="shared" si="61"/>
        <v>452</v>
      </c>
      <c r="M38" s="118">
        <f t="shared" si="60"/>
        <v>802</v>
      </c>
      <c r="N38" s="118">
        <f t="shared" si="60"/>
        <v>1126</v>
      </c>
      <c r="O38" s="118">
        <f t="shared" si="62"/>
        <v>1400</v>
      </c>
      <c r="P38" s="118">
        <f t="shared" si="62"/>
        <v>1578</v>
      </c>
      <c r="Q38" s="118">
        <f t="shared" si="62"/>
        <v>1726</v>
      </c>
      <c r="R38" s="118">
        <f t="shared" si="63"/>
        <v>1853</v>
      </c>
      <c r="S38" s="118">
        <f>+S26-S32</f>
        <v>-1608</v>
      </c>
      <c r="T38" s="118">
        <f t="shared" si="63"/>
        <v>2144</v>
      </c>
      <c r="U38" s="118">
        <v>2144</v>
      </c>
      <c r="V38" s="118">
        <f t="shared" si="64"/>
        <v>23</v>
      </c>
      <c r="W38" s="118">
        <v>0</v>
      </c>
      <c r="X38" s="118">
        <f t="shared" si="65"/>
        <v>0</v>
      </c>
      <c r="Y38" s="118">
        <v>0</v>
      </c>
      <c r="Z38" s="118">
        <f t="shared" si="65"/>
        <v>0</v>
      </c>
      <c r="AA38" s="118">
        <f t="shared" si="65"/>
        <v>0</v>
      </c>
      <c r="AB38" s="118">
        <v>0</v>
      </c>
      <c r="AC38" s="118">
        <v>0</v>
      </c>
      <c r="AD38" s="118">
        <v>0</v>
      </c>
      <c r="AE38" s="118">
        <v>0</v>
      </c>
      <c r="AF38" s="118">
        <v>0</v>
      </c>
      <c r="AG38" s="118">
        <f t="shared" si="66"/>
        <v>0</v>
      </c>
      <c r="AH38" s="118">
        <f t="shared" si="66"/>
        <v>0</v>
      </c>
      <c r="AI38" s="118">
        <f>+AI26-AI32</f>
        <v>0</v>
      </c>
      <c r="AJ38" s="118">
        <f t="shared" si="67"/>
        <v>0</v>
      </c>
      <c r="AK38" s="118">
        <f t="shared" si="67"/>
        <v>0</v>
      </c>
      <c r="AL38" s="118">
        <f>+AL26-AL32</f>
        <v>0</v>
      </c>
      <c r="AM38" s="118">
        <v>0</v>
      </c>
      <c r="AN38" s="118">
        <f t="shared" si="68"/>
        <v>0</v>
      </c>
      <c r="AO38" s="118">
        <v>0</v>
      </c>
      <c r="AP38" s="118">
        <f t="shared" si="69"/>
        <v>0</v>
      </c>
      <c r="AQ38" s="118">
        <f t="shared" si="69"/>
        <v>0</v>
      </c>
      <c r="AR38" s="118">
        <f t="shared" si="69"/>
        <v>0</v>
      </c>
      <c r="AS38" s="118">
        <f t="shared" si="69"/>
        <v>0</v>
      </c>
      <c r="AT38" s="118">
        <f t="shared" si="69"/>
        <v>0</v>
      </c>
      <c r="AU38" s="118">
        <f t="shared" si="69"/>
        <v>0</v>
      </c>
      <c r="AV38" s="118">
        <f>+AV26-AV32</f>
        <v>0</v>
      </c>
      <c r="AW38" s="118">
        <v>0</v>
      </c>
      <c r="AX38" s="118">
        <v>0</v>
      </c>
      <c r="AY38" s="118">
        <v>0</v>
      </c>
      <c r="AZ38" s="118">
        <v>0</v>
      </c>
      <c r="BA38" s="118">
        <v>0</v>
      </c>
      <c r="BB38" s="118">
        <v>0</v>
      </c>
      <c r="BC38" s="118">
        <f>+BC26-BC32</f>
        <v>0</v>
      </c>
    </row>
    <row r="39" spans="2:55" x14ac:dyDescent="0.25">
      <c r="B39" s="129" t="s">
        <v>410</v>
      </c>
      <c r="C39" s="129"/>
      <c r="D39" s="130"/>
      <c r="E39" s="130">
        <v>0</v>
      </c>
      <c r="F39" s="130">
        <v>0</v>
      </c>
      <c r="G39" s="130">
        <v>0</v>
      </c>
      <c r="H39" s="130">
        <v>0</v>
      </c>
      <c r="I39" s="130">
        <v>0</v>
      </c>
      <c r="J39" s="118">
        <f t="shared" si="60"/>
        <v>406</v>
      </c>
      <c r="K39" s="118">
        <f t="shared" si="61"/>
        <v>406</v>
      </c>
      <c r="L39" s="118">
        <f t="shared" si="61"/>
        <v>103</v>
      </c>
      <c r="M39" s="118">
        <f t="shared" si="60"/>
        <v>97</v>
      </c>
      <c r="N39" s="118">
        <f t="shared" si="60"/>
        <v>108</v>
      </c>
      <c r="O39" s="118">
        <f t="shared" si="62"/>
        <v>108</v>
      </c>
      <c r="P39" s="118">
        <f t="shared" si="62"/>
        <v>108</v>
      </c>
      <c r="Q39" s="118">
        <f t="shared" si="62"/>
        <v>98</v>
      </c>
      <c r="R39" s="118">
        <f t="shared" si="63"/>
        <v>168</v>
      </c>
      <c r="S39" s="118">
        <f t="shared" si="63"/>
        <v>168</v>
      </c>
      <c r="T39" s="118">
        <f t="shared" si="63"/>
        <v>97</v>
      </c>
      <c r="U39" s="118">
        <v>97</v>
      </c>
      <c r="V39" s="118">
        <f t="shared" si="64"/>
        <v>97</v>
      </c>
      <c r="W39" s="118">
        <v>97</v>
      </c>
      <c r="X39" s="118">
        <f t="shared" si="65"/>
        <v>97</v>
      </c>
      <c r="Y39" s="118">
        <f t="shared" si="65"/>
        <v>97</v>
      </c>
      <c r="Z39" s="118">
        <f t="shared" si="65"/>
        <v>97</v>
      </c>
      <c r="AA39" s="118">
        <f t="shared" si="65"/>
        <v>97</v>
      </c>
      <c r="AB39" s="118">
        <v>105</v>
      </c>
      <c r="AC39" s="118">
        <v>106</v>
      </c>
      <c r="AD39" s="118">
        <v>209</v>
      </c>
      <c r="AE39" s="118">
        <v>209</v>
      </c>
      <c r="AF39" s="118">
        <v>209</v>
      </c>
      <c r="AG39" s="118">
        <f t="shared" si="66"/>
        <v>209</v>
      </c>
      <c r="AH39" s="118">
        <f t="shared" si="66"/>
        <v>209</v>
      </c>
      <c r="AI39" s="118">
        <f>+AI27-AI33</f>
        <v>209</v>
      </c>
      <c r="AJ39" s="118">
        <f t="shared" si="67"/>
        <v>209</v>
      </c>
      <c r="AK39" s="118">
        <f t="shared" si="67"/>
        <v>209</v>
      </c>
      <c r="AL39" s="118">
        <f>+AL27-AL33</f>
        <v>209</v>
      </c>
      <c r="AM39" s="118">
        <v>201</v>
      </c>
      <c r="AN39" s="118">
        <f t="shared" si="68"/>
        <v>201</v>
      </c>
      <c r="AO39" s="118">
        <v>197</v>
      </c>
      <c r="AP39" s="118">
        <f t="shared" si="69"/>
        <v>201</v>
      </c>
      <c r="AQ39" s="118">
        <f t="shared" si="69"/>
        <v>201</v>
      </c>
      <c r="AR39" s="118">
        <f t="shared" si="69"/>
        <v>207</v>
      </c>
      <c r="AS39" s="118">
        <f t="shared" si="69"/>
        <v>221</v>
      </c>
      <c r="AT39" s="118">
        <f t="shared" si="69"/>
        <v>221</v>
      </c>
      <c r="AU39" s="118">
        <f t="shared" si="69"/>
        <v>220</v>
      </c>
      <c r="AV39" s="118">
        <f>+AV27-AV33</f>
        <v>220</v>
      </c>
      <c r="AW39" s="118">
        <v>221</v>
      </c>
      <c r="AX39" s="118">
        <v>115</v>
      </c>
      <c r="AY39" s="118">
        <v>114</v>
      </c>
      <c r="AZ39" s="118">
        <v>118</v>
      </c>
      <c r="BA39" s="118">
        <v>121</v>
      </c>
      <c r="BB39" s="118">
        <v>124</v>
      </c>
      <c r="BC39" s="118">
        <f>+BC27-BC33</f>
        <v>126</v>
      </c>
    </row>
    <row r="40" spans="2:55" x14ac:dyDescent="0.25">
      <c r="B40" s="126" t="s">
        <v>73</v>
      </c>
      <c r="C40" s="126"/>
      <c r="D40" s="120"/>
      <c r="E40" s="120">
        <v>0</v>
      </c>
      <c r="F40" s="120">
        <v>0</v>
      </c>
      <c r="G40" s="120">
        <v>0</v>
      </c>
      <c r="H40" s="120">
        <v>0</v>
      </c>
      <c r="I40" s="120">
        <v>0</v>
      </c>
      <c r="J40" s="120">
        <f t="shared" ref="J40:T40" si="70">+J28-J34</f>
        <v>18011</v>
      </c>
      <c r="K40" s="120">
        <f t="shared" si="61"/>
        <v>18708</v>
      </c>
      <c r="L40" s="120">
        <f t="shared" si="61"/>
        <v>18641</v>
      </c>
      <c r="M40" s="120">
        <f t="shared" si="70"/>
        <v>19138</v>
      </c>
      <c r="N40" s="120">
        <f t="shared" si="70"/>
        <v>14802</v>
      </c>
      <c r="O40" s="120">
        <f t="shared" si="70"/>
        <v>14765</v>
      </c>
      <c r="P40" s="120">
        <f t="shared" si="70"/>
        <v>12709</v>
      </c>
      <c r="Q40" s="120">
        <f t="shared" si="70"/>
        <v>12333</v>
      </c>
      <c r="R40" s="120">
        <f t="shared" si="70"/>
        <v>12054</v>
      </c>
      <c r="S40" s="120">
        <f t="shared" si="70"/>
        <v>7380</v>
      </c>
      <c r="T40" s="120">
        <f t="shared" si="70"/>
        <v>8981</v>
      </c>
      <c r="U40" s="120">
        <f t="shared" si="64"/>
        <v>8569</v>
      </c>
      <c r="V40" s="120">
        <f t="shared" si="64"/>
        <v>4868</v>
      </c>
      <c r="W40" s="120">
        <f>+W28-W34</f>
        <v>3702</v>
      </c>
      <c r="X40" s="120">
        <f t="shared" si="65"/>
        <v>3653</v>
      </c>
      <c r="Y40" s="120">
        <f t="shared" si="65"/>
        <v>3458</v>
      </c>
      <c r="Z40" s="120">
        <f t="shared" si="65"/>
        <v>3200</v>
      </c>
      <c r="AA40" s="120">
        <f t="shared" si="65"/>
        <v>2816</v>
      </c>
      <c r="AB40" s="120">
        <f>+AB28-AB34</f>
        <v>2966</v>
      </c>
      <c r="AC40" s="120">
        <f>+AC28-AC34</f>
        <v>2833</v>
      </c>
      <c r="AD40" s="120">
        <f>+AD28-AD34</f>
        <v>2966</v>
      </c>
      <c r="AE40" s="120">
        <f>+AE28-AE34</f>
        <v>2959</v>
      </c>
      <c r="AF40" s="120">
        <f>+AF28-AF34</f>
        <v>2559</v>
      </c>
      <c r="AG40" s="120">
        <f t="shared" si="66"/>
        <v>2548</v>
      </c>
      <c r="AH40" s="120">
        <f t="shared" si="66"/>
        <v>3319</v>
      </c>
      <c r="AI40" s="120">
        <f>+AI28-AI34</f>
        <v>3289</v>
      </c>
      <c r="AJ40" s="120">
        <f>+AJ28-AJ34</f>
        <v>3050</v>
      </c>
      <c r="AK40" s="120">
        <f>+AK28-AK34</f>
        <v>2919</v>
      </c>
      <c r="AL40" s="120">
        <f>+AL28-AL34</f>
        <v>2742</v>
      </c>
      <c r="AM40" s="120">
        <f>+AM28-AM34</f>
        <v>3276</v>
      </c>
      <c r="AN40" s="120">
        <f t="shared" si="68"/>
        <v>3132</v>
      </c>
      <c r="AO40" s="120">
        <f t="shared" si="68"/>
        <v>2817</v>
      </c>
      <c r="AP40" s="120">
        <f t="shared" si="69"/>
        <v>2867</v>
      </c>
      <c r="AQ40" s="120">
        <f t="shared" si="69"/>
        <v>2932</v>
      </c>
      <c r="AR40" s="120">
        <f t="shared" si="69"/>
        <v>2903</v>
      </c>
      <c r="AS40" s="120">
        <f t="shared" si="69"/>
        <v>2823</v>
      </c>
      <c r="AT40" s="120">
        <f t="shared" si="69"/>
        <v>2843</v>
      </c>
      <c r="AU40" s="120">
        <f t="shared" si="69"/>
        <v>2909</v>
      </c>
      <c r="AV40" s="120">
        <f>+AV28-AV34</f>
        <v>2793</v>
      </c>
      <c r="AW40" s="120">
        <v>2769</v>
      </c>
      <c r="AX40" s="120">
        <v>2769</v>
      </c>
      <c r="AY40" s="120">
        <f>+AY28-AY34</f>
        <v>2775</v>
      </c>
      <c r="AZ40" s="120">
        <f>+AZ28-AZ34</f>
        <v>2788</v>
      </c>
      <c r="BA40" s="120">
        <f>+BA28-BA34</f>
        <v>2751</v>
      </c>
      <c r="BB40" s="120">
        <f>+BB28-BB34</f>
        <v>2804</v>
      </c>
      <c r="BC40" s="120">
        <f>+BC28-BC34</f>
        <v>2863</v>
      </c>
    </row>
    <row r="42" spans="2:55" x14ac:dyDescent="0.25">
      <c r="B42" s="936" t="s">
        <v>82</v>
      </c>
      <c r="C42" s="937"/>
      <c r="D42" s="937"/>
      <c r="E42" s="937"/>
      <c r="F42" s="937"/>
      <c r="G42" s="937"/>
      <c r="H42" s="937"/>
      <c r="I42" s="937"/>
      <c r="J42" s="935"/>
      <c r="K42" s="935"/>
      <c r="L42" s="935"/>
      <c r="M42" s="935"/>
      <c r="N42" s="935"/>
      <c r="O42" s="935"/>
      <c r="P42" s="935"/>
      <c r="Q42" s="935"/>
      <c r="R42" s="935"/>
      <c r="S42" s="935"/>
      <c r="T42" s="935"/>
      <c r="U42" s="935"/>
      <c r="V42" s="935"/>
      <c r="W42" s="935"/>
      <c r="X42" s="935"/>
      <c r="Y42" s="935"/>
      <c r="Z42" s="935"/>
      <c r="AA42" s="935"/>
      <c r="AB42" s="935"/>
      <c r="AC42" s="935"/>
      <c r="AD42" s="935"/>
      <c r="AE42" s="935"/>
      <c r="AF42" s="935"/>
      <c r="AG42" s="935"/>
      <c r="AH42" s="935"/>
      <c r="AI42" s="935"/>
      <c r="AJ42" s="935"/>
      <c r="AK42" s="935"/>
      <c r="AL42" s="935"/>
      <c r="AM42" s="935"/>
      <c r="AN42" s="935"/>
      <c r="AO42" s="935"/>
      <c r="AP42" s="935"/>
      <c r="AQ42" s="935"/>
      <c r="AR42" s="935"/>
      <c r="AS42" s="935"/>
      <c r="AT42" s="935"/>
      <c r="AU42" s="935"/>
      <c r="AV42" s="935"/>
      <c r="AW42" s="935"/>
      <c r="AX42" s="935"/>
      <c r="AY42" s="935"/>
      <c r="AZ42" s="935"/>
      <c r="BA42" s="935"/>
      <c r="BB42" s="935"/>
      <c r="BC42" s="935"/>
    </row>
    <row r="43" spans="2:55" x14ac:dyDescent="0.25">
      <c r="B43" s="145" t="s">
        <v>96</v>
      </c>
      <c r="C43" s="145"/>
      <c r="D43" s="145"/>
      <c r="E43" s="145" t="s">
        <v>160</v>
      </c>
      <c r="F43" s="145" t="s">
        <v>160</v>
      </c>
      <c r="G43" s="145" t="s">
        <v>160</v>
      </c>
      <c r="H43" s="145" t="s">
        <v>160</v>
      </c>
      <c r="I43" s="145" t="s">
        <v>160</v>
      </c>
      <c r="J43" s="115" t="str">
        <f t="shared" ref="J43:BC43" si="71">J$5</f>
        <v>4T14</v>
      </c>
      <c r="K43" s="115" t="str">
        <f t="shared" si="71"/>
        <v>1T15</v>
      </c>
      <c r="L43" s="115" t="str">
        <f t="shared" si="71"/>
        <v>2T15</v>
      </c>
      <c r="M43" s="115" t="str">
        <f t="shared" si="71"/>
        <v>3T15</v>
      </c>
      <c r="N43" s="115" t="str">
        <f t="shared" si="71"/>
        <v>4T15</v>
      </c>
      <c r="O43" s="115" t="str">
        <f t="shared" si="71"/>
        <v>1T16</v>
      </c>
      <c r="P43" s="115" t="str">
        <f t="shared" si="71"/>
        <v>2T16</v>
      </c>
      <c r="Q43" s="115" t="str">
        <f t="shared" si="71"/>
        <v>3T16</v>
      </c>
      <c r="R43" s="115" t="str">
        <f t="shared" si="71"/>
        <v>4T16</v>
      </c>
      <c r="S43" s="115" t="str">
        <f t="shared" si="71"/>
        <v>1T17</v>
      </c>
      <c r="T43" s="115" t="str">
        <f t="shared" si="71"/>
        <v>2T17</v>
      </c>
      <c r="U43" s="115" t="str">
        <f t="shared" si="71"/>
        <v>3T17</v>
      </c>
      <c r="V43" s="115" t="str">
        <f t="shared" si="71"/>
        <v>4T17</v>
      </c>
      <c r="W43" s="115" t="str">
        <f t="shared" si="71"/>
        <v>1T18</v>
      </c>
      <c r="X43" s="115" t="str">
        <f t="shared" si="71"/>
        <v>2T18</v>
      </c>
      <c r="Y43" s="115" t="str">
        <f t="shared" si="71"/>
        <v>3T18</v>
      </c>
      <c r="Z43" s="115" t="str">
        <f t="shared" si="71"/>
        <v>4T18</v>
      </c>
      <c r="AA43" s="115" t="str">
        <f t="shared" si="71"/>
        <v>1T19</v>
      </c>
      <c r="AB43" s="115" t="str">
        <f t="shared" si="71"/>
        <v>2T19</v>
      </c>
      <c r="AC43" s="115" t="str">
        <f t="shared" si="71"/>
        <v>3T19</v>
      </c>
      <c r="AD43" s="115" t="str">
        <f t="shared" si="71"/>
        <v>4T19</v>
      </c>
      <c r="AE43" s="115" t="str">
        <f t="shared" si="71"/>
        <v>1T20</v>
      </c>
      <c r="AF43" s="115" t="str">
        <f t="shared" si="71"/>
        <v>2T20</v>
      </c>
      <c r="AG43" s="115" t="str">
        <f t="shared" si="71"/>
        <v>3T20</v>
      </c>
      <c r="AH43" s="115" t="str">
        <f t="shared" si="71"/>
        <v>4T20</v>
      </c>
      <c r="AI43" s="115" t="str">
        <f t="shared" si="71"/>
        <v>1T21</v>
      </c>
      <c r="AJ43" s="115" t="str">
        <f t="shared" si="71"/>
        <v>2T21</v>
      </c>
      <c r="AK43" s="115" t="str">
        <f t="shared" si="71"/>
        <v>3T21</v>
      </c>
      <c r="AL43" s="115" t="str">
        <f t="shared" si="71"/>
        <v>4T21</v>
      </c>
      <c r="AM43" s="115" t="str">
        <f t="shared" si="71"/>
        <v>1T22</v>
      </c>
      <c r="AN43" s="115" t="str">
        <f t="shared" si="71"/>
        <v>2T22</v>
      </c>
      <c r="AO43" s="115" t="str">
        <f t="shared" si="71"/>
        <v>3T22</v>
      </c>
      <c r="AP43" s="115" t="str">
        <f t="shared" si="71"/>
        <v>4T22</v>
      </c>
      <c r="AQ43" s="115" t="str">
        <f t="shared" si="71"/>
        <v>1T23</v>
      </c>
      <c r="AR43" s="115" t="str">
        <f t="shared" si="71"/>
        <v>2T23</v>
      </c>
      <c r="AS43" s="115" t="str">
        <f t="shared" si="71"/>
        <v>3T23</v>
      </c>
      <c r="AT43" s="115" t="str">
        <f t="shared" si="71"/>
        <v>4T23</v>
      </c>
      <c r="AU43" s="115" t="str">
        <f t="shared" si="71"/>
        <v>1T24</v>
      </c>
      <c r="AV43" s="115" t="str">
        <f t="shared" si="71"/>
        <v>2T24</v>
      </c>
      <c r="AW43" s="115" t="str">
        <f t="shared" si="71"/>
        <v>3T24</v>
      </c>
      <c r="AX43" s="115" t="str">
        <f t="shared" si="71"/>
        <v>4T24</v>
      </c>
      <c r="AY43" s="115" t="str">
        <f t="shared" si="71"/>
        <v>1T25</v>
      </c>
      <c r="AZ43" s="115" t="str">
        <f t="shared" si="71"/>
        <v>2T25</v>
      </c>
      <c r="BA43" s="115" t="str">
        <f t="shared" si="71"/>
        <v>3T25</v>
      </c>
      <c r="BB43" s="115" t="str">
        <f t="shared" si="71"/>
        <v>4T25</v>
      </c>
      <c r="BC43" s="115" t="str">
        <f t="shared" si="71"/>
        <v>1T26</v>
      </c>
    </row>
    <row r="44" spans="2:55" x14ac:dyDescent="0.25">
      <c r="B44" s="129" t="s">
        <v>408</v>
      </c>
      <c r="C44" s="129"/>
      <c r="D44" s="130"/>
      <c r="E44" s="130">
        <v>0</v>
      </c>
      <c r="F44" s="130">
        <v>0</v>
      </c>
      <c r="G44" s="130">
        <v>0</v>
      </c>
      <c r="H44" s="130">
        <v>0</v>
      </c>
      <c r="I44" s="130">
        <v>0</v>
      </c>
      <c r="J44" s="118">
        <v>11446</v>
      </c>
      <c r="K44" s="118">
        <v>11446</v>
      </c>
      <c r="L44" s="118">
        <v>9821</v>
      </c>
      <c r="M44" s="118">
        <v>9967</v>
      </c>
      <c r="N44" s="118">
        <v>22711</v>
      </c>
      <c r="O44" s="118">
        <v>21609</v>
      </c>
      <c r="P44" s="118">
        <v>16748</v>
      </c>
      <c r="Q44" s="118">
        <v>15374</v>
      </c>
      <c r="R44" s="118">
        <v>14720</v>
      </c>
      <c r="S44" s="118">
        <v>14582</v>
      </c>
      <c r="T44" s="118">
        <v>19517</v>
      </c>
      <c r="U44" s="118">
        <v>18321</v>
      </c>
      <c r="V44" s="118">
        <v>22889</v>
      </c>
      <c r="W44" s="118">
        <v>22663</v>
      </c>
      <c r="X44" s="118">
        <v>21299</v>
      </c>
      <c r="Y44" s="118">
        <v>19053</v>
      </c>
      <c r="Z44" s="118">
        <v>16335</v>
      </c>
      <c r="AA44" s="118">
        <v>15798</v>
      </c>
      <c r="AB44" s="118">
        <v>15154</v>
      </c>
      <c r="AC44" s="118">
        <v>14737</v>
      </c>
      <c r="AD44" s="118">
        <v>15206</v>
      </c>
      <c r="AE44" s="118">
        <v>16672</v>
      </c>
      <c r="AF44" s="118">
        <v>16410</v>
      </c>
      <c r="AG44" s="118">
        <v>15620</v>
      </c>
      <c r="AH44" s="118">
        <v>14353</v>
      </c>
      <c r="AI44" s="118">
        <v>14293</v>
      </c>
      <c r="AJ44" s="118">
        <v>13820</v>
      </c>
      <c r="AK44" s="118">
        <v>13510</v>
      </c>
      <c r="AL44" s="118">
        <v>16508</v>
      </c>
      <c r="AM44" s="118">
        <v>16833</v>
      </c>
      <c r="AN44" s="118">
        <v>16678</v>
      </c>
      <c r="AO44" s="118">
        <v>16353</v>
      </c>
      <c r="AP44" s="118">
        <v>15728</v>
      </c>
      <c r="AQ44" s="118">
        <v>16123</v>
      </c>
      <c r="AR44" s="118">
        <v>15560</v>
      </c>
      <c r="AS44" s="118">
        <v>15605</v>
      </c>
      <c r="AT44" s="118">
        <v>17098</v>
      </c>
      <c r="AU44" s="118">
        <v>17775</v>
      </c>
      <c r="AV44" s="118">
        <v>18295</v>
      </c>
      <c r="AW44" s="118">
        <v>17664</v>
      </c>
      <c r="AX44" s="118">
        <v>17526</v>
      </c>
      <c r="AY44" s="118">
        <v>17854</v>
      </c>
      <c r="AZ44" s="118">
        <v>17954</v>
      </c>
      <c r="BA44" s="118">
        <v>18325</v>
      </c>
      <c r="BB44" s="118">
        <v>17847</v>
      </c>
      <c r="BC44" s="118">
        <v>18402</v>
      </c>
    </row>
    <row r="45" spans="2:55" x14ac:dyDescent="0.25">
      <c r="B45" s="129" t="s">
        <v>409</v>
      </c>
      <c r="C45" s="129"/>
      <c r="D45" s="130"/>
      <c r="E45" s="130">
        <v>0</v>
      </c>
      <c r="F45" s="130">
        <v>0</v>
      </c>
      <c r="G45" s="130">
        <v>0</v>
      </c>
      <c r="H45" s="130">
        <v>0</v>
      </c>
      <c r="I45" s="130">
        <v>0</v>
      </c>
      <c r="J45" s="118">
        <v>28</v>
      </c>
      <c r="K45" s="118">
        <v>28</v>
      </c>
      <c r="L45" s="118">
        <v>28</v>
      </c>
      <c r="M45" s="118">
        <v>28</v>
      </c>
      <c r="N45" s="118">
        <v>28</v>
      </c>
      <c r="O45" s="118">
        <v>0</v>
      </c>
      <c r="P45" s="118">
        <v>0</v>
      </c>
      <c r="Q45" s="118">
        <v>0</v>
      </c>
      <c r="R45" s="118">
        <v>0</v>
      </c>
      <c r="S45" s="118">
        <v>0</v>
      </c>
      <c r="T45" s="118">
        <v>0</v>
      </c>
      <c r="U45" s="118">
        <v>0</v>
      </c>
      <c r="V45" s="118">
        <v>0</v>
      </c>
      <c r="W45" s="118">
        <v>0</v>
      </c>
      <c r="X45" s="118">
        <v>0</v>
      </c>
      <c r="Y45" s="118">
        <v>0</v>
      </c>
      <c r="Z45" s="118">
        <v>0</v>
      </c>
      <c r="AA45" s="118">
        <v>1</v>
      </c>
      <c r="AB45" s="118">
        <v>1</v>
      </c>
      <c r="AC45" s="118">
        <v>1</v>
      </c>
      <c r="AD45" s="118">
        <v>1</v>
      </c>
      <c r="AE45" s="118">
        <v>1</v>
      </c>
      <c r="AF45" s="118">
        <v>1</v>
      </c>
      <c r="AG45" s="118">
        <v>1</v>
      </c>
      <c r="AH45" s="118">
        <v>1</v>
      </c>
      <c r="AI45" s="118">
        <v>1</v>
      </c>
      <c r="AJ45" s="118">
        <v>1</v>
      </c>
      <c r="AK45" s="118">
        <v>1</v>
      </c>
      <c r="AL45" s="118">
        <v>1</v>
      </c>
      <c r="AM45" s="118">
        <v>1</v>
      </c>
      <c r="AN45" s="118">
        <v>1</v>
      </c>
      <c r="AO45" s="118">
        <v>118</v>
      </c>
      <c r="AP45" s="118">
        <v>122</v>
      </c>
      <c r="AQ45" s="118">
        <v>125</v>
      </c>
      <c r="AR45" s="118">
        <v>129</v>
      </c>
      <c r="AS45" s="118">
        <v>133</v>
      </c>
      <c r="AT45" s="118">
        <v>135</v>
      </c>
      <c r="AU45" s="118">
        <v>139</v>
      </c>
      <c r="AV45" s="118">
        <v>141</v>
      </c>
      <c r="AW45" s="118">
        <v>145</v>
      </c>
      <c r="AX45" s="118">
        <v>149</v>
      </c>
      <c r="AY45" s="118">
        <v>151</v>
      </c>
      <c r="AZ45" s="118">
        <v>154</v>
      </c>
      <c r="BA45" s="118">
        <v>149</v>
      </c>
      <c r="BB45" s="118">
        <v>151</v>
      </c>
      <c r="BC45" s="118">
        <v>152</v>
      </c>
    </row>
    <row r="46" spans="2:55" x14ac:dyDescent="0.25">
      <c r="B46" s="129" t="s">
        <v>410</v>
      </c>
      <c r="C46" s="129"/>
      <c r="D46" s="130"/>
      <c r="E46" s="130">
        <v>0</v>
      </c>
      <c r="F46" s="130">
        <v>0</v>
      </c>
      <c r="G46" s="130">
        <v>0</v>
      </c>
      <c r="H46" s="130">
        <v>0</v>
      </c>
      <c r="I46" s="130">
        <v>0</v>
      </c>
      <c r="J46" s="118">
        <v>12</v>
      </c>
      <c r="K46" s="118">
        <v>12</v>
      </c>
      <c r="L46" s="118">
        <v>12</v>
      </c>
      <c r="M46" s="118">
        <v>12</v>
      </c>
      <c r="N46" s="118">
        <v>12</v>
      </c>
      <c r="O46" s="118">
        <v>186</v>
      </c>
      <c r="P46" s="118">
        <v>269</v>
      </c>
      <c r="Q46" s="118">
        <v>256</v>
      </c>
      <c r="R46" s="118">
        <v>218</v>
      </c>
      <c r="S46" s="118">
        <v>127</v>
      </c>
      <c r="T46" s="118">
        <v>17086</v>
      </c>
      <c r="U46" s="118">
        <v>16633</v>
      </c>
      <c r="V46" s="118">
        <v>16094</v>
      </c>
      <c r="W46" s="118">
        <v>21107</v>
      </c>
      <c r="X46" s="118">
        <v>19793</v>
      </c>
      <c r="Y46" s="118">
        <v>17781</v>
      </c>
      <c r="Z46" s="118">
        <v>28109</v>
      </c>
      <c r="AA46" s="118">
        <v>27403</v>
      </c>
      <c r="AB46" s="118">
        <v>27595</v>
      </c>
      <c r="AC46" s="260">
        <v>21873</v>
      </c>
      <c r="AD46" s="118">
        <v>20059</v>
      </c>
      <c r="AE46" s="118">
        <v>20159</v>
      </c>
      <c r="AF46" s="118">
        <v>17802</v>
      </c>
      <c r="AG46" s="118">
        <v>19931</v>
      </c>
      <c r="AH46" s="118">
        <v>19524</v>
      </c>
      <c r="AI46" s="118">
        <v>18812</v>
      </c>
      <c r="AJ46" s="118">
        <v>18140</v>
      </c>
      <c r="AK46" s="118">
        <v>13137</v>
      </c>
      <c r="AL46" s="118">
        <v>14321</v>
      </c>
      <c r="AM46" s="118">
        <v>12804</v>
      </c>
      <c r="AN46" s="118">
        <v>9715</v>
      </c>
      <c r="AO46" s="118">
        <v>15859</v>
      </c>
      <c r="AP46" s="118">
        <v>12532</v>
      </c>
      <c r="AQ46" s="118">
        <v>12407</v>
      </c>
      <c r="AR46" s="118">
        <v>10789</v>
      </c>
      <c r="AS46" s="118">
        <v>10910</v>
      </c>
      <c r="AT46" s="118">
        <v>10782</v>
      </c>
      <c r="AU46" s="118">
        <v>10823</v>
      </c>
      <c r="AV46" s="118">
        <v>10893</v>
      </c>
      <c r="AW46" s="118">
        <v>10324</v>
      </c>
      <c r="AX46" s="118">
        <v>4017</v>
      </c>
      <c r="AY46" s="118">
        <v>4086</v>
      </c>
      <c r="AZ46" s="118">
        <v>4145</v>
      </c>
      <c r="BA46" s="118">
        <v>2934</v>
      </c>
      <c r="BB46" s="118">
        <v>2666</v>
      </c>
      <c r="BC46" s="118">
        <v>1571</v>
      </c>
    </row>
    <row r="47" spans="2:55" x14ac:dyDescent="0.25">
      <c r="B47" s="126" t="s">
        <v>73</v>
      </c>
      <c r="C47" s="126"/>
      <c r="D47" s="120"/>
      <c r="E47" s="120">
        <v>0</v>
      </c>
      <c r="F47" s="120">
        <v>0</v>
      </c>
      <c r="G47" s="120">
        <v>0</v>
      </c>
      <c r="H47" s="120">
        <v>0</v>
      </c>
      <c r="I47" s="120">
        <v>0</v>
      </c>
      <c r="J47" s="120">
        <f t="shared" ref="J47:T47" si="72">+SUM(J44:J46)</f>
        <v>11486</v>
      </c>
      <c r="K47" s="120">
        <f t="shared" si="72"/>
        <v>11486</v>
      </c>
      <c r="L47" s="120">
        <f t="shared" si="72"/>
        <v>9861</v>
      </c>
      <c r="M47" s="120">
        <f t="shared" si="72"/>
        <v>10007</v>
      </c>
      <c r="N47" s="120">
        <f t="shared" si="72"/>
        <v>22751</v>
      </c>
      <c r="O47" s="120">
        <f t="shared" si="72"/>
        <v>21795</v>
      </c>
      <c r="P47" s="120">
        <f t="shared" si="72"/>
        <v>17017</v>
      </c>
      <c r="Q47" s="120">
        <f t="shared" si="72"/>
        <v>15630</v>
      </c>
      <c r="R47" s="120">
        <f t="shared" si="72"/>
        <v>14938</v>
      </c>
      <c r="S47" s="120">
        <f t="shared" si="72"/>
        <v>14709</v>
      </c>
      <c r="T47" s="120">
        <f t="shared" si="72"/>
        <v>36603</v>
      </c>
      <c r="U47" s="120">
        <f t="shared" ref="U47:AA47" si="73">+SUM(U44:U46)</f>
        <v>34954</v>
      </c>
      <c r="V47" s="120">
        <f t="shared" si="73"/>
        <v>38983</v>
      </c>
      <c r="W47" s="120">
        <f t="shared" si="73"/>
        <v>43770</v>
      </c>
      <c r="X47" s="120">
        <f t="shared" si="73"/>
        <v>41092</v>
      </c>
      <c r="Y47" s="120">
        <f t="shared" si="73"/>
        <v>36834</v>
      </c>
      <c r="Z47" s="120">
        <f t="shared" si="73"/>
        <v>44444</v>
      </c>
      <c r="AA47" s="120">
        <f t="shared" si="73"/>
        <v>43202</v>
      </c>
      <c r="AB47" s="120">
        <f t="shared" ref="AB47:AG47" si="74">+SUM(AB44:AB46)</f>
        <v>42750</v>
      </c>
      <c r="AC47" s="120">
        <f t="shared" si="74"/>
        <v>36611</v>
      </c>
      <c r="AD47" s="120">
        <f t="shared" si="74"/>
        <v>35266</v>
      </c>
      <c r="AE47" s="120">
        <f t="shared" si="74"/>
        <v>36832</v>
      </c>
      <c r="AF47" s="120">
        <f t="shared" si="74"/>
        <v>34213</v>
      </c>
      <c r="AG47" s="120">
        <f t="shared" si="74"/>
        <v>35552</v>
      </c>
      <c r="AH47" s="120">
        <f t="shared" ref="AH47:AN47" si="75">+SUM(AH44:AH46)</f>
        <v>33878</v>
      </c>
      <c r="AI47" s="120">
        <f t="shared" si="75"/>
        <v>33106</v>
      </c>
      <c r="AJ47" s="120">
        <f t="shared" si="75"/>
        <v>31961</v>
      </c>
      <c r="AK47" s="120">
        <f t="shared" si="75"/>
        <v>26648</v>
      </c>
      <c r="AL47" s="120">
        <f t="shared" si="75"/>
        <v>30830</v>
      </c>
      <c r="AM47" s="120">
        <f t="shared" si="75"/>
        <v>29638</v>
      </c>
      <c r="AN47" s="120">
        <f t="shared" si="75"/>
        <v>26394</v>
      </c>
      <c r="AO47" s="120">
        <f t="shared" ref="AO47:AV47" si="76">+SUM(AO44:AO46)</f>
        <v>32330</v>
      </c>
      <c r="AP47" s="120">
        <f t="shared" si="76"/>
        <v>28382</v>
      </c>
      <c r="AQ47" s="120">
        <f t="shared" si="76"/>
        <v>28655</v>
      </c>
      <c r="AR47" s="120">
        <f t="shared" si="76"/>
        <v>26478</v>
      </c>
      <c r="AS47" s="120">
        <f t="shared" si="76"/>
        <v>26648</v>
      </c>
      <c r="AT47" s="120">
        <f t="shared" si="76"/>
        <v>28015</v>
      </c>
      <c r="AU47" s="120">
        <f t="shared" si="76"/>
        <v>28737</v>
      </c>
      <c r="AV47" s="120">
        <f t="shared" si="76"/>
        <v>29329</v>
      </c>
      <c r="AW47" s="120">
        <f>+SUM(AW44:AW46)</f>
        <v>28133</v>
      </c>
      <c r="AX47" s="120">
        <f>+SUM(AX44:AX46)</f>
        <v>21692</v>
      </c>
      <c r="AY47" s="120">
        <f>+SUM(AY44:AY46)</f>
        <v>22091</v>
      </c>
      <c r="AZ47" s="120">
        <f>+SUM(AZ44:AZ46)</f>
        <v>22253</v>
      </c>
      <c r="BA47" s="120">
        <v>21408</v>
      </c>
      <c r="BB47" s="120">
        <v>20664</v>
      </c>
      <c r="BC47" s="120">
        <f>+SUM(BC44:BC46)</f>
        <v>20125</v>
      </c>
    </row>
    <row r="48" spans="2:55" ht="9" customHeight="1" x14ac:dyDescent="0.25">
      <c r="D48" s="289"/>
      <c r="E48" s="289"/>
      <c r="F48" s="289"/>
      <c r="G48" s="289"/>
      <c r="H48" s="289"/>
      <c r="I48" s="289"/>
    </row>
    <row r="49" spans="2:55" x14ac:dyDescent="0.25">
      <c r="B49" s="145" t="s">
        <v>97</v>
      </c>
      <c r="C49" s="145"/>
      <c r="D49" s="145"/>
      <c r="E49" s="145" t="s">
        <v>160</v>
      </c>
      <c r="F49" s="145" t="s">
        <v>160</v>
      </c>
      <c r="G49" s="145" t="s">
        <v>160</v>
      </c>
      <c r="H49" s="145" t="s">
        <v>160</v>
      </c>
      <c r="I49" s="145" t="s">
        <v>160</v>
      </c>
      <c r="J49" s="115" t="str">
        <f t="shared" ref="J49:T49" si="77">J$5</f>
        <v>4T14</v>
      </c>
      <c r="K49" s="115" t="str">
        <f t="shared" si="77"/>
        <v>1T15</v>
      </c>
      <c r="L49" s="115" t="str">
        <f t="shared" si="77"/>
        <v>2T15</v>
      </c>
      <c r="M49" s="115" t="str">
        <f t="shared" si="77"/>
        <v>3T15</v>
      </c>
      <c r="N49" s="115" t="str">
        <f t="shared" si="77"/>
        <v>4T15</v>
      </c>
      <c r="O49" s="115" t="str">
        <f t="shared" si="77"/>
        <v>1T16</v>
      </c>
      <c r="P49" s="115" t="str">
        <f t="shared" si="77"/>
        <v>2T16</v>
      </c>
      <c r="Q49" s="115" t="str">
        <f t="shared" si="77"/>
        <v>3T16</v>
      </c>
      <c r="R49" s="115" t="str">
        <f t="shared" si="77"/>
        <v>4T16</v>
      </c>
      <c r="S49" s="115" t="str">
        <f t="shared" si="77"/>
        <v>1T17</v>
      </c>
      <c r="T49" s="115" t="str">
        <f t="shared" si="77"/>
        <v>2T17</v>
      </c>
      <c r="U49" s="115" t="str">
        <f t="shared" ref="U49:BC49" si="78">U$5</f>
        <v>3T17</v>
      </c>
      <c r="V49" s="115" t="str">
        <f t="shared" si="78"/>
        <v>4T17</v>
      </c>
      <c r="W49" s="115" t="str">
        <f t="shared" si="78"/>
        <v>1T18</v>
      </c>
      <c r="X49" s="115" t="str">
        <f t="shared" si="78"/>
        <v>2T18</v>
      </c>
      <c r="Y49" s="115" t="str">
        <f t="shared" si="78"/>
        <v>3T18</v>
      </c>
      <c r="Z49" s="115" t="str">
        <f t="shared" si="78"/>
        <v>4T18</v>
      </c>
      <c r="AA49" s="115" t="str">
        <f t="shared" si="78"/>
        <v>1T19</v>
      </c>
      <c r="AB49" s="115" t="str">
        <f t="shared" si="78"/>
        <v>2T19</v>
      </c>
      <c r="AC49" s="115" t="str">
        <f t="shared" si="78"/>
        <v>3T19</v>
      </c>
      <c r="AD49" s="115" t="str">
        <f t="shared" si="78"/>
        <v>4T19</v>
      </c>
      <c r="AE49" s="115" t="str">
        <f t="shared" si="78"/>
        <v>1T20</v>
      </c>
      <c r="AF49" s="115" t="str">
        <f t="shared" si="78"/>
        <v>2T20</v>
      </c>
      <c r="AG49" s="115" t="str">
        <f t="shared" si="78"/>
        <v>3T20</v>
      </c>
      <c r="AH49" s="115" t="str">
        <f t="shared" si="78"/>
        <v>4T20</v>
      </c>
      <c r="AI49" s="115" t="str">
        <f t="shared" si="78"/>
        <v>1T21</v>
      </c>
      <c r="AJ49" s="115" t="str">
        <f t="shared" si="78"/>
        <v>2T21</v>
      </c>
      <c r="AK49" s="115" t="str">
        <f t="shared" si="78"/>
        <v>3T21</v>
      </c>
      <c r="AL49" s="115" t="str">
        <f t="shared" si="78"/>
        <v>4T21</v>
      </c>
      <c r="AM49" s="115" t="str">
        <f t="shared" si="78"/>
        <v>1T22</v>
      </c>
      <c r="AN49" s="115" t="str">
        <f t="shared" si="78"/>
        <v>2T22</v>
      </c>
      <c r="AO49" s="115" t="str">
        <f t="shared" si="78"/>
        <v>3T22</v>
      </c>
      <c r="AP49" s="115" t="str">
        <f t="shared" si="78"/>
        <v>4T22</v>
      </c>
      <c r="AQ49" s="115" t="str">
        <f t="shared" si="78"/>
        <v>1T23</v>
      </c>
      <c r="AR49" s="115" t="str">
        <f t="shared" si="78"/>
        <v>2T23</v>
      </c>
      <c r="AS49" s="115" t="str">
        <f t="shared" si="78"/>
        <v>3T23</v>
      </c>
      <c r="AT49" s="115" t="str">
        <f t="shared" si="78"/>
        <v>4T23</v>
      </c>
      <c r="AU49" s="115" t="str">
        <f t="shared" si="78"/>
        <v>1T24</v>
      </c>
      <c r="AV49" s="115" t="str">
        <f t="shared" si="78"/>
        <v>2T24</v>
      </c>
      <c r="AW49" s="115" t="str">
        <f t="shared" si="78"/>
        <v>3T24</v>
      </c>
      <c r="AX49" s="115" t="str">
        <f t="shared" si="78"/>
        <v>4T24</v>
      </c>
      <c r="AY49" s="115" t="str">
        <f t="shared" si="78"/>
        <v>1T25</v>
      </c>
      <c r="AZ49" s="115" t="str">
        <f t="shared" si="78"/>
        <v>2T25</v>
      </c>
      <c r="BA49" s="115" t="s">
        <v>1315</v>
      </c>
      <c r="BB49" s="115" t="s">
        <v>1317</v>
      </c>
      <c r="BC49" s="115" t="str">
        <f t="shared" si="78"/>
        <v>1T26</v>
      </c>
    </row>
    <row r="50" spans="2:55" x14ac:dyDescent="0.25">
      <c r="B50" s="129" t="s">
        <v>408</v>
      </c>
      <c r="C50" s="129"/>
      <c r="D50" s="130"/>
      <c r="E50" s="130">
        <v>0</v>
      </c>
      <c r="F50" s="130">
        <v>0</v>
      </c>
      <c r="G50" s="130">
        <v>0</v>
      </c>
      <c r="H50" s="130">
        <v>0</v>
      </c>
      <c r="I50" s="130">
        <v>0</v>
      </c>
      <c r="J50" s="118">
        <v>3194</v>
      </c>
      <c r="K50" s="118">
        <v>3194</v>
      </c>
      <c r="L50" s="118">
        <v>2538</v>
      </c>
      <c r="M50" s="118">
        <v>2514</v>
      </c>
      <c r="N50" s="118">
        <v>4990</v>
      </c>
      <c r="O50" s="118">
        <v>5051</v>
      </c>
      <c r="P50" s="118">
        <v>5095</v>
      </c>
      <c r="Q50" s="118">
        <v>4809</v>
      </c>
      <c r="R50" s="118">
        <v>4795</v>
      </c>
      <c r="S50" s="118">
        <v>6046</v>
      </c>
      <c r="T50" s="118">
        <v>10299</v>
      </c>
      <c r="U50" s="118">
        <v>10659</v>
      </c>
      <c r="V50" s="118">
        <v>14903</v>
      </c>
      <c r="W50" s="118">
        <v>15725</v>
      </c>
      <c r="X50" s="118">
        <v>14325</v>
      </c>
      <c r="Y50" s="118">
        <v>12989</v>
      </c>
      <c r="Z50" s="118">
        <v>11826</v>
      </c>
      <c r="AA50" s="118">
        <v>11822</v>
      </c>
      <c r="AB50" s="118">
        <v>10818</v>
      </c>
      <c r="AC50" s="118">
        <v>11077</v>
      </c>
      <c r="AD50" s="118">
        <v>11451</v>
      </c>
      <c r="AE50" s="118">
        <v>13314</v>
      </c>
      <c r="AF50" s="118">
        <v>13370</v>
      </c>
      <c r="AG50" s="118">
        <v>12603</v>
      </c>
      <c r="AH50" s="118">
        <v>11533</v>
      </c>
      <c r="AI50" s="118">
        <v>11723</v>
      </c>
      <c r="AJ50" s="118">
        <v>11424</v>
      </c>
      <c r="AK50" s="118">
        <v>11253</v>
      </c>
      <c r="AL50" s="118">
        <v>14546</v>
      </c>
      <c r="AM50" s="118">
        <v>14256</v>
      </c>
      <c r="AN50" s="118">
        <v>13989</v>
      </c>
      <c r="AO50" s="118">
        <v>13779</v>
      </c>
      <c r="AP50" s="118">
        <v>13160</v>
      </c>
      <c r="AQ50" s="118">
        <v>13511</v>
      </c>
      <c r="AR50" s="118">
        <v>13363</v>
      </c>
      <c r="AS50" s="118">
        <v>13440</v>
      </c>
      <c r="AT50" s="118">
        <v>14287</v>
      </c>
      <c r="AU50" s="118">
        <v>14703</v>
      </c>
      <c r="AV50" s="118">
        <v>15551</v>
      </c>
      <c r="AW50" s="118">
        <v>14894</v>
      </c>
      <c r="AX50" s="118">
        <v>14636</v>
      </c>
      <c r="AY50" s="118">
        <v>14936</v>
      </c>
      <c r="AZ50" s="118">
        <v>15029</v>
      </c>
      <c r="BA50" s="118">
        <v>15412</v>
      </c>
      <c r="BB50" s="118">
        <v>14863</v>
      </c>
      <c r="BC50" s="118">
        <v>15397</v>
      </c>
    </row>
    <row r="51" spans="2:55" x14ac:dyDescent="0.25">
      <c r="B51" s="129" t="s">
        <v>409</v>
      </c>
      <c r="C51" s="129"/>
      <c r="D51" s="130"/>
      <c r="E51" s="130">
        <v>0</v>
      </c>
      <c r="F51" s="130">
        <v>0</v>
      </c>
      <c r="G51" s="130">
        <v>0</v>
      </c>
      <c r="H51" s="130">
        <v>0</v>
      </c>
      <c r="I51" s="130">
        <v>0</v>
      </c>
      <c r="J51" s="118">
        <v>0</v>
      </c>
      <c r="K51" s="118">
        <v>0</v>
      </c>
      <c r="L51" s="118">
        <v>0</v>
      </c>
      <c r="M51" s="118">
        <v>0</v>
      </c>
      <c r="N51" s="118">
        <v>0</v>
      </c>
      <c r="O51" s="118">
        <v>0</v>
      </c>
      <c r="P51" s="118">
        <v>0</v>
      </c>
      <c r="Q51" s="118">
        <v>0</v>
      </c>
      <c r="R51" s="118">
        <v>0</v>
      </c>
      <c r="S51" s="118">
        <v>0</v>
      </c>
      <c r="T51" s="118">
        <v>0</v>
      </c>
      <c r="U51" s="118">
        <v>0</v>
      </c>
      <c r="V51" s="118">
        <v>0</v>
      </c>
      <c r="W51" s="118">
        <v>0</v>
      </c>
      <c r="X51" s="118">
        <v>0</v>
      </c>
      <c r="Y51" s="118">
        <v>0</v>
      </c>
      <c r="Z51" s="118">
        <v>0</v>
      </c>
      <c r="AA51" s="118">
        <v>0</v>
      </c>
      <c r="AB51" s="118">
        <v>0</v>
      </c>
      <c r="AC51" s="118">
        <v>0</v>
      </c>
      <c r="AD51" s="118">
        <v>0</v>
      </c>
      <c r="AE51" s="118">
        <v>0</v>
      </c>
      <c r="AF51" s="118">
        <v>0</v>
      </c>
      <c r="AG51" s="118">
        <v>0</v>
      </c>
      <c r="AH51" s="118">
        <v>0</v>
      </c>
      <c r="AI51" s="118">
        <v>0</v>
      </c>
      <c r="AJ51" s="118">
        <v>0</v>
      </c>
      <c r="AK51" s="118">
        <v>0</v>
      </c>
      <c r="AL51" s="118">
        <v>0</v>
      </c>
      <c r="AM51" s="118">
        <v>0</v>
      </c>
      <c r="AN51" s="118">
        <v>0</v>
      </c>
      <c r="AO51" s="118">
        <v>0</v>
      </c>
      <c r="AP51" s="118">
        <v>0</v>
      </c>
      <c r="AQ51" s="118">
        <v>0</v>
      </c>
      <c r="AR51" s="118">
        <v>0</v>
      </c>
      <c r="AS51" s="118">
        <v>0</v>
      </c>
      <c r="AT51" s="118">
        <v>0</v>
      </c>
      <c r="AU51" s="118">
        <v>0</v>
      </c>
      <c r="AV51" s="118">
        <v>141</v>
      </c>
      <c r="AW51" s="118">
        <v>145</v>
      </c>
      <c r="AX51" s="118">
        <v>149</v>
      </c>
      <c r="AY51" s="118">
        <v>151</v>
      </c>
      <c r="AZ51" s="118">
        <v>154</v>
      </c>
      <c r="BA51" s="118">
        <v>149</v>
      </c>
      <c r="BB51" s="118">
        <v>151</v>
      </c>
      <c r="BC51" s="118">
        <v>152</v>
      </c>
    </row>
    <row r="52" spans="2:55" x14ac:dyDescent="0.25">
      <c r="B52" s="129" t="s">
        <v>410</v>
      </c>
      <c r="C52" s="129"/>
      <c r="D52" s="130"/>
      <c r="E52" s="130">
        <v>0</v>
      </c>
      <c r="F52" s="130">
        <v>0</v>
      </c>
      <c r="G52" s="130">
        <v>0</v>
      </c>
      <c r="H52" s="130">
        <v>0</v>
      </c>
      <c r="I52" s="130">
        <v>0</v>
      </c>
      <c r="J52" s="118">
        <v>0</v>
      </c>
      <c r="K52" s="118">
        <v>0</v>
      </c>
      <c r="L52" s="118">
        <v>0</v>
      </c>
      <c r="M52" s="118">
        <v>0</v>
      </c>
      <c r="N52" s="118">
        <v>0</v>
      </c>
      <c r="O52" s="118">
        <v>156</v>
      </c>
      <c r="P52" s="118">
        <v>205</v>
      </c>
      <c r="Q52" s="118">
        <v>190</v>
      </c>
      <c r="R52" s="118">
        <v>151</v>
      </c>
      <c r="S52" s="118">
        <v>58</v>
      </c>
      <c r="T52" s="118">
        <v>17015</v>
      </c>
      <c r="U52" s="118">
        <v>16562</v>
      </c>
      <c r="V52" s="118">
        <v>16023</v>
      </c>
      <c r="W52" s="118">
        <v>17178</v>
      </c>
      <c r="X52" s="118">
        <v>15707</v>
      </c>
      <c r="Y52" s="118">
        <v>13067</v>
      </c>
      <c r="Z52" s="118">
        <v>22593</v>
      </c>
      <c r="AA52" s="118">
        <v>21878</v>
      </c>
      <c r="AB52" s="118">
        <v>21604</v>
      </c>
      <c r="AC52" s="118">
        <v>20971</v>
      </c>
      <c r="AD52" s="118">
        <v>19155</v>
      </c>
      <c r="AE52" s="118">
        <v>19256</v>
      </c>
      <c r="AF52" s="118">
        <v>16899</v>
      </c>
      <c r="AG52" s="118">
        <v>19026</v>
      </c>
      <c r="AH52" s="118">
        <v>18618</v>
      </c>
      <c r="AI52" s="118">
        <v>17908</v>
      </c>
      <c r="AJ52" s="118">
        <v>17236</v>
      </c>
      <c r="AK52" s="118">
        <v>12229</v>
      </c>
      <c r="AL52" s="118">
        <v>13256</v>
      </c>
      <c r="AM52" s="118">
        <v>11738</v>
      </c>
      <c r="AN52" s="118">
        <v>8650</v>
      </c>
      <c r="AO52" s="118">
        <v>14794</v>
      </c>
      <c r="AP52" s="118">
        <v>11467</v>
      </c>
      <c r="AQ52" s="118">
        <v>11342</v>
      </c>
      <c r="AR52" s="118">
        <v>10624</v>
      </c>
      <c r="AS52" s="118">
        <v>10745</v>
      </c>
      <c r="AT52" s="118">
        <v>10617</v>
      </c>
      <c r="AU52" s="118">
        <v>10704</v>
      </c>
      <c r="AV52" s="118">
        <v>10765</v>
      </c>
      <c r="AW52" s="118">
        <v>10204</v>
      </c>
      <c r="AX52" s="118">
        <v>3889</v>
      </c>
      <c r="AY52" s="118">
        <v>3958</v>
      </c>
      <c r="AZ52" s="118">
        <v>4017</v>
      </c>
      <c r="BA52" s="118">
        <v>2934</v>
      </c>
      <c r="BB52" s="118">
        <v>2666</v>
      </c>
      <c r="BC52" s="118">
        <v>1571</v>
      </c>
    </row>
    <row r="53" spans="2:55" x14ac:dyDescent="0.25">
      <c r="B53" s="126" t="s">
        <v>73</v>
      </c>
      <c r="C53" s="126"/>
      <c r="D53" s="120"/>
      <c r="E53" s="120">
        <v>0</v>
      </c>
      <c r="F53" s="120">
        <v>0</v>
      </c>
      <c r="G53" s="120">
        <v>0</v>
      </c>
      <c r="H53" s="120">
        <v>0</v>
      </c>
      <c r="I53" s="120">
        <v>0</v>
      </c>
      <c r="J53" s="120">
        <f t="shared" ref="J53:T53" si="79">+SUM(J50:J52)</f>
        <v>3194</v>
      </c>
      <c r="K53" s="120">
        <f t="shared" si="79"/>
        <v>3194</v>
      </c>
      <c r="L53" s="120">
        <f t="shared" si="79"/>
        <v>2538</v>
      </c>
      <c r="M53" s="120">
        <f t="shared" si="79"/>
        <v>2514</v>
      </c>
      <c r="N53" s="120">
        <f t="shared" si="79"/>
        <v>4990</v>
      </c>
      <c r="O53" s="120">
        <f t="shared" si="79"/>
        <v>5207</v>
      </c>
      <c r="P53" s="120">
        <f t="shared" si="79"/>
        <v>5300</v>
      </c>
      <c r="Q53" s="120">
        <f t="shared" si="79"/>
        <v>4999</v>
      </c>
      <c r="R53" s="120">
        <f t="shared" si="79"/>
        <v>4946</v>
      </c>
      <c r="S53" s="120">
        <f t="shared" si="79"/>
        <v>6104</v>
      </c>
      <c r="T53" s="120">
        <f t="shared" si="79"/>
        <v>27314</v>
      </c>
      <c r="U53" s="120">
        <f t="shared" ref="U53:AA53" si="80">+SUM(U50:U52)</f>
        <v>27221</v>
      </c>
      <c r="V53" s="120">
        <f t="shared" si="80"/>
        <v>30926</v>
      </c>
      <c r="W53" s="120">
        <f t="shared" si="80"/>
        <v>32903</v>
      </c>
      <c r="X53" s="120">
        <f t="shared" si="80"/>
        <v>30032</v>
      </c>
      <c r="Y53" s="120">
        <f t="shared" si="80"/>
        <v>26056</v>
      </c>
      <c r="Z53" s="120">
        <f t="shared" si="80"/>
        <v>34419</v>
      </c>
      <c r="AA53" s="120">
        <f t="shared" si="80"/>
        <v>33700</v>
      </c>
      <c r="AB53" s="120">
        <f t="shared" ref="AB53:AG53" si="81">+SUM(AB50:AB52)</f>
        <v>32422</v>
      </c>
      <c r="AC53" s="120">
        <f t="shared" si="81"/>
        <v>32048</v>
      </c>
      <c r="AD53" s="120">
        <f t="shared" si="81"/>
        <v>30606</v>
      </c>
      <c r="AE53" s="120">
        <f t="shared" si="81"/>
        <v>32570</v>
      </c>
      <c r="AF53" s="120">
        <f t="shared" si="81"/>
        <v>30269</v>
      </c>
      <c r="AG53" s="120">
        <f t="shared" si="81"/>
        <v>31629</v>
      </c>
      <c r="AH53" s="120">
        <f t="shared" ref="AH53:AN53" si="82">+SUM(AH50:AH52)</f>
        <v>30151</v>
      </c>
      <c r="AI53" s="120">
        <f t="shared" si="82"/>
        <v>29631</v>
      </c>
      <c r="AJ53" s="120">
        <f t="shared" si="82"/>
        <v>28660</v>
      </c>
      <c r="AK53" s="120">
        <f t="shared" si="82"/>
        <v>23482</v>
      </c>
      <c r="AL53" s="120">
        <f t="shared" si="82"/>
        <v>27802</v>
      </c>
      <c r="AM53" s="120">
        <f t="shared" si="82"/>
        <v>25994</v>
      </c>
      <c r="AN53" s="120">
        <f t="shared" si="82"/>
        <v>22639</v>
      </c>
      <c r="AO53" s="120">
        <f t="shared" ref="AO53:AV53" si="83">+SUM(AO50:AO52)</f>
        <v>28573</v>
      </c>
      <c r="AP53" s="120">
        <f t="shared" si="83"/>
        <v>24627</v>
      </c>
      <c r="AQ53" s="120">
        <f t="shared" si="83"/>
        <v>24853</v>
      </c>
      <c r="AR53" s="120">
        <f t="shared" si="83"/>
        <v>23987</v>
      </c>
      <c r="AS53" s="120">
        <f t="shared" si="83"/>
        <v>24185</v>
      </c>
      <c r="AT53" s="120">
        <f t="shared" si="83"/>
        <v>24904</v>
      </c>
      <c r="AU53" s="120">
        <f t="shared" si="83"/>
        <v>25407</v>
      </c>
      <c r="AV53" s="120">
        <f t="shared" si="83"/>
        <v>26457</v>
      </c>
      <c r="AW53" s="120">
        <f>+SUM(AW50:AW52)</f>
        <v>25243</v>
      </c>
      <c r="AX53" s="120">
        <f>+SUM(AX50:AX52)</f>
        <v>18674</v>
      </c>
      <c r="AY53" s="120">
        <f>+SUM(AY50:AY52)</f>
        <v>19045</v>
      </c>
      <c r="AZ53" s="120">
        <f>+SUM(AZ50:AZ52)</f>
        <v>19200</v>
      </c>
      <c r="BA53" s="120">
        <v>18495</v>
      </c>
      <c r="BB53" s="120">
        <v>17680</v>
      </c>
      <c r="BC53" s="120">
        <f>+SUM(BC50:BC52)</f>
        <v>17120</v>
      </c>
    </row>
    <row r="54" spans="2:55" ht="9" customHeight="1" x14ac:dyDescent="0.25">
      <c r="B54" s="288"/>
      <c r="C54" s="288"/>
      <c r="D54" s="290"/>
      <c r="E54" s="290"/>
      <c r="F54" s="290"/>
      <c r="G54" s="290"/>
      <c r="H54" s="290"/>
      <c r="I54" s="290"/>
    </row>
    <row r="55" spans="2:55" x14ac:dyDescent="0.25">
      <c r="B55" s="145" t="s">
        <v>98</v>
      </c>
      <c r="C55" s="145"/>
      <c r="D55" s="145"/>
      <c r="E55" s="145" t="s">
        <v>160</v>
      </c>
      <c r="F55" s="145" t="s">
        <v>160</v>
      </c>
      <c r="G55" s="145" t="s">
        <v>160</v>
      </c>
      <c r="H55" s="145" t="s">
        <v>160</v>
      </c>
      <c r="I55" s="145" t="s">
        <v>160</v>
      </c>
      <c r="J55" s="115" t="str">
        <f t="shared" ref="J55:T55" si="84">J$5</f>
        <v>4T14</v>
      </c>
      <c r="K55" s="115" t="str">
        <f t="shared" si="84"/>
        <v>1T15</v>
      </c>
      <c r="L55" s="115" t="str">
        <f t="shared" si="84"/>
        <v>2T15</v>
      </c>
      <c r="M55" s="115" t="str">
        <f t="shared" si="84"/>
        <v>3T15</v>
      </c>
      <c r="N55" s="115" t="str">
        <f t="shared" si="84"/>
        <v>4T15</v>
      </c>
      <c r="O55" s="115" t="str">
        <f t="shared" si="84"/>
        <v>1T16</v>
      </c>
      <c r="P55" s="115" t="str">
        <f t="shared" si="84"/>
        <v>2T16</v>
      </c>
      <c r="Q55" s="115" t="str">
        <f t="shared" si="84"/>
        <v>3T16</v>
      </c>
      <c r="R55" s="115" t="str">
        <f t="shared" si="84"/>
        <v>4T16</v>
      </c>
      <c r="S55" s="115" t="str">
        <f t="shared" si="84"/>
        <v>1T17</v>
      </c>
      <c r="T55" s="115" t="str">
        <f t="shared" si="84"/>
        <v>2T17</v>
      </c>
      <c r="U55" s="115" t="str">
        <f t="shared" ref="U55:BC55" si="85">U$5</f>
        <v>3T17</v>
      </c>
      <c r="V55" s="115" t="str">
        <f t="shared" si="85"/>
        <v>4T17</v>
      </c>
      <c r="W55" s="115" t="str">
        <f t="shared" si="85"/>
        <v>1T18</v>
      </c>
      <c r="X55" s="115" t="str">
        <f t="shared" si="85"/>
        <v>2T18</v>
      </c>
      <c r="Y55" s="115" t="str">
        <f t="shared" si="85"/>
        <v>3T18</v>
      </c>
      <c r="Z55" s="115" t="str">
        <f t="shared" si="85"/>
        <v>4T18</v>
      </c>
      <c r="AA55" s="115" t="str">
        <f t="shared" si="85"/>
        <v>1T19</v>
      </c>
      <c r="AB55" s="115" t="str">
        <f t="shared" si="85"/>
        <v>2T19</v>
      </c>
      <c r="AC55" s="115" t="str">
        <f t="shared" si="85"/>
        <v>3T19</v>
      </c>
      <c r="AD55" s="115" t="str">
        <f t="shared" si="85"/>
        <v>4T19</v>
      </c>
      <c r="AE55" s="115" t="str">
        <f t="shared" si="85"/>
        <v>1T20</v>
      </c>
      <c r="AF55" s="115" t="str">
        <f t="shared" si="85"/>
        <v>2T20</v>
      </c>
      <c r="AG55" s="115" t="str">
        <f t="shared" si="85"/>
        <v>3T20</v>
      </c>
      <c r="AH55" s="115" t="str">
        <f t="shared" si="85"/>
        <v>4T20</v>
      </c>
      <c r="AI55" s="115" t="str">
        <f t="shared" si="85"/>
        <v>1T21</v>
      </c>
      <c r="AJ55" s="115" t="str">
        <f t="shared" si="85"/>
        <v>2T21</v>
      </c>
      <c r="AK55" s="115" t="str">
        <f t="shared" si="85"/>
        <v>3T21</v>
      </c>
      <c r="AL55" s="115" t="str">
        <f t="shared" si="85"/>
        <v>4T21</v>
      </c>
      <c r="AM55" s="115" t="str">
        <f t="shared" si="85"/>
        <v>1T22</v>
      </c>
      <c r="AN55" s="115" t="str">
        <f t="shared" si="85"/>
        <v>2T22</v>
      </c>
      <c r="AO55" s="115" t="str">
        <f t="shared" si="85"/>
        <v>3T22</v>
      </c>
      <c r="AP55" s="115" t="str">
        <f t="shared" si="85"/>
        <v>4T22</v>
      </c>
      <c r="AQ55" s="115" t="str">
        <f t="shared" si="85"/>
        <v>1T23</v>
      </c>
      <c r="AR55" s="115" t="str">
        <f t="shared" si="85"/>
        <v>2T23</v>
      </c>
      <c r="AS55" s="115" t="str">
        <f t="shared" si="85"/>
        <v>3T23</v>
      </c>
      <c r="AT55" s="115" t="str">
        <f t="shared" si="85"/>
        <v>4T23</v>
      </c>
      <c r="AU55" s="115" t="str">
        <f t="shared" si="85"/>
        <v>1T24</v>
      </c>
      <c r="AV55" s="115" t="str">
        <f t="shared" si="85"/>
        <v>2T24</v>
      </c>
      <c r="AW55" s="115" t="str">
        <f t="shared" si="85"/>
        <v>3T24</v>
      </c>
      <c r="AX55" s="115" t="str">
        <f t="shared" si="85"/>
        <v>4T24</v>
      </c>
      <c r="AY55" s="115" t="str">
        <f t="shared" si="85"/>
        <v>1T25</v>
      </c>
      <c r="AZ55" s="115" t="str">
        <f t="shared" si="85"/>
        <v>2T25</v>
      </c>
      <c r="BA55" s="115" t="s">
        <v>1315</v>
      </c>
      <c r="BB55" s="115" t="s">
        <v>1317</v>
      </c>
      <c r="BC55" s="115" t="str">
        <f t="shared" si="85"/>
        <v>1T26</v>
      </c>
    </row>
    <row r="56" spans="2:55" x14ac:dyDescent="0.25">
      <c r="B56" s="129" t="s">
        <v>408</v>
      </c>
      <c r="C56" s="129"/>
      <c r="D56" s="130"/>
      <c r="E56" s="130">
        <v>0</v>
      </c>
      <c r="F56" s="130">
        <v>0</v>
      </c>
      <c r="G56" s="130">
        <v>0</v>
      </c>
      <c r="H56" s="130">
        <v>0</v>
      </c>
      <c r="I56" s="130">
        <v>0</v>
      </c>
      <c r="J56" s="118">
        <f t="shared" ref="J56:N58" si="86">+J44-J50</f>
        <v>8252</v>
      </c>
      <c r="K56" s="118">
        <f t="shared" ref="K56:L59" si="87">+K44-K50</f>
        <v>8252</v>
      </c>
      <c r="L56" s="118">
        <f t="shared" si="87"/>
        <v>7283</v>
      </c>
      <c r="M56" s="118">
        <f t="shared" si="86"/>
        <v>7453</v>
      </c>
      <c r="N56" s="118">
        <f t="shared" si="86"/>
        <v>17721</v>
      </c>
      <c r="O56" s="118">
        <f t="shared" ref="O56:Q58" si="88">+O44-O50</f>
        <v>16558</v>
      </c>
      <c r="P56" s="118">
        <f t="shared" si="88"/>
        <v>11653</v>
      </c>
      <c r="Q56" s="118">
        <f t="shared" si="88"/>
        <v>10565</v>
      </c>
      <c r="R56" s="118">
        <v>9925</v>
      </c>
      <c r="S56" s="118">
        <v>8536</v>
      </c>
      <c r="T56" s="118">
        <v>9218</v>
      </c>
      <c r="U56" s="118">
        <v>7662</v>
      </c>
      <c r="V56" s="118">
        <f t="shared" ref="U56:V59" si="89">+V44-V50</f>
        <v>7986</v>
      </c>
      <c r="W56" s="118">
        <v>6938</v>
      </c>
      <c r="X56" s="118">
        <f t="shared" ref="X56:AA59" si="90">+X44-X50</f>
        <v>6974</v>
      </c>
      <c r="Y56" s="118">
        <f t="shared" si="90"/>
        <v>6064</v>
      </c>
      <c r="Z56" s="118">
        <f t="shared" si="90"/>
        <v>4509</v>
      </c>
      <c r="AA56" s="118">
        <f t="shared" si="90"/>
        <v>3976</v>
      </c>
      <c r="AB56" s="118">
        <v>4336</v>
      </c>
      <c r="AC56" s="118">
        <v>3660</v>
      </c>
      <c r="AD56" s="118">
        <v>3755</v>
      </c>
      <c r="AE56" s="118">
        <v>3358</v>
      </c>
      <c r="AF56" s="118">
        <v>3040</v>
      </c>
      <c r="AG56" s="118">
        <f>+AG44-AG50</f>
        <v>3017</v>
      </c>
      <c r="AH56" s="118">
        <v>2820</v>
      </c>
      <c r="AI56" s="118">
        <f t="shared" ref="AI56:AJ58" si="91">+AI44-AI50</f>
        <v>2570</v>
      </c>
      <c r="AJ56" s="118">
        <f t="shared" si="91"/>
        <v>2396</v>
      </c>
      <c r="AK56" s="118">
        <v>2257</v>
      </c>
      <c r="AL56" s="118">
        <v>2257</v>
      </c>
      <c r="AM56" s="118">
        <v>2577</v>
      </c>
      <c r="AN56" s="118">
        <f t="shared" ref="AN56:AO59" si="92">+AN44-AN50</f>
        <v>2689</v>
      </c>
      <c r="AO56" s="118">
        <f t="shared" si="92"/>
        <v>2574</v>
      </c>
      <c r="AP56" s="118">
        <f t="shared" ref="AP56:AU59" si="93">+AP44-AP50</f>
        <v>2568</v>
      </c>
      <c r="AQ56" s="118">
        <f t="shared" si="93"/>
        <v>2612</v>
      </c>
      <c r="AR56" s="118">
        <f t="shared" si="93"/>
        <v>2197</v>
      </c>
      <c r="AS56" s="118">
        <f t="shared" si="93"/>
        <v>2165</v>
      </c>
      <c r="AT56" s="118">
        <f t="shared" si="93"/>
        <v>2811</v>
      </c>
      <c r="AU56" s="118">
        <f t="shared" si="93"/>
        <v>3072</v>
      </c>
      <c r="AV56" s="118">
        <f t="shared" ref="AV56:AX59" si="94">+AV44-AV50</f>
        <v>2744</v>
      </c>
      <c r="AW56" s="118">
        <f t="shared" si="94"/>
        <v>2770</v>
      </c>
      <c r="AX56" s="118">
        <f t="shared" si="94"/>
        <v>2890</v>
      </c>
      <c r="AY56" s="118">
        <v>2918</v>
      </c>
      <c r="AZ56" s="118">
        <v>2925</v>
      </c>
      <c r="BA56" s="118">
        <v>2913</v>
      </c>
      <c r="BB56" s="118">
        <v>2984</v>
      </c>
      <c r="BC56" s="118">
        <f>+BC44-BC50</f>
        <v>3005</v>
      </c>
    </row>
    <row r="57" spans="2:55" x14ac:dyDescent="0.25">
      <c r="B57" s="129" t="s">
        <v>409</v>
      </c>
      <c r="C57" s="129"/>
      <c r="D57" s="130"/>
      <c r="E57" s="130">
        <v>0</v>
      </c>
      <c r="F57" s="130">
        <v>0</v>
      </c>
      <c r="G57" s="130">
        <v>0</v>
      </c>
      <c r="H57" s="130">
        <v>0</v>
      </c>
      <c r="I57" s="130">
        <v>0</v>
      </c>
      <c r="J57" s="118">
        <f t="shared" si="86"/>
        <v>28</v>
      </c>
      <c r="K57" s="118">
        <f t="shared" si="87"/>
        <v>28</v>
      </c>
      <c r="L57" s="118">
        <f t="shared" si="87"/>
        <v>28</v>
      </c>
      <c r="M57" s="118">
        <f t="shared" si="86"/>
        <v>28</v>
      </c>
      <c r="N57" s="118">
        <f t="shared" si="86"/>
        <v>28</v>
      </c>
      <c r="O57" s="118">
        <f t="shared" si="88"/>
        <v>0</v>
      </c>
      <c r="P57" s="118">
        <f t="shared" si="88"/>
        <v>0</v>
      </c>
      <c r="Q57" s="118">
        <f t="shared" si="88"/>
        <v>0</v>
      </c>
      <c r="R57" s="118">
        <v>0</v>
      </c>
      <c r="S57" s="118">
        <v>0</v>
      </c>
      <c r="T57" s="118">
        <v>0</v>
      </c>
      <c r="U57" s="118">
        <v>0</v>
      </c>
      <c r="V57" s="118">
        <f t="shared" si="89"/>
        <v>0</v>
      </c>
      <c r="W57" s="118">
        <v>0</v>
      </c>
      <c r="X57" s="118">
        <f t="shared" si="90"/>
        <v>0</v>
      </c>
      <c r="Y57" s="118">
        <f t="shared" si="90"/>
        <v>0</v>
      </c>
      <c r="Z57" s="118">
        <f t="shared" si="90"/>
        <v>0</v>
      </c>
      <c r="AA57" s="118">
        <f t="shared" si="90"/>
        <v>1</v>
      </c>
      <c r="AB57" s="118">
        <v>1</v>
      </c>
      <c r="AC57" s="118">
        <v>1</v>
      </c>
      <c r="AD57" s="118">
        <v>1</v>
      </c>
      <c r="AE57" s="118">
        <v>1</v>
      </c>
      <c r="AF57" s="118">
        <v>1</v>
      </c>
      <c r="AG57" s="118">
        <f>+AG45-AG51</f>
        <v>1</v>
      </c>
      <c r="AH57" s="118">
        <v>1</v>
      </c>
      <c r="AI57" s="118">
        <f t="shared" si="91"/>
        <v>1</v>
      </c>
      <c r="AJ57" s="118">
        <f t="shared" si="91"/>
        <v>1</v>
      </c>
      <c r="AK57" s="118">
        <v>1</v>
      </c>
      <c r="AL57" s="118">
        <v>1</v>
      </c>
      <c r="AM57" s="118">
        <v>1</v>
      </c>
      <c r="AN57" s="118">
        <f t="shared" si="92"/>
        <v>1</v>
      </c>
      <c r="AO57" s="118">
        <f t="shared" si="92"/>
        <v>118</v>
      </c>
      <c r="AP57" s="118">
        <f t="shared" si="93"/>
        <v>122</v>
      </c>
      <c r="AQ57" s="118">
        <f t="shared" si="93"/>
        <v>125</v>
      </c>
      <c r="AR57" s="118">
        <f t="shared" si="93"/>
        <v>129</v>
      </c>
      <c r="AS57" s="118">
        <f t="shared" si="93"/>
        <v>133</v>
      </c>
      <c r="AT57" s="118">
        <f t="shared" si="93"/>
        <v>135</v>
      </c>
      <c r="AU57" s="118">
        <f t="shared" si="93"/>
        <v>139</v>
      </c>
      <c r="AV57" s="118">
        <f t="shared" si="94"/>
        <v>0</v>
      </c>
      <c r="AW57" s="118">
        <f t="shared" si="94"/>
        <v>0</v>
      </c>
      <c r="AX57" s="118">
        <f t="shared" si="94"/>
        <v>0</v>
      </c>
      <c r="AY57" s="118">
        <v>0</v>
      </c>
      <c r="AZ57" s="118">
        <v>0</v>
      </c>
      <c r="BA57" s="118">
        <v>0</v>
      </c>
      <c r="BB57" s="118">
        <v>0</v>
      </c>
      <c r="BC57" s="118">
        <f>+BC45-BC51</f>
        <v>0</v>
      </c>
    </row>
    <row r="58" spans="2:55" x14ac:dyDescent="0.25">
      <c r="B58" s="129" t="s">
        <v>410</v>
      </c>
      <c r="C58" s="129"/>
      <c r="D58" s="130"/>
      <c r="E58" s="130">
        <v>0</v>
      </c>
      <c r="F58" s="130">
        <v>0</v>
      </c>
      <c r="G58" s="130">
        <v>0</v>
      </c>
      <c r="H58" s="130">
        <v>0</v>
      </c>
      <c r="I58" s="130">
        <v>0</v>
      </c>
      <c r="J58" s="118">
        <f t="shared" si="86"/>
        <v>12</v>
      </c>
      <c r="K58" s="118">
        <f t="shared" si="87"/>
        <v>12</v>
      </c>
      <c r="L58" s="118">
        <f t="shared" si="87"/>
        <v>12</v>
      </c>
      <c r="M58" s="118">
        <f t="shared" si="86"/>
        <v>12</v>
      </c>
      <c r="N58" s="118">
        <f t="shared" si="86"/>
        <v>12</v>
      </c>
      <c r="O58" s="118">
        <f t="shared" si="88"/>
        <v>30</v>
      </c>
      <c r="P58" s="118">
        <f t="shared" si="88"/>
        <v>64</v>
      </c>
      <c r="Q58" s="118">
        <f t="shared" si="88"/>
        <v>66</v>
      </c>
      <c r="R58" s="118">
        <v>67</v>
      </c>
      <c r="S58" s="118">
        <v>69</v>
      </c>
      <c r="T58" s="118">
        <v>71</v>
      </c>
      <c r="U58" s="118">
        <v>71</v>
      </c>
      <c r="V58" s="118">
        <f t="shared" si="89"/>
        <v>71</v>
      </c>
      <c r="W58" s="118">
        <v>3929</v>
      </c>
      <c r="X58" s="118">
        <f t="shared" si="90"/>
        <v>4086</v>
      </c>
      <c r="Y58" s="118">
        <f t="shared" si="90"/>
        <v>4714</v>
      </c>
      <c r="Z58" s="118">
        <f t="shared" si="90"/>
        <v>5516</v>
      </c>
      <c r="AA58" s="118">
        <f t="shared" si="90"/>
        <v>5525</v>
      </c>
      <c r="AB58" s="118">
        <v>5991</v>
      </c>
      <c r="AC58" s="260">
        <v>902</v>
      </c>
      <c r="AD58" s="118">
        <v>904</v>
      </c>
      <c r="AE58" s="118">
        <v>903</v>
      </c>
      <c r="AF58" s="118">
        <v>903</v>
      </c>
      <c r="AG58" s="118">
        <f>+AG46-AG52</f>
        <v>905</v>
      </c>
      <c r="AH58" s="118">
        <v>906</v>
      </c>
      <c r="AI58" s="118">
        <f t="shared" si="91"/>
        <v>904</v>
      </c>
      <c r="AJ58" s="118">
        <f t="shared" si="91"/>
        <v>904</v>
      </c>
      <c r="AK58" s="118">
        <v>908</v>
      </c>
      <c r="AL58" s="118">
        <v>908</v>
      </c>
      <c r="AM58" s="118">
        <v>1066</v>
      </c>
      <c r="AN58" s="118">
        <f t="shared" si="92"/>
        <v>1065</v>
      </c>
      <c r="AO58" s="118">
        <f t="shared" si="92"/>
        <v>1065</v>
      </c>
      <c r="AP58" s="118">
        <f t="shared" si="93"/>
        <v>1065</v>
      </c>
      <c r="AQ58" s="118">
        <f t="shared" si="93"/>
        <v>1065</v>
      </c>
      <c r="AR58" s="118">
        <f t="shared" si="93"/>
        <v>165</v>
      </c>
      <c r="AS58" s="118">
        <f t="shared" si="93"/>
        <v>165</v>
      </c>
      <c r="AT58" s="118">
        <f t="shared" si="93"/>
        <v>165</v>
      </c>
      <c r="AU58" s="118">
        <f t="shared" si="93"/>
        <v>119</v>
      </c>
      <c r="AV58" s="118">
        <f t="shared" si="94"/>
        <v>128</v>
      </c>
      <c r="AW58" s="118">
        <f t="shared" si="94"/>
        <v>120</v>
      </c>
      <c r="AX58" s="118">
        <f t="shared" si="94"/>
        <v>128</v>
      </c>
      <c r="AY58" s="118">
        <v>128</v>
      </c>
      <c r="AZ58" s="118">
        <v>128</v>
      </c>
      <c r="BA58" s="118">
        <v>0</v>
      </c>
      <c r="BB58" s="118">
        <v>0</v>
      </c>
      <c r="BC58" s="118">
        <f>+BC46-BC52</f>
        <v>0</v>
      </c>
    </row>
    <row r="59" spans="2:55" x14ac:dyDescent="0.25">
      <c r="B59" s="126" t="s">
        <v>73</v>
      </c>
      <c r="C59" s="126"/>
      <c r="D59" s="120"/>
      <c r="E59" s="120">
        <v>0</v>
      </c>
      <c r="F59" s="120">
        <v>0</v>
      </c>
      <c r="G59" s="120">
        <v>0</v>
      </c>
      <c r="H59" s="120">
        <v>0</v>
      </c>
      <c r="I59" s="120">
        <v>0</v>
      </c>
      <c r="J59" s="120">
        <f t="shared" ref="J59:T59" si="95">+J47-J53</f>
        <v>8292</v>
      </c>
      <c r="K59" s="120">
        <f t="shared" si="87"/>
        <v>8292</v>
      </c>
      <c r="L59" s="120">
        <f t="shared" si="87"/>
        <v>7323</v>
      </c>
      <c r="M59" s="120">
        <f t="shared" si="95"/>
        <v>7493</v>
      </c>
      <c r="N59" s="120">
        <f t="shared" si="95"/>
        <v>17761</v>
      </c>
      <c r="O59" s="120">
        <f t="shared" si="95"/>
        <v>16588</v>
      </c>
      <c r="P59" s="120">
        <f t="shared" si="95"/>
        <v>11717</v>
      </c>
      <c r="Q59" s="120">
        <f t="shared" si="95"/>
        <v>10631</v>
      </c>
      <c r="R59" s="120">
        <f t="shared" si="95"/>
        <v>9992</v>
      </c>
      <c r="S59" s="120">
        <f t="shared" si="95"/>
        <v>8605</v>
      </c>
      <c r="T59" s="120">
        <f t="shared" si="95"/>
        <v>9289</v>
      </c>
      <c r="U59" s="120">
        <f t="shared" si="89"/>
        <v>7733</v>
      </c>
      <c r="V59" s="120">
        <f t="shared" si="89"/>
        <v>8057</v>
      </c>
      <c r="W59" s="120">
        <f>+W47-W53</f>
        <v>10867</v>
      </c>
      <c r="X59" s="120">
        <f t="shared" si="90"/>
        <v>11060</v>
      </c>
      <c r="Y59" s="120">
        <f t="shared" si="90"/>
        <v>10778</v>
      </c>
      <c r="Z59" s="120">
        <f t="shared" si="90"/>
        <v>10025</v>
      </c>
      <c r="AA59" s="120">
        <f t="shared" si="90"/>
        <v>9502</v>
      </c>
      <c r="AB59" s="120">
        <f>+AB47-AB53</f>
        <v>10328</v>
      </c>
      <c r="AC59" s="120">
        <f>+AC47-AC53</f>
        <v>4563</v>
      </c>
      <c r="AD59" s="120">
        <f>+AD47-AD53</f>
        <v>4660</v>
      </c>
      <c r="AE59" s="120">
        <f>+AE47-AE53</f>
        <v>4262</v>
      </c>
      <c r="AF59" s="120">
        <f>+AF47-AF53</f>
        <v>3944</v>
      </c>
      <c r="AG59" s="120">
        <f>+AG47-AG53</f>
        <v>3923</v>
      </c>
      <c r="AH59" s="120">
        <f t="shared" ref="AH59:AM59" si="96">+AH47-AH53</f>
        <v>3727</v>
      </c>
      <c r="AI59" s="120">
        <f t="shared" si="96"/>
        <v>3475</v>
      </c>
      <c r="AJ59" s="120">
        <f t="shared" si="96"/>
        <v>3301</v>
      </c>
      <c r="AK59" s="120">
        <f t="shared" si="96"/>
        <v>3166</v>
      </c>
      <c r="AL59" s="120">
        <f t="shared" si="96"/>
        <v>3028</v>
      </c>
      <c r="AM59" s="120">
        <f t="shared" si="96"/>
        <v>3644</v>
      </c>
      <c r="AN59" s="120">
        <f t="shared" si="92"/>
        <v>3755</v>
      </c>
      <c r="AO59" s="120">
        <f t="shared" si="92"/>
        <v>3757</v>
      </c>
      <c r="AP59" s="120">
        <f t="shared" si="93"/>
        <v>3755</v>
      </c>
      <c r="AQ59" s="120">
        <f t="shared" si="93"/>
        <v>3802</v>
      </c>
      <c r="AR59" s="120">
        <f t="shared" si="93"/>
        <v>2491</v>
      </c>
      <c r="AS59" s="120">
        <f t="shared" si="93"/>
        <v>2463</v>
      </c>
      <c r="AT59" s="120">
        <f t="shared" si="93"/>
        <v>3111</v>
      </c>
      <c r="AU59" s="120">
        <f t="shared" si="93"/>
        <v>3330</v>
      </c>
      <c r="AV59" s="120">
        <f t="shared" si="94"/>
        <v>2872</v>
      </c>
      <c r="AW59" s="120">
        <f t="shared" si="94"/>
        <v>2890</v>
      </c>
      <c r="AX59" s="120">
        <f t="shared" si="94"/>
        <v>3018</v>
      </c>
      <c r="AY59" s="120">
        <f>+AY47-AY53</f>
        <v>3046</v>
      </c>
      <c r="AZ59" s="120">
        <f>+AZ47-AZ53</f>
        <v>3053</v>
      </c>
      <c r="BA59" s="120">
        <v>2913</v>
      </c>
      <c r="BB59" s="120">
        <v>2984</v>
      </c>
      <c r="BC59" s="120">
        <f>+BC47-BC53</f>
        <v>3005</v>
      </c>
    </row>
    <row r="60" spans="2:55" x14ac:dyDescent="0.25">
      <c r="D60" s="289"/>
      <c r="E60" s="289"/>
      <c r="F60" s="289"/>
      <c r="G60" s="289"/>
      <c r="H60" s="289"/>
      <c r="I60" s="289"/>
    </row>
    <row r="61" spans="2:55" x14ac:dyDescent="0.25">
      <c r="B61" s="936" t="s">
        <v>449</v>
      </c>
      <c r="C61" s="937"/>
      <c r="D61" s="937"/>
      <c r="E61" s="937"/>
      <c r="F61" s="937"/>
      <c r="G61" s="937"/>
      <c r="H61" s="937"/>
      <c r="I61" s="937"/>
      <c r="J61" s="935"/>
      <c r="K61" s="935"/>
      <c r="L61" s="935"/>
      <c r="M61" s="935"/>
      <c r="N61" s="935"/>
      <c r="O61" s="935"/>
      <c r="P61" s="935"/>
      <c r="Q61" s="935"/>
      <c r="R61" s="935"/>
      <c r="S61" s="935"/>
      <c r="T61" s="935"/>
      <c r="U61" s="935"/>
      <c r="V61" s="935"/>
      <c r="W61" s="935"/>
      <c r="X61" s="935"/>
      <c r="Y61" s="935"/>
      <c r="Z61" s="935"/>
      <c r="AA61" s="935"/>
      <c r="AB61" s="935"/>
      <c r="AC61" s="935"/>
      <c r="AD61" s="935"/>
      <c r="AE61" s="935"/>
      <c r="AF61" s="935"/>
      <c r="AG61" s="935"/>
      <c r="AH61" s="935"/>
      <c r="AI61" s="935"/>
      <c r="AJ61" s="935"/>
      <c r="AK61" s="935"/>
      <c r="AL61" s="935"/>
      <c r="AM61" s="935"/>
      <c r="AN61" s="935"/>
      <c r="AO61" s="935"/>
      <c r="AP61" s="935"/>
      <c r="AQ61" s="935"/>
      <c r="AR61" s="935"/>
      <c r="AS61" s="935"/>
      <c r="AT61" s="935"/>
      <c r="AU61" s="935"/>
      <c r="AV61" s="935"/>
      <c r="AW61" s="935"/>
      <c r="AX61" s="935"/>
      <c r="AY61" s="935"/>
      <c r="AZ61" s="935"/>
      <c r="BA61" s="935"/>
      <c r="BB61" s="935"/>
      <c r="BC61" s="935"/>
    </row>
    <row r="62" spans="2:55" x14ac:dyDescent="0.25">
      <c r="B62" s="145" t="s">
        <v>96</v>
      </c>
      <c r="C62" s="145"/>
      <c r="D62" s="145"/>
      <c r="E62" s="145" t="s">
        <v>160</v>
      </c>
      <c r="F62" s="145" t="s">
        <v>160</v>
      </c>
      <c r="G62" s="145" t="s">
        <v>160</v>
      </c>
      <c r="H62" s="145" t="s">
        <v>160</v>
      </c>
      <c r="I62" s="145" t="s">
        <v>160</v>
      </c>
      <c r="J62" s="115" t="str">
        <f t="shared" ref="J62:T62" si="97">J$5</f>
        <v>4T14</v>
      </c>
      <c r="K62" s="115" t="str">
        <f t="shared" si="97"/>
        <v>1T15</v>
      </c>
      <c r="L62" s="115" t="str">
        <f t="shared" si="97"/>
        <v>2T15</v>
      </c>
      <c r="M62" s="115" t="str">
        <f t="shared" si="97"/>
        <v>3T15</v>
      </c>
      <c r="N62" s="115" t="str">
        <f t="shared" si="97"/>
        <v>4T15</v>
      </c>
      <c r="O62" s="115" t="str">
        <f t="shared" si="97"/>
        <v>1T16</v>
      </c>
      <c r="P62" s="115" t="str">
        <f t="shared" si="97"/>
        <v>2T16</v>
      </c>
      <c r="Q62" s="115" t="str">
        <f t="shared" si="97"/>
        <v>3T16</v>
      </c>
      <c r="R62" s="115" t="str">
        <f t="shared" si="97"/>
        <v>4T16</v>
      </c>
      <c r="S62" s="115" t="str">
        <f t="shared" si="97"/>
        <v>1T17</v>
      </c>
      <c r="T62" s="115" t="str">
        <f t="shared" si="97"/>
        <v>2T17</v>
      </c>
      <c r="U62" s="115" t="str">
        <f t="shared" ref="U62:BC62" si="98">U$5</f>
        <v>3T17</v>
      </c>
      <c r="V62" s="115" t="str">
        <f t="shared" si="98"/>
        <v>4T17</v>
      </c>
      <c r="W62" s="115" t="str">
        <f t="shared" si="98"/>
        <v>1T18</v>
      </c>
      <c r="X62" s="115" t="str">
        <f t="shared" si="98"/>
        <v>2T18</v>
      </c>
      <c r="Y62" s="115" t="str">
        <f t="shared" si="98"/>
        <v>3T18</v>
      </c>
      <c r="Z62" s="115" t="str">
        <f t="shared" si="98"/>
        <v>4T18</v>
      </c>
      <c r="AA62" s="115" t="str">
        <f t="shared" si="98"/>
        <v>1T19</v>
      </c>
      <c r="AB62" s="115" t="str">
        <f t="shared" si="98"/>
        <v>2T19</v>
      </c>
      <c r="AC62" s="115" t="str">
        <f t="shared" si="98"/>
        <v>3T19</v>
      </c>
      <c r="AD62" s="115" t="str">
        <f t="shared" si="98"/>
        <v>4T19</v>
      </c>
      <c r="AE62" s="115" t="str">
        <f t="shared" si="98"/>
        <v>1T20</v>
      </c>
      <c r="AF62" s="115" t="str">
        <f t="shared" si="98"/>
        <v>2T20</v>
      </c>
      <c r="AG62" s="115" t="str">
        <f t="shared" si="98"/>
        <v>3T20</v>
      </c>
      <c r="AH62" s="115" t="str">
        <f t="shared" si="98"/>
        <v>4T20</v>
      </c>
      <c r="AI62" s="115" t="str">
        <f t="shared" si="98"/>
        <v>1T21</v>
      </c>
      <c r="AJ62" s="115" t="str">
        <f t="shared" si="98"/>
        <v>2T21</v>
      </c>
      <c r="AK62" s="115" t="str">
        <f t="shared" si="98"/>
        <v>3T21</v>
      </c>
      <c r="AL62" s="115" t="str">
        <f t="shared" si="98"/>
        <v>4T21</v>
      </c>
      <c r="AM62" s="115" t="str">
        <f t="shared" si="98"/>
        <v>1T22</v>
      </c>
      <c r="AN62" s="115" t="str">
        <f t="shared" si="98"/>
        <v>2T22</v>
      </c>
      <c r="AO62" s="115" t="str">
        <f t="shared" si="98"/>
        <v>3T22</v>
      </c>
      <c r="AP62" s="115" t="str">
        <f t="shared" si="98"/>
        <v>4T22</v>
      </c>
      <c r="AQ62" s="115" t="str">
        <f t="shared" si="98"/>
        <v>1T23</v>
      </c>
      <c r="AR62" s="115" t="str">
        <f t="shared" si="98"/>
        <v>2T23</v>
      </c>
      <c r="AS62" s="115" t="str">
        <f t="shared" si="98"/>
        <v>3T23</v>
      </c>
      <c r="AT62" s="115" t="str">
        <f t="shared" si="98"/>
        <v>4T23</v>
      </c>
      <c r="AU62" s="115" t="str">
        <f t="shared" si="98"/>
        <v>1T24</v>
      </c>
      <c r="AV62" s="115" t="str">
        <f t="shared" si="98"/>
        <v>2T24</v>
      </c>
      <c r="AW62" s="115" t="str">
        <f t="shared" si="98"/>
        <v>3T24</v>
      </c>
      <c r="AX62" s="115" t="str">
        <f t="shared" si="98"/>
        <v>4T24</v>
      </c>
      <c r="AY62" s="115" t="str">
        <f t="shared" si="98"/>
        <v>1T25</v>
      </c>
      <c r="AZ62" s="115" t="str">
        <f t="shared" si="98"/>
        <v>2T25</v>
      </c>
      <c r="BA62" s="115" t="s">
        <v>1315</v>
      </c>
      <c r="BB62" s="115" t="s">
        <v>1317</v>
      </c>
      <c r="BC62" s="115" t="str">
        <f t="shared" si="98"/>
        <v>1T26</v>
      </c>
    </row>
    <row r="63" spans="2:55" x14ac:dyDescent="0.25">
      <c r="B63" s="129" t="s">
        <v>408</v>
      </c>
      <c r="C63" s="129"/>
      <c r="D63" s="130"/>
      <c r="E63" s="130">
        <v>0</v>
      </c>
      <c r="F63" s="130">
        <v>0</v>
      </c>
      <c r="G63" s="130">
        <v>0</v>
      </c>
      <c r="H63" s="130">
        <v>0</v>
      </c>
      <c r="I63" s="130">
        <v>0</v>
      </c>
      <c r="J63" s="118">
        <v>22354</v>
      </c>
      <c r="K63" s="118">
        <v>0</v>
      </c>
      <c r="L63" s="118">
        <v>0</v>
      </c>
      <c r="M63" s="118">
        <v>14496</v>
      </c>
      <c r="N63" s="118">
        <v>32630</v>
      </c>
      <c r="O63" s="118">
        <v>32488</v>
      </c>
      <c r="P63" s="118">
        <v>36506</v>
      </c>
      <c r="Q63" s="118">
        <v>40302</v>
      </c>
      <c r="R63" s="118">
        <v>39369</v>
      </c>
      <c r="S63" s="118">
        <v>49630</v>
      </c>
      <c r="T63" s="118">
        <v>47189</v>
      </c>
      <c r="U63" s="118">
        <v>58054</v>
      </c>
      <c r="V63" s="118">
        <v>76550</v>
      </c>
      <c r="W63" s="118">
        <v>71271</v>
      </c>
      <c r="X63" s="118">
        <v>65163</v>
      </c>
      <c r="Y63" s="118">
        <v>57933</v>
      </c>
      <c r="Z63" s="118">
        <v>48512</v>
      </c>
      <c r="AA63" s="118">
        <v>42129</v>
      </c>
      <c r="AB63" s="118">
        <v>40595</v>
      </c>
      <c r="AC63" s="118">
        <v>38222</v>
      </c>
      <c r="AD63" s="118">
        <v>40235</v>
      </c>
      <c r="AE63" s="118">
        <v>34153</v>
      </c>
      <c r="AF63" s="118">
        <v>30772</v>
      </c>
      <c r="AG63" s="118">
        <v>35676</v>
      </c>
      <c r="AH63" s="118">
        <v>36556</v>
      </c>
      <c r="AI63" s="118">
        <v>36233</v>
      </c>
      <c r="AJ63" s="118">
        <v>32269</v>
      </c>
      <c r="AK63" s="118">
        <v>25196</v>
      </c>
      <c r="AL63" s="118">
        <v>23380</v>
      </c>
      <c r="AM63" s="118">
        <v>25236</v>
      </c>
      <c r="AN63" s="118">
        <v>24173</v>
      </c>
      <c r="AO63" s="118">
        <v>26326</v>
      </c>
      <c r="AP63" s="118">
        <v>25277</v>
      </c>
      <c r="AQ63" s="118">
        <v>26157</v>
      </c>
      <c r="AR63" s="118">
        <v>26548</v>
      </c>
      <c r="AS63" s="118">
        <v>13066</v>
      </c>
      <c r="AT63" s="118">
        <v>11076</v>
      </c>
      <c r="AU63" s="118">
        <v>7224</v>
      </c>
      <c r="AV63" s="118">
        <v>7655</v>
      </c>
      <c r="AW63" s="118">
        <v>6522</v>
      </c>
      <c r="AX63" s="118">
        <v>11308</v>
      </c>
      <c r="AY63" s="118">
        <v>12913</v>
      </c>
      <c r="AZ63" s="118">
        <v>12301</v>
      </c>
      <c r="BA63" s="118">
        <v>13541</v>
      </c>
      <c r="BB63" s="118">
        <v>12646</v>
      </c>
      <c r="BC63" s="118">
        <v>14043</v>
      </c>
    </row>
    <row r="64" spans="2:55" x14ac:dyDescent="0.25">
      <c r="B64" s="129" t="s">
        <v>409</v>
      </c>
      <c r="C64" s="129"/>
      <c r="D64" s="130"/>
      <c r="E64" s="130">
        <v>0</v>
      </c>
      <c r="F64" s="130">
        <v>0</v>
      </c>
      <c r="G64" s="130">
        <v>0</v>
      </c>
      <c r="H64" s="130">
        <v>0</v>
      </c>
      <c r="I64" s="130">
        <v>0</v>
      </c>
      <c r="J64" s="118">
        <v>55786</v>
      </c>
      <c r="K64" s="118">
        <v>0</v>
      </c>
      <c r="L64" s="118">
        <v>0</v>
      </c>
      <c r="M64" s="118">
        <v>91806</v>
      </c>
      <c r="N64" s="118">
        <v>56145</v>
      </c>
      <c r="O64" s="118">
        <v>46376</v>
      </c>
      <c r="P64" s="118">
        <v>49977</v>
      </c>
      <c r="Q64" s="118">
        <v>55503</v>
      </c>
      <c r="R64" s="118">
        <v>56874</v>
      </c>
      <c r="S64" s="118">
        <v>58254</v>
      </c>
      <c r="T64" s="118">
        <v>22446</v>
      </c>
      <c r="U64" s="118">
        <v>17838</v>
      </c>
      <c r="V64" s="118">
        <v>20086</v>
      </c>
      <c r="W64" s="118">
        <v>26768</v>
      </c>
      <c r="X64" s="118">
        <v>28468</v>
      </c>
      <c r="Y64" s="118">
        <v>27738</v>
      </c>
      <c r="Z64" s="118">
        <v>30135</v>
      </c>
      <c r="AA64" s="118">
        <v>31492</v>
      </c>
      <c r="AB64" s="118">
        <v>32591</v>
      </c>
      <c r="AC64" s="118">
        <v>35284</v>
      </c>
      <c r="AD64" s="118">
        <v>35636</v>
      </c>
      <c r="AE64" s="118">
        <v>34528</v>
      </c>
      <c r="AF64" s="118">
        <v>37273</v>
      </c>
      <c r="AG64" s="118">
        <v>40156</v>
      </c>
      <c r="AH64" s="118">
        <v>40295</v>
      </c>
      <c r="AI64" s="118">
        <v>41174</v>
      </c>
      <c r="AJ64" s="118">
        <v>33975</v>
      </c>
      <c r="AK64" s="118">
        <v>34367</v>
      </c>
      <c r="AL64" s="118">
        <v>36165</v>
      </c>
      <c r="AM64" s="118">
        <v>36190</v>
      </c>
      <c r="AN64" s="118">
        <v>39752</v>
      </c>
      <c r="AO64" s="118">
        <v>34205</v>
      </c>
      <c r="AP64" s="118">
        <v>35613</v>
      </c>
      <c r="AQ64" s="261">
        <v>53278</v>
      </c>
      <c r="AR64" s="261">
        <v>107573</v>
      </c>
      <c r="AS64" s="118">
        <v>109576</v>
      </c>
      <c r="AT64" s="118">
        <v>122554</v>
      </c>
      <c r="AU64" s="118">
        <v>123827</v>
      </c>
      <c r="AV64" s="118">
        <v>136076</v>
      </c>
      <c r="AW64" s="118">
        <v>137177</v>
      </c>
      <c r="AX64" s="118">
        <v>139919</v>
      </c>
      <c r="AY64" s="118">
        <v>142008</v>
      </c>
      <c r="AZ64" s="118">
        <v>143516</v>
      </c>
      <c r="BA64" s="118">
        <v>150728</v>
      </c>
      <c r="BB64" s="118">
        <v>149297</v>
      </c>
      <c r="BC64" s="118">
        <v>154211</v>
      </c>
    </row>
    <row r="65" spans="2:55" x14ac:dyDescent="0.25">
      <c r="B65" s="129" t="s">
        <v>410</v>
      </c>
      <c r="C65" s="129"/>
      <c r="D65" s="130"/>
      <c r="E65" s="130">
        <v>0</v>
      </c>
      <c r="F65" s="130">
        <v>0</v>
      </c>
      <c r="G65" s="130">
        <v>0</v>
      </c>
      <c r="H65" s="130">
        <v>0</v>
      </c>
      <c r="I65" s="130">
        <v>0</v>
      </c>
      <c r="J65" s="118">
        <v>28554</v>
      </c>
      <c r="K65" s="118">
        <v>0</v>
      </c>
      <c r="L65" s="118">
        <v>0</v>
      </c>
      <c r="M65" s="118">
        <v>30659</v>
      </c>
      <c r="N65" s="118">
        <v>31942</v>
      </c>
      <c r="O65" s="118">
        <v>34328</v>
      </c>
      <c r="P65" s="118">
        <v>30965</v>
      </c>
      <c r="Q65" s="118">
        <v>30910</v>
      </c>
      <c r="R65" s="118">
        <v>32959</v>
      </c>
      <c r="S65" s="118">
        <v>36271</v>
      </c>
      <c r="T65" s="118">
        <v>37091</v>
      </c>
      <c r="U65" s="118">
        <v>35901</v>
      </c>
      <c r="V65" s="118">
        <v>36188</v>
      </c>
      <c r="W65" s="118">
        <v>31528</v>
      </c>
      <c r="X65" s="118">
        <v>32123</v>
      </c>
      <c r="Y65" s="118">
        <v>20529</v>
      </c>
      <c r="Z65" s="118">
        <v>21113</v>
      </c>
      <c r="AA65" s="118">
        <v>24846</v>
      </c>
      <c r="AB65" s="118">
        <v>27149</v>
      </c>
      <c r="AC65" s="118">
        <v>23882</v>
      </c>
      <c r="AD65" s="118">
        <v>21366</v>
      </c>
      <c r="AE65" s="118">
        <v>19874</v>
      </c>
      <c r="AF65" s="118">
        <v>14517</v>
      </c>
      <c r="AG65" s="118">
        <v>11931</v>
      </c>
      <c r="AH65" s="118">
        <v>10967</v>
      </c>
      <c r="AI65" s="118">
        <v>9859</v>
      </c>
      <c r="AJ65" s="118">
        <v>11990</v>
      </c>
      <c r="AK65" s="118">
        <v>12432</v>
      </c>
      <c r="AL65" s="118">
        <v>12216</v>
      </c>
      <c r="AM65" s="118">
        <v>11728</v>
      </c>
      <c r="AN65" s="118">
        <v>13035</v>
      </c>
      <c r="AO65" s="118">
        <v>10558</v>
      </c>
      <c r="AP65" s="118">
        <v>9960</v>
      </c>
      <c r="AQ65" s="118">
        <v>10199</v>
      </c>
      <c r="AR65" s="118">
        <v>10469</v>
      </c>
      <c r="AS65" s="118">
        <v>10435</v>
      </c>
      <c r="AT65" s="118">
        <v>8995</v>
      </c>
      <c r="AU65" s="118">
        <v>8141</v>
      </c>
      <c r="AV65" s="118">
        <v>10351</v>
      </c>
      <c r="AW65" s="118">
        <v>9981</v>
      </c>
      <c r="AX65" s="118">
        <v>12182</v>
      </c>
      <c r="AY65" s="118">
        <v>12037</v>
      </c>
      <c r="AZ65" s="118">
        <v>13447</v>
      </c>
      <c r="BA65" s="118">
        <v>11632</v>
      </c>
      <c r="BB65" s="118">
        <v>12065</v>
      </c>
      <c r="BC65" s="118">
        <v>14848</v>
      </c>
    </row>
    <row r="66" spans="2:55" x14ac:dyDescent="0.25">
      <c r="B66" s="126" t="s">
        <v>73</v>
      </c>
      <c r="C66" s="126"/>
      <c r="D66" s="120"/>
      <c r="E66" s="120">
        <v>0</v>
      </c>
      <c r="F66" s="120">
        <v>0</v>
      </c>
      <c r="G66" s="120">
        <v>0</v>
      </c>
      <c r="H66" s="120">
        <v>0</v>
      </c>
      <c r="I66" s="120">
        <v>0</v>
      </c>
      <c r="J66" s="120">
        <f t="shared" ref="J66:T66" si="99">+SUM(J63:J65)</f>
        <v>106694</v>
      </c>
      <c r="K66" s="120">
        <f t="shared" si="99"/>
        <v>0</v>
      </c>
      <c r="L66" s="120">
        <f t="shared" si="99"/>
        <v>0</v>
      </c>
      <c r="M66" s="120">
        <f t="shared" si="99"/>
        <v>136961</v>
      </c>
      <c r="N66" s="120">
        <f t="shared" si="99"/>
        <v>120717</v>
      </c>
      <c r="O66" s="120">
        <f t="shared" si="99"/>
        <v>113192</v>
      </c>
      <c r="P66" s="120">
        <f t="shared" si="99"/>
        <v>117448</v>
      </c>
      <c r="Q66" s="120">
        <f t="shared" si="99"/>
        <v>126715</v>
      </c>
      <c r="R66" s="120">
        <f t="shared" si="99"/>
        <v>129202</v>
      </c>
      <c r="S66" s="120">
        <f t="shared" si="99"/>
        <v>144155</v>
      </c>
      <c r="T66" s="120">
        <f t="shared" si="99"/>
        <v>106726</v>
      </c>
      <c r="U66" s="120">
        <f t="shared" ref="U66:AA66" si="100">+SUM(U63:U65)</f>
        <v>111793</v>
      </c>
      <c r="V66" s="120">
        <f t="shared" si="100"/>
        <v>132824</v>
      </c>
      <c r="W66" s="120">
        <f t="shared" si="100"/>
        <v>129567</v>
      </c>
      <c r="X66" s="120">
        <f t="shared" si="100"/>
        <v>125754</v>
      </c>
      <c r="Y66" s="120">
        <f t="shared" si="100"/>
        <v>106200</v>
      </c>
      <c r="Z66" s="120">
        <f t="shared" si="100"/>
        <v>99760</v>
      </c>
      <c r="AA66" s="120">
        <f t="shared" si="100"/>
        <v>98467</v>
      </c>
      <c r="AB66" s="120">
        <f t="shared" ref="AB66:AG66" si="101">+SUM(AB63:AB65)</f>
        <v>100335</v>
      </c>
      <c r="AC66" s="120">
        <f t="shared" si="101"/>
        <v>97388</v>
      </c>
      <c r="AD66" s="120">
        <f t="shared" si="101"/>
        <v>97237</v>
      </c>
      <c r="AE66" s="120">
        <f t="shared" si="101"/>
        <v>88555</v>
      </c>
      <c r="AF66" s="120">
        <f t="shared" si="101"/>
        <v>82562</v>
      </c>
      <c r="AG66" s="120">
        <f t="shared" si="101"/>
        <v>87763</v>
      </c>
      <c r="AH66" s="120">
        <f t="shared" ref="AH66:AN66" si="102">+SUM(AH63:AH65)</f>
        <v>87818</v>
      </c>
      <c r="AI66" s="120">
        <f t="shared" si="102"/>
        <v>87266</v>
      </c>
      <c r="AJ66" s="120">
        <f t="shared" si="102"/>
        <v>78234</v>
      </c>
      <c r="AK66" s="120">
        <f t="shared" si="102"/>
        <v>71995</v>
      </c>
      <c r="AL66" s="120">
        <f t="shared" si="102"/>
        <v>71761</v>
      </c>
      <c r="AM66" s="120">
        <f t="shared" si="102"/>
        <v>73154</v>
      </c>
      <c r="AN66" s="120">
        <f t="shared" si="102"/>
        <v>76960</v>
      </c>
      <c r="AO66" s="120">
        <f t="shared" ref="AO66:AV66" si="103">+SUM(AO63:AO65)</f>
        <v>71089</v>
      </c>
      <c r="AP66" s="120">
        <f t="shared" si="103"/>
        <v>70850</v>
      </c>
      <c r="AQ66" s="120">
        <f t="shared" si="103"/>
        <v>89634</v>
      </c>
      <c r="AR66" s="120">
        <f t="shared" si="103"/>
        <v>144590</v>
      </c>
      <c r="AS66" s="120">
        <f t="shared" si="103"/>
        <v>133077</v>
      </c>
      <c r="AT66" s="120">
        <f t="shared" si="103"/>
        <v>142625</v>
      </c>
      <c r="AU66" s="120">
        <f t="shared" si="103"/>
        <v>139192</v>
      </c>
      <c r="AV66" s="120">
        <f t="shared" si="103"/>
        <v>154082</v>
      </c>
      <c r="AW66" s="120">
        <f>+SUM(AW63:AW65)</f>
        <v>153680</v>
      </c>
      <c r="AX66" s="120">
        <f>+SUM(AX63:AX65)</f>
        <v>163409</v>
      </c>
      <c r="AY66" s="120">
        <f>+SUM(AY63:AY65)</f>
        <v>166958</v>
      </c>
      <c r="AZ66" s="120">
        <f>+SUM(AZ63:AZ65)</f>
        <v>169264</v>
      </c>
      <c r="BA66" s="120">
        <v>175901</v>
      </c>
      <c r="BB66" s="120">
        <v>174008</v>
      </c>
      <c r="BC66" s="120">
        <f>+SUM(BC63:BC65)</f>
        <v>183102</v>
      </c>
    </row>
    <row r="67" spans="2:55" ht="9" customHeight="1" x14ac:dyDescent="0.25">
      <c r="D67" s="289"/>
      <c r="E67" s="289"/>
      <c r="F67" s="289"/>
      <c r="G67" s="289"/>
      <c r="H67" s="289"/>
      <c r="I67" s="289"/>
    </row>
    <row r="68" spans="2:55" x14ac:dyDescent="0.25">
      <c r="B68" s="145" t="s">
        <v>97</v>
      </c>
      <c r="C68" s="145"/>
      <c r="D68" s="145"/>
      <c r="E68" s="145" t="s">
        <v>160</v>
      </c>
      <c r="F68" s="145" t="s">
        <v>160</v>
      </c>
      <c r="G68" s="145" t="s">
        <v>160</v>
      </c>
      <c r="H68" s="145" t="s">
        <v>160</v>
      </c>
      <c r="I68" s="145" t="s">
        <v>160</v>
      </c>
      <c r="J68" s="115" t="str">
        <f t="shared" ref="J68:BC68" si="104">J$5</f>
        <v>4T14</v>
      </c>
      <c r="K68" s="115" t="str">
        <f t="shared" si="104"/>
        <v>1T15</v>
      </c>
      <c r="L68" s="115" t="str">
        <f t="shared" si="104"/>
        <v>2T15</v>
      </c>
      <c r="M68" s="115" t="str">
        <f t="shared" si="104"/>
        <v>3T15</v>
      </c>
      <c r="N68" s="115" t="str">
        <f t="shared" si="104"/>
        <v>4T15</v>
      </c>
      <c r="O68" s="115" t="str">
        <f t="shared" si="104"/>
        <v>1T16</v>
      </c>
      <c r="P68" s="115" t="str">
        <f t="shared" si="104"/>
        <v>2T16</v>
      </c>
      <c r="Q68" s="115" t="str">
        <f t="shared" si="104"/>
        <v>3T16</v>
      </c>
      <c r="R68" s="115" t="str">
        <f t="shared" si="104"/>
        <v>4T16</v>
      </c>
      <c r="S68" s="115" t="str">
        <f t="shared" si="104"/>
        <v>1T17</v>
      </c>
      <c r="T68" s="115" t="str">
        <f t="shared" si="104"/>
        <v>2T17</v>
      </c>
      <c r="U68" s="115" t="str">
        <f t="shared" si="104"/>
        <v>3T17</v>
      </c>
      <c r="V68" s="115" t="str">
        <f t="shared" si="104"/>
        <v>4T17</v>
      </c>
      <c r="W68" s="115" t="str">
        <f t="shared" si="104"/>
        <v>1T18</v>
      </c>
      <c r="X68" s="115" t="str">
        <f t="shared" si="104"/>
        <v>2T18</v>
      </c>
      <c r="Y68" s="115" t="str">
        <f t="shared" si="104"/>
        <v>3T18</v>
      </c>
      <c r="Z68" s="115" t="str">
        <f t="shared" si="104"/>
        <v>4T18</v>
      </c>
      <c r="AA68" s="115" t="str">
        <f t="shared" si="104"/>
        <v>1T19</v>
      </c>
      <c r="AB68" s="115" t="str">
        <f t="shared" si="104"/>
        <v>2T19</v>
      </c>
      <c r="AC68" s="115" t="str">
        <f t="shared" si="104"/>
        <v>3T19</v>
      </c>
      <c r="AD68" s="115" t="str">
        <f t="shared" si="104"/>
        <v>4T19</v>
      </c>
      <c r="AE68" s="115" t="str">
        <f t="shared" si="104"/>
        <v>1T20</v>
      </c>
      <c r="AF68" s="115" t="str">
        <f t="shared" si="104"/>
        <v>2T20</v>
      </c>
      <c r="AG68" s="115" t="str">
        <f t="shared" si="104"/>
        <v>3T20</v>
      </c>
      <c r="AH68" s="115" t="str">
        <f t="shared" si="104"/>
        <v>4T20</v>
      </c>
      <c r="AI68" s="115" t="str">
        <f t="shared" si="104"/>
        <v>1T21</v>
      </c>
      <c r="AJ68" s="115" t="str">
        <f t="shared" si="104"/>
        <v>2T21</v>
      </c>
      <c r="AK68" s="115" t="str">
        <f t="shared" si="104"/>
        <v>3T21</v>
      </c>
      <c r="AL68" s="115" t="str">
        <f t="shared" si="104"/>
        <v>4T21</v>
      </c>
      <c r="AM68" s="115" t="str">
        <f t="shared" si="104"/>
        <v>1T22</v>
      </c>
      <c r="AN68" s="115" t="str">
        <f t="shared" si="104"/>
        <v>2T22</v>
      </c>
      <c r="AO68" s="115" t="str">
        <f t="shared" si="104"/>
        <v>3T22</v>
      </c>
      <c r="AP68" s="115" t="str">
        <f t="shared" si="104"/>
        <v>4T22</v>
      </c>
      <c r="AQ68" s="115" t="str">
        <f t="shared" si="104"/>
        <v>1T23</v>
      </c>
      <c r="AR68" s="115" t="str">
        <f t="shared" si="104"/>
        <v>2T23</v>
      </c>
      <c r="AS68" s="115" t="str">
        <f t="shared" si="104"/>
        <v>3T23</v>
      </c>
      <c r="AT68" s="115" t="str">
        <f t="shared" si="104"/>
        <v>4T23</v>
      </c>
      <c r="AU68" s="115" t="str">
        <f t="shared" si="104"/>
        <v>1T24</v>
      </c>
      <c r="AV68" s="115" t="str">
        <f t="shared" si="104"/>
        <v>2T24</v>
      </c>
      <c r="AW68" s="115" t="str">
        <f t="shared" si="104"/>
        <v>3T24</v>
      </c>
      <c r="AX68" s="115" t="str">
        <f t="shared" si="104"/>
        <v>4T24</v>
      </c>
      <c r="AY68" s="115" t="str">
        <f t="shared" si="104"/>
        <v>1T25</v>
      </c>
      <c r="AZ68" s="115" t="str">
        <f t="shared" si="104"/>
        <v>2T25</v>
      </c>
      <c r="BA68" s="115" t="s">
        <v>1315</v>
      </c>
      <c r="BB68" s="115" t="s">
        <v>1317</v>
      </c>
      <c r="BC68" s="115" t="str">
        <f t="shared" si="104"/>
        <v>1T26</v>
      </c>
    </row>
    <row r="69" spans="2:55" x14ac:dyDescent="0.25">
      <c r="B69" s="129" t="s">
        <v>408</v>
      </c>
      <c r="C69" s="129"/>
      <c r="D69" s="130"/>
      <c r="E69" s="130">
        <v>0</v>
      </c>
      <c r="F69" s="130">
        <v>0</v>
      </c>
      <c r="G69" s="130">
        <v>0</v>
      </c>
      <c r="H69" s="130">
        <v>0</v>
      </c>
      <c r="I69" s="130">
        <v>0</v>
      </c>
      <c r="J69" s="118">
        <v>8941</v>
      </c>
      <c r="K69" s="118">
        <v>0</v>
      </c>
      <c r="L69" s="118">
        <v>0</v>
      </c>
      <c r="M69" s="118">
        <v>7990</v>
      </c>
      <c r="N69" s="118">
        <v>21875</v>
      </c>
      <c r="O69" s="118">
        <v>22726</v>
      </c>
      <c r="P69" s="118">
        <v>27951</v>
      </c>
      <c r="Q69" s="118">
        <v>34167</v>
      </c>
      <c r="R69" s="118">
        <v>35048</v>
      </c>
      <c r="S69" s="118">
        <v>44133</v>
      </c>
      <c r="T69" s="118">
        <v>40387</v>
      </c>
      <c r="U69" s="118">
        <v>49920</v>
      </c>
      <c r="V69" s="118">
        <v>65083</v>
      </c>
      <c r="W69" s="118">
        <v>64567</v>
      </c>
      <c r="X69" s="118">
        <v>58752</v>
      </c>
      <c r="Y69" s="118">
        <v>54440</v>
      </c>
      <c r="Z69" s="118">
        <v>45769</v>
      </c>
      <c r="AA69" s="118">
        <v>39507</v>
      </c>
      <c r="AB69" s="118">
        <v>39208</v>
      </c>
      <c r="AC69" s="118">
        <v>36440</v>
      </c>
      <c r="AD69" s="118">
        <v>38703</v>
      </c>
      <c r="AE69" s="118">
        <v>33009</v>
      </c>
      <c r="AF69" s="118">
        <v>30057</v>
      </c>
      <c r="AG69" s="118">
        <v>34036</v>
      </c>
      <c r="AH69" s="118">
        <v>35502</v>
      </c>
      <c r="AI69" s="118">
        <v>35089</v>
      </c>
      <c r="AJ69" s="118">
        <v>30999</v>
      </c>
      <c r="AK69" s="118">
        <v>23957</v>
      </c>
      <c r="AL69" s="118">
        <v>21861</v>
      </c>
      <c r="AM69" s="118">
        <v>23614</v>
      </c>
      <c r="AN69" s="118">
        <v>22679</v>
      </c>
      <c r="AO69" s="118">
        <v>24077</v>
      </c>
      <c r="AP69" s="118">
        <v>21906</v>
      </c>
      <c r="AQ69" s="118">
        <v>21851</v>
      </c>
      <c r="AR69" s="118">
        <v>22584</v>
      </c>
      <c r="AS69" s="118">
        <v>9282</v>
      </c>
      <c r="AT69" s="118">
        <v>8146</v>
      </c>
      <c r="AU69" s="118">
        <v>4899</v>
      </c>
      <c r="AV69" s="118">
        <v>7292</v>
      </c>
      <c r="AW69" s="118">
        <v>6219</v>
      </c>
      <c r="AX69" s="118">
        <v>10474</v>
      </c>
      <c r="AY69" s="118">
        <v>11708</v>
      </c>
      <c r="AZ69" s="118">
        <v>11263</v>
      </c>
      <c r="BA69" s="118">
        <v>12290</v>
      </c>
      <c r="BB69" s="118">
        <v>10496</v>
      </c>
      <c r="BC69" s="118">
        <v>11905</v>
      </c>
    </row>
    <row r="70" spans="2:55" x14ac:dyDescent="0.25">
      <c r="B70" s="129" t="s">
        <v>409</v>
      </c>
      <c r="C70" s="129"/>
      <c r="D70" s="130"/>
      <c r="E70" s="130">
        <v>0</v>
      </c>
      <c r="F70" s="130">
        <v>0</v>
      </c>
      <c r="G70" s="130">
        <v>0</v>
      </c>
      <c r="H70" s="130">
        <v>0</v>
      </c>
      <c r="I70" s="130">
        <v>0</v>
      </c>
      <c r="J70" s="118">
        <v>1975</v>
      </c>
      <c r="K70" s="118">
        <v>0</v>
      </c>
      <c r="L70" s="118">
        <v>0</v>
      </c>
      <c r="M70" s="118">
        <v>55929</v>
      </c>
      <c r="N70" s="118">
        <v>19193</v>
      </c>
      <c r="O70" s="118">
        <v>8689</v>
      </c>
      <c r="P70" s="118">
        <v>11290</v>
      </c>
      <c r="Q70" s="118">
        <v>11787</v>
      </c>
      <c r="R70" s="118">
        <v>12140</v>
      </c>
      <c r="S70" s="118">
        <v>12451</v>
      </c>
      <c r="T70" s="118">
        <v>17844</v>
      </c>
      <c r="U70" s="118">
        <v>12796</v>
      </c>
      <c r="V70" s="118">
        <v>14767</v>
      </c>
      <c r="W70" s="118">
        <v>22425</v>
      </c>
      <c r="X70" s="118">
        <v>22693</v>
      </c>
      <c r="Y70" s="118">
        <v>23324</v>
      </c>
      <c r="Z70" s="118">
        <v>25703</v>
      </c>
      <c r="AA70" s="118">
        <v>27006</v>
      </c>
      <c r="AB70" s="118">
        <v>28167</v>
      </c>
      <c r="AC70" s="118">
        <v>30701</v>
      </c>
      <c r="AD70" s="118">
        <v>28869</v>
      </c>
      <c r="AE70" s="118">
        <v>29539</v>
      </c>
      <c r="AF70" s="118">
        <v>32175</v>
      </c>
      <c r="AG70" s="118">
        <v>35118</v>
      </c>
      <c r="AH70" s="118">
        <v>35059</v>
      </c>
      <c r="AI70" s="118">
        <v>36074</v>
      </c>
      <c r="AJ70" s="118">
        <v>28868</v>
      </c>
      <c r="AK70" s="118">
        <v>29158</v>
      </c>
      <c r="AL70" s="118">
        <v>30877</v>
      </c>
      <c r="AM70" s="118">
        <v>31055</v>
      </c>
      <c r="AN70" s="118">
        <v>34465</v>
      </c>
      <c r="AO70" s="118">
        <v>31040</v>
      </c>
      <c r="AP70" s="118">
        <v>32751</v>
      </c>
      <c r="AQ70" s="118">
        <v>50396</v>
      </c>
      <c r="AR70" s="261">
        <v>101735</v>
      </c>
      <c r="AS70" s="118">
        <v>103602</v>
      </c>
      <c r="AT70" s="118">
        <v>115062</v>
      </c>
      <c r="AU70" s="118">
        <v>117293</v>
      </c>
      <c r="AV70" s="118">
        <v>128514</v>
      </c>
      <c r="AW70" s="118">
        <v>130765</v>
      </c>
      <c r="AX70" s="118">
        <v>132941</v>
      </c>
      <c r="AY70" s="118">
        <v>135078</v>
      </c>
      <c r="AZ70" s="118">
        <v>136927</v>
      </c>
      <c r="BA70" s="118">
        <v>133158</v>
      </c>
      <c r="BB70" s="118">
        <v>131668</v>
      </c>
      <c r="BC70" s="118">
        <v>135722</v>
      </c>
    </row>
    <row r="71" spans="2:55" x14ac:dyDescent="0.25">
      <c r="B71" s="129" t="s">
        <v>410</v>
      </c>
      <c r="C71" s="129"/>
      <c r="D71" s="130"/>
      <c r="E71" s="130">
        <v>0</v>
      </c>
      <c r="F71" s="130">
        <v>0</v>
      </c>
      <c r="G71" s="130">
        <v>0</v>
      </c>
      <c r="H71" s="130">
        <v>0</v>
      </c>
      <c r="I71" s="130">
        <v>0</v>
      </c>
      <c r="J71" s="118">
        <v>25452</v>
      </c>
      <c r="K71" s="118">
        <v>0</v>
      </c>
      <c r="L71" s="118">
        <v>0</v>
      </c>
      <c r="M71" s="118">
        <v>27474</v>
      </c>
      <c r="N71" s="118">
        <v>28748</v>
      </c>
      <c r="O71" s="118">
        <v>30405</v>
      </c>
      <c r="P71" s="118">
        <v>27144</v>
      </c>
      <c r="Q71" s="118">
        <v>27095</v>
      </c>
      <c r="R71" s="118">
        <v>25126</v>
      </c>
      <c r="S71" s="118">
        <v>28233</v>
      </c>
      <c r="T71" s="118">
        <v>28553</v>
      </c>
      <c r="U71" s="118">
        <v>28988</v>
      </c>
      <c r="V71" s="118">
        <v>29276</v>
      </c>
      <c r="W71" s="118">
        <v>30787</v>
      </c>
      <c r="X71" s="118">
        <v>31562</v>
      </c>
      <c r="Y71" s="118">
        <v>20305</v>
      </c>
      <c r="Z71" s="118">
        <v>20891</v>
      </c>
      <c r="AA71" s="118">
        <v>22544</v>
      </c>
      <c r="AB71" s="118">
        <v>23880</v>
      </c>
      <c r="AC71" s="118">
        <v>20624</v>
      </c>
      <c r="AD71" s="118">
        <v>21100</v>
      </c>
      <c r="AE71" s="118">
        <v>19652</v>
      </c>
      <c r="AF71" s="118">
        <v>14293</v>
      </c>
      <c r="AG71" s="118">
        <v>11790</v>
      </c>
      <c r="AH71" s="118">
        <v>10815</v>
      </c>
      <c r="AI71" s="118">
        <v>9715</v>
      </c>
      <c r="AJ71" s="118">
        <v>11845</v>
      </c>
      <c r="AK71" s="118">
        <v>12262</v>
      </c>
      <c r="AL71" s="118">
        <v>12042</v>
      </c>
      <c r="AM71" s="118">
        <v>11570</v>
      </c>
      <c r="AN71" s="118">
        <v>12817</v>
      </c>
      <c r="AO71" s="118">
        <v>10341</v>
      </c>
      <c r="AP71" s="118">
        <v>9719</v>
      </c>
      <c r="AQ71" s="118">
        <v>9957</v>
      </c>
      <c r="AR71" s="118">
        <v>10194</v>
      </c>
      <c r="AS71" s="118">
        <v>10226</v>
      </c>
      <c r="AT71" s="118">
        <v>8916</v>
      </c>
      <c r="AU71" s="118">
        <v>8060</v>
      </c>
      <c r="AV71" s="118">
        <v>10269</v>
      </c>
      <c r="AW71" s="118">
        <v>9899</v>
      </c>
      <c r="AX71" s="118">
        <v>12100</v>
      </c>
      <c r="AY71" s="118">
        <v>11952</v>
      </c>
      <c r="AZ71" s="118">
        <v>13317</v>
      </c>
      <c r="BA71" s="118">
        <v>11500</v>
      </c>
      <c r="BB71" s="118">
        <v>11934</v>
      </c>
      <c r="BC71" s="118">
        <v>14742</v>
      </c>
    </row>
    <row r="72" spans="2:55" x14ac:dyDescent="0.25">
      <c r="B72" s="126" t="s">
        <v>73</v>
      </c>
      <c r="C72" s="126"/>
      <c r="D72" s="120"/>
      <c r="E72" s="120">
        <v>0</v>
      </c>
      <c r="F72" s="120">
        <v>0</v>
      </c>
      <c r="G72" s="120">
        <v>0</v>
      </c>
      <c r="H72" s="120">
        <v>0</v>
      </c>
      <c r="I72" s="120">
        <v>0</v>
      </c>
      <c r="J72" s="120">
        <f t="shared" ref="J72:T72" si="105">+SUM(J69:J71)</f>
        <v>36368</v>
      </c>
      <c r="K72" s="120">
        <v>0</v>
      </c>
      <c r="L72" s="120">
        <v>0</v>
      </c>
      <c r="M72" s="120">
        <f t="shared" si="105"/>
        <v>91393</v>
      </c>
      <c r="N72" s="120">
        <f t="shared" si="105"/>
        <v>69816</v>
      </c>
      <c r="O72" s="120">
        <f t="shared" si="105"/>
        <v>61820</v>
      </c>
      <c r="P72" s="120">
        <f t="shared" si="105"/>
        <v>66385</v>
      </c>
      <c r="Q72" s="120">
        <f t="shared" si="105"/>
        <v>73049</v>
      </c>
      <c r="R72" s="120">
        <f t="shared" si="105"/>
        <v>72314</v>
      </c>
      <c r="S72" s="120">
        <f t="shared" si="105"/>
        <v>84817</v>
      </c>
      <c r="T72" s="120">
        <f t="shared" si="105"/>
        <v>86784</v>
      </c>
      <c r="U72" s="120">
        <f t="shared" ref="U72:AA72" si="106">+SUM(U69:U71)</f>
        <v>91704</v>
      </c>
      <c r="V72" s="120">
        <f t="shared" si="106"/>
        <v>109126</v>
      </c>
      <c r="W72" s="120">
        <f t="shared" si="106"/>
        <v>117779</v>
      </c>
      <c r="X72" s="120">
        <f t="shared" si="106"/>
        <v>113007</v>
      </c>
      <c r="Y72" s="120">
        <f t="shared" si="106"/>
        <v>98069</v>
      </c>
      <c r="Z72" s="120">
        <f t="shared" si="106"/>
        <v>92363</v>
      </c>
      <c r="AA72" s="120">
        <f t="shared" si="106"/>
        <v>89057</v>
      </c>
      <c r="AB72" s="120">
        <f t="shared" ref="AB72:AG72" si="107">+SUM(AB69:AB71)</f>
        <v>91255</v>
      </c>
      <c r="AC72" s="120">
        <f t="shared" si="107"/>
        <v>87765</v>
      </c>
      <c r="AD72" s="120">
        <f t="shared" si="107"/>
        <v>88672</v>
      </c>
      <c r="AE72" s="120">
        <f t="shared" si="107"/>
        <v>82200</v>
      </c>
      <c r="AF72" s="120">
        <f t="shared" si="107"/>
        <v>76525</v>
      </c>
      <c r="AG72" s="120">
        <f t="shared" si="107"/>
        <v>80944</v>
      </c>
      <c r="AH72" s="120">
        <f t="shared" ref="AH72:AN72" si="108">+SUM(AH69:AH71)</f>
        <v>81376</v>
      </c>
      <c r="AI72" s="120">
        <f t="shared" si="108"/>
        <v>80878</v>
      </c>
      <c r="AJ72" s="120">
        <f t="shared" si="108"/>
        <v>71712</v>
      </c>
      <c r="AK72" s="120">
        <f t="shared" si="108"/>
        <v>65377</v>
      </c>
      <c r="AL72" s="120">
        <f t="shared" si="108"/>
        <v>64780</v>
      </c>
      <c r="AM72" s="120">
        <f t="shared" si="108"/>
        <v>66239</v>
      </c>
      <c r="AN72" s="120">
        <f t="shared" si="108"/>
        <v>69961</v>
      </c>
      <c r="AO72" s="120">
        <f t="shared" ref="AO72:AV72" si="109">+SUM(AO69:AO71)</f>
        <v>65458</v>
      </c>
      <c r="AP72" s="120">
        <f t="shared" si="109"/>
        <v>64376</v>
      </c>
      <c r="AQ72" s="120">
        <f t="shared" si="109"/>
        <v>82204</v>
      </c>
      <c r="AR72" s="120">
        <f t="shared" si="109"/>
        <v>134513</v>
      </c>
      <c r="AS72" s="120">
        <f t="shared" si="109"/>
        <v>123110</v>
      </c>
      <c r="AT72" s="120">
        <f t="shared" si="109"/>
        <v>132124</v>
      </c>
      <c r="AU72" s="120">
        <f t="shared" si="109"/>
        <v>130252</v>
      </c>
      <c r="AV72" s="120">
        <f t="shared" si="109"/>
        <v>146075</v>
      </c>
      <c r="AW72" s="120">
        <f>+SUM(AW69:AW71)</f>
        <v>146883</v>
      </c>
      <c r="AX72" s="120">
        <f>+SUM(AX69:AX71)</f>
        <v>155515</v>
      </c>
      <c r="AY72" s="120">
        <f>+SUM(AY69:AY71)</f>
        <v>158738</v>
      </c>
      <c r="AZ72" s="120">
        <f>+SUM(AZ69:AZ71)</f>
        <v>161507</v>
      </c>
      <c r="BA72" s="120">
        <v>156948</v>
      </c>
      <c r="BB72" s="120">
        <v>154098</v>
      </c>
      <c r="BC72" s="120">
        <f>+SUM(BC69:BC71)</f>
        <v>162369</v>
      </c>
    </row>
    <row r="73" spans="2:55" ht="9" customHeight="1" x14ac:dyDescent="0.25">
      <c r="B73" s="288"/>
      <c r="C73" s="288"/>
      <c r="D73" s="290"/>
      <c r="E73" s="290"/>
      <c r="F73" s="290"/>
      <c r="G73" s="290"/>
      <c r="H73" s="290"/>
      <c r="I73" s="290"/>
    </row>
    <row r="74" spans="2:55" x14ac:dyDescent="0.25">
      <c r="B74" s="145" t="s">
        <v>98</v>
      </c>
      <c r="C74" s="145"/>
      <c r="D74" s="145"/>
      <c r="E74" s="145" t="s">
        <v>160</v>
      </c>
      <c r="F74" s="145" t="s">
        <v>160</v>
      </c>
      <c r="G74" s="145" t="s">
        <v>160</v>
      </c>
      <c r="H74" s="145" t="s">
        <v>160</v>
      </c>
      <c r="I74" s="145" t="s">
        <v>160</v>
      </c>
      <c r="J74" s="115" t="str">
        <f t="shared" ref="J74:BC74" si="110">J$5</f>
        <v>4T14</v>
      </c>
      <c r="K74" s="115" t="str">
        <f t="shared" si="110"/>
        <v>1T15</v>
      </c>
      <c r="L74" s="115" t="str">
        <f t="shared" si="110"/>
        <v>2T15</v>
      </c>
      <c r="M74" s="115" t="str">
        <f t="shared" si="110"/>
        <v>3T15</v>
      </c>
      <c r="N74" s="115" t="str">
        <f t="shared" si="110"/>
        <v>4T15</v>
      </c>
      <c r="O74" s="115" t="str">
        <f t="shared" si="110"/>
        <v>1T16</v>
      </c>
      <c r="P74" s="115" t="str">
        <f t="shared" si="110"/>
        <v>2T16</v>
      </c>
      <c r="Q74" s="115" t="str">
        <f t="shared" si="110"/>
        <v>3T16</v>
      </c>
      <c r="R74" s="115" t="str">
        <f t="shared" si="110"/>
        <v>4T16</v>
      </c>
      <c r="S74" s="115" t="str">
        <f t="shared" si="110"/>
        <v>1T17</v>
      </c>
      <c r="T74" s="115" t="str">
        <f t="shared" si="110"/>
        <v>2T17</v>
      </c>
      <c r="U74" s="115" t="str">
        <f t="shared" si="110"/>
        <v>3T17</v>
      </c>
      <c r="V74" s="115" t="str">
        <f t="shared" si="110"/>
        <v>4T17</v>
      </c>
      <c r="W74" s="115" t="str">
        <f t="shared" si="110"/>
        <v>1T18</v>
      </c>
      <c r="X74" s="115" t="str">
        <f t="shared" si="110"/>
        <v>2T18</v>
      </c>
      <c r="Y74" s="115" t="str">
        <f t="shared" si="110"/>
        <v>3T18</v>
      </c>
      <c r="Z74" s="115" t="str">
        <f t="shared" si="110"/>
        <v>4T18</v>
      </c>
      <c r="AA74" s="115" t="str">
        <f t="shared" si="110"/>
        <v>1T19</v>
      </c>
      <c r="AB74" s="115" t="str">
        <f t="shared" si="110"/>
        <v>2T19</v>
      </c>
      <c r="AC74" s="115" t="str">
        <f t="shared" si="110"/>
        <v>3T19</v>
      </c>
      <c r="AD74" s="115" t="str">
        <f t="shared" si="110"/>
        <v>4T19</v>
      </c>
      <c r="AE74" s="115" t="str">
        <f t="shared" si="110"/>
        <v>1T20</v>
      </c>
      <c r="AF74" s="115" t="str">
        <f t="shared" si="110"/>
        <v>2T20</v>
      </c>
      <c r="AG74" s="115" t="str">
        <f t="shared" si="110"/>
        <v>3T20</v>
      </c>
      <c r="AH74" s="115" t="str">
        <f t="shared" si="110"/>
        <v>4T20</v>
      </c>
      <c r="AI74" s="115" t="str">
        <f t="shared" si="110"/>
        <v>1T21</v>
      </c>
      <c r="AJ74" s="115" t="str">
        <f t="shared" si="110"/>
        <v>2T21</v>
      </c>
      <c r="AK74" s="115" t="str">
        <f t="shared" si="110"/>
        <v>3T21</v>
      </c>
      <c r="AL74" s="115" t="str">
        <f t="shared" si="110"/>
        <v>4T21</v>
      </c>
      <c r="AM74" s="115" t="str">
        <f t="shared" si="110"/>
        <v>1T22</v>
      </c>
      <c r="AN74" s="115" t="str">
        <f t="shared" si="110"/>
        <v>2T22</v>
      </c>
      <c r="AO74" s="115" t="str">
        <f t="shared" si="110"/>
        <v>3T22</v>
      </c>
      <c r="AP74" s="115" t="str">
        <f t="shared" si="110"/>
        <v>4T22</v>
      </c>
      <c r="AQ74" s="115" t="str">
        <f t="shared" si="110"/>
        <v>1T23</v>
      </c>
      <c r="AR74" s="115" t="str">
        <f t="shared" si="110"/>
        <v>2T23</v>
      </c>
      <c r="AS74" s="115" t="str">
        <f t="shared" si="110"/>
        <v>3T23</v>
      </c>
      <c r="AT74" s="115" t="str">
        <f t="shared" si="110"/>
        <v>4T23</v>
      </c>
      <c r="AU74" s="115" t="str">
        <f t="shared" si="110"/>
        <v>1T24</v>
      </c>
      <c r="AV74" s="115" t="str">
        <f t="shared" si="110"/>
        <v>2T24</v>
      </c>
      <c r="AW74" s="115" t="str">
        <f t="shared" si="110"/>
        <v>3T24</v>
      </c>
      <c r="AX74" s="115" t="str">
        <f t="shared" si="110"/>
        <v>4T24</v>
      </c>
      <c r="AY74" s="115" t="str">
        <f t="shared" si="110"/>
        <v>1T25</v>
      </c>
      <c r="AZ74" s="115" t="str">
        <f t="shared" si="110"/>
        <v>2T25</v>
      </c>
      <c r="BA74" s="115" t="s">
        <v>1315</v>
      </c>
      <c r="BB74" s="115" t="s">
        <v>1317</v>
      </c>
      <c r="BC74" s="115" t="str">
        <f t="shared" si="110"/>
        <v>1T26</v>
      </c>
    </row>
    <row r="75" spans="2:55" x14ac:dyDescent="0.25">
      <c r="B75" s="129" t="s">
        <v>408</v>
      </c>
      <c r="C75" s="129"/>
      <c r="D75" s="130"/>
      <c r="E75" s="130">
        <v>0</v>
      </c>
      <c r="F75" s="130">
        <v>0</v>
      </c>
      <c r="G75" s="130">
        <v>0</v>
      </c>
      <c r="H75" s="130">
        <v>0</v>
      </c>
      <c r="I75" s="130">
        <v>0</v>
      </c>
      <c r="J75" s="118">
        <f t="shared" ref="J75:N78" si="111">+J63-J69</f>
        <v>13413</v>
      </c>
      <c r="K75" s="118">
        <v>0</v>
      </c>
      <c r="L75" s="118">
        <v>0</v>
      </c>
      <c r="M75" s="118">
        <f t="shared" si="111"/>
        <v>6506</v>
      </c>
      <c r="N75" s="118">
        <f t="shared" si="111"/>
        <v>10755</v>
      </c>
      <c r="O75" s="118">
        <f t="shared" ref="O75:T78" si="112">+O63-O69</f>
        <v>9762</v>
      </c>
      <c r="P75" s="118">
        <f t="shared" si="112"/>
        <v>8555</v>
      </c>
      <c r="Q75" s="118">
        <f t="shared" si="112"/>
        <v>6135</v>
      </c>
      <c r="R75" s="118">
        <v>4321</v>
      </c>
      <c r="S75" s="118">
        <v>5497</v>
      </c>
      <c r="T75" s="118">
        <v>6802</v>
      </c>
      <c r="U75" s="118">
        <v>8134</v>
      </c>
      <c r="V75" s="118">
        <f t="shared" ref="U75:V78" si="113">+V63-V69</f>
        <v>11467</v>
      </c>
      <c r="W75" s="118">
        <v>6704</v>
      </c>
      <c r="X75" s="118">
        <f t="shared" ref="X75:AA78" si="114">+X63-X69</f>
        <v>6411</v>
      </c>
      <c r="Y75" s="118">
        <f t="shared" si="114"/>
        <v>3493</v>
      </c>
      <c r="Z75" s="118">
        <f t="shared" si="114"/>
        <v>2743</v>
      </c>
      <c r="AA75" s="118">
        <f t="shared" si="114"/>
        <v>2622</v>
      </c>
      <c r="AB75" s="118">
        <v>1387</v>
      </c>
      <c r="AC75" s="118">
        <v>1782</v>
      </c>
      <c r="AD75" s="118">
        <v>1532</v>
      </c>
      <c r="AE75" s="118">
        <f t="shared" ref="AE75:AF78" si="115">+AE63-AE69</f>
        <v>1144</v>
      </c>
      <c r="AF75" s="118">
        <v>715</v>
      </c>
      <c r="AG75" s="118">
        <v>1640</v>
      </c>
      <c r="AH75" s="118">
        <v>1054</v>
      </c>
      <c r="AI75" s="118">
        <f t="shared" ref="AI75:AN78" si="116">+AI63-AI69</f>
        <v>1144</v>
      </c>
      <c r="AJ75" s="118">
        <f t="shared" si="116"/>
        <v>1270</v>
      </c>
      <c r="AK75" s="118">
        <f t="shared" si="116"/>
        <v>1239</v>
      </c>
      <c r="AL75" s="118">
        <f t="shared" si="116"/>
        <v>1519</v>
      </c>
      <c r="AM75" s="118">
        <f t="shared" si="116"/>
        <v>1622</v>
      </c>
      <c r="AN75" s="118">
        <f t="shared" si="116"/>
        <v>1494</v>
      </c>
      <c r="AO75" s="118">
        <f t="shared" ref="AO75:AU78" si="117">+AO63-AO69</f>
        <v>2249</v>
      </c>
      <c r="AP75" s="118">
        <f t="shared" si="117"/>
        <v>3371</v>
      </c>
      <c r="AQ75" s="118">
        <f t="shared" si="117"/>
        <v>4306</v>
      </c>
      <c r="AR75" s="118">
        <f t="shared" si="117"/>
        <v>3964</v>
      </c>
      <c r="AS75" s="118">
        <f t="shared" si="117"/>
        <v>3784</v>
      </c>
      <c r="AT75" s="118">
        <f t="shared" si="117"/>
        <v>2930</v>
      </c>
      <c r="AU75" s="118">
        <f t="shared" si="117"/>
        <v>2325</v>
      </c>
      <c r="AV75" s="118">
        <f t="shared" ref="AV75:AX78" si="118">+AV63-AV69</f>
        <v>363</v>
      </c>
      <c r="AW75" s="118">
        <f t="shared" si="118"/>
        <v>303</v>
      </c>
      <c r="AX75" s="118">
        <f t="shared" si="118"/>
        <v>834</v>
      </c>
      <c r="AY75" s="118">
        <v>1205</v>
      </c>
      <c r="AZ75" s="118">
        <v>1038</v>
      </c>
      <c r="BA75" s="118">
        <v>1251</v>
      </c>
      <c r="BB75" s="118">
        <v>2150</v>
      </c>
      <c r="BC75" s="118">
        <f>+BC63-BC69</f>
        <v>2138</v>
      </c>
    </row>
    <row r="76" spans="2:55" x14ac:dyDescent="0.25">
      <c r="B76" s="129" t="s">
        <v>409</v>
      </c>
      <c r="C76" s="129"/>
      <c r="D76" s="130"/>
      <c r="E76" s="130">
        <v>0</v>
      </c>
      <c r="F76" s="130">
        <v>0</v>
      </c>
      <c r="G76" s="130">
        <v>0</v>
      </c>
      <c r="H76" s="130">
        <v>0</v>
      </c>
      <c r="I76" s="130">
        <v>0</v>
      </c>
      <c r="J76" s="118">
        <f t="shared" si="111"/>
        <v>53811</v>
      </c>
      <c r="K76" s="118">
        <v>0</v>
      </c>
      <c r="L76" s="118">
        <v>0</v>
      </c>
      <c r="M76" s="118">
        <f t="shared" si="111"/>
        <v>35877</v>
      </c>
      <c r="N76" s="118">
        <f t="shared" si="111"/>
        <v>36952</v>
      </c>
      <c r="O76" s="118">
        <f t="shared" si="112"/>
        <v>37687</v>
      </c>
      <c r="P76" s="118">
        <f t="shared" si="112"/>
        <v>38687</v>
      </c>
      <c r="Q76" s="118">
        <f t="shared" si="112"/>
        <v>43716</v>
      </c>
      <c r="R76" s="118">
        <v>44734</v>
      </c>
      <c r="S76" s="118">
        <v>45803</v>
      </c>
      <c r="T76" s="118">
        <v>4602</v>
      </c>
      <c r="U76" s="118">
        <v>5042</v>
      </c>
      <c r="V76" s="118">
        <f t="shared" si="113"/>
        <v>5319</v>
      </c>
      <c r="W76" s="118">
        <v>4343</v>
      </c>
      <c r="X76" s="118">
        <f t="shared" si="114"/>
        <v>5775</v>
      </c>
      <c r="Y76" s="118">
        <f t="shared" si="114"/>
        <v>4414</v>
      </c>
      <c r="Z76" s="118">
        <f t="shared" si="114"/>
        <v>4432</v>
      </c>
      <c r="AA76" s="118">
        <f t="shared" si="114"/>
        <v>4486</v>
      </c>
      <c r="AB76" s="118">
        <v>4424</v>
      </c>
      <c r="AC76" s="118">
        <v>4583</v>
      </c>
      <c r="AD76" s="118">
        <v>6767</v>
      </c>
      <c r="AE76" s="118">
        <f t="shared" si="115"/>
        <v>4989</v>
      </c>
      <c r="AF76" s="118">
        <v>5098</v>
      </c>
      <c r="AG76" s="118">
        <v>5038</v>
      </c>
      <c r="AH76" s="118">
        <v>5236</v>
      </c>
      <c r="AI76" s="118">
        <f t="shared" si="116"/>
        <v>5100</v>
      </c>
      <c r="AJ76" s="118">
        <f t="shared" si="116"/>
        <v>5107</v>
      </c>
      <c r="AK76" s="118">
        <f t="shared" si="116"/>
        <v>5209</v>
      </c>
      <c r="AL76" s="118">
        <f t="shared" si="116"/>
        <v>5288</v>
      </c>
      <c r="AM76" s="118">
        <f t="shared" si="116"/>
        <v>5135</v>
      </c>
      <c r="AN76" s="118">
        <f t="shared" si="116"/>
        <v>5287</v>
      </c>
      <c r="AO76" s="118">
        <f t="shared" si="117"/>
        <v>3165</v>
      </c>
      <c r="AP76" s="118">
        <f t="shared" si="117"/>
        <v>2862</v>
      </c>
      <c r="AQ76" s="118">
        <f t="shared" si="117"/>
        <v>2882</v>
      </c>
      <c r="AR76" s="118">
        <f t="shared" si="117"/>
        <v>5838</v>
      </c>
      <c r="AS76" s="118">
        <f t="shared" si="117"/>
        <v>5974</v>
      </c>
      <c r="AT76" s="118">
        <f t="shared" si="117"/>
        <v>7492</v>
      </c>
      <c r="AU76" s="118">
        <f t="shared" si="117"/>
        <v>6534</v>
      </c>
      <c r="AV76" s="118">
        <f t="shared" si="118"/>
        <v>7562</v>
      </c>
      <c r="AW76" s="118">
        <f t="shared" si="118"/>
        <v>6412</v>
      </c>
      <c r="AX76" s="118">
        <f t="shared" si="118"/>
        <v>6978</v>
      </c>
      <c r="AY76" s="118">
        <v>6930</v>
      </c>
      <c r="AZ76" s="118">
        <v>6589</v>
      </c>
      <c r="BA76" s="118">
        <v>17570</v>
      </c>
      <c r="BB76" s="118">
        <v>17629</v>
      </c>
      <c r="BC76" s="118">
        <f>+BC64-BC70</f>
        <v>18489</v>
      </c>
    </row>
    <row r="77" spans="2:55" x14ac:dyDescent="0.25">
      <c r="B77" s="129" t="s">
        <v>410</v>
      </c>
      <c r="C77" s="129"/>
      <c r="D77" s="130"/>
      <c r="E77" s="130">
        <v>0</v>
      </c>
      <c r="F77" s="130">
        <v>0</v>
      </c>
      <c r="G77" s="130">
        <v>0</v>
      </c>
      <c r="H77" s="130">
        <v>0</v>
      </c>
      <c r="I77" s="130">
        <v>0</v>
      </c>
      <c r="J77" s="118">
        <f t="shared" si="111"/>
        <v>3102</v>
      </c>
      <c r="K77" s="118">
        <v>0</v>
      </c>
      <c r="L77" s="118">
        <v>0</v>
      </c>
      <c r="M77" s="118">
        <f t="shared" si="111"/>
        <v>3185</v>
      </c>
      <c r="N77" s="118">
        <f t="shared" si="111"/>
        <v>3194</v>
      </c>
      <c r="O77" s="118">
        <f t="shared" si="112"/>
        <v>3923</v>
      </c>
      <c r="P77" s="118">
        <f t="shared" si="112"/>
        <v>3821</v>
      </c>
      <c r="Q77" s="118">
        <f t="shared" si="112"/>
        <v>3815</v>
      </c>
      <c r="R77" s="118">
        <v>7833</v>
      </c>
      <c r="S77" s="118">
        <v>8038</v>
      </c>
      <c r="T77" s="118">
        <v>8538</v>
      </c>
      <c r="U77" s="118">
        <v>6913</v>
      </c>
      <c r="V77" s="118">
        <f t="shared" si="113"/>
        <v>6912</v>
      </c>
      <c r="W77" s="118">
        <v>741</v>
      </c>
      <c r="X77" s="118">
        <f t="shared" si="114"/>
        <v>561</v>
      </c>
      <c r="Y77" s="118">
        <f t="shared" si="114"/>
        <v>224</v>
      </c>
      <c r="Z77" s="118">
        <f t="shared" si="114"/>
        <v>222</v>
      </c>
      <c r="AA77" s="118">
        <f t="shared" si="114"/>
        <v>2302</v>
      </c>
      <c r="AB77" s="118">
        <v>3269</v>
      </c>
      <c r="AC77" s="118">
        <v>3258</v>
      </c>
      <c r="AD77" s="118">
        <v>266</v>
      </c>
      <c r="AE77" s="118">
        <f t="shared" si="115"/>
        <v>222</v>
      </c>
      <c r="AF77" s="118">
        <v>224</v>
      </c>
      <c r="AG77" s="118">
        <v>141</v>
      </c>
      <c r="AH77" s="118">
        <v>152</v>
      </c>
      <c r="AI77" s="118">
        <f t="shared" si="116"/>
        <v>144</v>
      </c>
      <c r="AJ77" s="118">
        <f t="shared" si="116"/>
        <v>145</v>
      </c>
      <c r="AK77" s="118">
        <f t="shared" si="116"/>
        <v>170</v>
      </c>
      <c r="AL77" s="118">
        <f t="shared" si="116"/>
        <v>174</v>
      </c>
      <c r="AM77" s="118">
        <f t="shared" si="116"/>
        <v>158</v>
      </c>
      <c r="AN77" s="118">
        <f t="shared" si="116"/>
        <v>218</v>
      </c>
      <c r="AO77" s="118">
        <f t="shared" si="117"/>
        <v>217</v>
      </c>
      <c r="AP77" s="118">
        <f t="shared" si="117"/>
        <v>241</v>
      </c>
      <c r="AQ77" s="118">
        <f t="shared" si="117"/>
        <v>242</v>
      </c>
      <c r="AR77" s="118">
        <f t="shared" si="117"/>
        <v>275</v>
      </c>
      <c r="AS77" s="118">
        <f t="shared" si="117"/>
        <v>209</v>
      </c>
      <c r="AT77" s="118">
        <f t="shared" si="117"/>
        <v>79</v>
      </c>
      <c r="AU77" s="118">
        <f t="shared" si="117"/>
        <v>81</v>
      </c>
      <c r="AV77" s="118">
        <f t="shared" si="118"/>
        <v>82</v>
      </c>
      <c r="AW77" s="118">
        <f t="shared" si="118"/>
        <v>82</v>
      </c>
      <c r="AX77" s="118">
        <f t="shared" si="118"/>
        <v>82</v>
      </c>
      <c r="AY77" s="118">
        <v>85</v>
      </c>
      <c r="AZ77" s="118">
        <v>130</v>
      </c>
      <c r="BA77" s="118">
        <v>132</v>
      </c>
      <c r="BB77" s="118">
        <v>131</v>
      </c>
      <c r="BC77" s="118">
        <f>+BC65-BC71</f>
        <v>106</v>
      </c>
    </row>
    <row r="78" spans="2:55" x14ac:dyDescent="0.25">
      <c r="B78" s="126" t="s">
        <v>73</v>
      </c>
      <c r="C78" s="126"/>
      <c r="D78" s="120"/>
      <c r="E78" s="120">
        <v>0</v>
      </c>
      <c r="F78" s="120">
        <v>0</v>
      </c>
      <c r="G78" s="120">
        <v>0</v>
      </c>
      <c r="H78" s="120">
        <v>0</v>
      </c>
      <c r="I78" s="120">
        <v>0</v>
      </c>
      <c r="J78" s="120">
        <f t="shared" si="111"/>
        <v>70326</v>
      </c>
      <c r="K78" s="120">
        <v>0</v>
      </c>
      <c r="L78" s="120">
        <v>0</v>
      </c>
      <c r="M78" s="120">
        <f t="shared" si="111"/>
        <v>45568</v>
      </c>
      <c r="N78" s="120">
        <f t="shared" si="111"/>
        <v>50901</v>
      </c>
      <c r="O78" s="120">
        <f t="shared" si="112"/>
        <v>51372</v>
      </c>
      <c r="P78" s="120">
        <f t="shared" si="112"/>
        <v>51063</v>
      </c>
      <c r="Q78" s="120">
        <f t="shared" si="112"/>
        <v>53666</v>
      </c>
      <c r="R78" s="120">
        <f t="shared" si="112"/>
        <v>56888</v>
      </c>
      <c r="S78" s="120">
        <f t="shared" si="112"/>
        <v>59338</v>
      </c>
      <c r="T78" s="120">
        <f t="shared" si="112"/>
        <v>19942</v>
      </c>
      <c r="U78" s="120">
        <f t="shared" si="113"/>
        <v>20089</v>
      </c>
      <c r="V78" s="120">
        <f t="shared" si="113"/>
        <v>23698</v>
      </c>
      <c r="W78" s="120">
        <f>+W66-W72</f>
        <v>11788</v>
      </c>
      <c r="X78" s="120">
        <f t="shared" si="114"/>
        <v>12747</v>
      </c>
      <c r="Y78" s="120">
        <f t="shared" si="114"/>
        <v>8131</v>
      </c>
      <c r="Z78" s="120">
        <f t="shared" si="114"/>
        <v>7397</v>
      </c>
      <c r="AA78" s="120">
        <f t="shared" si="114"/>
        <v>9410</v>
      </c>
      <c r="AB78" s="120">
        <f>+AB66-AB72</f>
        <v>9080</v>
      </c>
      <c r="AC78" s="120">
        <f>+AC66-AC72</f>
        <v>9623</v>
      </c>
      <c r="AD78" s="120">
        <f>+AD66-AD72</f>
        <v>8565</v>
      </c>
      <c r="AE78" s="120">
        <f t="shared" si="115"/>
        <v>6355</v>
      </c>
      <c r="AF78" s="120">
        <f t="shared" si="115"/>
        <v>6037</v>
      </c>
      <c r="AG78" s="120">
        <f>+AG66-AG72</f>
        <v>6819</v>
      </c>
      <c r="AH78" s="120">
        <f>+AH66-AH72</f>
        <v>6442</v>
      </c>
      <c r="AI78" s="120">
        <f t="shared" si="116"/>
        <v>6388</v>
      </c>
      <c r="AJ78" s="120">
        <f t="shared" si="116"/>
        <v>6522</v>
      </c>
      <c r="AK78" s="120">
        <f t="shared" si="116"/>
        <v>6618</v>
      </c>
      <c r="AL78" s="120">
        <f t="shared" si="116"/>
        <v>6981</v>
      </c>
      <c r="AM78" s="120">
        <f t="shared" si="116"/>
        <v>6915</v>
      </c>
      <c r="AN78" s="120">
        <f t="shared" si="116"/>
        <v>6999</v>
      </c>
      <c r="AO78" s="120">
        <f t="shared" si="117"/>
        <v>5631</v>
      </c>
      <c r="AP78" s="120">
        <f t="shared" si="117"/>
        <v>6474</v>
      </c>
      <c r="AQ78" s="120">
        <f t="shared" si="117"/>
        <v>7430</v>
      </c>
      <c r="AR78" s="120">
        <f t="shared" si="117"/>
        <v>10077</v>
      </c>
      <c r="AS78" s="120">
        <f t="shared" si="117"/>
        <v>9967</v>
      </c>
      <c r="AT78" s="120">
        <f t="shared" si="117"/>
        <v>10501</v>
      </c>
      <c r="AU78" s="120">
        <f t="shared" si="117"/>
        <v>8940</v>
      </c>
      <c r="AV78" s="120">
        <f t="shared" si="118"/>
        <v>8007</v>
      </c>
      <c r="AW78" s="120">
        <f t="shared" si="118"/>
        <v>6797</v>
      </c>
      <c r="AX78" s="120">
        <f t="shared" si="118"/>
        <v>7894</v>
      </c>
      <c r="AY78" s="120">
        <f>+AY66-AY72</f>
        <v>8220</v>
      </c>
      <c r="AZ78" s="120">
        <f>+AZ66-AZ72</f>
        <v>7757</v>
      </c>
      <c r="BA78" s="120">
        <v>18953</v>
      </c>
      <c r="BB78" s="120">
        <v>19910</v>
      </c>
      <c r="BC78" s="120">
        <f>+BC66-BC72</f>
        <v>20733</v>
      </c>
    </row>
    <row r="80" spans="2:55" x14ac:dyDescent="0.25">
      <c r="B80" s="936" t="s">
        <v>686</v>
      </c>
      <c r="C80" s="937"/>
      <c r="D80" s="937"/>
      <c r="E80" s="937"/>
      <c r="F80" s="937"/>
      <c r="G80" s="937"/>
      <c r="H80" s="937"/>
      <c r="I80" s="937"/>
      <c r="J80" s="935"/>
      <c r="K80" s="935"/>
      <c r="L80" s="935"/>
      <c r="M80" s="935"/>
      <c r="N80" s="935"/>
      <c r="O80" s="935"/>
      <c r="P80" s="935"/>
      <c r="Q80" s="935"/>
      <c r="R80" s="935"/>
      <c r="S80" s="935"/>
      <c r="T80" s="935"/>
      <c r="U80" s="935"/>
      <c r="V80" s="935"/>
      <c r="W80" s="935"/>
      <c r="X80" s="935"/>
      <c r="Y80" s="935"/>
      <c r="Z80" s="935"/>
      <c r="AA80" s="935"/>
      <c r="AB80" s="935"/>
      <c r="AC80" s="935"/>
      <c r="AD80" s="935"/>
      <c r="AE80" s="935"/>
      <c r="AF80" s="935"/>
      <c r="AG80" s="935"/>
      <c r="AH80" s="935"/>
      <c r="AI80" s="935"/>
      <c r="AJ80" s="935"/>
      <c r="AK80" s="935"/>
      <c r="AL80" s="935"/>
      <c r="AM80" s="935"/>
      <c r="AN80" s="935"/>
      <c r="AO80" s="935"/>
      <c r="AP80" s="935"/>
      <c r="AQ80" s="935"/>
      <c r="AR80" s="935"/>
      <c r="AS80" s="935"/>
      <c r="AT80" s="935"/>
      <c r="AU80" s="935"/>
      <c r="AV80" s="935"/>
      <c r="AW80" s="935"/>
      <c r="AX80" s="935"/>
      <c r="AY80" s="935"/>
      <c r="AZ80" s="935"/>
      <c r="BA80" s="935"/>
      <c r="BB80" s="935"/>
      <c r="BC80" s="935"/>
    </row>
    <row r="81" spans="2:55" x14ac:dyDescent="0.25">
      <c r="B81" s="145" t="s">
        <v>96</v>
      </c>
      <c r="C81" s="145" t="s">
        <v>160</v>
      </c>
      <c r="D81" s="145" t="s">
        <v>160</v>
      </c>
      <c r="E81" s="145" t="s">
        <v>160</v>
      </c>
      <c r="F81" s="145" t="s">
        <v>160</v>
      </c>
      <c r="G81" s="145" t="s">
        <v>160</v>
      </c>
      <c r="H81" s="145" t="s">
        <v>160</v>
      </c>
      <c r="I81" s="145" t="s">
        <v>160</v>
      </c>
      <c r="J81" s="115" t="s">
        <v>160</v>
      </c>
      <c r="K81" s="115" t="s">
        <v>160</v>
      </c>
      <c r="L81" s="115" t="s">
        <v>160</v>
      </c>
      <c r="M81" s="115" t="s">
        <v>160</v>
      </c>
      <c r="N81" s="115" t="s">
        <v>160</v>
      </c>
      <c r="O81" s="115" t="s">
        <v>160</v>
      </c>
      <c r="P81" s="115" t="s">
        <v>160</v>
      </c>
      <c r="Q81" s="115" t="s">
        <v>160</v>
      </c>
      <c r="R81" s="115" t="s">
        <v>160</v>
      </c>
      <c r="S81" s="115" t="str">
        <f>S$5</f>
        <v>1T17</v>
      </c>
      <c r="T81" s="115" t="str">
        <f t="shared" ref="T81:BC81" si="119">T$5</f>
        <v>2T17</v>
      </c>
      <c r="U81" s="115" t="str">
        <f t="shared" si="119"/>
        <v>3T17</v>
      </c>
      <c r="V81" s="115" t="str">
        <f t="shared" si="119"/>
        <v>4T17</v>
      </c>
      <c r="W81" s="115" t="str">
        <f t="shared" si="119"/>
        <v>1T18</v>
      </c>
      <c r="X81" s="115" t="str">
        <f t="shared" si="119"/>
        <v>2T18</v>
      </c>
      <c r="Y81" s="115" t="str">
        <f t="shared" si="119"/>
        <v>3T18</v>
      </c>
      <c r="Z81" s="115" t="str">
        <f t="shared" si="119"/>
        <v>4T18</v>
      </c>
      <c r="AA81" s="115" t="str">
        <f t="shared" si="119"/>
        <v>1T19</v>
      </c>
      <c r="AB81" s="115" t="str">
        <f t="shared" si="119"/>
        <v>2T19</v>
      </c>
      <c r="AC81" s="115" t="str">
        <f t="shared" si="119"/>
        <v>3T19</v>
      </c>
      <c r="AD81" s="115" t="str">
        <f t="shared" si="119"/>
        <v>4T19</v>
      </c>
      <c r="AE81" s="115" t="str">
        <f t="shared" si="119"/>
        <v>1T20</v>
      </c>
      <c r="AF81" s="115" t="str">
        <f t="shared" si="119"/>
        <v>2T20</v>
      </c>
      <c r="AG81" s="115" t="str">
        <f t="shared" si="119"/>
        <v>3T20</v>
      </c>
      <c r="AH81" s="115" t="str">
        <f t="shared" si="119"/>
        <v>4T20</v>
      </c>
      <c r="AI81" s="115" t="str">
        <f t="shared" si="119"/>
        <v>1T21</v>
      </c>
      <c r="AJ81" s="115" t="str">
        <f t="shared" si="119"/>
        <v>2T21</v>
      </c>
      <c r="AK81" s="115" t="str">
        <f t="shared" si="119"/>
        <v>3T21</v>
      </c>
      <c r="AL81" s="115" t="str">
        <f t="shared" si="119"/>
        <v>4T21</v>
      </c>
      <c r="AM81" s="115" t="str">
        <f t="shared" si="119"/>
        <v>1T22</v>
      </c>
      <c r="AN81" s="115" t="str">
        <f t="shared" si="119"/>
        <v>2T22</v>
      </c>
      <c r="AO81" s="115" t="str">
        <f t="shared" si="119"/>
        <v>3T22</v>
      </c>
      <c r="AP81" s="115" t="str">
        <f t="shared" si="119"/>
        <v>4T22</v>
      </c>
      <c r="AQ81" s="115" t="str">
        <f t="shared" si="119"/>
        <v>1T23</v>
      </c>
      <c r="AR81" s="115" t="str">
        <f t="shared" si="119"/>
        <v>2T23</v>
      </c>
      <c r="AS81" s="115" t="str">
        <f t="shared" si="119"/>
        <v>3T23</v>
      </c>
      <c r="AT81" s="115" t="str">
        <f t="shared" si="119"/>
        <v>4T23</v>
      </c>
      <c r="AU81" s="115" t="str">
        <f t="shared" si="119"/>
        <v>1T24</v>
      </c>
      <c r="AV81" s="115" t="str">
        <f t="shared" si="119"/>
        <v>2T24</v>
      </c>
      <c r="AW81" s="115" t="str">
        <f t="shared" si="119"/>
        <v>3T24</v>
      </c>
      <c r="AX81" s="115" t="str">
        <f t="shared" si="119"/>
        <v>4T24</v>
      </c>
      <c r="AY81" s="115" t="str">
        <f t="shared" si="119"/>
        <v>1T25</v>
      </c>
      <c r="AZ81" s="115" t="str">
        <f t="shared" si="119"/>
        <v>2T25</v>
      </c>
      <c r="BA81" s="115" t="s">
        <v>1315</v>
      </c>
      <c r="BB81" s="115" t="s">
        <v>1317</v>
      </c>
      <c r="BC81" s="115" t="str">
        <f t="shared" si="119"/>
        <v>1T26</v>
      </c>
    </row>
    <row r="82" spans="2:55" x14ac:dyDescent="0.25">
      <c r="B82" s="126" t="s">
        <v>188</v>
      </c>
      <c r="C82" s="120">
        <v>0</v>
      </c>
      <c r="D82" s="120">
        <v>0</v>
      </c>
      <c r="E82" s="120">
        <v>0</v>
      </c>
      <c r="F82" s="120">
        <v>0</v>
      </c>
      <c r="G82" s="120">
        <v>0</v>
      </c>
      <c r="H82" s="120">
        <v>0</v>
      </c>
      <c r="I82" s="120">
        <v>0</v>
      </c>
      <c r="J82" s="120">
        <v>0</v>
      </c>
      <c r="K82" s="120">
        <v>0</v>
      </c>
      <c r="L82" s="120">
        <v>0</v>
      </c>
      <c r="M82" s="120">
        <v>0</v>
      </c>
      <c r="N82" s="120">
        <v>0</v>
      </c>
      <c r="O82" s="120">
        <v>0</v>
      </c>
      <c r="P82" s="120">
        <v>0</v>
      </c>
      <c r="Q82" s="120">
        <v>0</v>
      </c>
      <c r="R82" s="120">
        <v>0</v>
      </c>
      <c r="S82" s="120">
        <v>14938</v>
      </c>
      <c r="T82" s="120">
        <f t="shared" ref="T82:AA82" si="120">+S91</f>
        <v>14709.10462</v>
      </c>
      <c r="U82" s="120">
        <f t="shared" si="120"/>
        <v>36603.414620000003</v>
      </c>
      <c r="V82" s="120">
        <f t="shared" si="120"/>
        <v>34954.246920000005</v>
      </c>
      <c r="W82" s="120">
        <f t="shared" si="120"/>
        <v>38983.000000000007</v>
      </c>
      <c r="X82" s="120">
        <f t="shared" si="120"/>
        <v>43770.000000000007</v>
      </c>
      <c r="Y82" s="120">
        <f t="shared" si="120"/>
        <v>41092.000000000007</v>
      </c>
      <c r="Z82" s="120">
        <f t="shared" si="120"/>
        <v>36834.000000000007</v>
      </c>
      <c r="AA82" s="120">
        <f t="shared" si="120"/>
        <v>44444.000000000007</v>
      </c>
      <c r="AB82" s="120">
        <f t="shared" ref="AB82:AH82" si="121">+AA91</f>
        <v>43202.000000000007</v>
      </c>
      <c r="AC82" s="120">
        <f t="shared" si="121"/>
        <v>42750.000000000007</v>
      </c>
      <c r="AD82" s="120">
        <f t="shared" si="121"/>
        <v>36611.000000000007</v>
      </c>
      <c r="AE82" s="120">
        <f t="shared" si="121"/>
        <v>35266.000000000007</v>
      </c>
      <c r="AF82" s="120">
        <f t="shared" si="121"/>
        <v>36832.000000000007</v>
      </c>
      <c r="AG82" s="120">
        <f t="shared" si="121"/>
        <v>34213.000000000007</v>
      </c>
      <c r="AH82" s="120">
        <f t="shared" si="121"/>
        <v>35552.000000000007</v>
      </c>
      <c r="AI82" s="120">
        <f t="shared" ref="AI82:AT82" si="122">+AH91</f>
        <v>33878.000000000007</v>
      </c>
      <c r="AJ82" s="120">
        <f t="shared" si="122"/>
        <v>33106.000000000007</v>
      </c>
      <c r="AK82" s="120">
        <f t="shared" si="122"/>
        <v>31961.000000000007</v>
      </c>
      <c r="AL82" s="120">
        <f t="shared" si="122"/>
        <v>26648.000000000007</v>
      </c>
      <c r="AM82" s="120">
        <f t="shared" si="122"/>
        <v>30830.000000000007</v>
      </c>
      <c r="AN82" s="120">
        <f t="shared" si="122"/>
        <v>29638.000000000007</v>
      </c>
      <c r="AO82" s="120">
        <f t="shared" si="122"/>
        <v>26394.000000000007</v>
      </c>
      <c r="AP82" s="120">
        <f t="shared" si="122"/>
        <v>32330.000000000007</v>
      </c>
      <c r="AQ82" s="120">
        <f t="shared" si="122"/>
        <v>28382.000000000007</v>
      </c>
      <c r="AR82" s="120">
        <f t="shared" si="122"/>
        <v>28655.000000000007</v>
      </c>
      <c r="AS82" s="120">
        <f t="shared" si="122"/>
        <v>26478.000000000007</v>
      </c>
      <c r="AT82" s="120">
        <f t="shared" si="122"/>
        <v>26648.000000000007</v>
      </c>
      <c r="AU82" s="120">
        <f t="shared" ref="AU82:AZ82" si="123">+AT91</f>
        <v>28015.000000000007</v>
      </c>
      <c r="AV82" s="120">
        <f t="shared" si="123"/>
        <v>28737.000000000007</v>
      </c>
      <c r="AW82" s="120">
        <f t="shared" si="123"/>
        <v>29329.000000000007</v>
      </c>
      <c r="AX82" s="120">
        <f t="shared" si="123"/>
        <v>28133.000000000007</v>
      </c>
      <c r="AY82" s="120">
        <f t="shared" si="123"/>
        <v>21692.000000000007</v>
      </c>
      <c r="AZ82" s="120">
        <f t="shared" si="123"/>
        <v>22091.000000000007</v>
      </c>
      <c r="BA82" s="120">
        <v>22253.000000000007</v>
      </c>
      <c r="BB82" s="120">
        <v>21408.000000000007</v>
      </c>
      <c r="BC82" s="120">
        <f>+BB91</f>
        <v>20664.000000000007</v>
      </c>
    </row>
    <row r="83" spans="2:55" x14ac:dyDescent="0.25">
      <c r="B83" s="129" t="s">
        <v>1379</v>
      </c>
      <c r="C83" s="130">
        <v>0</v>
      </c>
      <c r="D83" s="130">
        <v>0</v>
      </c>
      <c r="E83" s="130">
        <v>0</v>
      </c>
      <c r="F83" s="130">
        <v>0</v>
      </c>
      <c r="G83" s="130">
        <v>0</v>
      </c>
      <c r="H83" s="130">
        <v>0</v>
      </c>
      <c r="I83" s="130">
        <v>0</v>
      </c>
      <c r="J83" s="118">
        <v>0</v>
      </c>
      <c r="K83" s="118">
        <v>0</v>
      </c>
      <c r="L83" s="118">
        <v>0</v>
      </c>
      <c r="M83" s="118">
        <v>0</v>
      </c>
      <c r="N83" s="118">
        <v>0</v>
      </c>
      <c r="O83" s="118">
        <v>0</v>
      </c>
      <c r="P83" s="118">
        <v>0</v>
      </c>
      <c r="Q83" s="118">
        <v>0</v>
      </c>
      <c r="R83" s="118">
        <v>0</v>
      </c>
      <c r="S83" s="118">
        <v>2762</v>
      </c>
      <c r="T83" s="118">
        <v>21052</v>
      </c>
      <c r="U83" s="118">
        <v>3614</v>
      </c>
      <c r="V83" s="261">
        <v>11012</v>
      </c>
      <c r="W83" s="118">
        <f>10256+43</f>
        <v>10299</v>
      </c>
      <c r="X83" s="118">
        <v>2111</v>
      </c>
      <c r="Y83" s="118">
        <v>3847</v>
      </c>
      <c r="Z83" s="118">
        <v>16226</v>
      </c>
      <c r="AA83" s="118">
        <v>4346</v>
      </c>
      <c r="AB83" s="118">
        <v>4486</v>
      </c>
      <c r="AC83" s="118">
        <v>5916</v>
      </c>
      <c r="AD83" s="118">
        <v>5934</v>
      </c>
      <c r="AE83" s="118">
        <v>5750</v>
      </c>
      <c r="AF83" s="118">
        <v>2009</v>
      </c>
      <c r="AG83" s="118">
        <v>5509</v>
      </c>
      <c r="AH83" s="118">
        <v>1698</v>
      </c>
      <c r="AI83" s="118">
        <v>980</v>
      </c>
      <c r="AJ83" s="118">
        <v>1036</v>
      </c>
      <c r="AK83" s="118">
        <v>4</v>
      </c>
      <c r="AL83" s="118">
        <v>2461</v>
      </c>
      <c r="AM83" s="118">
        <v>-561</v>
      </c>
      <c r="AN83" s="118">
        <v>27</v>
      </c>
      <c r="AO83" s="261">
        <v>6931</v>
      </c>
      <c r="AP83" s="118">
        <v>415</v>
      </c>
      <c r="AQ83" s="118">
        <v>478</v>
      </c>
      <c r="AR83" s="118">
        <v>197</v>
      </c>
      <c r="AS83" s="118">
        <v>369</v>
      </c>
      <c r="AT83" s="118">
        <v>1068</v>
      </c>
      <c r="AU83" s="118">
        <v>894</v>
      </c>
      <c r="AV83" s="118">
        <v>480</v>
      </c>
      <c r="AW83" s="118">
        <v>-23</v>
      </c>
      <c r="AX83" s="118">
        <v>476</v>
      </c>
      <c r="AY83" s="118">
        <v>380</v>
      </c>
      <c r="AZ83" s="118">
        <v>206</v>
      </c>
      <c r="BA83" s="118">
        <v>169</v>
      </c>
      <c r="BB83" s="118">
        <v>926</v>
      </c>
      <c r="BC83" s="118">
        <v>-760</v>
      </c>
    </row>
    <row r="84" spans="2:55" x14ac:dyDescent="0.25">
      <c r="B84" s="129" t="s">
        <v>897</v>
      </c>
      <c r="C84" s="130">
        <v>0</v>
      </c>
      <c r="D84" s="130">
        <v>0</v>
      </c>
      <c r="E84" s="130">
        <v>0</v>
      </c>
      <c r="F84" s="130">
        <v>0</v>
      </c>
      <c r="G84" s="130">
        <v>0</v>
      </c>
      <c r="H84" s="130">
        <v>0</v>
      </c>
      <c r="I84" s="130">
        <v>0</v>
      </c>
      <c r="J84" s="130">
        <v>0</v>
      </c>
      <c r="K84" s="130">
        <v>0</v>
      </c>
      <c r="L84" s="130">
        <v>0</v>
      </c>
      <c r="M84" s="130">
        <v>0</v>
      </c>
      <c r="N84" s="130">
        <v>0</v>
      </c>
      <c r="O84" s="130">
        <v>0</v>
      </c>
      <c r="P84" s="130">
        <v>0</v>
      </c>
      <c r="Q84" s="130">
        <v>0</v>
      </c>
      <c r="R84" s="130">
        <v>0</v>
      </c>
      <c r="S84" s="130">
        <v>0</v>
      </c>
      <c r="T84" s="130">
        <v>0</v>
      </c>
      <c r="U84" s="130">
        <v>0</v>
      </c>
      <c r="V84" s="130">
        <v>0</v>
      </c>
      <c r="W84" s="130">
        <v>0</v>
      </c>
      <c r="X84" s="130">
        <v>0</v>
      </c>
      <c r="Y84" s="130">
        <v>0</v>
      </c>
      <c r="Z84" s="130">
        <v>0</v>
      </c>
      <c r="AA84" s="130">
        <v>0</v>
      </c>
      <c r="AB84" s="130">
        <v>0</v>
      </c>
      <c r="AC84" s="130">
        <v>0</v>
      </c>
      <c r="AD84" s="130">
        <v>418</v>
      </c>
      <c r="AE84" s="118">
        <v>95</v>
      </c>
      <c r="AF84" s="118">
        <v>71</v>
      </c>
      <c r="AG84" s="118">
        <v>79</v>
      </c>
      <c r="AH84" s="118">
        <v>84</v>
      </c>
      <c r="AI84" s="118">
        <v>111</v>
      </c>
      <c r="AJ84" s="118">
        <v>112</v>
      </c>
      <c r="AK84" s="118">
        <v>110</v>
      </c>
      <c r="AL84" s="118">
        <v>3667</v>
      </c>
      <c r="AM84" s="118">
        <v>780</v>
      </c>
      <c r="AN84" s="118">
        <v>254</v>
      </c>
      <c r="AO84" s="118">
        <v>219</v>
      </c>
      <c r="AP84" s="118">
        <v>180</v>
      </c>
      <c r="AQ84" s="118">
        <v>213</v>
      </c>
      <c r="AR84" s="118">
        <v>88</v>
      </c>
      <c r="AS84" s="118">
        <v>29</v>
      </c>
      <c r="AT84" s="118">
        <v>509</v>
      </c>
      <c r="AU84" s="118">
        <v>178</v>
      </c>
      <c r="AV84" s="118">
        <v>170</v>
      </c>
      <c r="AW84" s="118">
        <v>177</v>
      </c>
      <c r="AX84" s="118">
        <v>233</v>
      </c>
      <c r="AY84" s="118">
        <v>199</v>
      </c>
      <c r="AZ84" s="118">
        <v>220</v>
      </c>
      <c r="BA84" s="118">
        <v>97</v>
      </c>
      <c r="BB84" s="118">
        <v>319</v>
      </c>
      <c r="BC84" s="118">
        <v>144</v>
      </c>
    </row>
    <row r="85" spans="2:55" ht="24.75" customHeight="1" x14ac:dyDescent="0.25">
      <c r="B85" s="129" t="s">
        <v>688</v>
      </c>
      <c r="C85" s="130">
        <v>0</v>
      </c>
      <c r="D85" s="130">
        <v>0</v>
      </c>
      <c r="E85" s="130">
        <v>0</v>
      </c>
      <c r="F85" s="130">
        <v>0</v>
      </c>
      <c r="G85" s="130">
        <v>0</v>
      </c>
      <c r="H85" s="130">
        <v>0</v>
      </c>
      <c r="I85" s="130">
        <v>0</v>
      </c>
      <c r="J85" s="118">
        <v>0</v>
      </c>
      <c r="K85" s="118">
        <v>0</v>
      </c>
      <c r="L85" s="118">
        <v>0</v>
      </c>
      <c r="M85" s="118">
        <v>0</v>
      </c>
      <c r="N85" s="118">
        <v>0</v>
      </c>
      <c r="O85" s="118">
        <v>0</v>
      </c>
      <c r="P85" s="118">
        <v>0</v>
      </c>
      <c r="Q85" s="118">
        <v>0</v>
      </c>
      <c r="R85" s="118">
        <v>0</v>
      </c>
      <c r="S85" s="118">
        <v>0</v>
      </c>
      <c r="T85" s="118">
        <v>5463.8</v>
      </c>
      <c r="U85" s="118">
        <v>49.112000000000002</v>
      </c>
      <c r="V85" s="118">
        <v>-48.912000000000262</v>
      </c>
      <c r="W85" s="118">
        <v>0</v>
      </c>
      <c r="X85" s="118" t="s">
        <v>160</v>
      </c>
      <c r="Y85" s="118" t="s">
        <v>160</v>
      </c>
      <c r="Z85" s="118">
        <v>0</v>
      </c>
      <c r="AA85" s="118">
        <v>0</v>
      </c>
      <c r="AB85" s="118">
        <v>0</v>
      </c>
      <c r="AC85" s="118">
        <v>0</v>
      </c>
      <c r="AD85" s="118">
        <v>0</v>
      </c>
      <c r="AE85" s="118">
        <v>0</v>
      </c>
      <c r="AF85" s="118">
        <v>0</v>
      </c>
      <c r="AG85" s="118">
        <v>0</v>
      </c>
      <c r="AH85" s="118">
        <v>0</v>
      </c>
      <c r="AI85" s="118">
        <v>0</v>
      </c>
      <c r="AJ85" s="118">
        <v>0</v>
      </c>
      <c r="AK85" s="118">
        <v>0</v>
      </c>
      <c r="AL85" s="118">
        <v>0</v>
      </c>
      <c r="AM85" s="118">
        <v>0</v>
      </c>
      <c r="AN85" s="118">
        <v>0</v>
      </c>
      <c r="AO85" s="118">
        <v>0</v>
      </c>
      <c r="AP85" s="118">
        <v>0</v>
      </c>
      <c r="AQ85" s="118">
        <v>0</v>
      </c>
      <c r="AR85" s="118">
        <v>0</v>
      </c>
      <c r="AS85" s="118">
        <v>0</v>
      </c>
      <c r="AT85" s="118">
        <v>0</v>
      </c>
      <c r="AU85" s="118">
        <v>0</v>
      </c>
      <c r="AV85" s="118">
        <v>0</v>
      </c>
      <c r="AW85" s="118">
        <v>0</v>
      </c>
      <c r="AX85" s="118">
        <v>0</v>
      </c>
      <c r="AY85" s="118">
        <v>0</v>
      </c>
      <c r="AZ85" s="118">
        <v>0</v>
      </c>
      <c r="BA85" s="118">
        <v>0</v>
      </c>
      <c r="BB85" s="118">
        <v>0</v>
      </c>
      <c r="BC85" s="118">
        <v>0</v>
      </c>
    </row>
    <row r="86" spans="2:55" x14ac:dyDescent="0.25">
      <c r="B86" s="129" t="s">
        <v>756</v>
      </c>
      <c r="C86" s="130" t="s">
        <v>160</v>
      </c>
      <c r="D86" s="130" t="s">
        <v>160</v>
      </c>
      <c r="E86" s="130" t="s">
        <v>160</v>
      </c>
      <c r="F86" s="130" t="s">
        <v>160</v>
      </c>
      <c r="G86" s="130" t="s">
        <v>160</v>
      </c>
      <c r="H86" s="130" t="s">
        <v>160</v>
      </c>
      <c r="I86" s="130" t="s">
        <v>160</v>
      </c>
      <c r="J86" s="118" t="s">
        <v>160</v>
      </c>
      <c r="K86" s="118" t="s">
        <v>160</v>
      </c>
      <c r="L86" s="118" t="s">
        <v>160</v>
      </c>
      <c r="M86" s="118" t="s">
        <v>160</v>
      </c>
      <c r="N86" s="118" t="s">
        <v>160</v>
      </c>
      <c r="O86" s="118" t="s">
        <v>160</v>
      </c>
      <c r="P86" s="118" t="s">
        <v>160</v>
      </c>
      <c r="Q86" s="118" t="s">
        <v>160</v>
      </c>
      <c r="R86" s="118" t="s">
        <v>160</v>
      </c>
      <c r="S86" s="118" t="s">
        <v>160</v>
      </c>
      <c r="T86" s="118" t="s">
        <v>160</v>
      </c>
      <c r="U86" s="118" t="s">
        <v>160</v>
      </c>
      <c r="V86" s="118" t="s">
        <v>160</v>
      </c>
      <c r="W86" s="118">
        <v>-1482</v>
      </c>
      <c r="X86" s="118">
        <v>0</v>
      </c>
      <c r="Y86" s="118">
        <v>0</v>
      </c>
      <c r="Z86" s="118">
        <v>0</v>
      </c>
      <c r="AA86" s="118">
        <v>0</v>
      </c>
      <c r="AB86" s="118" t="s">
        <v>160</v>
      </c>
      <c r="AC86" s="118" t="s">
        <v>160</v>
      </c>
      <c r="AD86" s="118" t="s">
        <v>160</v>
      </c>
      <c r="AE86" s="118" t="s">
        <v>160</v>
      </c>
      <c r="AF86" s="118" t="s">
        <v>160</v>
      </c>
      <c r="AG86" s="118" t="s">
        <v>160</v>
      </c>
      <c r="AH86" s="118" t="s">
        <v>160</v>
      </c>
      <c r="AI86" s="118" t="s">
        <v>160</v>
      </c>
      <c r="AJ86" s="118" t="s">
        <v>160</v>
      </c>
      <c r="AK86" s="118" t="s">
        <v>160</v>
      </c>
      <c r="AL86" s="118" t="s">
        <v>160</v>
      </c>
      <c r="AM86" s="118">
        <v>0</v>
      </c>
      <c r="AN86" s="118">
        <v>0</v>
      </c>
      <c r="AO86" s="118">
        <v>0</v>
      </c>
      <c r="AP86" s="118">
        <v>0</v>
      </c>
      <c r="AQ86" s="118">
        <v>0</v>
      </c>
      <c r="AR86" s="118">
        <v>0</v>
      </c>
      <c r="AS86" s="118">
        <v>0</v>
      </c>
      <c r="AT86" s="118">
        <v>0</v>
      </c>
      <c r="AU86" s="118">
        <v>0</v>
      </c>
      <c r="AV86" s="118">
        <v>0</v>
      </c>
      <c r="AW86" s="118">
        <v>0</v>
      </c>
      <c r="AX86" s="118">
        <v>0</v>
      </c>
      <c r="AY86" s="118">
        <v>0</v>
      </c>
      <c r="AZ86" s="118">
        <v>0</v>
      </c>
      <c r="BA86" s="118">
        <v>0</v>
      </c>
      <c r="BB86" s="118">
        <v>0</v>
      </c>
      <c r="BC86" s="118">
        <v>0</v>
      </c>
    </row>
    <row r="87" spans="2:55" x14ac:dyDescent="0.25">
      <c r="B87" s="129" t="s">
        <v>717</v>
      </c>
      <c r="C87" s="118">
        <v>0</v>
      </c>
      <c r="D87" s="118">
        <v>0</v>
      </c>
      <c r="E87" s="118">
        <v>0</v>
      </c>
      <c r="F87" s="118">
        <v>0</v>
      </c>
      <c r="G87" s="118">
        <v>0</v>
      </c>
      <c r="H87" s="118">
        <v>0</v>
      </c>
      <c r="I87" s="118">
        <v>0</v>
      </c>
      <c r="J87" s="118">
        <v>0</v>
      </c>
      <c r="K87" s="118">
        <v>0</v>
      </c>
      <c r="L87" s="118">
        <v>0</v>
      </c>
      <c r="M87" s="118">
        <v>0</v>
      </c>
      <c r="N87" s="118">
        <v>0</v>
      </c>
      <c r="O87" s="118">
        <v>0</v>
      </c>
      <c r="P87" s="118">
        <v>0</v>
      </c>
      <c r="Q87" s="118">
        <v>0</v>
      </c>
      <c r="R87" s="118">
        <v>0</v>
      </c>
      <c r="S87" s="118">
        <v>0</v>
      </c>
      <c r="T87" s="118">
        <v>0</v>
      </c>
      <c r="U87" s="118">
        <v>0</v>
      </c>
      <c r="V87" s="118">
        <v>-1095</v>
      </c>
      <c r="W87" s="118">
        <v>1055</v>
      </c>
      <c r="X87" s="118">
        <v>-1306</v>
      </c>
      <c r="Y87" s="118">
        <v>694</v>
      </c>
      <c r="Z87" s="118">
        <v>-1611</v>
      </c>
      <c r="AA87" s="118">
        <v>-229</v>
      </c>
      <c r="AB87" s="118">
        <v>124</v>
      </c>
      <c r="AC87" s="118">
        <v>-788</v>
      </c>
      <c r="AD87" s="118">
        <v>-1229</v>
      </c>
      <c r="AE87" s="118">
        <v>-58</v>
      </c>
      <c r="AF87" s="118">
        <v>27</v>
      </c>
      <c r="AG87" s="118">
        <v>-157</v>
      </c>
      <c r="AH87" s="118">
        <v>-33</v>
      </c>
      <c r="AI87" s="118">
        <v>-81</v>
      </c>
      <c r="AJ87" s="118">
        <v>-191</v>
      </c>
      <c r="AK87" s="118">
        <v>269</v>
      </c>
      <c r="AL87" s="118">
        <v>-10</v>
      </c>
      <c r="AM87" s="118">
        <v>-802</v>
      </c>
      <c r="AN87" s="118">
        <v>631</v>
      </c>
      <c r="AO87" s="118">
        <v>161</v>
      </c>
      <c r="AP87" s="118">
        <v>-673</v>
      </c>
      <c r="AQ87" s="118">
        <v>-65</v>
      </c>
      <c r="AR87" s="118">
        <v>-160</v>
      </c>
      <c r="AS87" s="118">
        <v>224</v>
      </c>
      <c r="AT87" s="118">
        <v>-30</v>
      </c>
      <c r="AU87" s="118">
        <v>-28</v>
      </c>
      <c r="AV87" s="118">
        <v>28</v>
      </c>
      <c r="AW87" s="118">
        <v>-3</v>
      </c>
      <c r="AX87" s="118">
        <v>3</v>
      </c>
      <c r="AY87" s="118">
        <v>0</v>
      </c>
      <c r="AZ87" s="118">
        <v>-7</v>
      </c>
      <c r="BA87" s="118">
        <v>-10</v>
      </c>
      <c r="BB87" s="118">
        <v>-311</v>
      </c>
      <c r="BC87" s="118">
        <v>0</v>
      </c>
    </row>
    <row r="88" spans="2:55" x14ac:dyDescent="0.25">
      <c r="B88" s="129" t="s">
        <v>689</v>
      </c>
      <c r="C88" s="130">
        <v>0</v>
      </c>
      <c r="D88" s="130">
        <v>0</v>
      </c>
      <c r="E88" s="130">
        <v>0</v>
      </c>
      <c r="F88" s="130">
        <v>0</v>
      </c>
      <c r="G88" s="130">
        <v>0</v>
      </c>
      <c r="H88" s="130">
        <v>0</v>
      </c>
      <c r="I88" s="130">
        <v>0</v>
      </c>
      <c r="J88" s="118">
        <v>0</v>
      </c>
      <c r="K88" s="118">
        <v>0</v>
      </c>
      <c r="L88" s="118">
        <v>0</v>
      </c>
      <c r="M88" s="118">
        <v>0</v>
      </c>
      <c r="N88" s="118">
        <v>0</v>
      </c>
      <c r="O88" s="118">
        <v>0</v>
      </c>
      <c r="P88" s="118">
        <v>0</v>
      </c>
      <c r="Q88" s="118">
        <v>0</v>
      </c>
      <c r="R88" s="118">
        <v>0</v>
      </c>
      <c r="S88" s="118">
        <f>-1826.605</f>
        <v>-1826.605</v>
      </c>
      <c r="T88" s="118">
        <v>-818.49</v>
      </c>
      <c r="U88" s="118">
        <v>-3975.2797</v>
      </c>
      <c r="V88" s="118">
        <v>-2010.6253000000002</v>
      </c>
      <c r="W88" s="118">
        <v>-521</v>
      </c>
      <c r="X88" s="118">
        <v>-586</v>
      </c>
      <c r="Y88" s="118">
        <v>-602</v>
      </c>
      <c r="Z88" s="118">
        <v>-826</v>
      </c>
      <c r="AA88" s="118">
        <v>-789</v>
      </c>
      <c r="AB88" s="118">
        <v>-375</v>
      </c>
      <c r="AC88" s="118">
        <v>98</v>
      </c>
      <c r="AD88" s="118">
        <v>-120</v>
      </c>
      <c r="AE88" s="118">
        <v>-386</v>
      </c>
      <c r="AF88" s="118">
        <v>-353</v>
      </c>
      <c r="AG88" s="118">
        <v>-170</v>
      </c>
      <c r="AH88" s="118">
        <v>677</v>
      </c>
      <c r="AI88" s="118">
        <v>-136</v>
      </c>
      <c r="AJ88" s="118">
        <v>-230</v>
      </c>
      <c r="AK88" s="118">
        <v>-82</v>
      </c>
      <c r="AL88" s="118">
        <v>-457</v>
      </c>
      <c r="AM88" s="118">
        <v>-108</v>
      </c>
      <c r="AN88" s="118">
        <v>-140</v>
      </c>
      <c r="AO88" s="118">
        <v>-506</v>
      </c>
      <c r="AP88" s="118">
        <v>-626</v>
      </c>
      <c r="AQ88" s="118">
        <v>-90</v>
      </c>
      <c r="AR88" s="118">
        <v>-343</v>
      </c>
      <c r="AS88" s="118">
        <v>-37</v>
      </c>
      <c r="AT88" s="118">
        <v>-44</v>
      </c>
      <c r="AU88" s="118">
        <v>-57</v>
      </c>
      <c r="AV88" s="118">
        <v>-77</v>
      </c>
      <c r="AW88" s="118">
        <v>-216</v>
      </c>
      <c r="AX88" s="118">
        <v>-218</v>
      </c>
      <c r="AY88" s="118">
        <v>-50</v>
      </c>
      <c r="AZ88" s="118">
        <v>-66</v>
      </c>
      <c r="BA88" s="118">
        <v>-15</v>
      </c>
      <c r="BB88" s="118">
        <v>-273</v>
      </c>
      <c r="BC88" s="118">
        <v>-25</v>
      </c>
    </row>
    <row r="89" spans="2:55" x14ac:dyDescent="0.25">
      <c r="B89" s="129" t="s">
        <v>49</v>
      </c>
      <c r="C89" s="130">
        <v>0</v>
      </c>
      <c r="D89" s="130">
        <v>0</v>
      </c>
      <c r="E89" s="130">
        <v>0</v>
      </c>
      <c r="F89" s="130">
        <v>0</v>
      </c>
      <c r="G89" s="130">
        <v>0</v>
      </c>
      <c r="H89" s="130">
        <v>0</v>
      </c>
      <c r="I89" s="130">
        <v>0</v>
      </c>
      <c r="J89" s="118">
        <v>0</v>
      </c>
      <c r="K89" s="118">
        <v>0</v>
      </c>
      <c r="L89" s="118">
        <v>0</v>
      </c>
      <c r="M89" s="118">
        <v>0</v>
      </c>
      <c r="N89" s="118">
        <v>0</v>
      </c>
      <c r="O89" s="118">
        <v>0</v>
      </c>
      <c r="P89" s="118">
        <v>0</v>
      </c>
      <c r="Q89" s="118">
        <v>0</v>
      </c>
      <c r="R89" s="118">
        <v>0</v>
      </c>
      <c r="S89" s="118">
        <v>0</v>
      </c>
      <c r="T89" s="118">
        <v>0</v>
      </c>
      <c r="U89" s="118">
        <v>0</v>
      </c>
      <c r="V89" s="118">
        <v>0</v>
      </c>
      <c r="W89" s="118">
        <v>0</v>
      </c>
      <c r="X89" s="118">
        <v>0</v>
      </c>
      <c r="Y89" s="118">
        <v>0</v>
      </c>
      <c r="Z89" s="118">
        <v>0</v>
      </c>
      <c r="AA89" s="118">
        <v>0</v>
      </c>
      <c r="AB89" s="118">
        <v>0</v>
      </c>
      <c r="AC89" s="118">
        <v>0</v>
      </c>
      <c r="AD89" s="118">
        <v>0</v>
      </c>
      <c r="AE89" s="118">
        <v>0</v>
      </c>
      <c r="AF89" s="118">
        <v>0</v>
      </c>
      <c r="AG89" s="118">
        <v>0</v>
      </c>
      <c r="AH89" s="118">
        <v>0</v>
      </c>
      <c r="AI89" s="118">
        <v>0</v>
      </c>
      <c r="AJ89" s="118">
        <v>0</v>
      </c>
      <c r="AK89" s="118">
        <v>0</v>
      </c>
      <c r="AL89" s="118">
        <v>0</v>
      </c>
      <c r="AM89" s="118">
        <v>494</v>
      </c>
      <c r="AN89" s="118">
        <v>1</v>
      </c>
      <c r="AO89" s="118">
        <v>452</v>
      </c>
      <c r="AP89" s="118">
        <v>-1</v>
      </c>
      <c r="AQ89" s="118">
        <v>0</v>
      </c>
      <c r="AR89" s="118">
        <v>0</v>
      </c>
      <c r="AS89" s="118">
        <v>0</v>
      </c>
      <c r="AT89" s="118">
        <v>0</v>
      </c>
      <c r="AU89" s="118">
        <v>0</v>
      </c>
      <c r="AV89" s="118">
        <v>0</v>
      </c>
      <c r="AW89" s="118">
        <v>0</v>
      </c>
      <c r="AX89" s="118">
        <v>0</v>
      </c>
      <c r="AY89" s="118">
        <v>0</v>
      </c>
      <c r="AZ89" s="118">
        <v>0</v>
      </c>
      <c r="BA89" s="118">
        <v>0</v>
      </c>
      <c r="BB89" s="118">
        <v>0</v>
      </c>
      <c r="BC89" s="118">
        <v>0</v>
      </c>
    </row>
    <row r="90" spans="2:55" x14ac:dyDescent="0.25">
      <c r="B90" s="129" t="s">
        <v>690</v>
      </c>
      <c r="C90" s="130">
        <v>0</v>
      </c>
      <c r="D90" s="130">
        <v>0</v>
      </c>
      <c r="E90" s="130">
        <v>0</v>
      </c>
      <c r="F90" s="130">
        <v>0</v>
      </c>
      <c r="G90" s="130">
        <v>0</v>
      </c>
      <c r="H90" s="130">
        <v>0</v>
      </c>
      <c r="I90" s="130">
        <v>0</v>
      </c>
      <c r="J90" s="118">
        <v>0</v>
      </c>
      <c r="K90" s="118">
        <v>0</v>
      </c>
      <c r="L90" s="118">
        <v>0</v>
      </c>
      <c r="M90" s="118">
        <v>0</v>
      </c>
      <c r="N90" s="118">
        <v>0</v>
      </c>
      <c r="O90" s="118">
        <v>0</v>
      </c>
      <c r="P90" s="118">
        <v>0</v>
      </c>
      <c r="Q90" s="118">
        <v>0</v>
      </c>
      <c r="R90" s="118">
        <v>0</v>
      </c>
      <c r="S90" s="118">
        <f>-904.29038-260</f>
        <v>-1164.2903799999999</v>
      </c>
      <c r="T90" s="118">
        <v>-3803</v>
      </c>
      <c r="U90" s="118">
        <v>-1337</v>
      </c>
      <c r="V90" s="118">
        <v>-3828.7096200000001</v>
      </c>
      <c r="W90" s="118">
        <v>-4564</v>
      </c>
      <c r="X90" s="118">
        <v>-2897</v>
      </c>
      <c r="Y90" s="118">
        <v>-8197</v>
      </c>
      <c r="Z90" s="118">
        <v>-6179</v>
      </c>
      <c r="AA90" s="118">
        <v>-4570</v>
      </c>
      <c r="AB90" s="118">
        <v>-4687</v>
      </c>
      <c r="AC90" s="260">
        <v>-11365</v>
      </c>
      <c r="AD90" s="118">
        <v>-6348</v>
      </c>
      <c r="AE90" s="118">
        <v>-3835</v>
      </c>
      <c r="AF90" s="118">
        <v>-4373</v>
      </c>
      <c r="AG90" s="118">
        <v>-3922</v>
      </c>
      <c r="AH90" s="118">
        <v>-4100</v>
      </c>
      <c r="AI90" s="118">
        <v>-1646</v>
      </c>
      <c r="AJ90" s="118">
        <v>-1872</v>
      </c>
      <c r="AK90" s="118">
        <v>-5614</v>
      </c>
      <c r="AL90" s="118">
        <v>-1479</v>
      </c>
      <c r="AM90" s="118">
        <v>-995</v>
      </c>
      <c r="AN90" s="118">
        <v>-4017</v>
      </c>
      <c r="AO90" s="118">
        <v>-1321</v>
      </c>
      <c r="AP90" s="118">
        <v>-3243</v>
      </c>
      <c r="AQ90" s="118">
        <v>-263</v>
      </c>
      <c r="AR90" s="118">
        <v>-1959</v>
      </c>
      <c r="AS90" s="118">
        <v>-415</v>
      </c>
      <c r="AT90" s="118">
        <v>-136</v>
      </c>
      <c r="AU90" s="118">
        <v>-265</v>
      </c>
      <c r="AV90" s="118">
        <v>-9</v>
      </c>
      <c r="AW90" s="118">
        <v>-1131</v>
      </c>
      <c r="AX90" s="118">
        <v>-6935</v>
      </c>
      <c r="AY90" s="118">
        <v>-130</v>
      </c>
      <c r="AZ90" s="118">
        <v>-191</v>
      </c>
      <c r="BA90" s="118">
        <v>-1086</v>
      </c>
      <c r="BB90" s="118">
        <v>-1405</v>
      </c>
      <c r="BC90" s="118">
        <v>102</v>
      </c>
    </row>
    <row r="91" spans="2:55" x14ac:dyDescent="0.25">
      <c r="B91" s="126" t="s">
        <v>191</v>
      </c>
      <c r="C91" s="120">
        <v>0</v>
      </c>
      <c r="D91" s="120">
        <v>0</v>
      </c>
      <c r="E91" s="120">
        <v>0</v>
      </c>
      <c r="F91" s="120">
        <v>0</v>
      </c>
      <c r="G91" s="120">
        <v>0</v>
      </c>
      <c r="H91" s="120">
        <v>0</v>
      </c>
      <c r="I91" s="120">
        <v>0</v>
      </c>
      <c r="J91" s="120">
        <v>0</v>
      </c>
      <c r="K91" s="120">
        <v>0</v>
      </c>
      <c r="L91" s="120">
        <v>0</v>
      </c>
      <c r="M91" s="120">
        <v>0</v>
      </c>
      <c r="N91" s="120">
        <v>0</v>
      </c>
      <c r="O91" s="120">
        <v>0</v>
      </c>
      <c r="P91" s="120">
        <v>0</v>
      </c>
      <c r="Q91" s="120">
        <v>0</v>
      </c>
      <c r="R91" s="120">
        <v>0</v>
      </c>
      <c r="S91" s="120">
        <f t="shared" ref="S91:AE91" si="124">+SUM(S82:S90)</f>
        <v>14709.10462</v>
      </c>
      <c r="T91" s="120">
        <f t="shared" si="124"/>
        <v>36603.414620000003</v>
      </c>
      <c r="U91" s="120">
        <f t="shared" si="124"/>
        <v>34954.246920000005</v>
      </c>
      <c r="V91" s="120">
        <f t="shared" si="124"/>
        <v>38983.000000000007</v>
      </c>
      <c r="W91" s="120">
        <f t="shared" si="124"/>
        <v>43770.000000000007</v>
      </c>
      <c r="X91" s="120">
        <f t="shared" si="124"/>
        <v>41092.000000000007</v>
      </c>
      <c r="Y91" s="120">
        <f t="shared" si="124"/>
        <v>36834.000000000007</v>
      </c>
      <c r="Z91" s="120">
        <f t="shared" si="124"/>
        <v>44444.000000000007</v>
      </c>
      <c r="AA91" s="120">
        <f t="shared" si="124"/>
        <v>43202.000000000007</v>
      </c>
      <c r="AB91" s="120">
        <f t="shared" si="124"/>
        <v>42750.000000000007</v>
      </c>
      <c r="AC91" s="120">
        <f t="shared" si="124"/>
        <v>36611.000000000007</v>
      </c>
      <c r="AD91" s="120">
        <f t="shared" si="124"/>
        <v>35266.000000000007</v>
      </c>
      <c r="AE91" s="120">
        <f t="shared" si="124"/>
        <v>36832.000000000007</v>
      </c>
      <c r="AF91" s="120">
        <f>+SUM(AF82:AF90)</f>
        <v>34213.000000000007</v>
      </c>
      <c r="AG91" s="120">
        <f>+SUM(AG82:AG90)</f>
        <v>35552.000000000007</v>
      </c>
      <c r="AH91" s="120">
        <f>+SUM(AH82:AH90)</f>
        <v>33878.000000000007</v>
      </c>
      <c r="AI91" s="120">
        <f t="shared" ref="AI91:AN91" si="125">+SUM(AI82:AI90)</f>
        <v>33106.000000000007</v>
      </c>
      <c r="AJ91" s="120">
        <f t="shared" si="125"/>
        <v>31961.000000000007</v>
      </c>
      <c r="AK91" s="120">
        <f t="shared" si="125"/>
        <v>26648.000000000007</v>
      </c>
      <c r="AL91" s="120">
        <f t="shared" si="125"/>
        <v>30830.000000000007</v>
      </c>
      <c r="AM91" s="120">
        <f t="shared" si="125"/>
        <v>29638.000000000007</v>
      </c>
      <c r="AN91" s="120">
        <f t="shared" si="125"/>
        <v>26394.000000000007</v>
      </c>
      <c r="AO91" s="120">
        <f t="shared" ref="AO91:AZ91" si="126">+SUM(AO82:AO90)</f>
        <v>32330.000000000007</v>
      </c>
      <c r="AP91" s="120">
        <f t="shared" si="126"/>
        <v>28382.000000000007</v>
      </c>
      <c r="AQ91" s="120">
        <f t="shared" si="126"/>
        <v>28655.000000000007</v>
      </c>
      <c r="AR91" s="120">
        <f t="shared" si="126"/>
        <v>26478.000000000007</v>
      </c>
      <c r="AS91" s="120">
        <f t="shared" si="126"/>
        <v>26648.000000000007</v>
      </c>
      <c r="AT91" s="120">
        <f t="shared" si="126"/>
        <v>28015.000000000007</v>
      </c>
      <c r="AU91" s="120">
        <f t="shared" si="126"/>
        <v>28737.000000000007</v>
      </c>
      <c r="AV91" s="120">
        <f t="shared" si="126"/>
        <v>29329.000000000007</v>
      </c>
      <c r="AW91" s="120">
        <f t="shared" si="126"/>
        <v>28133.000000000007</v>
      </c>
      <c r="AX91" s="120">
        <f t="shared" si="126"/>
        <v>21692.000000000007</v>
      </c>
      <c r="AY91" s="120">
        <f t="shared" si="126"/>
        <v>22091.000000000007</v>
      </c>
      <c r="AZ91" s="120">
        <f t="shared" si="126"/>
        <v>22253.000000000007</v>
      </c>
      <c r="BA91" s="120">
        <v>21408.000000000007</v>
      </c>
      <c r="BB91" s="120">
        <v>20664.000000000007</v>
      </c>
      <c r="BC91" s="120">
        <f>+SUM(BC82:BC90)</f>
        <v>20125.000000000007</v>
      </c>
    </row>
    <row r="92" spans="2:55" x14ac:dyDescent="0.25">
      <c r="S92" s="646">
        <f t="shared" ref="S92:AB92" si="127">S91-S47</f>
        <v>0.1046200000000681</v>
      </c>
      <c r="T92" s="646">
        <f t="shared" si="127"/>
        <v>0.41462000000319676</v>
      </c>
      <c r="U92" s="646">
        <f t="shared" si="127"/>
        <v>0.24692000000504777</v>
      </c>
      <c r="V92" s="647">
        <f t="shared" si="127"/>
        <v>0</v>
      </c>
      <c r="W92" s="663">
        <f t="shared" si="127"/>
        <v>0</v>
      </c>
      <c r="X92" s="663">
        <f t="shared" si="127"/>
        <v>0</v>
      </c>
      <c r="Y92" s="663">
        <f t="shared" si="127"/>
        <v>0</v>
      </c>
      <c r="Z92" s="663">
        <f t="shared" si="127"/>
        <v>0</v>
      </c>
      <c r="AA92" s="663">
        <f t="shared" si="127"/>
        <v>0</v>
      </c>
      <c r="AB92" s="663">
        <f t="shared" si="127"/>
        <v>0</v>
      </c>
      <c r="AC92" s="663">
        <v>0</v>
      </c>
      <c r="AD92" s="663">
        <f t="shared" ref="AD92:AI92" si="128">AD91-AD47</f>
        <v>0</v>
      </c>
      <c r="AE92" s="663">
        <f t="shared" si="128"/>
        <v>0</v>
      </c>
      <c r="AF92" s="663">
        <f t="shared" si="128"/>
        <v>0</v>
      </c>
      <c r="AG92" s="663">
        <f t="shared" si="128"/>
        <v>0</v>
      </c>
      <c r="AH92" s="663">
        <f t="shared" si="128"/>
        <v>0</v>
      </c>
      <c r="AI92" s="663">
        <f t="shared" si="128"/>
        <v>0</v>
      </c>
      <c r="AJ92" s="663">
        <v>0</v>
      </c>
      <c r="AK92" s="663">
        <v>0</v>
      </c>
      <c r="AL92" s="663"/>
      <c r="AM92" s="663">
        <v>0</v>
      </c>
      <c r="AN92" s="663">
        <f t="shared" ref="AN92:AS92" si="129">AN91-AN47</f>
        <v>0</v>
      </c>
      <c r="AO92" s="663">
        <f t="shared" si="129"/>
        <v>0</v>
      </c>
      <c r="AP92" s="663">
        <f t="shared" si="129"/>
        <v>0</v>
      </c>
      <c r="AQ92" s="663">
        <f t="shared" si="129"/>
        <v>0</v>
      </c>
      <c r="AR92" s="663">
        <f t="shared" si="129"/>
        <v>0</v>
      </c>
      <c r="AS92" s="663">
        <f t="shared" si="129"/>
        <v>0</v>
      </c>
      <c r="AT92" s="663">
        <f t="shared" ref="AT92:AZ92" si="130">AT91-AT47</f>
        <v>0</v>
      </c>
      <c r="AU92" s="663">
        <f t="shared" si="130"/>
        <v>0</v>
      </c>
      <c r="AV92" s="663">
        <f t="shared" si="130"/>
        <v>0</v>
      </c>
      <c r="AW92" s="663">
        <f t="shared" si="130"/>
        <v>0</v>
      </c>
      <c r="AX92" s="663">
        <f t="shared" si="130"/>
        <v>0</v>
      </c>
      <c r="AY92" s="663">
        <f t="shared" si="130"/>
        <v>0</v>
      </c>
      <c r="AZ92" s="663">
        <f t="shared" si="130"/>
        <v>0</v>
      </c>
      <c r="BA92" s="663">
        <v>0</v>
      </c>
      <c r="BB92" s="663">
        <v>0</v>
      </c>
      <c r="BC92" s="663">
        <f>BC91-BC47</f>
        <v>0</v>
      </c>
    </row>
    <row r="93" spans="2:55" x14ac:dyDescent="0.25">
      <c r="B93" s="145" t="s">
        <v>97</v>
      </c>
      <c r="C93" s="145" t="s">
        <v>160</v>
      </c>
      <c r="D93" s="145" t="s">
        <v>160</v>
      </c>
      <c r="E93" s="145" t="s">
        <v>160</v>
      </c>
      <c r="F93" s="145" t="s">
        <v>160</v>
      </c>
      <c r="G93" s="145" t="s">
        <v>160</v>
      </c>
      <c r="H93" s="145" t="s">
        <v>160</v>
      </c>
      <c r="I93" s="145" t="s">
        <v>160</v>
      </c>
      <c r="J93" s="115" t="s">
        <v>160</v>
      </c>
      <c r="K93" s="115" t="s">
        <v>160</v>
      </c>
      <c r="L93" s="115" t="s">
        <v>160</v>
      </c>
      <c r="M93" s="115" t="s">
        <v>160</v>
      </c>
      <c r="N93" s="115" t="s">
        <v>160</v>
      </c>
      <c r="O93" s="115" t="s">
        <v>160</v>
      </c>
      <c r="P93" s="115" t="s">
        <v>160</v>
      </c>
      <c r="Q93" s="115" t="s">
        <v>160</v>
      </c>
      <c r="R93" s="115" t="s">
        <v>160</v>
      </c>
      <c r="S93" s="115" t="str">
        <f>S$5</f>
        <v>1T17</v>
      </c>
      <c r="T93" s="115" t="str">
        <f t="shared" ref="T93:BC93" si="131">T$5</f>
        <v>2T17</v>
      </c>
      <c r="U93" s="115" t="str">
        <f t="shared" si="131"/>
        <v>3T17</v>
      </c>
      <c r="V93" s="115" t="str">
        <f t="shared" si="131"/>
        <v>4T17</v>
      </c>
      <c r="W93" s="115" t="str">
        <f t="shared" si="131"/>
        <v>1T18</v>
      </c>
      <c r="X93" s="115" t="str">
        <f t="shared" si="131"/>
        <v>2T18</v>
      </c>
      <c r="Y93" s="115" t="str">
        <f t="shared" si="131"/>
        <v>3T18</v>
      </c>
      <c r="Z93" s="115" t="str">
        <f t="shared" si="131"/>
        <v>4T18</v>
      </c>
      <c r="AA93" s="115" t="str">
        <f t="shared" si="131"/>
        <v>1T19</v>
      </c>
      <c r="AB93" s="115" t="str">
        <f t="shared" si="131"/>
        <v>2T19</v>
      </c>
      <c r="AC93" s="115" t="str">
        <f t="shared" si="131"/>
        <v>3T19</v>
      </c>
      <c r="AD93" s="115" t="str">
        <f t="shared" si="131"/>
        <v>4T19</v>
      </c>
      <c r="AE93" s="115" t="str">
        <f t="shared" si="131"/>
        <v>1T20</v>
      </c>
      <c r="AF93" s="115" t="str">
        <f t="shared" si="131"/>
        <v>2T20</v>
      </c>
      <c r="AG93" s="115" t="str">
        <f t="shared" si="131"/>
        <v>3T20</v>
      </c>
      <c r="AH93" s="115" t="str">
        <f t="shared" si="131"/>
        <v>4T20</v>
      </c>
      <c r="AI93" s="115" t="str">
        <f t="shared" si="131"/>
        <v>1T21</v>
      </c>
      <c r="AJ93" s="115" t="str">
        <f t="shared" si="131"/>
        <v>2T21</v>
      </c>
      <c r="AK93" s="115" t="str">
        <f t="shared" si="131"/>
        <v>3T21</v>
      </c>
      <c r="AL93" s="115" t="str">
        <f t="shared" si="131"/>
        <v>4T21</v>
      </c>
      <c r="AM93" s="115" t="str">
        <f t="shared" si="131"/>
        <v>1T22</v>
      </c>
      <c r="AN93" s="115" t="str">
        <f t="shared" si="131"/>
        <v>2T22</v>
      </c>
      <c r="AO93" s="115" t="str">
        <f t="shared" si="131"/>
        <v>3T22</v>
      </c>
      <c r="AP93" s="115" t="str">
        <f t="shared" si="131"/>
        <v>4T22</v>
      </c>
      <c r="AQ93" s="115" t="str">
        <f t="shared" si="131"/>
        <v>1T23</v>
      </c>
      <c r="AR93" s="115" t="str">
        <f t="shared" si="131"/>
        <v>2T23</v>
      </c>
      <c r="AS93" s="115" t="str">
        <f t="shared" si="131"/>
        <v>3T23</v>
      </c>
      <c r="AT93" s="115" t="str">
        <f t="shared" si="131"/>
        <v>4T23</v>
      </c>
      <c r="AU93" s="115" t="str">
        <f t="shared" si="131"/>
        <v>1T24</v>
      </c>
      <c r="AV93" s="115" t="str">
        <f t="shared" si="131"/>
        <v>2T24</v>
      </c>
      <c r="AW93" s="115" t="str">
        <f t="shared" si="131"/>
        <v>3T24</v>
      </c>
      <c r="AX93" s="115" t="str">
        <f t="shared" si="131"/>
        <v>4T24</v>
      </c>
      <c r="AY93" s="115" t="str">
        <f t="shared" si="131"/>
        <v>1T25</v>
      </c>
      <c r="AZ93" s="115" t="str">
        <f t="shared" si="131"/>
        <v>2T25</v>
      </c>
      <c r="BA93" s="115" t="s">
        <v>1315</v>
      </c>
      <c r="BB93" s="115" t="s">
        <v>1317</v>
      </c>
      <c r="BC93" s="115" t="str">
        <f t="shared" si="131"/>
        <v>1T26</v>
      </c>
    </row>
    <row r="94" spans="2:55" x14ac:dyDescent="0.25">
      <c r="B94" s="126" t="s">
        <v>188</v>
      </c>
      <c r="C94" s="120">
        <v>0</v>
      </c>
      <c r="D94" s="120">
        <v>0</v>
      </c>
      <c r="E94" s="120">
        <v>0</v>
      </c>
      <c r="F94" s="120">
        <v>0</v>
      </c>
      <c r="G94" s="120">
        <v>0</v>
      </c>
      <c r="H94" s="120">
        <v>0</v>
      </c>
      <c r="I94" s="120">
        <v>0</v>
      </c>
      <c r="J94" s="120">
        <v>0</v>
      </c>
      <c r="K94" s="120">
        <v>0</v>
      </c>
      <c r="L94" s="120">
        <v>0</v>
      </c>
      <c r="M94" s="120">
        <v>0</v>
      </c>
      <c r="N94" s="120">
        <v>0</v>
      </c>
      <c r="O94" s="120">
        <v>0</v>
      </c>
      <c r="P94" s="120">
        <v>0</v>
      </c>
      <c r="Q94" s="120">
        <v>0</v>
      </c>
      <c r="R94" s="120">
        <v>0</v>
      </c>
      <c r="S94" s="120">
        <v>4946</v>
      </c>
      <c r="T94" s="120">
        <f t="shared" ref="T94:AA94" si="132">+S103</f>
        <v>6104</v>
      </c>
      <c r="U94" s="120">
        <f t="shared" si="132"/>
        <v>27314</v>
      </c>
      <c r="V94" s="120">
        <f t="shared" si="132"/>
        <v>27220.255570000001</v>
      </c>
      <c r="W94" s="120">
        <f t="shared" si="132"/>
        <v>30926</v>
      </c>
      <c r="X94" s="120">
        <f t="shared" si="132"/>
        <v>32903</v>
      </c>
      <c r="Y94" s="120">
        <f t="shared" si="132"/>
        <v>30032</v>
      </c>
      <c r="Z94" s="120">
        <f t="shared" si="132"/>
        <v>26056</v>
      </c>
      <c r="AA94" s="120">
        <f t="shared" si="132"/>
        <v>34419</v>
      </c>
      <c r="AB94" s="120">
        <f t="shared" ref="AB94:AH94" si="133">+AA103</f>
        <v>33700</v>
      </c>
      <c r="AC94" s="120">
        <f t="shared" si="133"/>
        <v>32422</v>
      </c>
      <c r="AD94" s="120">
        <f t="shared" si="133"/>
        <v>32048</v>
      </c>
      <c r="AE94" s="120">
        <f t="shared" si="133"/>
        <v>30606</v>
      </c>
      <c r="AF94" s="120">
        <f t="shared" si="133"/>
        <v>32570</v>
      </c>
      <c r="AG94" s="120">
        <f t="shared" si="133"/>
        <v>30269</v>
      </c>
      <c r="AH94" s="120">
        <f t="shared" si="133"/>
        <v>31629</v>
      </c>
      <c r="AI94" s="120">
        <f t="shared" ref="AI94:AU94" si="134">+AH103</f>
        <v>30151</v>
      </c>
      <c r="AJ94" s="120">
        <f t="shared" si="134"/>
        <v>29631</v>
      </c>
      <c r="AK94" s="120">
        <f t="shared" si="134"/>
        <v>28660</v>
      </c>
      <c r="AL94" s="120">
        <f t="shared" si="134"/>
        <v>23482</v>
      </c>
      <c r="AM94" s="120">
        <f t="shared" si="134"/>
        <v>27802</v>
      </c>
      <c r="AN94" s="120">
        <f t="shared" si="134"/>
        <v>25994</v>
      </c>
      <c r="AO94" s="120">
        <f t="shared" si="134"/>
        <v>22639</v>
      </c>
      <c r="AP94" s="120">
        <f t="shared" si="134"/>
        <v>28573</v>
      </c>
      <c r="AQ94" s="120">
        <f t="shared" si="134"/>
        <v>24627</v>
      </c>
      <c r="AR94" s="120">
        <f t="shared" si="134"/>
        <v>24853</v>
      </c>
      <c r="AS94" s="120">
        <f t="shared" si="134"/>
        <v>23987</v>
      </c>
      <c r="AT94" s="120">
        <f t="shared" si="134"/>
        <v>24185</v>
      </c>
      <c r="AU94" s="120">
        <f t="shared" si="134"/>
        <v>24904</v>
      </c>
      <c r="AV94" s="120">
        <f>+AU103</f>
        <v>25407</v>
      </c>
      <c r="AW94" s="120">
        <f>+AV103</f>
        <v>26457</v>
      </c>
      <c r="AX94" s="120">
        <f>+AW103</f>
        <v>25243</v>
      </c>
      <c r="AY94" s="120">
        <f>+AX103</f>
        <v>18674</v>
      </c>
      <c r="AZ94" s="120">
        <f>+AY103</f>
        <v>19045</v>
      </c>
      <c r="BA94" s="120">
        <v>19200</v>
      </c>
      <c r="BB94" s="120">
        <v>18495</v>
      </c>
      <c r="BC94" s="120">
        <f>+BB103</f>
        <v>17680</v>
      </c>
    </row>
    <row r="95" spans="2:55" x14ac:dyDescent="0.25">
      <c r="B95" s="129" t="s">
        <v>687</v>
      </c>
      <c r="C95" s="130">
        <v>0</v>
      </c>
      <c r="D95" s="130">
        <v>0</v>
      </c>
      <c r="E95" s="130">
        <v>0</v>
      </c>
      <c r="F95" s="130">
        <v>0</v>
      </c>
      <c r="G95" s="130">
        <v>0</v>
      </c>
      <c r="H95" s="130">
        <v>0</v>
      </c>
      <c r="I95" s="130">
        <v>0</v>
      </c>
      <c r="J95" s="118">
        <v>0</v>
      </c>
      <c r="K95" s="118">
        <v>0</v>
      </c>
      <c r="L95" s="118">
        <v>0</v>
      </c>
      <c r="M95" s="118">
        <v>0</v>
      </c>
      <c r="N95" s="118">
        <v>0</v>
      </c>
      <c r="O95" s="118">
        <v>0</v>
      </c>
      <c r="P95" s="118">
        <v>0</v>
      </c>
      <c r="Q95" s="118">
        <v>0</v>
      </c>
      <c r="R95" s="118">
        <v>0</v>
      </c>
      <c r="S95" s="118">
        <v>1883</v>
      </c>
      <c r="T95" s="261">
        <v>18147.411240000001</v>
      </c>
      <c r="U95" s="118">
        <v>3194.5887600000001</v>
      </c>
      <c r="V95" s="118">
        <v>7983</v>
      </c>
      <c r="W95" s="118">
        <v>5594</v>
      </c>
      <c r="X95" s="118">
        <v>1241</v>
      </c>
      <c r="Y95" s="118">
        <v>2442</v>
      </c>
      <c r="Z95" s="118">
        <v>15269</v>
      </c>
      <c r="AA95" s="118">
        <v>4037</v>
      </c>
      <c r="AB95" s="118">
        <v>3312</v>
      </c>
      <c r="AC95" s="118">
        <v>5256</v>
      </c>
      <c r="AD95" s="118">
        <v>5551</v>
      </c>
      <c r="AE95" s="118">
        <v>5593</v>
      </c>
      <c r="AF95" s="118">
        <v>1978</v>
      </c>
      <c r="AG95" s="118">
        <v>5211</v>
      </c>
      <c r="AH95" s="118">
        <v>2037</v>
      </c>
      <c r="AI95" s="118">
        <v>926</v>
      </c>
      <c r="AJ95" s="118">
        <v>921</v>
      </c>
      <c r="AK95" s="118">
        <v>-1</v>
      </c>
      <c r="AL95" s="118">
        <v>2090</v>
      </c>
      <c r="AM95" s="118">
        <v>-587</v>
      </c>
      <c r="AN95" s="118">
        <v>-138</v>
      </c>
      <c r="AO95" s="261">
        <v>6905</v>
      </c>
      <c r="AP95" s="118">
        <v>226</v>
      </c>
      <c r="AQ95" s="118">
        <v>443</v>
      </c>
      <c r="AR95" s="118">
        <v>559</v>
      </c>
      <c r="AS95" s="118">
        <v>322</v>
      </c>
      <c r="AT95" s="118">
        <v>459</v>
      </c>
      <c r="AU95" s="118">
        <v>660</v>
      </c>
      <c r="AV95" s="118">
        <v>431</v>
      </c>
      <c r="AW95" s="118">
        <v>-144</v>
      </c>
      <c r="AX95" s="118">
        <v>236</v>
      </c>
      <c r="AY95" s="118">
        <v>361</v>
      </c>
      <c r="AZ95" s="118">
        <v>205</v>
      </c>
      <c r="BA95" s="118">
        <v>235</v>
      </c>
      <c r="BB95" s="118">
        <v>878</v>
      </c>
      <c r="BC95" s="118">
        <v>-766</v>
      </c>
    </row>
    <row r="96" spans="2:55" x14ac:dyDescent="0.25">
      <c r="B96" s="129" t="s">
        <v>897</v>
      </c>
      <c r="C96" s="130">
        <v>0</v>
      </c>
      <c r="D96" s="130">
        <v>0</v>
      </c>
      <c r="E96" s="130">
        <v>0</v>
      </c>
      <c r="F96" s="130">
        <v>0</v>
      </c>
      <c r="G96" s="130">
        <v>0</v>
      </c>
      <c r="H96" s="130">
        <v>0</v>
      </c>
      <c r="I96" s="130">
        <v>0</v>
      </c>
      <c r="J96" s="130">
        <v>0</v>
      </c>
      <c r="K96" s="130">
        <v>0</v>
      </c>
      <c r="L96" s="130">
        <v>0</v>
      </c>
      <c r="M96" s="130">
        <v>0</v>
      </c>
      <c r="N96" s="130">
        <v>0</v>
      </c>
      <c r="O96" s="130">
        <v>0</v>
      </c>
      <c r="P96" s="130">
        <v>0</v>
      </c>
      <c r="Q96" s="130">
        <v>0</v>
      </c>
      <c r="R96" s="130">
        <v>0</v>
      </c>
      <c r="S96" s="130">
        <v>0</v>
      </c>
      <c r="T96" s="130">
        <v>0</v>
      </c>
      <c r="U96" s="130">
        <v>0</v>
      </c>
      <c r="V96" s="130">
        <v>0</v>
      </c>
      <c r="W96" s="130">
        <v>0</v>
      </c>
      <c r="X96" s="130">
        <v>0</v>
      </c>
      <c r="Y96" s="130">
        <v>0</v>
      </c>
      <c r="Z96" s="130">
        <v>0</v>
      </c>
      <c r="AA96" s="130">
        <v>0</v>
      </c>
      <c r="AB96" s="130">
        <v>0</v>
      </c>
      <c r="AC96" s="130">
        <v>0</v>
      </c>
      <c r="AD96" s="130">
        <v>418</v>
      </c>
      <c r="AE96" s="118">
        <v>95</v>
      </c>
      <c r="AF96" s="118">
        <v>71</v>
      </c>
      <c r="AG96" s="118">
        <v>79</v>
      </c>
      <c r="AH96" s="118">
        <v>84</v>
      </c>
      <c r="AI96" s="118">
        <v>111</v>
      </c>
      <c r="AJ96" s="118">
        <v>112</v>
      </c>
      <c r="AK96" s="118">
        <v>110</v>
      </c>
      <c r="AL96" s="118">
        <v>3667</v>
      </c>
      <c r="AM96" s="118">
        <v>128</v>
      </c>
      <c r="AN96" s="118">
        <v>225</v>
      </c>
      <c r="AO96" s="118">
        <v>193</v>
      </c>
      <c r="AP96" s="118">
        <v>120</v>
      </c>
      <c r="AQ96" s="118">
        <v>186</v>
      </c>
      <c r="AR96" s="118">
        <v>63</v>
      </c>
      <c r="AS96" s="118">
        <v>0</v>
      </c>
      <c r="AT96" s="118">
        <v>486</v>
      </c>
      <c r="AU96" s="118">
        <v>157</v>
      </c>
      <c r="AV96" s="118">
        <v>150</v>
      </c>
      <c r="AW96" s="118">
        <v>152</v>
      </c>
      <c r="AX96" s="118">
        <v>205</v>
      </c>
      <c r="AY96" s="118">
        <v>175</v>
      </c>
      <c r="AZ96" s="118">
        <v>194</v>
      </c>
      <c r="BA96" s="118">
        <v>144</v>
      </c>
      <c r="BB96" s="118">
        <v>281</v>
      </c>
      <c r="BC96" s="118">
        <v>127</v>
      </c>
    </row>
    <row r="97" spans="2:55" ht="25.5" x14ac:dyDescent="0.25">
      <c r="B97" s="129" t="s">
        <v>688</v>
      </c>
      <c r="C97" s="130">
        <v>0</v>
      </c>
      <c r="D97" s="130">
        <v>0</v>
      </c>
      <c r="E97" s="130">
        <v>0</v>
      </c>
      <c r="F97" s="130">
        <v>0</v>
      </c>
      <c r="G97" s="130">
        <v>0</v>
      </c>
      <c r="H97" s="130">
        <v>0</v>
      </c>
      <c r="I97" s="130">
        <v>0</v>
      </c>
      <c r="J97" s="118">
        <v>0</v>
      </c>
      <c r="K97" s="118">
        <v>0</v>
      </c>
      <c r="L97" s="118">
        <v>0</v>
      </c>
      <c r="M97" s="118">
        <v>0</v>
      </c>
      <c r="N97" s="118">
        <v>0</v>
      </c>
      <c r="O97" s="118">
        <v>0</v>
      </c>
      <c r="P97" s="118">
        <v>0</v>
      </c>
      <c r="Q97" s="118">
        <v>0</v>
      </c>
      <c r="R97" s="118">
        <v>0</v>
      </c>
      <c r="S97" s="118">
        <v>0</v>
      </c>
      <c r="T97" s="118">
        <v>4575.1435700000002</v>
      </c>
      <c r="U97" s="118">
        <v>49.112000000000002</v>
      </c>
      <c r="V97" s="118">
        <v>-49.255570000000262</v>
      </c>
      <c r="W97" s="118">
        <v>0</v>
      </c>
      <c r="X97" s="118">
        <v>0</v>
      </c>
      <c r="Y97" s="118">
        <v>0</v>
      </c>
      <c r="Z97" s="118">
        <v>0</v>
      </c>
      <c r="AA97" s="118">
        <v>0</v>
      </c>
      <c r="AB97" s="118">
        <v>0</v>
      </c>
      <c r="AC97" s="118">
        <v>0</v>
      </c>
      <c r="AD97" s="118">
        <v>0</v>
      </c>
      <c r="AE97" s="118">
        <v>0</v>
      </c>
      <c r="AF97" s="118">
        <v>0</v>
      </c>
      <c r="AG97" s="118">
        <v>0</v>
      </c>
      <c r="AH97" s="118">
        <v>0</v>
      </c>
      <c r="AI97" s="118">
        <v>0</v>
      </c>
      <c r="AJ97" s="118">
        <v>0</v>
      </c>
      <c r="AK97" s="118">
        <v>0</v>
      </c>
      <c r="AL97" s="118">
        <v>0</v>
      </c>
      <c r="AM97" s="118">
        <v>0</v>
      </c>
      <c r="AN97" s="118">
        <v>0</v>
      </c>
      <c r="AO97" s="118">
        <v>0</v>
      </c>
      <c r="AP97" s="118">
        <v>0</v>
      </c>
      <c r="AQ97" s="118">
        <v>0</v>
      </c>
      <c r="AR97" s="118">
        <v>0</v>
      </c>
      <c r="AS97" s="118">
        <v>0</v>
      </c>
      <c r="AT97" s="118">
        <v>0</v>
      </c>
      <c r="AU97" s="118">
        <v>0</v>
      </c>
      <c r="AV97" s="118">
        <v>0</v>
      </c>
      <c r="AW97" s="118">
        <v>0</v>
      </c>
      <c r="AX97" s="118">
        <v>0</v>
      </c>
      <c r="AY97" s="118">
        <v>0</v>
      </c>
      <c r="AZ97" s="118">
        <v>0</v>
      </c>
      <c r="BA97" s="118">
        <v>0</v>
      </c>
      <c r="BB97" s="118">
        <v>0</v>
      </c>
      <c r="BC97" s="118">
        <v>0</v>
      </c>
    </row>
    <row r="98" spans="2:55" x14ac:dyDescent="0.25">
      <c r="B98" s="129" t="s">
        <v>756</v>
      </c>
      <c r="C98" s="130">
        <v>0</v>
      </c>
      <c r="D98" s="130">
        <v>0</v>
      </c>
      <c r="E98" s="130">
        <v>0</v>
      </c>
      <c r="F98" s="130">
        <v>0</v>
      </c>
      <c r="G98" s="130">
        <v>0</v>
      </c>
      <c r="H98" s="130">
        <v>0</v>
      </c>
      <c r="I98" s="130">
        <v>0</v>
      </c>
      <c r="J98" s="118">
        <v>0</v>
      </c>
      <c r="K98" s="118">
        <v>0</v>
      </c>
      <c r="L98" s="118">
        <v>0</v>
      </c>
      <c r="M98" s="118">
        <v>0</v>
      </c>
      <c r="N98" s="118">
        <v>0</v>
      </c>
      <c r="O98" s="118">
        <v>0</v>
      </c>
      <c r="P98" s="118">
        <v>0</v>
      </c>
      <c r="Q98" s="118">
        <v>0</v>
      </c>
      <c r="R98" s="118">
        <v>0</v>
      </c>
      <c r="S98" s="118">
        <v>0</v>
      </c>
      <c r="T98" s="118">
        <v>0</v>
      </c>
      <c r="U98" s="118">
        <v>0</v>
      </c>
      <c r="V98" s="118">
        <v>0</v>
      </c>
      <c r="W98" s="118">
        <v>0</v>
      </c>
      <c r="X98" s="118">
        <v>0</v>
      </c>
      <c r="Y98" s="118">
        <v>0</v>
      </c>
      <c r="Z98" s="118">
        <v>0</v>
      </c>
      <c r="AA98" s="118">
        <v>0</v>
      </c>
      <c r="AB98" s="118">
        <v>0</v>
      </c>
      <c r="AC98" s="118">
        <v>0</v>
      </c>
      <c r="AD98" s="118" t="s">
        <v>160</v>
      </c>
      <c r="AE98" s="118" t="s">
        <v>160</v>
      </c>
      <c r="AF98" s="118" t="s">
        <v>160</v>
      </c>
      <c r="AG98" s="118" t="s">
        <v>160</v>
      </c>
      <c r="AH98" s="118" t="s">
        <v>160</v>
      </c>
      <c r="AI98" s="118" t="s">
        <v>160</v>
      </c>
      <c r="AJ98" s="118" t="s">
        <v>160</v>
      </c>
      <c r="AK98" s="118" t="s">
        <v>160</v>
      </c>
      <c r="AL98" s="118" t="s">
        <v>160</v>
      </c>
      <c r="AM98" s="118">
        <v>0</v>
      </c>
      <c r="AN98" s="118">
        <v>0</v>
      </c>
      <c r="AO98" s="118">
        <v>0</v>
      </c>
      <c r="AP98" s="118">
        <v>0</v>
      </c>
      <c r="AQ98" s="118">
        <v>0</v>
      </c>
      <c r="AR98" s="118">
        <v>0</v>
      </c>
      <c r="AS98" s="118">
        <v>0</v>
      </c>
      <c r="AT98" s="118">
        <v>0</v>
      </c>
      <c r="AU98" s="118">
        <v>0</v>
      </c>
      <c r="AV98" s="118">
        <v>0</v>
      </c>
      <c r="AW98" s="118">
        <v>0</v>
      </c>
      <c r="AX98" s="118">
        <v>0</v>
      </c>
      <c r="AY98" s="118">
        <v>0</v>
      </c>
      <c r="AZ98" s="118">
        <v>0</v>
      </c>
      <c r="BA98" s="118">
        <v>0</v>
      </c>
      <c r="BB98" s="118">
        <v>0</v>
      </c>
      <c r="BC98" s="118">
        <v>0</v>
      </c>
    </row>
    <row r="99" spans="2:55" x14ac:dyDescent="0.25">
      <c r="B99" s="129" t="s">
        <v>717</v>
      </c>
      <c r="C99" s="130">
        <v>0</v>
      </c>
      <c r="D99" s="130">
        <v>0</v>
      </c>
      <c r="E99" s="130">
        <v>0</v>
      </c>
      <c r="F99" s="130">
        <v>0</v>
      </c>
      <c r="G99" s="130">
        <v>0</v>
      </c>
      <c r="H99" s="130">
        <v>0</v>
      </c>
      <c r="I99" s="130">
        <v>0</v>
      </c>
      <c r="J99" s="118">
        <v>0</v>
      </c>
      <c r="K99" s="118">
        <v>0</v>
      </c>
      <c r="L99" s="118">
        <v>0</v>
      </c>
      <c r="M99" s="118">
        <v>0</v>
      </c>
      <c r="N99" s="118">
        <v>0</v>
      </c>
      <c r="O99" s="118">
        <v>0</v>
      </c>
      <c r="P99" s="118">
        <v>0</v>
      </c>
      <c r="Q99" s="118">
        <v>0</v>
      </c>
      <c r="R99" s="118">
        <v>0</v>
      </c>
      <c r="S99" s="118">
        <v>0</v>
      </c>
      <c r="T99" s="118">
        <v>0</v>
      </c>
      <c r="U99" s="118">
        <v>0</v>
      </c>
      <c r="V99" s="118">
        <v>-912</v>
      </c>
      <c r="W99" s="118">
        <v>873</v>
      </c>
      <c r="X99" s="118">
        <v>-1090</v>
      </c>
      <c r="Y99" s="118">
        <v>880</v>
      </c>
      <c r="Z99" s="118">
        <v>-999</v>
      </c>
      <c r="AA99" s="118">
        <v>84</v>
      </c>
      <c r="AB99" s="118">
        <v>-162</v>
      </c>
      <c r="AC99" s="118">
        <v>-530</v>
      </c>
      <c r="AD99" s="118">
        <v>-1514</v>
      </c>
      <c r="AE99" s="118">
        <v>-3</v>
      </c>
      <c r="AF99" s="118">
        <v>-28</v>
      </c>
      <c r="AG99" s="118">
        <v>-13</v>
      </c>
      <c r="AH99" s="118">
        <v>-75</v>
      </c>
      <c r="AI99" s="118">
        <v>-81</v>
      </c>
      <c r="AJ99" s="118">
        <v>-191</v>
      </c>
      <c r="AK99" s="118">
        <v>269</v>
      </c>
      <c r="AL99" s="118">
        <v>3</v>
      </c>
      <c r="AM99" s="118">
        <v>-802</v>
      </c>
      <c r="AN99" s="118">
        <v>631</v>
      </c>
      <c r="AO99" s="118">
        <v>161</v>
      </c>
      <c r="AP99" s="118">
        <v>-568</v>
      </c>
      <c r="AQ99" s="118">
        <v>-65</v>
      </c>
      <c r="AR99" s="118">
        <v>41</v>
      </c>
      <c r="AS99" s="118">
        <v>23</v>
      </c>
      <c r="AT99" s="118">
        <v>-30</v>
      </c>
      <c r="AU99" s="118">
        <v>0</v>
      </c>
      <c r="AV99" s="118">
        <v>0</v>
      </c>
      <c r="AW99" s="118">
        <v>-3</v>
      </c>
      <c r="AX99" s="118">
        <v>3</v>
      </c>
      <c r="AY99" s="118">
        <v>0</v>
      </c>
      <c r="AZ99" s="118">
        <v>-7</v>
      </c>
      <c r="BA99" s="118">
        <v>-9</v>
      </c>
      <c r="BB99" s="118">
        <v>-312</v>
      </c>
      <c r="BC99" s="118">
        <v>0</v>
      </c>
    </row>
    <row r="100" spans="2:55" x14ac:dyDescent="0.25">
      <c r="B100" s="129" t="s">
        <v>689</v>
      </c>
      <c r="C100" s="130">
        <v>0</v>
      </c>
      <c r="D100" s="130">
        <v>0</v>
      </c>
      <c r="E100" s="130">
        <v>0</v>
      </c>
      <c r="F100" s="130">
        <v>0</v>
      </c>
      <c r="G100" s="130">
        <v>0</v>
      </c>
      <c r="H100" s="130">
        <v>0</v>
      </c>
      <c r="I100" s="130">
        <v>0</v>
      </c>
      <c r="J100" s="118">
        <v>0</v>
      </c>
      <c r="K100" s="118">
        <v>0</v>
      </c>
      <c r="L100" s="118">
        <v>0</v>
      </c>
      <c r="M100" s="118">
        <v>0</v>
      </c>
      <c r="N100" s="118">
        <v>0</v>
      </c>
      <c r="O100" s="118">
        <v>0</v>
      </c>
      <c r="P100" s="118">
        <v>0</v>
      </c>
      <c r="Q100" s="118">
        <v>0</v>
      </c>
      <c r="R100" s="118">
        <v>0</v>
      </c>
      <c r="S100" s="118">
        <v>0</v>
      </c>
      <c r="T100" s="118">
        <v>-604.55480999999997</v>
      </c>
      <c r="U100" s="118">
        <v>-295.44519000000003</v>
      </c>
      <c r="V100" s="118">
        <v>-307</v>
      </c>
      <c r="W100" s="118">
        <v>-252</v>
      </c>
      <c r="X100" s="118">
        <v>-167</v>
      </c>
      <c r="Y100" s="118">
        <v>-245</v>
      </c>
      <c r="Z100" s="118">
        <v>-368</v>
      </c>
      <c r="AA100" s="118">
        <v>-506</v>
      </c>
      <c r="AB100" s="118">
        <v>-185</v>
      </c>
      <c r="AC100" s="118">
        <v>-113</v>
      </c>
      <c r="AD100" s="118">
        <v>-120</v>
      </c>
      <c r="AE100" s="118">
        <v>-104</v>
      </c>
      <c r="AF100" s="118">
        <v>-50</v>
      </c>
      <c r="AG100" s="118">
        <v>-122</v>
      </c>
      <c r="AH100" s="118">
        <v>65</v>
      </c>
      <c r="AI100" s="118">
        <v>-70</v>
      </c>
      <c r="AJ100" s="118">
        <v>-82</v>
      </c>
      <c r="AK100" s="118">
        <v>-22</v>
      </c>
      <c r="AL100" s="118">
        <v>-330</v>
      </c>
      <c r="AM100" s="118">
        <v>-70</v>
      </c>
      <c r="AN100" s="118">
        <v>-143</v>
      </c>
      <c r="AO100" s="118">
        <v>-40</v>
      </c>
      <c r="AP100" s="118">
        <v>-584</v>
      </c>
      <c r="AQ100" s="118">
        <v>-88</v>
      </c>
      <c r="AR100" s="118">
        <v>-278</v>
      </c>
      <c r="AS100" s="118">
        <v>-6</v>
      </c>
      <c r="AT100" s="118">
        <v>-35</v>
      </c>
      <c r="AU100" s="118">
        <v>-57</v>
      </c>
      <c r="AV100" s="118">
        <v>-40</v>
      </c>
      <c r="AW100" s="118">
        <v>-126</v>
      </c>
      <c r="AX100" s="118">
        <v>-86</v>
      </c>
      <c r="AY100" s="118">
        <v>-38</v>
      </c>
      <c r="AZ100" s="118">
        <v>-47</v>
      </c>
      <c r="BA100" s="118">
        <v>0</v>
      </c>
      <c r="BB100" s="118">
        <v>-269</v>
      </c>
      <c r="BC100" s="118">
        <v>-25</v>
      </c>
    </row>
    <row r="101" spans="2:55" x14ac:dyDescent="0.25">
      <c r="B101" s="129" t="s">
        <v>49</v>
      </c>
      <c r="C101" s="130" t="s">
        <v>160</v>
      </c>
      <c r="D101" s="130" t="s">
        <v>160</v>
      </c>
      <c r="E101" s="130" t="s">
        <v>160</v>
      </c>
      <c r="F101" s="130" t="s">
        <v>160</v>
      </c>
      <c r="G101" s="130" t="s">
        <v>160</v>
      </c>
      <c r="H101" s="130" t="s">
        <v>160</v>
      </c>
      <c r="I101" s="130" t="s">
        <v>160</v>
      </c>
      <c r="J101" s="118" t="s">
        <v>160</v>
      </c>
      <c r="K101" s="118" t="s">
        <v>160</v>
      </c>
      <c r="L101" s="118" t="s">
        <v>160</v>
      </c>
      <c r="M101" s="118" t="s">
        <v>160</v>
      </c>
      <c r="N101" s="118" t="s">
        <v>160</v>
      </c>
      <c r="O101" s="118" t="s">
        <v>160</v>
      </c>
      <c r="P101" s="118" t="s">
        <v>160</v>
      </c>
      <c r="Q101" s="118" t="s">
        <v>160</v>
      </c>
      <c r="R101" s="118" t="s">
        <v>160</v>
      </c>
      <c r="S101" s="118" t="s">
        <v>160</v>
      </c>
      <c r="T101" s="118" t="s">
        <v>160</v>
      </c>
      <c r="U101" s="118" t="s">
        <v>160</v>
      </c>
      <c r="V101" s="118" t="s">
        <v>160</v>
      </c>
      <c r="W101" s="118" t="s">
        <v>160</v>
      </c>
      <c r="X101" s="118" t="s">
        <v>160</v>
      </c>
      <c r="Y101" s="118" t="s">
        <v>160</v>
      </c>
      <c r="Z101" s="118" t="s">
        <v>160</v>
      </c>
      <c r="AA101" s="118" t="s">
        <v>160</v>
      </c>
      <c r="AB101" s="118" t="s">
        <v>160</v>
      </c>
      <c r="AC101" s="118" t="s">
        <v>160</v>
      </c>
      <c r="AD101" s="118" t="s">
        <v>160</v>
      </c>
      <c r="AE101" s="118" t="s">
        <v>160</v>
      </c>
      <c r="AF101" s="118" t="s">
        <v>160</v>
      </c>
      <c r="AG101" s="118" t="s">
        <v>160</v>
      </c>
      <c r="AH101" s="118" t="s">
        <v>160</v>
      </c>
      <c r="AI101" s="118" t="s">
        <v>160</v>
      </c>
      <c r="AJ101" s="118" t="s">
        <v>160</v>
      </c>
      <c r="AK101" s="118" t="s">
        <v>160</v>
      </c>
      <c r="AL101" s="118" t="s">
        <v>160</v>
      </c>
      <c r="AM101" s="118">
        <v>494</v>
      </c>
      <c r="AN101" s="118">
        <v>1</v>
      </c>
      <c r="AO101" s="118">
        <v>-1</v>
      </c>
      <c r="AP101" s="118">
        <v>0</v>
      </c>
      <c r="AQ101" s="118">
        <v>0</v>
      </c>
      <c r="AR101" s="118">
        <v>0</v>
      </c>
      <c r="AS101" s="118">
        <v>0</v>
      </c>
      <c r="AT101" s="118">
        <v>0</v>
      </c>
      <c r="AU101" s="118">
        <v>0</v>
      </c>
      <c r="AV101" s="118">
        <v>487</v>
      </c>
      <c r="AW101" s="118">
        <v>0</v>
      </c>
      <c r="AX101" s="118">
        <v>0</v>
      </c>
      <c r="AY101" s="118">
        <v>0</v>
      </c>
      <c r="AZ101" s="118">
        <v>0</v>
      </c>
      <c r="BA101" s="118">
        <v>0</v>
      </c>
      <c r="BB101" s="118">
        <v>0</v>
      </c>
      <c r="BC101" s="118">
        <v>0</v>
      </c>
    </row>
    <row r="102" spans="2:55" x14ac:dyDescent="0.25">
      <c r="B102" s="129" t="s">
        <v>690</v>
      </c>
      <c r="C102" s="130">
        <v>0</v>
      </c>
      <c r="D102" s="130">
        <v>0</v>
      </c>
      <c r="E102" s="130">
        <v>0</v>
      </c>
      <c r="F102" s="130">
        <v>0</v>
      </c>
      <c r="G102" s="130">
        <v>0</v>
      </c>
      <c r="H102" s="130">
        <v>0</v>
      </c>
      <c r="I102" s="130">
        <v>0</v>
      </c>
      <c r="J102" s="118">
        <v>0</v>
      </c>
      <c r="K102" s="118">
        <v>0</v>
      </c>
      <c r="L102" s="118">
        <v>0</v>
      </c>
      <c r="M102" s="118">
        <v>0</v>
      </c>
      <c r="N102" s="118">
        <v>0</v>
      </c>
      <c r="O102" s="118">
        <v>0</v>
      </c>
      <c r="P102" s="118">
        <v>0</v>
      </c>
      <c r="Q102" s="118">
        <v>0</v>
      </c>
      <c r="R102" s="118">
        <v>0</v>
      </c>
      <c r="S102" s="118">
        <v>-725</v>
      </c>
      <c r="T102" s="118">
        <v>-908</v>
      </c>
      <c r="U102" s="118">
        <v>-3042</v>
      </c>
      <c r="V102" s="118">
        <v>-3009</v>
      </c>
      <c r="W102" s="118">
        <v>-4238</v>
      </c>
      <c r="X102" s="118">
        <v>-2855</v>
      </c>
      <c r="Y102" s="118">
        <v>-7053</v>
      </c>
      <c r="Z102" s="118">
        <v>-5539</v>
      </c>
      <c r="AA102" s="118">
        <v>-4334</v>
      </c>
      <c r="AB102" s="118">
        <v>-4243</v>
      </c>
      <c r="AC102" s="118">
        <v>-4987</v>
      </c>
      <c r="AD102" s="118">
        <v>-5777</v>
      </c>
      <c r="AE102" s="118">
        <v>-3617</v>
      </c>
      <c r="AF102" s="118">
        <v>-4272</v>
      </c>
      <c r="AG102" s="118">
        <v>-3795</v>
      </c>
      <c r="AH102" s="118">
        <v>-3589</v>
      </c>
      <c r="AI102" s="118">
        <v>-1406</v>
      </c>
      <c r="AJ102" s="118">
        <v>-1731</v>
      </c>
      <c r="AK102" s="118">
        <v>-5534</v>
      </c>
      <c r="AL102" s="118">
        <v>-1110</v>
      </c>
      <c r="AM102" s="118">
        <v>-971</v>
      </c>
      <c r="AN102" s="118">
        <v>-3931</v>
      </c>
      <c r="AO102" s="118">
        <v>-1284</v>
      </c>
      <c r="AP102" s="118">
        <v>-3140</v>
      </c>
      <c r="AQ102" s="118">
        <v>-250</v>
      </c>
      <c r="AR102" s="118">
        <v>-1251</v>
      </c>
      <c r="AS102" s="118">
        <v>-141</v>
      </c>
      <c r="AT102" s="118">
        <v>-161</v>
      </c>
      <c r="AU102" s="118">
        <v>-257</v>
      </c>
      <c r="AV102" s="118">
        <v>22</v>
      </c>
      <c r="AW102" s="118">
        <v>-1093</v>
      </c>
      <c r="AX102" s="118">
        <v>-6927</v>
      </c>
      <c r="AY102" s="118">
        <v>-127</v>
      </c>
      <c r="AZ102" s="118">
        <v>-190</v>
      </c>
      <c r="BA102" s="118">
        <v>-1075</v>
      </c>
      <c r="BB102" s="118">
        <v>-1393</v>
      </c>
      <c r="BC102" s="118">
        <v>104</v>
      </c>
    </row>
    <row r="103" spans="2:55" x14ac:dyDescent="0.25">
      <c r="B103" s="126" t="s">
        <v>191</v>
      </c>
      <c r="C103" s="120">
        <v>0</v>
      </c>
      <c r="D103" s="120">
        <v>0</v>
      </c>
      <c r="E103" s="120">
        <v>0</v>
      </c>
      <c r="F103" s="120">
        <v>0</v>
      </c>
      <c r="G103" s="120">
        <v>0</v>
      </c>
      <c r="H103" s="120">
        <v>0</v>
      </c>
      <c r="I103" s="120">
        <v>0</v>
      </c>
      <c r="J103" s="120">
        <v>0</v>
      </c>
      <c r="K103" s="120">
        <v>0</v>
      </c>
      <c r="L103" s="120">
        <v>0</v>
      </c>
      <c r="M103" s="120">
        <v>0</v>
      </c>
      <c r="N103" s="120">
        <v>0</v>
      </c>
      <c r="O103" s="120">
        <v>0</v>
      </c>
      <c r="P103" s="120">
        <v>0</v>
      </c>
      <c r="Q103" s="120">
        <v>0</v>
      </c>
      <c r="R103" s="120">
        <v>0</v>
      </c>
      <c r="S103" s="120">
        <f t="shared" ref="S103:AA103" si="135">+SUM(S94:S102)</f>
        <v>6104</v>
      </c>
      <c r="T103" s="120">
        <f t="shared" si="135"/>
        <v>27314</v>
      </c>
      <c r="U103" s="120">
        <f t="shared" si="135"/>
        <v>27220.255570000001</v>
      </c>
      <c r="V103" s="120">
        <f t="shared" si="135"/>
        <v>30926</v>
      </c>
      <c r="W103" s="120">
        <f t="shared" si="135"/>
        <v>32903</v>
      </c>
      <c r="X103" s="120">
        <f t="shared" si="135"/>
        <v>30032</v>
      </c>
      <c r="Y103" s="120">
        <f t="shared" si="135"/>
        <v>26056</v>
      </c>
      <c r="Z103" s="120">
        <f t="shared" si="135"/>
        <v>34419</v>
      </c>
      <c r="AA103" s="120">
        <f t="shared" si="135"/>
        <v>33700</v>
      </c>
      <c r="AB103" s="120">
        <f t="shared" ref="AB103:AG103" si="136">+SUM(AB94:AB102)</f>
        <v>32422</v>
      </c>
      <c r="AC103" s="120">
        <f t="shared" si="136"/>
        <v>32048</v>
      </c>
      <c r="AD103" s="120">
        <f t="shared" si="136"/>
        <v>30606</v>
      </c>
      <c r="AE103" s="120">
        <f t="shared" si="136"/>
        <v>32570</v>
      </c>
      <c r="AF103" s="120">
        <f t="shared" si="136"/>
        <v>30269</v>
      </c>
      <c r="AG103" s="120">
        <f t="shared" si="136"/>
        <v>31629</v>
      </c>
      <c r="AH103" s="120">
        <f>+SUM(AH94:AH102)</f>
        <v>30151</v>
      </c>
      <c r="AI103" s="120">
        <f t="shared" ref="AI103:AN103" si="137">+SUM(AI94:AI102)</f>
        <v>29631</v>
      </c>
      <c r="AJ103" s="120">
        <f t="shared" si="137"/>
        <v>28660</v>
      </c>
      <c r="AK103" s="120">
        <f t="shared" si="137"/>
        <v>23482</v>
      </c>
      <c r="AL103" s="120">
        <f t="shared" si="137"/>
        <v>27802</v>
      </c>
      <c r="AM103" s="120">
        <f t="shared" si="137"/>
        <v>25994</v>
      </c>
      <c r="AN103" s="120">
        <f t="shared" si="137"/>
        <v>22639</v>
      </c>
      <c r="AO103" s="120">
        <f t="shared" ref="AO103:AZ103" si="138">+SUM(AO94:AO102)</f>
        <v>28573</v>
      </c>
      <c r="AP103" s="120">
        <f t="shared" si="138"/>
        <v>24627</v>
      </c>
      <c r="AQ103" s="120">
        <f t="shared" si="138"/>
        <v>24853</v>
      </c>
      <c r="AR103" s="120">
        <f t="shared" si="138"/>
        <v>23987</v>
      </c>
      <c r="AS103" s="120">
        <f t="shared" si="138"/>
        <v>24185</v>
      </c>
      <c r="AT103" s="120">
        <f t="shared" si="138"/>
        <v>24904</v>
      </c>
      <c r="AU103" s="120">
        <f t="shared" si="138"/>
        <v>25407</v>
      </c>
      <c r="AV103" s="120">
        <f t="shared" si="138"/>
        <v>26457</v>
      </c>
      <c r="AW103" s="120">
        <f t="shared" si="138"/>
        <v>25243</v>
      </c>
      <c r="AX103" s="120">
        <f t="shared" si="138"/>
        <v>18674</v>
      </c>
      <c r="AY103" s="120">
        <f t="shared" si="138"/>
        <v>19045</v>
      </c>
      <c r="AZ103" s="120">
        <f t="shared" si="138"/>
        <v>19200</v>
      </c>
      <c r="BA103" s="120">
        <v>18495</v>
      </c>
      <c r="BB103" s="120">
        <v>17680</v>
      </c>
      <c r="BC103" s="120">
        <f>+SUM(BC94:BC102)</f>
        <v>17120</v>
      </c>
    </row>
    <row r="104" spans="2:55" x14ac:dyDescent="0.25">
      <c r="S104" s="645">
        <f t="shared" ref="S104:AB104" si="139">S103-S53</f>
        <v>0</v>
      </c>
      <c r="T104" s="645">
        <f t="shared" si="139"/>
        <v>0</v>
      </c>
      <c r="U104" s="645">
        <f t="shared" si="139"/>
        <v>-0.74442999999882886</v>
      </c>
      <c r="V104" s="645">
        <f t="shared" si="139"/>
        <v>0</v>
      </c>
      <c r="W104" s="663">
        <f t="shared" si="139"/>
        <v>0</v>
      </c>
      <c r="X104" s="663">
        <f t="shared" si="139"/>
        <v>0</v>
      </c>
      <c r="Y104" s="663">
        <f t="shared" si="139"/>
        <v>0</v>
      </c>
      <c r="Z104" s="663">
        <f t="shared" si="139"/>
        <v>0</v>
      </c>
      <c r="AA104" s="663">
        <f t="shared" si="139"/>
        <v>0</v>
      </c>
      <c r="AB104" s="663">
        <f t="shared" si="139"/>
        <v>0</v>
      </c>
      <c r="AC104" s="663">
        <v>0</v>
      </c>
      <c r="AD104" s="663">
        <f t="shared" ref="AD104:AI104" si="140">AD103-AD53</f>
        <v>0</v>
      </c>
      <c r="AE104" s="663">
        <f t="shared" si="140"/>
        <v>0</v>
      </c>
      <c r="AF104" s="663">
        <f t="shared" si="140"/>
        <v>0</v>
      </c>
      <c r="AG104" s="663">
        <f t="shared" si="140"/>
        <v>0</v>
      </c>
      <c r="AH104" s="663">
        <f t="shared" si="140"/>
        <v>0</v>
      </c>
      <c r="AI104" s="663">
        <f t="shared" si="140"/>
        <v>0</v>
      </c>
      <c r="AJ104" s="663">
        <v>0</v>
      </c>
      <c r="AK104" s="663">
        <v>0</v>
      </c>
      <c r="AL104" s="663"/>
      <c r="AM104" s="663">
        <v>0</v>
      </c>
      <c r="AN104" s="663">
        <f t="shared" ref="AN104:AS104" si="141">AN103-AN53</f>
        <v>0</v>
      </c>
      <c r="AO104" s="663">
        <f t="shared" si="141"/>
        <v>0</v>
      </c>
      <c r="AP104" s="663">
        <f t="shared" si="141"/>
        <v>0</v>
      </c>
      <c r="AQ104" s="663">
        <f t="shared" si="141"/>
        <v>0</v>
      </c>
      <c r="AR104" s="663">
        <f t="shared" si="141"/>
        <v>0</v>
      </c>
      <c r="AS104" s="663">
        <f t="shared" si="141"/>
        <v>0</v>
      </c>
      <c r="AT104" s="663">
        <f>AT103-AT53</f>
        <v>0</v>
      </c>
      <c r="AU104" s="663">
        <f>AU103-AU53</f>
        <v>0</v>
      </c>
      <c r="AV104" s="663">
        <f>AV103-AV53</f>
        <v>0</v>
      </c>
      <c r="AW104" s="663"/>
      <c r="AX104" s="663"/>
      <c r="AY104" s="663"/>
      <c r="AZ104" s="1199">
        <f>AZ103-AZ53</f>
        <v>0</v>
      </c>
      <c r="BA104" s="1199">
        <v>0</v>
      </c>
      <c r="BB104" s="1199">
        <v>0</v>
      </c>
      <c r="BC104" s="1199">
        <f>BC103-BC53</f>
        <v>0</v>
      </c>
    </row>
    <row r="105" spans="2:55" x14ac:dyDescent="0.25">
      <c r="B105" s="145" t="s">
        <v>98</v>
      </c>
      <c r="C105" s="145" t="s">
        <v>160</v>
      </c>
      <c r="D105" s="145" t="s">
        <v>160</v>
      </c>
      <c r="E105" s="145" t="s">
        <v>160</v>
      </c>
      <c r="F105" s="145" t="s">
        <v>160</v>
      </c>
      <c r="G105" s="145" t="s">
        <v>160</v>
      </c>
      <c r="H105" s="145" t="s">
        <v>160</v>
      </c>
      <c r="I105" s="145" t="s">
        <v>160</v>
      </c>
      <c r="J105" s="115" t="s">
        <v>160</v>
      </c>
      <c r="K105" s="115" t="s">
        <v>160</v>
      </c>
      <c r="L105" s="115" t="s">
        <v>160</v>
      </c>
      <c r="M105" s="115" t="s">
        <v>160</v>
      </c>
      <c r="N105" s="115" t="s">
        <v>160</v>
      </c>
      <c r="O105" s="115" t="s">
        <v>160</v>
      </c>
      <c r="P105" s="115" t="s">
        <v>160</v>
      </c>
      <c r="Q105" s="115" t="s">
        <v>160</v>
      </c>
      <c r="R105" s="115" t="s">
        <v>160</v>
      </c>
      <c r="S105" s="115" t="str">
        <f>S$5</f>
        <v>1T17</v>
      </c>
      <c r="T105" s="115" t="str">
        <f t="shared" ref="T105:BC105" si="142">T$5</f>
        <v>2T17</v>
      </c>
      <c r="U105" s="115" t="str">
        <f t="shared" si="142"/>
        <v>3T17</v>
      </c>
      <c r="V105" s="115" t="str">
        <f t="shared" si="142"/>
        <v>4T17</v>
      </c>
      <c r="W105" s="115" t="str">
        <f t="shared" si="142"/>
        <v>1T18</v>
      </c>
      <c r="X105" s="115" t="str">
        <f t="shared" si="142"/>
        <v>2T18</v>
      </c>
      <c r="Y105" s="115" t="str">
        <f t="shared" si="142"/>
        <v>3T18</v>
      </c>
      <c r="Z105" s="115" t="str">
        <f t="shared" si="142"/>
        <v>4T18</v>
      </c>
      <c r="AA105" s="115" t="str">
        <f t="shared" si="142"/>
        <v>1T19</v>
      </c>
      <c r="AB105" s="115" t="str">
        <f t="shared" si="142"/>
        <v>2T19</v>
      </c>
      <c r="AC105" s="115" t="str">
        <f t="shared" si="142"/>
        <v>3T19</v>
      </c>
      <c r="AD105" s="115" t="str">
        <f t="shared" si="142"/>
        <v>4T19</v>
      </c>
      <c r="AE105" s="115" t="str">
        <f t="shared" si="142"/>
        <v>1T20</v>
      </c>
      <c r="AF105" s="115" t="str">
        <f t="shared" si="142"/>
        <v>2T20</v>
      </c>
      <c r="AG105" s="115" t="str">
        <f t="shared" si="142"/>
        <v>3T20</v>
      </c>
      <c r="AH105" s="115" t="str">
        <f t="shared" si="142"/>
        <v>4T20</v>
      </c>
      <c r="AI105" s="115" t="str">
        <f t="shared" si="142"/>
        <v>1T21</v>
      </c>
      <c r="AJ105" s="115" t="str">
        <f t="shared" si="142"/>
        <v>2T21</v>
      </c>
      <c r="AK105" s="115" t="str">
        <f t="shared" si="142"/>
        <v>3T21</v>
      </c>
      <c r="AL105" s="115" t="str">
        <f t="shared" si="142"/>
        <v>4T21</v>
      </c>
      <c r="AM105" s="115" t="str">
        <f t="shared" si="142"/>
        <v>1T22</v>
      </c>
      <c r="AN105" s="115" t="str">
        <f t="shared" si="142"/>
        <v>2T22</v>
      </c>
      <c r="AO105" s="115" t="str">
        <f t="shared" si="142"/>
        <v>3T22</v>
      </c>
      <c r="AP105" s="115" t="str">
        <f t="shared" si="142"/>
        <v>4T22</v>
      </c>
      <c r="AQ105" s="115" t="str">
        <f t="shared" si="142"/>
        <v>1T23</v>
      </c>
      <c r="AR105" s="115" t="str">
        <f t="shared" si="142"/>
        <v>2T23</v>
      </c>
      <c r="AS105" s="115" t="str">
        <f t="shared" si="142"/>
        <v>3T23</v>
      </c>
      <c r="AT105" s="115" t="str">
        <f t="shared" si="142"/>
        <v>4T23</v>
      </c>
      <c r="AU105" s="115" t="str">
        <f t="shared" si="142"/>
        <v>1T24</v>
      </c>
      <c r="AV105" s="115" t="str">
        <f t="shared" si="142"/>
        <v>2T24</v>
      </c>
      <c r="AW105" s="115" t="str">
        <f t="shared" si="142"/>
        <v>3T24</v>
      </c>
      <c r="AX105" s="115" t="str">
        <f t="shared" si="142"/>
        <v>4T24</v>
      </c>
      <c r="AY105" s="115" t="str">
        <f t="shared" si="142"/>
        <v>1T25</v>
      </c>
      <c r="AZ105" s="115" t="str">
        <f t="shared" si="142"/>
        <v>2T25</v>
      </c>
      <c r="BA105" s="115" t="s">
        <v>1315</v>
      </c>
      <c r="BB105" s="115" t="s">
        <v>1317</v>
      </c>
      <c r="BC105" s="115" t="str">
        <f t="shared" si="142"/>
        <v>1T26</v>
      </c>
    </row>
    <row r="106" spans="2:55" x14ac:dyDescent="0.25">
      <c r="B106" s="126" t="s">
        <v>188</v>
      </c>
      <c r="C106" s="120">
        <v>0</v>
      </c>
      <c r="D106" s="120">
        <v>0</v>
      </c>
      <c r="E106" s="120">
        <v>0</v>
      </c>
      <c r="F106" s="120">
        <v>0</v>
      </c>
      <c r="G106" s="120">
        <v>0</v>
      </c>
      <c r="H106" s="120">
        <v>0</v>
      </c>
      <c r="I106" s="120">
        <v>0</v>
      </c>
      <c r="J106" s="120">
        <v>0</v>
      </c>
      <c r="K106" s="120">
        <v>0</v>
      </c>
      <c r="L106" s="120">
        <v>0</v>
      </c>
      <c r="M106" s="120">
        <v>0</v>
      </c>
      <c r="N106" s="120">
        <v>0</v>
      </c>
      <c r="O106" s="120">
        <v>0</v>
      </c>
      <c r="P106" s="120">
        <v>0</v>
      </c>
      <c r="Q106" s="120">
        <v>0</v>
      </c>
      <c r="R106" s="120">
        <v>0</v>
      </c>
      <c r="S106" s="120">
        <f t="shared" ref="S106:AE106" si="143">+S82-S94</f>
        <v>9992</v>
      </c>
      <c r="T106" s="120">
        <f t="shared" si="143"/>
        <v>8605.1046200000001</v>
      </c>
      <c r="U106" s="120">
        <f t="shared" si="143"/>
        <v>9289.4146200000032</v>
      </c>
      <c r="V106" s="120">
        <f t="shared" si="143"/>
        <v>7733.9913500000039</v>
      </c>
      <c r="W106" s="120">
        <f t="shared" si="143"/>
        <v>8057.0000000000073</v>
      </c>
      <c r="X106" s="120">
        <f t="shared" si="143"/>
        <v>10867.000000000007</v>
      </c>
      <c r="Y106" s="120">
        <f t="shared" si="143"/>
        <v>11060.000000000007</v>
      </c>
      <c r="Z106" s="120">
        <f t="shared" si="143"/>
        <v>10778.000000000007</v>
      </c>
      <c r="AA106" s="120">
        <f t="shared" si="143"/>
        <v>10025.000000000007</v>
      </c>
      <c r="AB106" s="120">
        <f t="shared" si="143"/>
        <v>9502.0000000000073</v>
      </c>
      <c r="AC106" s="120">
        <f t="shared" si="143"/>
        <v>10328.000000000007</v>
      </c>
      <c r="AD106" s="120">
        <f t="shared" si="143"/>
        <v>4563.0000000000073</v>
      </c>
      <c r="AE106" s="120">
        <f t="shared" si="143"/>
        <v>4660.0000000000073</v>
      </c>
      <c r="AF106" s="120">
        <f>+AF82-AF94</f>
        <v>4262.0000000000073</v>
      </c>
      <c r="AG106" s="120">
        <f>+AG82-AG94</f>
        <v>3944.0000000000073</v>
      </c>
      <c r="AH106" s="120">
        <f t="shared" ref="AH106:AN106" si="144">+AH82-AH94</f>
        <v>3923.0000000000073</v>
      </c>
      <c r="AI106" s="120">
        <f t="shared" si="144"/>
        <v>3727.0000000000073</v>
      </c>
      <c r="AJ106" s="120">
        <f t="shared" si="144"/>
        <v>3475.0000000000073</v>
      </c>
      <c r="AK106" s="120">
        <f t="shared" si="144"/>
        <v>3301.0000000000073</v>
      </c>
      <c r="AL106" s="120">
        <f t="shared" si="144"/>
        <v>3166.0000000000073</v>
      </c>
      <c r="AM106" s="120">
        <f>+AM82-AM94</f>
        <v>3028.0000000000073</v>
      </c>
      <c r="AN106" s="120">
        <f t="shared" si="144"/>
        <v>3644.0000000000073</v>
      </c>
      <c r="AO106" s="120">
        <f t="shared" ref="AO106:AU107" si="145">+AO82-AO94</f>
        <v>3755.0000000000073</v>
      </c>
      <c r="AP106" s="120">
        <f t="shared" si="145"/>
        <v>3757.0000000000073</v>
      </c>
      <c r="AQ106" s="120">
        <f t="shared" si="145"/>
        <v>3755.0000000000073</v>
      </c>
      <c r="AR106" s="120">
        <f t="shared" si="145"/>
        <v>3802.0000000000073</v>
      </c>
      <c r="AS106" s="120">
        <f t="shared" si="145"/>
        <v>2491.0000000000073</v>
      </c>
      <c r="AT106" s="120">
        <f t="shared" si="145"/>
        <v>2463.0000000000073</v>
      </c>
      <c r="AU106" s="120">
        <f t="shared" si="145"/>
        <v>3111.0000000000073</v>
      </c>
      <c r="AV106" s="120">
        <f>+AV82-AV94</f>
        <v>3330.0000000000073</v>
      </c>
      <c r="AW106" s="120">
        <f t="shared" ref="AW106:AY107" si="146">+AW82-AW94</f>
        <v>2872.0000000000073</v>
      </c>
      <c r="AX106" s="120">
        <f t="shared" si="146"/>
        <v>2890.0000000000073</v>
      </c>
      <c r="AY106" s="120">
        <f t="shared" si="146"/>
        <v>3018.0000000000073</v>
      </c>
      <c r="AZ106" s="120">
        <f>+AZ82-AZ94</f>
        <v>3046.0000000000073</v>
      </c>
      <c r="BA106" s="120">
        <v>3053.0000000000073</v>
      </c>
      <c r="BB106" s="120">
        <v>2913.0000000000073</v>
      </c>
      <c r="BC106" s="120">
        <f>+BC82-BC94</f>
        <v>2984.0000000000073</v>
      </c>
    </row>
    <row r="107" spans="2:55" x14ac:dyDescent="0.25">
      <c r="B107" s="129" t="s">
        <v>687</v>
      </c>
      <c r="C107" s="130">
        <v>0</v>
      </c>
      <c r="D107" s="130">
        <v>0</v>
      </c>
      <c r="E107" s="130">
        <v>0</v>
      </c>
      <c r="F107" s="130">
        <v>0</v>
      </c>
      <c r="G107" s="130">
        <v>0</v>
      </c>
      <c r="H107" s="130">
        <v>0</v>
      </c>
      <c r="I107" s="130">
        <v>0</v>
      </c>
      <c r="J107" s="118">
        <v>0</v>
      </c>
      <c r="K107" s="118">
        <v>0</v>
      </c>
      <c r="L107" s="118">
        <v>0</v>
      </c>
      <c r="M107" s="118">
        <v>0</v>
      </c>
      <c r="N107" s="118">
        <v>0</v>
      </c>
      <c r="O107" s="118">
        <v>0</v>
      </c>
      <c r="P107" s="118">
        <v>0</v>
      </c>
      <c r="Q107" s="118">
        <v>0</v>
      </c>
      <c r="R107" s="118">
        <v>0</v>
      </c>
      <c r="S107" s="118">
        <f t="shared" ref="S107:AB107" si="147">+S83-S95</f>
        <v>879</v>
      </c>
      <c r="T107" s="118">
        <f t="shared" si="147"/>
        <v>2904.5887599999987</v>
      </c>
      <c r="U107" s="118">
        <f t="shared" si="147"/>
        <v>419.41123999999991</v>
      </c>
      <c r="V107" s="118">
        <f t="shared" si="147"/>
        <v>3029</v>
      </c>
      <c r="W107" s="118">
        <f t="shared" si="147"/>
        <v>4705</v>
      </c>
      <c r="X107" s="118">
        <f t="shared" si="147"/>
        <v>870</v>
      </c>
      <c r="Y107" s="118">
        <f t="shared" si="147"/>
        <v>1405</v>
      </c>
      <c r="Z107" s="118">
        <f t="shared" si="147"/>
        <v>957</v>
      </c>
      <c r="AA107" s="118">
        <f t="shared" si="147"/>
        <v>309</v>
      </c>
      <c r="AB107" s="118">
        <f t="shared" si="147"/>
        <v>1174</v>
      </c>
      <c r="AC107" s="118">
        <v>660</v>
      </c>
      <c r="AD107" s="118">
        <f>+AD83-AD95</f>
        <v>383</v>
      </c>
      <c r="AE107" s="118">
        <f>+AE83-AE95</f>
        <v>157</v>
      </c>
      <c r="AF107" s="118">
        <v>31</v>
      </c>
      <c r="AG107" s="118">
        <f>+AG83-AG95</f>
        <v>298</v>
      </c>
      <c r="AH107" s="118">
        <f t="shared" ref="AH107:AN107" si="148">+AH83-AH95</f>
        <v>-339</v>
      </c>
      <c r="AI107" s="118">
        <f t="shared" si="148"/>
        <v>54</v>
      </c>
      <c r="AJ107" s="118">
        <f t="shared" si="148"/>
        <v>115</v>
      </c>
      <c r="AK107" s="118">
        <f t="shared" si="148"/>
        <v>5</v>
      </c>
      <c r="AL107" s="118">
        <f t="shared" si="148"/>
        <v>371</v>
      </c>
      <c r="AM107" s="118">
        <f>+AM83-AM95</f>
        <v>26</v>
      </c>
      <c r="AN107" s="118">
        <f t="shared" si="148"/>
        <v>165</v>
      </c>
      <c r="AO107" s="118">
        <f t="shared" si="145"/>
        <v>26</v>
      </c>
      <c r="AP107" s="118">
        <f t="shared" si="145"/>
        <v>189</v>
      </c>
      <c r="AQ107" s="118">
        <f t="shared" si="145"/>
        <v>35</v>
      </c>
      <c r="AR107" s="118">
        <f t="shared" si="145"/>
        <v>-362</v>
      </c>
      <c r="AS107" s="118">
        <f t="shared" si="145"/>
        <v>47</v>
      </c>
      <c r="AT107" s="118">
        <f t="shared" si="145"/>
        <v>609</v>
      </c>
      <c r="AU107" s="118">
        <f t="shared" si="145"/>
        <v>234</v>
      </c>
      <c r="AV107" s="118">
        <f>+AV83-AV95</f>
        <v>49</v>
      </c>
      <c r="AW107" s="118">
        <f t="shared" si="146"/>
        <v>121</v>
      </c>
      <c r="AX107" s="118">
        <f t="shared" si="146"/>
        <v>240</v>
      </c>
      <c r="AY107" s="118">
        <v>19</v>
      </c>
      <c r="AZ107" s="118">
        <v>1</v>
      </c>
      <c r="BA107" s="118">
        <v>-66</v>
      </c>
      <c r="BB107" s="118">
        <v>48</v>
      </c>
      <c r="BC107" s="118">
        <f>+BC83-BC95</f>
        <v>6</v>
      </c>
    </row>
    <row r="108" spans="2:55" ht="25.5" x14ac:dyDescent="0.25">
      <c r="B108" s="129" t="s">
        <v>688</v>
      </c>
      <c r="C108" s="130">
        <v>0</v>
      </c>
      <c r="D108" s="130">
        <v>0</v>
      </c>
      <c r="E108" s="130">
        <v>0</v>
      </c>
      <c r="F108" s="130">
        <v>0</v>
      </c>
      <c r="G108" s="130">
        <v>0</v>
      </c>
      <c r="H108" s="130">
        <v>0</v>
      </c>
      <c r="I108" s="130">
        <v>0</v>
      </c>
      <c r="J108" s="118">
        <v>0</v>
      </c>
      <c r="K108" s="118">
        <v>0</v>
      </c>
      <c r="L108" s="118">
        <v>0</v>
      </c>
      <c r="M108" s="118">
        <v>0</v>
      </c>
      <c r="N108" s="118">
        <v>0</v>
      </c>
      <c r="O108" s="118">
        <v>0</v>
      </c>
      <c r="P108" s="118">
        <v>0</v>
      </c>
      <c r="Q108" s="118">
        <v>0</v>
      </c>
      <c r="R108" s="118">
        <v>0</v>
      </c>
      <c r="S108" s="118">
        <f>+S85-S97</f>
        <v>0</v>
      </c>
      <c r="T108" s="118">
        <f>+T85-T97</f>
        <v>888.65643</v>
      </c>
      <c r="U108" s="118">
        <f>+U85-U97</f>
        <v>0</v>
      </c>
      <c r="V108" s="118">
        <v>0</v>
      </c>
      <c r="W108" s="118">
        <f>+W85-W97</f>
        <v>0</v>
      </c>
      <c r="X108" s="118">
        <v>0</v>
      </c>
      <c r="Y108" s="118">
        <v>0</v>
      </c>
      <c r="Z108" s="118">
        <f t="shared" ref="Z108:AA111" si="149">+Z85-Z97</f>
        <v>0</v>
      </c>
      <c r="AA108" s="118">
        <f t="shared" si="149"/>
        <v>0</v>
      </c>
      <c r="AB108" s="118">
        <v>0</v>
      </c>
      <c r="AC108" s="118">
        <v>0</v>
      </c>
      <c r="AD108" s="118">
        <f>AD85-AD97</f>
        <v>0</v>
      </c>
      <c r="AE108" s="118">
        <f>AE85-AE97</f>
        <v>0</v>
      </c>
      <c r="AF108" s="118">
        <v>0</v>
      </c>
      <c r="AG108" s="118">
        <f>AG85-AG97</f>
        <v>0</v>
      </c>
      <c r="AH108" s="118">
        <v>0</v>
      </c>
      <c r="AI108" s="118">
        <f>AI85-AI97</f>
        <v>0</v>
      </c>
      <c r="AJ108" s="118">
        <v>0</v>
      </c>
      <c r="AK108" s="118">
        <v>0</v>
      </c>
      <c r="AL108" s="118">
        <f>+AL84-AL96</f>
        <v>0</v>
      </c>
      <c r="AM108" s="118">
        <f>+AM84-AM96</f>
        <v>652</v>
      </c>
      <c r="AN108" s="118">
        <f t="shared" ref="AN108:AP109" si="150">+AN85-AN97</f>
        <v>0</v>
      </c>
      <c r="AO108" s="118">
        <f t="shared" si="150"/>
        <v>0</v>
      </c>
      <c r="AP108" s="118">
        <f t="shared" si="150"/>
        <v>0</v>
      </c>
      <c r="AQ108" s="118">
        <f t="shared" ref="AQ108:AU111" si="151">+AQ85-AQ97</f>
        <v>0</v>
      </c>
      <c r="AR108" s="118">
        <f t="shared" si="151"/>
        <v>0</v>
      </c>
      <c r="AS108" s="118">
        <f t="shared" si="151"/>
        <v>0</v>
      </c>
      <c r="AT108" s="118">
        <f t="shared" si="151"/>
        <v>0</v>
      </c>
      <c r="AU108" s="118">
        <f t="shared" si="151"/>
        <v>0</v>
      </c>
      <c r="AV108" s="118">
        <f t="shared" ref="AV108:AX111" si="152">+AV85-AV97</f>
        <v>0</v>
      </c>
      <c r="AW108" s="118">
        <f t="shared" si="152"/>
        <v>0</v>
      </c>
      <c r="AX108" s="118">
        <f t="shared" si="152"/>
        <v>0</v>
      </c>
      <c r="AY108" s="118">
        <v>0</v>
      </c>
      <c r="AZ108" s="118">
        <v>0</v>
      </c>
      <c r="BA108" s="118">
        <v>0</v>
      </c>
      <c r="BB108" s="118">
        <v>0</v>
      </c>
      <c r="BC108" s="118">
        <f>+BC85-BC97</f>
        <v>0</v>
      </c>
    </row>
    <row r="109" spans="2:55" x14ac:dyDescent="0.25">
      <c r="B109" s="129" t="s">
        <v>756</v>
      </c>
      <c r="C109" s="130"/>
      <c r="D109" s="130"/>
      <c r="E109" s="130"/>
      <c r="F109" s="130"/>
      <c r="G109" s="130"/>
      <c r="H109" s="130"/>
      <c r="I109" s="130"/>
      <c r="J109" s="118"/>
      <c r="K109" s="118"/>
      <c r="L109" s="118"/>
      <c r="M109" s="118"/>
      <c r="N109" s="118"/>
      <c r="O109" s="118"/>
      <c r="P109" s="118"/>
      <c r="Q109" s="118"/>
      <c r="R109" s="118"/>
      <c r="S109" s="118">
        <v>0</v>
      </c>
      <c r="T109" s="118">
        <v>0</v>
      </c>
      <c r="U109" s="118">
        <v>0</v>
      </c>
      <c r="V109" s="118">
        <v>0</v>
      </c>
      <c r="W109" s="118">
        <f>+W86-W98</f>
        <v>-1482</v>
      </c>
      <c r="X109" s="118">
        <f t="shared" ref="X109:Y111" si="153">+X86-X98</f>
        <v>0</v>
      </c>
      <c r="Y109" s="118">
        <f t="shared" si="153"/>
        <v>0</v>
      </c>
      <c r="Z109" s="118">
        <f t="shared" si="149"/>
        <v>0</v>
      </c>
      <c r="AA109" s="118">
        <f t="shared" si="149"/>
        <v>0</v>
      </c>
      <c r="AB109" s="118">
        <v>0</v>
      </c>
      <c r="AC109" s="118">
        <v>0</v>
      </c>
      <c r="AD109" s="118">
        <v>0</v>
      </c>
      <c r="AE109" s="118">
        <v>0</v>
      </c>
      <c r="AF109" s="118">
        <v>0</v>
      </c>
      <c r="AG109" s="118">
        <v>0</v>
      </c>
      <c r="AH109" s="118">
        <v>0</v>
      </c>
      <c r="AI109" s="118">
        <v>0</v>
      </c>
      <c r="AJ109" s="118">
        <v>0</v>
      </c>
      <c r="AK109" s="118">
        <v>0</v>
      </c>
      <c r="AL109" s="118">
        <f>+AL85-AL97</f>
        <v>0</v>
      </c>
      <c r="AM109" s="118">
        <f>+AM85-AM97</f>
        <v>0</v>
      </c>
      <c r="AN109" s="118">
        <f t="shared" si="150"/>
        <v>0</v>
      </c>
      <c r="AO109" s="118">
        <f t="shared" si="150"/>
        <v>0</v>
      </c>
      <c r="AP109" s="118">
        <f t="shared" si="150"/>
        <v>0</v>
      </c>
      <c r="AQ109" s="118">
        <f t="shared" si="151"/>
        <v>0</v>
      </c>
      <c r="AR109" s="118">
        <f t="shared" si="151"/>
        <v>0</v>
      </c>
      <c r="AS109" s="118">
        <f t="shared" si="151"/>
        <v>0</v>
      </c>
      <c r="AT109" s="118">
        <f t="shared" si="151"/>
        <v>0</v>
      </c>
      <c r="AU109" s="118">
        <f t="shared" si="151"/>
        <v>0</v>
      </c>
      <c r="AV109" s="118">
        <f t="shared" si="152"/>
        <v>0</v>
      </c>
      <c r="AW109" s="118">
        <f t="shared" si="152"/>
        <v>0</v>
      </c>
      <c r="AX109" s="118">
        <f t="shared" si="152"/>
        <v>0</v>
      </c>
      <c r="AY109" s="118">
        <v>0</v>
      </c>
      <c r="AZ109" s="118">
        <v>0</v>
      </c>
      <c r="BA109" s="118">
        <v>0</v>
      </c>
      <c r="BB109" s="118">
        <v>0</v>
      </c>
      <c r="BC109" s="118">
        <f>+BC86-BC98</f>
        <v>0</v>
      </c>
    </row>
    <row r="110" spans="2:55" x14ac:dyDescent="0.25">
      <c r="B110" s="129" t="s">
        <v>717</v>
      </c>
      <c r="C110" s="130">
        <f t="shared" ref="C110:V110" si="154">+C87-C99</f>
        <v>0</v>
      </c>
      <c r="D110" s="130">
        <f t="shared" si="154"/>
        <v>0</v>
      </c>
      <c r="E110" s="130">
        <f t="shared" si="154"/>
        <v>0</v>
      </c>
      <c r="F110" s="130">
        <f t="shared" si="154"/>
        <v>0</v>
      </c>
      <c r="G110" s="130">
        <f t="shared" si="154"/>
        <v>0</v>
      </c>
      <c r="H110" s="130">
        <f t="shared" si="154"/>
        <v>0</v>
      </c>
      <c r="I110" s="130">
        <f t="shared" si="154"/>
        <v>0</v>
      </c>
      <c r="J110" s="118">
        <f t="shared" si="154"/>
        <v>0</v>
      </c>
      <c r="K110" s="118">
        <f t="shared" si="154"/>
        <v>0</v>
      </c>
      <c r="L110" s="118">
        <f t="shared" si="154"/>
        <v>0</v>
      </c>
      <c r="M110" s="118">
        <f t="shared" si="154"/>
        <v>0</v>
      </c>
      <c r="N110" s="118">
        <f t="shared" si="154"/>
        <v>0</v>
      </c>
      <c r="O110" s="118">
        <f t="shared" si="154"/>
        <v>0</v>
      </c>
      <c r="P110" s="118">
        <f t="shared" si="154"/>
        <v>0</v>
      </c>
      <c r="Q110" s="118">
        <f t="shared" si="154"/>
        <v>0</v>
      </c>
      <c r="R110" s="118">
        <f t="shared" si="154"/>
        <v>0</v>
      </c>
      <c r="S110" s="118">
        <f t="shared" si="154"/>
        <v>0</v>
      </c>
      <c r="T110" s="118">
        <f t="shared" si="154"/>
        <v>0</v>
      </c>
      <c r="U110" s="118">
        <f t="shared" si="154"/>
        <v>0</v>
      </c>
      <c r="V110" s="118">
        <f t="shared" si="154"/>
        <v>-183</v>
      </c>
      <c r="W110" s="118">
        <f>+W87-W99</f>
        <v>182</v>
      </c>
      <c r="X110" s="118">
        <f t="shared" si="153"/>
        <v>-216</v>
      </c>
      <c r="Y110" s="118">
        <f t="shared" si="153"/>
        <v>-186</v>
      </c>
      <c r="Z110" s="118">
        <f t="shared" si="149"/>
        <v>-612</v>
      </c>
      <c r="AA110" s="118">
        <f t="shared" si="149"/>
        <v>-313</v>
      </c>
      <c r="AB110" s="118">
        <f>+AB87-AB99</f>
        <v>286</v>
      </c>
      <c r="AC110" s="118">
        <v>-258</v>
      </c>
      <c r="AD110" s="118">
        <f>+AD87-AD99</f>
        <v>285</v>
      </c>
      <c r="AE110" s="118">
        <f>+AE87-AE99</f>
        <v>-55</v>
      </c>
      <c r="AF110" s="118">
        <v>55</v>
      </c>
      <c r="AG110" s="118">
        <f>+AG87-AG99</f>
        <v>-144</v>
      </c>
      <c r="AH110" s="118">
        <f t="shared" ref="AH110:AN110" si="155">+AH87-AH99</f>
        <v>42</v>
      </c>
      <c r="AI110" s="118">
        <f t="shared" si="155"/>
        <v>0</v>
      </c>
      <c r="AJ110" s="118">
        <f t="shared" si="155"/>
        <v>0</v>
      </c>
      <c r="AK110" s="118">
        <f t="shared" si="155"/>
        <v>0</v>
      </c>
      <c r="AL110" s="118">
        <f t="shared" si="155"/>
        <v>-13</v>
      </c>
      <c r="AM110" s="118">
        <f>+AM87-AM99</f>
        <v>0</v>
      </c>
      <c r="AN110" s="118">
        <f t="shared" si="155"/>
        <v>0</v>
      </c>
      <c r="AO110" s="118">
        <f>+AO87-AO99</f>
        <v>0</v>
      </c>
      <c r="AP110" s="118">
        <f>+AP87-AP99</f>
        <v>-105</v>
      </c>
      <c r="AQ110" s="118">
        <f t="shared" si="151"/>
        <v>0</v>
      </c>
      <c r="AR110" s="118">
        <f t="shared" si="151"/>
        <v>-201</v>
      </c>
      <c r="AS110" s="118">
        <f t="shared" si="151"/>
        <v>201</v>
      </c>
      <c r="AT110" s="118">
        <f t="shared" si="151"/>
        <v>0</v>
      </c>
      <c r="AU110" s="118">
        <f t="shared" si="151"/>
        <v>-28</v>
      </c>
      <c r="AV110" s="118">
        <f t="shared" si="152"/>
        <v>28</v>
      </c>
      <c r="AW110" s="118">
        <f t="shared" si="152"/>
        <v>0</v>
      </c>
      <c r="AX110" s="118">
        <f t="shared" si="152"/>
        <v>0</v>
      </c>
      <c r="AY110" s="118">
        <v>0</v>
      </c>
      <c r="AZ110" s="118">
        <v>0</v>
      </c>
      <c r="BA110" s="118">
        <v>-1</v>
      </c>
      <c r="BB110" s="118">
        <v>1</v>
      </c>
      <c r="BC110" s="118">
        <f>+BC87-BC99</f>
        <v>0</v>
      </c>
    </row>
    <row r="111" spans="2:55" x14ac:dyDescent="0.25">
      <c r="B111" s="129" t="s">
        <v>689</v>
      </c>
      <c r="C111" s="130">
        <v>0</v>
      </c>
      <c r="D111" s="130">
        <v>0</v>
      </c>
      <c r="E111" s="130">
        <v>0</v>
      </c>
      <c r="F111" s="130">
        <v>0</v>
      </c>
      <c r="G111" s="130">
        <v>0</v>
      </c>
      <c r="H111" s="130">
        <v>0</v>
      </c>
      <c r="I111" s="130">
        <v>0</v>
      </c>
      <c r="J111" s="118">
        <v>0</v>
      </c>
      <c r="K111" s="118">
        <v>0</v>
      </c>
      <c r="L111" s="118">
        <v>0</v>
      </c>
      <c r="M111" s="118">
        <v>0</v>
      </c>
      <c r="N111" s="118">
        <v>0</v>
      </c>
      <c r="O111" s="118">
        <v>0</v>
      </c>
      <c r="P111" s="118">
        <v>0</v>
      </c>
      <c r="Q111" s="118">
        <v>0</v>
      </c>
      <c r="R111" s="118">
        <v>0</v>
      </c>
      <c r="S111" s="118">
        <f>+S88-S100</f>
        <v>-1826.605</v>
      </c>
      <c r="T111" s="118">
        <f>+T88-T100</f>
        <v>-213.93519000000003</v>
      </c>
      <c r="U111" s="118">
        <f>+U88-U100</f>
        <v>-3679.8345100000001</v>
      </c>
      <c r="V111" s="118">
        <f>+V88-V100</f>
        <v>-1703.6253000000002</v>
      </c>
      <c r="W111" s="118">
        <f>+W88-W100</f>
        <v>-269</v>
      </c>
      <c r="X111" s="118">
        <f t="shared" si="153"/>
        <v>-419</v>
      </c>
      <c r="Y111" s="118">
        <f t="shared" si="153"/>
        <v>-357</v>
      </c>
      <c r="Z111" s="118">
        <f t="shared" si="149"/>
        <v>-458</v>
      </c>
      <c r="AA111" s="118">
        <f t="shared" si="149"/>
        <v>-283</v>
      </c>
      <c r="AB111" s="118">
        <f>+AB88-AB100</f>
        <v>-190</v>
      </c>
      <c r="AC111" s="118">
        <v>211</v>
      </c>
      <c r="AD111" s="118">
        <f>+AD88-AD100</f>
        <v>0</v>
      </c>
      <c r="AE111" s="118">
        <f>+AE88-AE100</f>
        <v>-282</v>
      </c>
      <c r="AF111" s="118">
        <v>-303</v>
      </c>
      <c r="AG111" s="118">
        <f t="shared" ref="AG111:AN111" si="156">+AG88-AG100</f>
        <v>-48</v>
      </c>
      <c r="AH111" s="118">
        <f t="shared" si="156"/>
        <v>612</v>
      </c>
      <c r="AI111" s="118">
        <f t="shared" si="156"/>
        <v>-66</v>
      </c>
      <c r="AJ111" s="118">
        <f t="shared" si="156"/>
        <v>-148</v>
      </c>
      <c r="AK111" s="118">
        <f t="shared" si="156"/>
        <v>-60</v>
      </c>
      <c r="AL111" s="118">
        <f t="shared" si="156"/>
        <v>-127</v>
      </c>
      <c r="AM111" s="118">
        <f>+AM88-AM100</f>
        <v>-38</v>
      </c>
      <c r="AN111" s="118">
        <f t="shared" si="156"/>
        <v>3</v>
      </c>
      <c r="AO111" s="118">
        <f>+AO88-AO100</f>
        <v>-466</v>
      </c>
      <c r="AP111" s="118">
        <f>+AP88-AP100</f>
        <v>-42</v>
      </c>
      <c r="AQ111" s="118">
        <f t="shared" si="151"/>
        <v>-2</v>
      </c>
      <c r="AR111" s="118">
        <f t="shared" si="151"/>
        <v>-65</v>
      </c>
      <c r="AS111" s="118">
        <f t="shared" si="151"/>
        <v>-31</v>
      </c>
      <c r="AT111" s="118">
        <f t="shared" si="151"/>
        <v>-9</v>
      </c>
      <c r="AU111" s="118">
        <f t="shared" si="151"/>
        <v>0</v>
      </c>
      <c r="AV111" s="118">
        <f t="shared" si="152"/>
        <v>-37</v>
      </c>
      <c r="AW111" s="118">
        <f t="shared" si="152"/>
        <v>-90</v>
      </c>
      <c r="AX111" s="118">
        <f t="shared" si="152"/>
        <v>-132</v>
      </c>
      <c r="AY111" s="118">
        <v>-12</v>
      </c>
      <c r="AZ111" s="118">
        <v>-19</v>
      </c>
      <c r="BA111" s="118">
        <v>-15</v>
      </c>
      <c r="BB111" s="118">
        <v>-4</v>
      </c>
      <c r="BC111" s="118">
        <f>+BC88-BC100</f>
        <v>0</v>
      </c>
    </row>
    <row r="112" spans="2:55" x14ac:dyDescent="0.25">
      <c r="B112" s="129" t="s">
        <v>690</v>
      </c>
      <c r="C112" s="130">
        <v>0</v>
      </c>
      <c r="D112" s="130">
        <v>0</v>
      </c>
      <c r="E112" s="130">
        <v>0</v>
      </c>
      <c r="F112" s="130">
        <v>0</v>
      </c>
      <c r="G112" s="130">
        <v>0</v>
      </c>
      <c r="H112" s="130">
        <v>0</v>
      </c>
      <c r="I112" s="130">
        <v>0</v>
      </c>
      <c r="J112" s="118">
        <v>0</v>
      </c>
      <c r="K112" s="118">
        <v>0</v>
      </c>
      <c r="L112" s="118">
        <v>0</v>
      </c>
      <c r="M112" s="118">
        <v>0</v>
      </c>
      <c r="N112" s="118">
        <v>0</v>
      </c>
      <c r="O112" s="118">
        <v>0</v>
      </c>
      <c r="P112" s="118">
        <v>0</v>
      </c>
      <c r="Q112" s="118">
        <v>0</v>
      </c>
      <c r="R112" s="118">
        <v>0</v>
      </c>
      <c r="S112" s="118">
        <f t="shared" ref="S112:AB112" si="157">+S90-S102</f>
        <v>-439.29037999999991</v>
      </c>
      <c r="T112" s="118">
        <f t="shared" si="157"/>
        <v>-2895</v>
      </c>
      <c r="U112" s="118">
        <f t="shared" si="157"/>
        <v>1705</v>
      </c>
      <c r="V112" s="118">
        <f t="shared" si="157"/>
        <v>-819.70962000000009</v>
      </c>
      <c r="W112" s="118">
        <f t="shared" si="157"/>
        <v>-326</v>
      </c>
      <c r="X112" s="118">
        <f t="shared" si="157"/>
        <v>-42</v>
      </c>
      <c r="Y112" s="118">
        <f t="shared" si="157"/>
        <v>-1144</v>
      </c>
      <c r="Z112" s="118">
        <f t="shared" si="157"/>
        <v>-640</v>
      </c>
      <c r="AA112" s="118">
        <f t="shared" si="157"/>
        <v>-236</v>
      </c>
      <c r="AB112" s="118">
        <f t="shared" si="157"/>
        <v>-444</v>
      </c>
      <c r="AC112" s="260">
        <v>-6378</v>
      </c>
      <c r="AD112" s="118">
        <f>+AD90-AD102</f>
        <v>-571</v>
      </c>
      <c r="AE112" s="118">
        <f>+AE90-AE102</f>
        <v>-218</v>
      </c>
      <c r="AF112" s="118">
        <v>-101</v>
      </c>
      <c r="AG112" s="118">
        <f t="shared" ref="AG112:AN112" si="158">+AG90-AG102</f>
        <v>-127</v>
      </c>
      <c r="AH112" s="118">
        <f t="shared" si="158"/>
        <v>-511</v>
      </c>
      <c r="AI112" s="118">
        <f t="shared" si="158"/>
        <v>-240</v>
      </c>
      <c r="AJ112" s="118">
        <f t="shared" si="158"/>
        <v>-141</v>
      </c>
      <c r="AK112" s="118">
        <f t="shared" si="158"/>
        <v>-80</v>
      </c>
      <c r="AL112" s="118">
        <f t="shared" si="158"/>
        <v>-369</v>
      </c>
      <c r="AM112" s="118">
        <f>+AM90-AM102</f>
        <v>-24</v>
      </c>
      <c r="AN112" s="118">
        <f t="shared" si="158"/>
        <v>-86</v>
      </c>
      <c r="AO112" s="118">
        <f t="shared" ref="AO112:AU112" si="159">+AO90-AO102</f>
        <v>-37</v>
      </c>
      <c r="AP112" s="118">
        <f t="shared" si="159"/>
        <v>-103</v>
      </c>
      <c r="AQ112" s="118">
        <f t="shared" si="159"/>
        <v>-13</v>
      </c>
      <c r="AR112" s="118">
        <f t="shared" si="159"/>
        <v>-708</v>
      </c>
      <c r="AS112" s="118">
        <f t="shared" si="159"/>
        <v>-274</v>
      </c>
      <c r="AT112" s="118">
        <f t="shared" si="159"/>
        <v>25</v>
      </c>
      <c r="AU112" s="118">
        <f t="shared" si="159"/>
        <v>-8</v>
      </c>
      <c r="AV112" s="118">
        <f>+AV90-AV102</f>
        <v>-31</v>
      </c>
      <c r="AW112" s="118">
        <f t="shared" ref="AW112:AZ113" si="160">+AW90-AW102</f>
        <v>-38</v>
      </c>
      <c r="AX112" s="118">
        <f t="shared" si="160"/>
        <v>-8</v>
      </c>
      <c r="AY112" s="118">
        <v>-3</v>
      </c>
      <c r="AZ112" s="118">
        <v>-1</v>
      </c>
      <c r="BA112" s="118">
        <v>-11</v>
      </c>
      <c r="BB112" s="118">
        <v>-12</v>
      </c>
      <c r="BC112" s="118">
        <f>+BC90-BC102</f>
        <v>-2</v>
      </c>
    </row>
    <row r="113" spans="2:55" x14ac:dyDescent="0.25">
      <c r="B113" s="126" t="s">
        <v>191</v>
      </c>
      <c r="C113" s="120">
        <v>0</v>
      </c>
      <c r="D113" s="120">
        <v>0</v>
      </c>
      <c r="E113" s="120">
        <v>0</v>
      </c>
      <c r="F113" s="120">
        <v>0</v>
      </c>
      <c r="G113" s="120">
        <v>0</v>
      </c>
      <c r="H113" s="120">
        <v>0</v>
      </c>
      <c r="I113" s="120">
        <v>0</v>
      </c>
      <c r="J113" s="120">
        <v>0</v>
      </c>
      <c r="K113" s="120">
        <v>0</v>
      </c>
      <c r="L113" s="120">
        <v>0</v>
      </c>
      <c r="M113" s="120">
        <v>0</v>
      </c>
      <c r="N113" s="120">
        <v>0</v>
      </c>
      <c r="O113" s="120">
        <v>0</v>
      </c>
      <c r="P113" s="120">
        <v>0</v>
      </c>
      <c r="Q113" s="120">
        <v>0</v>
      </c>
      <c r="R113" s="120">
        <v>0</v>
      </c>
      <c r="S113" s="120">
        <f t="shared" ref="S113:AD113" si="161">+S91-S103</f>
        <v>8605.1046200000001</v>
      </c>
      <c r="T113" s="120">
        <f t="shared" si="161"/>
        <v>9289.4146200000032</v>
      </c>
      <c r="U113" s="120">
        <f t="shared" si="161"/>
        <v>7733.9913500000039</v>
      </c>
      <c r="V113" s="120">
        <f t="shared" si="161"/>
        <v>8057.0000000000073</v>
      </c>
      <c r="W113" s="120">
        <f t="shared" si="161"/>
        <v>10867.000000000007</v>
      </c>
      <c r="X113" s="120">
        <f t="shared" si="161"/>
        <v>11060.000000000007</v>
      </c>
      <c r="Y113" s="120">
        <f t="shared" si="161"/>
        <v>10778.000000000007</v>
      </c>
      <c r="Z113" s="120">
        <f t="shared" si="161"/>
        <v>10025.000000000007</v>
      </c>
      <c r="AA113" s="120">
        <f t="shared" si="161"/>
        <v>9502.0000000000073</v>
      </c>
      <c r="AB113" s="120">
        <f t="shared" si="161"/>
        <v>10328.000000000007</v>
      </c>
      <c r="AC113" s="120">
        <f t="shared" si="161"/>
        <v>4563.0000000000073</v>
      </c>
      <c r="AD113" s="120">
        <f t="shared" si="161"/>
        <v>4660.0000000000073</v>
      </c>
      <c r="AE113" s="120">
        <f t="shared" ref="AE113:AL113" si="162">+AE91-AE103</f>
        <v>4262.0000000000073</v>
      </c>
      <c r="AF113" s="120">
        <f t="shared" si="162"/>
        <v>3944.0000000000073</v>
      </c>
      <c r="AG113" s="120">
        <f t="shared" si="162"/>
        <v>3923.0000000000073</v>
      </c>
      <c r="AH113" s="120">
        <f t="shared" si="162"/>
        <v>3727.0000000000073</v>
      </c>
      <c r="AI113" s="120">
        <f t="shared" si="162"/>
        <v>3475.0000000000073</v>
      </c>
      <c r="AJ113" s="120">
        <f t="shared" si="162"/>
        <v>3301.0000000000073</v>
      </c>
      <c r="AK113" s="120">
        <f t="shared" si="162"/>
        <v>3166.0000000000073</v>
      </c>
      <c r="AL113" s="120">
        <f t="shared" si="162"/>
        <v>3028.0000000000073</v>
      </c>
      <c r="AM113" s="120">
        <f>+AM91-AM103</f>
        <v>3644.0000000000073</v>
      </c>
      <c r="AN113" s="120">
        <f t="shared" ref="AN113:AS113" si="163">+AN91-AN103</f>
        <v>3755.0000000000073</v>
      </c>
      <c r="AO113" s="120">
        <f t="shared" si="163"/>
        <v>3757.0000000000073</v>
      </c>
      <c r="AP113" s="120">
        <f t="shared" si="163"/>
        <v>3755.0000000000073</v>
      </c>
      <c r="AQ113" s="120">
        <f t="shared" si="163"/>
        <v>3802.0000000000073</v>
      </c>
      <c r="AR113" s="120">
        <f t="shared" si="163"/>
        <v>2491.0000000000073</v>
      </c>
      <c r="AS113" s="120">
        <f t="shared" si="163"/>
        <v>2463.0000000000073</v>
      </c>
      <c r="AT113" s="120">
        <f>+AT91-AT103</f>
        <v>3111.0000000000073</v>
      </c>
      <c r="AU113" s="120">
        <f>+AU91-AU103</f>
        <v>3330.0000000000073</v>
      </c>
      <c r="AV113" s="120">
        <f>+AV91-AV103</f>
        <v>2872.0000000000073</v>
      </c>
      <c r="AW113" s="120">
        <f t="shared" si="160"/>
        <v>2890.0000000000073</v>
      </c>
      <c r="AX113" s="120">
        <f t="shared" si="160"/>
        <v>3018.0000000000073</v>
      </c>
      <c r="AY113" s="120">
        <f t="shared" si="160"/>
        <v>3046.0000000000073</v>
      </c>
      <c r="AZ113" s="120">
        <f t="shared" si="160"/>
        <v>3053.0000000000073</v>
      </c>
      <c r="BA113" s="120">
        <v>2913.0000000000073</v>
      </c>
      <c r="BB113" s="120">
        <v>2984.0000000000073</v>
      </c>
      <c r="BC113" s="120">
        <f>+BC91-BC103</f>
        <v>3005.0000000000073</v>
      </c>
    </row>
  </sheetData>
  <mergeCells count="1">
    <mergeCell ref="F4:G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4">
    <pageSetUpPr autoPageBreaks="0"/>
  </sheetPr>
  <dimension ref="A1:FK160"/>
  <sheetViews>
    <sheetView showGridLines="0" zoomScaleNormal="100" workbookViewId="0">
      <pane xSplit="2" topLeftCell="C1" activePane="topRight" state="frozen"/>
      <selection activeCell="AY7" sqref="AY7"/>
      <selection pane="topRight" activeCell="E2" sqref="E2"/>
    </sheetView>
  </sheetViews>
  <sheetFormatPr defaultColWidth="9.140625" defaultRowHeight="14.25" outlineLevelRow="1" x14ac:dyDescent="0.2"/>
  <cols>
    <col min="1" max="1" width="1.140625" customWidth="1"/>
    <col min="2" max="2" width="57.85546875" style="25" bestFit="1" customWidth="1"/>
    <col min="3" max="12" width="10.85546875" style="25" customWidth="1"/>
    <col min="13" max="16" width="12.140625" style="25" bestFit="1" customWidth="1"/>
    <col min="17" max="17" width="12.140625" style="25" customWidth="1"/>
    <col min="18" max="18" width="12.140625" style="25" bestFit="1" customWidth="1"/>
    <col min="19" max="21" width="12.140625" style="25" customWidth="1"/>
    <col min="22" max="29" width="12.140625" style="25" bestFit="1" customWidth="1"/>
    <col min="30" max="31" width="12.140625" style="25" customWidth="1"/>
    <col min="32" max="39" width="12.140625" style="25" bestFit="1" customWidth="1"/>
    <col min="40" max="43" width="12.140625" style="25" customWidth="1"/>
    <col min="44" max="47" width="12.140625" style="25" bestFit="1" customWidth="1"/>
    <col min="48" max="90" width="10.5703125" style="25" customWidth="1"/>
    <col min="91" max="91" width="5" style="25" customWidth="1"/>
    <col min="92" max="93" width="7" style="25" customWidth="1"/>
    <col min="94" max="94" width="6.42578125" style="25" customWidth="1"/>
    <col min="95" max="95" width="6.5703125" style="25" customWidth="1"/>
    <col min="96" max="96" width="8.140625" style="25" customWidth="1"/>
    <col min="97" max="97" width="8.42578125" style="25" customWidth="1"/>
    <col min="98" max="98" width="7" style="25" customWidth="1"/>
    <col min="99" max="99" width="6.85546875" style="25" customWidth="1"/>
    <col min="100" max="100" width="7.42578125" style="25" customWidth="1"/>
    <col min="101" max="102" width="6.85546875" style="25" customWidth="1"/>
    <col min="103" max="103" width="7.140625" style="25" customWidth="1"/>
    <col min="104" max="104" width="8" style="25" customWidth="1"/>
    <col min="105" max="105" width="8.140625" style="25" customWidth="1"/>
    <col min="106" max="106" width="7.140625" style="25" customWidth="1"/>
    <col min="107" max="107" width="7.85546875" style="25" customWidth="1"/>
    <col min="108" max="110" width="9.140625" style="25" customWidth="1"/>
    <col min="111" max="111" width="32.42578125" customWidth="1"/>
    <col min="112" max="113" width="11.85546875" customWidth="1"/>
    <col min="114" max="114" width="8.85546875" customWidth="1"/>
    <col min="115" max="115" width="9" customWidth="1"/>
    <col min="116" max="117" width="8.85546875" customWidth="1"/>
    <col min="118" max="118" width="9.140625" customWidth="1"/>
    <col min="119" max="119" width="32.42578125" customWidth="1"/>
    <col min="120" max="121" width="11.85546875" customWidth="1"/>
    <col min="122" max="122" width="9.140625" customWidth="1"/>
    <col min="123" max="123" width="32.42578125" customWidth="1"/>
    <col min="124" max="125" width="11.85546875" customWidth="1"/>
    <col min="126" max="126" width="39.5703125" customWidth="1"/>
    <col min="127" max="127" width="1.85546875" customWidth="1"/>
    <col min="128" max="128" width="10" customWidth="1"/>
    <col min="129" max="129" width="10.5703125" customWidth="1"/>
    <col min="130" max="130" width="1" customWidth="1"/>
    <col min="131" max="132" width="9.85546875" customWidth="1"/>
    <col min="133" max="133" width="1" customWidth="1"/>
    <col min="134" max="135" width="10.5703125" customWidth="1"/>
    <col min="136" max="136" width="2.85546875" customWidth="1"/>
    <col min="137" max="137" width="8.85546875" customWidth="1"/>
    <col min="138" max="138" width="9.140625" customWidth="1"/>
    <col min="139" max="139" width="1.85546875" customWidth="1"/>
    <col min="140" max="141" width="8.140625" customWidth="1"/>
    <col min="142" max="142" width="1.140625" customWidth="1"/>
    <col min="143" max="144" width="8.85546875" customWidth="1"/>
    <col min="145" max="145" width="2.85546875" customWidth="1"/>
    <col min="146" max="146" width="8.85546875" customWidth="1"/>
    <col min="147" max="147" width="9.140625" customWidth="1"/>
    <col min="148" max="148" width="1.85546875" customWidth="1"/>
    <col min="149" max="150" width="8.140625" customWidth="1"/>
    <col min="151" max="151" width="1.140625" customWidth="1"/>
    <col min="152" max="153" width="8.85546875" customWidth="1"/>
    <col min="154" max="154" width="9.140625" customWidth="1"/>
    <col min="155" max="155" width="11.42578125" customWidth="1"/>
    <col min="156" max="156" width="11" customWidth="1"/>
    <col min="157" max="157" width="12.140625" customWidth="1"/>
    <col min="158" max="158" width="10.140625" customWidth="1"/>
    <col min="160" max="160" width="13.140625" customWidth="1"/>
    <col min="161" max="161" width="14.5703125" customWidth="1"/>
    <col min="162" max="162" width="11.42578125" customWidth="1"/>
    <col min="163" max="163" width="12.42578125" customWidth="1"/>
    <col min="164" max="164" width="11.85546875" customWidth="1"/>
    <col min="165" max="165" width="10.85546875" customWidth="1"/>
    <col min="168" max="16384" width="9.140625" style="25"/>
  </cols>
  <sheetData>
    <row r="1" spans="1:167" s="549" customFormat="1" ht="7.5" customHeight="1" x14ac:dyDescent="0.2">
      <c r="A1" s="544"/>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row>
    <row r="2" spans="1:167" s="549" customFormat="1" ht="12.75" customHeight="1" x14ac:dyDescent="0.25">
      <c r="A2" s="544"/>
      <c r="D2" s="554"/>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row>
    <row r="3" spans="1:167" ht="12.75" customHeight="1" x14ac:dyDescent="0.2">
      <c r="R3" s="549"/>
      <c r="S3" s="549"/>
      <c r="T3" s="549"/>
      <c r="U3" s="549"/>
      <c r="V3" s="549"/>
      <c r="W3" s="549"/>
      <c r="X3" s="549"/>
      <c r="Y3" s="549"/>
      <c r="Z3" s="549"/>
      <c r="AA3" s="549"/>
      <c r="AB3" s="549"/>
      <c r="AC3" s="549"/>
      <c r="AD3" s="751"/>
      <c r="AE3" s="751"/>
      <c r="AF3" s="751"/>
      <c r="AG3" s="751"/>
      <c r="AH3" s="751"/>
      <c r="AI3" s="751"/>
      <c r="AJ3" s="751"/>
      <c r="AK3" s="751"/>
      <c r="AL3" s="751"/>
      <c r="AM3" s="353"/>
      <c r="AN3" s="353"/>
      <c r="AO3" s="353"/>
      <c r="AP3" s="353"/>
      <c r="AQ3" s="353"/>
      <c r="AR3" s="353"/>
      <c r="AS3" s="353"/>
      <c r="AT3" s="353"/>
      <c r="AU3" s="353"/>
    </row>
    <row r="4" spans="1:167" ht="12.75" customHeight="1" x14ac:dyDescent="0.2"/>
    <row r="5" spans="1:167" ht="14.25" customHeight="1" x14ac:dyDescent="0.2">
      <c r="B5" s="115" t="s">
        <v>96</v>
      </c>
      <c r="C5" s="115" t="s">
        <v>87</v>
      </c>
      <c r="D5" s="115" t="s">
        <v>88</v>
      </c>
      <c r="E5" s="115" t="s">
        <v>378</v>
      </c>
      <c r="F5" s="115" t="s">
        <v>406</v>
      </c>
      <c r="G5" s="115" t="s">
        <v>467</v>
      </c>
      <c r="H5" s="115" t="s">
        <v>501</v>
      </c>
      <c r="I5" s="115" t="s">
        <v>511</v>
      </c>
      <c r="J5" s="115" t="s">
        <v>538</v>
      </c>
      <c r="K5" s="115" t="s">
        <v>567</v>
      </c>
      <c r="L5" s="115" t="s">
        <v>575</v>
      </c>
      <c r="M5" s="115" t="s">
        <v>595</v>
      </c>
      <c r="N5" s="115" t="s">
        <v>596</v>
      </c>
      <c r="O5" s="115" t="s">
        <v>623</v>
      </c>
      <c r="P5" s="115" t="s">
        <v>624</v>
      </c>
      <c r="Q5" s="115" t="s">
        <v>625</v>
      </c>
      <c r="R5" s="115" t="s">
        <v>626</v>
      </c>
      <c r="S5" s="115" t="s">
        <v>798</v>
      </c>
      <c r="T5" s="115" t="s">
        <v>799</v>
      </c>
      <c r="U5" s="115" t="s">
        <v>800</v>
      </c>
      <c r="V5" s="115" t="s">
        <v>801</v>
      </c>
      <c r="W5" s="115" t="s">
        <v>913</v>
      </c>
      <c r="X5" s="115" t="s">
        <v>914</v>
      </c>
      <c r="Y5" s="115" t="s">
        <v>923</v>
      </c>
      <c r="Z5" s="115" t="s">
        <v>924</v>
      </c>
      <c r="AA5" s="115" t="s">
        <v>1049</v>
      </c>
      <c r="AB5" s="115" t="s">
        <v>1023</v>
      </c>
      <c r="AC5" s="115" t="s">
        <v>1024</v>
      </c>
      <c r="AD5" s="115" t="s">
        <v>1050</v>
      </c>
      <c r="AE5" s="115" t="s">
        <v>1114</v>
      </c>
      <c r="AF5" s="115" t="s">
        <v>1119</v>
      </c>
      <c r="AG5" s="115" t="s">
        <v>1121</v>
      </c>
      <c r="AH5" s="115" t="s">
        <v>1123</v>
      </c>
      <c r="AI5" s="115" t="s">
        <v>1176</v>
      </c>
      <c r="AJ5" s="115" t="s">
        <v>1177</v>
      </c>
      <c r="AK5" s="115" t="s">
        <v>1179</v>
      </c>
      <c r="AL5" s="115" t="s">
        <v>1181</v>
      </c>
      <c r="AM5" s="115" t="s">
        <v>1243</v>
      </c>
      <c r="AN5" s="115" t="s">
        <v>1250</v>
      </c>
      <c r="AO5" s="115" t="s">
        <v>1251</v>
      </c>
      <c r="AP5" s="115" t="s">
        <v>1252</v>
      </c>
      <c r="AQ5" s="115" t="s">
        <v>1311</v>
      </c>
      <c r="AR5" s="115" t="s">
        <v>1313</v>
      </c>
      <c r="AS5" s="115" t="s">
        <v>1315</v>
      </c>
      <c r="AT5" s="115" t="s">
        <v>1317</v>
      </c>
      <c r="AU5" s="115" t="s">
        <v>1344</v>
      </c>
    </row>
    <row r="6" spans="1:167" s="251" customFormat="1" ht="15.75" customHeight="1" x14ac:dyDescent="0.2">
      <c r="A6" s="142"/>
      <c r="B6" s="250" t="s">
        <v>523</v>
      </c>
      <c r="C6" s="121">
        <v>10729</v>
      </c>
      <c r="D6" s="121">
        <v>1695</v>
      </c>
      <c r="E6" s="121">
        <v>8172</v>
      </c>
      <c r="F6" s="121">
        <v>-9420</v>
      </c>
      <c r="G6" s="121">
        <v>-2088</v>
      </c>
      <c r="H6" s="121">
        <v>522</v>
      </c>
      <c r="I6" s="121">
        <v>7019</v>
      </c>
      <c r="J6" s="121">
        <v>21346</v>
      </c>
      <c r="K6" s="121">
        <v>9751</v>
      </c>
      <c r="L6" s="121">
        <v>16290</v>
      </c>
      <c r="M6" s="121">
        <v>24165</v>
      </c>
      <c r="N6" s="121">
        <v>67287</v>
      </c>
      <c r="O6" s="121">
        <v>20229</v>
      </c>
      <c r="P6" s="121">
        <v>35186</v>
      </c>
      <c r="Q6" s="121">
        <v>41037</v>
      </c>
      <c r="R6" s="121">
        <v>47844</v>
      </c>
      <c r="S6" s="121">
        <v>38197</v>
      </c>
      <c r="T6" s="121">
        <v>43438</v>
      </c>
      <c r="U6" s="121">
        <v>131449</v>
      </c>
      <c r="V6" s="121">
        <v>52214</v>
      </c>
      <c r="W6" s="121">
        <v>26137</v>
      </c>
      <c r="X6" s="121">
        <v>-8987</v>
      </c>
      <c r="Y6" s="121">
        <v>41959</v>
      </c>
      <c r="Z6" s="121">
        <v>37943</v>
      </c>
      <c r="AA6" s="121">
        <v>28150</v>
      </c>
      <c r="AB6" s="121">
        <v>32336</v>
      </c>
      <c r="AC6" s="121">
        <v>24630</v>
      </c>
      <c r="AD6" s="121">
        <v>39270</v>
      </c>
      <c r="AE6" s="121">
        <v>24074</v>
      </c>
      <c r="AF6" s="121">
        <v>38628</v>
      </c>
      <c r="AG6" s="121">
        <v>71117</v>
      </c>
      <c r="AH6" s="121">
        <v>74076</v>
      </c>
      <c r="AI6" s="121">
        <v>45356</v>
      </c>
      <c r="AJ6" s="121">
        <v>50439</v>
      </c>
      <c r="AK6" s="121">
        <v>73080</v>
      </c>
      <c r="AL6" s="121">
        <v>66601</v>
      </c>
      <c r="AM6" s="121">
        <v>53124</v>
      </c>
      <c r="AN6" s="121">
        <v>84659</v>
      </c>
      <c r="AO6" s="121">
        <v>120378</v>
      </c>
      <c r="AP6" s="121">
        <v>119307</v>
      </c>
      <c r="AQ6" s="121">
        <v>62512</v>
      </c>
      <c r="AR6" s="121">
        <v>91847</v>
      </c>
      <c r="AS6" s="121">
        <v>111923</v>
      </c>
      <c r="AT6" s="121">
        <v>72091</v>
      </c>
      <c r="AU6" s="121">
        <v>57822</v>
      </c>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row>
    <row r="7" spans="1:167" ht="15" customHeight="1" x14ac:dyDescent="0.2">
      <c r="B7" s="129" t="s">
        <v>524</v>
      </c>
      <c r="C7" s="252">
        <v>0.34</v>
      </c>
      <c r="D7" s="252">
        <v>0.34</v>
      </c>
      <c r="E7" s="252">
        <v>0.34</v>
      </c>
      <c r="F7" s="252">
        <v>0.34</v>
      </c>
      <c r="G7" s="252">
        <v>0.34</v>
      </c>
      <c r="H7" s="252">
        <v>0.34</v>
      </c>
      <c r="I7" s="252">
        <v>0.34</v>
      </c>
      <c r="J7" s="252">
        <v>0.34</v>
      </c>
      <c r="K7" s="252">
        <v>0.34</v>
      </c>
      <c r="L7" s="252">
        <v>0.34</v>
      </c>
      <c r="M7" s="252">
        <v>0.34</v>
      </c>
      <c r="N7" s="252">
        <v>0.34</v>
      </c>
      <c r="O7" s="252">
        <v>0.34</v>
      </c>
      <c r="P7" s="252">
        <v>0.34</v>
      </c>
      <c r="Q7" s="252">
        <v>0.34</v>
      </c>
      <c r="R7" s="252">
        <v>0.34</v>
      </c>
      <c r="S7" s="252">
        <v>0.34</v>
      </c>
      <c r="T7" s="252">
        <v>0.34</v>
      </c>
      <c r="U7" s="252">
        <v>0.34</v>
      </c>
      <c r="V7" s="252">
        <v>0.34</v>
      </c>
      <c r="W7" s="252">
        <v>0.34</v>
      </c>
      <c r="X7" s="252">
        <v>0.34</v>
      </c>
      <c r="Y7" s="252">
        <v>0.34</v>
      </c>
      <c r="Z7" s="252">
        <v>0.34</v>
      </c>
      <c r="AA7" s="252">
        <v>0.34</v>
      </c>
      <c r="AB7" s="252">
        <v>0.34</v>
      </c>
      <c r="AC7" s="252">
        <v>0.34</v>
      </c>
      <c r="AD7" s="252">
        <v>0.34</v>
      </c>
      <c r="AE7" s="252">
        <v>0.34</v>
      </c>
      <c r="AF7" s="252">
        <v>0.34</v>
      </c>
      <c r="AG7" s="252">
        <v>0.34</v>
      </c>
      <c r="AH7" s="252">
        <v>0.34</v>
      </c>
      <c r="AI7" s="252">
        <v>0.34</v>
      </c>
      <c r="AJ7" s="252">
        <v>0.34</v>
      </c>
      <c r="AK7" s="252">
        <v>0.34</v>
      </c>
      <c r="AL7" s="252">
        <v>0.34</v>
      </c>
      <c r="AM7" s="252">
        <v>0.34</v>
      </c>
      <c r="AN7" s="252">
        <v>0.34</v>
      </c>
      <c r="AO7" s="252">
        <v>0.34</v>
      </c>
      <c r="AP7" s="252">
        <v>0.34</v>
      </c>
      <c r="AQ7" s="252">
        <v>0.34</v>
      </c>
      <c r="AR7" s="252">
        <v>0.34</v>
      </c>
      <c r="AS7" s="252">
        <v>0.34</v>
      </c>
      <c r="AT7" s="252">
        <v>0.34</v>
      </c>
      <c r="AU7" s="252">
        <v>0.34</v>
      </c>
    </row>
    <row r="8" spans="1:167" s="251" customFormat="1" ht="15.75" customHeight="1" x14ac:dyDescent="0.2">
      <c r="A8" s="142"/>
      <c r="B8" s="250" t="s">
        <v>525</v>
      </c>
      <c r="C8" s="121">
        <f>+C6*-C7</f>
        <v>-3647.86</v>
      </c>
      <c r="D8" s="121">
        <f t="shared" ref="D8:K8" si="0">+D6*-D7</f>
        <v>-576.30000000000007</v>
      </c>
      <c r="E8" s="121">
        <f t="shared" si="0"/>
        <v>-2778.48</v>
      </c>
      <c r="F8" s="121">
        <f t="shared" si="0"/>
        <v>3202.8</v>
      </c>
      <c r="G8" s="121">
        <f t="shared" si="0"/>
        <v>709.92000000000007</v>
      </c>
      <c r="H8" s="121">
        <f t="shared" si="0"/>
        <v>-177.48000000000002</v>
      </c>
      <c r="I8" s="121">
        <f t="shared" si="0"/>
        <v>-2386.46</v>
      </c>
      <c r="J8" s="121">
        <f t="shared" si="0"/>
        <v>-7257.64</v>
      </c>
      <c r="K8" s="121">
        <f t="shared" si="0"/>
        <v>-3315.34</v>
      </c>
      <c r="L8" s="121">
        <f t="shared" ref="L8:W8" si="1">+L6*-L7</f>
        <v>-5538.6</v>
      </c>
      <c r="M8" s="121">
        <f t="shared" si="1"/>
        <v>-8216.1</v>
      </c>
      <c r="N8" s="121">
        <f t="shared" si="1"/>
        <v>-22877.58</v>
      </c>
      <c r="O8" s="121">
        <f t="shared" si="1"/>
        <v>-6877.8600000000006</v>
      </c>
      <c r="P8" s="121">
        <f t="shared" si="1"/>
        <v>-11963.240000000002</v>
      </c>
      <c r="Q8" s="121">
        <f t="shared" si="1"/>
        <v>-13952.580000000002</v>
      </c>
      <c r="R8" s="121">
        <f t="shared" si="1"/>
        <v>-16266.960000000001</v>
      </c>
      <c r="S8" s="121">
        <f t="shared" si="1"/>
        <v>-12986.980000000001</v>
      </c>
      <c r="T8" s="121">
        <f t="shared" si="1"/>
        <v>-14768.920000000002</v>
      </c>
      <c r="U8" s="121">
        <f t="shared" si="1"/>
        <v>-44692.66</v>
      </c>
      <c r="V8" s="121">
        <f t="shared" si="1"/>
        <v>-17752.760000000002</v>
      </c>
      <c r="W8" s="121">
        <f t="shared" si="1"/>
        <v>-8886.58</v>
      </c>
      <c r="X8" s="121">
        <f t="shared" ref="X8:AC8" si="2">+X6*-X7</f>
        <v>3055.5800000000004</v>
      </c>
      <c r="Y8" s="121">
        <f t="shared" si="2"/>
        <v>-14266.060000000001</v>
      </c>
      <c r="Z8" s="121">
        <f t="shared" si="2"/>
        <v>-12900.62</v>
      </c>
      <c r="AA8" s="121">
        <f t="shared" si="2"/>
        <v>-9571</v>
      </c>
      <c r="AB8" s="121">
        <f t="shared" si="2"/>
        <v>-10994.240000000002</v>
      </c>
      <c r="AC8" s="121">
        <f t="shared" si="2"/>
        <v>-8374.2000000000007</v>
      </c>
      <c r="AD8" s="121">
        <f t="shared" ref="AD8:AI8" si="3">+AD6*-AD7</f>
        <v>-13351.800000000001</v>
      </c>
      <c r="AE8" s="121">
        <f t="shared" si="3"/>
        <v>-8185.1600000000008</v>
      </c>
      <c r="AF8" s="121">
        <f t="shared" si="3"/>
        <v>-13133.52</v>
      </c>
      <c r="AG8" s="121">
        <f t="shared" si="3"/>
        <v>-24179.780000000002</v>
      </c>
      <c r="AH8" s="121">
        <f t="shared" si="3"/>
        <v>-25185.84</v>
      </c>
      <c r="AI8" s="121">
        <f t="shared" si="3"/>
        <v>-15421.04</v>
      </c>
      <c r="AJ8" s="121">
        <f t="shared" ref="AJ8:AR8" si="4">+AJ6*-AJ7</f>
        <v>-17149.260000000002</v>
      </c>
      <c r="AK8" s="121">
        <f t="shared" si="4"/>
        <v>-24847.200000000001</v>
      </c>
      <c r="AL8" s="121">
        <f t="shared" si="4"/>
        <v>-22644.34</v>
      </c>
      <c r="AM8" s="121">
        <f t="shared" si="4"/>
        <v>-18062.16</v>
      </c>
      <c r="AN8" s="121">
        <f t="shared" si="4"/>
        <v>-28784.06</v>
      </c>
      <c r="AO8" s="121">
        <f t="shared" si="4"/>
        <v>-40928.520000000004</v>
      </c>
      <c r="AP8" s="121">
        <f t="shared" si="4"/>
        <v>-40564.380000000005</v>
      </c>
      <c r="AQ8" s="121">
        <f t="shared" si="4"/>
        <v>-21254.080000000002</v>
      </c>
      <c r="AR8" s="121">
        <f t="shared" si="4"/>
        <v>-31227.980000000003</v>
      </c>
      <c r="AS8" s="121">
        <f>+AS6*-AS7</f>
        <v>-38053.82</v>
      </c>
      <c r="AT8" s="121">
        <f>+AT6*-AT7</f>
        <v>-24510.940000000002</v>
      </c>
      <c r="AU8" s="121">
        <f>+AU6*-AU7</f>
        <v>-19659.480000000003</v>
      </c>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row>
    <row r="9" spans="1:167" s="251" customFormat="1" x14ac:dyDescent="0.2">
      <c r="A9" s="142"/>
      <c r="B9" s="250" t="s">
        <v>526</v>
      </c>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row>
    <row r="10" spans="1:167" x14ac:dyDescent="0.2">
      <c r="B10" s="192" t="s">
        <v>452</v>
      </c>
      <c r="C10" s="118">
        <v>127</v>
      </c>
      <c r="D10" s="118">
        <v>87</v>
      </c>
      <c r="E10" s="118">
        <v>267</v>
      </c>
      <c r="F10" s="118">
        <v>154</v>
      </c>
      <c r="G10" s="118">
        <v>-271</v>
      </c>
      <c r="H10" s="118">
        <v>-309</v>
      </c>
      <c r="I10" s="118">
        <v>-7</v>
      </c>
      <c r="J10" s="118">
        <v>-158</v>
      </c>
      <c r="K10" s="118">
        <v>-109</v>
      </c>
      <c r="L10" s="118">
        <v>-130</v>
      </c>
      <c r="M10" s="118">
        <v>-223</v>
      </c>
      <c r="N10" s="118">
        <v>203</v>
      </c>
      <c r="O10" s="118">
        <v>-144.5</v>
      </c>
      <c r="P10" s="118">
        <v>-76.5</v>
      </c>
      <c r="Q10" s="118">
        <v>116</v>
      </c>
      <c r="R10" s="118">
        <v>231</v>
      </c>
      <c r="S10" s="118">
        <v>-180</v>
      </c>
      <c r="T10" s="118">
        <v>110</v>
      </c>
      <c r="U10" s="118">
        <v>287</v>
      </c>
      <c r="V10" s="118">
        <v>798</v>
      </c>
      <c r="W10" s="118">
        <v>474</v>
      </c>
      <c r="X10" s="118">
        <v>820</v>
      </c>
      <c r="Y10" s="118">
        <v>895</v>
      </c>
      <c r="Z10" s="118">
        <v>-55</v>
      </c>
      <c r="AA10" s="118">
        <v>275</v>
      </c>
      <c r="AB10" s="118">
        <v>817</v>
      </c>
      <c r="AC10" s="118">
        <v>612</v>
      </c>
      <c r="AD10" s="118">
        <v>1439</v>
      </c>
      <c r="AE10" s="118">
        <v>1024</v>
      </c>
      <c r="AF10" s="118">
        <v>1022</v>
      </c>
      <c r="AG10" s="118">
        <v>829</v>
      </c>
      <c r="AH10" s="118">
        <v>720</v>
      </c>
      <c r="AI10" s="118">
        <v>1305</v>
      </c>
      <c r="AJ10" s="118">
        <v>980</v>
      </c>
      <c r="AK10" s="118">
        <v>1732</v>
      </c>
      <c r="AL10" s="118">
        <v>1510</v>
      </c>
      <c r="AM10" s="118">
        <v>2245</v>
      </c>
      <c r="AN10" s="118">
        <v>3183</v>
      </c>
      <c r="AO10" s="118">
        <v>2528</v>
      </c>
      <c r="AP10" s="118">
        <v>1994</v>
      </c>
      <c r="AQ10" s="118">
        <v>2144</v>
      </c>
      <c r="AR10" s="118">
        <v>3041</v>
      </c>
      <c r="AS10" s="118">
        <v>2507</v>
      </c>
      <c r="AT10" s="118">
        <v>1424</v>
      </c>
      <c r="AU10" s="118">
        <v>487</v>
      </c>
    </row>
    <row r="11" spans="1:167" x14ac:dyDescent="0.2">
      <c r="B11" s="192" t="s">
        <v>895</v>
      </c>
      <c r="C11" s="118">
        <v>0</v>
      </c>
      <c r="D11" s="118">
        <v>0</v>
      </c>
      <c r="E11" s="118">
        <v>0</v>
      </c>
      <c r="F11" s="118">
        <v>0</v>
      </c>
      <c r="G11" s="118">
        <v>0</v>
      </c>
      <c r="H11" s="118">
        <v>0</v>
      </c>
      <c r="I11" s="118">
        <v>0</v>
      </c>
      <c r="J11" s="118">
        <v>0</v>
      </c>
      <c r="K11" s="118">
        <v>0</v>
      </c>
      <c r="L11" s="118">
        <v>0</v>
      </c>
      <c r="M11" s="118">
        <v>0</v>
      </c>
      <c r="N11" s="261">
        <v>4502</v>
      </c>
      <c r="O11" s="118">
        <v>1068</v>
      </c>
      <c r="P11" s="118">
        <v>1217</v>
      </c>
      <c r="Q11" s="118">
        <v>1869</v>
      </c>
      <c r="R11" s="118">
        <v>1543</v>
      </c>
      <c r="S11" s="118">
        <v>1676</v>
      </c>
      <c r="T11" s="118">
        <v>1504</v>
      </c>
      <c r="U11" s="118">
        <v>1546</v>
      </c>
      <c r="V11" s="118">
        <v>1825</v>
      </c>
      <c r="W11" s="118">
        <v>1497</v>
      </c>
      <c r="X11" s="118">
        <v>695</v>
      </c>
      <c r="Y11" s="118">
        <v>1588</v>
      </c>
      <c r="Z11" s="118">
        <v>1706</v>
      </c>
      <c r="AA11" s="118">
        <v>1329</v>
      </c>
      <c r="AB11" s="118">
        <v>1310</v>
      </c>
      <c r="AC11" s="118">
        <v>1369</v>
      </c>
      <c r="AD11" s="118">
        <v>1820</v>
      </c>
      <c r="AE11" s="118">
        <v>1357</v>
      </c>
      <c r="AF11" s="118">
        <v>1778</v>
      </c>
      <c r="AG11" s="118">
        <v>2464</v>
      </c>
      <c r="AH11" s="118">
        <v>2420</v>
      </c>
      <c r="AI11" s="118">
        <v>1967</v>
      </c>
      <c r="AJ11" s="118">
        <v>2253</v>
      </c>
      <c r="AK11" s="118">
        <v>2654</v>
      </c>
      <c r="AL11" s="118">
        <v>2839</v>
      </c>
      <c r="AM11" s="118">
        <v>0</v>
      </c>
      <c r="AN11" s="118">
        <v>0</v>
      </c>
      <c r="AO11" s="118">
        <v>0</v>
      </c>
      <c r="AP11" s="118">
        <v>0</v>
      </c>
      <c r="AQ11" s="118">
        <v>0</v>
      </c>
      <c r="AR11" s="118">
        <v>0</v>
      </c>
      <c r="AS11" s="118">
        <v>0</v>
      </c>
      <c r="AT11" s="118">
        <v>0</v>
      </c>
      <c r="AU11" s="118">
        <v>0</v>
      </c>
    </row>
    <row r="12" spans="1:167" x14ac:dyDescent="0.2">
      <c r="B12" s="192" t="s">
        <v>682</v>
      </c>
      <c r="C12" s="118">
        <v>0</v>
      </c>
      <c r="D12" s="118">
        <v>0</v>
      </c>
      <c r="E12" s="118">
        <v>0</v>
      </c>
      <c r="F12" s="118">
        <v>0</v>
      </c>
      <c r="G12" s="118">
        <v>0</v>
      </c>
      <c r="H12" s="118">
        <v>0</v>
      </c>
      <c r="I12" s="118">
        <v>0</v>
      </c>
      <c r="J12" s="118">
        <v>0</v>
      </c>
      <c r="K12" s="118">
        <v>0</v>
      </c>
      <c r="L12" s="118">
        <v>0</v>
      </c>
      <c r="M12" s="118">
        <v>0</v>
      </c>
      <c r="N12" s="118">
        <v>1299</v>
      </c>
      <c r="O12" s="118">
        <v>0</v>
      </c>
      <c r="P12" s="118">
        <v>3907</v>
      </c>
      <c r="Q12" s="118">
        <v>1792</v>
      </c>
      <c r="R12" s="118">
        <v>1323</v>
      </c>
      <c r="S12" s="118">
        <v>0</v>
      </c>
      <c r="T12" s="118">
        <v>2406</v>
      </c>
      <c r="U12" s="118">
        <v>2513</v>
      </c>
      <c r="V12" s="118">
        <v>3885</v>
      </c>
      <c r="W12" s="118">
        <v>0</v>
      </c>
      <c r="X12" s="118">
        <v>0</v>
      </c>
      <c r="Y12" s="118">
        <v>0</v>
      </c>
      <c r="Z12" s="118">
        <v>1907</v>
      </c>
      <c r="AA12" s="118">
        <v>0</v>
      </c>
      <c r="AB12" s="118">
        <v>1066</v>
      </c>
      <c r="AC12" s="118">
        <v>1883</v>
      </c>
      <c r="AD12" s="118">
        <v>1455</v>
      </c>
      <c r="AE12" s="118">
        <v>0</v>
      </c>
      <c r="AF12" s="118">
        <v>1899</v>
      </c>
      <c r="AG12" s="118">
        <v>2090</v>
      </c>
      <c r="AH12" s="118">
        <v>2242</v>
      </c>
      <c r="AI12" s="118">
        <v>0</v>
      </c>
      <c r="AJ12" s="118">
        <v>3363</v>
      </c>
      <c r="AK12" s="118">
        <v>3139</v>
      </c>
      <c r="AL12" s="118">
        <v>3138</v>
      </c>
      <c r="AM12" s="118">
        <v>0</v>
      </c>
      <c r="AN12" s="118">
        <v>4035</v>
      </c>
      <c r="AO12" s="118">
        <v>2242</v>
      </c>
      <c r="AP12" s="118">
        <v>4260</v>
      </c>
      <c r="AQ12" s="118">
        <v>0</v>
      </c>
      <c r="AR12" s="118">
        <v>3363</v>
      </c>
      <c r="AS12" s="118">
        <v>3138</v>
      </c>
      <c r="AT12" s="118">
        <v>4036</v>
      </c>
      <c r="AU12" s="118">
        <v>0</v>
      </c>
    </row>
    <row r="13" spans="1:167" s="248" customFormat="1" x14ac:dyDescent="0.2">
      <c r="A13" s="232"/>
      <c r="B13" s="192" t="s">
        <v>1103</v>
      </c>
      <c r="C13" s="218">
        <v>0</v>
      </c>
      <c r="D13" s="218">
        <v>0</v>
      </c>
      <c r="E13" s="218">
        <v>0</v>
      </c>
      <c r="F13" s="218">
        <v>0</v>
      </c>
      <c r="G13" s="218">
        <v>0</v>
      </c>
      <c r="H13" s="218">
        <v>0</v>
      </c>
      <c r="I13" s="218">
        <v>0</v>
      </c>
      <c r="J13" s="218">
        <v>0</v>
      </c>
      <c r="K13" s="218">
        <v>0</v>
      </c>
      <c r="L13" s="218">
        <v>0</v>
      </c>
      <c r="M13" s="218">
        <v>0</v>
      </c>
      <c r="N13" s="218">
        <v>0</v>
      </c>
      <c r="O13" s="218">
        <v>0</v>
      </c>
      <c r="P13" s="218">
        <v>0</v>
      </c>
      <c r="Q13" s="218">
        <v>0</v>
      </c>
      <c r="R13" s="218">
        <v>0</v>
      </c>
      <c r="S13" s="218">
        <v>0</v>
      </c>
      <c r="T13" s="218">
        <v>0</v>
      </c>
      <c r="U13" s="218">
        <v>0</v>
      </c>
      <c r="V13" s="218">
        <v>0</v>
      </c>
      <c r="W13" s="218">
        <v>0</v>
      </c>
      <c r="X13" s="218">
        <v>0</v>
      </c>
      <c r="Y13" s="218">
        <v>0</v>
      </c>
      <c r="Z13" s="218">
        <v>0</v>
      </c>
      <c r="AA13" s="218">
        <v>0</v>
      </c>
      <c r="AB13" s="218">
        <v>0</v>
      </c>
      <c r="AC13" s="261">
        <v>12919</v>
      </c>
      <c r="AD13" s="118">
        <v>0</v>
      </c>
      <c r="AE13" s="118">
        <v>0</v>
      </c>
      <c r="AF13" s="118">
        <v>0</v>
      </c>
      <c r="AG13" s="118">
        <v>0</v>
      </c>
      <c r="AH13" s="118">
        <v>0</v>
      </c>
      <c r="AI13" s="118">
        <v>0</v>
      </c>
      <c r="AJ13" s="118">
        <v>0</v>
      </c>
      <c r="AK13" s="118">
        <v>0</v>
      </c>
      <c r="AL13" s="118">
        <v>0</v>
      </c>
      <c r="AM13" s="118">
        <v>0</v>
      </c>
      <c r="AN13" s="118">
        <v>0</v>
      </c>
      <c r="AO13" s="118">
        <v>0</v>
      </c>
      <c r="AP13" s="118">
        <v>0</v>
      </c>
      <c r="AQ13" s="118">
        <v>0</v>
      </c>
      <c r="AR13" s="118">
        <v>0</v>
      </c>
      <c r="AS13" s="118">
        <v>0</v>
      </c>
      <c r="AT13" s="118">
        <v>0</v>
      </c>
      <c r="AU13" s="118">
        <v>0</v>
      </c>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row>
    <row r="14" spans="1:167" s="751" customFormat="1" x14ac:dyDescent="0.2">
      <c r="A14"/>
      <c r="B14" s="192" t="s">
        <v>49</v>
      </c>
      <c r="C14" s="118">
        <v>-399</v>
      </c>
      <c r="D14" s="118">
        <v>-23</v>
      </c>
      <c r="E14" s="118">
        <v>-559</v>
      </c>
      <c r="F14" s="118">
        <v>-1595</v>
      </c>
      <c r="G14" s="118">
        <v>-254</v>
      </c>
      <c r="H14" s="118">
        <v>-723</v>
      </c>
      <c r="I14" s="118">
        <v>-1307</v>
      </c>
      <c r="J14" s="118">
        <v>-1354</v>
      </c>
      <c r="K14" s="118">
        <v>-875</v>
      </c>
      <c r="L14" s="118">
        <v>1229.1357691940009</v>
      </c>
      <c r="M14" s="118">
        <v>-439.48653957200099</v>
      </c>
      <c r="N14" s="118">
        <v>-1134.6492296219997</v>
      </c>
      <c r="O14" s="118">
        <v>-278</v>
      </c>
      <c r="P14" s="118">
        <v>-86</v>
      </c>
      <c r="Q14" s="118">
        <v>246</v>
      </c>
      <c r="R14" s="118">
        <v>287</v>
      </c>
      <c r="S14" s="118">
        <v>-85</v>
      </c>
      <c r="T14" s="118">
        <v>-175</v>
      </c>
      <c r="U14" s="118">
        <v>290</v>
      </c>
      <c r="V14" s="118">
        <v>2475</v>
      </c>
      <c r="W14" s="118">
        <v>65</v>
      </c>
      <c r="X14" s="118">
        <v>53</v>
      </c>
      <c r="Y14" s="118">
        <v>-237</v>
      </c>
      <c r="Z14" s="118">
        <v>47</v>
      </c>
      <c r="AA14" s="118">
        <v>-26</v>
      </c>
      <c r="AB14" s="118">
        <v>-378</v>
      </c>
      <c r="AC14" s="118">
        <v>1154</v>
      </c>
      <c r="AD14" s="118">
        <v>-1354</v>
      </c>
      <c r="AE14" s="118">
        <v>513</v>
      </c>
      <c r="AF14" s="118">
        <v>387</v>
      </c>
      <c r="AG14" s="118">
        <v>1149</v>
      </c>
      <c r="AH14" s="118">
        <v>2559</v>
      </c>
      <c r="AI14" s="118">
        <v>1516</v>
      </c>
      <c r="AJ14" s="118">
        <v>-30</v>
      </c>
      <c r="AK14" s="118">
        <v>555</v>
      </c>
      <c r="AL14" s="118">
        <v>-424</v>
      </c>
      <c r="AM14" s="118">
        <v>208</v>
      </c>
      <c r="AN14" s="118">
        <v>422</v>
      </c>
      <c r="AO14" s="118">
        <v>226</v>
      </c>
      <c r="AP14" s="118">
        <v>140</v>
      </c>
      <c r="AQ14" s="118">
        <v>332</v>
      </c>
      <c r="AR14" s="118">
        <v>96</v>
      </c>
      <c r="AS14" s="118">
        <v>377</v>
      </c>
      <c r="AT14" s="118">
        <v>-822</v>
      </c>
      <c r="AU14" s="118">
        <v>135</v>
      </c>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row>
    <row r="15" spans="1:167" s="248" customFormat="1" hidden="1" outlineLevel="1" x14ac:dyDescent="0.2">
      <c r="A15" s="232"/>
      <c r="B15" s="750" t="s">
        <v>683</v>
      </c>
      <c r="C15" s="218">
        <v>0</v>
      </c>
      <c r="D15" s="218">
        <v>0</v>
      </c>
      <c r="E15" s="218">
        <v>0</v>
      </c>
      <c r="F15" s="218">
        <v>0</v>
      </c>
      <c r="G15" s="218">
        <v>0</v>
      </c>
      <c r="H15" s="218">
        <v>0</v>
      </c>
      <c r="I15" s="218">
        <v>0</v>
      </c>
      <c r="J15" s="218">
        <v>0</v>
      </c>
      <c r="K15" s="218">
        <v>0</v>
      </c>
      <c r="L15" s="218">
        <v>0</v>
      </c>
      <c r="M15" s="218">
        <v>0</v>
      </c>
      <c r="N15" s="218">
        <v>9690</v>
      </c>
      <c r="O15" s="218">
        <v>0</v>
      </c>
      <c r="P15" s="218">
        <v>0</v>
      </c>
      <c r="Q15" s="218">
        <v>0</v>
      </c>
      <c r="R15" s="218">
        <v>0</v>
      </c>
      <c r="S15" s="218">
        <v>0</v>
      </c>
      <c r="T15" s="218">
        <v>0</v>
      </c>
      <c r="U15" s="218">
        <v>0</v>
      </c>
      <c r="V15" s="218">
        <v>0</v>
      </c>
      <c r="W15" s="218">
        <v>0</v>
      </c>
      <c r="X15" s="218">
        <v>0</v>
      </c>
      <c r="Y15" s="218">
        <v>0</v>
      </c>
      <c r="Z15" s="218">
        <v>0</v>
      </c>
      <c r="AA15" s="218">
        <v>0</v>
      </c>
      <c r="AB15" s="218">
        <v>0</v>
      </c>
      <c r="AC15" s="218">
        <v>0</v>
      </c>
      <c r="AD15" s="218">
        <v>0</v>
      </c>
      <c r="AE15" s="218">
        <v>0</v>
      </c>
      <c r="AF15" s="218">
        <v>0</v>
      </c>
      <c r="AG15" s="218">
        <v>0</v>
      </c>
      <c r="AH15" s="218">
        <v>0</v>
      </c>
      <c r="AI15" s="218">
        <v>0</v>
      </c>
      <c r="AJ15" s="218"/>
      <c r="AK15" s="218"/>
      <c r="AL15" s="218">
        <v>0</v>
      </c>
      <c r="AM15" s="218"/>
      <c r="AN15" s="218">
        <v>0</v>
      </c>
      <c r="AO15" s="218">
        <v>0</v>
      </c>
      <c r="AP15" s="218">
        <v>0</v>
      </c>
      <c r="AQ15" s="218">
        <v>0</v>
      </c>
      <c r="AR15" s="218">
        <v>0</v>
      </c>
      <c r="AS15" s="218">
        <v>0</v>
      </c>
      <c r="AT15" s="218">
        <v>0</v>
      </c>
      <c r="AU15" s="218">
        <v>0</v>
      </c>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row>
    <row r="16" spans="1:167" s="248" customFormat="1" ht="25.5" hidden="1" outlineLevel="1" x14ac:dyDescent="0.2">
      <c r="A16" s="232"/>
      <c r="B16" s="750" t="s">
        <v>527</v>
      </c>
      <c r="C16" s="218">
        <v>691</v>
      </c>
      <c r="D16" s="218">
        <v>0</v>
      </c>
      <c r="E16" s="218">
        <v>0</v>
      </c>
      <c r="F16" s="218">
        <v>4751</v>
      </c>
      <c r="G16" s="218">
        <v>0</v>
      </c>
      <c r="H16" s="218">
        <v>0</v>
      </c>
      <c r="I16" s="218">
        <v>522</v>
      </c>
      <c r="J16" s="218">
        <v>0</v>
      </c>
      <c r="K16" s="218">
        <v>0</v>
      </c>
      <c r="L16" s="218">
        <v>0</v>
      </c>
      <c r="M16" s="218">
        <v>0</v>
      </c>
      <c r="N16" s="218">
        <v>0</v>
      </c>
      <c r="O16" s="218">
        <v>0</v>
      </c>
      <c r="P16" s="218">
        <v>0</v>
      </c>
      <c r="Q16" s="218">
        <v>0</v>
      </c>
      <c r="R16" s="218">
        <v>0</v>
      </c>
      <c r="S16" s="218">
        <v>0</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c r="AK16" s="218"/>
      <c r="AL16" s="218">
        <v>0</v>
      </c>
      <c r="AM16" s="218"/>
      <c r="AN16" s="218">
        <v>0</v>
      </c>
      <c r="AO16" s="218">
        <v>0</v>
      </c>
      <c r="AP16" s="218">
        <v>0</v>
      </c>
      <c r="AQ16" s="218">
        <v>0</v>
      </c>
      <c r="AR16" s="218">
        <v>0</v>
      </c>
      <c r="AS16" s="218">
        <v>0</v>
      </c>
      <c r="AT16" s="218">
        <v>0</v>
      </c>
      <c r="AU16" s="218">
        <v>0</v>
      </c>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row>
    <row r="17" spans="1:167" s="248" customFormat="1" hidden="1" outlineLevel="1" x14ac:dyDescent="0.2">
      <c r="A17" s="232"/>
      <c r="B17" s="750" t="s">
        <v>589</v>
      </c>
      <c r="C17" s="218">
        <v>0</v>
      </c>
      <c r="D17" s="218">
        <v>0</v>
      </c>
      <c r="E17" s="218">
        <v>0</v>
      </c>
      <c r="F17" s="218">
        <v>0</v>
      </c>
      <c r="G17" s="218">
        <v>0</v>
      </c>
      <c r="H17" s="218">
        <v>0</v>
      </c>
      <c r="I17" s="218">
        <v>0</v>
      </c>
      <c r="J17" s="218">
        <v>0</v>
      </c>
      <c r="K17" s="218">
        <v>0</v>
      </c>
      <c r="L17" s="218">
        <v>12206</v>
      </c>
      <c r="M17" s="218">
        <v>0</v>
      </c>
      <c r="N17" s="218">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c r="AK17" s="218"/>
      <c r="AL17" s="218">
        <v>0</v>
      </c>
      <c r="AM17" s="218"/>
      <c r="AN17" s="218">
        <v>0</v>
      </c>
      <c r="AO17" s="218">
        <v>0</v>
      </c>
      <c r="AP17" s="218">
        <v>0</v>
      </c>
      <c r="AQ17" s="218">
        <v>0</v>
      </c>
      <c r="AR17" s="218">
        <v>0</v>
      </c>
      <c r="AS17" s="218">
        <v>0</v>
      </c>
      <c r="AT17" s="218">
        <v>0</v>
      </c>
      <c r="AU17" s="218">
        <v>0</v>
      </c>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row>
    <row r="18" spans="1:167" s="248" customFormat="1" hidden="1" outlineLevel="1" x14ac:dyDescent="0.2">
      <c r="A18" s="232"/>
      <c r="B18" s="750" t="s">
        <v>532</v>
      </c>
      <c r="C18" s="218">
        <v>0</v>
      </c>
      <c r="D18" s="218">
        <v>0</v>
      </c>
      <c r="E18" s="218">
        <v>0</v>
      </c>
      <c r="F18" s="218">
        <v>-5013</v>
      </c>
      <c r="G18" s="218">
        <v>0</v>
      </c>
      <c r="H18" s="218">
        <v>0</v>
      </c>
      <c r="I18" s="218">
        <v>0</v>
      </c>
      <c r="J18" s="218">
        <v>0</v>
      </c>
      <c r="K18" s="218">
        <v>0</v>
      </c>
      <c r="L18" s="218">
        <v>0</v>
      </c>
      <c r="M18" s="218">
        <v>0</v>
      </c>
      <c r="N18" s="218">
        <v>0</v>
      </c>
      <c r="O18" s="218">
        <v>0</v>
      </c>
      <c r="P18" s="218">
        <v>0</v>
      </c>
      <c r="Q18" s="218">
        <v>0</v>
      </c>
      <c r="R18" s="218">
        <v>0</v>
      </c>
      <c r="S18" s="218">
        <v>0</v>
      </c>
      <c r="T18" s="218">
        <v>0</v>
      </c>
      <c r="U18" s="218">
        <v>0</v>
      </c>
      <c r="V18" s="218">
        <v>0</v>
      </c>
      <c r="W18" s="218">
        <v>0</v>
      </c>
      <c r="X18" s="218">
        <v>0</v>
      </c>
      <c r="Y18" s="218">
        <v>0</v>
      </c>
      <c r="Z18" s="218">
        <v>0</v>
      </c>
      <c r="AA18" s="218">
        <v>0</v>
      </c>
      <c r="AB18" s="218">
        <v>0</v>
      </c>
      <c r="AC18" s="218">
        <v>0</v>
      </c>
      <c r="AD18" s="218">
        <v>0</v>
      </c>
      <c r="AE18" s="218">
        <v>0</v>
      </c>
      <c r="AF18" s="218">
        <v>0</v>
      </c>
      <c r="AG18" s="218">
        <v>0</v>
      </c>
      <c r="AH18" s="218">
        <v>0</v>
      </c>
      <c r="AI18" s="218">
        <v>0</v>
      </c>
      <c r="AJ18" s="218"/>
      <c r="AK18" s="218"/>
      <c r="AL18" s="218">
        <v>0</v>
      </c>
      <c r="AM18" s="218"/>
      <c r="AN18" s="218">
        <v>0</v>
      </c>
      <c r="AO18" s="218">
        <v>0</v>
      </c>
      <c r="AP18" s="218">
        <v>0</v>
      </c>
      <c r="AQ18" s="218">
        <v>0</v>
      </c>
      <c r="AR18" s="218">
        <v>0</v>
      </c>
      <c r="AS18" s="218">
        <v>0</v>
      </c>
      <c r="AT18" s="218">
        <v>0</v>
      </c>
      <c r="AU18" s="218">
        <v>0</v>
      </c>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row>
    <row r="19" spans="1:167" s="248" customFormat="1" hidden="1" outlineLevel="1" x14ac:dyDescent="0.2">
      <c r="A19" s="232"/>
      <c r="B19" s="750" t="s">
        <v>533</v>
      </c>
      <c r="C19" s="218">
        <v>0</v>
      </c>
      <c r="D19" s="218">
        <v>0</v>
      </c>
      <c r="E19" s="218">
        <v>0</v>
      </c>
      <c r="F19" s="218">
        <v>4066</v>
      </c>
      <c r="G19" s="218">
        <v>0</v>
      </c>
      <c r="H19" s="218">
        <v>0</v>
      </c>
      <c r="I19" s="218">
        <v>0</v>
      </c>
      <c r="J19" s="218">
        <v>0</v>
      </c>
      <c r="K19" s="218">
        <v>0</v>
      </c>
      <c r="L19" s="218">
        <v>0</v>
      </c>
      <c r="M19" s="218">
        <v>0</v>
      </c>
      <c r="N19" s="218">
        <v>0</v>
      </c>
      <c r="O19" s="218">
        <v>0</v>
      </c>
      <c r="P19" s="218">
        <v>0</v>
      </c>
      <c r="Q19" s="218">
        <v>0</v>
      </c>
      <c r="R19" s="218">
        <v>0</v>
      </c>
      <c r="S19" s="218">
        <v>0</v>
      </c>
      <c r="T19" s="218">
        <v>0</v>
      </c>
      <c r="U19" s="218">
        <v>0</v>
      </c>
      <c r="V19" s="218">
        <v>0</v>
      </c>
      <c r="W19" s="218">
        <v>0</v>
      </c>
      <c r="X19" s="218">
        <v>0</v>
      </c>
      <c r="Y19" s="218">
        <v>0</v>
      </c>
      <c r="Z19" s="218">
        <v>0</v>
      </c>
      <c r="AA19" s="218">
        <v>0</v>
      </c>
      <c r="AB19" s="218">
        <v>0</v>
      </c>
      <c r="AC19" s="218">
        <v>0</v>
      </c>
      <c r="AD19" s="218">
        <v>0</v>
      </c>
      <c r="AE19" s="218">
        <v>0</v>
      </c>
      <c r="AF19" s="218">
        <v>0</v>
      </c>
      <c r="AG19" s="218">
        <v>0</v>
      </c>
      <c r="AH19" s="218">
        <v>0</v>
      </c>
      <c r="AI19" s="218">
        <v>0</v>
      </c>
      <c r="AJ19" s="218"/>
      <c r="AK19" s="218"/>
      <c r="AL19" s="218">
        <v>0</v>
      </c>
      <c r="AM19" s="218"/>
      <c r="AN19" s="218">
        <v>0</v>
      </c>
      <c r="AO19" s="218">
        <v>0</v>
      </c>
      <c r="AP19" s="218">
        <v>0</v>
      </c>
      <c r="AQ19" s="218">
        <v>0</v>
      </c>
      <c r="AR19" s="218">
        <v>0</v>
      </c>
      <c r="AS19" s="218">
        <v>0</v>
      </c>
      <c r="AT19" s="218">
        <v>0</v>
      </c>
      <c r="AU19" s="218">
        <v>0</v>
      </c>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row>
    <row r="20" spans="1:167" s="248" customFormat="1" hidden="1" outlineLevel="1" x14ac:dyDescent="0.2">
      <c r="A20" s="232"/>
      <c r="B20" s="750" t="s">
        <v>583</v>
      </c>
      <c r="C20" s="218">
        <v>0</v>
      </c>
      <c r="D20" s="218">
        <v>0</v>
      </c>
      <c r="E20" s="218">
        <v>0</v>
      </c>
      <c r="F20" s="218">
        <v>0</v>
      </c>
      <c r="G20" s="218">
        <v>0</v>
      </c>
      <c r="H20" s="218">
        <v>0</v>
      </c>
      <c r="I20" s="218">
        <v>0</v>
      </c>
      <c r="J20" s="218">
        <v>0</v>
      </c>
      <c r="K20" s="218">
        <v>0</v>
      </c>
      <c r="L20" s="218">
        <v>0</v>
      </c>
      <c r="M20" s="218">
        <v>0</v>
      </c>
      <c r="N20" s="218">
        <v>0</v>
      </c>
      <c r="O20" s="218">
        <v>0</v>
      </c>
      <c r="P20" s="218">
        <v>0</v>
      </c>
      <c r="Q20" s="218">
        <v>0</v>
      </c>
      <c r="R20" s="218">
        <v>0</v>
      </c>
      <c r="S20" s="218">
        <v>0</v>
      </c>
      <c r="T20" s="218">
        <v>0</v>
      </c>
      <c r="U20" s="218">
        <v>0</v>
      </c>
      <c r="V20" s="218">
        <v>0</v>
      </c>
      <c r="W20" s="218">
        <v>0</v>
      </c>
      <c r="X20" s="218">
        <v>0</v>
      </c>
      <c r="Y20" s="218">
        <v>0</v>
      </c>
      <c r="Z20" s="218">
        <v>0</v>
      </c>
      <c r="AA20" s="218">
        <v>0</v>
      </c>
      <c r="AB20" s="218">
        <v>0</v>
      </c>
      <c r="AC20" s="218">
        <v>0</v>
      </c>
      <c r="AD20" s="218">
        <v>0</v>
      </c>
      <c r="AE20" s="218">
        <v>0</v>
      </c>
      <c r="AF20" s="218">
        <v>0</v>
      </c>
      <c r="AG20" s="218">
        <v>0</v>
      </c>
      <c r="AH20" s="218">
        <v>0</v>
      </c>
      <c r="AI20" s="218">
        <v>0</v>
      </c>
      <c r="AJ20" s="218"/>
      <c r="AK20" s="218"/>
      <c r="AL20" s="218">
        <v>0</v>
      </c>
      <c r="AM20" s="218"/>
      <c r="AN20" s="218">
        <v>0</v>
      </c>
      <c r="AO20" s="218">
        <v>0</v>
      </c>
      <c r="AP20" s="218">
        <v>0</v>
      </c>
      <c r="AQ20" s="218">
        <v>0</v>
      </c>
      <c r="AR20" s="218">
        <v>0</v>
      </c>
      <c r="AS20" s="218">
        <v>0</v>
      </c>
      <c r="AT20" s="218">
        <v>0</v>
      </c>
      <c r="AU20" s="218">
        <v>0</v>
      </c>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row>
    <row r="21" spans="1:167" s="251" customFormat="1" collapsed="1" x14ac:dyDescent="0.2">
      <c r="A21" s="142"/>
      <c r="B21" s="250" t="s">
        <v>528</v>
      </c>
      <c r="C21" s="121">
        <f t="shared" ref="C21:L21" si="5">SUM(C8:C20)</f>
        <v>-3228.86</v>
      </c>
      <c r="D21" s="121">
        <f t="shared" si="5"/>
        <v>-512.30000000000007</v>
      </c>
      <c r="E21" s="121">
        <f t="shared" si="5"/>
        <v>-3070.48</v>
      </c>
      <c r="F21" s="121">
        <f t="shared" si="5"/>
        <v>5565.8</v>
      </c>
      <c r="G21" s="121">
        <f t="shared" si="5"/>
        <v>184.92000000000007</v>
      </c>
      <c r="H21" s="121">
        <f t="shared" si="5"/>
        <v>-1209.48</v>
      </c>
      <c r="I21" s="121">
        <f t="shared" si="5"/>
        <v>-3178.46</v>
      </c>
      <c r="J21" s="121">
        <f t="shared" si="5"/>
        <v>-8769.64</v>
      </c>
      <c r="K21" s="121">
        <f t="shared" si="5"/>
        <v>-4299.34</v>
      </c>
      <c r="L21" s="121">
        <f t="shared" si="5"/>
        <v>7766.5357691940007</v>
      </c>
      <c r="M21" s="121">
        <v>-8878.5865395720011</v>
      </c>
      <c r="N21" s="121">
        <f t="shared" ref="N21:AK21" si="6">SUM(N8:N20)</f>
        <v>-8318.2292296220003</v>
      </c>
      <c r="O21" s="121">
        <f t="shared" si="6"/>
        <v>-6232.3600000000006</v>
      </c>
      <c r="P21" s="121">
        <f t="shared" si="6"/>
        <v>-7001.7400000000016</v>
      </c>
      <c r="Q21" s="121">
        <f t="shared" si="6"/>
        <v>-9929.5800000000017</v>
      </c>
      <c r="R21" s="121">
        <f t="shared" si="6"/>
        <v>-12882.960000000001</v>
      </c>
      <c r="S21" s="121">
        <f t="shared" si="6"/>
        <v>-11575.980000000001</v>
      </c>
      <c r="T21" s="121">
        <f t="shared" si="6"/>
        <v>-10923.920000000002</v>
      </c>
      <c r="U21" s="121">
        <f t="shared" si="6"/>
        <v>-40056.660000000003</v>
      </c>
      <c r="V21" s="121">
        <f t="shared" si="6"/>
        <v>-8769.760000000002</v>
      </c>
      <c r="W21" s="121">
        <f t="shared" si="6"/>
        <v>-6850.58</v>
      </c>
      <c r="X21" s="121">
        <f t="shared" si="6"/>
        <v>4623.58</v>
      </c>
      <c r="Y21" s="121">
        <f t="shared" si="6"/>
        <v>-12020.060000000001</v>
      </c>
      <c r="Z21" s="121">
        <f t="shared" si="6"/>
        <v>-9295.6200000000008</v>
      </c>
      <c r="AA21" s="121">
        <f t="shared" si="6"/>
        <v>-7993</v>
      </c>
      <c r="AB21" s="121">
        <f t="shared" si="6"/>
        <v>-8179.2400000000016</v>
      </c>
      <c r="AC21" s="121">
        <f t="shared" si="6"/>
        <v>9562.7999999999993</v>
      </c>
      <c r="AD21" s="121">
        <f t="shared" si="6"/>
        <v>-9991.8000000000011</v>
      </c>
      <c r="AE21" s="121">
        <f t="shared" si="6"/>
        <v>-5291.1600000000008</v>
      </c>
      <c r="AF21" s="121">
        <f t="shared" si="6"/>
        <v>-8047.52</v>
      </c>
      <c r="AG21" s="121">
        <f t="shared" si="6"/>
        <v>-17647.780000000002</v>
      </c>
      <c r="AH21" s="121">
        <f t="shared" si="6"/>
        <v>-17244.84</v>
      </c>
      <c r="AI21" s="121">
        <f t="shared" si="6"/>
        <v>-10633.04</v>
      </c>
      <c r="AJ21" s="121">
        <f t="shared" si="6"/>
        <v>-10583.260000000002</v>
      </c>
      <c r="AK21" s="121">
        <f t="shared" si="6"/>
        <v>-16767.2</v>
      </c>
      <c r="AL21" s="121">
        <f t="shared" ref="AL21:AU21" si="7">SUM(AL8:AL20)</f>
        <v>-15581.34</v>
      </c>
      <c r="AM21" s="121">
        <f t="shared" si="7"/>
        <v>-15609.16</v>
      </c>
      <c r="AN21" s="121">
        <f t="shared" si="7"/>
        <v>-21144.06</v>
      </c>
      <c r="AO21" s="121">
        <f t="shared" si="7"/>
        <v>-35932.520000000004</v>
      </c>
      <c r="AP21" s="121">
        <f t="shared" si="7"/>
        <v>-34170.380000000005</v>
      </c>
      <c r="AQ21" s="121">
        <f t="shared" si="7"/>
        <v>-18778.080000000002</v>
      </c>
      <c r="AR21" s="121">
        <f t="shared" si="7"/>
        <v>-24727.980000000003</v>
      </c>
      <c r="AS21" s="121">
        <f t="shared" si="7"/>
        <v>-32031.82</v>
      </c>
      <c r="AT21" s="121">
        <f t="shared" si="7"/>
        <v>-19872.940000000002</v>
      </c>
      <c r="AU21" s="121">
        <f t="shared" si="7"/>
        <v>-19037.480000000003</v>
      </c>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row>
    <row r="22" spans="1:167" x14ac:dyDescent="0.2">
      <c r="B22" s="129" t="s">
        <v>529</v>
      </c>
      <c r="C22" s="118">
        <v>-381</v>
      </c>
      <c r="D22" s="118">
        <v>-4245</v>
      </c>
      <c r="E22" s="118">
        <v>-415</v>
      </c>
      <c r="F22" s="118">
        <v>-12790</v>
      </c>
      <c r="G22" s="118">
        <v>-1173</v>
      </c>
      <c r="H22" s="118">
        <v>-586</v>
      </c>
      <c r="I22" s="118">
        <v>-4918</v>
      </c>
      <c r="J22" s="118">
        <v>-9639</v>
      </c>
      <c r="K22" s="118">
        <v>-5095</v>
      </c>
      <c r="L22" s="118">
        <v>1980</v>
      </c>
      <c r="M22" s="118">
        <v>-12489</v>
      </c>
      <c r="N22" s="118">
        <v>-18384</v>
      </c>
      <c r="O22" s="118">
        <v>-8414</v>
      </c>
      <c r="P22" s="118">
        <v>-5511</v>
      </c>
      <c r="Q22" s="118">
        <v>-10176</v>
      </c>
      <c r="R22" s="118">
        <v>-18596</v>
      </c>
      <c r="S22" s="118">
        <v>-7951</v>
      </c>
      <c r="T22" s="118">
        <v>-10922</v>
      </c>
      <c r="U22" s="118">
        <v>-41841</v>
      </c>
      <c r="V22" s="118">
        <v>-11385</v>
      </c>
      <c r="W22" s="118">
        <v>-2121</v>
      </c>
      <c r="X22" s="118">
        <v>-3029</v>
      </c>
      <c r="Y22" s="118">
        <v>-9242</v>
      </c>
      <c r="Z22" s="118">
        <v>-8845</v>
      </c>
      <c r="AA22" s="118">
        <v>-3458</v>
      </c>
      <c r="AB22" s="118">
        <v>-4303</v>
      </c>
      <c r="AC22" s="118">
        <v>7761</v>
      </c>
      <c r="AD22" s="118">
        <v>-5456</v>
      </c>
      <c r="AE22" s="118">
        <v>-3368</v>
      </c>
      <c r="AF22" s="118">
        <v>-8061</v>
      </c>
      <c r="AG22" s="118">
        <v>-20095</v>
      </c>
      <c r="AH22" s="118">
        <v>-11358</v>
      </c>
      <c r="AI22" s="118">
        <v>-15245</v>
      </c>
      <c r="AJ22" s="118">
        <v>-9192</v>
      </c>
      <c r="AK22" s="118">
        <v>-18090</v>
      </c>
      <c r="AL22" s="118">
        <v>-15164</v>
      </c>
      <c r="AM22" s="118">
        <v>-12263</v>
      </c>
      <c r="AN22" s="118">
        <v>-24370</v>
      </c>
      <c r="AO22" s="118">
        <v>-37202</v>
      </c>
      <c r="AP22" s="118">
        <v>-33985</v>
      </c>
      <c r="AQ22" s="118">
        <v>-14593</v>
      </c>
      <c r="AR22" s="118">
        <v>-26264</v>
      </c>
      <c r="AS22" s="118">
        <v>-33819</v>
      </c>
      <c r="AT22" s="118">
        <v>-13237</v>
      </c>
      <c r="AU22" s="118">
        <v>-19761</v>
      </c>
    </row>
    <row r="23" spans="1:167" x14ac:dyDescent="0.2">
      <c r="B23" s="129" t="s">
        <v>530</v>
      </c>
      <c r="C23" s="118">
        <v>-2848</v>
      </c>
      <c r="D23" s="118">
        <v>3733</v>
      </c>
      <c r="E23" s="118">
        <v>-2656</v>
      </c>
      <c r="F23" s="118">
        <v>18356</v>
      </c>
      <c r="G23" s="118">
        <v>1358</v>
      </c>
      <c r="H23" s="118">
        <v>-624</v>
      </c>
      <c r="I23" s="118">
        <v>1740</v>
      </c>
      <c r="J23" s="118">
        <v>869</v>
      </c>
      <c r="K23" s="118">
        <v>796</v>
      </c>
      <c r="L23" s="118">
        <v>5787</v>
      </c>
      <c r="M23" s="118">
        <v>3610</v>
      </c>
      <c r="N23" s="118">
        <v>10065</v>
      </c>
      <c r="O23" s="118">
        <v>2181</v>
      </c>
      <c r="P23" s="118">
        <v>-1490</v>
      </c>
      <c r="Q23" s="118">
        <v>246</v>
      </c>
      <c r="R23" s="118">
        <v>5713</v>
      </c>
      <c r="S23" s="118">
        <v>-3625</v>
      </c>
      <c r="T23" s="118">
        <v>-2</v>
      </c>
      <c r="U23" s="118">
        <v>1784</v>
      </c>
      <c r="V23" s="118">
        <v>2616</v>
      </c>
      <c r="W23" s="118">
        <v>-4730</v>
      </c>
      <c r="X23" s="118">
        <v>7653</v>
      </c>
      <c r="Y23" s="118">
        <v>-2778</v>
      </c>
      <c r="Z23" s="118">
        <v>-451</v>
      </c>
      <c r="AA23" s="118">
        <v>-4534</v>
      </c>
      <c r="AB23" s="118">
        <v>-3877</v>
      </c>
      <c r="AC23" s="118">
        <v>10649</v>
      </c>
      <c r="AD23" s="118">
        <v>-13383</v>
      </c>
      <c r="AE23" s="118">
        <v>-1923</v>
      </c>
      <c r="AF23" s="118">
        <v>13</v>
      </c>
      <c r="AG23" s="118">
        <v>2447</v>
      </c>
      <c r="AH23" s="118">
        <v>-5886</v>
      </c>
      <c r="AI23" s="118">
        <v>4612</v>
      </c>
      <c r="AJ23" s="118">
        <v>-1391</v>
      </c>
      <c r="AK23" s="118">
        <v>1322</v>
      </c>
      <c r="AL23" s="118">
        <v>-417</v>
      </c>
      <c r="AM23" s="118">
        <v>-3346</v>
      </c>
      <c r="AN23" s="118">
        <v>3226</v>
      </c>
      <c r="AO23" s="118">
        <v>1269</v>
      </c>
      <c r="AP23" s="118">
        <v>-185</v>
      </c>
      <c r="AQ23" s="118">
        <v>-4185</v>
      </c>
      <c r="AR23" s="118">
        <v>1536</v>
      </c>
      <c r="AS23" s="118">
        <v>1787</v>
      </c>
      <c r="AT23" s="118">
        <v>-6635</v>
      </c>
      <c r="AU23" s="118">
        <v>724</v>
      </c>
    </row>
    <row r="24" spans="1:167" s="251" customFormat="1" x14ac:dyDescent="0.2">
      <c r="A24" s="142"/>
      <c r="B24" s="250" t="s">
        <v>531</v>
      </c>
      <c r="C24" s="615">
        <f t="shared" ref="C24:AK24" si="8">+C21/C6</f>
        <v>-0.30094696616646471</v>
      </c>
      <c r="D24" s="615">
        <f t="shared" si="8"/>
        <v>-0.30224188790560474</v>
      </c>
      <c r="E24" s="615">
        <f t="shared" si="8"/>
        <v>-0.37573176700930006</v>
      </c>
      <c r="F24" s="615">
        <f t="shared" si="8"/>
        <v>-0.59084925690021228</v>
      </c>
      <c r="G24" s="615">
        <f t="shared" si="8"/>
        <v>-8.8563218390804638E-2</v>
      </c>
      <c r="H24" s="615">
        <f t="shared" si="8"/>
        <v>-2.3170114942528737</v>
      </c>
      <c r="I24" s="615">
        <f t="shared" si="8"/>
        <v>-0.45283658640832025</v>
      </c>
      <c r="J24" s="615">
        <f t="shared" si="8"/>
        <v>-0.41083294294012929</v>
      </c>
      <c r="K24" s="615">
        <f t="shared" si="8"/>
        <v>-0.44091272689980515</v>
      </c>
      <c r="L24" s="615">
        <f t="shared" si="8"/>
        <v>0.47676708220957648</v>
      </c>
      <c r="M24" s="615">
        <f t="shared" si="8"/>
        <v>-0.36741512681862204</v>
      </c>
      <c r="N24" s="615">
        <f t="shared" si="8"/>
        <v>-0.1236231252637508</v>
      </c>
      <c r="O24" s="615">
        <f t="shared" si="8"/>
        <v>-0.30809036531711903</v>
      </c>
      <c r="P24" s="615">
        <f t="shared" si="8"/>
        <v>-0.19899221281191387</v>
      </c>
      <c r="Q24" s="615">
        <f t="shared" si="8"/>
        <v>-0.24196651802032318</v>
      </c>
      <c r="R24" s="615">
        <f t="shared" si="8"/>
        <v>-0.26927012791572613</v>
      </c>
      <c r="S24" s="615">
        <f t="shared" si="8"/>
        <v>-0.3030599261722125</v>
      </c>
      <c r="T24" s="615">
        <f t="shared" si="8"/>
        <v>-0.25148303328882549</v>
      </c>
      <c r="U24" s="615">
        <f t="shared" si="8"/>
        <v>-0.30473156889744313</v>
      </c>
      <c r="V24" s="615">
        <f t="shared" si="8"/>
        <v>-0.16795801892212819</v>
      </c>
      <c r="W24" s="615">
        <f t="shared" si="8"/>
        <v>-0.26210276619351874</v>
      </c>
      <c r="X24" s="615">
        <f t="shared" si="8"/>
        <v>-0.5144742405697118</v>
      </c>
      <c r="Y24" s="615">
        <f t="shared" si="8"/>
        <v>-0.28647155556614795</v>
      </c>
      <c r="Z24" s="615">
        <f t="shared" si="8"/>
        <v>-0.24498906254118022</v>
      </c>
      <c r="AA24" s="615">
        <f t="shared" si="8"/>
        <v>-0.28394316163410299</v>
      </c>
      <c r="AB24" s="615">
        <f t="shared" si="8"/>
        <v>-0.25294532409698173</v>
      </c>
      <c r="AC24" s="615">
        <f t="shared" si="8"/>
        <v>0.38825822168087692</v>
      </c>
      <c r="AD24" s="615">
        <f t="shared" si="8"/>
        <v>-0.25443850267379681</v>
      </c>
      <c r="AE24" s="615">
        <f t="shared" si="8"/>
        <v>-0.21978732242253057</v>
      </c>
      <c r="AF24" s="615">
        <f t="shared" si="8"/>
        <v>-0.20833385109247179</v>
      </c>
      <c r="AG24" s="615">
        <f t="shared" si="8"/>
        <v>-0.24815135621581341</v>
      </c>
      <c r="AH24" s="615">
        <f t="shared" si="8"/>
        <v>-0.23279928721853232</v>
      </c>
      <c r="AI24" s="615">
        <f t="shared" si="8"/>
        <v>-0.23443513537348976</v>
      </c>
      <c r="AJ24" s="615">
        <f t="shared" si="8"/>
        <v>-0.20982295445984261</v>
      </c>
      <c r="AK24" s="615">
        <f t="shared" si="8"/>
        <v>-0.22943623426382048</v>
      </c>
      <c r="AL24" s="615">
        <f t="shared" ref="AL24:AU24" si="9">+AL21/AL6</f>
        <v>-0.23395054128316392</v>
      </c>
      <c r="AM24" s="615">
        <f t="shared" si="9"/>
        <v>-0.29382501317671861</v>
      </c>
      <c r="AN24" s="615">
        <f t="shared" si="9"/>
        <v>-0.24975560779125672</v>
      </c>
      <c r="AO24" s="615">
        <f t="shared" si="9"/>
        <v>-0.29849739985711676</v>
      </c>
      <c r="AP24" s="615">
        <f t="shared" si="9"/>
        <v>-0.28640716806222605</v>
      </c>
      <c r="AQ24" s="615">
        <f t="shared" si="9"/>
        <v>-0.30039160481187616</v>
      </c>
      <c r="AR24" s="615">
        <f t="shared" si="9"/>
        <v>-0.26923013272072038</v>
      </c>
      <c r="AS24" s="615">
        <f t="shared" si="9"/>
        <v>-0.28619515202415946</v>
      </c>
      <c r="AT24" s="615">
        <f t="shared" si="9"/>
        <v>-0.27566464607232527</v>
      </c>
      <c r="AU24" s="615">
        <f t="shared" si="9"/>
        <v>-0.32924284874269316</v>
      </c>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row>
    <row r="25" spans="1:167" customFormat="1" ht="12.75" x14ac:dyDescent="0.2"/>
    <row r="26" spans="1:167" x14ac:dyDescent="0.2">
      <c r="B26" s="31"/>
      <c r="C26" s="30"/>
      <c r="D26" s="30"/>
      <c r="E26" s="29"/>
      <c r="F26" s="29"/>
      <c r="G26" s="29"/>
      <c r="H26" s="29"/>
      <c r="I26" s="29"/>
      <c r="J26" s="29"/>
      <c r="K26" s="29"/>
      <c r="L26" s="29"/>
      <c r="M26" s="29"/>
      <c r="N26" s="29"/>
      <c r="O26" s="1087"/>
      <c r="P26" s="1087"/>
      <c r="Q26" s="1087"/>
      <c r="R26" s="1087"/>
      <c r="S26" s="1087"/>
      <c r="T26" s="1087"/>
      <c r="U26" s="1087"/>
      <c r="V26" s="1087"/>
      <c r="W26" s="1087"/>
      <c r="X26" s="1087"/>
      <c r="Y26" s="1087"/>
      <c r="Z26" s="1087"/>
      <c r="AA26" s="1087"/>
      <c r="AB26" s="1087"/>
      <c r="AC26" s="1087"/>
      <c r="AD26" s="1087"/>
      <c r="AE26" s="1087"/>
      <c r="AF26" s="1087"/>
      <c r="AG26" s="1087"/>
      <c r="AH26" s="1087"/>
      <c r="AI26" s="1087"/>
      <c r="AJ26" s="1087"/>
      <c r="AK26" s="1087"/>
      <c r="AL26" s="1087"/>
      <c r="AM26" s="1087"/>
      <c r="AN26" s="1087"/>
      <c r="AO26" s="1087"/>
      <c r="AP26" s="1087"/>
      <c r="AQ26" s="1087"/>
      <c r="AR26" s="1087"/>
      <c r="AS26" s="1087"/>
      <c r="AT26" s="1087"/>
      <c r="AU26" s="1087"/>
    </row>
    <row r="27" spans="1:167" x14ac:dyDescent="0.2">
      <c r="AG27" s="1086"/>
      <c r="AH27" s="1086"/>
      <c r="AI27" s="1086"/>
      <c r="AJ27" s="1086"/>
      <c r="AK27" s="1086"/>
      <c r="AL27" s="1086"/>
      <c r="AM27" s="1086"/>
      <c r="AN27" s="1086"/>
      <c r="AO27" s="1086"/>
      <c r="AP27" s="1086"/>
      <c r="AQ27" s="1086"/>
      <c r="AR27" s="1086"/>
      <c r="AS27" s="1086"/>
      <c r="AT27" s="1086"/>
      <c r="AU27" s="1086"/>
    </row>
    <row r="28" spans="1:167" x14ac:dyDescent="0.2">
      <c r="AG28" s="1087"/>
      <c r="AH28" s="1087"/>
      <c r="AI28" s="1087"/>
      <c r="AJ28" s="1087"/>
      <c r="AK28" s="1087"/>
      <c r="AL28" s="1087"/>
      <c r="AM28" s="1087"/>
      <c r="AN28" s="1087"/>
      <c r="AO28" s="1087"/>
      <c r="AP28" s="1087"/>
      <c r="AQ28" s="1087"/>
      <c r="AR28" s="1087"/>
      <c r="AS28" s="1087"/>
      <c r="AT28" s="1087"/>
      <c r="AU28" s="1087"/>
    </row>
    <row r="29" spans="1:167" x14ac:dyDescent="0.2">
      <c r="AG29" s="1087"/>
      <c r="AH29" s="1087"/>
      <c r="AI29" s="1087"/>
      <c r="AJ29" s="1087"/>
      <c r="AK29" s="1087"/>
      <c r="AL29" s="1087"/>
      <c r="AM29" s="1087"/>
      <c r="AN29" s="1087"/>
      <c r="AO29" s="1087"/>
      <c r="AP29" s="1087"/>
      <c r="AQ29" s="1087"/>
      <c r="AR29" s="1087"/>
      <c r="AS29" s="1087"/>
      <c r="AT29" s="1087"/>
      <c r="AU29" s="1087"/>
    </row>
    <row r="30" spans="1:167" x14ac:dyDescent="0.2">
      <c r="AG30" s="1086"/>
      <c r="AH30" s="1086"/>
      <c r="AI30" s="1086"/>
      <c r="AJ30" s="1086"/>
      <c r="AK30" s="1086"/>
      <c r="AL30" s="1086"/>
      <c r="AM30" s="1086"/>
      <c r="AN30" s="1086"/>
      <c r="AO30" s="1086"/>
      <c r="AP30" s="1086"/>
      <c r="AQ30" s="1086"/>
      <c r="AR30" s="1086"/>
      <c r="AS30" s="1086"/>
      <c r="AT30" s="1086"/>
      <c r="AU30" s="1086"/>
    </row>
    <row r="73" ht="15" customHeight="1" x14ac:dyDescent="0.2"/>
    <row r="77" ht="14.25" customHeight="1" x14ac:dyDescent="0.2"/>
    <row r="100" ht="15" customHeight="1" x14ac:dyDescent="0.2"/>
    <row r="104" ht="20.25" customHeight="1" x14ac:dyDescent="0.2"/>
    <row r="130" ht="15" customHeight="1" x14ac:dyDescent="0.2"/>
    <row r="147" spans="1:167" x14ac:dyDescent="0.2">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row>
    <row r="152" spans="1:167" s="36" customFormat="1" ht="26.25" customHeight="1" x14ac:dyDescent="0.2">
      <c r="A152"/>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row>
    <row r="153" spans="1:167" ht="14.25" customHeight="1" x14ac:dyDescent="0.2"/>
    <row r="160" spans="1:167" ht="14.25" customHeight="1" x14ac:dyDescent="0.2"/>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44">
    <pageSetUpPr autoPageBreaks="0"/>
  </sheetPr>
  <dimension ref="B1:AZ54"/>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2.75" outlineLevelRow="1" x14ac:dyDescent="0.2"/>
  <cols>
    <col min="1" max="1" width="1.42578125" customWidth="1"/>
    <col min="2" max="2" width="45.42578125" customWidth="1"/>
    <col min="3" max="52" width="10.85546875" customWidth="1"/>
  </cols>
  <sheetData>
    <row r="1" spans="2:52" s="544" customFormat="1" ht="7.5" customHeight="1" x14ac:dyDescent="0.2"/>
    <row r="2" spans="2:52" s="544" customFormat="1" ht="12.75" customHeight="1" x14ac:dyDescent="0.25">
      <c r="E2" s="554"/>
    </row>
    <row r="3" spans="2:52" ht="12.75" customHeight="1" x14ac:dyDescent="0.2">
      <c r="W3" s="328"/>
      <c r="X3" s="544"/>
      <c r="Y3" s="544"/>
      <c r="Z3" s="544"/>
      <c r="AA3" s="544"/>
      <c r="AB3" s="544"/>
      <c r="AC3" s="544"/>
      <c r="AD3" s="544"/>
      <c r="AE3" s="544"/>
      <c r="AF3" s="544"/>
      <c r="AG3" s="544"/>
      <c r="AH3" s="544"/>
      <c r="AI3" s="544"/>
      <c r="AJ3" s="544"/>
      <c r="AK3" s="544"/>
      <c r="AL3" s="544"/>
      <c r="AM3" s="544"/>
      <c r="AN3" s="544"/>
      <c r="AO3" s="544"/>
      <c r="AP3" s="544"/>
      <c r="AQ3" s="544"/>
      <c r="AR3" s="544"/>
      <c r="AS3" s="544"/>
      <c r="AT3" s="544"/>
      <c r="AU3" s="544"/>
      <c r="AV3" s="544"/>
      <c r="AW3" s="544"/>
      <c r="AX3" s="544"/>
      <c r="AY3" s="544"/>
      <c r="AZ3" s="544"/>
    </row>
    <row r="4" spans="2:52" ht="12.75" customHeight="1" x14ac:dyDescent="0.2">
      <c r="C4" s="1235" t="s">
        <v>1426</v>
      </c>
      <c r="D4" s="1236"/>
      <c r="E4" s="224" t="s">
        <v>1427</v>
      </c>
      <c r="W4" s="328"/>
      <c r="X4" s="544"/>
      <c r="Y4" s="544"/>
      <c r="Z4" s="544"/>
      <c r="AA4" s="544"/>
      <c r="AB4" s="544"/>
      <c r="AC4" s="544"/>
      <c r="AD4" s="544"/>
      <c r="AE4" s="544"/>
      <c r="AF4" s="544"/>
      <c r="AG4" s="544"/>
      <c r="AH4" s="544"/>
      <c r="AI4" s="544"/>
      <c r="AJ4" s="544"/>
      <c r="AK4" s="544"/>
      <c r="AL4" s="544"/>
      <c r="AM4" s="544"/>
      <c r="AN4" s="544"/>
      <c r="AO4" s="544"/>
      <c r="AP4" s="544"/>
      <c r="AQ4" s="544"/>
      <c r="AR4" s="544"/>
      <c r="AS4" s="544"/>
      <c r="AT4" s="544"/>
      <c r="AU4" s="544"/>
      <c r="AV4" s="544"/>
      <c r="AW4" s="544"/>
      <c r="AX4" s="544"/>
      <c r="AY4" s="544"/>
      <c r="AZ4" s="544"/>
    </row>
    <row r="5" spans="2:52" x14ac:dyDescent="0.2">
      <c r="B5" s="115" t="s">
        <v>96</v>
      </c>
      <c r="C5" s="115">
        <v>2013</v>
      </c>
      <c r="D5" s="115" t="s">
        <v>45</v>
      </c>
      <c r="E5" s="222" t="s">
        <v>55</v>
      </c>
      <c r="F5" s="115" t="s">
        <v>71</v>
      </c>
      <c r="G5" s="115" t="s">
        <v>77</v>
      </c>
      <c r="H5" s="115" t="s">
        <v>87</v>
      </c>
      <c r="I5" s="115" t="s">
        <v>88</v>
      </c>
      <c r="J5" s="115" t="s">
        <v>378</v>
      </c>
      <c r="K5" s="115" t="s">
        <v>406</v>
      </c>
      <c r="L5" s="115" t="s">
        <v>467</v>
      </c>
      <c r="M5" s="115" t="s">
        <v>501</v>
      </c>
      <c r="N5" s="115" t="s">
        <v>511</v>
      </c>
      <c r="O5" s="115" t="s">
        <v>538</v>
      </c>
      <c r="P5" s="115" t="s">
        <v>567</v>
      </c>
      <c r="Q5" s="115" t="s">
        <v>575</v>
      </c>
      <c r="R5" s="115" t="s">
        <v>595</v>
      </c>
      <c r="S5" s="115" t="s">
        <v>596</v>
      </c>
      <c r="T5" s="115" t="s">
        <v>623</v>
      </c>
      <c r="U5" s="115" t="s">
        <v>624</v>
      </c>
      <c r="V5" s="115" t="s">
        <v>625</v>
      </c>
      <c r="W5" s="115" t="s">
        <v>626</v>
      </c>
      <c r="X5" s="115" t="s">
        <v>798</v>
      </c>
      <c r="Y5" s="115" t="s">
        <v>799</v>
      </c>
      <c r="Z5" s="115" t="s">
        <v>800</v>
      </c>
      <c r="AA5" s="115" t="s">
        <v>801</v>
      </c>
      <c r="AB5" s="115" t="s">
        <v>913</v>
      </c>
      <c r="AC5" s="115" t="s">
        <v>914</v>
      </c>
      <c r="AD5" s="115" t="s">
        <v>923</v>
      </c>
      <c r="AE5" s="115" t="s">
        <v>924</v>
      </c>
      <c r="AF5" s="115" t="s">
        <v>1049</v>
      </c>
      <c r="AG5" s="115" t="s">
        <v>1023</v>
      </c>
      <c r="AH5" s="115" t="s">
        <v>1024</v>
      </c>
      <c r="AI5" s="115" t="s">
        <v>1050</v>
      </c>
      <c r="AJ5" s="115" t="s">
        <v>1114</v>
      </c>
      <c r="AK5" s="115" t="s">
        <v>1119</v>
      </c>
      <c r="AL5" s="115" t="s">
        <v>1121</v>
      </c>
      <c r="AM5" s="115" t="s">
        <v>1123</v>
      </c>
      <c r="AN5" s="115" t="s">
        <v>1176</v>
      </c>
      <c r="AO5" s="115" t="s">
        <v>1177</v>
      </c>
      <c r="AP5" s="115" t="s">
        <v>1179</v>
      </c>
      <c r="AQ5" s="115" t="s">
        <v>1181</v>
      </c>
      <c r="AR5" s="115" t="s">
        <v>1243</v>
      </c>
      <c r="AS5" s="115" t="s">
        <v>1250</v>
      </c>
      <c r="AT5" s="115" t="s">
        <v>1251</v>
      </c>
      <c r="AU5" s="115" t="s">
        <v>1252</v>
      </c>
      <c r="AV5" s="115" t="s">
        <v>1311</v>
      </c>
      <c r="AW5" s="115" t="s">
        <v>1313</v>
      </c>
      <c r="AX5" s="115" t="s">
        <v>1315</v>
      </c>
      <c r="AY5" s="115" t="s">
        <v>1317</v>
      </c>
      <c r="AZ5" s="115" t="s">
        <v>1344</v>
      </c>
    </row>
    <row r="6" spans="2:52" x14ac:dyDescent="0.2">
      <c r="B6" s="129" t="s">
        <v>1231</v>
      </c>
      <c r="C6" s="118">
        <v>36191</v>
      </c>
      <c r="D6" s="118">
        <v>41304</v>
      </c>
      <c r="E6" s="160">
        <v>16484</v>
      </c>
      <c r="F6" s="118">
        <v>16195</v>
      </c>
      <c r="G6" s="118">
        <v>9914</v>
      </c>
      <c r="H6" s="118">
        <v>13470</v>
      </c>
      <c r="I6" s="118">
        <v>13147</v>
      </c>
      <c r="J6" s="118">
        <v>13839</v>
      </c>
      <c r="K6" s="118">
        <v>12728</v>
      </c>
      <c r="L6" s="118">
        <v>14153</v>
      </c>
      <c r="M6" s="118">
        <v>16126</v>
      </c>
      <c r="N6" s="118">
        <v>15352</v>
      </c>
      <c r="O6" s="118">
        <v>15313</v>
      </c>
      <c r="P6" s="118">
        <v>15218</v>
      </c>
      <c r="Q6" s="118">
        <v>15313.347779978187</v>
      </c>
      <c r="R6" s="118">
        <v>15487.211276228189</v>
      </c>
      <c r="S6" s="118">
        <v>27398</v>
      </c>
      <c r="T6" s="118">
        <v>10308</v>
      </c>
      <c r="U6" s="118">
        <v>10075</v>
      </c>
      <c r="V6" s="118">
        <v>10412</v>
      </c>
      <c r="W6" s="118">
        <v>10286</v>
      </c>
      <c r="X6" s="118">
        <v>10127</v>
      </c>
      <c r="Y6" s="118">
        <v>10421</v>
      </c>
      <c r="Z6" s="118">
        <v>10631</v>
      </c>
      <c r="AA6" s="118">
        <v>10298</v>
      </c>
      <c r="AB6" s="118">
        <v>9988</v>
      </c>
      <c r="AC6" s="118">
        <v>15458</v>
      </c>
      <c r="AD6" s="118">
        <v>12529</v>
      </c>
      <c r="AE6" s="118">
        <v>10807</v>
      </c>
      <c r="AF6" s="118">
        <v>10503</v>
      </c>
      <c r="AG6" s="118">
        <v>9662</v>
      </c>
      <c r="AH6" s="118">
        <v>8898</v>
      </c>
      <c r="AI6" s="118">
        <v>7620</v>
      </c>
      <c r="AJ6" s="118">
        <v>7054</v>
      </c>
      <c r="AK6" s="118">
        <v>6533</v>
      </c>
      <c r="AL6" s="118">
        <v>6076</v>
      </c>
      <c r="AM6" s="118">
        <v>4751</v>
      </c>
      <c r="AN6" s="118">
        <v>4286</v>
      </c>
      <c r="AO6" s="118">
        <v>4202</v>
      </c>
      <c r="AP6" s="118">
        <v>3085</v>
      </c>
      <c r="AQ6" s="118">
        <v>2885</v>
      </c>
      <c r="AR6" s="118">
        <v>2318</v>
      </c>
      <c r="AS6" s="118">
        <v>1619</v>
      </c>
      <c r="AT6" s="118">
        <v>1469</v>
      </c>
      <c r="AU6" s="118">
        <v>1979</v>
      </c>
      <c r="AV6" s="118">
        <v>1420</v>
      </c>
      <c r="AW6" s="118">
        <v>925</v>
      </c>
      <c r="AX6" s="118">
        <v>1669</v>
      </c>
      <c r="AY6" s="118">
        <v>2024</v>
      </c>
      <c r="AZ6" s="118">
        <v>1892</v>
      </c>
    </row>
    <row r="7" spans="2:52" x14ac:dyDescent="0.2">
      <c r="B7" s="129" t="s">
        <v>284</v>
      </c>
      <c r="C7" s="118">
        <v>13235</v>
      </c>
      <c r="D7" s="118">
        <v>15081</v>
      </c>
      <c r="E7" s="160">
        <v>6083</v>
      </c>
      <c r="F7" s="118">
        <v>5964</v>
      </c>
      <c r="G7" s="118">
        <v>3706</v>
      </c>
      <c r="H7" s="118">
        <v>5005</v>
      </c>
      <c r="I7" s="118">
        <v>4785</v>
      </c>
      <c r="J7" s="118">
        <v>5035</v>
      </c>
      <c r="K7" s="118">
        <v>4756</v>
      </c>
      <c r="L7" s="118">
        <v>5269</v>
      </c>
      <c r="M7" s="118">
        <v>5980</v>
      </c>
      <c r="N7" s="118">
        <v>5537</v>
      </c>
      <c r="O7" s="118">
        <v>5459</v>
      </c>
      <c r="P7" s="118">
        <v>5315</v>
      </c>
      <c r="Q7" s="118">
        <v>5385.8722618721476</v>
      </c>
      <c r="R7" s="118">
        <v>5412.3133502621449</v>
      </c>
      <c r="S7" s="118">
        <v>9809</v>
      </c>
      <c r="T7" s="118">
        <v>3822</v>
      </c>
      <c r="U7" s="118">
        <v>3738</v>
      </c>
      <c r="V7" s="118">
        <v>3859</v>
      </c>
      <c r="W7" s="118">
        <v>3816</v>
      </c>
      <c r="X7" s="118">
        <v>3759</v>
      </c>
      <c r="Y7" s="118">
        <v>3865</v>
      </c>
      <c r="Z7" s="118">
        <v>3940</v>
      </c>
      <c r="AA7" s="118">
        <v>3820</v>
      </c>
      <c r="AB7" s="118">
        <v>3709</v>
      </c>
      <c r="AC7" s="118">
        <v>5678</v>
      </c>
      <c r="AD7" s="118">
        <v>4624</v>
      </c>
      <c r="AE7" s="118">
        <v>4004</v>
      </c>
      <c r="AF7" s="118">
        <v>3894</v>
      </c>
      <c r="AG7" s="118">
        <v>3591</v>
      </c>
      <c r="AH7" s="118">
        <v>3316</v>
      </c>
      <c r="AI7" s="118">
        <v>2856</v>
      </c>
      <c r="AJ7" s="118">
        <v>2653</v>
      </c>
      <c r="AK7" s="118">
        <v>2465</v>
      </c>
      <c r="AL7" s="118">
        <v>2300</v>
      </c>
      <c r="AM7" s="118">
        <v>2189</v>
      </c>
      <c r="AN7" s="118">
        <v>2035</v>
      </c>
      <c r="AO7" s="118">
        <v>1991</v>
      </c>
      <c r="AP7" s="118">
        <v>1589</v>
      </c>
      <c r="AQ7" s="118">
        <v>1517</v>
      </c>
      <c r="AR7" s="118">
        <v>1313</v>
      </c>
      <c r="AS7" s="118">
        <v>1061</v>
      </c>
      <c r="AT7" s="118">
        <v>1007</v>
      </c>
      <c r="AU7" s="118">
        <v>1191</v>
      </c>
      <c r="AV7" s="118">
        <v>990</v>
      </c>
      <c r="AW7" s="118">
        <v>811</v>
      </c>
      <c r="AX7" s="118">
        <v>1079</v>
      </c>
      <c r="AY7" s="118">
        <v>1201</v>
      </c>
      <c r="AZ7" s="118">
        <v>1059</v>
      </c>
    </row>
    <row r="8" spans="2:52" x14ac:dyDescent="0.2">
      <c r="B8" s="129" t="s">
        <v>287</v>
      </c>
      <c r="C8" s="118">
        <v>2652</v>
      </c>
      <c r="D8" s="118">
        <v>1630</v>
      </c>
      <c r="E8" s="160">
        <v>1665</v>
      </c>
      <c r="F8" s="118">
        <v>1780</v>
      </c>
      <c r="G8" s="118">
        <v>3728</v>
      </c>
      <c r="H8" s="118">
        <v>3004</v>
      </c>
      <c r="I8" s="118">
        <v>1536</v>
      </c>
      <c r="J8" s="118">
        <v>2406</v>
      </c>
      <c r="K8" s="118">
        <v>2749</v>
      </c>
      <c r="L8" s="118">
        <v>2306</v>
      </c>
      <c r="M8" s="118">
        <v>1704</v>
      </c>
      <c r="N8" s="118">
        <v>2274</v>
      </c>
      <c r="O8" s="118">
        <v>2330</v>
      </c>
      <c r="P8" s="118">
        <v>2470</v>
      </c>
      <c r="Q8" s="118">
        <v>1618.6743629999994</v>
      </c>
      <c r="R8" s="118">
        <v>1968.8876705999999</v>
      </c>
      <c r="S8" s="118">
        <v>2646</v>
      </c>
      <c r="T8" s="118">
        <v>1232</v>
      </c>
      <c r="U8" s="118">
        <v>1381</v>
      </c>
      <c r="V8" s="118">
        <v>1883</v>
      </c>
      <c r="W8" s="118">
        <v>2682</v>
      </c>
      <c r="X8" s="118">
        <v>970</v>
      </c>
      <c r="Y8" s="118">
        <v>1641</v>
      </c>
      <c r="Z8" s="118">
        <v>2179</v>
      </c>
      <c r="AA8" s="118">
        <v>2997</v>
      </c>
      <c r="AB8" s="118">
        <v>1324</v>
      </c>
      <c r="AC8" s="118">
        <v>1555</v>
      </c>
      <c r="AD8" s="118">
        <v>1790</v>
      </c>
      <c r="AE8" s="118">
        <v>2091</v>
      </c>
      <c r="AF8" s="118">
        <v>854</v>
      </c>
      <c r="AG8" s="118">
        <v>1533</v>
      </c>
      <c r="AH8" s="118">
        <v>1866</v>
      </c>
      <c r="AI8" s="118">
        <v>2854</v>
      </c>
      <c r="AJ8" s="118">
        <v>1059</v>
      </c>
      <c r="AK8" s="118">
        <v>1480</v>
      </c>
      <c r="AL8" s="118">
        <v>2028</v>
      </c>
      <c r="AM8" s="118">
        <v>2860</v>
      </c>
      <c r="AN8" s="118">
        <v>1022</v>
      </c>
      <c r="AO8" s="118">
        <v>1890</v>
      </c>
      <c r="AP8" s="118">
        <v>2525</v>
      </c>
      <c r="AQ8" s="118">
        <v>3355</v>
      </c>
      <c r="AR8" s="118">
        <v>1091</v>
      </c>
      <c r="AS8" s="118">
        <v>1927</v>
      </c>
      <c r="AT8" s="118">
        <v>2604</v>
      </c>
      <c r="AU8" s="118">
        <v>3596</v>
      </c>
      <c r="AV8" s="118">
        <v>1159</v>
      </c>
      <c r="AW8" s="118">
        <v>2388</v>
      </c>
      <c r="AX8" s="118">
        <v>3169</v>
      </c>
      <c r="AY8" s="118">
        <v>4264</v>
      </c>
      <c r="AZ8" s="118">
        <v>1304</v>
      </c>
    </row>
    <row r="9" spans="2:52" x14ac:dyDescent="0.2">
      <c r="B9" s="192" t="s">
        <v>405</v>
      </c>
      <c r="C9" s="118">
        <v>1850</v>
      </c>
      <c r="D9" s="118">
        <v>2012</v>
      </c>
      <c r="E9" s="160">
        <v>1604</v>
      </c>
      <c r="F9" s="118">
        <v>1740</v>
      </c>
      <c r="G9" s="118">
        <v>4621</v>
      </c>
      <c r="H9" s="118">
        <v>4552</v>
      </c>
      <c r="I9" s="118">
        <v>4887</v>
      </c>
      <c r="J9" s="118">
        <v>5114</v>
      </c>
      <c r="K9" s="118">
        <v>4872</v>
      </c>
      <c r="L9" s="118">
        <v>5243</v>
      </c>
      <c r="M9" s="118">
        <v>5211</v>
      </c>
      <c r="N9" s="118">
        <v>5067</v>
      </c>
      <c r="O9" s="118">
        <v>5060</v>
      </c>
      <c r="P9" s="118">
        <v>5061</v>
      </c>
      <c r="Q9" s="118">
        <v>5062.6199070000002</v>
      </c>
      <c r="R9" s="118">
        <v>5442.4694282000009</v>
      </c>
      <c r="S9" s="118">
        <v>165</v>
      </c>
      <c r="T9" s="118">
        <v>647</v>
      </c>
      <c r="U9" s="118">
        <v>307</v>
      </c>
      <c r="V9" s="118">
        <v>403</v>
      </c>
      <c r="W9" s="118">
        <v>999</v>
      </c>
      <c r="X9" s="118">
        <v>1025</v>
      </c>
      <c r="Y9" s="118">
        <v>311</v>
      </c>
      <c r="Z9" s="118">
        <v>356</v>
      </c>
      <c r="AA9" s="118">
        <v>75</v>
      </c>
      <c r="AB9" s="118">
        <v>48</v>
      </c>
      <c r="AC9" s="118">
        <v>72</v>
      </c>
      <c r="AD9" s="118">
        <v>109</v>
      </c>
      <c r="AE9" s="118">
        <v>98</v>
      </c>
      <c r="AF9" s="118">
        <v>148</v>
      </c>
      <c r="AG9" s="118">
        <v>161</v>
      </c>
      <c r="AH9" s="118">
        <v>256</v>
      </c>
      <c r="AI9" s="118">
        <v>301</v>
      </c>
      <c r="AJ9" s="118">
        <v>334</v>
      </c>
      <c r="AK9" s="118">
        <v>350</v>
      </c>
      <c r="AL9" s="118">
        <v>332</v>
      </c>
      <c r="AM9" s="118">
        <v>336</v>
      </c>
      <c r="AN9" s="118">
        <v>552</v>
      </c>
      <c r="AO9" s="118">
        <v>651</v>
      </c>
      <c r="AP9" s="118">
        <v>702</v>
      </c>
      <c r="AQ9" s="118">
        <v>705</v>
      </c>
      <c r="AR9" s="118">
        <v>712</v>
      </c>
      <c r="AS9" s="118">
        <v>766</v>
      </c>
      <c r="AT9" s="118">
        <v>972</v>
      </c>
      <c r="AU9" s="118">
        <v>1255</v>
      </c>
      <c r="AV9" s="118">
        <v>1501</v>
      </c>
      <c r="AW9" s="118">
        <v>1281</v>
      </c>
      <c r="AX9" s="118">
        <v>1052</v>
      </c>
      <c r="AY9" s="118">
        <v>961</v>
      </c>
      <c r="AZ9" s="118">
        <v>1288</v>
      </c>
    </row>
    <row r="10" spans="2:52" x14ac:dyDescent="0.2">
      <c r="B10" s="129" t="s">
        <v>288</v>
      </c>
      <c r="C10" s="118">
        <v>8047</v>
      </c>
      <c r="D10" s="118">
        <v>8009</v>
      </c>
      <c r="E10" s="160">
        <v>3756</v>
      </c>
      <c r="F10" s="118">
        <v>3283</v>
      </c>
      <c r="G10" s="118">
        <v>3905</v>
      </c>
      <c r="H10" s="118">
        <v>3280</v>
      </c>
      <c r="I10" s="118">
        <v>3353</v>
      </c>
      <c r="J10" s="118">
        <v>3402</v>
      </c>
      <c r="K10" s="118">
        <v>7735</v>
      </c>
      <c r="L10" s="118">
        <v>7410</v>
      </c>
      <c r="M10" s="118">
        <v>5786</v>
      </c>
      <c r="N10" s="118">
        <v>5314</v>
      </c>
      <c r="O10" s="118">
        <v>5083</v>
      </c>
      <c r="P10" s="118">
        <v>4969</v>
      </c>
      <c r="Q10" s="118">
        <v>11870.9876776</v>
      </c>
      <c r="R10" s="118">
        <v>11884.207979199999</v>
      </c>
      <c r="S10" s="118">
        <v>13254</v>
      </c>
      <c r="T10" s="118">
        <v>14882</v>
      </c>
      <c r="U10" s="118">
        <v>14326</v>
      </c>
      <c r="V10" s="118">
        <v>13035</v>
      </c>
      <c r="W10" s="118">
        <v>15111</v>
      </c>
      <c r="X10" s="118">
        <v>14689</v>
      </c>
      <c r="Y10" s="118">
        <v>14535</v>
      </c>
      <c r="Z10" s="118">
        <v>12448</v>
      </c>
      <c r="AA10" s="118">
        <v>11990</v>
      </c>
      <c r="AB10" s="118">
        <v>12523</v>
      </c>
      <c r="AC10" s="118">
        <v>11632</v>
      </c>
      <c r="AD10" s="118">
        <v>12088</v>
      </c>
      <c r="AE10" s="118">
        <v>11519</v>
      </c>
      <c r="AF10" s="118">
        <v>11256</v>
      </c>
      <c r="AG10" s="118">
        <v>10867</v>
      </c>
      <c r="AH10" s="118">
        <v>9060</v>
      </c>
      <c r="AI10" s="118">
        <v>10483</v>
      </c>
      <c r="AJ10" s="118">
        <v>10077</v>
      </c>
      <c r="AK10" s="118">
        <v>8974</v>
      </c>
      <c r="AL10" s="118">
        <v>10838</v>
      </c>
      <c r="AM10" s="118">
        <v>9494</v>
      </c>
      <c r="AN10" s="118">
        <v>9748</v>
      </c>
      <c r="AO10" s="118">
        <v>9008</v>
      </c>
      <c r="AP10" s="118">
        <v>9066</v>
      </c>
      <c r="AQ10" s="118">
        <v>9525</v>
      </c>
      <c r="AR10" s="118">
        <v>9771</v>
      </c>
      <c r="AS10" s="118">
        <v>10137</v>
      </c>
      <c r="AT10" s="118">
        <v>9730</v>
      </c>
      <c r="AU10" s="118">
        <v>7541</v>
      </c>
      <c r="AV10" s="118">
        <v>7676</v>
      </c>
      <c r="AW10" s="118">
        <v>7731</v>
      </c>
      <c r="AX10" s="118">
        <v>7444</v>
      </c>
      <c r="AY10" s="118">
        <v>7191</v>
      </c>
      <c r="AZ10" s="118">
        <v>7008</v>
      </c>
    </row>
    <row r="11" spans="2:52" x14ac:dyDescent="0.2">
      <c r="B11" s="129" t="s">
        <v>289</v>
      </c>
      <c r="C11" s="118">
        <v>5206</v>
      </c>
      <c r="D11" s="118">
        <v>3117</v>
      </c>
      <c r="E11" s="160">
        <v>1075</v>
      </c>
      <c r="F11" s="118">
        <v>1223</v>
      </c>
      <c r="G11" s="118">
        <v>1200</v>
      </c>
      <c r="H11" s="118">
        <v>626</v>
      </c>
      <c r="I11" s="118">
        <v>613</v>
      </c>
      <c r="J11" s="118">
        <v>672</v>
      </c>
      <c r="K11" s="118">
        <v>1094</v>
      </c>
      <c r="L11" s="118">
        <v>655</v>
      </c>
      <c r="M11" s="118">
        <v>728</v>
      </c>
      <c r="N11" s="118">
        <v>621</v>
      </c>
      <c r="O11" s="118">
        <v>592</v>
      </c>
      <c r="P11" s="118">
        <v>643</v>
      </c>
      <c r="Q11" s="118">
        <v>756.66080640000018</v>
      </c>
      <c r="R11" s="118">
        <v>1098.8219722000001</v>
      </c>
      <c r="S11" s="118">
        <v>867</v>
      </c>
      <c r="T11" s="118">
        <v>809</v>
      </c>
      <c r="U11" s="118">
        <v>748</v>
      </c>
      <c r="V11" s="118">
        <v>732</v>
      </c>
      <c r="W11" s="118">
        <v>882</v>
      </c>
      <c r="X11" s="118">
        <v>889</v>
      </c>
      <c r="Y11" s="118">
        <v>954</v>
      </c>
      <c r="Z11" s="118">
        <v>875</v>
      </c>
      <c r="AA11" s="118">
        <v>1211</v>
      </c>
      <c r="AB11" s="118">
        <v>104</v>
      </c>
      <c r="AC11" s="118">
        <v>702</v>
      </c>
      <c r="AD11" s="118">
        <v>489</v>
      </c>
      <c r="AE11" s="118">
        <v>1371</v>
      </c>
      <c r="AF11" s="118">
        <v>436</v>
      </c>
      <c r="AG11" s="118">
        <v>765</v>
      </c>
      <c r="AH11" s="118">
        <v>974</v>
      </c>
      <c r="AI11" s="118">
        <v>511</v>
      </c>
      <c r="AJ11" s="118">
        <v>25</v>
      </c>
      <c r="AK11" s="118">
        <v>337</v>
      </c>
      <c r="AL11" s="118">
        <v>1438</v>
      </c>
      <c r="AM11" s="118">
        <v>1044</v>
      </c>
      <c r="AN11" s="118">
        <v>1859</v>
      </c>
      <c r="AO11" s="118">
        <v>953</v>
      </c>
      <c r="AP11" s="118">
        <v>1232</v>
      </c>
      <c r="AQ11" s="118">
        <v>1048</v>
      </c>
      <c r="AR11" s="118">
        <v>1664</v>
      </c>
      <c r="AS11" s="118">
        <v>2581</v>
      </c>
      <c r="AT11" s="118">
        <v>2379</v>
      </c>
      <c r="AU11" s="118">
        <v>2187</v>
      </c>
      <c r="AV11" s="118">
        <v>2344</v>
      </c>
      <c r="AW11" s="118">
        <v>1693</v>
      </c>
      <c r="AX11" s="118">
        <v>1615</v>
      </c>
      <c r="AY11" s="118">
        <v>1338</v>
      </c>
      <c r="AZ11" s="118">
        <v>1980</v>
      </c>
    </row>
    <row r="12" spans="2:52" x14ac:dyDescent="0.2">
      <c r="B12" s="129" t="s">
        <v>570</v>
      </c>
      <c r="C12" s="118">
        <v>0</v>
      </c>
      <c r="D12" s="118">
        <v>0</v>
      </c>
      <c r="E12" s="160">
        <v>0</v>
      </c>
      <c r="F12" s="118">
        <v>0</v>
      </c>
      <c r="G12" s="118">
        <v>0</v>
      </c>
      <c r="H12" s="118">
        <v>0</v>
      </c>
      <c r="I12" s="118">
        <v>0</v>
      </c>
      <c r="J12" s="118">
        <v>0</v>
      </c>
      <c r="K12" s="118">
        <v>0</v>
      </c>
      <c r="L12" s="118">
        <v>0</v>
      </c>
      <c r="M12" s="118">
        <v>0</v>
      </c>
      <c r="N12" s="118">
        <v>0</v>
      </c>
      <c r="O12" s="118">
        <v>0</v>
      </c>
      <c r="P12" s="118">
        <v>962</v>
      </c>
      <c r="Q12" s="118">
        <v>1062.2958776</v>
      </c>
      <c r="R12" s="118">
        <v>1129.2767445999998</v>
      </c>
      <c r="S12" s="118">
        <v>1430</v>
      </c>
      <c r="T12" s="118">
        <v>1227</v>
      </c>
      <c r="U12" s="118">
        <v>429</v>
      </c>
      <c r="V12" s="118">
        <v>480</v>
      </c>
      <c r="W12" s="118">
        <v>919</v>
      </c>
      <c r="X12" s="118">
        <v>860</v>
      </c>
      <c r="Y12" s="118">
        <v>1295</v>
      </c>
      <c r="Z12" s="118">
        <v>771</v>
      </c>
      <c r="AA12" s="118">
        <v>859</v>
      </c>
      <c r="AB12" s="118">
        <v>498</v>
      </c>
      <c r="AC12" s="118">
        <v>448</v>
      </c>
      <c r="AD12" s="118">
        <v>603</v>
      </c>
      <c r="AE12" s="118">
        <v>1346</v>
      </c>
      <c r="AF12" s="118">
        <v>559</v>
      </c>
      <c r="AG12" s="118">
        <v>625</v>
      </c>
      <c r="AH12" s="118">
        <v>625</v>
      </c>
      <c r="AI12" s="118">
        <v>724</v>
      </c>
      <c r="AJ12" s="118">
        <v>455</v>
      </c>
      <c r="AK12" s="118">
        <v>598</v>
      </c>
      <c r="AL12" s="118">
        <v>633</v>
      </c>
      <c r="AM12" s="118">
        <v>185</v>
      </c>
      <c r="AN12" s="118">
        <v>845</v>
      </c>
      <c r="AO12" s="118">
        <v>773</v>
      </c>
      <c r="AP12" s="118">
        <v>905</v>
      </c>
      <c r="AQ12" s="118">
        <v>1021</v>
      </c>
      <c r="AR12" s="118">
        <v>889</v>
      </c>
      <c r="AS12" s="118">
        <v>2024</v>
      </c>
      <c r="AT12" s="118">
        <v>-290</v>
      </c>
      <c r="AU12" s="118">
        <v>3788</v>
      </c>
      <c r="AV12" s="118">
        <v>2029</v>
      </c>
      <c r="AW12" s="118">
        <v>1330</v>
      </c>
      <c r="AX12" s="118">
        <v>1517</v>
      </c>
      <c r="AY12" s="118">
        <v>1485</v>
      </c>
      <c r="AZ12" s="118">
        <v>1517</v>
      </c>
    </row>
    <row r="13" spans="2:52" x14ac:dyDescent="0.2">
      <c r="B13" s="129" t="s">
        <v>860</v>
      </c>
      <c r="C13" s="118" t="s">
        <v>160</v>
      </c>
      <c r="D13" s="118" t="s">
        <v>160</v>
      </c>
      <c r="E13" s="160" t="s">
        <v>160</v>
      </c>
      <c r="F13" s="118" t="s">
        <v>160</v>
      </c>
      <c r="G13" s="118" t="s">
        <v>160</v>
      </c>
      <c r="H13" s="118" t="s">
        <v>160</v>
      </c>
      <c r="I13" s="118" t="s">
        <v>160</v>
      </c>
      <c r="J13" s="118" t="s">
        <v>160</v>
      </c>
      <c r="K13" s="118" t="s">
        <v>160</v>
      </c>
      <c r="L13" s="118" t="s">
        <v>160</v>
      </c>
      <c r="M13" s="118" t="s">
        <v>160</v>
      </c>
      <c r="N13" s="118" t="s">
        <v>160</v>
      </c>
      <c r="O13" s="118" t="s">
        <v>160</v>
      </c>
      <c r="P13" s="118" t="s">
        <v>160</v>
      </c>
      <c r="Q13" s="118" t="s">
        <v>160</v>
      </c>
      <c r="R13" s="118" t="s">
        <v>160</v>
      </c>
      <c r="S13" s="118" t="s">
        <v>160</v>
      </c>
      <c r="T13" s="118" t="s">
        <v>160</v>
      </c>
      <c r="U13" s="118" t="s">
        <v>160</v>
      </c>
      <c r="V13" s="118" t="s">
        <v>160</v>
      </c>
      <c r="W13" s="118" t="s">
        <v>160</v>
      </c>
      <c r="X13" s="118" t="s">
        <v>160</v>
      </c>
      <c r="Y13" s="118" t="s">
        <v>160</v>
      </c>
      <c r="Z13" s="118" t="s">
        <v>160</v>
      </c>
      <c r="AA13" s="118" t="s">
        <v>160</v>
      </c>
      <c r="AB13" s="118" t="s">
        <v>160</v>
      </c>
      <c r="AC13" s="118" t="s">
        <v>160</v>
      </c>
      <c r="AD13" s="118" t="s">
        <v>160</v>
      </c>
      <c r="AE13" s="118" t="s">
        <v>160</v>
      </c>
      <c r="AF13" s="118" t="s">
        <v>160</v>
      </c>
      <c r="AG13" s="118" t="s">
        <v>160</v>
      </c>
      <c r="AH13" s="118" t="s">
        <v>160</v>
      </c>
      <c r="AI13" s="118" t="s">
        <v>160</v>
      </c>
      <c r="AJ13" s="118" t="s">
        <v>160</v>
      </c>
      <c r="AK13" s="118" t="s">
        <v>160</v>
      </c>
      <c r="AL13" s="118" t="s">
        <v>160</v>
      </c>
      <c r="AM13" s="118" t="s">
        <v>160</v>
      </c>
      <c r="AN13" s="118" t="s">
        <v>160</v>
      </c>
      <c r="AO13" s="118" t="s">
        <v>160</v>
      </c>
      <c r="AP13" s="118" t="s">
        <v>160</v>
      </c>
      <c r="AQ13" s="118" t="s">
        <v>160</v>
      </c>
      <c r="AR13" s="118" t="s">
        <v>160</v>
      </c>
      <c r="AS13" s="118" t="s">
        <v>160</v>
      </c>
      <c r="AT13" s="118" t="s">
        <v>160</v>
      </c>
      <c r="AU13" s="118" t="s">
        <v>160</v>
      </c>
      <c r="AV13" s="118">
        <v>5263</v>
      </c>
      <c r="AW13" s="118">
        <v>7184</v>
      </c>
      <c r="AX13" s="118">
        <v>7926</v>
      </c>
      <c r="AY13" s="118">
        <v>4039</v>
      </c>
      <c r="AZ13" s="118">
        <v>4043</v>
      </c>
    </row>
    <row r="14" spans="2:52" x14ac:dyDescent="0.2">
      <c r="B14" s="129" t="s">
        <v>1329</v>
      </c>
      <c r="C14" s="118" t="s">
        <v>160</v>
      </c>
      <c r="D14" s="118" t="s">
        <v>160</v>
      </c>
      <c r="E14" s="160" t="s">
        <v>160</v>
      </c>
      <c r="F14" s="118" t="s">
        <v>160</v>
      </c>
      <c r="G14" s="118" t="s">
        <v>160</v>
      </c>
      <c r="H14" s="118" t="s">
        <v>160</v>
      </c>
      <c r="I14" s="118" t="s">
        <v>160</v>
      </c>
      <c r="J14" s="118" t="s">
        <v>160</v>
      </c>
      <c r="K14" s="118" t="s">
        <v>160</v>
      </c>
      <c r="L14" s="118" t="s">
        <v>160</v>
      </c>
      <c r="M14" s="118" t="s">
        <v>160</v>
      </c>
      <c r="N14" s="118" t="s">
        <v>160</v>
      </c>
      <c r="O14" s="118" t="s">
        <v>160</v>
      </c>
      <c r="P14" s="118" t="s">
        <v>160</v>
      </c>
      <c r="Q14" s="118" t="s">
        <v>160</v>
      </c>
      <c r="R14" s="118" t="s">
        <v>160</v>
      </c>
      <c r="S14" s="118" t="s">
        <v>160</v>
      </c>
      <c r="T14" s="118" t="s">
        <v>160</v>
      </c>
      <c r="U14" s="118" t="s">
        <v>160</v>
      </c>
      <c r="V14" s="118" t="s">
        <v>160</v>
      </c>
      <c r="W14" s="118" t="s">
        <v>160</v>
      </c>
      <c r="X14" s="118" t="s">
        <v>160</v>
      </c>
      <c r="Y14" s="118" t="s">
        <v>160</v>
      </c>
      <c r="Z14" s="118" t="s">
        <v>160</v>
      </c>
      <c r="AA14" s="118" t="s">
        <v>160</v>
      </c>
      <c r="AB14" s="118" t="s">
        <v>160</v>
      </c>
      <c r="AC14" s="118" t="s">
        <v>160</v>
      </c>
      <c r="AD14" s="118" t="s">
        <v>160</v>
      </c>
      <c r="AE14" s="118" t="s">
        <v>160</v>
      </c>
      <c r="AF14" s="118" t="s">
        <v>160</v>
      </c>
      <c r="AG14" s="118" t="s">
        <v>160</v>
      </c>
      <c r="AH14" s="118" t="s">
        <v>160</v>
      </c>
      <c r="AI14" s="118" t="s">
        <v>160</v>
      </c>
      <c r="AJ14" s="118" t="s">
        <v>160</v>
      </c>
      <c r="AK14" s="118" t="s">
        <v>160</v>
      </c>
      <c r="AL14" s="118" t="s">
        <v>160</v>
      </c>
      <c r="AM14" s="118" t="s">
        <v>160</v>
      </c>
      <c r="AN14" s="118" t="s">
        <v>160</v>
      </c>
      <c r="AO14" s="118" t="s">
        <v>160</v>
      </c>
      <c r="AP14" s="118" t="s">
        <v>160</v>
      </c>
      <c r="AQ14" s="118" t="s">
        <v>160</v>
      </c>
      <c r="AR14" s="118" t="s">
        <v>160</v>
      </c>
      <c r="AS14" s="118" t="s">
        <v>160</v>
      </c>
      <c r="AT14" s="118" t="s">
        <v>160</v>
      </c>
      <c r="AU14" s="118" t="s">
        <v>160</v>
      </c>
      <c r="AV14" s="118">
        <v>1061</v>
      </c>
      <c r="AW14" s="118">
        <v>994</v>
      </c>
      <c r="AX14" s="118">
        <v>1055</v>
      </c>
      <c r="AY14" s="118">
        <v>1015</v>
      </c>
      <c r="AZ14" s="118">
        <v>1282</v>
      </c>
    </row>
    <row r="15" spans="2:52" x14ac:dyDescent="0.2">
      <c r="B15" s="129" t="s">
        <v>1330</v>
      </c>
      <c r="C15" s="118"/>
      <c r="D15" s="118"/>
      <c r="E15" s="160"/>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v>965</v>
      </c>
      <c r="AW15" s="118">
        <v>1090</v>
      </c>
      <c r="AX15" s="118">
        <v>1203</v>
      </c>
      <c r="AY15" s="118">
        <v>1320</v>
      </c>
      <c r="AZ15" s="118">
        <v>1260</v>
      </c>
    </row>
    <row r="16" spans="2:52" x14ac:dyDescent="0.2">
      <c r="B16" s="129" t="s">
        <v>571</v>
      </c>
      <c r="C16" s="118">
        <v>0</v>
      </c>
      <c r="D16" s="118">
        <v>0</v>
      </c>
      <c r="E16" s="160">
        <v>0</v>
      </c>
      <c r="F16" s="118">
        <v>0</v>
      </c>
      <c r="G16" s="118">
        <v>0</v>
      </c>
      <c r="H16" s="118">
        <v>0</v>
      </c>
      <c r="I16" s="118">
        <v>0</v>
      </c>
      <c r="J16" s="118">
        <v>0</v>
      </c>
      <c r="K16" s="118">
        <v>0</v>
      </c>
      <c r="L16" s="118">
        <v>0</v>
      </c>
      <c r="M16" s="118">
        <v>0</v>
      </c>
      <c r="N16" s="118">
        <v>0</v>
      </c>
      <c r="O16" s="118">
        <v>0</v>
      </c>
      <c r="P16" s="118">
        <v>1122</v>
      </c>
      <c r="Q16" s="118">
        <v>1348.7877622000001</v>
      </c>
      <c r="R16" s="118">
        <v>1123.2933974000007</v>
      </c>
      <c r="S16" s="118">
        <v>1107</v>
      </c>
      <c r="T16" s="118">
        <v>4514</v>
      </c>
      <c r="U16" s="118">
        <v>5191</v>
      </c>
      <c r="V16" s="118">
        <v>4643</v>
      </c>
      <c r="W16" s="118">
        <v>3518</v>
      </c>
      <c r="X16" s="118">
        <v>1726</v>
      </c>
      <c r="Y16" s="118">
        <v>1507</v>
      </c>
      <c r="Z16" s="118">
        <v>2002</v>
      </c>
      <c r="AA16" s="118">
        <v>1790</v>
      </c>
      <c r="AB16" s="118">
        <v>956</v>
      </c>
      <c r="AC16" s="118">
        <v>1114</v>
      </c>
      <c r="AD16" s="118">
        <v>1696</v>
      </c>
      <c r="AE16" s="118">
        <v>1532</v>
      </c>
      <c r="AF16" s="118">
        <v>1236</v>
      </c>
      <c r="AG16" s="118">
        <v>1140</v>
      </c>
      <c r="AH16" s="118">
        <v>1140</v>
      </c>
      <c r="AI16" s="118">
        <v>1136</v>
      </c>
      <c r="AJ16" s="118">
        <v>2869</v>
      </c>
      <c r="AK16" s="118">
        <v>3787</v>
      </c>
      <c r="AL16" s="118">
        <v>4278</v>
      </c>
      <c r="AM16" s="118">
        <v>8343</v>
      </c>
      <c r="AN16" s="118">
        <v>4142</v>
      </c>
      <c r="AO16" s="118">
        <v>3897</v>
      </c>
      <c r="AP16" s="118">
        <v>4334</v>
      </c>
      <c r="AQ16" s="118">
        <v>3421</v>
      </c>
      <c r="AR16" s="118">
        <v>2695</v>
      </c>
      <c r="AS16" s="118">
        <v>4411</v>
      </c>
      <c r="AT16" s="118">
        <v>-2437</v>
      </c>
      <c r="AU16" s="118">
        <v>3444</v>
      </c>
      <c r="AV16" s="118">
        <v>4383</v>
      </c>
      <c r="AW16" s="118">
        <v>5439</v>
      </c>
      <c r="AX16" s="118">
        <v>6100</v>
      </c>
      <c r="AY16" s="118">
        <v>4178</v>
      </c>
      <c r="AZ16" s="118">
        <v>6450</v>
      </c>
    </row>
    <row r="17" spans="2:52" x14ac:dyDescent="0.2">
      <c r="B17" s="129" t="s">
        <v>1065</v>
      </c>
      <c r="C17" s="118">
        <v>0</v>
      </c>
      <c r="D17" s="118">
        <v>0</v>
      </c>
      <c r="E17" s="160">
        <v>0</v>
      </c>
      <c r="F17" s="118">
        <v>0</v>
      </c>
      <c r="G17" s="118">
        <v>0</v>
      </c>
      <c r="H17" s="118">
        <v>0</v>
      </c>
      <c r="I17" s="118">
        <v>0</v>
      </c>
      <c r="J17" s="118">
        <v>0</v>
      </c>
      <c r="K17" s="118">
        <v>0</v>
      </c>
      <c r="L17" s="118">
        <v>0</v>
      </c>
      <c r="M17" s="118">
        <v>0</v>
      </c>
      <c r="N17" s="118">
        <v>0</v>
      </c>
      <c r="O17" s="118">
        <v>0</v>
      </c>
      <c r="P17" s="118">
        <v>0</v>
      </c>
      <c r="Q17" s="118">
        <v>0</v>
      </c>
      <c r="R17" s="118">
        <v>0</v>
      </c>
      <c r="S17" s="118">
        <v>0</v>
      </c>
      <c r="T17" s="118">
        <v>0</v>
      </c>
      <c r="U17" s="118">
        <v>0</v>
      </c>
      <c r="V17" s="118">
        <v>0</v>
      </c>
      <c r="W17" s="118">
        <v>0</v>
      </c>
      <c r="X17" s="118">
        <v>0</v>
      </c>
      <c r="Y17" s="118">
        <v>0</v>
      </c>
      <c r="Z17" s="118">
        <v>0</v>
      </c>
      <c r="AA17" s="118">
        <v>0</v>
      </c>
      <c r="AB17" s="118">
        <v>0</v>
      </c>
      <c r="AC17" s="118">
        <v>0</v>
      </c>
      <c r="AD17" s="118">
        <v>0</v>
      </c>
      <c r="AE17" s="118">
        <v>833</v>
      </c>
      <c r="AF17" s="118">
        <v>833</v>
      </c>
      <c r="AG17" s="118">
        <v>833</v>
      </c>
      <c r="AH17" s="118">
        <v>833</v>
      </c>
      <c r="AI17" s="118">
        <v>990</v>
      </c>
      <c r="AJ17" s="118">
        <v>990</v>
      </c>
      <c r="AK17" s="118">
        <v>990</v>
      </c>
      <c r="AL17" s="118">
        <v>990</v>
      </c>
      <c r="AM17" s="118">
        <v>262</v>
      </c>
      <c r="AN17" s="118">
        <v>2726</v>
      </c>
      <c r="AO17" s="118">
        <v>2726</v>
      </c>
      <c r="AP17" s="118">
        <v>2726</v>
      </c>
      <c r="AQ17" s="118">
        <v>2475</v>
      </c>
      <c r="AR17" s="118">
        <v>2475</v>
      </c>
      <c r="AS17" s="118">
        <v>2475</v>
      </c>
      <c r="AT17" s="118">
        <v>2475</v>
      </c>
      <c r="AU17" s="118">
        <v>1856</v>
      </c>
      <c r="AV17" s="118">
        <v>1856</v>
      </c>
      <c r="AW17" s="118">
        <v>631.04000000000008</v>
      </c>
      <c r="AX17" s="118">
        <v>631</v>
      </c>
      <c r="AY17" s="118">
        <v>649</v>
      </c>
      <c r="AZ17" s="118">
        <v>649</v>
      </c>
    </row>
    <row r="18" spans="2:52" x14ac:dyDescent="0.2">
      <c r="B18" s="129" t="s">
        <v>291</v>
      </c>
      <c r="C18" s="118">
        <v>10850</v>
      </c>
      <c r="D18" s="118">
        <v>12473</v>
      </c>
      <c r="E18" s="160">
        <v>5981</v>
      </c>
      <c r="F18" s="118">
        <v>7516</v>
      </c>
      <c r="G18" s="118">
        <v>6603</v>
      </c>
      <c r="H18" s="118">
        <v>4827</v>
      </c>
      <c r="I18" s="118">
        <v>6401</v>
      </c>
      <c r="J18" s="118">
        <v>4339</v>
      </c>
      <c r="K18" s="118">
        <v>7400</v>
      </c>
      <c r="L18" s="118">
        <v>7206</v>
      </c>
      <c r="M18" s="118">
        <v>5014</v>
      </c>
      <c r="N18" s="118">
        <v>4630</v>
      </c>
      <c r="O18" s="118">
        <v>5622</v>
      </c>
      <c r="P18" s="118">
        <v>4495</v>
      </c>
      <c r="Q18" s="118">
        <v>3551.2823502000006</v>
      </c>
      <c r="R18" s="118">
        <v>5719.0271699999994</v>
      </c>
      <c r="S18" s="118">
        <v>12214</v>
      </c>
      <c r="T18" s="118">
        <v>10046</v>
      </c>
      <c r="U18" s="118">
        <v>5627</v>
      </c>
      <c r="V18" s="118">
        <v>6236</v>
      </c>
      <c r="W18" s="118">
        <v>7910</v>
      </c>
      <c r="X18" s="118">
        <v>8082</v>
      </c>
      <c r="Y18" s="118">
        <v>7130</v>
      </c>
      <c r="Z18" s="118">
        <v>10089</v>
      </c>
      <c r="AA18" s="118">
        <v>8980</v>
      </c>
      <c r="AB18" s="118">
        <v>7650</v>
      </c>
      <c r="AC18" s="118">
        <v>8137</v>
      </c>
      <c r="AD18" s="118">
        <v>8129</v>
      </c>
      <c r="AE18" s="118">
        <v>8932</v>
      </c>
      <c r="AF18" s="118">
        <v>8383</v>
      </c>
      <c r="AG18" s="118">
        <v>8615</v>
      </c>
      <c r="AH18" s="118">
        <v>9100</v>
      </c>
      <c r="AI18" s="118">
        <v>7899</v>
      </c>
      <c r="AJ18" s="118">
        <v>8237</v>
      </c>
      <c r="AK18" s="118">
        <v>8270</v>
      </c>
      <c r="AL18" s="118">
        <v>7685</v>
      </c>
      <c r="AM18" s="118">
        <v>3519</v>
      </c>
      <c r="AN18" s="118">
        <v>7417</v>
      </c>
      <c r="AO18" s="118">
        <v>7827</v>
      </c>
      <c r="AP18" s="118">
        <v>7654</v>
      </c>
      <c r="AQ18" s="118">
        <v>7765</v>
      </c>
      <c r="AR18" s="118">
        <v>7843</v>
      </c>
      <c r="AS18" s="118">
        <v>7940</v>
      </c>
      <c r="AT18" s="118">
        <v>19091</v>
      </c>
      <c r="AU18" s="118">
        <v>10731</v>
      </c>
      <c r="AV18" s="118">
        <v>3789</v>
      </c>
      <c r="AW18" s="118">
        <v>5472.9599999999991</v>
      </c>
      <c r="AX18" s="118">
        <v>5215</v>
      </c>
      <c r="AY18" s="118">
        <v>4451</v>
      </c>
      <c r="AZ18" s="118">
        <v>6088</v>
      </c>
    </row>
    <row r="19" spans="2:52" s="311" customFormat="1" hidden="1" outlineLevel="1" x14ac:dyDescent="0.2">
      <c r="B19" s="318" t="s">
        <v>290</v>
      </c>
      <c r="C19" s="312">
        <v>2874</v>
      </c>
      <c r="D19" s="312">
        <v>1242</v>
      </c>
      <c r="E19" s="319">
        <v>1098</v>
      </c>
      <c r="F19" s="312">
        <v>1516</v>
      </c>
      <c r="G19" s="312">
        <v>144</v>
      </c>
      <c r="H19" s="312">
        <v>153</v>
      </c>
      <c r="I19" s="312">
        <v>0</v>
      </c>
      <c r="J19" s="312">
        <v>0</v>
      </c>
      <c r="K19" s="312">
        <v>0</v>
      </c>
      <c r="L19" s="312">
        <v>0</v>
      </c>
      <c r="M19" s="312">
        <v>0</v>
      </c>
      <c r="N19" s="312">
        <v>0</v>
      </c>
      <c r="O19" s="312">
        <v>0</v>
      </c>
      <c r="P19" s="312">
        <v>0</v>
      </c>
      <c r="Q19" s="312">
        <v>0</v>
      </c>
      <c r="R19" s="312">
        <v>0</v>
      </c>
      <c r="S19" s="312">
        <v>0</v>
      </c>
      <c r="T19" s="312">
        <v>0</v>
      </c>
      <c r="U19" s="312">
        <v>0</v>
      </c>
      <c r="V19" s="312">
        <v>0</v>
      </c>
      <c r="W19" s="312">
        <v>0</v>
      </c>
      <c r="X19" s="312">
        <v>0</v>
      </c>
      <c r="Y19" s="312"/>
      <c r="Z19" s="312">
        <v>0</v>
      </c>
      <c r="AA19" s="312">
        <v>0</v>
      </c>
      <c r="AB19" s="312">
        <v>0</v>
      </c>
      <c r="AC19" s="312">
        <v>0</v>
      </c>
      <c r="AD19" s="312">
        <v>0</v>
      </c>
      <c r="AE19" s="312">
        <v>0</v>
      </c>
      <c r="AF19" s="312">
        <v>0</v>
      </c>
      <c r="AG19" s="312">
        <v>0</v>
      </c>
      <c r="AH19" s="312">
        <v>0</v>
      </c>
      <c r="AI19" s="312"/>
      <c r="AJ19" s="312">
        <v>0</v>
      </c>
      <c r="AK19" s="312">
        <v>0</v>
      </c>
      <c r="AL19" s="312">
        <v>0</v>
      </c>
      <c r="AM19" s="312">
        <v>0</v>
      </c>
      <c r="AN19" s="312">
        <v>0</v>
      </c>
      <c r="AO19" s="312">
        <v>0</v>
      </c>
      <c r="AP19" s="312">
        <v>0</v>
      </c>
      <c r="AQ19" s="312">
        <v>0</v>
      </c>
      <c r="AR19" s="312">
        <v>0</v>
      </c>
      <c r="AS19" s="312"/>
      <c r="AT19" s="312"/>
      <c r="AU19" s="312">
        <v>0</v>
      </c>
      <c r="AV19" s="312"/>
      <c r="AW19" s="312">
        <v>0</v>
      </c>
      <c r="AX19" s="312">
        <v>0</v>
      </c>
      <c r="AY19" s="312">
        <v>0</v>
      </c>
      <c r="AZ19" s="312">
        <v>0</v>
      </c>
    </row>
    <row r="20" spans="2:52" s="311" customFormat="1" hidden="1" outlineLevel="1" x14ac:dyDescent="0.2">
      <c r="B20" s="318" t="s">
        <v>768</v>
      </c>
      <c r="C20" s="312">
        <v>0</v>
      </c>
      <c r="D20" s="312">
        <v>0</v>
      </c>
      <c r="E20" s="319">
        <v>0</v>
      </c>
      <c r="F20" s="312">
        <v>0</v>
      </c>
      <c r="G20" s="312">
        <v>0</v>
      </c>
      <c r="H20" s="312">
        <v>0</v>
      </c>
      <c r="I20" s="312">
        <v>0</v>
      </c>
      <c r="J20" s="312">
        <v>0</v>
      </c>
      <c r="K20" s="312">
        <v>0</v>
      </c>
      <c r="L20" s="312">
        <v>0</v>
      </c>
      <c r="M20" s="312">
        <v>0</v>
      </c>
      <c r="N20" s="312">
        <v>0</v>
      </c>
      <c r="O20" s="312">
        <v>0</v>
      </c>
      <c r="P20" s="312">
        <v>0</v>
      </c>
      <c r="Q20" s="312">
        <v>0</v>
      </c>
      <c r="R20" s="312">
        <v>0</v>
      </c>
      <c r="S20" s="312">
        <v>0</v>
      </c>
      <c r="T20" s="312">
        <v>0</v>
      </c>
      <c r="U20" s="312">
        <v>3898</v>
      </c>
      <c r="V20" s="312">
        <v>3898</v>
      </c>
      <c r="W20" s="312">
        <v>4546</v>
      </c>
      <c r="X20" s="312">
        <v>4546</v>
      </c>
      <c r="Y20" s="312">
        <v>4546</v>
      </c>
      <c r="Z20" s="312">
        <v>4546</v>
      </c>
      <c r="AA20" s="312">
        <v>0</v>
      </c>
      <c r="AB20" s="312">
        <v>0</v>
      </c>
      <c r="AC20" s="312">
        <v>0</v>
      </c>
      <c r="AD20" s="312">
        <v>0</v>
      </c>
      <c r="AE20" s="312">
        <v>0</v>
      </c>
      <c r="AF20" s="312">
        <v>0</v>
      </c>
      <c r="AG20" s="312">
        <v>0</v>
      </c>
      <c r="AH20" s="312">
        <v>0</v>
      </c>
      <c r="AI20" s="312">
        <v>0</v>
      </c>
      <c r="AJ20" s="312">
        <v>0</v>
      </c>
      <c r="AK20" s="312">
        <v>0</v>
      </c>
      <c r="AL20" s="312">
        <v>0</v>
      </c>
      <c r="AM20" s="312">
        <v>0</v>
      </c>
      <c r="AN20" s="312">
        <v>0</v>
      </c>
      <c r="AO20" s="312">
        <v>0</v>
      </c>
      <c r="AP20" s="312">
        <v>0</v>
      </c>
      <c r="AQ20" s="312">
        <v>0</v>
      </c>
      <c r="AR20" s="312">
        <v>0</v>
      </c>
      <c r="AS20" s="312">
        <v>0</v>
      </c>
      <c r="AT20" s="312">
        <v>0</v>
      </c>
      <c r="AU20" s="312">
        <v>0</v>
      </c>
      <c r="AV20" s="312"/>
      <c r="AW20" s="312">
        <v>0</v>
      </c>
      <c r="AX20" s="312">
        <v>0</v>
      </c>
      <c r="AY20" s="312">
        <v>0</v>
      </c>
      <c r="AZ20" s="312">
        <v>0</v>
      </c>
    </row>
    <row r="21" spans="2:52" s="311" customFormat="1" hidden="1" outlineLevel="1" x14ac:dyDescent="0.2">
      <c r="B21" s="318" t="s">
        <v>285</v>
      </c>
      <c r="C21" s="312">
        <v>0</v>
      </c>
      <c r="D21" s="312">
        <v>0</v>
      </c>
      <c r="E21" s="319">
        <v>-10946</v>
      </c>
      <c r="F21" s="312">
        <v>4068</v>
      </c>
      <c r="G21" s="312">
        <v>0</v>
      </c>
      <c r="H21" s="312">
        <v>0</v>
      </c>
      <c r="I21" s="312">
        <v>0</v>
      </c>
      <c r="J21" s="312">
        <v>0</v>
      </c>
      <c r="K21" s="312">
        <v>0</v>
      </c>
      <c r="L21" s="312">
        <v>0</v>
      </c>
      <c r="M21" s="312">
        <v>0</v>
      </c>
      <c r="N21" s="312">
        <v>0</v>
      </c>
      <c r="O21" s="312">
        <v>0</v>
      </c>
      <c r="P21" s="312">
        <v>0</v>
      </c>
      <c r="Q21" s="312">
        <v>0</v>
      </c>
      <c r="R21" s="312">
        <v>0</v>
      </c>
      <c r="S21" s="312">
        <v>0</v>
      </c>
      <c r="T21" s="312">
        <v>0</v>
      </c>
      <c r="U21" s="312">
        <v>0</v>
      </c>
      <c r="V21" s="312">
        <v>0</v>
      </c>
      <c r="W21" s="312">
        <v>0</v>
      </c>
      <c r="X21" s="312">
        <v>0</v>
      </c>
      <c r="Y21" s="312"/>
      <c r="Z21" s="312">
        <v>0</v>
      </c>
      <c r="AA21" s="312">
        <v>0</v>
      </c>
      <c r="AB21" s="312">
        <v>0</v>
      </c>
      <c r="AC21" s="312">
        <v>0</v>
      </c>
      <c r="AD21" s="312">
        <v>0</v>
      </c>
      <c r="AE21" s="312">
        <v>0</v>
      </c>
      <c r="AF21" s="312">
        <v>0</v>
      </c>
      <c r="AG21" s="312">
        <v>0</v>
      </c>
      <c r="AH21" s="312">
        <v>0</v>
      </c>
      <c r="AI21" s="312"/>
      <c r="AJ21" s="312">
        <v>0</v>
      </c>
      <c r="AK21" s="312">
        <v>0</v>
      </c>
      <c r="AL21" s="312">
        <v>0</v>
      </c>
      <c r="AM21" s="312">
        <v>0</v>
      </c>
      <c r="AN21" s="312">
        <v>0</v>
      </c>
      <c r="AO21" s="312">
        <v>0</v>
      </c>
      <c r="AP21" s="312">
        <v>0</v>
      </c>
      <c r="AQ21" s="312">
        <v>0</v>
      </c>
      <c r="AR21" s="312">
        <v>0</v>
      </c>
      <c r="AS21" s="312"/>
      <c r="AT21" s="312"/>
      <c r="AU21" s="312">
        <v>0</v>
      </c>
      <c r="AV21" s="312"/>
      <c r="AW21" s="312">
        <v>0</v>
      </c>
      <c r="AX21" s="312">
        <v>0</v>
      </c>
      <c r="AY21" s="312">
        <v>0</v>
      </c>
      <c r="AZ21" s="312">
        <v>0</v>
      </c>
    </row>
    <row r="22" spans="2:52" s="311" customFormat="1" hidden="1" outlineLevel="1" x14ac:dyDescent="0.2">
      <c r="B22" s="318" t="s">
        <v>286</v>
      </c>
      <c r="C22" s="312">
        <v>0</v>
      </c>
      <c r="D22" s="312">
        <v>0</v>
      </c>
      <c r="E22" s="319">
        <v>0</v>
      </c>
      <c r="F22" s="312">
        <v>0</v>
      </c>
      <c r="G22" s="312">
        <v>0</v>
      </c>
      <c r="H22" s="312">
        <v>0</v>
      </c>
      <c r="I22" s="312">
        <v>0</v>
      </c>
      <c r="J22" s="312">
        <v>0</v>
      </c>
      <c r="K22" s="312">
        <v>0</v>
      </c>
      <c r="L22" s="312">
        <v>0</v>
      </c>
      <c r="M22" s="312">
        <v>0</v>
      </c>
      <c r="N22" s="312">
        <v>0</v>
      </c>
      <c r="O22" s="312">
        <v>0</v>
      </c>
      <c r="P22" s="312">
        <v>0</v>
      </c>
      <c r="Q22" s="312">
        <v>0</v>
      </c>
      <c r="R22" s="312">
        <v>0</v>
      </c>
      <c r="S22" s="312">
        <v>0</v>
      </c>
      <c r="T22" s="312">
        <v>0</v>
      </c>
      <c r="U22" s="312">
        <v>0</v>
      </c>
      <c r="V22" s="312">
        <v>0</v>
      </c>
      <c r="W22" s="312">
        <v>0</v>
      </c>
      <c r="X22" s="312">
        <v>0</v>
      </c>
      <c r="Y22" s="312">
        <v>0</v>
      </c>
      <c r="Z22" s="312">
        <v>0</v>
      </c>
      <c r="AA22" s="312">
        <v>0</v>
      </c>
      <c r="AB22" s="312">
        <v>0</v>
      </c>
      <c r="AC22" s="312">
        <v>0</v>
      </c>
      <c r="AD22" s="312">
        <v>0</v>
      </c>
      <c r="AE22" s="312">
        <v>0</v>
      </c>
      <c r="AF22" s="312">
        <v>0</v>
      </c>
      <c r="AG22" s="312">
        <v>0</v>
      </c>
      <c r="AH22" s="312">
        <v>0</v>
      </c>
      <c r="AI22" s="312">
        <v>0</v>
      </c>
      <c r="AJ22" s="312">
        <v>0</v>
      </c>
      <c r="AK22" s="312">
        <v>0</v>
      </c>
      <c r="AL22" s="312">
        <v>0</v>
      </c>
      <c r="AM22" s="312">
        <v>0</v>
      </c>
      <c r="AN22" s="312">
        <v>0</v>
      </c>
      <c r="AO22" s="312">
        <v>0</v>
      </c>
      <c r="AP22" s="312">
        <v>0</v>
      </c>
      <c r="AQ22" s="312">
        <v>0</v>
      </c>
      <c r="AR22" s="312">
        <v>0</v>
      </c>
      <c r="AS22" s="312"/>
      <c r="AT22" s="312"/>
      <c r="AU22" s="312">
        <v>0</v>
      </c>
      <c r="AV22" s="312"/>
      <c r="AW22" s="312">
        <v>0</v>
      </c>
      <c r="AX22" s="312">
        <v>0</v>
      </c>
      <c r="AY22" s="312">
        <v>0</v>
      </c>
      <c r="AZ22" s="312">
        <v>0</v>
      </c>
    </row>
    <row r="23" spans="2:52" s="311" customFormat="1" hidden="1" outlineLevel="1" x14ac:dyDescent="0.2">
      <c r="B23" s="318" t="s">
        <v>506</v>
      </c>
      <c r="C23" s="312">
        <v>14612</v>
      </c>
      <c r="D23" s="312">
        <v>13406</v>
      </c>
      <c r="E23" s="319">
        <v>24478</v>
      </c>
      <c r="F23" s="312">
        <v>13077</v>
      </c>
      <c r="G23" s="312">
        <v>11185</v>
      </c>
      <c r="H23" s="312">
        <v>9293</v>
      </c>
      <c r="I23" s="312">
        <v>7401</v>
      </c>
      <c r="J23" s="312">
        <v>5509</v>
      </c>
      <c r="K23" s="312">
        <v>0</v>
      </c>
      <c r="L23" s="312">
        <v>0</v>
      </c>
      <c r="M23" s="312">
        <v>0</v>
      </c>
      <c r="N23" s="312">
        <v>0</v>
      </c>
      <c r="O23" s="312">
        <v>0</v>
      </c>
      <c r="P23" s="312">
        <v>0</v>
      </c>
      <c r="Q23" s="312">
        <v>0</v>
      </c>
      <c r="R23" s="312">
        <v>0</v>
      </c>
      <c r="S23" s="312">
        <v>0</v>
      </c>
      <c r="T23" s="312">
        <v>0</v>
      </c>
      <c r="U23" s="312">
        <v>0</v>
      </c>
      <c r="V23" s="312">
        <v>0</v>
      </c>
      <c r="W23" s="312">
        <v>0</v>
      </c>
      <c r="X23" s="312">
        <v>0</v>
      </c>
      <c r="Y23" s="312">
        <v>0</v>
      </c>
      <c r="Z23" s="312">
        <v>0</v>
      </c>
      <c r="AA23" s="312">
        <v>0</v>
      </c>
      <c r="AB23" s="312">
        <v>0</v>
      </c>
      <c r="AC23" s="312">
        <v>0</v>
      </c>
      <c r="AD23" s="312">
        <v>0</v>
      </c>
      <c r="AE23" s="312">
        <v>0</v>
      </c>
      <c r="AF23" s="312">
        <v>0</v>
      </c>
      <c r="AG23" s="312">
        <v>0</v>
      </c>
      <c r="AH23" s="312">
        <v>0</v>
      </c>
      <c r="AI23" s="312">
        <v>0</v>
      </c>
      <c r="AJ23" s="312">
        <v>0</v>
      </c>
      <c r="AK23" s="312">
        <v>0</v>
      </c>
      <c r="AL23" s="312">
        <v>0</v>
      </c>
      <c r="AM23" s="312">
        <v>0</v>
      </c>
      <c r="AN23" s="312">
        <v>0</v>
      </c>
      <c r="AO23" s="312">
        <v>0</v>
      </c>
      <c r="AP23" s="312">
        <v>0</v>
      </c>
      <c r="AQ23" s="312">
        <v>0</v>
      </c>
      <c r="AR23" s="312">
        <v>0</v>
      </c>
      <c r="AS23" s="312"/>
      <c r="AT23" s="312"/>
      <c r="AU23" s="312">
        <v>0</v>
      </c>
      <c r="AV23" s="312"/>
      <c r="AW23" s="312">
        <v>0</v>
      </c>
      <c r="AX23" s="312">
        <v>0</v>
      </c>
      <c r="AY23" s="312">
        <v>0</v>
      </c>
      <c r="AZ23" s="312">
        <v>0</v>
      </c>
    </row>
    <row r="24" spans="2:52" collapsed="1" x14ac:dyDescent="0.2">
      <c r="B24" s="126" t="s">
        <v>292</v>
      </c>
      <c r="C24" s="120">
        <f t="shared" ref="C24:J24" si="0">SUM(C6:C23)</f>
        <v>95517</v>
      </c>
      <c r="D24" s="120">
        <f t="shared" si="0"/>
        <v>98274</v>
      </c>
      <c r="E24" s="162">
        <f t="shared" si="0"/>
        <v>51278</v>
      </c>
      <c r="F24" s="120">
        <f t="shared" si="0"/>
        <v>56362</v>
      </c>
      <c r="G24" s="120">
        <f t="shared" si="0"/>
        <v>45006</v>
      </c>
      <c r="H24" s="120">
        <f t="shared" si="0"/>
        <v>44210</v>
      </c>
      <c r="I24" s="120">
        <f t="shared" si="0"/>
        <v>42123</v>
      </c>
      <c r="J24" s="120">
        <f t="shared" si="0"/>
        <v>40316</v>
      </c>
      <c r="K24" s="120">
        <f>SUM(K6:K18)</f>
        <v>41334</v>
      </c>
      <c r="L24" s="120">
        <f>SUM(L6:L18)</f>
        <v>42242</v>
      </c>
      <c r="M24" s="120">
        <f>SUM(M6:M18)</f>
        <v>40549</v>
      </c>
      <c r="N24" s="120">
        <f t="shared" ref="N24:AU24" si="1">SUM(N6:N23)</f>
        <v>38795</v>
      </c>
      <c r="O24" s="120">
        <f t="shared" si="1"/>
        <v>39459</v>
      </c>
      <c r="P24" s="120">
        <f t="shared" si="1"/>
        <v>40255</v>
      </c>
      <c r="Q24" s="120">
        <f t="shared" si="1"/>
        <v>45970.528785850343</v>
      </c>
      <c r="R24" s="120">
        <f t="shared" si="1"/>
        <v>49265.50898869033</v>
      </c>
      <c r="S24" s="120">
        <f t="shared" si="1"/>
        <v>68890</v>
      </c>
      <c r="T24" s="120">
        <f t="shared" si="1"/>
        <v>47487</v>
      </c>
      <c r="U24" s="120">
        <f t="shared" si="1"/>
        <v>45720</v>
      </c>
      <c r="V24" s="120">
        <f t="shared" si="1"/>
        <v>45581</v>
      </c>
      <c r="W24" s="120">
        <f t="shared" si="1"/>
        <v>50669</v>
      </c>
      <c r="X24" s="120">
        <f t="shared" si="1"/>
        <v>46673</v>
      </c>
      <c r="Y24" s="120">
        <f t="shared" si="1"/>
        <v>46205</v>
      </c>
      <c r="Z24" s="120">
        <f t="shared" si="1"/>
        <v>47837</v>
      </c>
      <c r="AA24" s="120">
        <f t="shared" si="1"/>
        <v>42020</v>
      </c>
      <c r="AB24" s="120">
        <f t="shared" si="1"/>
        <v>36800</v>
      </c>
      <c r="AC24" s="120">
        <f t="shared" si="1"/>
        <v>44796</v>
      </c>
      <c r="AD24" s="120">
        <f t="shared" si="1"/>
        <v>42057</v>
      </c>
      <c r="AE24" s="120">
        <f t="shared" si="1"/>
        <v>42533</v>
      </c>
      <c r="AF24" s="120">
        <f t="shared" si="1"/>
        <v>38102</v>
      </c>
      <c r="AG24" s="120">
        <f t="shared" si="1"/>
        <v>37792</v>
      </c>
      <c r="AH24" s="120">
        <f t="shared" si="1"/>
        <v>36068</v>
      </c>
      <c r="AI24" s="120">
        <f t="shared" si="1"/>
        <v>35374</v>
      </c>
      <c r="AJ24" s="120">
        <f t="shared" si="1"/>
        <v>33753</v>
      </c>
      <c r="AK24" s="120">
        <f t="shared" si="1"/>
        <v>33784</v>
      </c>
      <c r="AL24" s="120">
        <f t="shared" si="1"/>
        <v>36598</v>
      </c>
      <c r="AM24" s="120">
        <f t="shared" si="1"/>
        <v>32983</v>
      </c>
      <c r="AN24" s="120">
        <f t="shared" si="1"/>
        <v>34632</v>
      </c>
      <c r="AO24" s="120">
        <f t="shared" si="1"/>
        <v>33918</v>
      </c>
      <c r="AP24" s="120">
        <f t="shared" si="1"/>
        <v>33818</v>
      </c>
      <c r="AQ24" s="120">
        <f t="shared" si="1"/>
        <v>33717</v>
      </c>
      <c r="AR24" s="120">
        <f t="shared" si="1"/>
        <v>30771</v>
      </c>
      <c r="AS24" s="120">
        <f t="shared" si="1"/>
        <v>34941</v>
      </c>
      <c r="AT24" s="120">
        <f t="shared" si="1"/>
        <v>37000</v>
      </c>
      <c r="AU24" s="120">
        <f t="shared" si="1"/>
        <v>37568</v>
      </c>
      <c r="AV24" s="120">
        <f>SUM(AV6:AV23)</f>
        <v>34436</v>
      </c>
      <c r="AW24" s="120">
        <f>SUM(AW6:AW23)</f>
        <v>36970</v>
      </c>
      <c r="AX24" s="120">
        <f>SUM(AX6:AX23)</f>
        <v>39675</v>
      </c>
      <c r="AY24" s="120">
        <f>SUM(AY6:AY23)</f>
        <v>34116</v>
      </c>
      <c r="AZ24" s="120">
        <f>SUM(AZ6:AZ23)</f>
        <v>35820</v>
      </c>
    </row>
    <row r="25" spans="2:52" x14ac:dyDescent="0.2">
      <c r="B25" s="129" t="s">
        <v>507</v>
      </c>
      <c r="C25" s="118">
        <v>-35578</v>
      </c>
      <c r="D25" s="118">
        <v>-37562</v>
      </c>
      <c r="E25" s="160">
        <v>-26858</v>
      </c>
      <c r="F25" s="118">
        <v>-27589</v>
      </c>
      <c r="G25" s="118">
        <v>-28320</v>
      </c>
      <c r="H25" s="118">
        <v>-29050</v>
      </c>
      <c r="I25" s="118">
        <v>-29781</v>
      </c>
      <c r="J25" s="118">
        <v>-30512</v>
      </c>
      <c r="K25" s="118">
        <v>-20459</v>
      </c>
      <c r="L25" s="118">
        <v>-20459</v>
      </c>
      <c r="M25" s="118">
        <v>-20459</v>
      </c>
      <c r="N25" s="118">
        <v>-20459</v>
      </c>
      <c r="O25" s="118">
        <v>-20459</v>
      </c>
      <c r="P25" s="118">
        <v>-20459</v>
      </c>
      <c r="Q25" s="118">
        <v>-20459</v>
      </c>
      <c r="R25" s="118">
        <v>-20459.16150242856</v>
      </c>
      <c r="S25" s="118">
        <v>-20459</v>
      </c>
      <c r="T25" s="118">
        <v>-20459</v>
      </c>
      <c r="U25" s="118">
        <v>-20459</v>
      </c>
      <c r="V25" s="118">
        <v>-20459</v>
      </c>
      <c r="W25" s="118">
        <v>-20459</v>
      </c>
      <c r="X25" s="118">
        <v>-20459</v>
      </c>
      <c r="Y25" s="118">
        <v>-20459</v>
      </c>
      <c r="Z25" s="118">
        <v>-20459</v>
      </c>
      <c r="AA25" s="118">
        <v>-20459</v>
      </c>
      <c r="AB25" s="118">
        <v>-20459</v>
      </c>
      <c r="AC25" s="118">
        <v>-20459</v>
      </c>
      <c r="AD25" s="118">
        <v>-20459</v>
      </c>
      <c r="AE25" s="118">
        <v>-20459</v>
      </c>
      <c r="AF25" s="118">
        <v>-20459</v>
      </c>
      <c r="AG25" s="118">
        <v>-20459</v>
      </c>
      <c r="AH25" s="118">
        <v>-20459</v>
      </c>
      <c r="AI25" s="118">
        <v>-20459</v>
      </c>
      <c r="AJ25" s="118">
        <v>-20459</v>
      </c>
      <c r="AK25" s="118">
        <v>-20459</v>
      </c>
      <c r="AL25" s="118">
        <v>-20459</v>
      </c>
      <c r="AM25" s="118">
        <v>-20459</v>
      </c>
      <c r="AN25" s="118">
        <v>-20459</v>
      </c>
      <c r="AO25" s="118">
        <v>-20459</v>
      </c>
      <c r="AP25" s="118">
        <v>-20459</v>
      </c>
      <c r="AQ25" s="118">
        <v>-20459</v>
      </c>
      <c r="AR25" s="118">
        <v>-20459</v>
      </c>
      <c r="AS25" s="118">
        <v>-20459</v>
      </c>
      <c r="AT25" s="118">
        <v>-20459</v>
      </c>
      <c r="AU25" s="118">
        <v>-20459</v>
      </c>
      <c r="AV25" s="118">
        <v>-20459</v>
      </c>
      <c r="AW25" s="118">
        <v>-20459</v>
      </c>
      <c r="AX25" s="118">
        <v>-20459</v>
      </c>
      <c r="AY25" s="118">
        <v>-20459</v>
      </c>
      <c r="AZ25" s="118">
        <v>-20459</v>
      </c>
    </row>
    <row r="26" spans="2:52" x14ac:dyDescent="0.2">
      <c r="B26" s="129" t="s">
        <v>508</v>
      </c>
      <c r="C26" s="118">
        <v>-16016</v>
      </c>
      <c r="D26" s="118">
        <v>-18080</v>
      </c>
      <c r="E26" s="160">
        <v>-10316</v>
      </c>
      <c r="F26" s="118">
        <v>-18591</v>
      </c>
      <c r="G26" s="118">
        <v>-19649</v>
      </c>
      <c r="H26" s="118">
        <v>-19900</v>
      </c>
      <c r="I26" s="118">
        <v>-19867</v>
      </c>
      <c r="J26" s="118">
        <v>-19985</v>
      </c>
      <c r="K26" s="118">
        <v>-19639</v>
      </c>
      <c r="L26" s="118">
        <v>-19190</v>
      </c>
      <c r="M26" s="118">
        <v>-18120</v>
      </c>
      <c r="N26" s="118">
        <v>-17746</v>
      </c>
      <c r="O26" s="118">
        <v>-17541</v>
      </c>
      <c r="P26" s="118">
        <v>-17541</v>
      </c>
      <c r="Q26" s="118">
        <v>-17469.500855800005</v>
      </c>
      <c r="R26" s="118">
        <v>-17153.889378800006</v>
      </c>
      <c r="S26" s="118">
        <v>-16751</v>
      </c>
      <c r="T26" s="118">
        <v>-16366</v>
      </c>
      <c r="U26" s="118">
        <v>-16089</v>
      </c>
      <c r="V26" s="118">
        <v>-15775</v>
      </c>
      <c r="W26" s="118">
        <v>-14925</v>
      </c>
      <c r="X26" s="118">
        <v>-14561</v>
      </c>
      <c r="Y26" s="118">
        <v>-14418</v>
      </c>
      <c r="Z26" s="118">
        <v>-14303</v>
      </c>
      <c r="AA26" s="118">
        <v>-7410</v>
      </c>
      <c r="AB26" s="118">
        <v>-7315</v>
      </c>
      <c r="AC26" s="118">
        <v>-7308</v>
      </c>
      <c r="AD26" s="118">
        <v>-7305</v>
      </c>
      <c r="AE26" s="118">
        <v>-7399</v>
      </c>
      <c r="AF26" s="118">
        <v>-7502</v>
      </c>
      <c r="AG26" s="118">
        <v>-7568</v>
      </c>
      <c r="AH26" s="118">
        <v>-7719</v>
      </c>
      <c r="AI26" s="118">
        <v>-7960</v>
      </c>
      <c r="AJ26" s="118">
        <v>-8205</v>
      </c>
      <c r="AK26" s="118">
        <v>-8299</v>
      </c>
      <c r="AL26" s="118">
        <v>-8667</v>
      </c>
      <c r="AM26" s="118">
        <v>-8807</v>
      </c>
      <c r="AN26" s="118">
        <v>-9251</v>
      </c>
      <c r="AO26" s="118">
        <v>-9906</v>
      </c>
      <c r="AP26" s="118">
        <v>-10546</v>
      </c>
      <c r="AQ26" s="118">
        <v>-10947</v>
      </c>
      <c r="AR26" s="118">
        <v>-11273</v>
      </c>
      <c r="AS26" s="118">
        <v>-12146</v>
      </c>
      <c r="AT26" s="118">
        <v>-13008</v>
      </c>
      <c r="AU26" s="118">
        <v>-13873</v>
      </c>
      <c r="AV26" s="118">
        <v>-14843</v>
      </c>
      <c r="AW26" s="118">
        <v>-15606</v>
      </c>
      <c r="AX26" s="118">
        <v>-16456</v>
      </c>
      <c r="AY26" s="118">
        <v>-17381</v>
      </c>
      <c r="AZ26" s="118">
        <v>-18300</v>
      </c>
    </row>
    <row r="27" spans="2:52" x14ac:dyDescent="0.2">
      <c r="B27" s="129" t="s">
        <v>128</v>
      </c>
      <c r="C27" s="118">
        <v>-1749</v>
      </c>
      <c r="D27" s="118">
        <v>-72</v>
      </c>
      <c r="E27" s="160">
        <v>-8171</v>
      </c>
      <c r="F27" s="118">
        <v>-236</v>
      </c>
      <c r="G27" s="118">
        <v>-1749</v>
      </c>
      <c r="H27" s="118">
        <v>-1749</v>
      </c>
      <c r="I27" s="118">
        <v>-1749</v>
      </c>
      <c r="J27" s="118">
        <v>-1749</v>
      </c>
      <c r="K27" s="118">
        <v>-1749</v>
      </c>
      <c r="L27" s="118">
        <v>-1749</v>
      </c>
      <c r="M27" s="118">
        <v>-1749</v>
      </c>
      <c r="N27" s="118">
        <v>-1749</v>
      </c>
      <c r="O27" s="118">
        <v>-1749</v>
      </c>
      <c r="P27" s="118">
        <v>-1749</v>
      </c>
      <c r="Q27" s="118">
        <v>-1749</v>
      </c>
      <c r="R27" s="118">
        <v>-1749.4986586000002</v>
      </c>
      <c r="S27" s="118">
        <v>-1749</v>
      </c>
      <c r="T27" s="118">
        <v>-1749</v>
      </c>
      <c r="U27" s="118">
        <v>-1749</v>
      </c>
      <c r="V27" s="118">
        <v>-1749</v>
      </c>
      <c r="W27" s="118">
        <v>1749</v>
      </c>
      <c r="X27" s="118">
        <v>-1749</v>
      </c>
      <c r="Y27" s="118">
        <v>-1749</v>
      </c>
      <c r="Z27" s="118">
        <v>-1749</v>
      </c>
      <c r="AA27" s="118">
        <v>0</v>
      </c>
      <c r="AB27" s="118">
        <v>0</v>
      </c>
      <c r="AC27" s="118">
        <v>0</v>
      </c>
      <c r="AD27" s="118">
        <v>0</v>
      </c>
      <c r="AE27" s="118">
        <v>0</v>
      </c>
      <c r="AF27" s="118">
        <v>0</v>
      </c>
      <c r="AG27" s="118">
        <v>-3501</v>
      </c>
      <c r="AH27" s="118">
        <v>-2062</v>
      </c>
      <c r="AI27" s="118">
        <v>-3268</v>
      </c>
      <c r="AJ27" s="118">
        <v>-3326</v>
      </c>
      <c r="AK27" s="118">
        <v>-3249</v>
      </c>
      <c r="AL27" s="118">
        <v>-4744</v>
      </c>
      <c r="AM27" s="118">
        <v>-6938</v>
      </c>
      <c r="AN27" s="118">
        <v>-3531</v>
      </c>
      <c r="AO27" s="118">
        <v>-3553</v>
      </c>
      <c r="AP27" s="118">
        <v>-1491</v>
      </c>
      <c r="AQ27" s="118">
        <v>-1491</v>
      </c>
      <c r="AR27" s="118">
        <v>-1565</v>
      </c>
      <c r="AS27" s="118">
        <v>-1636</v>
      </c>
      <c r="AT27" s="118">
        <v>-1564</v>
      </c>
      <c r="AU27" s="118">
        <v>-1662</v>
      </c>
      <c r="AV27" s="118">
        <v>-1745</v>
      </c>
      <c r="AW27" s="118">
        <v>-1980</v>
      </c>
      <c r="AX27" s="118">
        <v>-3307</v>
      </c>
      <c r="AY27" s="118">
        <v>-3440</v>
      </c>
      <c r="AZ27" s="118">
        <v>-3501</v>
      </c>
    </row>
    <row r="28" spans="2:52" s="311" customFormat="1" hidden="1" outlineLevel="1" x14ac:dyDescent="0.2">
      <c r="B28" s="318" t="s">
        <v>293</v>
      </c>
      <c r="C28" s="312">
        <v>-14754</v>
      </c>
      <c r="D28" s="312">
        <v>-7104</v>
      </c>
      <c r="E28" s="319">
        <v>0</v>
      </c>
      <c r="F28" s="312">
        <v>-2842</v>
      </c>
      <c r="G28" s="312">
        <v>-5448</v>
      </c>
      <c r="H28" s="312">
        <v>-6519</v>
      </c>
      <c r="I28" s="312">
        <v>0</v>
      </c>
      <c r="J28" s="312">
        <v>0</v>
      </c>
      <c r="K28" s="312">
        <v>0</v>
      </c>
      <c r="L28" s="312">
        <v>0</v>
      </c>
      <c r="M28" s="312">
        <v>0</v>
      </c>
      <c r="N28" s="312">
        <v>0</v>
      </c>
      <c r="O28" s="312">
        <v>0</v>
      </c>
      <c r="P28" s="312">
        <v>0</v>
      </c>
      <c r="Q28" s="312">
        <v>0</v>
      </c>
      <c r="R28" s="312">
        <v>0</v>
      </c>
      <c r="S28" s="312">
        <v>0</v>
      </c>
      <c r="T28" s="312">
        <v>0</v>
      </c>
      <c r="U28" s="312">
        <v>0</v>
      </c>
      <c r="V28" s="312">
        <v>0</v>
      </c>
      <c r="W28" s="312">
        <v>0</v>
      </c>
      <c r="X28" s="312">
        <v>0</v>
      </c>
      <c r="Y28" s="312"/>
      <c r="Z28" s="312">
        <v>0</v>
      </c>
      <c r="AA28" s="312">
        <v>0</v>
      </c>
      <c r="AB28" s="312">
        <v>0</v>
      </c>
      <c r="AC28" s="312">
        <v>0</v>
      </c>
      <c r="AD28" s="312">
        <v>0</v>
      </c>
      <c r="AE28" s="312">
        <v>0</v>
      </c>
      <c r="AF28" s="312">
        <v>0</v>
      </c>
      <c r="AG28" s="312">
        <v>0</v>
      </c>
      <c r="AH28" s="312">
        <v>0</v>
      </c>
      <c r="AI28" s="312"/>
      <c r="AJ28" s="312">
        <v>0</v>
      </c>
      <c r="AK28" s="312">
        <v>0</v>
      </c>
      <c r="AL28" s="312">
        <v>0</v>
      </c>
      <c r="AM28" s="312">
        <v>0</v>
      </c>
      <c r="AN28" s="312">
        <v>0</v>
      </c>
      <c r="AO28" s="312">
        <v>0</v>
      </c>
      <c r="AP28" s="312">
        <v>0</v>
      </c>
      <c r="AQ28" s="312">
        <v>0</v>
      </c>
      <c r="AR28" s="312">
        <v>0</v>
      </c>
      <c r="AS28" s="312"/>
      <c r="AT28" s="312"/>
      <c r="AU28" s="312">
        <v>0</v>
      </c>
      <c r="AV28" s="312"/>
      <c r="AW28" s="312">
        <v>0</v>
      </c>
      <c r="AX28" s="312">
        <v>0</v>
      </c>
      <c r="AY28" s="312">
        <v>0</v>
      </c>
      <c r="AZ28" s="312">
        <v>0</v>
      </c>
    </row>
    <row r="29" spans="2:52" collapsed="1" x14ac:dyDescent="0.2">
      <c r="B29" s="126" t="s">
        <v>292</v>
      </c>
      <c r="C29" s="120">
        <f t="shared" ref="C29:H29" si="2">SUM(C25:C28)</f>
        <v>-68097</v>
      </c>
      <c r="D29" s="120">
        <f t="shared" si="2"/>
        <v>-62818</v>
      </c>
      <c r="E29" s="162">
        <f t="shared" si="2"/>
        <v>-45345</v>
      </c>
      <c r="F29" s="120">
        <f t="shared" si="2"/>
        <v>-49258</v>
      </c>
      <c r="G29" s="120">
        <f t="shared" si="2"/>
        <v>-55166</v>
      </c>
      <c r="H29" s="120">
        <f t="shared" si="2"/>
        <v>-57218</v>
      </c>
      <c r="I29" s="120">
        <f t="shared" ref="I29:Q29" si="3">SUM(I25:I27)</f>
        <v>-51397</v>
      </c>
      <c r="J29" s="120">
        <f t="shared" si="3"/>
        <v>-52246</v>
      </c>
      <c r="K29" s="120">
        <f t="shared" si="3"/>
        <v>-41847</v>
      </c>
      <c r="L29" s="120">
        <f t="shared" si="3"/>
        <v>-41398</v>
      </c>
      <c r="M29" s="120">
        <f t="shared" si="3"/>
        <v>-40328</v>
      </c>
      <c r="N29" s="120">
        <f t="shared" si="3"/>
        <v>-39954</v>
      </c>
      <c r="O29" s="120">
        <f t="shared" si="3"/>
        <v>-39749</v>
      </c>
      <c r="P29" s="120">
        <f t="shared" si="3"/>
        <v>-39749</v>
      </c>
      <c r="Q29" s="120">
        <f t="shared" si="3"/>
        <v>-39677.500855800005</v>
      </c>
      <c r="R29" s="120">
        <f t="shared" ref="R29:X29" si="4">SUM(R25:R27)</f>
        <v>-39362.549539828571</v>
      </c>
      <c r="S29" s="120">
        <f t="shared" si="4"/>
        <v>-38959</v>
      </c>
      <c r="T29" s="120">
        <f t="shared" si="4"/>
        <v>-38574</v>
      </c>
      <c r="U29" s="120">
        <f t="shared" si="4"/>
        <v>-38297</v>
      </c>
      <c r="V29" s="120">
        <f t="shared" si="4"/>
        <v>-37983</v>
      </c>
      <c r="W29" s="120">
        <f t="shared" si="4"/>
        <v>-33635</v>
      </c>
      <c r="X29" s="120">
        <f t="shared" si="4"/>
        <v>-36769</v>
      </c>
      <c r="Y29" s="120">
        <f t="shared" ref="Y29:AD29" si="5">SUM(Y25:Y27)</f>
        <v>-36626</v>
      </c>
      <c r="Z29" s="120">
        <f t="shared" si="5"/>
        <v>-36511</v>
      </c>
      <c r="AA29" s="120">
        <f t="shared" si="5"/>
        <v>-27869</v>
      </c>
      <c r="AB29" s="120">
        <f t="shared" si="5"/>
        <v>-27774</v>
      </c>
      <c r="AC29" s="120">
        <f t="shared" si="5"/>
        <v>-27767</v>
      </c>
      <c r="AD29" s="120">
        <f t="shared" si="5"/>
        <v>-27764</v>
      </c>
      <c r="AE29" s="120">
        <f t="shared" ref="AE29:AJ29" si="6">SUM(AE25:AE27)</f>
        <v>-27858</v>
      </c>
      <c r="AF29" s="120">
        <f t="shared" si="6"/>
        <v>-27961</v>
      </c>
      <c r="AG29" s="120">
        <f t="shared" si="6"/>
        <v>-31528</v>
      </c>
      <c r="AH29" s="120">
        <f t="shared" si="6"/>
        <v>-30240</v>
      </c>
      <c r="AI29" s="120">
        <f t="shared" si="6"/>
        <v>-31687</v>
      </c>
      <c r="AJ29" s="120">
        <f t="shared" si="6"/>
        <v>-31990</v>
      </c>
      <c r="AK29" s="120">
        <f t="shared" ref="AK29:AP29" si="7">SUM(AK25:AK27)</f>
        <v>-32007</v>
      </c>
      <c r="AL29" s="120">
        <f t="shared" si="7"/>
        <v>-33870</v>
      </c>
      <c r="AM29" s="120">
        <f t="shared" si="7"/>
        <v>-36204</v>
      </c>
      <c r="AN29" s="120">
        <f t="shared" si="7"/>
        <v>-33241</v>
      </c>
      <c r="AO29" s="120">
        <f t="shared" si="7"/>
        <v>-33918</v>
      </c>
      <c r="AP29" s="120">
        <f t="shared" si="7"/>
        <v>-32496</v>
      </c>
      <c r="AQ29" s="120">
        <f t="shared" ref="AQ29:AW29" si="8">SUM(AQ25:AQ27)</f>
        <v>-32897</v>
      </c>
      <c r="AR29" s="120">
        <f t="shared" si="8"/>
        <v>-33297</v>
      </c>
      <c r="AS29" s="120">
        <f t="shared" si="8"/>
        <v>-34241</v>
      </c>
      <c r="AT29" s="120">
        <f t="shared" si="8"/>
        <v>-35031</v>
      </c>
      <c r="AU29" s="120">
        <f t="shared" si="8"/>
        <v>-35994</v>
      </c>
      <c r="AV29" s="120">
        <v>-37047</v>
      </c>
      <c r="AW29" s="120">
        <f t="shared" si="8"/>
        <v>-38045</v>
      </c>
      <c r="AX29" s="120">
        <f>SUM(AX25:AX27)</f>
        <v>-40222</v>
      </c>
      <c r="AY29" s="120">
        <f>SUM(AY25:AY27)</f>
        <v>-41280</v>
      </c>
      <c r="AZ29" s="120">
        <f>SUM(AZ25:AZ27)</f>
        <v>-42260</v>
      </c>
    </row>
    <row r="30" spans="2:52" x14ac:dyDescent="0.2">
      <c r="B30" s="126" t="s">
        <v>112</v>
      </c>
      <c r="C30" s="120">
        <f t="shared" ref="C30:Q30" si="9">C29+C24</f>
        <v>27420</v>
      </c>
      <c r="D30" s="120">
        <f t="shared" si="9"/>
        <v>35456</v>
      </c>
      <c r="E30" s="162">
        <f t="shared" si="9"/>
        <v>5933</v>
      </c>
      <c r="F30" s="120">
        <f t="shared" si="9"/>
        <v>7104</v>
      </c>
      <c r="G30" s="120">
        <f t="shared" si="9"/>
        <v>-10160</v>
      </c>
      <c r="H30" s="120">
        <f t="shared" si="9"/>
        <v>-13008</v>
      </c>
      <c r="I30" s="120">
        <f t="shared" si="9"/>
        <v>-9274</v>
      </c>
      <c r="J30" s="120">
        <f t="shared" si="9"/>
        <v>-11930</v>
      </c>
      <c r="K30" s="120">
        <f t="shared" si="9"/>
        <v>-513</v>
      </c>
      <c r="L30" s="120">
        <f t="shared" si="9"/>
        <v>844</v>
      </c>
      <c r="M30" s="120">
        <f t="shared" si="9"/>
        <v>221</v>
      </c>
      <c r="N30" s="120">
        <f t="shared" si="9"/>
        <v>-1159</v>
      </c>
      <c r="O30" s="120">
        <f t="shared" si="9"/>
        <v>-290</v>
      </c>
      <c r="P30" s="120">
        <f t="shared" si="9"/>
        <v>506</v>
      </c>
      <c r="Q30" s="120">
        <f t="shared" si="9"/>
        <v>6293.0279300503389</v>
      </c>
      <c r="R30" s="120">
        <f t="shared" ref="R30:X30" si="10">R29+R24</f>
        <v>9902.9594488617586</v>
      </c>
      <c r="S30" s="120">
        <f t="shared" si="10"/>
        <v>29931</v>
      </c>
      <c r="T30" s="120">
        <f t="shared" si="10"/>
        <v>8913</v>
      </c>
      <c r="U30" s="120">
        <f t="shared" si="10"/>
        <v>7423</v>
      </c>
      <c r="V30" s="120">
        <f t="shared" si="10"/>
        <v>7598</v>
      </c>
      <c r="W30" s="120">
        <f t="shared" si="10"/>
        <v>17034</v>
      </c>
      <c r="X30" s="120">
        <f t="shared" si="10"/>
        <v>9904</v>
      </c>
      <c r="Y30" s="120">
        <f t="shared" ref="Y30:AD30" si="11">Y29+Y24</f>
        <v>9579</v>
      </c>
      <c r="Z30" s="120">
        <f t="shared" si="11"/>
        <v>11326</v>
      </c>
      <c r="AA30" s="120">
        <f t="shared" si="11"/>
        <v>14151</v>
      </c>
      <c r="AB30" s="120">
        <f t="shared" si="11"/>
        <v>9026</v>
      </c>
      <c r="AC30" s="120">
        <f t="shared" si="11"/>
        <v>17029</v>
      </c>
      <c r="AD30" s="120">
        <f t="shared" si="11"/>
        <v>14293</v>
      </c>
      <c r="AE30" s="120">
        <f t="shared" ref="AE30:AJ30" si="12">AE29+AE24</f>
        <v>14675</v>
      </c>
      <c r="AF30" s="120">
        <f t="shared" si="12"/>
        <v>10141</v>
      </c>
      <c r="AG30" s="120">
        <f t="shared" si="12"/>
        <v>6264</v>
      </c>
      <c r="AH30" s="120">
        <f t="shared" si="12"/>
        <v>5828</v>
      </c>
      <c r="AI30" s="120">
        <f t="shared" si="12"/>
        <v>3687</v>
      </c>
      <c r="AJ30" s="120">
        <f t="shared" si="12"/>
        <v>1763</v>
      </c>
      <c r="AK30" s="120">
        <f t="shared" ref="AK30:AP30" si="13">AK29+AK24</f>
        <v>1777</v>
      </c>
      <c r="AL30" s="120">
        <f t="shared" si="13"/>
        <v>2728</v>
      </c>
      <c r="AM30" s="120">
        <f t="shared" si="13"/>
        <v>-3221</v>
      </c>
      <c r="AN30" s="120">
        <f t="shared" si="13"/>
        <v>1391</v>
      </c>
      <c r="AO30" s="120">
        <f t="shared" si="13"/>
        <v>0</v>
      </c>
      <c r="AP30" s="120">
        <f t="shared" si="13"/>
        <v>1322</v>
      </c>
      <c r="AQ30" s="120">
        <f>AQ29+AQ24</f>
        <v>820</v>
      </c>
      <c r="AR30" s="120">
        <f>AR29+AR24</f>
        <v>-2526</v>
      </c>
      <c r="AS30" s="120">
        <f>AS29+AS24</f>
        <v>700</v>
      </c>
      <c r="AT30" s="120">
        <f>AT29+AT24</f>
        <v>1969</v>
      </c>
      <c r="AU30" s="120">
        <f>AU29+AU24</f>
        <v>1574</v>
      </c>
      <c r="AV30" s="120">
        <v>-2611</v>
      </c>
      <c r="AW30" s="120">
        <f>AW29+AW24</f>
        <v>-1075</v>
      </c>
      <c r="AX30" s="120">
        <f>AX29+AX24</f>
        <v>-547</v>
      </c>
      <c r="AY30" s="120">
        <f>AY29+AY24</f>
        <v>-7164</v>
      </c>
      <c r="AZ30" s="120">
        <f>AZ29+AZ24</f>
        <v>-6440</v>
      </c>
    </row>
    <row r="41" hidden="1" outlineLevel="1" x14ac:dyDescent="0.2"/>
    <row r="42" hidden="1" outlineLevel="1" x14ac:dyDescent="0.2"/>
    <row r="43" hidden="1" outlineLevel="1" x14ac:dyDescent="0.2"/>
    <row r="44" hidden="1" outlineLevel="1" x14ac:dyDescent="0.2"/>
    <row r="45" hidden="1" outlineLevel="1" x14ac:dyDescent="0.2"/>
    <row r="46" hidden="1" outlineLevel="1" x14ac:dyDescent="0.2"/>
    <row r="47" hidden="1" outlineLevel="1" x14ac:dyDescent="0.2"/>
    <row r="48" collapsed="1" x14ac:dyDescent="0.2"/>
    <row r="53" hidden="1" outlineLevel="1" x14ac:dyDescent="0.2"/>
    <row r="54" collapsed="1" x14ac:dyDescent="0.2"/>
  </sheetData>
  <mergeCells count="1">
    <mergeCell ref="C4:D4"/>
  </mergeCells>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45">
    <pageSetUpPr autoPageBreaks="0"/>
  </sheetPr>
  <dimension ref="A1:AY1741"/>
  <sheetViews>
    <sheetView showGridLines="0" zoomScaleNormal="10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ColWidth="9.140625" defaultRowHeight="14.25" outlineLevelRow="1" x14ac:dyDescent="0.2"/>
  <cols>
    <col min="1" max="1" width="1.140625" style="25" customWidth="1"/>
    <col min="2" max="2" width="37.85546875" style="25" customWidth="1"/>
    <col min="3" max="51" width="10.85546875" style="25" customWidth="1"/>
    <col min="52" max="16384" width="9.140625" style="25"/>
  </cols>
  <sheetData>
    <row r="1" spans="1:51" s="549" customFormat="1" ht="7.5" customHeight="1" x14ac:dyDescent="0.2"/>
    <row r="2" spans="1:51" s="549" customFormat="1" ht="12.75" customHeight="1" x14ac:dyDescent="0.25">
      <c r="D2" s="554"/>
    </row>
    <row r="3" spans="1:51" ht="12.75" customHeight="1" x14ac:dyDescent="0.2">
      <c r="V3" s="549"/>
      <c r="W3" s="549"/>
      <c r="X3" s="549"/>
      <c r="Y3" s="549"/>
      <c r="Z3" s="549"/>
      <c r="AA3" s="549"/>
      <c r="AB3" s="549"/>
      <c r="AC3" s="549"/>
      <c r="AD3" s="549"/>
      <c r="AE3" s="549"/>
      <c r="AF3" s="549"/>
      <c r="AG3" s="549"/>
      <c r="AH3" s="549"/>
      <c r="AI3" s="549"/>
      <c r="AJ3" s="549"/>
      <c r="AK3" s="549"/>
      <c r="AL3" s="549"/>
      <c r="AM3" s="549"/>
      <c r="AN3" s="549"/>
      <c r="AO3" s="549"/>
      <c r="AP3" s="549"/>
      <c r="AQ3" s="353"/>
      <c r="AR3" s="353"/>
      <c r="AS3" s="353"/>
      <c r="AT3" s="353"/>
      <c r="AU3" s="353"/>
      <c r="AV3" s="353"/>
      <c r="AW3" s="353"/>
      <c r="AX3" s="353"/>
      <c r="AY3" s="353"/>
    </row>
    <row r="4" spans="1:51" ht="12.75" customHeight="1" x14ac:dyDescent="0.2">
      <c r="B4" s="1235" t="s">
        <v>1426</v>
      </c>
      <c r="C4" s="1236"/>
      <c r="D4" s="224" t="s">
        <v>1427</v>
      </c>
      <c r="E4"/>
    </row>
    <row r="5" spans="1:51" x14ac:dyDescent="0.2">
      <c r="B5" s="115" t="s">
        <v>96</v>
      </c>
      <c r="C5" s="115" t="s">
        <v>45</v>
      </c>
      <c r="D5" s="222" t="s">
        <v>55</v>
      </c>
      <c r="E5" s="115" t="s">
        <v>71</v>
      </c>
      <c r="F5" s="115" t="s">
        <v>77</v>
      </c>
      <c r="G5" s="115" t="s">
        <v>87</v>
      </c>
      <c r="H5" s="115" t="s">
        <v>88</v>
      </c>
      <c r="I5" s="115" t="s">
        <v>378</v>
      </c>
      <c r="J5" s="115" t="s">
        <v>406</v>
      </c>
      <c r="K5" s="115" t="s">
        <v>467</v>
      </c>
      <c r="L5" s="115" t="s">
        <v>501</v>
      </c>
      <c r="M5" s="115" t="s">
        <v>511</v>
      </c>
      <c r="N5" s="115" t="s">
        <v>538</v>
      </c>
      <c r="O5" s="115" t="s">
        <v>567</v>
      </c>
      <c r="P5" s="115" t="s">
        <v>575</v>
      </c>
      <c r="Q5" s="115" t="s">
        <v>595</v>
      </c>
      <c r="R5" s="115" t="s">
        <v>596</v>
      </c>
      <c r="S5" s="115" t="s">
        <v>623</v>
      </c>
      <c r="T5" s="115" t="s">
        <v>624</v>
      </c>
      <c r="U5" s="115" t="s">
        <v>625</v>
      </c>
      <c r="V5" s="115" t="s">
        <v>626</v>
      </c>
      <c r="W5" s="115" t="s">
        <v>798</v>
      </c>
      <c r="X5" s="115" t="s">
        <v>799</v>
      </c>
      <c r="Y5" s="115" t="s">
        <v>800</v>
      </c>
      <c r="Z5" s="115" t="s">
        <v>801</v>
      </c>
      <c r="AA5" s="115" t="s">
        <v>913</v>
      </c>
      <c r="AB5" s="115" t="s">
        <v>914</v>
      </c>
      <c r="AC5" s="115" t="s">
        <v>923</v>
      </c>
      <c r="AD5" s="115" t="s">
        <v>924</v>
      </c>
      <c r="AE5" s="115" t="s">
        <v>1049</v>
      </c>
      <c r="AF5" s="115" t="s">
        <v>1023</v>
      </c>
      <c r="AG5" s="115" t="s">
        <v>1024</v>
      </c>
      <c r="AH5" s="115" t="s">
        <v>1050</v>
      </c>
      <c r="AI5" s="115" t="s">
        <v>1114</v>
      </c>
      <c r="AJ5" s="115" t="s">
        <v>1119</v>
      </c>
      <c r="AK5" s="115" t="s">
        <v>1121</v>
      </c>
      <c r="AL5" s="115" t="s">
        <v>1123</v>
      </c>
      <c r="AM5" s="115" t="s">
        <v>1176</v>
      </c>
      <c r="AN5" s="115" t="s">
        <v>1177</v>
      </c>
      <c r="AO5" s="115" t="s">
        <v>1179</v>
      </c>
      <c r="AP5" s="115" t="s">
        <v>1181</v>
      </c>
      <c r="AQ5" s="115" t="s">
        <v>1243</v>
      </c>
      <c r="AR5" s="115" t="s">
        <v>1250</v>
      </c>
      <c r="AS5" s="115" t="s">
        <v>1251</v>
      </c>
      <c r="AT5" s="115" t="s">
        <v>1252</v>
      </c>
      <c r="AU5" s="115" t="s">
        <v>1311</v>
      </c>
      <c r="AV5" s="115" t="s">
        <v>1313</v>
      </c>
      <c r="AW5" s="115" t="s">
        <v>1315</v>
      </c>
      <c r="AX5" s="115" t="s">
        <v>1317</v>
      </c>
      <c r="AY5" s="115" t="s">
        <v>1344</v>
      </c>
    </row>
    <row r="6" spans="1:51" x14ac:dyDescent="0.2">
      <c r="B6" s="129" t="s">
        <v>402</v>
      </c>
      <c r="C6" s="118">
        <v>1040</v>
      </c>
      <c r="D6" s="160">
        <v>535</v>
      </c>
      <c r="E6" s="118">
        <v>1237</v>
      </c>
      <c r="F6" s="118">
        <v>1292</v>
      </c>
      <c r="G6" s="118">
        <v>1707</v>
      </c>
      <c r="H6" s="118">
        <v>1166</v>
      </c>
      <c r="I6" s="118">
        <v>1196</v>
      </c>
      <c r="J6" s="118">
        <v>821</v>
      </c>
      <c r="K6" s="118">
        <v>1538</v>
      </c>
      <c r="L6" s="118">
        <v>1899</v>
      </c>
      <c r="M6" s="118">
        <v>1654</v>
      </c>
      <c r="N6" s="118">
        <v>1536</v>
      </c>
      <c r="O6" s="118">
        <v>2002</v>
      </c>
      <c r="P6" s="118">
        <v>1228</v>
      </c>
      <c r="Q6" s="118">
        <v>2426</v>
      </c>
      <c r="R6" s="118">
        <v>2095</v>
      </c>
      <c r="S6" s="118">
        <v>1986</v>
      </c>
      <c r="T6" s="118">
        <v>2985</v>
      </c>
      <c r="U6" s="118">
        <v>1285</v>
      </c>
      <c r="V6" s="118">
        <v>2043</v>
      </c>
      <c r="W6" s="118">
        <v>2768</v>
      </c>
      <c r="X6" s="118">
        <v>2681</v>
      </c>
      <c r="Y6" s="118">
        <v>2498</v>
      </c>
      <c r="Z6" s="118">
        <v>2500</v>
      </c>
      <c r="AA6" s="118">
        <v>1031</v>
      </c>
      <c r="AB6" s="118">
        <v>550</v>
      </c>
      <c r="AC6" s="118">
        <v>963</v>
      </c>
      <c r="AD6" s="118">
        <v>1268</v>
      </c>
      <c r="AE6" s="118">
        <v>1311</v>
      </c>
      <c r="AF6" s="118">
        <v>1187</v>
      </c>
      <c r="AG6" s="118">
        <v>1023</v>
      </c>
      <c r="AH6" s="118">
        <v>1645</v>
      </c>
      <c r="AI6" s="118">
        <v>1527</v>
      </c>
      <c r="AJ6" s="118">
        <v>1623</v>
      </c>
      <c r="AK6" s="118">
        <v>1933</v>
      </c>
      <c r="AL6" s="118">
        <v>2180</v>
      </c>
      <c r="AM6" s="118">
        <v>2238</v>
      </c>
      <c r="AN6" s="118">
        <v>1745</v>
      </c>
      <c r="AO6" s="118">
        <v>2457</v>
      </c>
      <c r="AP6" s="118">
        <v>2315</v>
      </c>
      <c r="AQ6" s="118">
        <v>2068</v>
      </c>
      <c r="AR6" s="118">
        <v>2111</v>
      </c>
      <c r="AS6" s="118">
        <v>2711</v>
      </c>
      <c r="AT6" s="118">
        <v>2702</v>
      </c>
      <c r="AU6" s="118">
        <v>2119</v>
      </c>
      <c r="AV6" s="118">
        <v>2501</v>
      </c>
      <c r="AW6" s="118">
        <v>3013</v>
      </c>
      <c r="AX6" s="118">
        <v>2394</v>
      </c>
      <c r="AY6" s="118">
        <v>3599</v>
      </c>
    </row>
    <row r="7" spans="1:51" x14ac:dyDescent="0.2">
      <c r="B7" s="129" t="s">
        <v>118</v>
      </c>
      <c r="C7" s="118">
        <v>2699</v>
      </c>
      <c r="D7" s="160">
        <v>2402</v>
      </c>
      <c r="E7" s="118">
        <v>98</v>
      </c>
      <c r="F7" s="118">
        <v>3335</v>
      </c>
      <c r="G7" s="118">
        <v>52</v>
      </c>
      <c r="H7" s="118">
        <v>2058</v>
      </c>
      <c r="I7" s="118">
        <v>366</v>
      </c>
      <c r="J7" s="118">
        <v>2961</v>
      </c>
      <c r="K7" s="118">
        <v>2326</v>
      </c>
      <c r="L7" s="118">
        <v>2435</v>
      </c>
      <c r="M7" s="118">
        <v>2524</v>
      </c>
      <c r="N7" s="118">
        <v>3700</v>
      </c>
      <c r="O7" s="118">
        <v>2837</v>
      </c>
      <c r="P7" s="118">
        <v>3124</v>
      </c>
      <c r="Q7" s="118">
        <v>3325</v>
      </c>
      <c r="R7" s="118">
        <v>4209</v>
      </c>
      <c r="S7" s="118">
        <v>3610</v>
      </c>
      <c r="T7" s="118">
        <v>1290</v>
      </c>
      <c r="U7" s="118">
        <v>1952</v>
      </c>
      <c r="V7" s="118">
        <v>2736</v>
      </c>
      <c r="W7" s="118">
        <v>2559</v>
      </c>
      <c r="X7" s="118">
        <v>3838</v>
      </c>
      <c r="Y7" s="118">
        <v>2268</v>
      </c>
      <c r="Z7" s="118">
        <v>2532</v>
      </c>
      <c r="AA7" s="118">
        <v>2005</v>
      </c>
      <c r="AB7" s="118">
        <v>1346</v>
      </c>
      <c r="AC7" s="118">
        <v>1810</v>
      </c>
      <c r="AD7" s="118">
        <v>3996</v>
      </c>
      <c r="AE7" s="118">
        <v>1677</v>
      </c>
      <c r="AF7" s="118">
        <v>1873</v>
      </c>
      <c r="AG7" s="118">
        <v>2123</v>
      </c>
      <c r="AH7" s="118">
        <v>2165</v>
      </c>
      <c r="AI7" s="118">
        <v>1345</v>
      </c>
      <c r="AJ7" s="118">
        <v>1767</v>
      </c>
      <c r="AK7" s="118">
        <v>1870</v>
      </c>
      <c r="AL7" s="118">
        <v>2485</v>
      </c>
      <c r="AM7" s="118">
        <v>2381</v>
      </c>
      <c r="AN7" s="118">
        <v>2172</v>
      </c>
      <c r="AO7" s="118">
        <v>2557</v>
      </c>
      <c r="AP7" s="118">
        <v>3013</v>
      </c>
      <c r="AQ7" s="118">
        <v>2626</v>
      </c>
      <c r="AR7" s="118">
        <v>5735</v>
      </c>
      <c r="AS7" s="118">
        <v>3633</v>
      </c>
      <c r="AT7" s="118">
        <v>3980</v>
      </c>
      <c r="AU7" s="118">
        <v>5737</v>
      </c>
      <c r="AV7" s="118">
        <v>3693</v>
      </c>
      <c r="AW7" s="118">
        <v>4245</v>
      </c>
      <c r="AX7" s="118">
        <v>4160</v>
      </c>
      <c r="AY7" s="118">
        <v>4238</v>
      </c>
    </row>
    <row r="8" spans="1:51" x14ac:dyDescent="0.2">
      <c r="B8" s="129" t="s">
        <v>119</v>
      </c>
      <c r="C8" s="118">
        <v>10485</v>
      </c>
      <c r="D8" s="160">
        <v>4632</v>
      </c>
      <c r="E8" s="118">
        <v>3949</v>
      </c>
      <c r="F8" s="118">
        <v>5045</v>
      </c>
      <c r="G8" s="118">
        <v>5747</v>
      </c>
      <c r="H8" s="118">
        <v>5438</v>
      </c>
      <c r="I8" s="118">
        <v>3784</v>
      </c>
      <c r="J8" s="118">
        <v>3727</v>
      </c>
      <c r="K8" s="118">
        <v>4168</v>
      </c>
      <c r="L8" s="118">
        <v>2372</v>
      </c>
      <c r="M8" s="118">
        <v>2529</v>
      </c>
      <c r="N8" s="118">
        <v>2649</v>
      </c>
      <c r="O8" s="118">
        <v>3259</v>
      </c>
      <c r="P8" s="118">
        <v>3291</v>
      </c>
      <c r="Q8" s="118">
        <v>2640</v>
      </c>
      <c r="R8" s="118">
        <v>3133</v>
      </c>
      <c r="S8" s="118">
        <v>3047</v>
      </c>
      <c r="T8" s="118">
        <v>3493</v>
      </c>
      <c r="U8" s="118">
        <v>3702</v>
      </c>
      <c r="V8" s="118">
        <v>3227</v>
      </c>
      <c r="W8" s="118">
        <v>639</v>
      </c>
      <c r="X8" s="118">
        <v>874</v>
      </c>
      <c r="Y8" s="118">
        <v>865</v>
      </c>
      <c r="Z8" s="118">
        <v>1098</v>
      </c>
      <c r="AA8" s="118">
        <v>1242</v>
      </c>
      <c r="AB8" s="118">
        <v>919</v>
      </c>
      <c r="AC8" s="118">
        <v>1313</v>
      </c>
      <c r="AD8" s="118">
        <v>1866</v>
      </c>
      <c r="AE8" s="118">
        <v>608</v>
      </c>
      <c r="AF8" s="118">
        <v>377</v>
      </c>
      <c r="AG8" s="118">
        <v>526</v>
      </c>
      <c r="AH8" s="118">
        <v>573</v>
      </c>
      <c r="AI8" s="118">
        <v>649</v>
      </c>
      <c r="AJ8" s="118">
        <v>1817</v>
      </c>
      <c r="AK8" s="118">
        <v>3238</v>
      </c>
      <c r="AL8" s="118">
        <v>3137</v>
      </c>
      <c r="AM8" s="118">
        <v>2990</v>
      </c>
      <c r="AN8" s="118">
        <v>3621</v>
      </c>
      <c r="AO8" s="118">
        <v>3194</v>
      </c>
      <c r="AP8" s="118">
        <v>5235</v>
      </c>
      <c r="AQ8" s="118">
        <v>3114</v>
      </c>
      <c r="AR8" s="118">
        <v>4836</v>
      </c>
      <c r="AS8" s="118">
        <v>7352</v>
      </c>
      <c r="AT8" s="118">
        <v>7699</v>
      </c>
      <c r="AU8" s="118">
        <v>5984</v>
      </c>
      <c r="AV8" s="118">
        <v>7519</v>
      </c>
      <c r="AW8" s="118">
        <v>7008</v>
      </c>
      <c r="AX8" s="118">
        <v>7014</v>
      </c>
      <c r="AY8" s="118">
        <v>6531</v>
      </c>
    </row>
    <row r="9" spans="1:51" x14ac:dyDescent="0.2">
      <c r="B9" s="129" t="s">
        <v>120</v>
      </c>
      <c r="C9" s="118">
        <v>4079</v>
      </c>
      <c r="D9" s="160">
        <v>0</v>
      </c>
      <c r="E9" s="118">
        <v>0</v>
      </c>
      <c r="F9" s="118">
        <v>153</v>
      </c>
      <c r="G9" s="118">
        <v>168</v>
      </c>
      <c r="H9" s="118">
        <v>2</v>
      </c>
      <c r="I9" s="118">
        <v>0</v>
      </c>
      <c r="J9" s="118">
        <v>3465</v>
      </c>
      <c r="K9" s="118">
        <v>7151</v>
      </c>
      <c r="L9" s="118">
        <v>3966</v>
      </c>
      <c r="M9" s="118">
        <v>4438</v>
      </c>
      <c r="N9" s="118">
        <v>4002</v>
      </c>
      <c r="O9" s="118">
        <v>4138</v>
      </c>
      <c r="P9" s="118">
        <v>4032</v>
      </c>
      <c r="Q9" s="118">
        <v>5320</v>
      </c>
      <c r="R9" s="118">
        <v>6028</v>
      </c>
      <c r="S9" s="118">
        <v>5753</v>
      </c>
      <c r="T9" s="118">
        <v>6019</v>
      </c>
      <c r="U9" s="118">
        <v>7341</v>
      </c>
      <c r="V9" s="118">
        <v>5700</v>
      </c>
      <c r="W9" s="118">
        <v>5092</v>
      </c>
      <c r="X9" s="118">
        <v>6373</v>
      </c>
      <c r="Y9" s="118">
        <v>6014</v>
      </c>
      <c r="Z9" s="118">
        <v>6052</v>
      </c>
      <c r="AA9" s="118">
        <v>5200</v>
      </c>
      <c r="AB9" s="118">
        <v>4236</v>
      </c>
      <c r="AC9" s="118">
        <v>7364</v>
      </c>
      <c r="AD9" s="118">
        <v>5006</v>
      </c>
      <c r="AE9" s="118">
        <v>5691</v>
      </c>
      <c r="AF9" s="118">
        <v>6802</v>
      </c>
      <c r="AG9" s="118">
        <v>4780</v>
      </c>
      <c r="AH9" s="118">
        <v>6611</v>
      </c>
      <c r="AI9" s="118">
        <v>4369</v>
      </c>
      <c r="AJ9" s="118">
        <v>6391</v>
      </c>
      <c r="AK9" s="118">
        <v>10763</v>
      </c>
      <c r="AL9" s="118">
        <v>9681</v>
      </c>
      <c r="AM9" s="118">
        <v>5763</v>
      </c>
      <c r="AN9" s="118">
        <v>6927</v>
      </c>
      <c r="AO9" s="118">
        <v>5536</v>
      </c>
      <c r="AP9" s="118">
        <v>7103</v>
      </c>
      <c r="AQ9" s="118">
        <v>5491</v>
      </c>
      <c r="AR9" s="118">
        <v>5918</v>
      </c>
      <c r="AS9" s="118">
        <v>7463</v>
      </c>
      <c r="AT9" s="118">
        <v>11502</v>
      </c>
      <c r="AU9" s="118">
        <v>9036</v>
      </c>
      <c r="AV9" s="118">
        <v>9098</v>
      </c>
      <c r="AW9" s="118">
        <v>10313</v>
      </c>
      <c r="AX9" s="118">
        <v>15676</v>
      </c>
      <c r="AY9" s="118">
        <v>10721</v>
      </c>
    </row>
    <row r="10" spans="1:51" s="248" customFormat="1" x14ac:dyDescent="0.2">
      <c r="A10" s="25"/>
      <c r="B10" s="129" t="s">
        <v>556</v>
      </c>
      <c r="C10" s="118">
        <v>696</v>
      </c>
      <c r="D10" s="160">
        <v>751</v>
      </c>
      <c r="E10" s="118">
        <v>848</v>
      </c>
      <c r="F10" s="118">
        <v>827</v>
      </c>
      <c r="G10" s="118">
        <v>658</v>
      </c>
      <c r="H10" s="118">
        <v>437</v>
      </c>
      <c r="I10" s="118">
        <v>0</v>
      </c>
      <c r="J10" s="118">
        <v>0</v>
      </c>
      <c r="K10" s="118">
        <v>402</v>
      </c>
      <c r="L10" s="118">
        <v>0</v>
      </c>
      <c r="M10" s="118">
        <v>0</v>
      </c>
      <c r="N10" s="118">
        <v>0</v>
      </c>
      <c r="O10" s="118">
        <v>0</v>
      </c>
      <c r="P10" s="118">
        <v>0</v>
      </c>
      <c r="Q10" s="118">
        <v>0</v>
      </c>
      <c r="R10" s="118">
        <v>0</v>
      </c>
      <c r="S10" s="118">
        <v>0</v>
      </c>
      <c r="T10" s="118">
        <v>0</v>
      </c>
      <c r="U10" s="118">
        <v>0</v>
      </c>
      <c r="V10" s="118">
        <v>0</v>
      </c>
      <c r="W10" s="118">
        <v>0</v>
      </c>
      <c r="X10" s="118">
        <v>0</v>
      </c>
      <c r="Y10" s="118">
        <v>0</v>
      </c>
      <c r="Z10" s="118">
        <v>0</v>
      </c>
      <c r="AA10" s="118">
        <v>0</v>
      </c>
      <c r="AB10" s="118">
        <v>0</v>
      </c>
      <c r="AC10" s="118">
        <v>0</v>
      </c>
      <c r="AD10" s="118">
        <v>0</v>
      </c>
      <c r="AE10" s="118">
        <v>0</v>
      </c>
      <c r="AF10" s="118">
        <v>0</v>
      </c>
      <c r="AG10" s="118">
        <v>0</v>
      </c>
      <c r="AH10" s="118"/>
      <c r="AI10" s="118">
        <v>0</v>
      </c>
      <c r="AJ10" s="118">
        <v>0</v>
      </c>
      <c r="AK10" s="118">
        <v>0</v>
      </c>
      <c r="AL10" s="118">
        <v>0</v>
      </c>
      <c r="AM10" s="118">
        <v>0</v>
      </c>
      <c r="AN10" s="118">
        <v>0</v>
      </c>
      <c r="AO10" s="118">
        <v>95</v>
      </c>
      <c r="AP10" s="118">
        <v>201</v>
      </c>
      <c r="AQ10" s="118">
        <v>129</v>
      </c>
      <c r="AR10" s="118">
        <v>191</v>
      </c>
      <c r="AS10" s="118">
        <v>177</v>
      </c>
      <c r="AT10" s="118">
        <v>473</v>
      </c>
      <c r="AU10" s="118">
        <v>713</v>
      </c>
      <c r="AV10" s="118">
        <v>603</v>
      </c>
      <c r="AW10" s="118">
        <v>783</v>
      </c>
      <c r="AX10" s="118">
        <v>659</v>
      </c>
      <c r="AY10" s="118">
        <v>367</v>
      </c>
    </row>
    <row r="11" spans="1:51" ht="14.25" customHeight="1" x14ac:dyDescent="0.2">
      <c r="B11" s="129" t="s">
        <v>537</v>
      </c>
      <c r="C11" s="118">
        <v>1290</v>
      </c>
      <c r="D11" s="160">
        <v>3081</v>
      </c>
      <c r="E11" s="118">
        <v>488</v>
      </c>
      <c r="F11" s="118">
        <v>1310</v>
      </c>
      <c r="G11" s="118">
        <v>862</v>
      </c>
      <c r="H11" s="118">
        <v>724</v>
      </c>
      <c r="I11" s="118">
        <v>1089</v>
      </c>
      <c r="J11" s="118">
        <v>2009</v>
      </c>
      <c r="K11" s="118">
        <v>1056</v>
      </c>
      <c r="L11" s="118">
        <v>2095</v>
      </c>
      <c r="M11" s="118">
        <v>1025</v>
      </c>
      <c r="N11" s="118">
        <v>1666</v>
      </c>
      <c r="O11" s="118">
        <v>1399</v>
      </c>
      <c r="P11" s="118">
        <v>1844</v>
      </c>
      <c r="Q11" s="118">
        <v>1800</v>
      </c>
      <c r="R11" s="118">
        <v>3927</v>
      </c>
      <c r="S11" s="118">
        <v>3455</v>
      </c>
      <c r="T11" s="118">
        <v>1952</v>
      </c>
      <c r="U11" s="118">
        <v>2167</v>
      </c>
      <c r="V11" s="118">
        <v>3729</v>
      </c>
      <c r="W11" s="118">
        <v>4142</v>
      </c>
      <c r="X11" s="118">
        <v>4167</v>
      </c>
      <c r="Y11" s="118">
        <v>6472</v>
      </c>
      <c r="Z11" s="118">
        <v>7403</v>
      </c>
      <c r="AA11" s="118">
        <v>6210</v>
      </c>
      <c r="AB11" s="118">
        <v>6954</v>
      </c>
      <c r="AC11" s="118">
        <v>6966</v>
      </c>
      <c r="AD11" s="118">
        <v>7401</v>
      </c>
      <c r="AE11" s="118">
        <v>6571</v>
      </c>
      <c r="AF11" s="118">
        <v>7348</v>
      </c>
      <c r="AG11" s="118">
        <v>5899</v>
      </c>
      <c r="AH11" s="118">
        <v>6385</v>
      </c>
      <c r="AI11" s="118">
        <v>6659</v>
      </c>
      <c r="AJ11" s="118">
        <v>6582</v>
      </c>
      <c r="AK11" s="118">
        <v>4037</v>
      </c>
      <c r="AL11" s="118">
        <v>5469</v>
      </c>
      <c r="AM11" s="118">
        <v>3965</v>
      </c>
      <c r="AN11" s="118">
        <v>3518</v>
      </c>
      <c r="AO11" s="118">
        <v>3736</v>
      </c>
      <c r="AP11" s="118">
        <v>5649</v>
      </c>
      <c r="AQ11" s="118">
        <v>4834</v>
      </c>
      <c r="AR11" s="118">
        <v>3734</v>
      </c>
      <c r="AS11" s="118">
        <v>3350</v>
      </c>
      <c r="AT11" s="118">
        <v>4905</v>
      </c>
      <c r="AU11" s="118">
        <v>3380</v>
      </c>
      <c r="AV11" s="118">
        <v>2824</v>
      </c>
      <c r="AW11" s="118">
        <v>3297</v>
      </c>
      <c r="AX11" s="118">
        <v>3867</v>
      </c>
      <c r="AY11" s="118">
        <v>3683</v>
      </c>
    </row>
    <row r="12" spans="1:51" x14ac:dyDescent="0.2">
      <c r="B12" s="129" t="s">
        <v>121</v>
      </c>
      <c r="C12" s="118">
        <v>1065</v>
      </c>
      <c r="D12" s="160">
        <v>302</v>
      </c>
      <c r="E12" s="118">
        <v>1190</v>
      </c>
      <c r="F12" s="118">
        <v>1060</v>
      </c>
      <c r="G12" s="118">
        <v>699</v>
      </c>
      <c r="H12" s="118">
        <v>411</v>
      </c>
      <c r="I12" s="118">
        <v>574</v>
      </c>
      <c r="J12" s="118">
        <v>1072</v>
      </c>
      <c r="K12" s="118">
        <v>631</v>
      </c>
      <c r="L12" s="118">
        <v>685</v>
      </c>
      <c r="M12" s="118">
        <v>814</v>
      </c>
      <c r="N12" s="118">
        <v>672</v>
      </c>
      <c r="O12" s="118">
        <v>412</v>
      </c>
      <c r="P12" s="118">
        <v>549</v>
      </c>
      <c r="Q12" s="118">
        <v>558</v>
      </c>
      <c r="R12" s="118">
        <v>1306</v>
      </c>
      <c r="S12" s="118">
        <v>1318</v>
      </c>
      <c r="T12" s="118">
        <v>898</v>
      </c>
      <c r="U12" s="118">
        <v>878</v>
      </c>
      <c r="V12" s="118">
        <v>1470</v>
      </c>
      <c r="W12" s="118">
        <v>895</v>
      </c>
      <c r="X12" s="118">
        <v>1313</v>
      </c>
      <c r="Y12" s="118">
        <v>6877</v>
      </c>
      <c r="Z12" s="118">
        <v>2449</v>
      </c>
      <c r="AA12" s="118">
        <v>4474</v>
      </c>
      <c r="AB12" s="118">
        <v>3803</v>
      </c>
      <c r="AC12" s="118">
        <v>1487</v>
      </c>
      <c r="AD12" s="118">
        <v>2032</v>
      </c>
      <c r="AE12" s="118">
        <v>1933</v>
      </c>
      <c r="AF12" s="118">
        <v>2120</v>
      </c>
      <c r="AG12" s="118">
        <v>1899</v>
      </c>
      <c r="AH12" s="118">
        <v>2713</v>
      </c>
      <c r="AI12" s="118">
        <v>1989</v>
      </c>
      <c r="AJ12" s="118">
        <v>3669</v>
      </c>
      <c r="AK12" s="118">
        <v>2723</v>
      </c>
      <c r="AL12" s="118">
        <v>4295</v>
      </c>
      <c r="AM12" s="118">
        <v>4225</v>
      </c>
      <c r="AN12" s="118">
        <v>3425</v>
      </c>
      <c r="AO12" s="118">
        <v>3790</v>
      </c>
      <c r="AP12" s="118">
        <v>3751</v>
      </c>
      <c r="AQ12" s="118">
        <v>3035</v>
      </c>
      <c r="AR12" s="118">
        <v>2888</v>
      </c>
      <c r="AS12" s="118">
        <v>2205</v>
      </c>
      <c r="AT12" s="118">
        <v>3417</v>
      </c>
      <c r="AU12" s="118">
        <v>3076</v>
      </c>
      <c r="AV12" s="118">
        <v>1833</v>
      </c>
      <c r="AW12" s="118">
        <v>3146</v>
      </c>
      <c r="AX12" s="118">
        <v>3265</v>
      </c>
      <c r="AY12" s="118">
        <v>2346</v>
      </c>
    </row>
    <row r="13" spans="1:51" x14ac:dyDescent="0.2">
      <c r="B13" s="129" t="s">
        <v>122</v>
      </c>
      <c r="C13" s="118">
        <v>1266</v>
      </c>
      <c r="D13" s="160">
        <v>680</v>
      </c>
      <c r="E13" s="118">
        <v>928</v>
      </c>
      <c r="F13" s="118">
        <v>1165</v>
      </c>
      <c r="G13" s="118">
        <v>762</v>
      </c>
      <c r="H13" s="118">
        <v>796</v>
      </c>
      <c r="I13" s="118">
        <v>798</v>
      </c>
      <c r="J13" s="118">
        <v>3863</v>
      </c>
      <c r="K13" s="118">
        <v>2002</v>
      </c>
      <c r="L13" s="118">
        <v>818</v>
      </c>
      <c r="M13" s="118">
        <v>785</v>
      </c>
      <c r="N13" s="118">
        <v>1339</v>
      </c>
      <c r="O13" s="118">
        <v>1445</v>
      </c>
      <c r="P13" s="118">
        <v>1125</v>
      </c>
      <c r="Q13" s="118">
        <v>1217</v>
      </c>
      <c r="R13" s="118">
        <v>1024</v>
      </c>
      <c r="S13" s="118">
        <v>887</v>
      </c>
      <c r="T13" s="118">
        <v>1020</v>
      </c>
      <c r="U13" s="118">
        <v>1431</v>
      </c>
      <c r="V13" s="118">
        <v>1884</v>
      </c>
      <c r="W13" s="118">
        <v>1453</v>
      </c>
      <c r="X13" s="118">
        <v>1474</v>
      </c>
      <c r="Y13" s="118">
        <v>1314</v>
      </c>
      <c r="Z13" s="118">
        <v>1119</v>
      </c>
      <c r="AA13" s="118">
        <v>1297</v>
      </c>
      <c r="AB13" s="118">
        <v>1062</v>
      </c>
      <c r="AC13" s="118">
        <v>1682</v>
      </c>
      <c r="AD13" s="118">
        <v>2306</v>
      </c>
      <c r="AE13" s="118">
        <v>1773</v>
      </c>
      <c r="AF13" s="118">
        <v>1591</v>
      </c>
      <c r="AG13" s="118">
        <v>1665</v>
      </c>
      <c r="AH13" s="118">
        <v>1595</v>
      </c>
      <c r="AI13" s="118">
        <v>1613</v>
      </c>
      <c r="AJ13" s="118">
        <v>1484</v>
      </c>
      <c r="AK13" s="118">
        <v>1812</v>
      </c>
      <c r="AL13" s="118">
        <v>2114</v>
      </c>
      <c r="AM13" s="118">
        <v>1844</v>
      </c>
      <c r="AN13" s="118">
        <v>1861</v>
      </c>
      <c r="AO13" s="118">
        <v>1895</v>
      </c>
      <c r="AP13" s="118">
        <v>2059</v>
      </c>
      <c r="AQ13" s="118">
        <v>2482</v>
      </c>
      <c r="AR13" s="118">
        <v>1684</v>
      </c>
      <c r="AS13" s="118">
        <v>2191</v>
      </c>
      <c r="AT13" s="118">
        <v>3074</v>
      </c>
      <c r="AU13" s="118">
        <v>3634</v>
      </c>
      <c r="AV13" s="118">
        <v>2617</v>
      </c>
      <c r="AW13" s="118">
        <v>2059</v>
      </c>
      <c r="AX13" s="118">
        <v>3231</v>
      </c>
      <c r="AY13" s="118">
        <v>3072</v>
      </c>
    </row>
    <row r="14" spans="1:51" s="248" customFormat="1" x14ac:dyDescent="0.2">
      <c r="A14" s="25"/>
      <c r="B14" s="129" t="s">
        <v>123</v>
      </c>
      <c r="C14" s="118">
        <v>973</v>
      </c>
      <c r="D14" s="160">
        <v>0</v>
      </c>
      <c r="E14" s="118">
        <v>0</v>
      </c>
      <c r="F14" s="118">
        <v>0</v>
      </c>
      <c r="G14" s="118">
        <v>0</v>
      </c>
      <c r="H14" s="118">
        <v>0</v>
      </c>
      <c r="I14" s="118">
        <v>0</v>
      </c>
      <c r="J14" s="118">
        <v>0</v>
      </c>
      <c r="K14" s="118">
        <v>0</v>
      </c>
      <c r="L14" s="118">
        <v>0</v>
      </c>
      <c r="M14" s="118">
        <v>0</v>
      </c>
      <c r="N14" s="118">
        <v>0</v>
      </c>
      <c r="O14" s="118">
        <v>0</v>
      </c>
      <c r="P14" s="118">
        <v>0</v>
      </c>
      <c r="Q14" s="118">
        <v>0</v>
      </c>
      <c r="R14" s="118">
        <v>0</v>
      </c>
      <c r="S14" s="118">
        <v>0</v>
      </c>
      <c r="T14" s="118">
        <v>0</v>
      </c>
      <c r="U14" s="118">
        <v>0</v>
      </c>
      <c r="V14" s="118">
        <v>0</v>
      </c>
      <c r="W14" s="118">
        <v>0</v>
      </c>
      <c r="X14" s="118">
        <v>0</v>
      </c>
      <c r="Y14" s="118">
        <v>0</v>
      </c>
      <c r="Z14" s="118">
        <v>0</v>
      </c>
      <c r="AA14" s="118">
        <v>0</v>
      </c>
      <c r="AB14" s="118">
        <v>0</v>
      </c>
      <c r="AC14" s="118">
        <v>0</v>
      </c>
      <c r="AD14" s="118">
        <v>0</v>
      </c>
      <c r="AE14" s="118">
        <v>0</v>
      </c>
      <c r="AF14" s="118">
        <v>0</v>
      </c>
      <c r="AG14" s="118">
        <v>0</v>
      </c>
      <c r="AH14" s="118"/>
      <c r="AI14" s="118">
        <v>0</v>
      </c>
      <c r="AJ14" s="118">
        <v>0</v>
      </c>
      <c r="AK14" s="118">
        <v>0</v>
      </c>
      <c r="AL14" s="118">
        <v>0</v>
      </c>
      <c r="AM14" s="118">
        <v>0</v>
      </c>
      <c r="AN14" s="118">
        <v>0</v>
      </c>
      <c r="AO14" s="118">
        <v>11</v>
      </c>
      <c r="AP14" s="118">
        <v>28</v>
      </c>
      <c r="AQ14" s="118">
        <v>14</v>
      </c>
      <c r="AR14" s="118">
        <v>13</v>
      </c>
      <c r="AS14" s="118">
        <v>24</v>
      </c>
      <c r="AT14" s="118">
        <v>113</v>
      </c>
      <c r="AU14" s="118">
        <v>55</v>
      </c>
      <c r="AV14" s="118">
        <v>3</v>
      </c>
      <c r="AW14" s="118">
        <v>145</v>
      </c>
      <c r="AX14" s="118">
        <v>233</v>
      </c>
      <c r="AY14" s="118">
        <v>0</v>
      </c>
    </row>
    <row r="15" spans="1:51" s="248" customFormat="1" x14ac:dyDescent="0.2">
      <c r="A15" s="25"/>
      <c r="B15" s="129" t="s">
        <v>572</v>
      </c>
      <c r="C15" s="118">
        <v>0</v>
      </c>
      <c r="D15" s="160">
        <v>0</v>
      </c>
      <c r="E15" s="118">
        <v>0</v>
      </c>
      <c r="F15" s="118">
        <v>0</v>
      </c>
      <c r="G15" s="118">
        <v>0</v>
      </c>
      <c r="H15" s="118">
        <v>0</v>
      </c>
      <c r="I15" s="118">
        <v>0</v>
      </c>
      <c r="J15" s="118">
        <v>0</v>
      </c>
      <c r="K15" s="118">
        <v>0</v>
      </c>
      <c r="L15" s="118">
        <v>0</v>
      </c>
      <c r="M15" s="118">
        <v>0</v>
      </c>
      <c r="N15" s="118">
        <v>0</v>
      </c>
      <c r="O15" s="118">
        <v>1349</v>
      </c>
      <c r="P15" s="118">
        <v>1031</v>
      </c>
      <c r="Q15" s="118">
        <v>472</v>
      </c>
      <c r="R15" s="118">
        <v>0</v>
      </c>
      <c r="S15" s="118">
        <v>0</v>
      </c>
      <c r="T15" s="118">
        <v>0</v>
      </c>
      <c r="U15" s="118">
        <v>0</v>
      </c>
      <c r="V15" s="118">
        <v>0</v>
      </c>
      <c r="W15" s="118">
        <v>0</v>
      </c>
      <c r="X15" s="118">
        <v>0</v>
      </c>
      <c r="Y15" s="118">
        <v>0</v>
      </c>
      <c r="Z15" s="118">
        <v>0</v>
      </c>
      <c r="AA15" s="118">
        <v>0</v>
      </c>
      <c r="AB15" s="118">
        <v>0</v>
      </c>
      <c r="AC15" s="118">
        <v>0</v>
      </c>
      <c r="AD15" s="118">
        <v>0</v>
      </c>
      <c r="AE15" s="118">
        <v>0</v>
      </c>
      <c r="AF15" s="118">
        <v>0</v>
      </c>
      <c r="AG15" s="118">
        <v>0</v>
      </c>
      <c r="AH15" s="118"/>
      <c r="AI15" s="118">
        <v>0</v>
      </c>
      <c r="AJ15" s="118">
        <v>0</v>
      </c>
      <c r="AK15" s="118">
        <v>0</v>
      </c>
      <c r="AL15" s="118">
        <v>0</v>
      </c>
      <c r="AM15" s="118">
        <v>0</v>
      </c>
      <c r="AN15" s="118">
        <v>0</v>
      </c>
      <c r="AO15" s="118">
        <v>61</v>
      </c>
      <c r="AP15" s="118">
        <v>29</v>
      </c>
      <c r="AQ15" s="118">
        <v>383</v>
      </c>
      <c r="AR15" s="118">
        <v>385</v>
      </c>
      <c r="AS15" s="118">
        <v>323</v>
      </c>
      <c r="AT15" s="118">
        <v>198</v>
      </c>
      <c r="AU15" s="118">
        <v>97</v>
      </c>
      <c r="AV15" s="118">
        <v>71</v>
      </c>
      <c r="AW15" s="118">
        <v>96</v>
      </c>
      <c r="AX15" s="118">
        <v>513</v>
      </c>
      <c r="AY15" s="118">
        <v>6</v>
      </c>
    </row>
    <row r="16" spans="1:51" x14ac:dyDescent="0.2">
      <c r="B16" s="129" t="s">
        <v>582</v>
      </c>
      <c r="C16" s="118">
        <v>0</v>
      </c>
      <c r="D16" s="160">
        <v>0</v>
      </c>
      <c r="E16" s="118">
        <v>0</v>
      </c>
      <c r="F16" s="118">
        <v>0</v>
      </c>
      <c r="G16" s="118">
        <v>0</v>
      </c>
      <c r="H16" s="118">
        <v>0</v>
      </c>
      <c r="I16" s="118">
        <v>0</v>
      </c>
      <c r="J16" s="118">
        <v>0</v>
      </c>
      <c r="K16" s="118">
        <v>1262</v>
      </c>
      <c r="L16" s="118">
        <v>1276</v>
      </c>
      <c r="M16" s="118">
        <v>936</v>
      </c>
      <c r="N16" s="118">
        <v>977</v>
      </c>
      <c r="O16" s="118">
        <v>1093</v>
      </c>
      <c r="P16" s="118">
        <v>1007</v>
      </c>
      <c r="Q16" s="118">
        <v>870</v>
      </c>
      <c r="R16" s="118">
        <v>1069</v>
      </c>
      <c r="S16" s="118">
        <v>900</v>
      </c>
      <c r="T16" s="118">
        <v>1664</v>
      </c>
      <c r="U16" s="118">
        <v>1851</v>
      </c>
      <c r="V16" s="118">
        <v>2341</v>
      </c>
      <c r="W16" s="118">
        <v>1959</v>
      </c>
      <c r="X16" s="118">
        <v>2094</v>
      </c>
      <c r="Y16" s="118">
        <v>1251</v>
      </c>
      <c r="Z16" s="118">
        <v>2591</v>
      </c>
      <c r="AA16" s="118">
        <v>2241</v>
      </c>
      <c r="AB16" s="118">
        <v>2244</v>
      </c>
      <c r="AC16" s="118">
        <v>2094</v>
      </c>
      <c r="AD16" s="118">
        <v>1713</v>
      </c>
      <c r="AE16" s="118">
        <v>2035</v>
      </c>
      <c r="AF16" s="118">
        <v>1715</v>
      </c>
      <c r="AG16" s="118">
        <v>1465</v>
      </c>
      <c r="AH16" s="118">
        <v>2643</v>
      </c>
      <c r="AI16" s="118">
        <v>2875</v>
      </c>
      <c r="AJ16" s="118">
        <v>1715</v>
      </c>
      <c r="AK16" s="118">
        <v>1846</v>
      </c>
      <c r="AL16" s="118">
        <v>1968</v>
      </c>
      <c r="AM16" s="118">
        <v>1866</v>
      </c>
      <c r="AN16" s="118">
        <v>1823</v>
      </c>
      <c r="AO16" s="118">
        <v>1648</v>
      </c>
      <c r="AP16" s="118">
        <v>1802</v>
      </c>
      <c r="AQ16" s="118">
        <v>1971</v>
      </c>
      <c r="AR16" s="118">
        <v>2419</v>
      </c>
      <c r="AS16" s="118">
        <v>2868</v>
      </c>
      <c r="AT16" s="118">
        <v>3166</v>
      </c>
      <c r="AU16" s="118">
        <v>3176</v>
      </c>
      <c r="AV16" s="118">
        <v>3755</v>
      </c>
      <c r="AW16" s="118">
        <v>4089</v>
      </c>
      <c r="AX16" s="118">
        <v>2222</v>
      </c>
      <c r="AY16" s="118">
        <v>4249</v>
      </c>
    </row>
    <row r="17" spans="1:51" x14ac:dyDescent="0.2">
      <c r="B17" s="129" t="s">
        <v>49</v>
      </c>
      <c r="C17" s="118">
        <v>6161</v>
      </c>
      <c r="D17" s="160">
        <v>5908</v>
      </c>
      <c r="E17" s="118">
        <v>7437</v>
      </c>
      <c r="F17" s="118">
        <v>6590</v>
      </c>
      <c r="G17" s="118">
        <v>3961</v>
      </c>
      <c r="H17" s="118">
        <v>8143</v>
      </c>
      <c r="I17" s="118">
        <v>3100</v>
      </c>
      <c r="J17" s="118">
        <v>6325</v>
      </c>
      <c r="K17" s="118">
        <v>5058</v>
      </c>
      <c r="L17" s="118">
        <v>2282</v>
      </c>
      <c r="M17" s="118">
        <v>1413</v>
      </c>
      <c r="N17" s="118">
        <v>1470</v>
      </c>
      <c r="O17" s="118">
        <v>1197</v>
      </c>
      <c r="P17" s="118">
        <v>1575</v>
      </c>
      <c r="Q17" s="118">
        <v>2159</v>
      </c>
      <c r="R17" s="118">
        <v>3276</v>
      </c>
      <c r="S17" s="118">
        <v>1780</v>
      </c>
      <c r="T17" s="118">
        <v>3189</v>
      </c>
      <c r="U17" s="118">
        <v>5825</v>
      </c>
      <c r="V17" s="118">
        <v>7733</v>
      </c>
      <c r="W17" s="118">
        <v>3065</v>
      </c>
      <c r="X17" s="118">
        <v>2446</v>
      </c>
      <c r="Y17" s="118">
        <v>4299</v>
      </c>
      <c r="Z17" s="118">
        <v>3893</v>
      </c>
      <c r="AA17" s="118">
        <v>5125</v>
      </c>
      <c r="AB17" s="118">
        <v>8748</v>
      </c>
      <c r="AC17" s="118">
        <v>6573</v>
      </c>
      <c r="AD17" s="118">
        <v>5000</v>
      </c>
      <c r="AE17" s="118">
        <v>3881</v>
      </c>
      <c r="AF17" s="118">
        <v>3470</v>
      </c>
      <c r="AG17" s="118">
        <v>4606</v>
      </c>
      <c r="AH17" s="118">
        <v>2727</v>
      </c>
      <c r="AI17" s="118">
        <v>2235</v>
      </c>
      <c r="AJ17" s="118">
        <v>1366</v>
      </c>
      <c r="AK17" s="118">
        <v>3141</v>
      </c>
      <c r="AL17" s="118">
        <v>7797</v>
      </c>
      <c r="AM17" s="118">
        <v>6983</v>
      </c>
      <c r="AN17" s="118">
        <v>5386</v>
      </c>
      <c r="AO17" s="118">
        <v>4844</v>
      </c>
      <c r="AP17" s="118">
        <v>5447</v>
      </c>
      <c r="AQ17" s="118">
        <v>4583</v>
      </c>
      <c r="AR17" s="118">
        <v>4605</v>
      </c>
      <c r="AS17" s="118">
        <v>5736</v>
      </c>
      <c r="AT17" s="118">
        <v>4551</v>
      </c>
      <c r="AU17" s="118">
        <v>4635</v>
      </c>
      <c r="AV17" s="118">
        <v>4549</v>
      </c>
      <c r="AW17" s="118">
        <v>4726</v>
      </c>
      <c r="AX17" s="261">
        <v>28320</v>
      </c>
      <c r="AY17" s="261">
        <v>26469</v>
      </c>
    </row>
    <row r="18" spans="1:51" s="248" customFormat="1" ht="14.25" hidden="1" customHeight="1" outlineLevel="1" x14ac:dyDescent="0.2">
      <c r="A18" s="25"/>
      <c r="B18" s="249" t="s">
        <v>124</v>
      </c>
      <c r="C18" s="218">
        <v>16107</v>
      </c>
      <c r="D18" s="219">
        <v>3481</v>
      </c>
      <c r="E18" s="218">
        <v>4497</v>
      </c>
      <c r="F18" s="218">
        <v>425</v>
      </c>
      <c r="G18" s="218">
        <v>450</v>
      </c>
      <c r="H18" s="218">
        <v>0</v>
      </c>
      <c r="I18" s="218">
        <v>0</v>
      </c>
      <c r="J18" s="218">
        <v>0</v>
      </c>
      <c r="K18" s="218">
        <v>0</v>
      </c>
      <c r="L18" s="218">
        <v>0</v>
      </c>
      <c r="M18" s="218">
        <v>0</v>
      </c>
      <c r="N18" s="218">
        <v>0</v>
      </c>
      <c r="O18" s="218">
        <v>0</v>
      </c>
      <c r="P18" s="218">
        <v>0</v>
      </c>
      <c r="Q18" s="218">
        <v>0</v>
      </c>
      <c r="R18" s="218">
        <v>0</v>
      </c>
      <c r="S18" s="218">
        <v>0</v>
      </c>
      <c r="T18" s="218">
        <v>0</v>
      </c>
      <c r="U18" s="218">
        <v>0</v>
      </c>
      <c r="V18" s="218">
        <v>0</v>
      </c>
      <c r="W18" s="218">
        <v>0</v>
      </c>
      <c r="X18" s="218"/>
      <c r="Y18" s="218">
        <v>0</v>
      </c>
      <c r="Z18" s="218">
        <v>0</v>
      </c>
      <c r="AA18" s="218">
        <v>0</v>
      </c>
      <c r="AB18" s="218">
        <v>0</v>
      </c>
      <c r="AC18" s="218">
        <v>0</v>
      </c>
      <c r="AD18" s="218">
        <v>0</v>
      </c>
      <c r="AE18" s="218">
        <v>0</v>
      </c>
      <c r="AF18" s="218">
        <v>0</v>
      </c>
      <c r="AG18" s="218">
        <v>0</v>
      </c>
      <c r="AH18" s="218"/>
      <c r="AI18" s="218">
        <v>0</v>
      </c>
      <c r="AJ18" s="218">
        <v>0</v>
      </c>
      <c r="AK18" s="218">
        <v>0</v>
      </c>
      <c r="AL18" s="218">
        <v>0</v>
      </c>
      <c r="AM18" s="218">
        <v>0</v>
      </c>
      <c r="AN18" s="218">
        <v>0</v>
      </c>
      <c r="AO18" s="218">
        <v>0</v>
      </c>
      <c r="AP18" s="218">
        <v>0</v>
      </c>
      <c r="AQ18" s="218">
        <v>0</v>
      </c>
      <c r="AR18" s="218"/>
      <c r="AS18" s="218"/>
      <c r="AT18" s="218"/>
      <c r="AU18" s="218"/>
      <c r="AV18" s="218">
        <v>0</v>
      </c>
      <c r="AW18" s="218">
        <v>0</v>
      </c>
      <c r="AX18" s="218">
        <v>0</v>
      </c>
      <c r="AY18" s="218">
        <v>0</v>
      </c>
    </row>
    <row r="19" spans="1:51" s="248" customFormat="1" ht="14.25" hidden="1" customHeight="1" outlineLevel="1" x14ac:dyDescent="0.2">
      <c r="A19" s="25"/>
      <c r="B19" s="249" t="s">
        <v>536</v>
      </c>
      <c r="C19" s="218">
        <v>0</v>
      </c>
      <c r="D19" s="219">
        <v>0</v>
      </c>
      <c r="E19" s="218">
        <v>0</v>
      </c>
      <c r="F19" s="218">
        <v>0</v>
      </c>
      <c r="G19" s="218">
        <v>0</v>
      </c>
      <c r="H19" s="218">
        <v>6400</v>
      </c>
      <c r="I19" s="218">
        <v>6400</v>
      </c>
      <c r="J19" s="218">
        <v>6400</v>
      </c>
      <c r="K19" s="218">
        <v>6400</v>
      </c>
      <c r="L19" s="218">
        <v>6400</v>
      </c>
      <c r="M19" s="218">
        <v>6400</v>
      </c>
      <c r="N19" s="218">
        <v>0</v>
      </c>
      <c r="O19" s="218">
        <v>0</v>
      </c>
      <c r="P19" s="218">
        <v>0</v>
      </c>
      <c r="Q19" s="218">
        <v>0</v>
      </c>
      <c r="R19" s="218">
        <v>0</v>
      </c>
      <c r="S19" s="218">
        <v>0</v>
      </c>
      <c r="T19" s="218">
        <v>0</v>
      </c>
      <c r="U19" s="218">
        <v>0</v>
      </c>
      <c r="V19" s="218">
        <v>0</v>
      </c>
      <c r="W19" s="218">
        <v>0</v>
      </c>
      <c r="X19" s="218"/>
      <c r="Y19" s="218">
        <v>0</v>
      </c>
      <c r="Z19" s="218">
        <v>0</v>
      </c>
      <c r="AA19" s="218">
        <v>0</v>
      </c>
      <c r="AB19" s="218">
        <v>0</v>
      </c>
      <c r="AC19" s="218">
        <v>0</v>
      </c>
      <c r="AD19" s="218">
        <v>0</v>
      </c>
      <c r="AE19" s="218">
        <v>0</v>
      </c>
      <c r="AF19" s="218">
        <v>0</v>
      </c>
      <c r="AG19" s="218">
        <v>0</v>
      </c>
      <c r="AH19" s="218"/>
      <c r="AI19" s="218">
        <v>0</v>
      </c>
      <c r="AJ19" s="218">
        <v>0</v>
      </c>
      <c r="AK19" s="218">
        <v>0</v>
      </c>
      <c r="AL19" s="218">
        <v>0</v>
      </c>
      <c r="AM19" s="218">
        <v>0</v>
      </c>
      <c r="AN19" s="218">
        <v>0</v>
      </c>
      <c r="AO19" s="218">
        <v>0</v>
      </c>
      <c r="AP19" s="218">
        <v>0</v>
      </c>
      <c r="AQ19" s="218">
        <v>0</v>
      </c>
      <c r="AR19" s="218"/>
      <c r="AS19" s="218"/>
      <c r="AT19" s="218"/>
      <c r="AU19" s="218"/>
      <c r="AV19" s="218">
        <v>0</v>
      </c>
      <c r="AW19" s="218">
        <v>0</v>
      </c>
      <c r="AX19" s="218">
        <v>0</v>
      </c>
      <c r="AY19" s="218">
        <v>0</v>
      </c>
    </row>
    <row r="20" spans="1:51" s="248" customFormat="1" hidden="1" outlineLevel="1" x14ac:dyDescent="0.2">
      <c r="A20" s="25"/>
      <c r="B20" s="249" t="s">
        <v>125</v>
      </c>
      <c r="C20" s="218">
        <v>0</v>
      </c>
      <c r="D20" s="219">
        <v>0</v>
      </c>
      <c r="E20" s="218">
        <v>0</v>
      </c>
      <c r="F20" s="218">
        <v>10454</v>
      </c>
      <c r="G20" s="218">
        <v>6948</v>
      </c>
      <c r="H20" s="218">
        <v>0</v>
      </c>
      <c r="I20" s="218">
        <v>0</v>
      </c>
      <c r="J20" s="218">
        <v>0</v>
      </c>
      <c r="K20" s="218">
        <v>0</v>
      </c>
      <c r="L20" s="218">
        <v>0</v>
      </c>
      <c r="M20" s="218">
        <v>0</v>
      </c>
      <c r="N20" s="218">
        <v>0</v>
      </c>
      <c r="O20" s="218">
        <v>0</v>
      </c>
      <c r="P20" s="218">
        <v>0</v>
      </c>
      <c r="Q20" s="218">
        <v>0</v>
      </c>
      <c r="R20" s="218">
        <v>0</v>
      </c>
      <c r="S20" s="218">
        <v>0</v>
      </c>
      <c r="T20" s="218">
        <v>0</v>
      </c>
      <c r="U20" s="218">
        <v>0</v>
      </c>
      <c r="V20" s="218">
        <v>0</v>
      </c>
      <c r="W20" s="218">
        <v>0</v>
      </c>
      <c r="X20" s="218"/>
      <c r="Y20" s="218">
        <v>0</v>
      </c>
      <c r="Z20" s="218">
        <v>0</v>
      </c>
      <c r="AA20" s="218">
        <v>0</v>
      </c>
      <c r="AB20" s="218">
        <v>0</v>
      </c>
      <c r="AC20" s="218">
        <v>0</v>
      </c>
      <c r="AD20" s="218">
        <v>0</v>
      </c>
      <c r="AE20" s="218">
        <v>0</v>
      </c>
      <c r="AF20" s="218">
        <v>0</v>
      </c>
      <c r="AG20" s="218">
        <v>0</v>
      </c>
      <c r="AH20" s="218"/>
      <c r="AI20" s="218">
        <v>0</v>
      </c>
      <c r="AJ20" s="218">
        <v>0</v>
      </c>
      <c r="AK20" s="218">
        <v>0</v>
      </c>
      <c r="AL20" s="218">
        <v>0</v>
      </c>
      <c r="AM20" s="218">
        <v>0</v>
      </c>
      <c r="AN20" s="218">
        <v>0</v>
      </c>
      <c r="AO20" s="218">
        <v>0</v>
      </c>
      <c r="AP20" s="218">
        <v>0</v>
      </c>
      <c r="AQ20" s="218">
        <v>0</v>
      </c>
      <c r="AR20" s="218"/>
      <c r="AS20" s="218"/>
      <c r="AT20" s="218"/>
      <c r="AU20" s="218"/>
      <c r="AV20" s="218">
        <v>0</v>
      </c>
      <c r="AW20" s="218">
        <v>0</v>
      </c>
      <c r="AX20" s="218">
        <v>0</v>
      </c>
      <c r="AY20" s="218">
        <v>0</v>
      </c>
    </row>
    <row r="21" spans="1:51" collapsed="1" x14ac:dyDescent="0.2">
      <c r="A21" s="27"/>
      <c r="B21" s="126" t="s">
        <v>73</v>
      </c>
      <c r="C21" s="120">
        <f t="shared" ref="C21:AV21" si="0">SUM(C6:C20)</f>
        <v>45861</v>
      </c>
      <c r="D21" s="162">
        <f t="shared" si="0"/>
        <v>21772</v>
      </c>
      <c r="E21" s="120">
        <f t="shared" si="0"/>
        <v>20672</v>
      </c>
      <c r="F21" s="120">
        <f t="shared" si="0"/>
        <v>31656</v>
      </c>
      <c r="G21" s="120">
        <f t="shared" si="0"/>
        <v>22014</v>
      </c>
      <c r="H21" s="120">
        <f t="shared" si="0"/>
        <v>25575</v>
      </c>
      <c r="I21" s="120">
        <f t="shared" si="0"/>
        <v>17307</v>
      </c>
      <c r="J21" s="120">
        <f t="shared" si="0"/>
        <v>30643</v>
      </c>
      <c r="K21" s="120">
        <f t="shared" si="0"/>
        <v>31994</v>
      </c>
      <c r="L21" s="120">
        <f t="shared" si="0"/>
        <v>24228</v>
      </c>
      <c r="M21" s="120">
        <f t="shared" si="0"/>
        <v>22518</v>
      </c>
      <c r="N21" s="120">
        <f t="shared" si="0"/>
        <v>18011</v>
      </c>
      <c r="O21" s="120">
        <f t="shared" si="0"/>
        <v>19131</v>
      </c>
      <c r="P21" s="120">
        <f t="shared" si="0"/>
        <v>18806</v>
      </c>
      <c r="Q21" s="120">
        <f t="shared" si="0"/>
        <v>20787</v>
      </c>
      <c r="R21" s="120">
        <f t="shared" si="0"/>
        <v>26067</v>
      </c>
      <c r="S21" s="120">
        <f t="shared" si="0"/>
        <v>22736</v>
      </c>
      <c r="T21" s="120">
        <f t="shared" si="0"/>
        <v>22510</v>
      </c>
      <c r="U21" s="120">
        <f t="shared" si="0"/>
        <v>26432</v>
      </c>
      <c r="V21" s="120">
        <f t="shared" si="0"/>
        <v>30863</v>
      </c>
      <c r="W21" s="120">
        <f t="shared" si="0"/>
        <v>22572</v>
      </c>
      <c r="X21" s="120">
        <f t="shared" si="0"/>
        <v>25260</v>
      </c>
      <c r="Y21" s="120">
        <f t="shared" si="0"/>
        <v>31858</v>
      </c>
      <c r="Z21" s="120">
        <f t="shared" si="0"/>
        <v>29637</v>
      </c>
      <c r="AA21" s="120">
        <f t="shared" si="0"/>
        <v>28825</v>
      </c>
      <c r="AB21" s="120">
        <f t="shared" si="0"/>
        <v>29862</v>
      </c>
      <c r="AC21" s="120">
        <f t="shared" si="0"/>
        <v>30252</v>
      </c>
      <c r="AD21" s="120">
        <f t="shared" si="0"/>
        <v>30588</v>
      </c>
      <c r="AE21" s="120">
        <f t="shared" si="0"/>
        <v>25480</v>
      </c>
      <c r="AF21" s="120">
        <f t="shared" si="0"/>
        <v>26483</v>
      </c>
      <c r="AG21" s="120">
        <f t="shared" si="0"/>
        <v>23986</v>
      </c>
      <c r="AH21" s="120">
        <f t="shared" si="0"/>
        <v>27057</v>
      </c>
      <c r="AI21" s="120">
        <f t="shared" si="0"/>
        <v>23261</v>
      </c>
      <c r="AJ21" s="120">
        <f t="shared" si="0"/>
        <v>26414</v>
      </c>
      <c r="AK21" s="120">
        <f t="shared" si="0"/>
        <v>31363</v>
      </c>
      <c r="AL21" s="120">
        <f t="shared" si="0"/>
        <v>39126</v>
      </c>
      <c r="AM21" s="120">
        <f t="shared" si="0"/>
        <v>32255</v>
      </c>
      <c r="AN21" s="120">
        <f t="shared" si="0"/>
        <v>30478</v>
      </c>
      <c r="AO21" s="120">
        <f t="shared" si="0"/>
        <v>29824</v>
      </c>
      <c r="AP21" s="120">
        <f t="shared" si="0"/>
        <v>36632</v>
      </c>
      <c r="AQ21" s="120">
        <f t="shared" si="0"/>
        <v>30730</v>
      </c>
      <c r="AR21" s="120">
        <f t="shared" si="0"/>
        <v>34519</v>
      </c>
      <c r="AS21" s="120">
        <f t="shared" si="0"/>
        <v>38033</v>
      </c>
      <c r="AT21" s="120">
        <f t="shared" si="0"/>
        <v>45780</v>
      </c>
      <c r="AU21" s="120">
        <f t="shared" si="0"/>
        <v>41642</v>
      </c>
      <c r="AV21" s="120">
        <f t="shared" si="0"/>
        <v>39066</v>
      </c>
      <c r="AW21" s="120">
        <f>SUM(AW6:AW20)</f>
        <v>42920</v>
      </c>
      <c r="AX21" s="120">
        <f>SUM(AX6:AX20)</f>
        <v>71554</v>
      </c>
      <c r="AY21" s="120">
        <f>SUM(AY6:AY20)</f>
        <v>65281</v>
      </c>
    </row>
    <row r="22" spans="1:51" ht="15.75" customHeight="1" x14ac:dyDescent="0.2">
      <c r="A22" s="27"/>
      <c r="C22" s="69">
        <f>+C21-BP!S50</f>
        <v>0</v>
      </c>
      <c r="D22" s="69">
        <f>+D21-BP!T50</f>
        <v>0</v>
      </c>
      <c r="E22" s="69">
        <f>+E21-BP!U50</f>
        <v>0</v>
      </c>
      <c r="F22" s="69">
        <f>+F21-BP!V50</f>
        <v>0</v>
      </c>
      <c r="G22" s="69">
        <f>+G21-BP!W50</f>
        <v>0</v>
      </c>
      <c r="H22" s="69">
        <f>+H21-BP!X50</f>
        <v>0</v>
      </c>
      <c r="I22" s="69">
        <f>+I21-BP!Y50</f>
        <v>0</v>
      </c>
      <c r="J22" s="69">
        <f>+J21-BP!Z50</f>
        <v>0</v>
      </c>
      <c r="K22" s="69">
        <f>+K21-BP!AA50</f>
        <v>0</v>
      </c>
      <c r="L22" s="69">
        <f>+L21-BP!AB50</f>
        <v>0</v>
      </c>
      <c r="M22" s="69">
        <f>+M21-BP!AC50</f>
        <v>0</v>
      </c>
      <c r="N22" s="69">
        <f>+N21-BP!AD50</f>
        <v>0</v>
      </c>
      <c r="O22" s="69">
        <f>+O21-BP!AE50</f>
        <v>0</v>
      </c>
      <c r="P22" s="69">
        <f>+P21-BP!AF50</f>
        <v>0</v>
      </c>
      <c r="Q22" s="69">
        <f>+Q21-BP!AG50</f>
        <v>0</v>
      </c>
      <c r="R22" s="69">
        <f>BP!AH50-R21</f>
        <v>0</v>
      </c>
      <c r="S22" s="69">
        <f>BP!AI50-S21</f>
        <v>0</v>
      </c>
      <c r="T22" s="69">
        <f>BP!AJ50-T21</f>
        <v>0</v>
      </c>
      <c r="U22" s="69">
        <f>BP!AK50-U21</f>
        <v>0</v>
      </c>
      <c r="V22" s="69">
        <f>BP!AL50-V21</f>
        <v>0</v>
      </c>
      <c r="W22" s="69">
        <f>BP!AM50-W21</f>
        <v>0</v>
      </c>
      <c r="X22" s="69">
        <f>BP!AN50-X21</f>
        <v>0</v>
      </c>
      <c r="Y22" s="69">
        <v>0</v>
      </c>
      <c r="Z22" s="69">
        <v>0</v>
      </c>
      <c r="AA22" s="69">
        <f>BP!AQ50-AA21</f>
        <v>0</v>
      </c>
      <c r="AB22" s="69">
        <f>BP!AR50-AB21</f>
        <v>0</v>
      </c>
      <c r="AC22" s="69">
        <f>BP!AS50-AC21</f>
        <v>0</v>
      </c>
      <c r="AD22" s="69">
        <f>BP!AT50-AD21</f>
        <v>0</v>
      </c>
      <c r="AE22" s="69">
        <f>BP!AU50-AE21</f>
        <v>0</v>
      </c>
      <c r="AF22" s="69">
        <f>BP!AV50-AF21</f>
        <v>0</v>
      </c>
      <c r="AG22" s="69">
        <f>BP!AW50-AG21</f>
        <v>0</v>
      </c>
      <c r="AH22" s="69">
        <f>BP!AX50-AH21</f>
        <v>0</v>
      </c>
      <c r="AI22" s="69">
        <v>0</v>
      </c>
      <c r="AJ22" s="69">
        <f>BP!AZ50-AJ21</f>
        <v>0</v>
      </c>
      <c r="AK22" s="69">
        <v>0</v>
      </c>
      <c r="AL22" s="69">
        <f>BP!BB50-AL21</f>
        <v>0</v>
      </c>
      <c r="AM22" s="69">
        <f>BP!BC50-AM21</f>
        <v>0</v>
      </c>
      <c r="AN22" s="69">
        <f>BP!BD50-AN21</f>
        <v>0</v>
      </c>
      <c r="AO22" s="69">
        <f>BP!BE50-AO21</f>
        <v>0</v>
      </c>
      <c r="AP22" s="69">
        <f>BP!BF50-AP21</f>
        <v>0</v>
      </c>
      <c r="AQ22" s="69">
        <f>BP!BG50-AQ21</f>
        <v>0</v>
      </c>
      <c r="AR22" s="69">
        <f>BP!BH50-AR21</f>
        <v>0</v>
      </c>
      <c r="AS22" s="69">
        <f>BP!BI50-AS21</f>
        <v>0</v>
      </c>
      <c r="AT22" s="69">
        <f>BP!BJ50-AT21</f>
        <v>0</v>
      </c>
      <c r="AU22" s="69">
        <f>BP!BK50-AU21</f>
        <v>0</v>
      </c>
      <c r="AV22" s="69">
        <f>BP!BL50-AV21</f>
        <v>0</v>
      </c>
      <c r="AW22" s="69">
        <f>BP!BM50-AW21</f>
        <v>0</v>
      </c>
      <c r="AX22" s="69">
        <f>BP!BN50-AX21</f>
        <v>0</v>
      </c>
      <c r="AY22" s="69">
        <f>BP!BO50-AY21</f>
        <v>0</v>
      </c>
    </row>
    <row r="23" spans="1:51" ht="15.75" customHeight="1" x14ac:dyDescent="0.2">
      <c r="B23" s="115" t="s">
        <v>97</v>
      </c>
      <c r="C23" s="115" t="str">
        <f t="shared" ref="C23:AV23" si="1">C5</f>
        <v>1T14</v>
      </c>
      <c r="D23" s="222" t="str">
        <f t="shared" si="1"/>
        <v>2T14</v>
      </c>
      <c r="E23" s="115" t="str">
        <f t="shared" si="1"/>
        <v>3T14</v>
      </c>
      <c r="F23" s="115" t="str">
        <f t="shared" si="1"/>
        <v>4T14</v>
      </c>
      <c r="G23" s="115" t="str">
        <f t="shared" si="1"/>
        <v>1T15</v>
      </c>
      <c r="H23" s="115" t="str">
        <f t="shared" si="1"/>
        <v>2T15</v>
      </c>
      <c r="I23" s="115" t="str">
        <f t="shared" si="1"/>
        <v>3T15</v>
      </c>
      <c r="J23" s="115" t="str">
        <f t="shared" si="1"/>
        <v>4T15</v>
      </c>
      <c r="K23" s="115" t="str">
        <f t="shared" si="1"/>
        <v>1T16</v>
      </c>
      <c r="L23" s="115" t="str">
        <f t="shared" si="1"/>
        <v>2T16</v>
      </c>
      <c r="M23" s="115" t="str">
        <f t="shared" si="1"/>
        <v>3T16</v>
      </c>
      <c r="N23" s="115" t="str">
        <f t="shared" si="1"/>
        <v>4T16</v>
      </c>
      <c r="O23" s="115" t="str">
        <f t="shared" si="1"/>
        <v>1T17</v>
      </c>
      <c r="P23" s="115" t="str">
        <f t="shared" si="1"/>
        <v>2T17</v>
      </c>
      <c r="Q23" s="115" t="str">
        <f t="shared" si="1"/>
        <v>3T17</v>
      </c>
      <c r="R23" s="115" t="str">
        <f t="shared" si="1"/>
        <v>4T17</v>
      </c>
      <c r="S23" s="115" t="str">
        <f t="shared" si="1"/>
        <v>1T18</v>
      </c>
      <c r="T23" s="115" t="str">
        <f t="shared" si="1"/>
        <v>2T18</v>
      </c>
      <c r="U23" s="115" t="str">
        <f t="shared" si="1"/>
        <v>3T18</v>
      </c>
      <c r="V23" s="115" t="str">
        <f t="shared" si="1"/>
        <v>4T18</v>
      </c>
      <c r="W23" s="115" t="str">
        <f t="shared" si="1"/>
        <v>1T19</v>
      </c>
      <c r="X23" s="115" t="str">
        <f t="shared" si="1"/>
        <v>2T19</v>
      </c>
      <c r="Y23" s="115" t="str">
        <f t="shared" si="1"/>
        <v>3T19</v>
      </c>
      <c r="Z23" s="115" t="str">
        <f t="shared" si="1"/>
        <v>4T19</v>
      </c>
      <c r="AA23" s="115" t="str">
        <f t="shared" si="1"/>
        <v>1T20</v>
      </c>
      <c r="AB23" s="115" t="str">
        <f t="shared" si="1"/>
        <v>2T20</v>
      </c>
      <c r="AC23" s="115" t="str">
        <f t="shared" si="1"/>
        <v>3T20</v>
      </c>
      <c r="AD23" s="115" t="str">
        <f t="shared" si="1"/>
        <v>4T20</v>
      </c>
      <c r="AE23" s="115" t="str">
        <f t="shared" si="1"/>
        <v>1T21</v>
      </c>
      <c r="AF23" s="115" t="str">
        <f t="shared" si="1"/>
        <v>2T21</v>
      </c>
      <c r="AG23" s="115" t="str">
        <f t="shared" si="1"/>
        <v>3T21</v>
      </c>
      <c r="AH23" s="115" t="str">
        <f t="shared" si="1"/>
        <v>4T21</v>
      </c>
      <c r="AI23" s="115" t="str">
        <f t="shared" si="1"/>
        <v>1T22</v>
      </c>
      <c r="AJ23" s="115" t="str">
        <f t="shared" si="1"/>
        <v>2T22</v>
      </c>
      <c r="AK23" s="115" t="str">
        <f t="shared" si="1"/>
        <v>3T22</v>
      </c>
      <c r="AL23" s="115" t="str">
        <f t="shared" si="1"/>
        <v>4T22</v>
      </c>
      <c r="AM23" s="115" t="str">
        <f t="shared" si="1"/>
        <v>1T23</v>
      </c>
      <c r="AN23" s="115" t="str">
        <f t="shared" si="1"/>
        <v>2T23</v>
      </c>
      <c r="AO23" s="115" t="str">
        <f t="shared" si="1"/>
        <v>3T23</v>
      </c>
      <c r="AP23" s="115" t="str">
        <f t="shared" si="1"/>
        <v>4T23</v>
      </c>
      <c r="AQ23" s="115" t="str">
        <f t="shared" si="1"/>
        <v>1T24</v>
      </c>
      <c r="AR23" s="115" t="str">
        <f t="shared" si="1"/>
        <v>2T24</v>
      </c>
      <c r="AS23" s="115" t="str">
        <f t="shared" si="1"/>
        <v>3T24</v>
      </c>
      <c r="AT23" s="115" t="str">
        <f t="shared" si="1"/>
        <v>4T24</v>
      </c>
      <c r="AU23" s="115" t="str">
        <f t="shared" si="1"/>
        <v>1T25</v>
      </c>
      <c r="AV23" s="115" t="str">
        <f t="shared" si="1"/>
        <v>2T25</v>
      </c>
      <c r="AW23" s="115" t="str">
        <f>AW5</f>
        <v>3T25</v>
      </c>
      <c r="AX23" s="115" t="str">
        <f>AX5</f>
        <v>4T25</v>
      </c>
      <c r="AY23" s="115" t="str">
        <f>AY5</f>
        <v>1T26</v>
      </c>
    </row>
    <row r="24" spans="1:51" x14ac:dyDescent="0.2">
      <c r="B24" s="129" t="s">
        <v>402</v>
      </c>
      <c r="C24" s="118">
        <v>663</v>
      </c>
      <c r="D24" s="160">
        <v>337</v>
      </c>
      <c r="E24" s="118">
        <v>579</v>
      </c>
      <c r="F24" s="118">
        <v>876</v>
      </c>
      <c r="G24" s="118">
        <v>1125</v>
      </c>
      <c r="H24" s="118">
        <v>603</v>
      </c>
      <c r="I24" s="118">
        <v>887</v>
      </c>
      <c r="J24" s="118">
        <v>718</v>
      </c>
      <c r="K24" s="118">
        <v>510</v>
      </c>
      <c r="L24" s="118">
        <v>777</v>
      </c>
      <c r="M24" s="118">
        <v>768</v>
      </c>
      <c r="N24" s="118">
        <v>1256</v>
      </c>
      <c r="O24" s="118">
        <v>1185</v>
      </c>
      <c r="P24" s="118">
        <v>1226</v>
      </c>
      <c r="Q24" s="118">
        <v>1506</v>
      </c>
      <c r="R24" s="118">
        <v>1565</v>
      </c>
      <c r="S24" s="118">
        <v>1525</v>
      </c>
      <c r="T24" s="118">
        <v>1458</v>
      </c>
      <c r="U24" s="118">
        <v>1285</v>
      </c>
      <c r="V24" s="118">
        <v>1308</v>
      </c>
      <c r="W24" s="118">
        <v>1112</v>
      </c>
      <c r="X24" s="118">
        <v>885</v>
      </c>
      <c r="Y24" s="118">
        <v>992</v>
      </c>
      <c r="Z24" s="118">
        <v>917</v>
      </c>
      <c r="AA24" s="118">
        <v>752</v>
      </c>
      <c r="AB24" s="118">
        <v>404</v>
      </c>
      <c r="AC24" s="118">
        <v>644</v>
      </c>
      <c r="AD24" s="118">
        <v>908</v>
      </c>
      <c r="AE24" s="118">
        <v>885</v>
      </c>
      <c r="AF24" s="118">
        <v>781</v>
      </c>
      <c r="AG24" s="118">
        <v>711</v>
      </c>
      <c r="AH24" s="118">
        <v>1157</v>
      </c>
      <c r="AI24" s="118">
        <v>1259</v>
      </c>
      <c r="AJ24" s="118">
        <v>1179</v>
      </c>
      <c r="AK24" s="118">
        <v>1150</v>
      </c>
      <c r="AL24" s="118">
        <v>1249</v>
      </c>
      <c r="AM24" s="118">
        <v>1308</v>
      </c>
      <c r="AN24" s="118">
        <v>952</v>
      </c>
      <c r="AO24" s="118">
        <v>1373</v>
      </c>
      <c r="AP24" s="118">
        <v>1153</v>
      </c>
      <c r="AQ24" s="118">
        <v>1013</v>
      </c>
      <c r="AR24" s="118">
        <v>1878</v>
      </c>
      <c r="AS24" s="118">
        <v>2364</v>
      </c>
      <c r="AT24" s="118">
        <v>2431</v>
      </c>
      <c r="AU24" s="118">
        <v>1191</v>
      </c>
      <c r="AV24" s="118">
        <v>1880</v>
      </c>
      <c r="AW24" s="118">
        <v>2694</v>
      </c>
      <c r="AX24" s="118">
        <v>1742</v>
      </c>
      <c r="AY24" s="118">
        <v>1909</v>
      </c>
    </row>
    <row r="25" spans="1:51" x14ac:dyDescent="0.2">
      <c r="B25" s="129" t="s">
        <v>118</v>
      </c>
      <c r="C25" s="118">
        <v>2676</v>
      </c>
      <c r="D25" s="160">
        <v>2402</v>
      </c>
      <c r="E25" s="118">
        <v>0</v>
      </c>
      <c r="F25" s="118">
        <v>3071</v>
      </c>
      <c r="G25" s="118">
        <v>52</v>
      </c>
      <c r="H25" s="118">
        <v>1780</v>
      </c>
      <c r="I25" s="118">
        <v>20</v>
      </c>
      <c r="J25" s="118">
        <v>2656</v>
      </c>
      <c r="K25" s="118">
        <v>2092</v>
      </c>
      <c r="L25" s="118">
        <v>2210</v>
      </c>
      <c r="M25" s="118">
        <v>2249</v>
      </c>
      <c r="N25" s="118">
        <v>3454</v>
      </c>
      <c r="O25" s="118">
        <v>2575</v>
      </c>
      <c r="P25" s="118">
        <v>2878</v>
      </c>
      <c r="Q25" s="118">
        <v>3099</v>
      </c>
      <c r="R25" s="118">
        <v>4026</v>
      </c>
      <c r="S25" s="118">
        <v>3256</v>
      </c>
      <c r="T25" s="118">
        <v>1050</v>
      </c>
      <c r="U25" s="118">
        <v>1253</v>
      </c>
      <c r="V25" s="118">
        <v>2395</v>
      </c>
      <c r="W25" s="118">
        <v>1748</v>
      </c>
      <c r="X25" s="118">
        <v>3136</v>
      </c>
      <c r="Y25" s="118">
        <v>1716</v>
      </c>
      <c r="Z25" s="118">
        <v>1994</v>
      </c>
      <c r="AA25" s="118">
        <v>1469</v>
      </c>
      <c r="AB25" s="118">
        <v>807</v>
      </c>
      <c r="AC25" s="118">
        <v>1570</v>
      </c>
      <c r="AD25" s="118">
        <v>3592</v>
      </c>
      <c r="AE25" s="118">
        <v>1463</v>
      </c>
      <c r="AF25" s="118">
        <v>1569</v>
      </c>
      <c r="AG25" s="118">
        <v>1501</v>
      </c>
      <c r="AH25" s="118">
        <v>1923</v>
      </c>
      <c r="AI25" s="118">
        <v>1326</v>
      </c>
      <c r="AJ25" s="118">
        <v>1541</v>
      </c>
      <c r="AK25" s="118">
        <v>1669</v>
      </c>
      <c r="AL25" s="118">
        <v>2241</v>
      </c>
      <c r="AM25" s="118">
        <v>2088</v>
      </c>
      <c r="AN25" s="118">
        <v>1944</v>
      </c>
      <c r="AO25" s="118">
        <v>2294</v>
      </c>
      <c r="AP25" s="118">
        <v>2715</v>
      </c>
      <c r="AQ25" s="118">
        <v>2355</v>
      </c>
      <c r="AR25" s="118">
        <v>5729</v>
      </c>
      <c r="AS25" s="118">
        <v>3625</v>
      </c>
      <c r="AT25" s="118">
        <v>3971</v>
      </c>
      <c r="AU25" s="118">
        <v>5729</v>
      </c>
      <c r="AV25" s="118">
        <v>3685</v>
      </c>
      <c r="AW25" s="118">
        <v>4238</v>
      </c>
      <c r="AX25" s="118">
        <v>4149</v>
      </c>
      <c r="AY25" s="118">
        <v>4228</v>
      </c>
    </row>
    <row r="26" spans="1:51" x14ac:dyDescent="0.2">
      <c r="B26" s="129" t="s">
        <v>119</v>
      </c>
      <c r="C26" s="118">
        <v>3140</v>
      </c>
      <c r="D26" s="160">
        <v>2328</v>
      </c>
      <c r="E26" s="118">
        <v>1808</v>
      </c>
      <c r="F26" s="118">
        <v>2151</v>
      </c>
      <c r="G26" s="118">
        <v>2511</v>
      </c>
      <c r="H26" s="118">
        <v>2105</v>
      </c>
      <c r="I26" s="118">
        <v>1467</v>
      </c>
      <c r="J26" s="118">
        <v>1277</v>
      </c>
      <c r="K26" s="118">
        <v>1137</v>
      </c>
      <c r="L26" s="118">
        <v>910</v>
      </c>
      <c r="M26" s="118">
        <v>935</v>
      </c>
      <c r="N26" s="118">
        <v>1022</v>
      </c>
      <c r="O26" s="118">
        <v>1323</v>
      </c>
      <c r="P26" s="118">
        <v>1542</v>
      </c>
      <c r="Q26" s="118">
        <v>973</v>
      </c>
      <c r="R26" s="118">
        <v>1307</v>
      </c>
      <c r="S26" s="118">
        <v>1416</v>
      </c>
      <c r="T26" s="118">
        <v>1826</v>
      </c>
      <c r="U26" s="118">
        <v>2004</v>
      </c>
      <c r="V26" s="118">
        <v>1648</v>
      </c>
      <c r="W26" s="118">
        <v>568</v>
      </c>
      <c r="X26" s="118">
        <v>819</v>
      </c>
      <c r="Y26" s="118">
        <v>769</v>
      </c>
      <c r="Z26" s="118">
        <v>1043</v>
      </c>
      <c r="AA26" s="118">
        <v>1149</v>
      </c>
      <c r="AB26" s="118">
        <v>827</v>
      </c>
      <c r="AC26" s="118">
        <v>717</v>
      </c>
      <c r="AD26" s="118">
        <v>996</v>
      </c>
      <c r="AE26" s="118">
        <v>377</v>
      </c>
      <c r="AF26" s="118">
        <v>315</v>
      </c>
      <c r="AG26" s="118">
        <v>441</v>
      </c>
      <c r="AH26" s="118">
        <v>806</v>
      </c>
      <c r="AI26" s="118">
        <v>814</v>
      </c>
      <c r="AJ26" s="118">
        <v>2195</v>
      </c>
      <c r="AK26" s="118">
        <v>2301</v>
      </c>
      <c r="AL26" s="118">
        <v>2395</v>
      </c>
      <c r="AM26" s="118">
        <v>2128</v>
      </c>
      <c r="AN26" s="118">
        <v>3047</v>
      </c>
      <c r="AO26" s="118">
        <v>2690</v>
      </c>
      <c r="AP26" s="118">
        <v>4679</v>
      </c>
      <c r="AQ26" s="118">
        <v>2579</v>
      </c>
      <c r="AR26" s="118">
        <v>4206</v>
      </c>
      <c r="AS26" s="118">
        <v>6739</v>
      </c>
      <c r="AT26" s="118">
        <v>6355</v>
      </c>
      <c r="AU26" s="118">
        <v>5242</v>
      </c>
      <c r="AV26" s="118">
        <v>6148</v>
      </c>
      <c r="AW26" s="118">
        <v>5561</v>
      </c>
      <c r="AX26" s="118">
        <v>5374</v>
      </c>
      <c r="AY26" s="118">
        <v>5140</v>
      </c>
    </row>
    <row r="27" spans="1:51" x14ac:dyDescent="0.2">
      <c r="B27" s="129" t="s">
        <v>120</v>
      </c>
      <c r="C27" s="118">
        <v>1184</v>
      </c>
      <c r="D27" s="160">
        <v>0</v>
      </c>
      <c r="E27" s="118">
        <v>0</v>
      </c>
      <c r="F27" s="118">
        <v>0</v>
      </c>
      <c r="G27" s="118">
        <v>167</v>
      </c>
      <c r="H27" s="118">
        <v>0</v>
      </c>
      <c r="I27" s="118">
        <v>0</v>
      </c>
      <c r="J27" s="118">
        <v>3402</v>
      </c>
      <c r="K27" s="118">
        <v>3799</v>
      </c>
      <c r="L27" s="118">
        <v>3470</v>
      </c>
      <c r="M27" s="118">
        <v>4354</v>
      </c>
      <c r="N27" s="118">
        <v>3903</v>
      </c>
      <c r="O27" s="118">
        <v>4044</v>
      </c>
      <c r="P27" s="118">
        <v>3955</v>
      </c>
      <c r="Q27" s="118">
        <v>5261</v>
      </c>
      <c r="R27" s="118">
        <v>5931</v>
      </c>
      <c r="S27" s="118">
        <v>5674</v>
      </c>
      <c r="T27" s="118">
        <v>5947</v>
      </c>
      <c r="U27" s="118">
        <v>6848</v>
      </c>
      <c r="V27" s="118">
        <v>5391</v>
      </c>
      <c r="W27" s="118">
        <v>4908</v>
      </c>
      <c r="X27" s="118">
        <v>6298</v>
      </c>
      <c r="Y27" s="118">
        <v>5538</v>
      </c>
      <c r="Z27" s="118">
        <v>5751</v>
      </c>
      <c r="AA27" s="118">
        <v>5037</v>
      </c>
      <c r="AB27" s="118">
        <v>4162</v>
      </c>
      <c r="AC27" s="118">
        <v>6707</v>
      </c>
      <c r="AD27" s="118">
        <v>4527</v>
      </c>
      <c r="AE27" s="118">
        <v>5379</v>
      </c>
      <c r="AF27" s="118">
        <v>6688</v>
      </c>
      <c r="AG27" s="118">
        <v>4446</v>
      </c>
      <c r="AH27" s="118">
        <v>6062</v>
      </c>
      <c r="AI27" s="118">
        <v>4032</v>
      </c>
      <c r="AJ27" s="118">
        <v>6164</v>
      </c>
      <c r="AK27" s="118">
        <v>9567</v>
      </c>
      <c r="AL27" s="118">
        <v>8841</v>
      </c>
      <c r="AM27" s="118">
        <v>5252</v>
      </c>
      <c r="AN27" s="118">
        <v>6693</v>
      </c>
      <c r="AO27" s="118">
        <v>4655</v>
      </c>
      <c r="AP27" s="118">
        <v>6579</v>
      </c>
      <c r="AQ27" s="118">
        <v>4822</v>
      </c>
      <c r="AR27" s="118">
        <v>5339</v>
      </c>
      <c r="AS27" s="118">
        <v>6992</v>
      </c>
      <c r="AT27" s="118">
        <v>10888</v>
      </c>
      <c r="AU27" s="118">
        <v>8321</v>
      </c>
      <c r="AV27" s="118">
        <v>8478</v>
      </c>
      <c r="AW27" s="118">
        <v>9642</v>
      </c>
      <c r="AX27" s="118">
        <v>15221</v>
      </c>
      <c r="AY27" s="118">
        <v>10362</v>
      </c>
    </row>
    <row r="28" spans="1:51" x14ac:dyDescent="0.2">
      <c r="B28" s="129" t="s">
        <v>556</v>
      </c>
      <c r="C28" s="118">
        <v>404</v>
      </c>
      <c r="D28" s="160">
        <v>626</v>
      </c>
      <c r="E28" s="118">
        <v>718</v>
      </c>
      <c r="F28" s="118">
        <v>684</v>
      </c>
      <c r="G28" s="118">
        <v>546</v>
      </c>
      <c r="H28" s="118">
        <v>342</v>
      </c>
      <c r="I28" s="118">
        <v>0</v>
      </c>
      <c r="J28" s="118">
        <v>0</v>
      </c>
      <c r="K28" s="118">
        <v>0</v>
      </c>
      <c r="L28" s="118">
        <v>0</v>
      </c>
      <c r="M28" s="118">
        <v>0</v>
      </c>
      <c r="N28" s="118">
        <v>0</v>
      </c>
      <c r="O28" s="118">
        <v>0</v>
      </c>
      <c r="P28" s="118">
        <v>0</v>
      </c>
      <c r="Q28" s="118">
        <v>0</v>
      </c>
      <c r="R28" s="118">
        <v>0</v>
      </c>
      <c r="S28" s="118">
        <v>0</v>
      </c>
      <c r="T28" s="118">
        <v>0</v>
      </c>
      <c r="U28" s="118">
        <v>0</v>
      </c>
      <c r="V28" s="118">
        <v>270</v>
      </c>
      <c r="W28" s="118">
        <v>0</v>
      </c>
      <c r="X28" s="118">
        <v>0</v>
      </c>
      <c r="Y28" s="118">
        <v>0</v>
      </c>
      <c r="Z28" s="118">
        <v>0</v>
      </c>
      <c r="AA28" s="118">
        <v>0</v>
      </c>
      <c r="AB28" s="118">
        <v>0</v>
      </c>
      <c r="AC28" s="118">
        <v>0</v>
      </c>
      <c r="AD28" s="118">
        <v>0</v>
      </c>
      <c r="AE28" s="118">
        <v>0</v>
      </c>
      <c r="AF28" s="118">
        <v>0</v>
      </c>
      <c r="AG28" s="118">
        <v>0</v>
      </c>
      <c r="AH28" s="118"/>
      <c r="AI28" s="118">
        <v>0</v>
      </c>
      <c r="AJ28" s="118">
        <v>0</v>
      </c>
      <c r="AK28" s="118">
        <v>0</v>
      </c>
      <c r="AL28" s="118">
        <v>0</v>
      </c>
      <c r="AM28" s="118">
        <v>0</v>
      </c>
      <c r="AN28" s="118">
        <v>0</v>
      </c>
      <c r="AO28" s="118">
        <v>0</v>
      </c>
      <c r="AP28" s="118">
        <v>0</v>
      </c>
      <c r="AQ28" s="118">
        <v>0</v>
      </c>
      <c r="AR28" s="118">
        <v>0</v>
      </c>
      <c r="AS28" s="118">
        <v>0</v>
      </c>
      <c r="AT28" s="118">
        <v>0</v>
      </c>
      <c r="AU28" s="118">
        <v>0</v>
      </c>
      <c r="AV28" s="118">
        <v>0</v>
      </c>
      <c r="AW28" s="118">
        <v>0</v>
      </c>
      <c r="AX28" s="118">
        <v>0</v>
      </c>
      <c r="AY28" s="118">
        <v>0</v>
      </c>
    </row>
    <row r="29" spans="1:51" x14ac:dyDescent="0.2">
      <c r="B29" s="129" t="s">
        <v>537</v>
      </c>
      <c r="C29" s="118">
        <v>344</v>
      </c>
      <c r="D29" s="160">
        <v>2188</v>
      </c>
      <c r="E29" s="118">
        <v>326</v>
      </c>
      <c r="F29" s="118">
        <v>1151</v>
      </c>
      <c r="G29" s="118">
        <v>657</v>
      </c>
      <c r="H29" s="118">
        <v>477</v>
      </c>
      <c r="I29" s="118">
        <v>754</v>
      </c>
      <c r="J29" s="118">
        <v>1589</v>
      </c>
      <c r="K29" s="118">
        <v>778</v>
      </c>
      <c r="L29" s="118">
        <v>1453</v>
      </c>
      <c r="M29" s="118">
        <v>641</v>
      </c>
      <c r="N29" s="118">
        <v>1397</v>
      </c>
      <c r="O29" s="118">
        <v>1144</v>
      </c>
      <c r="P29" s="118">
        <v>1361</v>
      </c>
      <c r="Q29" s="118">
        <v>1433</v>
      </c>
      <c r="R29" s="118">
        <v>3524</v>
      </c>
      <c r="S29" s="118">
        <v>2999</v>
      </c>
      <c r="T29" s="118">
        <v>1644</v>
      </c>
      <c r="U29" s="118">
        <v>1765</v>
      </c>
      <c r="V29" s="118">
        <v>3193</v>
      </c>
      <c r="W29" s="118">
        <v>3900</v>
      </c>
      <c r="X29" s="118">
        <v>3813</v>
      </c>
      <c r="Y29" s="118">
        <v>5614</v>
      </c>
      <c r="Z29" s="118">
        <v>5752</v>
      </c>
      <c r="AA29" s="118">
        <v>5316</v>
      </c>
      <c r="AB29" s="118">
        <v>5698</v>
      </c>
      <c r="AC29" s="118">
        <v>5343</v>
      </c>
      <c r="AD29" s="118">
        <v>6151</v>
      </c>
      <c r="AE29" s="118">
        <v>5599</v>
      </c>
      <c r="AF29" s="118">
        <v>6345</v>
      </c>
      <c r="AG29" s="118">
        <v>5213</v>
      </c>
      <c r="AH29" s="118">
        <v>5480</v>
      </c>
      <c r="AI29" s="118">
        <v>5776</v>
      </c>
      <c r="AJ29" s="118">
        <v>5638</v>
      </c>
      <c r="AK29" s="118">
        <v>3481</v>
      </c>
      <c r="AL29" s="118">
        <v>4954</v>
      </c>
      <c r="AM29" s="118">
        <v>3617</v>
      </c>
      <c r="AN29" s="118">
        <v>3252</v>
      </c>
      <c r="AO29" s="118">
        <v>3555</v>
      </c>
      <c r="AP29" s="118">
        <v>5387</v>
      </c>
      <c r="AQ29" s="118">
        <v>4637</v>
      </c>
      <c r="AR29" s="118">
        <v>3525</v>
      </c>
      <c r="AS29" s="118">
        <v>3165</v>
      </c>
      <c r="AT29" s="118">
        <v>4618</v>
      </c>
      <c r="AU29" s="118">
        <v>3289</v>
      </c>
      <c r="AV29" s="118">
        <v>2783</v>
      </c>
      <c r="AW29" s="118">
        <v>3280</v>
      </c>
      <c r="AX29" s="118">
        <v>3695</v>
      </c>
      <c r="AY29" s="118">
        <v>3636</v>
      </c>
    </row>
    <row r="30" spans="1:51" x14ac:dyDescent="0.2">
      <c r="B30" s="129" t="s">
        <v>121</v>
      </c>
      <c r="C30" s="118">
        <v>809</v>
      </c>
      <c r="D30" s="160">
        <v>270</v>
      </c>
      <c r="E30" s="118">
        <v>1150</v>
      </c>
      <c r="F30" s="118">
        <v>998</v>
      </c>
      <c r="G30" s="118">
        <v>627</v>
      </c>
      <c r="H30" s="118">
        <v>411</v>
      </c>
      <c r="I30" s="118">
        <v>488</v>
      </c>
      <c r="J30" s="118">
        <v>835</v>
      </c>
      <c r="K30" s="118">
        <v>497</v>
      </c>
      <c r="L30" s="118">
        <v>518</v>
      </c>
      <c r="M30" s="118">
        <v>656</v>
      </c>
      <c r="N30" s="118">
        <v>630</v>
      </c>
      <c r="O30" s="118">
        <v>398</v>
      </c>
      <c r="P30" s="118">
        <v>528</v>
      </c>
      <c r="Q30" s="118">
        <v>485</v>
      </c>
      <c r="R30" s="118">
        <v>1184</v>
      </c>
      <c r="S30" s="118">
        <v>1235</v>
      </c>
      <c r="T30" s="118">
        <v>789</v>
      </c>
      <c r="U30" s="118">
        <v>725</v>
      </c>
      <c r="V30" s="118">
        <v>1393</v>
      </c>
      <c r="W30" s="118">
        <v>839</v>
      </c>
      <c r="X30" s="118">
        <v>1116</v>
      </c>
      <c r="Y30" s="118">
        <v>6786</v>
      </c>
      <c r="Z30" s="118">
        <v>2333</v>
      </c>
      <c r="AA30" s="118">
        <v>4403</v>
      </c>
      <c r="AB30" s="118">
        <v>3774</v>
      </c>
      <c r="AC30" s="118">
        <v>1427</v>
      </c>
      <c r="AD30" s="118">
        <v>1797</v>
      </c>
      <c r="AE30" s="118">
        <v>1856</v>
      </c>
      <c r="AF30" s="118">
        <v>1437</v>
      </c>
      <c r="AG30" s="118">
        <v>1150</v>
      </c>
      <c r="AH30" s="118">
        <v>1981</v>
      </c>
      <c r="AI30" s="118">
        <v>1323</v>
      </c>
      <c r="AJ30" s="118">
        <v>2854</v>
      </c>
      <c r="AK30" s="118">
        <v>1514</v>
      </c>
      <c r="AL30" s="118">
        <v>2052</v>
      </c>
      <c r="AM30" s="118">
        <v>1731</v>
      </c>
      <c r="AN30" s="118">
        <v>2195</v>
      </c>
      <c r="AO30" s="118">
        <v>2566</v>
      </c>
      <c r="AP30" s="118">
        <v>2543</v>
      </c>
      <c r="AQ30" s="118">
        <v>2976</v>
      </c>
      <c r="AR30" s="118">
        <v>2721</v>
      </c>
      <c r="AS30" s="118">
        <v>2024</v>
      </c>
      <c r="AT30" s="118">
        <v>3286</v>
      </c>
      <c r="AU30" s="118">
        <v>2946</v>
      </c>
      <c r="AV30" s="118">
        <v>1654</v>
      </c>
      <c r="AW30" s="118">
        <v>2821</v>
      </c>
      <c r="AX30" s="118">
        <v>2995</v>
      </c>
      <c r="AY30" s="118">
        <v>1797</v>
      </c>
    </row>
    <row r="31" spans="1:51" x14ac:dyDescent="0.2">
      <c r="B31" s="129" t="s">
        <v>122</v>
      </c>
      <c r="C31" s="118">
        <v>336</v>
      </c>
      <c r="D31" s="160">
        <v>474</v>
      </c>
      <c r="E31" s="118">
        <v>367</v>
      </c>
      <c r="F31" s="118">
        <v>739</v>
      </c>
      <c r="G31" s="118">
        <v>437</v>
      </c>
      <c r="H31" s="118">
        <v>473</v>
      </c>
      <c r="I31" s="118">
        <v>364</v>
      </c>
      <c r="J31" s="118">
        <v>743</v>
      </c>
      <c r="K31" s="118">
        <v>489</v>
      </c>
      <c r="L31" s="118">
        <v>361</v>
      </c>
      <c r="M31" s="118">
        <v>332</v>
      </c>
      <c r="N31" s="118">
        <v>363</v>
      </c>
      <c r="O31" s="118">
        <v>413</v>
      </c>
      <c r="P31" s="118">
        <v>445</v>
      </c>
      <c r="Q31" s="118">
        <v>755</v>
      </c>
      <c r="R31" s="118">
        <v>563</v>
      </c>
      <c r="S31" s="118">
        <v>650</v>
      </c>
      <c r="T31" s="118">
        <v>759</v>
      </c>
      <c r="U31" s="118">
        <v>1152</v>
      </c>
      <c r="V31" s="118">
        <v>1542</v>
      </c>
      <c r="W31" s="118">
        <v>1106</v>
      </c>
      <c r="X31" s="118">
        <v>1174</v>
      </c>
      <c r="Y31" s="118">
        <v>1065</v>
      </c>
      <c r="Z31" s="118">
        <v>873</v>
      </c>
      <c r="AA31" s="118">
        <v>1024</v>
      </c>
      <c r="AB31" s="118">
        <v>668</v>
      </c>
      <c r="AC31" s="118">
        <v>1131</v>
      </c>
      <c r="AD31" s="118">
        <v>1178</v>
      </c>
      <c r="AE31" s="118">
        <v>1245</v>
      </c>
      <c r="AF31" s="118">
        <v>1283</v>
      </c>
      <c r="AG31" s="118">
        <v>1327</v>
      </c>
      <c r="AH31" s="118">
        <v>1266</v>
      </c>
      <c r="AI31" s="118">
        <v>1198</v>
      </c>
      <c r="AJ31" s="118">
        <v>1215</v>
      </c>
      <c r="AK31" s="118">
        <v>1452</v>
      </c>
      <c r="AL31" s="118">
        <v>1747</v>
      </c>
      <c r="AM31" s="118">
        <v>1495</v>
      </c>
      <c r="AN31" s="118">
        <v>1501</v>
      </c>
      <c r="AO31" s="118">
        <v>1539</v>
      </c>
      <c r="AP31" s="118">
        <v>1700</v>
      </c>
      <c r="AQ31" s="118">
        <v>1648</v>
      </c>
      <c r="AR31" s="118">
        <v>1142</v>
      </c>
      <c r="AS31" s="118">
        <v>1740</v>
      </c>
      <c r="AT31" s="118">
        <v>2659</v>
      </c>
      <c r="AU31" s="118">
        <v>3179</v>
      </c>
      <c r="AV31" s="118">
        <v>2261</v>
      </c>
      <c r="AW31" s="118">
        <v>1772</v>
      </c>
      <c r="AX31" s="118">
        <v>2518</v>
      </c>
      <c r="AY31" s="118">
        <v>2431</v>
      </c>
    </row>
    <row r="32" spans="1:51" x14ac:dyDescent="0.2">
      <c r="B32" s="129" t="s">
        <v>123</v>
      </c>
      <c r="C32" s="118">
        <v>0</v>
      </c>
      <c r="D32" s="160">
        <v>0</v>
      </c>
      <c r="E32" s="118">
        <v>0</v>
      </c>
      <c r="F32" s="118">
        <v>0</v>
      </c>
      <c r="G32" s="118">
        <v>0</v>
      </c>
      <c r="H32" s="118">
        <v>0</v>
      </c>
      <c r="I32" s="118">
        <v>0</v>
      </c>
      <c r="J32" s="118">
        <v>0</v>
      </c>
      <c r="K32" s="118">
        <v>0</v>
      </c>
      <c r="L32" s="118">
        <v>0</v>
      </c>
      <c r="M32" s="118">
        <v>0</v>
      </c>
      <c r="N32" s="118">
        <v>0</v>
      </c>
      <c r="O32" s="118">
        <v>0</v>
      </c>
      <c r="P32" s="118">
        <v>0</v>
      </c>
      <c r="Q32" s="118">
        <v>0</v>
      </c>
      <c r="R32" s="118">
        <v>0</v>
      </c>
      <c r="S32" s="118">
        <v>0</v>
      </c>
      <c r="T32" s="118">
        <v>0</v>
      </c>
      <c r="U32" s="118">
        <v>0</v>
      </c>
      <c r="V32" s="118">
        <v>0</v>
      </c>
      <c r="W32" s="118">
        <v>0</v>
      </c>
      <c r="X32" s="118">
        <v>0</v>
      </c>
      <c r="Y32" s="118">
        <v>0</v>
      </c>
      <c r="Z32" s="118">
        <v>0</v>
      </c>
      <c r="AA32" s="118">
        <v>0</v>
      </c>
      <c r="AB32" s="118">
        <v>0</v>
      </c>
      <c r="AC32" s="118">
        <v>0</v>
      </c>
      <c r="AD32" s="118">
        <v>0</v>
      </c>
      <c r="AE32" s="118">
        <v>0</v>
      </c>
      <c r="AF32" s="118">
        <v>0</v>
      </c>
      <c r="AG32" s="118">
        <v>0</v>
      </c>
      <c r="AH32" s="118"/>
      <c r="AI32" s="118">
        <v>0</v>
      </c>
      <c r="AJ32" s="118">
        <v>0</v>
      </c>
      <c r="AK32" s="118">
        <v>0</v>
      </c>
      <c r="AL32" s="118">
        <v>0</v>
      </c>
      <c r="AM32" s="118">
        <v>0</v>
      </c>
      <c r="AN32" s="118">
        <v>0</v>
      </c>
      <c r="AO32" s="118">
        <v>0</v>
      </c>
      <c r="AP32" s="118">
        <v>0</v>
      </c>
      <c r="AQ32" s="118">
        <v>0</v>
      </c>
      <c r="AR32" s="118">
        <v>0</v>
      </c>
      <c r="AS32" s="118">
        <v>0</v>
      </c>
      <c r="AT32" s="118">
        <v>0</v>
      </c>
      <c r="AU32" s="118">
        <v>0</v>
      </c>
      <c r="AV32" s="118">
        <v>0</v>
      </c>
      <c r="AW32" s="118">
        <v>0</v>
      </c>
      <c r="AX32" s="118">
        <v>0</v>
      </c>
      <c r="AY32" s="118">
        <v>0</v>
      </c>
    </row>
    <row r="33" spans="1:51" x14ac:dyDescent="0.2">
      <c r="B33" s="129" t="s">
        <v>572</v>
      </c>
      <c r="C33" s="118">
        <v>0</v>
      </c>
      <c r="D33" s="160">
        <v>0</v>
      </c>
      <c r="E33" s="118">
        <v>0</v>
      </c>
      <c r="F33" s="118">
        <v>0</v>
      </c>
      <c r="G33" s="118">
        <v>0</v>
      </c>
      <c r="H33" s="118">
        <v>0</v>
      </c>
      <c r="I33" s="118">
        <v>0</v>
      </c>
      <c r="J33" s="118">
        <v>0</v>
      </c>
      <c r="K33" s="118">
        <v>0</v>
      </c>
      <c r="L33" s="118">
        <v>0</v>
      </c>
      <c r="M33" s="118">
        <v>0</v>
      </c>
      <c r="N33" s="118">
        <v>0</v>
      </c>
      <c r="O33" s="118">
        <v>1318</v>
      </c>
      <c r="P33" s="118">
        <v>1004</v>
      </c>
      <c r="Q33" s="118">
        <v>462</v>
      </c>
      <c r="R33" s="118">
        <v>0</v>
      </c>
      <c r="S33" s="118">
        <v>0</v>
      </c>
      <c r="T33" s="118">
        <v>0</v>
      </c>
      <c r="U33" s="118">
        <v>0</v>
      </c>
      <c r="V33" s="118">
        <v>0</v>
      </c>
      <c r="W33" s="118">
        <v>0</v>
      </c>
      <c r="X33" s="118">
        <v>0</v>
      </c>
      <c r="Y33" s="118">
        <v>0</v>
      </c>
      <c r="Z33" s="118">
        <v>0</v>
      </c>
      <c r="AA33" s="118">
        <v>0</v>
      </c>
      <c r="AB33" s="118">
        <v>0</v>
      </c>
      <c r="AC33" s="118">
        <v>0</v>
      </c>
      <c r="AD33" s="118">
        <v>0</v>
      </c>
      <c r="AE33" s="118">
        <v>0</v>
      </c>
      <c r="AF33" s="118">
        <v>0</v>
      </c>
      <c r="AG33" s="118">
        <v>0</v>
      </c>
      <c r="AH33" s="118"/>
      <c r="AI33" s="118">
        <v>0</v>
      </c>
      <c r="AJ33" s="118">
        <v>0</v>
      </c>
      <c r="AK33" s="118">
        <v>0</v>
      </c>
      <c r="AL33" s="118">
        <v>0</v>
      </c>
      <c r="AM33" s="118">
        <v>0</v>
      </c>
      <c r="AN33" s="118">
        <v>0</v>
      </c>
      <c r="AO33" s="118">
        <v>0</v>
      </c>
      <c r="AP33" s="118">
        <v>0</v>
      </c>
      <c r="AQ33" s="118">
        <v>0</v>
      </c>
      <c r="AR33" s="118">
        <v>0</v>
      </c>
      <c r="AS33" s="118">
        <v>0</v>
      </c>
      <c r="AT33" s="118">
        <v>0</v>
      </c>
      <c r="AU33" s="118">
        <v>0</v>
      </c>
      <c r="AV33" s="118">
        <v>0</v>
      </c>
      <c r="AW33" s="118">
        <v>0</v>
      </c>
      <c r="AX33" s="118">
        <v>0</v>
      </c>
      <c r="AY33" s="118">
        <v>0</v>
      </c>
    </row>
    <row r="34" spans="1:51" x14ac:dyDescent="0.2">
      <c r="B34" s="129" t="s">
        <v>582</v>
      </c>
      <c r="C34" s="118">
        <v>0</v>
      </c>
      <c r="D34" s="160">
        <v>0</v>
      </c>
      <c r="E34" s="118">
        <v>0</v>
      </c>
      <c r="F34" s="118">
        <v>0</v>
      </c>
      <c r="G34" s="118">
        <v>0</v>
      </c>
      <c r="H34" s="118">
        <v>0</v>
      </c>
      <c r="I34" s="118">
        <v>0</v>
      </c>
      <c r="J34" s="118">
        <v>0</v>
      </c>
      <c r="K34" s="118">
        <v>0</v>
      </c>
      <c r="L34" s="118">
        <v>0</v>
      </c>
      <c r="M34" s="118">
        <v>0</v>
      </c>
      <c r="N34" s="118">
        <v>0</v>
      </c>
      <c r="O34" s="118">
        <v>0</v>
      </c>
      <c r="P34" s="118">
        <v>731</v>
      </c>
      <c r="Q34" s="118">
        <v>611</v>
      </c>
      <c r="R34" s="118">
        <v>788</v>
      </c>
      <c r="S34" s="118">
        <v>634</v>
      </c>
      <c r="T34" s="118">
        <v>1362</v>
      </c>
      <c r="U34" s="118">
        <v>1530</v>
      </c>
      <c r="V34" s="118">
        <v>2040</v>
      </c>
      <c r="W34" s="118">
        <v>1549</v>
      </c>
      <c r="X34" s="118">
        <v>1698</v>
      </c>
      <c r="Y34" s="118">
        <v>959</v>
      </c>
      <c r="Z34" s="118">
        <v>2050</v>
      </c>
      <c r="AA34" s="118">
        <v>1841</v>
      </c>
      <c r="AB34" s="118">
        <v>1844</v>
      </c>
      <c r="AC34" s="118">
        <v>1749</v>
      </c>
      <c r="AD34" s="118">
        <v>1256</v>
      </c>
      <c r="AE34" s="118">
        <v>1723</v>
      </c>
      <c r="AF34" s="118">
        <v>1541</v>
      </c>
      <c r="AG34" s="118">
        <v>1312</v>
      </c>
      <c r="AH34" s="118">
        <v>2489</v>
      </c>
      <c r="AI34" s="118">
        <v>2582</v>
      </c>
      <c r="AJ34" s="118">
        <v>1522</v>
      </c>
      <c r="AK34" s="118">
        <v>1679</v>
      </c>
      <c r="AL34" s="118">
        <v>1780</v>
      </c>
      <c r="AM34" s="118">
        <v>1669</v>
      </c>
      <c r="AN34" s="118">
        <v>1637</v>
      </c>
      <c r="AO34" s="118">
        <v>1456</v>
      </c>
      <c r="AP34" s="118">
        <v>1641</v>
      </c>
      <c r="AQ34" s="118">
        <v>1693</v>
      </c>
      <c r="AR34" s="118">
        <v>2244</v>
      </c>
      <c r="AS34" s="118">
        <v>2749</v>
      </c>
      <c r="AT34" s="118">
        <v>3006</v>
      </c>
      <c r="AU34" s="118">
        <v>2998</v>
      </c>
      <c r="AV34" s="118">
        <v>3557</v>
      </c>
      <c r="AW34" s="118">
        <v>3990</v>
      </c>
      <c r="AX34" s="118">
        <v>2021</v>
      </c>
      <c r="AY34" s="118">
        <v>4033</v>
      </c>
    </row>
    <row r="35" spans="1:51" x14ac:dyDescent="0.2">
      <c r="B35" s="129" t="s">
        <v>49</v>
      </c>
      <c r="C35" s="118">
        <v>2472</v>
      </c>
      <c r="D35" s="160">
        <v>2610</v>
      </c>
      <c r="E35" s="118">
        <v>4359</v>
      </c>
      <c r="F35" s="118">
        <v>5043</v>
      </c>
      <c r="G35" s="118">
        <v>2016</v>
      </c>
      <c r="H35" s="118">
        <v>2334</v>
      </c>
      <c r="I35" s="118">
        <v>1801</v>
      </c>
      <c r="J35" s="118">
        <v>1472</v>
      </c>
      <c r="K35" s="118">
        <v>1464</v>
      </c>
      <c r="L35" s="118">
        <v>1516</v>
      </c>
      <c r="M35" s="118">
        <v>1544</v>
      </c>
      <c r="N35" s="118">
        <v>1808</v>
      </c>
      <c r="O35" s="118">
        <v>769</v>
      </c>
      <c r="P35" s="118">
        <v>466</v>
      </c>
      <c r="Q35" s="118">
        <v>804</v>
      </c>
      <c r="R35" s="118">
        <v>1432</v>
      </c>
      <c r="S35" s="118">
        <v>743</v>
      </c>
      <c r="T35" s="118">
        <v>1638</v>
      </c>
      <c r="U35" s="118">
        <v>1695</v>
      </c>
      <c r="V35" s="118">
        <v>2814</v>
      </c>
      <c r="W35" s="118">
        <v>1775</v>
      </c>
      <c r="X35" s="118">
        <v>1720</v>
      </c>
      <c r="Y35" s="118">
        <v>3458</v>
      </c>
      <c r="Z35" s="118">
        <v>2872</v>
      </c>
      <c r="AA35" s="118">
        <v>4198</v>
      </c>
      <c r="AB35" s="118">
        <v>6407</v>
      </c>
      <c r="AC35" s="118">
        <v>4634</v>
      </c>
      <c r="AD35" s="118">
        <v>3653</v>
      </c>
      <c r="AE35" s="118">
        <v>2928</v>
      </c>
      <c r="AF35" s="118">
        <v>2463</v>
      </c>
      <c r="AG35" s="118">
        <v>3587</v>
      </c>
      <c r="AH35" s="118">
        <v>2392</v>
      </c>
      <c r="AI35" s="118">
        <v>2155</v>
      </c>
      <c r="AJ35" s="118">
        <v>1494</v>
      </c>
      <c r="AK35" s="118">
        <v>2846</v>
      </c>
      <c r="AL35" s="118">
        <v>3051</v>
      </c>
      <c r="AM35" s="118">
        <v>2605</v>
      </c>
      <c r="AN35" s="118">
        <v>2938</v>
      </c>
      <c r="AO35" s="118">
        <v>2295</v>
      </c>
      <c r="AP35" s="118">
        <v>3369</v>
      </c>
      <c r="AQ35" s="118">
        <v>2493</v>
      </c>
      <c r="AR35" s="118">
        <v>2468</v>
      </c>
      <c r="AS35" s="118">
        <v>3225</v>
      </c>
      <c r="AT35" s="118">
        <v>2227</v>
      </c>
      <c r="AU35" s="118">
        <v>2424</v>
      </c>
      <c r="AV35" s="118">
        <v>2287</v>
      </c>
      <c r="AW35" s="118">
        <v>1959</v>
      </c>
      <c r="AX35" s="118">
        <v>3335</v>
      </c>
      <c r="AY35" s="118">
        <v>2741</v>
      </c>
    </row>
    <row r="36" spans="1:51" s="248" customFormat="1" hidden="1" outlineLevel="1" x14ac:dyDescent="0.2">
      <c r="A36" s="25"/>
      <c r="B36" s="249" t="s">
        <v>124</v>
      </c>
      <c r="C36" s="218">
        <v>0</v>
      </c>
      <c r="D36" s="219">
        <v>0</v>
      </c>
      <c r="E36" s="218">
        <v>37</v>
      </c>
      <c r="F36" s="218">
        <v>0</v>
      </c>
      <c r="G36" s="218">
        <v>0</v>
      </c>
      <c r="H36" s="218">
        <v>0</v>
      </c>
      <c r="I36" s="218">
        <v>0</v>
      </c>
      <c r="J36" s="218">
        <v>0</v>
      </c>
      <c r="K36" s="218">
        <v>0</v>
      </c>
      <c r="L36" s="218">
        <v>0</v>
      </c>
      <c r="M36" s="218">
        <v>0</v>
      </c>
      <c r="N36" s="218">
        <v>0</v>
      </c>
      <c r="O36" s="218">
        <v>0</v>
      </c>
      <c r="P36" s="218">
        <v>0</v>
      </c>
      <c r="Q36" s="218">
        <v>0</v>
      </c>
      <c r="R36" s="218">
        <v>0</v>
      </c>
      <c r="S36" s="218">
        <v>0</v>
      </c>
      <c r="T36" s="218">
        <v>0</v>
      </c>
      <c r="U36" s="218">
        <v>0</v>
      </c>
      <c r="V36" s="218">
        <v>0</v>
      </c>
      <c r="W36" s="218">
        <v>0</v>
      </c>
      <c r="X36" s="218"/>
      <c r="Y36" s="218">
        <v>0</v>
      </c>
      <c r="Z36" s="218">
        <v>0</v>
      </c>
      <c r="AA36" s="218">
        <v>0</v>
      </c>
      <c r="AB36" s="218">
        <v>0</v>
      </c>
      <c r="AC36" s="218">
        <v>0</v>
      </c>
      <c r="AD36" s="218">
        <v>0</v>
      </c>
      <c r="AE36" s="218">
        <v>0</v>
      </c>
      <c r="AF36" s="218">
        <v>0</v>
      </c>
      <c r="AG36" s="218">
        <v>0</v>
      </c>
      <c r="AH36" s="218"/>
      <c r="AI36" s="218">
        <v>0</v>
      </c>
      <c r="AJ36" s="218">
        <v>0</v>
      </c>
      <c r="AK36" s="218">
        <v>0</v>
      </c>
      <c r="AL36" s="218">
        <v>0</v>
      </c>
      <c r="AM36" s="218">
        <v>0</v>
      </c>
      <c r="AN36" s="218">
        <v>0</v>
      </c>
      <c r="AO36" s="218">
        <v>0</v>
      </c>
      <c r="AP36" s="218">
        <v>0</v>
      </c>
      <c r="AQ36" s="218">
        <v>0</v>
      </c>
      <c r="AR36" s="218"/>
      <c r="AS36" s="218"/>
      <c r="AT36" s="218">
        <v>0</v>
      </c>
      <c r="AU36" s="218"/>
      <c r="AV36" s="218">
        <v>0</v>
      </c>
      <c r="AW36" s="218">
        <v>0</v>
      </c>
      <c r="AX36" s="218">
        <v>0</v>
      </c>
      <c r="AY36" s="218">
        <v>0</v>
      </c>
    </row>
    <row r="37" spans="1:51" s="248" customFormat="1" hidden="1" outlineLevel="1" x14ac:dyDescent="0.2">
      <c r="A37" s="25"/>
      <c r="B37" s="249" t="s">
        <v>536</v>
      </c>
      <c r="C37" s="218">
        <v>0</v>
      </c>
      <c r="D37" s="219">
        <v>0</v>
      </c>
      <c r="E37" s="218">
        <v>0</v>
      </c>
      <c r="F37" s="218">
        <v>0</v>
      </c>
      <c r="G37" s="218">
        <v>0</v>
      </c>
      <c r="H37" s="218">
        <v>0</v>
      </c>
      <c r="I37" s="218">
        <v>0</v>
      </c>
      <c r="J37" s="218">
        <v>0</v>
      </c>
      <c r="K37" s="218">
        <v>0</v>
      </c>
      <c r="L37" s="218">
        <v>0</v>
      </c>
      <c r="M37" s="218">
        <v>0</v>
      </c>
      <c r="N37" s="218">
        <v>0</v>
      </c>
      <c r="O37" s="218">
        <v>0</v>
      </c>
      <c r="P37" s="218">
        <v>0</v>
      </c>
      <c r="Q37" s="218">
        <v>0</v>
      </c>
      <c r="R37" s="218">
        <v>0</v>
      </c>
      <c r="S37" s="218">
        <v>0</v>
      </c>
      <c r="T37" s="218">
        <v>0</v>
      </c>
      <c r="U37" s="218">
        <v>0</v>
      </c>
      <c r="V37" s="218">
        <v>0</v>
      </c>
      <c r="W37" s="218">
        <v>0</v>
      </c>
      <c r="X37" s="218"/>
      <c r="Y37" s="218">
        <v>0</v>
      </c>
      <c r="Z37" s="218">
        <v>0</v>
      </c>
      <c r="AA37" s="218">
        <v>0</v>
      </c>
      <c r="AB37" s="218">
        <v>0</v>
      </c>
      <c r="AC37" s="218">
        <v>0</v>
      </c>
      <c r="AD37" s="218">
        <v>0</v>
      </c>
      <c r="AE37" s="218">
        <v>0</v>
      </c>
      <c r="AF37" s="218">
        <v>0</v>
      </c>
      <c r="AG37" s="218">
        <v>0</v>
      </c>
      <c r="AH37" s="218"/>
      <c r="AI37" s="218">
        <v>0</v>
      </c>
      <c r="AJ37" s="218">
        <v>0</v>
      </c>
      <c r="AK37" s="218">
        <v>0</v>
      </c>
      <c r="AL37" s="218">
        <v>0</v>
      </c>
      <c r="AM37" s="218">
        <v>0</v>
      </c>
      <c r="AN37" s="218">
        <v>0</v>
      </c>
      <c r="AO37" s="218">
        <v>0</v>
      </c>
      <c r="AP37" s="218">
        <v>0</v>
      </c>
      <c r="AQ37" s="218">
        <v>0</v>
      </c>
      <c r="AR37" s="218"/>
      <c r="AS37" s="218"/>
      <c r="AT37" s="218">
        <v>0</v>
      </c>
      <c r="AU37" s="218"/>
      <c r="AV37" s="218">
        <v>0</v>
      </c>
      <c r="AW37" s="218">
        <v>0</v>
      </c>
      <c r="AX37" s="218">
        <v>0</v>
      </c>
      <c r="AY37" s="218">
        <v>0</v>
      </c>
    </row>
    <row r="38" spans="1:51" s="248" customFormat="1" hidden="1" outlineLevel="1" x14ac:dyDescent="0.2">
      <c r="A38" s="25"/>
      <c r="B38" s="249" t="s">
        <v>125</v>
      </c>
      <c r="C38" s="218">
        <v>0</v>
      </c>
      <c r="D38" s="219">
        <v>0</v>
      </c>
      <c r="E38" s="218">
        <v>0</v>
      </c>
      <c r="F38" s="218">
        <v>10454</v>
      </c>
      <c r="G38" s="218">
        <v>6948</v>
      </c>
      <c r="H38" s="218">
        <v>0</v>
      </c>
      <c r="I38" s="218">
        <v>0</v>
      </c>
      <c r="J38" s="218">
        <v>0</v>
      </c>
      <c r="K38" s="218">
        <v>0</v>
      </c>
      <c r="L38" s="218">
        <v>0</v>
      </c>
      <c r="M38" s="218">
        <v>0</v>
      </c>
      <c r="N38" s="218">
        <v>0</v>
      </c>
      <c r="O38" s="218">
        <v>0</v>
      </c>
      <c r="P38" s="218">
        <v>0</v>
      </c>
      <c r="Q38" s="218">
        <v>0</v>
      </c>
      <c r="R38" s="218">
        <v>0</v>
      </c>
      <c r="S38" s="218">
        <v>0</v>
      </c>
      <c r="T38" s="218">
        <v>0</v>
      </c>
      <c r="U38" s="218">
        <v>0</v>
      </c>
      <c r="V38" s="218">
        <v>0</v>
      </c>
      <c r="W38" s="218">
        <v>0</v>
      </c>
      <c r="X38" s="218"/>
      <c r="Y38" s="218">
        <v>0</v>
      </c>
      <c r="Z38" s="218">
        <v>0</v>
      </c>
      <c r="AA38" s="218">
        <v>0</v>
      </c>
      <c r="AB38" s="218">
        <v>0</v>
      </c>
      <c r="AC38" s="218">
        <v>0</v>
      </c>
      <c r="AD38" s="218">
        <v>0</v>
      </c>
      <c r="AE38" s="218">
        <v>0</v>
      </c>
      <c r="AF38" s="218">
        <v>0</v>
      </c>
      <c r="AG38" s="218">
        <v>0</v>
      </c>
      <c r="AH38" s="218"/>
      <c r="AI38" s="218">
        <v>0</v>
      </c>
      <c r="AJ38" s="218">
        <v>0</v>
      </c>
      <c r="AK38" s="218">
        <v>0</v>
      </c>
      <c r="AL38" s="218">
        <v>0</v>
      </c>
      <c r="AM38" s="218">
        <v>0</v>
      </c>
      <c r="AN38" s="218">
        <v>0</v>
      </c>
      <c r="AO38" s="218">
        <v>0</v>
      </c>
      <c r="AP38" s="218">
        <v>0</v>
      </c>
      <c r="AQ38" s="218">
        <v>0</v>
      </c>
      <c r="AR38" s="218"/>
      <c r="AS38" s="218"/>
      <c r="AT38" s="218">
        <v>0</v>
      </c>
      <c r="AU38" s="218"/>
      <c r="AV38" s="218">
        <v>0</v>
      </c>
      <c r="AW38" s="218">
        <v>0</v>
      </c>
      <c r="AX38" s="218">
        <v>0</v>
      </c>
      <c r="AY38" s="218">
        <v>0</v>
      </c>
    </row>
    <row r="39" spans="1:51" collapsed="1" x14ac:dyDescent="0.2">
      <c r="A39" s="27"/>
      <c r="B39" s="126" t="s">
        <v>73</v>
      </c>
      <c r="C39" s="120">
        <f t="shared" ref="C39:AV39" si="2">SUM(C24:C38)</f>
        <v>12028</v>
      </c>
      <c r="D39" s="162">
        <f t="shared" si="2"/>
        <v>11235</v>
      </c>
      <c r="E39" s="120">
        <f t="shared" si="2"/>
        <v>9344</v>
      </c>
      <c r="F39" s="120">
        <f t="shared" si="2"/>
        <v>25167</v>
      </c>
      <c r="G39" s="120">
        <f t="shared" si="2"/>
        <v>15086</v>
      </c>
      <c r="H39" s="120">
        <f t="shared" si="2"/>
        <v>8525</v>
      </c>
      <c r="I39" s="120">
        <f t="shared" si="2"/>
        <v>5781</v>
      </c>
      <c r="J39" s="120">
        <f t="shared" si="2"/>
        <v>12692</v>
      </c>
      <c r="K39" s="120">
        <f t="shared" si="2"/>
        <v>10766</v>
      </c>
      <c r="L39" s="120">
        <f t="shared" si="2"/>
        <v>11215</v>
      </c>
      <c r="M39" s="120">
        <f t="shared" si="2"/>
        <v>11479</v>
      </c>
      <c r="N39" s="120">
        <f t="shared" si="2"/>
        <v>13833</v>
      </c>
      <c r="O39" s="120">
        <f t="shared" si="2"/>
        <v>13169</v>
      </c>
      <c r="P39" s="120">
        <f t="shared" si="2"/>
        <v>14136</v>
      </c>
      <c r="Q39" s="120">
        <f t="shared" si="2"/>
        <v>15389</v>
      </c>
      <c r="R39" s="120">
        <f t="shared" si="2"/>
        <v>20320</v>
      </c>
      <c r="S39" s="120">
        <f t="shared" si="2"/>
        <v>18132</v>
      </c>
      <c r="T39" s="120">
        <f t="shared" si="2"/>
        <v>16473</v>
      </c>
      <c r="U39" s="120">
        <f t="shared" si="2"/>
        <v>18257</v>
      </c>
      <c r="V39" s="120">
        <f t="shared" si="2"/>
        <v>21994</v>
      </c>
      <c r="W39" s="120">
        <f t="shared" si="2"/>
        <v>17505</v>
      </c>
      <c r="X39" s="120">
        <f t="shared" si="2"/>
        <v>20659</v>
      </c>
      <c r="Y39" s="120">
        <f t="shared" si="2"/>
        <v>26897</v>
      </c>
      <c r="Z39" s="120">
        <f t="shared" si="2"/>
        <v>23585</v>
      </c>
      <c r="AA39" s="120">
        <f t="shared" si="2"/>
        <v>25189</v>
      </c>
      <c r="AB39" s="120">
        <f t="shared" si="2"/>
        <v>24591</v>
      </c>
      <c r="AC39" s="120">
        <f t="shared" si="2"/>
        <v>23922</v>
      </c>
      <c r="AD39" s="120">
        <f t="shared" si="2"/>
        <v>24058</v>
      </c>
      <c r="AE39" s="120">
        <f t="shared" si="2"/>
        <v>21455</v>
      </c>
      <c r="AF39" s="120">
        <f t="shared" si="2"/>
        <v>22422</v>
      </c>
      <c r="AG39" s="120">
        <f t="shared" si="2"/>
        <v>19688</v>
      </c>
      <c r="AH39" s="120">
        <f t="shared" si="2"/>
        <v>23556</v>
      </c>
      <c r="AI39" s="120">
        <f t="shared" si="2"/>
        <v>20465</v>
      </c>
      <c r="AJ39" s="120">
        <f t="shared" si="2"/>
        <v>23802</v>
      </c>
      <c r="AK39" s="120">
        <f t="shared" si="2"/>
        <v>25659</v>
      </c>
      <c r="AL39" s="120">
        <f t="shared" si="2"/>
        <v>28310</v>
      </c>
      <c r="AM39" s="120">
        <f t="shared" si="2"/>
        <v>21893</v>
      </c>
      <c r="AN39" s="120">
        <f t="shared" si="2"/>
        <v>24159</v>
      </c>
      <c r="AO39" s="120">
        <f t="shared" si="2"/>
        <v>22423</v>
      </c>
      <c r="AP39" s="120">
        <f t="shared" si="2"/>
        <v>29766</v>
      </c>
      <c r="AQ39" s="120">
        <f t="shared" si="2"/>
        <v>24216</v>
      </c>
      <c r="AR39" s="120">
        <f t="shared" si="2"/>
        <v>29252</v>
      </c>
      <c r="AS39" s="120">
        <f t="shared" si="2"/>
        <v>32623</v>
      </c>
      <c r="AT39" s="120">
        <f t="shared" si="2"/>
        <v>39441</v>
      </c>
      <c r="AU39" s="120">
        <f t="shared" si="2"/>
        <v>35319</v>
      </c>
      <c r="AV39" s="120">
        <f t="shared" si="2"/>
        <v>32733</v>
      </c>
      <c r="AW39" s="120">
        <f>SUM(AW24:AW38)</f>
        <v>35957</v>
      </c>
      <c r="AX39" s="120">
        <f>SUM(AX24:AX38)</f>
        <v>41050</v>
      </c>
      <c r="AY39" s="120">
        <f>SUM(AY24:AY38)</f>
        <v>36277</v>
      </c>
    </row>
    <row r="41" spans="1:51" ht="15.75" customHeight="1" x14ac:dyDescent="0.2">
      <c r="B41" s="115" t="s">
        <v>98</v>
      </c>
      <c r="C41" s="115" t="str">
        <f t="shared" ref="C41:AV41" si="3">C5</f>
        <v>1T14</v>
      </c>
      <c r="D41" s="222" t="str">
        <f t="shared" si="3"/>
        <v>2T14</v>
      </c>
      <c r="E41" s="115" t="str">
        <f t="shared" si="3"/>
        <v>3T14</v>
      </c>
      <c r="F41" s="115" t="str">
        <f t="shared" si="3"/>
        <v>4T14</v>
      </c>
      <c r="G41" s="115" t="str">
        <f t="shared" si="3"/>
        <v>1T15</v>
      </c>
      <c r="H41" s="115" t="str">
        <f t="shared" si="3"/>
        <v>2T15</v>
      </c>
      <c r="I41" s="115" t="str">
        <f t="shared" si="3"/>
        <v>3T15</v>
      </c>
      <c r="J41" s="115" t="str">
        <f t="shared" si="3"/>
        <v>4T15</v>
      </c>
      <c r="K41" s="115" t="str">
        <f t="shared" si="3"/>
        <v>1T16</v>
      </c>
      <c r="L41" s="115" t="str">
        <f t="shared" si="3"/>
        <v>2T16</v>
      </c>
      <c r="M41" s="115" t="str">
        <f t="shared" si="3"/>
        <v>3T16</v>
      </c>
      <c r="N41" s="115" t="str">
        <f t="shared" si="3"/>
        <v>4T16</v>
      </c>
      <c r="O41" s="115" t="str">
        <f t="shared" si="3"/>
        <v>1T17</v>
      </c>
      <c r="P41" s="115" t="str">
        <f t="shared" si="3"/>
        <v>2T17</v>
      </c>
      <c r="Q41" s="115" t="str">
        <f t="shared" si="3"/>
        <v>3T17</v>
      </c>
      <c r="R41" s="115" t="str">
        <f t="shared" si="3"/>
        <v>4T17</v>
      </c>
      <c r="S41" s="115" t="str">
        <f t="shared" si="3"/>
        <v>1T18</v>
      </c>
      <c r="T41" s="115" t="str">
        <f t="shared" si="3"/>
        <v>2T18</v>
      </c>
      <c r="U41" s="115" t="str">
        <f t="shared" si="3"/>
        <v>3T18</v>
      </c>
      <c r="V41" s="115" t="str">
        <f t="shared" si="3"/>
        <v>4T18</v>
      </c>
      <c r="W41" s="115" t="str">
        <f t="shared" si="3"/>
        <v>1T19</v>
      </c>
      <c r="X41" s="115" t="str">
        <f t="shared" si="3"/>
        <v>2T19</v>
      </c>
      <c r="Y41" s="115" t="str">
        <f t="shared" si="3"/>
        <v>3T19</v>
      </c>
      <c r="Z41" s="115" t="str">
        <f t="shared" si="3"/>
        <v>4T19</v>
      </c>
      <c r="AA41" s="115" t="str">
        <f t="shared" si="3"/>
        <v>1T20</v>
      </c>
      <c r="AB41" s="115" t="str">
        <f t="shared" si="3"/>
        <v>2T20</v>
      </c>
      <c r="AC41" s="115" t="str">
        <f t="shared" si="3"/>
        <v>3T20</v>
      </c>
      <c r="AD41" s="115" t="str">
        <f t="shared" si="3"/>
        <v>4T20</v>
      </c>
      <c r="AE41" s="115" t="str">
        <f t="shared" si="3"/>
        <v>1T21</v>
      </c>
      <c r="AF41" s="115" t="str">
        <f t="shared" si="3"/>
        <v>2T21</v>
      </c>
      <c r="AG41" s="115" t="str">
        <f t="shared" si="3"/>
        <v>3T21</v>
      </c>
      <c r="AH41" s="115" t="str">
        <f t="shared" si="3"/>
        <v>4T21</v>
      </c>
      <c r="AI41" s="115" t="str">
        <f t="shared" si="3"/>
        <v>1T22</v>
      </c>
      <c r="AJ41" s="115" t="str">
        <f t="shared" si="3"/>
        <v>2T22</v>
      </c>
      <c r="AK41" s="115" t="str">
        <f t="shared" si="3"/>
        <v>3T22</v>
      </c>
      <c r="AL41" s="115" t="str">
        <f t="shared" si="3"/>
        <v>4T22</v>
      </c>
      <c r="AM41" s="115" t="str">
        <f t="shared" si="3"/>
        <v>1T23</v>
      </c>
      <c r="AN41" s="115" t="str">
        <f t="shared" si="3"/>
        <v>2T23</v>
      </c>
      <c r="AO41" s="115" t="str">
        <f t="shared" si="3"/>
        <v>3T23</v>
      </c>
      <c r="AP41" s="115" t="str">
        <f t="shared" si="3"/>
        <v>4T23</v>
      </c>
      <c r="AQ41" s="115" t="str">
        <f t="shared" si="3"/>
        <v>1T24</v>
      </c>
      <c r="AR41" s="115" t="str">
        <f t="shared" si="3"/>
        <v>2T24</v>
      </c>
      <c r="AS41" s="115" t="str">
        <f t="shared" si="3"/>
        <v>3T24</v>
      </c>
      <c r="AT41" s="115" t="str">
        <f t="shared" si="3"/>
        <v>4T24</v>
      </c>
      <c r="AU41" s="115" t="str">
        <f t="shared" si="3"/>
        <v>1T25</v>
      </c>
      <c r="AV41" s="115" t="str">
        <f t="shared" si="3"/>
        <v>2T25</v>
      </c>
      <c r="AW41" s="115" t="str">
        <f>AW5</f>
        <v>3T25</v>
      </c>
      <c r="AX41" s="115" t="str">
        <f>AX5</f>
        <v>4T25</v>
      </c>
      <c r="AY41" s="115" t="str">
        <f>AY5</f>
        <v>1T26</v>
      </c>
    </row>
    <row r="42" spans="1:51" x14ac:dyDescent="0.2">
      <c r="B42" s="129" t="s">
        <v>402</v>
      </c>
      <c r="C42" s="118">
        <f t="shared" ref="C42:AS42" si="4">+C6-C24</f>
        <v>377</v>
      </c>
      <c r="D42" s="160">
        <f t="shared" si="4"/>
        <v>198</v>
      </c>
      <c r="E42" s="118">
        <f t="shared" si="4"/>
        <v>658</v>
      </c>
      <c r="F42" s="118">
        <f t="shared" si="4"/>
        <v>416</v>
      </c>
      <c r="G42" s="118">
        <f t="shared" si="4"/>
        <v>582</v>
      </c>
      <c r="H42" s="118">
        <f t="shared" si="4"/>
        <v>563</v>
      </c>
      <c r="I42" s="118">
        <f t="shared" si="4"/>
        <v>309</v>
      </c>
      <c r="J42" s="118">
        <f t="shared" si="4"/>
        <v>103</v>
      </c>
      <c r="K42" s="118">
        <f t="shared" si="4"/>
        <v>1028</v>
      </c>
      <c r="L42" s="118">
        <f t="shared" si="4"/>
        <v>1122</v>
      </c>
      <c r="M42" s="118">
        <f t="shared" si="4"/>
        <v>886</v>
      </c>
      <c r="N42" s="118">
        <f t="shared" si="4"/>
        <v>280</v>
      </c>
      <c r="O42" s="118">
        <f t="shared" si="4"/>
        <v>817</v>
      </c>
      <c r="P42" s="118">
        <f t="shared" si="4"/>
        <v>2</v>
      </c>
      <c r="Q42" s="118">
        <f t="shared" si="4"/>
        <v>920</v>
      </c>
      <c r="R42" s="118">
        <f t="shared" si="4"/>
        <v>530</v>
      </c>
      <c r="S42" s="118">
        <f t="shared" si="4"/>
        <v>461</v>
      </c>
      <c r="T42" s="118">
        <f t="shared" si="4"/>
        <v>1527</v>
      </c>
      <c r="U42" s="118">
        <f t="shared" si="4"/>
        <v>0</v>
      </c>
      <c r="V42" s="118">
        <f t="shared" si="4"/>
        <v>735</v>
      </c>
      <c r="W42" s="118">
        <f t="shared" si="4"/>
        <v>1656</v>
      </c>
      <c r="X42" s="118">
        <f t="shared" si="4"/>
        <v>1796</v>
      </c>
      <c r="Y42" s="118">
        <f t="shared" si="4"/>
        <v>1506</v>
      </c>
      <c r="Z42" s="118">
        <f t="shared" si="4"/>
        <v>1583</v>
      </c>
      <c r="AA42" s="118">
        <f t="shared" si="4"/>
        <v>279</v>
      </c>
      <c r="AB42" s="118">
        <f t="shared" si="4"/>
        <v>146</v>
      </c>
      <c r="AC42" s="118">
        <f t="shared" si="4"/>
        <v>319</v>
      </c>
      <c r="AD42" s="118">
        <f t="shared" si="4"/>
        <v>360</v>
      </c>
      <c r="AE42" s="118">
        <f t="shared" si="4"/>
        <v>426</v>
      </c>
      <c r="AF42" s="118">
        <f t="shared" si="4"/>
        <v>406</v>
      </c>
      <c r="AG42" s="118">
        <f t="shared" si="4"/>
        <v>312</v>
      </c>
      <c r="AH42" s="118">
        <f t="shared" si="4"/>
        <v>488</v>
      </c>
      <c r="AI42" s="118">
        <f t="shared" si="4"/>
        <v>268</v>
      </c>
      <c r="AJ42" s="118">
        <f t="shared" si="4"/>
        <v>444</v>
      </c>
      <c r="AK42" s="118">
        <f t="shared" si="4"/>
        <v>783</v>
      </c>
      <c r="AL42" s="118">
        <f t="shared" si="4"/>
        <v>931</v>
      </c>
      <c r="AM42" s="118">
        <f t="shared" si="4"/>
        <v>930</v>
      </c>
      <c r="AN42" s="118">
        <f t="shared" si="4"/>
        <v>793</v>
      </c>
      <c r="AO42" s="118">
        <f t="shared" si="4"/>
        <v>1084</v>
      </c>
      <c r="AP42" s="118">
        <f t="shared" si="4"/>
        <v>1162</v>
      </c>
      <c r="AQ42" s="118">
        <f t="shared" si="4"/>
        <v>1055</v>
      </c>
      <c r="AR42" s="118">
        <f t="shared" si="4"/>
        <v>233</v>
      </c>
      <c r="AS42" s="118">
        <f t="shared" si="4"/>
        <v>347</v>
      </c>
      <c r="AT42" s="118">
        <v>271</v>
      </c>
      <c r="AU42" s="118">
        <f t="shared" ref="AU42:AU53" si="5">+AU6-AU24</f>
        <v>928</v>
      </c>
      <c r="AV42" s="118">
        <v>621</v>
      </c>
      <c r="AW42" s="118">
        <f t="shared" ref="AW42:AX53" si="6">+AW6-AW24</f>
        <v>319</v>
      </c>
      <c r="AX42" s="118">
        <f t="shared" si="6"/>
        <v>652</v>
      </c>
      <c r="AY42" s="118">
        <f t="shared" ref="AY42:AY56" si="7">+AY6-AY24</f>
        <v>1690</v>
      </c>
    </row>
    <row r="43" spans="1:51" x14ac:dyDescent="0.2">
      <c r="B43" s="129" t="s">
        <v>118</v>
      </c>
      <c r="C43" s="118">
        <f t="shared" ref="C43:AS43" si="8">+C7-C25</f>
        <v>23</v>
      </c>
      <c r="D43" s="160">
        <f t="shared" si="8"/>
        <v>0</v>
      </c>
      <c r="E43" s="118">
        <f t="shared" si="8"/>
        <v>98</v>
      </c>
      <c r="F43" s="118">
        <f t="shared" si="8"/>
        <v>264</v>
      </c>
      <c r="G43" s="118">
        <f t="shared" si="8"/>
        <v>0</v>
      </c>
      <c r="H43" s="118">
        <f t="shared" si="8"/>
        <v>278</v>
      </c>
      <c r="I43" s="118">
        <f t="shared" si="8"/>
        <v>346</v>
      </c>
      <c r="J43" s="118">
        <f t="shared" si="8"/>
        <v>305</v>
      </c>
      <c r="K43" s="118">
        <f t="shared" si="8"/>
        <v>234</v>
      </c>
      <c r="L43" s="118">
        <f t="shared" si="8"/>
        <v>225</v>
      </c>
      <c r="M43" s="118">
        <f t="shared" si="8"/>
        <v>275</v>
      </c>
      <c r="N43" s="118">
        <f t="shared" si="8"/>
        <v>246</v>
      </c>
      <c r="O43" s="118">
        <f t="shared" si="8"/>
        <v>262</v>
      </c>
      <c r="P43" s="118">
        <f t="shared" si="8"/>
        <v>246</v>
      </c>
      <c r="Q43" s="118">
        <f t="shared" si="8"/>
        <v>226</v>
      </c>
      <c r="R43" s="118">
        <f t="shared" si="8"/>
        <v>183</v>
      </c>
      <c r="S43" s="118">
        <f t="shared" si="8"/>
        <v>354</v>
      </c>
      <c r="T43" s="118">
        <f t="shared" si="8"/>
        <v>240</v>
      </c>
      <c r="U43" s="118">
        <f t="shared" si="8"/>
        <v>699</v>
      </c>
      <c r="V43" s="118">
        <f t="shared" si="8"/>
        <v>341</v>
      </c>
      <c r="W43" s="118">
        <f t="shared" si="8"/>
        <v>811</v>
      </c>
      <c r="X43" s="118">
        <f t="shared" si="8"/>
        <v>702</v>
      </c>
      <c r="Y43" s="118">
        <f t="shared" si="8"/>
        <v>552</v>
      </c>
      <c r="Z43" s="118">
        <f t="shared" si="8"/>
        <v>538</v>
      </c>
      <c r="AA43" s="118">
        <f t="shared" si="8"/>
        <v>536</v>
      </c>
      <c r="AB43" s="118">
        <f t="shared" si="8"/>
        <v>539</v>
      </c>
      <c r="AC43" s="118">
        <f t="shared" si="8"/>
        <v>240</v>
      </c>
      <c r="AD43" s="118">
        <f t="shared" si="8"/>
        <v>404</v>
      </c>
      <c r="AE43" s="118">
        <f t="shared" si="8"/>
        <v>214</v>
      </c>
      <c r="AF43" s="118">
        <f t="shared" si="8"/>
        <v>304</v>
      </c>
      <c r="AG43" s="118">
        <f t="shared" si="8"/>
        <v>622</v>
      </c>
      <c r="AH43" s="118">
        <f t="shared" si="8"/>
        <v>242</v>
      </c>
      <c r="AI43" s="118">
        <f t="shared" si="8"/>
        <v>19</v>
      </c>
      <c r="AJ43" s="118">
        <f t="shared" si="8"/>
        <v>226</v>
      </c>
      <c r="AK43" s="118">
        <f t="shared" si="8"/>
        <v>201</v>
      </c>
      <c r="AL43" s="118">
        <f t="shared" si="8"/>
        <v>244</v>
      </c>
      <c r="AM43" s="118">
        <f t="shared" si="8"/>
        <v>293</v>
      </c>
      <c r="AN43" s="118">
        <f t="shared" si="8"/>
        <v>228</v>
      </c>
      <c r="AO43" s="118">
        <f t="shared" si="8"/>
        <v>263</v>
      </c>
      <c r="AP43" s="118">
        <f t="shared" si="8"/>
        <v>298</v>
      </c>
      <c r="AQ43" s="118">
        <f t="shared" si="8"/>
        <v>271</v>
      </c>
      <c r="AR43" s="118">
        <f t="shared" si="8"/>
        <v>6</v>
      </c>
      <c r="AS43" s="118">
        <f t="shared" si="8"/>
        <v>8</v>
      </c>
      <c r="AT43" s="118">
        <v>9</v>
      </c>
      <c r="AU43" s="118">
        <f t="shared" si="5"/>
        <v>8</v>
      </c>
      <c r="AV43" s="118">
        <v>8</v>
      </c>
      <c r="AW43" s="118">
        <f t="shared" si="6"/>
        <v>7</v>
      </c>
      <c r="AX43" s="118">
        <f t="shared" si="6"/>
        <v>11</v>
      </c>
      <c r="AY43" s="118">
        <f t="shared" si="7"/>
        <v>10</v>
      </c>
    </row>
    <row r="44" spans="1:51" x14ac:dyDescent="0.2">
      <c r="B44" s="129" t="s">
        <v>119</v>
      </c>
      <c r="C44" s="118">
        <f t="shared" ref="C44:AS44" si="9">+C8-C26</f>
        <v>7345</v>
      </c>
      <c r="D44" s="160">
        <f t="shared" si="9"/>
        <v>2304</v>
      </c>
      <c r="E44" s="118">
        <f t="shared" si="9"/>
        <v>2141</v>
      </c>
      <c r="F44" s="118">
        <f t="shared" si="9"/>
        <v>2894</v>
      </c>
      <c r="G44" s="118">
        <f t="shared" si="9"/>
        <v>3236</v>
      </c>
      <c r="H44" s="118">
        <f t="shared" si="9"/>
        <v>3333</v>
      </c>
      <c r="I44" s="118">
        <f t="shared" si="9"/>
        <v>2317</v>
      </c>
      <c r="J44" s="118">
        <f t="shared" si="9"/>
        <v>2450</v>
      </c>
      <c r="K44" s="118">
        <f t="shared" si="9"/>
        <v>3031</v>
      </c>
      <c r="L44" s="118">
        <f t="shared" si="9"/>
        <v>1462</v>
      </c>
      <c r="M44" s="118">
        <f t="shared" si="9"/>
        <v>1594</v>
      </c>
      <c r="N44" s="118">
        <f t="shared" si="9"/>
        <v>1627</v>
      </c>
      <c r="O44" s="118">
        <f t="shared" si="9"/>
        <v>1936</v>
      </c>
      <c r="P44" s="118">
        <f t="shared" si="9"/>
        <v>1749</v>
      </c>
      <c r="Q44" s="118">
        <f t="shared" si="9"/>
        <v>1667</v>
      </c>
      <c r="R44" s="118">
        <f t="shared" si="9"/>
        <v>1826</v>
      </c>
      <c r="S44" s="118">
        <f t="shared" si="9"/>
        <v>1631</v>
      </c>
      <c r="T44" s="118">
        <f t="shared" si="9"/>
        <v>1667</v>
      </c>
      <c r="U44" s="118">
        <f t="shared" si="9"/>
        <v>1698</v>
      </c>
      <c r="V44" s="118">
        <f t="shared" si="9"/>
        <v>1579</v>
      </c>
      <c r="W44" s="118">
        <f t="shared" si="9"/>
        <v>71</v>
      </c>
      <c r="X44" s="118">
        <f t="shared" si="9"/>
        <v>55</v>
      </c>
      <c r="Y44" s="118">
        <f t="shared" si="9"/>
        <v>96</v>
      </c>
      <c r="Z44" s="118">
        <f t="shared" si="9"/>
        <v>55</v>
      </c>
      <c r="AA44" s="118">
        <f t="shared" si="9"/>
        <v>93</v>
      </c>
      <c r="AB44" s="118">
        <f t="shared" si="9"/>
        <v>92</v>
      </c>
      <c r="AC44" s="118">
        <f t="shared" si="9"/>
        <v>596</v>
      </c>
      <c r="AD44" s="118">
        <f t="shared" si="9"/>
        <v>870</v>
      </c>
      <c r="AE44" s="118">
        <f t="shared" si="9"/>
        <v>231</v>
      </c>
      <c r="AF44" s="118">
        <f t="shared" si="9"/>
        <v>62</v>
      </c>
      <c r="AG44" s="118">
        <f t="shared" si="9"/>
        <v>85</v>
      </c>
      <c r="AH44" s="118">
        <f t="shared" si="9"/>
        <v>-233</v>
      </c>
      <c r="AI44" s="118">
        <f t="shared" si="9"/>
        <v>-165</v>
      </c>
      <c r="AJ44" s="118">
        <f t="shared" si="9"/>
        <v>-378</v>
      </c>
      <c r="AK44" s="118">
        <f t="shared" si="9"/>
        <v>937</v>
      </c>
      <c r="AL44" s="118">
        <f t="shared" si="9"/>
        <v>742</v>
      </c>
      <c r="AM44" s="118">
        <f t="shared" si="9"/>
        <v>862</v>
      </c>
      <c r="AN44" s="118">
        <f t="shared" si="9"/>
        <v>574</v>
      </c>
      <c r="AO44" s="118">
        <f t="shared" si="9"/>
        <v>504</v>
      </c>
      <c r="AP44" s="118">
        <f t="shared" si="9"/>
        <v>556</v>
      </c>
      <c r="AQ44" s="118">
        <f t="shared" si="9"/>
        <v>535</v>
      </c>
      <c r="AR44" s="118">
        <f t="shared" si="9"/>
        <v>630</v>
      </c>
      <c r="AS44" s="118">
        <f t="shared" si="9"/>
        <v>613</v>
      </c>
      <c r="AT44" s="118">
        <v>1344</v>
      </c>
      <c r="AU44" s="118">
        <f t="shared" si="5"/>
        <v>742</v>
      </c>
      <c r="AV44" s="118">
        <v>1371</v>
      </c>
      <c r="AW44" s="118">
        <f t="shared" si="6"/>
        <v>1447</v>
      </c>
      <c r="AX44" s="118">
        <f t="shared" si="6"/>
        <v>1640</v>
      </c>
      <c r="AY44" s="118">
        <f t="shared" si="7"/>
        <v>1391</v>
      </c>
    </row>
    <row r="45" spans="1:51" ht="15.75" customHeight="1" x14ac:dyDescent="0.2">
      <c r="B45" s="129" t="s">
        <v>120</v>
      </c>
      <c r="C45" s="118">
        <f t="shared" ref="C45:AS45" si="10">+C9-C27</f>
        <v>2895</v>
      </c>
      <c r="D45" s="160">
        <f t="shared" si="10"/>
        <v>0</v>
      </c>
      <c r="E45" s="118">
        <f t="shared" si="10"/>
        <v>0</v>
      </c>
      <c r="F45" s="118">
        <f t="shared" si="10"/>
        <v>153</v>
      </c>
      <c r="G45" s="118">
        <f t="shared" si="10"/>
        <v>1</v>
      </c>
      <c r="H45" s="118">
        <f t="shared" si="10"/>
        <v>2</v>
      </c>
      <c r="I45" s="118">
        <f t="shared" si="10"/>
        <v>0</v>
      </c>
      <c r="J45" s="118">
        <f t="shared" si="10"/>
        <v>63</v>
      </c>
      <c r="K45" s="118">
        <f t="shared" si="10"/>
        <v>3352</v>
      </c>
      <c r="L45" s="118">
        <f t="shared" si="10"/>
        <v>496</v>
      </c>
      <c r="M45" s="118">
        <f t="shared" si="10"/>
        <v>84</v>
      </c>
      <c r="N45" s="118">
        <f t="shared" si="10"/>
        <v>99</v>
      </c>
      <c r="O45" s="118">
        <f t="shared" si="10"/>
        <v>94</v>
      </c>
      <c r="P45" s="118">
        <f t="shared" si="10"/>
        <v>77</v>
      </c>
      <c r="Q45" s="118">
        <f t="shared" si="10"/>
        <v>59</v>
      </c>
      <c r="R45" s="118">
        <f t="shared" si="10"/>
        <v>97</v>
      </c>
      <c r="S45" s="118">
        <f t="shared" si="10"/>
        <v>79</v>
      </c>
      <c r="T45" s="118">
        <f t="shared" si="10"/>
        <v>72</v>
      </c>
      <c r="U45" s="118">
        <f t="shared" si="10"/>
        <v>493</v>
      </c>
      <c r="V45" s="118">
        <f t="shared" si="10"/>
        <v>309</v>
      </c>
      <c r="W45" s="118">
        <f t="shared" si="10"/>
        <v>184</v>
      </c>
      <c r="X45" s="118">
        <f t="shared" si="10"/>
        <v>75</v>
      </c>
      <c r="Y45" s="118">
        <f t="shared" si="10"/>
        <v>476</v>
      </c>
      <c r="Z45" s="118">
        <f t="shared" si="10"/>
        <v>301</v>
      </c>
      <c r="AA45" s="118">
        <f t="shared" si="10"/>
        <v>163</v>
      </c>
      <c r="AB45" s="118">
        <f t="shared" si="10"/>
        <v>74</v>
      </c>
      <c r="AC45" s="118">
        <f t="shared" si="10"/>
        <v>657</v>
      </c>
      <c r="AD45" s="118">
        <f t="shared" si="10"/>
        <v>479</v>
      </c>
      <c r="AE45" s="118">
        <f t="shared" si="10"/>
        <v>312</v>
      </c>
      <c r="AF45" s="118">
        <f t="shared" si="10"/>
        <v>114</v>
      </c>
      <c r="AG45" s="118">
        <f t="shared" si="10"/>
        <v>334</v>
      </c>
      <c r="AH45" s="118">
        <f t="shared" si="10"/>
        <v>549</v>
      </c>
      <c r="AI45" s="118">
        <f t="shared" si="10"/>
        <v>337</v>
      </c>
      <c r="AJ45" s="118">
        <f t="shared" si="10"/>
        <v>227</v>
      </c>
      <c r="AK45" s="118">
        <f t="shared" si="10"/>
        <v>1196</v>
      </c>
      <c r="AL45" s="118">
        <f t="shared" si="10"/>
        <v>840</v>
      </c>
      <c r="AM45" s="118">
        <f t="shared" si="10"/>
        <v>511</v>
      </c>
      <c r="AN45" s="118">
        <f t="shared" si="10"/>
        <v>234</v>
      </c>
      <c r="AO45" s="118">
        <f t="shared" si="10"/>
        <v>881</v>
      </c>
      <c r="AP45" s="118">
        <f t="shared" si="10"/>
        <v>524</v>
      </c>
      <c r="AQ45" s="118">
        <f t="shared" si="10"/>
        <v>669</v>
      </c>
      <c r="AR45" s="118">
        <f t="shared" si="10"/>
        <v>579</v>
      </c>
      <c r="AS45" s="118">
        <f t="shared" si="10"/>
        <v>471</v>
      </c>
      <c r="AT45" s="118">
        <v>614</v>
      </c>
      <c r="AU45" s="118">
        <f t="shared" si="5"/>
        <v>715</v>
      </c>
      <c r="AV45" s="118">
        <v>620</v>
      </c>
      <c r="AW45" s="118">
        <f t="shared" si="6"/>
        <v>671</v>
      </c>
      <c r="AX45" s="118">
        <f t="shared" si="6"/>
        <v>455</v>
      </c>
      <c r="AY45" s="118">
        <f t="shared" si="7"/>
        <v>359</v>
      </c>
    </row>
    <row r="46" spans="1:51" ht="13.5" customHeight="1" x14ac:dyDescent="0.2">
      <c r="B46" s="129" t="s">
        <v>556</v>
      </c>
      <c r="C46" s="118">
        <f t="shared" ref="C46:AS46" si="11">+C10-C28</f>
        <v>292</v>
      </c>
      <c r="D46" s="160">
        <f t="shared" si="11"/>
        <v>125</v>
      </c>
      <c r="E46" s="118">
        <f t="shared" si="11"/>
        <v>130</v>
      </c>
      <c r="F46" s="118">
        <f t="shared" si="11"/>
        <v>143</v>
      </c>
      <c r="G46" s="118">
        <f t="shared" si="11"/>
        <v>112</v>
      </c>
      <c r="H46" s="118">
        <f t="shared" si="11"/>
        <v>95</v>
      </c>
      <c r="I46" s="118">
        <f t="shared" si="11"/>
        <v>0</v>
      </c>
      <c r="J46" s="118">
        <f t="shared" si="11"/>
        <v>0</v>
      </c>
      <c r="K46" s="118">
        <f t="shared" si="11"/>
        <v>402</v>
      </c>
      <c r="L46" s="118">
        <f t="shared" si="11"/>
        <v>0</v>
      </c>
      <c r="M46" s="118">
        <f t="shared" si="11"/>
        <v>0</v>
      </c>
      <c r="N46" s="118">
        <f t="shared" si="11"/>
        <v>0</v>
      </c>
      <c r="O46" s="118">
        <f t="shared" si="11"/>
        <v>0</v>
      </c>
      <c r="P46" s="118">
        <f t="shared" si="11"/>
        <v>0</v>
      </c>
      <c r="Q46" s="118">
        <f t="shared" si="11"/>
        <v>0</v>
      </c>
      <c r="R46" s="118">
        <f t="shared" si="11"/>
        <v>0</v>
      </c>
      <c r="S46" s="118">
        <f t="shared" si="11"/>
        <v>0</v>
      </c>
      <c r="T46" s="118">
        <f t="shared" si="11"/>
        <v>0</v>
      </c>
      <c r="U46" s="118">
        <f t="shared" si="11"/>
        <v>0</v>
      </c>
      <c r="V46" s="118">
        <f t="shared" si="11"/>
        <v>-270</v>
      </c>
      <c r="W46" s="118">
        <f t="shared" si="11"/>
        <v>0</v>
      </c>
      <c r="X46" s="118">
        <f t="shared" si="11"/>
        <v>0</v>
      </c>
      <c r="Y46" s="118">
        <f t="shared" si="11"/>
        <v>0</v>
      </c>
      <c r="Z46" s="118">
        <f t="shared" si="11"/>
        <v>0</v>
      </c>
      <c r="AA46" s="118">
        <f t="shared" si="11"/>
        <v>0</v>
      </c>
      <c r="AB46" s="118">
        <f t="shared" si="11"/>
        <v>0</v>
      </c>
      <c r="AC46" s="118">
        <f t="shared" si="11"/>
        <v>0</v>
      </c>
      <c r="AD46" s="118">
        <f t="shared" si="11"/>
        <v>0</v>
      </c>
      <c r="AE46" s="118">
        <f t="shared" si="11"/>
        <v>0</v>
      </c>
      <c r="AF46" s="118">
        <f t="shared" si="11"/>
        <v>0</v>
      </c>
      <c r="AG46" s="118">
        <f t="shared" si="11"/>
        <v>0</v>
      </c>
      <c r="AH46" s="118">
        <f t="shared" si="11"/>
        <v>0</v>
      </c>
      <c r="AI46" s="118">
        <f t="shared" si="11"/>
        <v>0</v>
      </c>
      <c r="AJ46" s="118">
        <f t="shared" si="11"/>
        <v>0</v>
      </c>
      <c r="AK46" s="118">
        <f t="shared" si="11"/>
        <v>0</v>
      </c>
      <c r="AL46" s="118">
        <f t="shared" si="11"/>
        <v>0</v>
      </c>
      <c r="AM46" s="118">
        <f t="shared" si="11"/>
        <v>0</v>
      </c>
      <c r="AN46" s="118">
        <f t="shared" si="11"/>
        <v>0</v>
      </c>
      <c r="AO46" s="118">
        <f t="shared" si="11"/>
        <v>95</v>
      </c>
      <c r="AP46" s="118">
        <f t="shared" si="11"/>
        <v>201</v>
      </c>
      <c r="AQ46" s="118">
        <f t="shared" si="11"/>
        <v>129</v>
      </c>
      <c r="AR46" s="118">
        <f t="shared" si="11"/>
        <v>191</v>
      </c>
      <c r="AS46" s="118">
        <f t="shared" si="11"/>
        <v>177</v>
      </c>
      <c r="AT46" s="118">
        <v>473</v>
      </c>
      <c r="AU46" s="118">
        <f t="shared" si="5"/>
        <v>713</v>
      </c>
      <c r="AV46" s="118">
        <v>603</v>
      </c>
      <c r="AW46" s="118">
        <f t="shared" si="6"/>
        <v>783</v>
      </c>
      <c r="AX46" s="118">
        <f t="shared" si="6"/>
        <v>659</v>
      </c>
      <c r="AY46" s="118">
        <f t="shared" si="7"/>
        <v>367</v>
      </c>
    </row>
    <row r="47" spans="1:51" x14ac:dyDescent="0.2">
      <c r="B47" s="129" t="s">
        <v>537</v>
      </c>
      <c r="C47" s="118">
        <f t="shared" ref="C47:AS47" si="12">+C11-C29</f>
        <v>946</v>
      </c>
      <c r="D47" s="160">
        <f t="shared" si="12"/>
        <v>893</v>
      </c>
      <c r="E47" s="118">
        <f t="shared" si="12"/>
        <v>162</v>
      </c>
      <c r="F47" s="118">
        <f t="shared" si="12"/>
        <v>159</v>
      </c>
      <c r="G47" s="118">
        <f t="shared" si="12"/>
        <v>205</v>
      </c>
      <c r="H47" s="118">
        <f t="shared" si="12"/>
        <v>247</v>
      </c>
      <c r="I47" s="118">
        <f t="shared" si="12"/>
        <v>335</v>
      </c>
      <c r="J47" s="118">
        <f t="shared" si="12"/>
        <v>420</v>
      </c>
      <c r="K47" s="118">
        <f t="shared" si="12"/>
        <v>278</v>
      </c>
      <c r="L47" s="118">
        <f t="shared" si="12"/>
        <v>642</v>
      </c>
      <c r="M47" s="118">
        <f t="shared" si="12"/>
        <v>384</v>
      </c>
      <c r="N47" s="118">
        <f t="shared" si="12"/>
        <v>269</v>
      </c>
      <c r="O47" s="118">
        <f t="shared" si="12"/>
        <v>255</v>
      </c>
      <c r="P47" s="118">
        <f t="shared" si="12"/>
        <v>483</v>
      </c>
      <c r="Q47" s="118">
        <f t="shared" si="12"/>
        <v>367</v>
      </c>
      <c r="R47" s="118">
        <f t="shared" si="12"/>
        <v>403</v>
      </c>
      <c r="S47" s="118">
        <f t="shared" si="12"/>
        <v>456</v>
      </c>
      <c r="T47" s="118">
        <f t="shared" si="12"/>
        <v>308</v>
      </c>
      <c r="U47" s="118">
        <f t="shared" si="12"/>
        <v>402</v>
      </c>
      <c r="V47" s="118">
        <f t="shared" si="12"/>
        <v>536</v>
      </c>
      <c r="W47" s="118">
        <f t="shared" si="12"/>
        <v>242</v>
      </c>
      <c r="X47" s="118">
        <f t="shared" si="12"/>
        <v>354</v>
      </c>
      <c r="Y47" s="118">
        <f t="shared" si="12"/>
        <v>858</v>
      </c>
      <c r="Z47" s="118">
        <f t="shared" si="12"/>
        <v>1651</v>
      </c>
      <c r="AA47" s="118">
        <f t="shared" si="12"/>
        <v>894</v>
      </c>
      <c r="AB47" s="118">
        <f t="shared" si="12"/>
        <v>1256</v>
      </c>
      <c r="AC47" s="118">
        <f t="shared" si="12"/>
        <v>1623</v>
      </c>
      <c r="AD47" s="118">
        <f t="shared" si="12"/>
        <v>1250</v>
      </c>
      <c r="AE47" s="118">
        <f t="shared" si="12"/>
        <v>972</v>
      </c>
      <c r="AF47" s="118">
        <f t="shared" si="12"/>
        <v>1003</v>
      </c>
      <c r="AG47" s="118">
        <f t="shared" si="12"/>
        <v>686</v>
      </c>
      <c r="AH47" s="118">
        <f t="shared" si="12"/>
        <v>905</v>
      </c>
      <c r="AI47" s="118">
        <f t="shared" si="12"/>
        <v>883</v>
      </c>
      <c r="AJ47" s="118">
        <f t="shared" si="12"/>
        <v>944</v>
      </c>
      <c r="AK47" s="118">
        <f t="shared" si="12"/>
        <v>556</v>
      </c>
      <c r="AL47" s="118">
        <f t="shared" si="12"/>
        <v>515</v>
      </c>
      <c r="AM47" s="118">
        <f t="shared" si="12"/>
        <v>348</v>
      </c>
      <c r="AN47" s="118">
        <f t="shared" si="12"/>
        <v>266</v>
      </c>
      <c r="AO47" s="118">
        <f t="shared" si="12"/>
        <v>181</v>
      </c>
      <c r="AP47" s="118">
        <f t="shared" si="12"/>
        <v>262</v>
      </c>
      <c r="AQ47" s="118">
        <f t="shared" si="12"/>
        <v>197</v>
      </c>
      <c r="AR47" s="118">
        <f t="shared" si="12"/>
        <v>209</v>
      </c>
      <c r="AS47" s="118">
        <f t="shared" si="12"/>
        <v>185</v>
      </c>
      <c r="AT47" s="118">
        <v>287</v>
      </c>
      <c r="AU47" s="118">
        <f t="shared" si="5"/>
        <v>91</v>
      </c>
      <c r="AV47" s="118">
        <v>41</v>
      </c>
      <c r="AW47" s="118">
        <f t="shared" si="6"/>
        <v>17</v>
      </c>
      <c r="AX47" s="118">
        <f t="shared" si="6"/>
        <v>172</v>
      </c>
      <c r="AY47" s="118">
        <f t="shared" si="7"/>
        <v>47</v>
      </c>
    </row>
    <row r="48" spans="1:51" ht="14.25" customHeight="1" x14ac:dyDescent="0.2">
      <c r="B48" s="129" t="s">
        <v>121</v>
      </c>
      <c r="C48" s="118">
        <f t="shared" ref="C48:AS48" si="13">+C12-C30</f>
        <v>256</v>
      </c>
      <c r="D48" s="160">
        <f t="shared" si="13"/>
        <v>32</v>
      </c>
      <c r="E48" s="118">
        <f t="shared" si="13"/>
        <v>40</v>
      </c>
      <c r="F48" s="118">
        <f t="shared" si="13"/>
        <v>62</v>
      </c>
      <c r="G48" s="118">
        <f t="shared" si="13"/>
        <v>72</v>
      </c>
      <c r="H48" s="118">
        <f t="shared" si="13"/>
        <v>0</v>
      </c>
      <c r="I48" s="118">
        <f t="shared" si="13"/>
        <v>86</v>
      </c>
      <c r="J48" s="118">
        <f t="shared" si="13"/>
        <v>237</v>
      </c>
      <c r="K48" s="118">
        <f t="shared" si="13"/>
        <v>134</v>
      </c>
      <c r="L48" s="118">
        <f t="shared" si="13"/>
        <v>167</v>
      </c>
      <c r="M48" s="118">
        <f t="shared" si="13"/>
        <v>158</v>
      </c>
      <c r="N48" s="118">
        <f t="shared" si="13"/>
        <v>42</v>
      </c>
      <c r="O48" s="118">
        <f t="shared" si="13"/>
        <v>14</v>
      </c>
      <c r="P48" s="118">
        <f t="shared" si="13"/>
        <v>21</v>
      </c>
      <c r="Q48" s="118">
        <f t="shared" si="13"/>
        <v>73</v>
      </c>
      <c r="R48" s="118">
        <f t="shared" si="13"/>
        <v>122</v>
      </c>
      <c r="S48" s="118">
        <f t="shared" si="13"/>
        <v>83</v>
      </c>
      <c r="T48" s="118">
        <f t="shared" si="13"/>
        <v>109</v>
      </c>
      <c r="U48" s="118">
        <f t="shared" si="13"/>
        <v>153</v>
      </c>
      <c r="V48" s="118">
        <f t="shared" si="13"/>
        <v>77</v>
      </c>
      <c r="W48" s="118">
        <f t="shared" si="13"/>
        <v>56</v>
      </c>
      <c r="X48" s="118">
        <f t="shared" si="13"/>
        <v>197</v>
      </c>
      <c r="Y48" s="118">
        <f t="shared" si="13"/>
        <v>91</v>
      </c>
      <c r="Z48" s="118">
        <f t="shared" si="13"/>
        <v>116</v>
      </c>
      <c r="AA48" s="118">
        <f t="shared" si="13"/>
        <v>71</v>
      </c>
      <c r="AB48" s="118">
        <f t="shared" si="13"/>
        <v>29</v>
      </c>
      <c r="AC48" s="118">
        <f t="shared" si="13"/>
        <v>60</v>
      </c>
      <c r="AD48" s="118">
        <f t="shared" si="13"/>
        <v>235</v>
      </c>
      <c r="AE48" s="118">
        <f t="shared" si="13"/>
        <v>77</v>
      </c>
      <c r="AF48" s="118">
        <f t="shared" si="13"/>
        <v>683</v>
      </c>
      <c r="AG48" s="118">
        <f t="shared" si="13"/>
        <v>749</v>
      </c>
      <c r="AH48" s="118">
        <f t="shared" si="13"/>
        <v>732</v>
      </c>
      <c r="AI48" s="118">
        <f t="shared" si="13"/>
        <v>666</v>
      </c>
      <c r="AJ48" s="118">
        <f t="shared" si="13"/>
        <v>815</v>
      </c>
      <c r="AK48" s="118">
        <f t="shared" si="13"/>
        <v>1209</v>
      </c>
      <c r="AL48" s="118">
        <f t="shared" si="13"/>
        <v>2243</v>
      </c>
      <c r="AM48" s="118">
        <f t="shared" si="13"/>
        <v>2494</v>
      </c>
      <c r="AN48" s="118">
        <f t="shared" si="13"/>
        <v>1230</v>
      </c>
      <c r="AO48" s="118">
        <f t="shared" si="13"/>
        <v>1224</v>
      </c>
      <c r="AP48" s="118">
        <f t="shared" si="13"/>
        <v>1208</v>
      </c>
      <c r="AQ48" s="118">
        <f t="shared" si="13"/>
        <v>59</v>
      </c>
      <c r="AR48" s="118">
        <f t="shared" si="13"/>
        <v>167</v>
      </c>
      <c r="AS48" s="118">
        <f t="shared" si="13"/>
        <v>181</v>
      </c>
      <c r="AT48" s="118">
        <v>131</v>
      </c>
      <c r="AU48" s="118">
        <f t="shared" si="5"/>
        <v>130</v>
      </c>
      <c r="AV48" s="118">
        <v>179</v>
      </c>
      <c r="AW48" s="118">
        <f t="shared" si="6"/>
        <v>325</v>
      </c>
      <c r="AX48" s="118">
        <f t="shared" si="6"/>
        <v>270</v>
      </c>
      <c r="AY48" s="118">
        <f t="shared" si="7"/>
        <v>549</v>
      </c>
    </row>
    <row r="49" spans="1:51" x14ac:dyDescent="0.2">
      <c r="B49" s="129" t="s">
        <v>122</v>
      </c>
      <c r="C49" s="118">
        <f t="shared" ref="C49:AS49" si="14">+C13-C31</f>
        <v>930</v>
      </c>
      <c r="D49" s="160">
        <f t="shared" si="14"/>
        <v>206</v>
      </c>
      <c r="E49" s="118">
        <f t="shared" si="14"/>
        <v>561</v>
      </c>
      <c r="F49" s="118">
        <f t="shared" si="14"/>
        <v>426</v>
      </c>
      <c r="G49" s="118">
        <f t="shared" si="14"/>
        <v>325</v>
      </c>
      <c r="H49" s="118">
        <f t="shared" si="14"/>
        <v>323</v>
      </c>
      <c r="I49" s="118">
        <f t="shared" si="14"/>
        <v>434</v>
      </c>
      <c r="J49" s="118">
        <f t="shared" si="14"/>
        <v>3120</v>
      </c>
      <c r="K49" s="118">
        <f t="shared" si="14"/>
        <v>1513</v>
      </c>
      <c r="L49" s="118">
        <f t="shared" si="14"/>
        <v>457</v>
      </c>
      <c r="M49" s="118">
        <f t="shared" si="14"/>
        <v>453</v>
      </c>
      <c r="N49" s="118">
        <f t="shared" si="14"/>
        <v>976</v>
      </c>
      <c r="O49" s="118">
        <f t="shared" si="14"/>
        <v>1032</v>
      </c>
      <c r="P49" s="118">
        <f t="shared" si="14"/>
        <v>680</v>
      </c>
      <c r="Q49" s="118">
        <f t="shared" si="14"/>
        <v>462</v>
      </c>
      <c r="R49" s="118">
        <f t="shared" si="14"/>
        <v>461</v>
      </c>
      <c r="S49" s="118">
        <f t="shared" si="14"/>
        <v>237</v>
      </c>
      <c r="T49" s="118">
        <f t="shared" si="14"/>
        <v>261</v>
      </c>
      <c r="U49" s="118">
        <f t="shared" si="14"/>
        <v>279</v>
      </c>
      <c r="V49" s="118">
        <f t="shared" si="14"/>
        <v>342</v>
      </c>
      <c r="W49" s="118">
        <f t="shared" si="14"/>
        <v>347</v>
      </c>
      <c r="X49" s="118">
        <f t="shared" si="14"/>
        <v>300</v>
      </c>
      <c r="Y49" s="118">
        <f t="shared" si="14"/>
        <v>249</v>
      </c>
      <c r="Z49" s="118">
        <f t="shared" si="14"/>
        <v>246</v>
      </c>
      <c r="AA49" s="118">
        <f t="shared" si="14"/>
        <v>273</v>
      </c>
      <c r="AB49" s="118">
        <f t="shared" si="14"/>
        <v>394</v>
      </c>
      <c r="AC49" s="118">
        <f t="shared" si="14"/>
        <v>551</v>
      </c>
      <c r="AD49" s="118">
        <f t="shared" si="14"/>
        <v>1128</v>
      </c>
      <c r="AE49" s="118">
        <f t="shared" si="14"/>
        <v>528</v>
      </c>
      <c r="AF49" s="118">
        <f t="shared" si="14"/>
        <v>308</v>
      </c>
      <c r="AG49" s="118">
        <f t="shared" si="14"/>
        <v>338</v>
      </c>
      <c r="AH49" s="118">
        <f t="shared" si="14"/>
        <v>329</v>
      </c>
      <c r="AI49" s="118">
        <f t="shared" si="14"/>
        <v>415</v>
      </c>
      <c r="AJ49" s="118">
        <f t="shared" si="14"/>
        <v>269</v>
      </c>
      <c r="AK49" s="118">
        <f t="shared" si="14"/>
        <v>360</v>
      </c>
      <c r="AL49" s="118">
        <f t="shared" si="14"/>
        <v>367</v>
      </c>
      <c r="AM49" s="118">
        <f t="shared" si="14"/>
        <v>349</v>
      </c>
      <c r="AN49" s="118">
        <f t="shared" si="14"/>
        <v>360</v>
      </c>
      <c r="AO49" s="118">
        <f t="shared" si="14"/>
        <v>356</v>
      </c>
      <c r="AP49" s="118">
        <f t="shared" si="14"/>
        <v>359</v>
      </c>
      <c r="AQ49" s="118">
        <f t="shared" si="14"/>
        <v>834</v>
      </c>
      <c r="AR49" s="118">
        <f t="shared" si="14"/>
        <v>542</v>
      </c>
      <c r="AS49" s="118">
        <f t="shared" si="14"/>
        <v>451</v>
      </c>
      <c r="AT49" s="118">
        <v>415</v>
      </c>
      <c r="AU49" s="118">
        <f t="shared" si="5"/>
        <v>455</v>
      </c>
      <c r="AV49" s="118">
        <v>356</v>
      </c>
      <c r="AW49" s="118">
        <f t="shared" si="6"/>
        <v>287</v>
      </c>
      <c r="AX49" s="118">
        <f t="shared" si="6"/>
        <v>713</v>
      </c>
      <c r="AY49" s="118">
        <f t="shared" si="7"/>
        <v>641</v>
      </c>
    </row>
    <row r="50" spans="1:51" x14ac:dyDescent="0.2">
      <c r="B50" s="129" t="s">
        <v>123</v>
      </c>
      <c r="C50" s="118">
        <f t="shared" ref="C50:AS50" si="15">+C14-C32</f>
        <v>973</v>
      </c>
      <c r="D50" s="160">
        <f t="shared" si="15"/>
        <v>0</v>
      </c>
      <c r="E50" s="118">
        <f t="shared" si="15"/>
        <v>0</v>
      </c>
      <c r="F50" s="118">
        <f t="shared" si="15"/>
        <v>0</v>
      </c>
      <c r="G50" s="118">
        <f t="shared" si="15"/>
        <v>0</v>
      </c>
      <c r="H50" s="118">
        <f t="shared" si="15"/>
        <v>0</v>
      </c>
      <c r="I50" s="118">
        <f t="shared" si="15"/>
        <v>0</v>
      </c>
      <c r="J50" s="118">
        <f t="shared" si="15"/>
        <v>0</v>
      </c>
      <c r="K50" s="118">
        <f t="shared" si="15"/>
        <v>0</v>
      </c>
      <c r="L50" s="118">
        <f t="shared" si="15"/>
        <v>0</v>
      </c>
      <c r="M50" s="118">
        <f t="shared" si="15"/>
        <v>0</v>
      </c>
      <c r="N50" s="118">
        <f t="shared" si="15"/>
        <v>0</v>
      </c>
      <c r="O50" s="118">
        <f t="shared" si="15"/>
        <v>0</v>
      </c>
      <c r="P50" s="118">
        <f t="shared" si="15"/>
        <v>0</v>
      </c>
      <c r="Q50" s="118">
        <f t="shared" si="15"/>
        <v>0</v>
      </c>
      <c r="R50" s="118">
        <f t="shared" si="15"/>
        <v>0</v>
      </c>
      <c r="S50" s="118">
        <f t="shared" si="15"/>
        <v>0</v>
      </c>
      <c r="T50" s="118">
        <f t="shared" si="15"/>
        <v>0</v>
      </c>
      <c r="U50" s="118">
        <f t="shared" si="15"/>
        <v>0</v>
      </c>
      <c r="V50" s="118">
        <f t="shared" si="15"/>
        <v>0</v>
      </c>
      <c r="W50" s="118">
        <f t="shared" si="15"/>
        <v>0</v>
      </c>
      <c r="X50" s="118">
        <f t="shared" si="15"/>
        <v>0</v>
      </c>
      <c r="Y50" s="118">
        <f t="shared" si="15"/>
        <v>0</v>
      </c>
      <c r="Z50" s="118">
        <f t="shared" si="15"/>
        <v>0</v>
      </c>
      <c r="AA50" s="118">
        <f t="shared" si="15"/>
        <v>0</v>
      </c>
      <c r="AB50" s="118">
        <f t="shared" si="15"/>
        <v>0</v>
      </c>
      <c r="AC50" s="118">
        <f t="shared" si="15"/>
        <v>0</v>
      </c>
      <c r="AD50" s="118">
        <f t="shared" si="15"/>
        <v>0</v>
      </c>
      <c r="AE50" s="118">
        <f t="shared" si="15"/>
        <v>0</v>
      </c>
      <c r="AF50" s="118">
        <f t="shared" si="15"/>
        <v>0</v>
      </c>
      <c r="AG50" s="118">
        <f t="shared" si="15"/>
        <v>0</v>
      </c>
      <c r="AH50" s="118">
        <f t="shared" si="15"/>
        <v>0</v>
      </c>
      <c r="AI50" s="118">
        <f t="shared" si="15"/>
        <v>0</v>
      </c>
      <c r="AJ50" s="118">
        <f t="shared" si="15"/>
        <v>0</v>
      </c>
      <c r="AK50" s="118">
        <f t="shared" si="15"/>
        <v>0</v>
      </c>
      <c r="AL50" s="118">
        <f t="shared" si="15"/>
        <v>0</v>
      </c>
      <c r="AM50" s="118">
        <f t="shared" si="15"/>
        <v>0</v>
      </c>
      <c r="AN50" s="118">
        <f t="shared" si="15"/>
        <v>0</v>
      </c>
      <c r="AO50" s="118">
        <f t="shared" si="15"/>
        <v>11</v>
      </c>
      <c r="AP50" s="118">
        <f t="shared" si="15"/>
        <v>28</v>
      </c>
      <c r="AQ50" s="118">
        <f t="shared" si="15"/>
        <v>14</v>
      </c>
      <c r="AR50" s="118">
        <f t="shared" si="15"/>
        <v>13</v>
      </c>
      <c r="AS50" s="118">
        <f t="shared" si="15"/>
        <v>24</v>
      </c>
      <c r="AT50" s="118">
        <v>113</v>
      </c>
      <c r="AU50" s="118">
        <f t="shared" si="5"/>
        <v>55</v>
      </c>
      <c r="AV50" s="118">
        <v>3</v>
      </c>
      <c r="AW50" s="118">
        <f t="shared" si="6"/>
        <v>145</v>
      </c>
      <c r="AX50" s="118">
        <f t="shared" si="6"/>
        <v>233</v>
      </c>
      <c r="AY50" s="118">
        <f t="shared" si="7"/>
        <v>0</v>
      </c>
    </row>
    <row r="51" spans="1:51" s="248" customFormat="1" x14ac:dyDescent="0.2">
      <c r="A51" s="25"/>
      <c r="B51" s="129" t="s">
        <v>572</v>
      </c>
      <c r="C51" s="118">
        <f t="shared" ref="C51:AS51" si="16">+C15-C33</f>
        <v>0</v>
      </c>
      <c r="D51" s="160">
        <f t="shared" si="16"/>
        <v>0</v>
      </c>
      <c r="E51" s="118">
        <f t="shared" si="16"/>
        <v>0</v>
      </c>
      <c r="F51" s="118">
        <f t="shared" si="16"/>
        <v>0</v>
      </c>
      <c r="G51" s="118">
        <f t="shared" si="16"/>
        <v>0</v>
      </c>
      <c r="H51" s="118">
        <f t="shared" si="16"/>
        <v>0</v>
      </c>
      <c r="I51" s="118">
        <f t="shared" si="16"/>
        <v>0</v>
      </c>
      <c r="J51" s="118">
        <f t="shared" si="16"/>
        <v>0</v>
      </c>
      <c r="K51" s="118">
        <f t="shared" si="16"/>
        <v>0</v>
      </c>
      <c r="L51" s="118">
        <f t="shared" si="16"/>
        <v>0</v>
      </c>
      <c r="M51" s="118">
        <f t="shared" si="16"/>
        <v>0</v>
      </c>
      <c r="N51" s="118">
        <f t="shared" si="16"/>
        <v>0</v>
      </c>
      <c r="O51" s="118">
        <f t="shared" si="16"/>
        <v>31</v>
      </c>
      <c r="P51" s="118">
        <f t="shared" si="16"/>
        <v>27</v>
      </c>
      <c r="Q51" s="118">
        <f t="shared" si="16"/>
        <v>10</v>
      </c>
      <c r="R51" s="118">
        <f t="shared" si="16"/>
        <v>0</v>
      </c>
      <c r="S51" s="118">
        <f t="shared" si="16"/>
        <v>0</v>
      </c>
      <c r="T51" s="118">
        <f t="shared" si="16"/>
        <v>0</v>
      </c>
      <c r="U51" s="118">
        <f t="shared" si="16"/>
        <v>0</v>
      </c>
      <c r="V51" s="118">
        <f t="shared" si="16"/>
        <v>0</v>
      </c>
      <c r="W51" s="118">
        <f t="shared" si="16"/>
        <v>0</v>
      </c>
      <c r="X51" s="118">
        <f t="shared" si="16"/>
        <v>0</v>
      </c>
      <c r="Y51" s="118">
        <f t="shared" si="16"/>
        <v>0</v>
      </c>
      <c r="Z51" s="118">
        <f t="shared" si="16"/>
        <v>0</v>
      </c>
      <c r="AA51" s="118">
        <f t="shared" si="16"/>
        <v>0</v>
      </c>
      <c r="AB51" s="118">
        <f t="shared" si="16"/>
        <v>0</v>
      </c>
      <c r="AC51" s="118">
        <f t="shared" si="16"/>
        <v>0</v>
      </c>
      <c r="AD51" s="118">
        <f t="shared" si="16"/>
        <v>0</v>
      </c>
      <c r="AE51" s="118">
        <f t="shared" si="16"/>
        <v>0</v>
      </c>
      <c r="AF51" s="118">
        <f t="shared" si="16"/>
        <v>0</v>
      </c>
      <c r="AG51" s="118">
        <f t="shared" si="16"/>
        <v>0</v>
      </c>
      <c r="AH51" s="118">
        <f t="shared" si="16"/>
        <v>0</v>
      </c>
      <c r="AI51" s="118">
        <f t="shared" si="16"/>
        <v>0</v>
      </c>
      <c r="AJ51" s="118">
        <f t="shared" si="16"/>
        <v>0</v>
      </c>
      <c r="AK51" s="118">
        <f t="shared" si="16"/>
        <v>0</v>
      </c>
      <c r="AL51" s="118">
        <f t="shared" si="16"/>
        <v>0</v>
      </c>
      <c r="AM51" s="118">
        <f t="shared" si="16"/>
        <v>0</v>
      </c>
      <c r="AN51" s="118">
        <f t="shared" si="16"/>
        <v>0</v>
      </c>
      <c r="AO51" s="118">
        <f t="shared" si="16"/>
        <v>61</v>
      </c>
      <c r="AP51" s="118">
        <f t="shared" si="16"/>
        <v>29</v>
      </c>
      <c r="AQ51" s="118">
        <f t="shared" si="16"/>
        <v>383</v>
      </c>
      <c r="AR51" s="118">
        <f t="shared" si="16"/>
        <v>385</v>
      </c>
      <c r="AS51" s="118">
        <f t="shared" si="16"/>
        <v>323</v>
      </c>
      <c r="AT51" s="118">
        <v>198</v>
      </c>
      <c r="AU51" s="118">
        <f t="shared" si="5"/>
        <v>97</v>
      </c>
      <c r="AV51" s="118">
        <v>71</v>
      </c>
      <c r="AW51" s="118">
        <f t="shared" si="6"/>
        <v>96</v>
      </c>
      <c r="AX51" s="118">
        <f t="shared" si="6"/>
        <v>513</v>
      </c>
      <c r="AY51" s="118">
        <f t="shared" si="7"/>
        <v>6</v>
      </c>
    </row>
    <row r="52" spans="1:51" s="248" customFormat="1" x14ac:dyDescent="0.2">
      <c r="A52" s="25"/>
      <c r="B52" s="129" t="s">
        <v>582</v>
      </c>
      <c r="C52" s="118">
        <f t="shared" ref="C52:AS52" si="17">+C16-C34</f>
        <v>0</v>
      </c>
      <c r="D52" s="160">
        <f t="shared" si="17"/>
        <v>0</v>
      </c>
      <c r="E52" s="118">
        <f t="shared" si="17"/>
        <v>0</v>
      </c>
      <c r="F52" s="118">
        <f t="shared" si="17"/>
        <v>0</v>
      </c>
      <c r="G52" s="118">
        <f t="shared" si="17"/>
        <v>0</v>
      </c>
      <c r="H52" s="118">
        <f t="shared" si="17"/>
        <v>0</v>
      </c>
      <c r="I52" s="118">
        <f t="shared" si="17"/>
        <v>0</v>
      </c>
      <c r="J52" s="118">
        <f t="shared" si="17"/>
        <v>0</v>
      </c>
      <c r="K52" s="118">
        <f t="shared" si="17"/>
        <v>1262</v>
      </c>
      <c r="L52" s="118">
        <f t="shared" si="17"/>
        <v>1276</v>
      </c>
      <c r="M52" s="118">
        <f t="shared" si="17"/>
        <v>936</v>
      </c>
      <c r="N52" s="118">
        <f t="shared" si="17"/>
        <v>977</v>
      </c>
      <c r="O52" s="118">
        <f t="shared" si="17"/>
        <v>1093</v>
      </c>
      <c r="P52" s="118">
        <f t="shared" si="17"/>
        <v>276</v>
      </c>
      <c r="Q52" s="118">
        <f t="shared" si="17"/>
        <v>259</v>
      </c>
      <c r="R52" s="118">
        <f t="shared" si="17"/>
        <v>281</v>
      </c>
      <c r="S52" s="118">
        <f t="shared" si="17"/>
        <v>266</v>
      </c>
      <c r="T52" s="118">
        <f t="shared" si="17"/>
        <v>302</v>
      </c>
      <c r="U52" s="118">
        <f t="shared" si="17"/>
        <v>321</v>
      </c>
      <c r="V52" s="118">
        <f t="shared" si="17"/>
        <v>301</v>
      </c>
      <c r="W52" s="118">
        <f t="shared" si="17"/>
        <v>410</v>
      </c>
      <c r="X52" s="118">
        <f t="shared" si="17"/>
        <v>396</v>
      </c>
      <c r="Y52" s="118">
        <f t="shared" si="17"/>
        <v>292</v>
      </c>
      <c r="Z52" s="118">
        <f t="shared" si="17"/>
        <v>541</v>
      </c>
      <c r="AA52" s="118">
        <f t="shared" si="17"/>
        <v>400</v>
      </c>
      <c r="AB52" s="118">
        <f t="shared" si="17"/>
        <v>400</v>
      </c>
      <c r="AC52" s="118">
        <f t="shared" si="17"/>
        <v>345</v>
      </c>
      <c r="AD52" s="118">
        <f t="shared" si="17"/>
        <v>457</v>
      </c>
      <c r="AE52" s="118">
        <f t="shared" si="17"/>
        <v>312</v>
      </c>
      <c r="AF52" s="118">
        <f t="shared" si="17"/>
        <v>174</v>
      </c>
      <c r="AG52" s="118">
        <f t="shared" si="17"/>
        <v>153</v>
      </c>
      <c r="AH52" s="118">
        <f t="shared" si="17"/>
        <v>154</v>
      </c>
      <c r="AI52" s="118">
        <f t="shared" si="17"/>
        <v>293</v>
      </c>
      <c r="AJ52" s="118">
        <f t="shared" si="17"/>
        <v>193</v>
      </c>
      <c r="AK52" s="118">
        <f t="shared" si="17"/>
        <v>167</v>
      </c>
      <c r="AL52" s="118">
        <f t="shared" si="17"/>
        <v>188</v>
      </c>
      <c r="AM52" s="118">
        <f t="shared" si="17"/>
        <v>197</v>
      </c>
      <c r="AN52" s="118">
        <f t="shared" si="17"/>
        <v>186</v>
      </c>
      <c r="AO52" s="118">
        <f t="shared" si="17"/>
        <v>192</v>
      </c>
      <c r="AP52" s="118">
        <f t="shared" si="17"/>
        <v>161</v>
      </c>
      <c r="AQ52" s="118">
        <f t="shared" si="17"/>
        <v>278</v>
      </c>
      <c r="AR52" s="118">
        <f t="shared" si="17"/>
        <v>175</v>
      </c>
      <c r="AS52" s="118">
        <f t="shared" si="17"/>
        <v>119</v>
      </c>
      <c r="AT52" s="118">
        <v>160</v>
      </c>
      <c r="AU52" s="118">
        <f t="shared" si="5"/>
        <v>178</v>
      </c>
      <c r="AV52" s="118">
        <v>198</v>
      </c>
      <c r="AW52" s="118">
        <f t="shared" si="6"/>
        <v>99</v>
      </c>
      <c r="AX52" s="118">
        <f t="shared" si="6"/>
        <v>201</v>
      </c>
      <c r="AY52" s="118">
        <f t="shared" si="7"/>
        <v>216</v>
      </c>
    </row>
    <row r="53" spans="1:51" s="248" customFormat="1" x14ac:dyDescent="0.2">
      <c r="A53" s="25"/>
      <c r="B53" s="129" t="s">
        <v>49</v>
      </c>
      <c r="C53" s="118">
        <f t="shared" ref="C53:AS53" si="18">+C17-C35</f>
        <v>3689</v>
      </c>
      <c r="D53" s="160">
        <f t="shared" si="18"/>
        <v>3298</v>
      </c>
      <c r="E53" s="118">
        <f t="shared" si="18"/>
        <v>3078</v>
      </c>
      <c r="F53" s="118">
        <f t="shared" si="18"/>
        <v>1547</v>
      </c>
      <c r="G53" s="118">
        <f t="shared" si="18"/>
        <v>1945</v>
      </c>
      <c r="H53" s="118">
        <f t="shared" si="18"/>
        <v>5809</v>
      </c>
      <c r="I53" s="118">
        <f t="shared" si="18"/>
        <v>1299</v>
      </c>
      <c r="J53" s="118">
        <f t="shared" si="18"/>
        <v>4853</v>
      </c>
      <c r="K53" s="118">
        <f t="shared" si="18"/>
        <v>3594</v>
      </c>
      <c r="L53" s="118">
        <f t="shared" si="18"/>
        <v>766</v>
      </c>
      <c r="M53" s="118">
        <f t="shared" si="18"/>
        <v>-131</v>
      </c>
      <c r="N53" s="118">
        <f t="shared" si="18"/>
        <v>-338</v>
      </c>
      <c r="O53" s="118">
        <f t="shared" si="18"/>
        <v>428</v>
      </c>
      <c r="P53" s="118">
        <f t="shared" si="18"/>
        <v>1109</v>
      </c>
      <c r="Q53" s="118">
        <f t="shared" si="18"/>
        <v>1355</v>
      </c>
      <c r="R53" s="118">
        <f t="shared" si="18"/>
        <v>1844</v>
      </c>
      <c r="S53" s="118">
        <f t="shared" si="18"/>
        <v>1037</v>
      </c>
      <c r="T53" s="118">
        <f t="shared" si="18"/>
        <v>1551</v>
      </c>
      <c r="U53" s="118">
        <f t="shared" si="18"/>
        <v>4130</v>
      </c>
      <c r="V53" s="118">
        <f t="shared" si="18"/>
        <v>4919</v>
      </c>
      <c r="W53" s="118">
        <f t="shared" si="18"/>
        <v>1290</v>
      </c>
      <c r="X53" s="118">
        <f t="shared" si="18"/>
        <v>726</v>
      </c>
      <c r="Y53" s="118">
        <f t="shared" si="18"/>
        <v>841</v>
      </c>
      <c r="Z53" s="118">
        <f t="shared" si="18"/>
        <v>1021</v>
      </c>
      <c r="AA53" s="118">
        <f t="shared" si="18"/>
        <v>927</v>
      </c>
      <c r="AB53" s="118">
        <f t="shared" si="18"/>
        <v>2341</v>
      </c>
      <c r="AC53" s="118">
        <f t="shared" si="18"/>
        <v>1939</v>
      </c>
      <c r="AD53" s="118">
        <f t="shared" si="18"/>
        <v>1347</v>
      </c>
      <c r="AE53" s="118">
        <f t="shared" si="18"/>
        <v>953</v>
      </c>
      <c r="AF53" s="118">
        <f t="shared" si="18"/>
        <v>1007</v>
      </c>
      <c r="AG53" s="118">
        <f t="shared" si="18"/>
        <v>1019</v>
      </c>
      <c r="AH53" s="118">
        <f t="shared" si="18"/>
        <v>335</v>
      </c>
      <c r="AI53" s="118">
        <f t="shared" si="18"/>
        <v>80</v>
      </c>
      <c r="AJ53" s="118">
        <f t="shared" si="18"/>
        <v>-128</v>
      </c>
      <c r="AK53" s="118">
        <f t="shared" si="18"/>
        <v>295</v>
      </c>
      <c r="AL53" s="118">
        <f t="shared" si="18"/>
        <v>4746</v>
      </c>
      <c r="AM53" s="118">
        <f t="shared" si="18"/>
        <v>4378</v>
      </c>
      <c r="AN53" s="118">
        <f t="shared" si="18"/>
        <v>2448</v>
      </c>
      <c r="AO53" s="118">
        <f t="shared" si="18"/>
        <v>2549</v>
      </c>
      <c r="AP53" s="118">
        <f t="shared" si="18"/>
        <v>2078</v>
      </c>
      <c r="AQ53" s="118">
        <f t="shared" si="18"/>
        <v>2090</v>
      </c>
      <c r="AR53" s="118">
        <f t="shared" si="18"/>
        <v>2137</v>
      </c>
      <c r="AS53" s="118">
        <f t="shared" si="18"/>
        <v>2511</v>
      </c>
      <c r="AT53" s="118">
        <v>2324</v>
      </c>
      <c r="AU53" s="118">
        <f t="shared" si="5"/>
        <v>2211</v>
      </c>
      <c r="AV53" s="118">
        <v>2262</v>
      </c>
      <c r="AW53" s="118">
        <f t="shared" si="6"/>
        <v>2767</v>
      </c>
      <c r="AX53" s="118">
        <f t="shared" si="6"/>
        <v>24985</v>
      </c>
      <c r="AY53" s="118">
        <f t="shared" si="7"/>
        <v>23728</v>
      </c>
    </row>
    <row r="54" spans="1:51" s="248" customFormat="1" hidden="1" outlineLevel="1" x14ac:dyDescent="0.2">
      <c r="A54" s="25"/>
      <c r="B54" s="129" t="s">
        <v>124</v>
      </c>
      <c r="C54" s="118">
        <f t="shared" ref="C54:AR54" si="19">+C18-C36</f>
        <v>16107</v>
      </c>
      <c r="D54" s="160">
        <f t="shared" si="19"/>
        <v>3481</v>
      </c>
      <c r="E54" s="118">
        <f t="shared" si="19"/>
        <v>4460</v>
      </c>
      <c r="F54" s="118">
        <f t="shared" si="19"/>
        <v>425</v>
      </c>
      <c r="G54" s="118">
        <f t="shared" si="19"/>
        <v>450</v>
      </c>
      <c r="H54" s="118">
        <f t="shared" si="19"/>
        <v>0</v>
      </c>
      <c r="I54" s="118">
        <f t="shared" si="19"/>
        <v>0</v>
      </c>
      <c r="J54" s="118">
        <f t="shared" si="19"/>
        <v>0</v>
      </c>
      <c r="K54" s="118">
        <f t="shared" si="19"/>
        <v>0</v>
      </c>
      <c r="L54" s="118">
        <f t="shared" si="19"/>
        <v>0</v>
      </c>
      <c r="M54" s="118">
        <f t="shared" si="19"/>
        <v>0</v>
      </c>
      <c r="N54" s="118">
        <f t="shared" si="19"/>
        <v>0</v>
      </c>
      <c r="O54" s="118">
        <f t="shared" si="19"/>
        <v>0</v>
      </c>
      <c r="P54" s="118">
        <f t="shared" si="19"/>
        <v>0</v>
      </c>
      <c r="Q54" s="118">
        <f t="shared" si="19"/>
        <v>0</v>
      </c>
      <c r="R54" s="118">
        <f t="shared" si="19"/>
        <v>0</v>
      </c>
      <c r="S54" s="118">
        <f t="shared" si="19"/>
        <v>0</v>
      </c>
      <c r="T54" s="118">
        <f t="shared" si="19"/>
        <v>0</v>
      </c>
      <c r="U54" s="118">
        <f t="shared" si="19"/>
        <v>0</v>
      </c>
      <c r="V54" s="118">
        <f t="shared" si="19"/>
        <v>0</v>
      </c>
      <c r="W54" s="118">
        <f t="shared" si="19"/>
        <v>0</v>
      </c>
      <c r="X54" s="118">
        <f t="shared" si="19"/>
        <v>0</v>
      </c>
      <c r="Y54" s="118">
        <f t="shared" si="19"/>
        <v>0</v>
      </c>
      <c r="Z54" s="118">
        <f t="shared" si="19"/>
        <v>0</v>
      </c>
      <c r="AA54" s="118">
        <f t="shared" si="19"/>
        <v>0</v>
      </c>
      <c r="AB54" s="118">
        <f t="shared" si="19"/>
        <v>0</v>
      </c>
      <c r="AC54" s="118">
        <f t="shared" si="19"/>
        <v>0</v>
      </c>
      <c r="AD54" s="118">
        <f t="shared" si="19"/>
        <v>0</v>
      </c>
      <c r="AE54" s="118">
        <f t="shared" si="19"/>
        <v>0</v>
      </c>
      <c r="AF54" s="118">
        <f t="shared" si="19"/>
        <v>0</v>
      </c>
      <c r="AG54" s="118">
        <f t="shared" si="19"/>
        <v>0</v>
      </c>
      <c r="AH54" s="118">
        <f t="shared" si="19"/>
        <v>0</v>
      </c>
      <c r="AI54" s="118">
        <f t="shared" si="19"/>
        <v>0</v>
      </c>
      <c r="AJ54" s="118">
        <f t="shared" si="19"/>
        <v>0</v>
      </c>
      <c r="AK54" s="118">
        <f t="shared" si="19"/>
        <v>0</v>
      </c>
      <c r="AL54" s="118">
        <f t="shared" si="19"/>
        <v>0</v>
      </c>
      <c r="AM54" s="118">
        <f t="shared" si="19"/>
        <v>0</v>
      </c>
      <c r="AN54" s="118">
        <f t="shared" si="19"/>
        <v>0</v>
      </c>
      <c r="AO54" s="118">
        <f t="shared" si="19"/>
        <v>0</v>
      </c>
      <c r="AP54" s="118">
        <f t="shared" si="19"/>
        <v>0</v>
      </c>
      <c r="AQ54" s="118">
        <f t="shared" si="19"/>
        <v>0</v>
      </c>
      <c r="AR54" s="118">
        <f t="shared" si="19"/>
        <v>0</v>
      </c>
      <c r="AS54" s="118"/>
      <c r="AT54" s="118"/>
      <c r="AU54" s="118"/>
      <c r="AV54" s="118">
        <f t="shared" ref="AV54:AW56" si="20">+AV18-AV36</f>
        <v>0</v>
      </c>
      <c r="AW54" s="118">
        <f t="shared" si="20"/>
        <v>0</v>
      </c>
      <c r="AX54" s="118">
        <f>+AX18-AX36</f>
        <v>0</v>
      </c>
      <c r="AY54" s="118">
        <f t="shared" si="7"/>
        <v>0</v>
      </c>
    </row>
    <row r="55" spans="1:51" s="248" customFormat="1" hidden="1" outlineLevel="1" x14ac:dyDescent="0.2">
      <c r="A55" s="25"/>
      <c r="B55" s="129" t="s">
        <v>536</v>
      </c>
      <c r="C55" s="118">
        <f t="shared" ref="C55:AR55" si="21">+C19-C37</f>
        <v>0</v>
      </c>
      <c r="D55" s="160">
        <f t="shared" si="21"/>
        <v>0</v>
      </c>
      <c r="E55" s="118">
        <f t="shared" si="21"/>
        <v>0</v>
      </c>
      <c r="F55" s="118">
        <f t="shared" si="21"/>
        <v>0</v>
      </c>
      <c r="G55" s="118">
        <f t="shared" si="21"/>
        <v>0</v>
      </c>
      <c r="H55" s="118">
        <f t="shared" si="21"/>
        <v>6400</v>
      </c>
      <c r="I55" s="118">
        <f t="shared" si="21"/>
        <v>6400</v>
      </c>
      <c r="J55" s="118">
        <f t="shared" si="21"/>
        <v>6400</v>
      </c>
      <c r="K55" s="118">
        <f t="shared" si="21"/>
        <v>6400</v>
      </c>
      <c r="L55" s="118">
        <f t="shared" si="21"/>
        <v>6400</v>
      </c>
      <c r="M55" s="118">
        <f t="shared" si="21"/>
        <v>6400</v>
      </c>
      <c r="N55" s="118">
        <f t="shared" si="21"/>
        <v>0</v>
      </c>
      <c r="O55" s="118">
        <f t="shared" si="21"/>
        <v>0</v>
      </c>
      <c r="P55" s="118">
        <f t="shared" si="21"/>
        <v>0</v>
      </c>
      <c r="Q55" s="118">
        <f t="shared" si="21"/>
        <v>0</v>
      </c>
      <c r="R55" s="118">
        <f t="shared" si="21"/>
        <v>0</v>
      </c>
      <c r="S55" s="118">
        <f t="shared" si="21"/>
        <v>0</v>
      </c>
      <c r="T55" s="118">
        <f t="shared" si="21"/>
        <v>0</v>
      </c>
      <c r="U55" s="118">
        <f t="shared" si="21"/>
        <v>0</v>
      </c>
      <c r="V55" s="118">
        <f t="shared" si="21"/>
        <v>0</v>
      </c>
      <c r="W55" s="118">
        <f t="shared" si="21"/>
        <v>0</v>
      </c>
      <c r="X55" s="118">
        <f t="shared" si="21"/>
        <v>0</v>
      </c>
      <c r="Y55" s="118">
        <f t="shared" si="21"/>
        <v>0</v>
      </c>
      <c r="Z55" s="118">
        <f t="shared" si="21"/>
        <v>0</v>
      </c>
      <c r="AA55" s="118">
        <f t="shared" si="21"/>
        <v>0</v>
      </c>
      <c r="AB55" s="118">
        <f t="shared" si="21"/>
        <v>0</v>
      </c>
      <c r="AC55" s="118">
        <f t="shared" si="21"/>
        <v>0</v>
      </c>
      <c r="AD55" s="118">
        <f t="shared" si="21"/>
        <v>0</v>
      </c>
      <c r="AE55" s="118">
        <f t="shared" si="21"/>
        <v>0</v>
      </c>
      <c r="AF55" s="118">
        <f t="shared" si="21"/>
        <v>0</v>
      </c>
      <c r="AG55" s="118">
        <f t="shared" si="21"/>
        <v>0</v>
      </c>
      <c r="AH55" s="118">
        <f t="shared" si="21"/>
        <v>0</v>
      </c>
      <c r="AI55" s="118">
        <f t="shared" si="21"/>
        <v>0</v>
      </c>
      <c r="AJ55" s="118">
        <f t="shared" si="21"/>
        <v>0</v>
      </c>
      <c r="AK55" s="118">
        <f t="shared" si="21"/>
        <v>0</v>
      </c>
      <c r="AL55" s="118">
        <f t="shared" si="21"/>
        <v>0</v>
      </c>
      <c r="AM55" s="118">
        <f t="shared" si="21"/>
        <v>0</v>
      </c>
      <c r="AN55" s="118">
        <f t="shared" si="21"/>
        <v>0</v>
      </c>
      <c r="AO55" s="118">
        <f t="shared" si="21"/>
        <v>0</v>
      </c>
      <c r="AP55" s="118">
        <f t="shared" si="21"/>
        <v>0</v>
      </c>
      <c r="AQ55" s="118">
        <f t="shared" si="21"/>
        <v>0</v>
      </c>
      <c r="AR55" s="118">
        <f t="shared" si="21"/>
        <v>0</v>
      </c>
      <c r="AS55" s="118"/>
      <c r="AT55" s="118"/>
      <c r="AU55" s="118"/>
      <c r="AV55" s="118">
        <f t="shared" si="20"/>
        <v>0</v>
      </c>
      <c r="AW55" s="118">
        <f t="shared" si="20"/>
        <v>0</v>
      </c>
      <c r="AX55" s="118">
        <f>+AX19-AX37</f>
        <v>0</v>
      </c>
      <c r="AY55" s="118">
        <f t="shared" si="7"/>
        <v>0</v>
      </c>
    </row>
    <row r="56" spans="1:51" s="248" customFormat="1" ht="13.5" hidden="1" customHeight="1" outlineLevel="1" x14ac:dyDescent="0.2">
      <c r="A56" s="25"/>
      <c r="B56" s="129" t="s">
        <v>125</v>
      </c>
      <c r="C56" s="118">
        <f t="shared" ref="C56:AR56" si="22">+C20-C38</f>
        <v>0</v>
      </c>
      <c r="D56" s="160">
        <f t="shared" si="22"/>
        <v>0</v>
      </c>
      <c r="E56" s="118">
        <f t="shared" si="22"/>
        <v>0</v>
      </c>
      <c r="F56" s="118">
        <f t="shared" si="22"/>
        <v>0</v>
      </c>
      <c r="G56" s="118">
        <f t="shared" si="22"/>
        <v>0</v>
      </c>
      <c r="H56" s="118">
        <f t="shared" si="22"/>
        <v>0</v>
      </c>
      <c r="I56" s="118">
        <f t="shared" si="22"/>
        <v>0</v>
      </c>
      <c r="J56" s="118">
        <f t="shared" si="22"/>
        <v>0</v>
      </c>
      <c r="K56" s="118">
        <f t="shared" si="22"/>
        <v>0</v>
      </c>
      <c r="L56" s="118">
        <f t="shared" si="22"/>
        <v>0</v>
      </c>
      <c r="M56" s="118">
        <f t="shared" si="22"/>
        <v>0</v>
      </c>
      <c r="N56" s="118">
        <f t="shared" si="22"/>
        <v>0</v>
      </c>
      <c r="O56" s="118">
        <f t="shared" si="22"/>
        <v>0</v>
      </c>
      <c r="P56" s="118">
        <f t="shared" si="22"/>
        <v>0</v>
      </c>
      <c r="Q56" s="118">
        <f t="shared" si="22"/>
        <v>0</v>
      </c>
      <c r="R56" s="118">
        <f t="shared" si="22"/>
        <v>0</v>
      </c>
      <c r="S56" s="118">
        <f t="shared" si="22"/>
        <v>0</v>
      </c>
      <c r="T56" s="118">
        <f t="shared" si="22"/>
        <v>0</v>
      </c>
      <c r="U56" s="118">
        <f t="shared" si="22"/>
        <v>0</v>
      </c>
      <c r="V56" s="118">
        <f t="shared" si="22"/>
        <v>0</v>
      </c>
      <c r="W56" s="118">
        <f t="shared" si="22"/>
        <v>0</v>
      </c>
      <c r="X56" s="118">
        <f t="shared" si="22"/>
        <v>0</v>
      </c>
      <c r="Y56" s="118">
        <f t="shared" si="22"/>
        <v>0</v>
      </c>
      <c r="Z56" s="118">
        <f t="shared" si="22"/>
        <v>0</v>
      </c>
      <c r="AA56" s="118">
        <f t="shared" si="22"/>
        <v>0</v>
      </c>
      <c r="AB56" s="118">
        <f t="shared" si="22"/>
        <v>0</v>
      </c>
      <c r="AC56" s="118">
        <f t="shared" si="22"/>
        <v>0</v>
      </c>
      <c r="AD56" s="118">
        <f t="shared" si="22"/>
        <v>0</v>
      </c>
      <c r="AE56" s="118">
        <f t="shared" si="22"/>
        <v>0</v>
      </c>
      <c r="AF56" s="118">
        <f t="shared" si="22"/>
        <v>0</v>
      </c>
      <c r="AG56" s="118">
        <f t="shared" si="22"/>
        <v>0</v>
      </c>
      <c r="AH56" s="118">
        <f t="shared" si="22"/>
        <v>0</v>
      </c>
      <c r="AI56" s="118">
        <f t="shared" si="22"/>
        <v>0</v>
      </c>
      <c r="AJ56" s="118">
        <f t="shared" si="22"/>
        <v>0</v>
      </c>
      <c r="AK56" s="118">
        <f t="shared" si="22"/>
        <v>0</v>
      </c>
      <c r="AL56" s="118">
        <f t="shared" si="22"/>
        <v>0</v>
      </c>
      <c r="AM56" s="118">
        <f t="shared" si="22"/>
        <v>0</v>
      </c>
      <c r="AN56" s="118">
        <f t="shared" si="22"/>
        <v>0</v>
      </c>
      <c r="AO56" s="118">
        <f t="shared" si="22"/>
        <v>0</v>
      </c>
      <c r="AP56" s="118">
        <f t="shared" si="22"/>
        <v>0</v>
      </c>
      <c r="AQ56" s="118">
        <f t="shared" si="22"/>
        <v>0</v>
      </c>
      <c r="AR56" s="118">
        <f t="shared" si="22"/>
        <v>0</v>
      </c>
      <c r="AS56" s="118"/>
      <c r="AT56" s="118"/>
      <c r="AU56" s="118"/>
      <c r="AV56" s="118">
        <f t="shared" si="20"/>
        <v>0</v>
      </c>
      <c r="AW56" s="118">
        <f t="shared" si="20"/>
        <v>0</v>
      </c>
      <c r="AX56" s="118">
        <f>+AX20-AX38</f>
        <v>0</v>
      </c>
      <c r="AY56" s="118">
        <f t="shared" si="7"/>
        <v>0</v>
      </c>
    </row>
    <row r="57" spans="1:51" collapsed="1" x14ac:dyDescent="0.2">
      <c r="B57" s="126" t="s">
        <v>73</v>
      </c>
      <c r="C57" s="120">
        <f t="shared" ref="C57:P57" si="23">SUM(C42:C56)</f>
        <v>33833</v>
      </c>
      <c r="D57" s="162">
        <f t="shared" si="23"/>
        <v>10537</v>
      </c>
      <c r="E57" s="120">
        <f t="shared" si="23"/>
        <v>11328</v>
      </c>
      <c r="F57" s="120">
        <f t="shared" si="23"/>
        <v>6489</v>
      </c>
      <c r="G57" s="120">
        <f t="shared" si="23"/>
        <v>6928</v>
      </c>
      <c r="H57" s="120">
        <f t="shared" si="23"/>
        <v>17050</v>
      </c>
      <c r="I57" s="120">
        <f t="shared" si="23"/>
        <v>11526</v>
      </c>
      <c r="J57" s="120">
        <f t="shared" si="23"/>
        <v>17951</v>
      </c>
      <c r="K57" s="120">
        <f t="shared" si="23"/>
        <v>21228</v>
      </c>
      <c r="L57" s="120">
        <f t="shared" si="23"/>
        <v>13013</v>
      </c>
      <c r="M57" s="120">
        <f t="shared" si="23"/>
        <v>11039</v>
      </c>
      <c r="N57" s="120">
        <f t="shared" si="23"/>
        <v>4178</v>
      </c>
      <c r="O57" s="120">
        <f t="shared" si="23"/>
        <v>5962</v>
      </c>
      <c r="P57" s="120">
        <f t="shared" si="23"/>
        <v>4670</v>
      </c>
      <c r="Q57" s="120">
        <f t="shared" ref="Q57:W57" si="24">SUM(Q42:Q56)</f>
        <v>5398</v>
      </c>
      <c r="R57" s="120">
        <f t="shared" si="24"/>
        <v>5747</v>
      </c>
      <c r="S57" s="120">
        <f t="shared" si="24"/>
        <v>4604</v>
      </c>
      <c r="T57" s="120">
        <f t="shared" si="24"/>
        <v>6037</v>
      </c>
      <c r="U57" s="120">
        <f t="shared" si="24"/>
        <v>8175</v>
      </c>
      <c r="V57" s="120">
        <f t="shared" si="24"/>
        <v>8869</v>
      </c>
      <c r="W57" s="120">
        <f t="shared" si="24"/>
        <v>5067</v>
      </c>
      <c r="X57" s="120">
        <f t="shared" ref="X57:AC57" si="25">SUM(X42:X56)</f>
        <v>4601</v>
      </c>
      <c r="Y57" s="120">
        <f t="shared" si="25"/>
        <v>4961</v>
      </c>
      <c r="Z57" s="120">
        <f t="shared" si="25"/>
        <v>6052</v>
      </c>
      <c r="AA57" s="120">
        <f t="shared" si="25"/>
        <v>3636</v>
      </c>
      <c r="AB57" s="120">
        <f t="shared" si="25"/>
        <v>5271</v>
      </c>
      <c r="AC57" s="120">
        <f t="shared" si="25"/>
        <v>6330</v>
      </c>
      <c r="AD57" s="120">
        <f t="shared" ref="AD57:AJ57" si="26">SUM(AD42:AD56)</f>
        <v>6530</v>
      </c>
      <c r="AE57" s="120">
        <f t="shared" si="26"/>
        <v>4025</v>
      </c>
      <c r="AF57" s="120">
        <f t="shared" si="26"/>
        <v>4061</v>
      </c>
      <c r="AG57" s="120">
        <f t="shared" si="26"/>
        <v>4298</v>
      </c>
      <c r="AH57" s="120">
        <f t="shared" si="26"/>
        <v>3501</v>
      </c>
      <c r="AI57" s="120">
        <f t="shared" si="26"/>
        <v>2796</v>
      </c>
      <c r="AJ57" s="120">
        <f t="shared" si="26"/>
        <v>2612</v>
      </c>
      <c r="AK57" s="120">
        <f t="shared" ref="AK57:AQ57" si="27">SUM(AK42:AK56)</f>
        <v>5704</v>
      </c>
      <c r="AL57" s="120">
        <f t="shared" si="27"/>
        <v>10816</v>
      </c>
      <c r="AM57" s="120">
        <f t="shared" si="27"/>
        <v>10362</v>
      </c>
      <c r="AN57" s="120">
        <f t="shared" si="27"/>
        <v>6319</v>
      </c>
      <c r="AO57" s="120">
        <f t="shared" si="27"/>
        <v>7401</v>
      </c>
      <c r="AP57" s="120">
        <f t="shared" si="27"/>
        <v>6866</v>
      </c>
      <c r="AQ57" s="120">
        <f t="shared" si="27"/>
        <v>6514</v>
      </c>
      <c r="AR57" s="120">
        <f>SUM(AR42:AR56)</f>
        <v>5267</v>
      </c>
      <c r="AS57" s="120">
        <f t="shared" ref="AS57:AX57" si="28">SUM(AS42:AS56)</f>
        <v>5410</v>
      </c>
      <c r="AT57" s="120">
        <f t="shared" si="28"/>
        <v>6339</v>
      </c>
      <c r="AU57" s="120">
        <f t="shared" si="28"/>
        <v>6323</v>
      </c>
      <c r="AV57" s="120">
        <f t="shared" si="28"/>
        <v>6333</v>
      </c>
      <c r="AW57" s="120">
        <f t="shared" si="28"/>
        <v>6963</v>
      </c>
      <c r="AX57" s="120">
        <f t="shared" si="28"/>
        <v>30504</v>
      </c>
      <c r="AY57" s="120">
        <f>SUM(AY42:AY56)</f>
        <v>29004</v>
      </c>
    </row>
    <row r="58" spans="1:51" ht="15" customHeight="1" x14ac:dyDescent="0.2"/>
    <row r="59" spans="1:51" ht="15.75" customHeight="1" x14ac:dyDescent="0.2"/>
    <row r="60" spans="1:51" x14ac:dyDescent="0.2">
      <c r="A60" s="28"/>
    </row>
    <row r="61" spans="1:51" x14ac:dyDescent="0.2">
      <c r="A61" s="28"/>
    </row>
    <row r="62" spans="1:51" x14ac:dyDescent="0.2">
      <c r="A62" s="28"/>
    </row>
    <row r="63" spans="1:51" x14ac:dyDescent="0.2">
      <c r="A63" s="28"/>
    </row>
    <row r="64" spans="1:51" x14ac:dyDescent="0.2">
      <c r="A64" s="28"/>
    </row>
    <row r="65" spans="1:1" x14ac:dyDescent="0.2">
      <c r="A65" s="28"/>
    </row>
    <row r="66" spans="1:1" x14ac:dyDescent="0.2">
      <c r="A66" s="28"/>
    </row>
    <row r="67" spans="1:1" x14ac:dyDescent="0.2">
      <c r="A67" s="28"/>
    </row>
    <row r="68" spans="1:1" x14ac:dyDescent="0.2">
      <c r="A68" s="28"/>
    </row>
    <row r="69" spans="1:1" x14ac:dyDescent="0.2">
      <c r="A69" s="28"/>
    </row>
    <row r="70" spans="1:1" x14ac:dyDescent="0.2">
      <c r="A70" s="28"/>
    </row>
    <row r="71" spans="1:1" x14ac:dyDescent="0.2">
      <c r="A71" s="28"/>
    </row>
    <row r="72" spans="1:1" x14ac:dyDescent="0.2">
      <c r="A72" s="28"/>
    </row>
    <row r="73" spans="1:1" x14ac:dyDescent="0.2">
      <c r="A73" s="28"/>
    </row>
    <row r="74" spans="1:1" x14ac:dyDescent="0.2">
      <c r="A74" s="28"/>
    </row>
    <row r="75" spans="1:1" x14ac:dyDescent="0.2">
      <c r="A75" s="28"/>
    </row>
    <row r="76" spans="1:1" x14ac:dyDescent="0.2">
      <c r="A76" s="28"/>
    </row>
    <row r="77" spans="1:1" x14ac:dyDescent="0.2">
      <c r="A77" s="28"/>
    </row>
    <row r="78" spans="1:1" x14ac:dyDescent="0.2">
      <c r="A78" s="28"/>
    </row>
    <row r="79" spans="1:1" x14ac:dyDescent="0.2">
      <c r="A79" s="28"/>
    </row>
    <row r="80" spans="1:1" x14ac:dyDescent="0.2">
      <c r="A80" s="28"/>
    </row>
    <row r="81" spans="1:1" x14ac:dyDescent="0.2">
      <c r="A81" s="28"/>
    </row>
    <row r="82" spans="1:1" x14ac:dyDescent="0.2">
      <c r="A82" s="28"/>
    </row>
    <row r="83" spans="1:1" x14ac:dyDescent="0.2">
      <c r="A83" s="28"/>
    </row>
    <row r="84" spans="1:1" x14ac:dyDescent="0.2">
      <c r="A84" s="28"/>
    </row>
    <row r="85" spans="1:1" x14ac:dyDescent="0.2">
      <c r="A85" s="28"/>
    </row>
    <row r="86" spans="1:1" x14ac:dyDescent="0.2">
      <c r="A86" s="28"/>
    </row>
    <row r="87" spans="1:1" x14ac:dyDescent="0.2">
      <c r="A87" s="28"/>
    </row>
    <row r="88" spans="1:1" x14ac:dyDescent="0.2">
      <c r="A88" s="28"/>
    </row>
    <row r="89" spans="1:1" x14ac:dyDescent="0.2">
      <c r="A89" s="28"/>
    </row>
    <row r="90" spans="1:1" x14ac:dyDescent="0.2">
      <c r="A90" s="28"/>
    </row>
    <row r="91" spans="1:1" x14ac:dyDescent="0.2">
      <c r="A91" s="28"/>
    </row>
    <row r="92" spans="1:1" x14ac:dyDescent="0.2">
      <c r="A92" s="28"/>
    </row>
    <row r="93" spans="1:1" x14ac:dyDescent="0.2">
      <c r="A93" s="28"/>
    </row>
    <row r="94" spans="1:1" x14ac:dyDescent="0.2">
      <c r="A94" s="28"/>
    </row>
    <row r="95" spans="1:1" x14ac:dyDescent="0.2">
      <c r="A95" s="28"/>
    </row>
    <row r="96" spans="1:1" x14ac:dyDescent="0.2">
      <c r="A96" s="28"/>
    </row>
    <row r="97" spans="1:1" x14ac:dyDescent="0.2">
      <c r="A97" s="28"/>
    </row>
    <row r="98" spans="1:1" x14ac:dyDescent="0.2">
      <c r="A98" s="28"/>
    </row>
    <row r="99" spans="1:1" x14ac:dyDescent="0.2">
      <c r="A99" s="28"/>
    </row>
    <row r="100" spans="1:1" x14ac:dyDescent="0.2">
      <c r="A100" s="28"/>
    </row>
    <row r="101" spans="1:1" x14ac:dyDescent="0.2">
      <c r="A101" s="28"/>
    </row>
    <row r="102" spans="1:1" x14ac:dyDescent="0.2">
      <c r="A102" s="28"/>
    </row>
    <row r="103" spans="1:1" x14ac:dyDescent="0.2">
      <c r="A103" s="28"/>
    </row>
    <row r="104" spans="1:1" x14ac:dyDescent="0.2">
      <c r="A104" s="28"/>
    </row>
    <row r="105" spans="1:1" x14ac:dyDescent="0.2">
      <c r="A105" s="28"/>
    </row>
    <row r="106" spans="1:1" x14ac:dyDescent="0.2">
      <c r="A106" s="28"/>
    </row>
    <row r="107" spans="1:1" x14ac:dyDescent="0.2">
      <c r="A107" s="28"/>
    </row>
    <row r="108" spans="1:1" x14ac:dyDescent="0.2">
      <c r="A108" s="28"/>
    </row>
    <row r="109" spans="1:1" x14ac:dyDescent="0.2">
      <c r="A109" s="28"/>
    </row>
    <row r="110" spans="1:1" x14ac:dyDescent="0.2">
      <c r="A110" s="28"/>
    </row>
    <row r="111" spans="1:1" x14ac:dyDescent="0.2">
      <c r="A111" s="28"/>
    </row>
    <row r="112" spans="1:1" x14ac:dyDescent="0.2">
      <c r="A112" s="28"/>
    </row>
    <row r="113" spans="1:1" x14ac:dyDescent="0.2">
      <c r="A113" s="28"/>
    </row>
    <row r="114" spans="1:1" x14ac:dyDescent="0.2">
      <c r="A114" s="28"/>
    </row>
    <row r="115" spans="1:1" x14ac:dyDescent="0.2">
      <c r="A115" s="28"/>
    </row>
    <row r="116" spans="1:1" ht="15" customHeight="1" x14ac:dyDescent="0.2">
      <c r="A116" s="28"/>
    </row>
    <row r="117" spans="1:1" x14ac:dyDescent="0.2">
      <c r="A117" s="28"/>
    </row>
    <row r="118" spans="1:1" x14ac:dyDescent="0.2">
      <c r="A118" s="28"/>
    </row>
    <row r="119" spans="1:1" x14ac:dyDescent="0.2">
      <c r="A119" s="28"/>
    </row>
    <row r="120" spans="1:1" ht="14.25" customHeight="1" x14ac:dyDescent="0.2">
      <c r="A120" s="28"/>
    </row>
    <row r="121" spans="1:1" x14ac:dyDescent="0.2">
      <c r="A121" s="28"/>
    </row>
    <row r="122" spans="1:1" x14ac:dyDescent="0.2">
      <c r="A122" s="28"/>
    </row>
    <row r="123" spans="1:1" x14ac:dyDescent="0.2">
      <c r="A123" s="28"/>
    </row>
    <row r="124" spans="1:1" x14ac:dyDescent="0.2">
      <c r="A124" s="28"/>
    </row>
    <row r="125" spans="1:1" x14ac:dyDescent="0.2">
      <c r="A125" s="28"/>
    </row>
    <row r="126" spans="1:1" x14ac:dyDescent="0.2">
      <c r="A126" s="28"/>
    </row>
    <row r="127" spans="1:1" x14ac:dyDescent="0.2">
      <c r="A127" s="28"/>
    </row>
    <row r="128" spans="1:1" x14ac:dyDescent="0.2">
      <c r="A128" s="28"/>
    </row>
    <row r="129" spans="1:1" x14ac:dyDescent="0.2">
      <c r="A129" s="28"/>
    </row>
    <row r="130" spans="1:1" x14ac:dyDescent="0.2">
      <c r="A130" s="28"/>
    </row>
    <row r="131" spans="1:1" x14ac:dyDescent="0.2">
      <c r="A131" s="28"/>
    </row>
    <row r="132" spans="1:1" x14ac:dyDescent="0.2">
      <c r="A132" s="28"/>
    </row>
    <row r="133" spans="1:1" x14ac:dyDescent="0.2">
      <c r="A133" s="28"/>
    </row>
    <row r="134" spans="1:1" x14ac:dyDescent="0.2">
      <c r="A134" s="28"/>
    </row>
    <row r="135" spans="1:1" x14ac:dyDescent="0.2">
      <c r="A135" s="28"/>
    </row>
    <row r="136" spans="1:1" x14ac:dyDescent="0.2">
      <c r="A136" s="28"/>
    </row>
    <row r="137" spans="1:1" x14ac:dyDescent="0.2">
      <c r="A137" s="28"/>
    </row>
    <row r="138" spans="1:1" x14ac:dyDescent="0.2">
      <c r="A138" s="28"/>
    </row>
    <row r="139" spans="1:1" x14ac:dyDescent="0.2">
      <c r="A139" s="28"/>
    </row>
    <row r="140" spans="1:1" x14ac:dyDescent="0.2">
      <c r="A140" s="28"/>
    </row>
    <row r="141" spans="1:1" x14ac:dyDescent="0.2">
      <c r="A141" s="28"/>
    </row>
    <row r="142" spans="1:1" x14ac:dyDescent="0.2">
      <c r="A142" s="28"/>
    </row>
    <row r="143" spans="1:1" ht="15" customHeight="1" x14ac:dyDescent="0.2">
      <c r="A143" s="28"/>
    </row>
    <row r="144" spans="1:1" x14ac:dyDescent="0.2">
      <c r="A144" s="28"/>
    </row>
    <row r="145" spans="1:1" x14ac:dyDescent="0.2">
      <c r="A145" s="28"/>
    </row>
    <row r="146" spans="1:1" x14ac:dyDescent="0.2">
      <c r="A146" s="28"/>
    </row>
    <row r="147" spans="1:1" ht="20.25" customHeight="1" x14ac:dyDescent="0.2">
      <c r="A147" s="28"/>
    </row>
    <row r="148" spans="1:1" x14ac:dyDescent="0.2">
      <c r="A148" s="28"/>
    </row>
    <row r="149" spans="1:1" x14ac:dyDescent="0.2">
      <c r="A149" s="28"/>
    </row>
    <row r="150" spans="1:1" x14ac:dyDescent="0.2">
      <c r="A150" s="28"/>
    </row>
    <row r="151" spans="1:1" x14ac:dyDescent="0.2">
      <c r="A151" s="28"/>
    </row>
    <row r="152" spans="1:1" x14ac:dyDescent="0.2">
      <c r="A152" s="28"/>
    </row>
    <row r="153" spans="1:1" x14ac:dyDescent="0.2">
      <c r="A153" s="28"/>
    </row>
    <row r="154" spans="1:1" x14ac:dyDescent="0.2">
      <c r="A154" s="28"/>
    </row>
    <row r="155" spans="1:1" x14ac:dyDescent="0.2">
      <c r="A155" s="28"/>
    </row>
    <row r="156" spans="1:1" x14ac:dyDescent="0.2">
      <c r="A156" s="28"/>
    </row>
    <row r="157" spans="1:1" x14ac:dyDescent="0.2">
      <c r="A157" s="28"/>
    </row>
    <row r="158" spans="1:1" x14ac:dyDescent="0.2">
      <c r="A158" s="28"/>
    </row>
    <row r="159" spans="1:1" x14ac:dyDescent="0.2">
      <c r="A159" s="28"/>
    </row>
    <row r="160" spans="1:1" x14ac:dyDescent="0.2">
      <c r="A160" s="28"/>
    </row>
    <row r="161" spans="1:1" x14ac:dyDescent="0.2">
      <c r="A161" s="28"/>
    </row>
    <row r="162" spans="1:1" x14ac:dyDescent="0.2">
      <c r="A162" s="28"/>
    </row>
    <row r="163" spans="1:1" x14ac:dyDescent="0.2">
      <c r="A163" s="28"/>
    </row>
    <row r="164" spans="1:1" x14ac:dyDescent="0.2">
      <c r="A164" s="28"/>
    </row>
    <row r="165" spans="1:1" x14ac:dyDescent="0.2">
      <c r="A165" s="28"/>
    </row>
    <row r="166" spans="1:1" x14ac:dyDescent="0.2">
      <c r="A166" s="28"/>
    </row>
    <row r="167" spans="1:1" x14ac:dyDescent="0.2">
      <c r="A167" s="28"/>
    </row>
    <row r="168" spans="1:1" x14ac:dyDescent="0.2">
      <c r="A168" s="28"/>
    </row>
    <row r="169" spans="1:1" x14ac:dyDescent="0.2">
      <c r="A169" s="28"/>
    </row>
    <row r="170" spans="1:1" x14ac:dyDescent="0.2">
      <c r="A170" s="28"/>
    </row>
    <row r="171" spans="1:1" x14ac:dyDescent="0.2">
      <c r="A171" s="28"/>
    </row>
    <row r="172" spans="1:1" x14ac:dyDescent="0.2">
      <c r="A172" s="28"/>
    </row>
    <row r="173" spans="1:1" ht="15" customHeight="1" x14ac:dyDescent="0.2">
      <c r="A173" s="28"/>
    </row>
    <row r="174" spans="1:1" x14ac:dyDescent="0.2">
      <c r="A174" s="28"/>
    </row>
    <row r="175" spans="1:1" x14ac:dyDescent="0.2">
      <c r="A175" s="28"/>
    </row>
    <row r="176" spans="1:1" x14ac:dyDescent="0.2">
      <c r="A176" s="28"/>
    </row>
    <row r="177" spans="1:1" x14ac:dyDescent="0.2">
      <c r="A177" s="28"/>
    </row>
    <row r="178" spans="1:1" x14ac:dyDescent="0.2">
      <c r="A178" s="28"/>
    </row>
    <row r="179" spans="1:1" x14ac:dyDescent="0.2">
      <c r="A179" s="28"/>
    </row>
    <row r="180" spans="1:1" x14ac:dyDescent="0.2">
      <c r="A180" s="28"/>
    </row>
    <row r="181" spans="1:1" x14ac:dyDescent="0.2">
      <c r="A181" s="28"/>
    </row>
    <row r="182" spans="1:1" x14ac:dyDescent="0.2">
      <c r="A182" s="28"/>
    </row>
    <row r="183" spans="1:1" x14ac:dyDescent="0.2">
      <c r="A183" s="28"/>
    </row>
    <row r="184" spans="1:1" x14ac:dyDescent="0.2">
      <c r="A184" s="28"/>
    </row>
    <row r="185" spans="1:1" x14ac:dyDescent="0.2">
      <c r="A185" s="28"/>
    </row>
    <row r="186" spans="1:1" x14ac:dyDescent="0.2">
      <c r="A186" s="28"/>
    </row>
    <row r="187" spans="1:1" x14ac:dyDescent="0.2">
      <c r="A187" s="28"/>
    </row>
    <row r="188" spans="1:1" x14ac:dyDescent="0.2">
      <c r="A188" s="28"/>
    </row>
    <row r="189" spans="1:1" x14ac:dyDescent="0.2">
      <c r="A189" s="28"/>
    </row>
    <row r="190" spans="1:1" x14ac:dyDescent="0.2">
      <c r="A190" s="28"/>
    </row>
    <row r="191" spans="1:1" x14ac:dyDescent="0.2">
      <c r="A191" s="28"/>
    </row>
    <row r="192" spans="1:1" x14ac:dyDescent="0.2">
      <c r="A192" s="28"/>
    </row>
    <row r="193" spans="1:1" x14ac:dyDescent="0.2">
      <c r="A193" s="28"/>
    </row>
    <row r="194" spans="1:1" x14ac:dyDescent="0.2">
      <c r="A194" s="28"/>
    </row>
    <row r="195" spans="1:1" s="36" customFormat="1" ht="26.25" customHeight="1" x14ac:dyDescent="0.2">
      <c r="A195" s="28"/>
    </row>
    <row r="196" spans="1:1" ht="14.25" customHeight="1" x14ac:dyDescent="0.2">
      <c r="A196" s="28"/>
    </row>
    <row r="197" spans="1:1" x14ac:dyDescent="0.2">
      <c r="A197" s="28"/>
    </row>
    <row r="198" spans="1:1" x14ac:dyDescent="0.2">
      <c r="A198" s="28"/>
    </row>
    <row r="199" spans="1:1" x14ac:dyDescent="0.2">
      <c r="A199" s="28"/>
    </row>
    <row r="200" spans="1:1" x14ac:dyDescent="0.2">
      <c r="A200" s="28"/>
    </row>
    <row r="201" spans="1:1" x14ac:dyDescent="0.2">
      <c r="A201" s="28"/>
    </row>
    <row r="202" spans="1:1" x14ac:dyDescent="0.2">
      <c r="A202" s="28"/>
    </row>
    <row r="203" spans="1:1" ht="14.25" customHeight="1" x14ac:dyDescent="0.2">
      <c r="A203" s="28"/>
    </row>
    <row r="204" spans="1:1" x14ac:dyDescent="0.2">
      <c r="A204" s="28"/>
    </row>
    <row r="205" spans="1:1" x14ac:dyDescent="0.2">
      <c r="A205" s="28"/>
    </row>
    <row r="206" spans="1:1" x14ac:dyDescent="0.2">
      <c r="A206" s="28"/>
    </row>
    <row r="207" spans="1:1" x14ac:dyDescent="0.2">
      <c r="A207" s="28"/>
    </row>
    <row r="208" spans="1:1" x14ac:dyDescent="0.2">
      <c r="A208" s="28"/>
    </row>
    <row r="209" spans="1:1" x14ac:dyDescent="0.2">
      <c r="A209" s="28"/>
    </row>
    <row r="210" spans="1:1" x14ac:dyDescent="0.2">
      <c r="A210" s="28"/>
    </row>
    <row r="211" spans="1:1" x14ac:dyDescent="0.2">
      <c r="A211" s="28"/>
    </row>
    <row r="212" spans="1:1" x14ac:dyDescent="0.2">
      <c r="A212" s="28"/>
    </row>
    <row r="213" spans="1:1" x14ac:dyDescent="0.2">
      <c r="A213" s="28"/>
    </row>
    <row r="214" spans="1:1" x14ac:dyDescent="0.2">
      <c r="A214" s="28"/>
    </row>
    <row r="215" spans="1:1" x14ac:dyDescent="0.2">
      <c r="A215" s="28"/>
    </row>
    <row r="216" spans="1:1" x14ac:dyDescent="0.2">
      <c r="A216" s="28"/>
    </row>
    <row r="217" spans="1:1" x14ac:dyDescent="0.2">
      <c r="A217" s="28"/>
    </row>
    <row r="218" spans="1:1" x14ac:dyDescent="0.2">
      <c r="A218" s="28"/>
    </row>
    <row r="219" spans="1:1" x14ac:dyDescent="0.2">
      <c r="A219" s="28"/>
    </row>
    <row r="220" spans="1:1" x14ac:dyDescent="0.2">
      <c r="A220" s="28"/>
    </row>
    <row r="221" spans="1:1" x14ac:dyDescent="0.2">
      <c r="A221" s="28"/>
    </row>
    <row r="222" spans="1:1" x14ac:dyDescent="0.2">
      <c r="A222" s="28"/>
    </row>
    <row r="223" spans="1:1" x14ac:dyDescent="0.2">
      <c r="A223" s="28"/>
    </row>
    <row r="224" spans="1:1" x14ac:dyDescent="0.2">
      <c r="A224" s="28"/>
    </row>
    <row r="225" spans="1:1" x14ac:dyDescent="0.2">
      <c r="A225" s="28"/>
    </row>
    <row r="226" spans="1:1" x14ac:dyDescent="0.2">
      <c r="A226" s="28"/>
    </row>
    <row r="227" spans="1:1" x14ac:dyDescent="0.2">
      <c r="A227" s="28"/>
    </row>
    <row r="228" spans="1:1" x14ac:dyDescent="0.2">
      <c r="A228" s="28"/>
    </row>
    <row r="229" spans="1:1" x14ac:dyDescent="0.2">
      <c r="A229" s="28"/>
    </row>
    <row r="230" spans="1:1" x14ac:dyDescent="0.2">
      <c r="A230" s="28"/>
    </row>
    <row r="231" spans="1:1" x14ac:dyDescent="0.2">
      <c r="A231" s="28"/>
    </row>
    <row r="232" spans="1:1" x14ac:dyDescent="0.2">
      <c r="A232" s="28"/>
    </row>
    <row r="233" spans="1:1" x14ac:dyDescent="0.2">
      <c r="A233" s="28"/>
    </row>
    <row r="234" spans="1:1" x14ac:dyDescent="0.2">
      <c r="A234" s="28"/>
    </row>
    <row r="235" spans="1:1" x14ac:dyDescent="0.2">
      <c r="A235" s="28"/>
    </row>
    <row r="236" spans="1:1" x14ac:dyDescent="0.2">
      <c r="A236" s="28"/>
    </row>
    <row r="237" spans="1:1" x14ac:dyDescent="0.2">
      <c r="A237" s="28"/>
    </row>
    <row r="238" spans="1:1" x14ac:dyDescent="0.2">
      <c r="A238" s="28"/>
    </row>
    <row r="239" spans="1:1" x14ac:dyDescent="0.2">
      <c r="A239" s="28"/>
    </row>
    <row r="240" spans="1:1" x14ac:dyDescent="0.2">
      <c r="A240" s="28"/>
    </row>
    <row r="241" spans="1:1" x14ac:dyDescent="0.2">
      <c r="A241" s="28"/>
    </row>
    <row r="242" spans="1:1" x14ac:dyDescent="0.2">
      <c r="A242" s="28"/>
    </row>
    <row r="243" spans="1:1" x14ac:dyDescent="0.2">
      <c r="A243" s="28"/>
    </row>
    <row r="244" spans="1:1" x14ac:dyDescent="0.2">
      <c r="A244" s="28"/>
    </row>
    <row r="245" spans="1:1" x14ac:dyDescent="0.2">
      <c r="A245" s="28"/>
    </row>
    <row r="246" spans="1:1" x14ac:dyDescent="0.2">
      <c r="A246" s="28"/>
    </row>
    <row r="247" spans="1:1" x14ac:dyDescent="0.2">
      <c r="A247" s="28"/>
    </row>
    <row r="248" spans="1:1" x14ac:dyDescent="0.2">
      <c r="A248" s="28"/>
    </row>
    <row r="249" spans="1:1" x14ac:dyDescent="0.2">
      <c r="A249" s="28"/>
    </row>
    <row r="250" spans="1:1" x14ac:dyDescent="0.2">
      <c r="A250" s="28"/>
    </row>
    <row r="251" spans="1:1" x14ac:dyDescent="0.2">
      <c r="A251" s="28"/>
    </row>
    <row r="252" spans="1:1" x14ac:dyDescent="0.2">
      <c r="A252" s="28"/>
    </row>
    <row r="253" spans="1:1" x14ac:dyDescent="0.2">
      <c r="A253" s="28"/>
    </row>
    <row r="254" spans="1:1" x14ac:dyDescent="0.2">
      <c r="A254" s="28"/>
    </row>
    <row r="255" spans="1:1" x14ac:dyDescent="0.2">
      <c r="A255" s="28"/>
    </row>
    <row r="256" spans="1:1" x14ac:dyDescent="0.2">
      <c r="A256" s="28"/>
    </row>
    <row r="257" spans="1:1" x14ac:dyDescent="0.2">
      <c r="A257" s="28"/>
    </row>
    <row r="258" spans="1:1" x14ac:dyDescent="0.2">
      <c r="A258" s="28"/>
    </row>
    <row r="259" spans="1:1" x14ac:dyDescent="0.2">
      <c r="A259" s="28"/>
    </row>
    <row r="260" spans="1:1" x14ac:dyDescent="0.2">
      <c r="A260" s="28"/>
    </row>
    <row r="261" spans="1:1" x14ac:dyDescent="0.2">
      <c r="A261" s="28"/>
    </row>
    <row r="262" spans="1:1" x14ac:dyDescent="0.2">
      <c r="A262" s="28"/>
    </row>
    <row r="263" spans="1:1" x14ac:dyDescent="0.2">
      <c r="A263" s="28"/>
    </row>
    <row r="264" spans="1:1" x14ac:dyDescent="0.2">
      <c r="A264" s="28"/>
    </row>
    <row r="265" spans="1:1" x14ac:dyDescent="0.2">
      <c r="A265" s="28"/>
    </row>
    <row r="266" spans="1:1" x14ac:dyDescent="0.2">
      <c r="A266" s="28"/>
    </row>
    <row r="267" spans="1:1" x14ac:dyDescent="0.2">
      <c r="A267" s="28"/>
    </row>
    <row r="268" spans="1:1" x14ac:dyDescent="0.2">
      <c r="A268" s="28"/>
    </row>
    <row r="269" spans="1:1" x14ac:dyDescent="0.2">
      <c r="A269" s="28"/>
    </row>
    <row r="270" spans="1:1" x14ac:dyDescent="0.2">
      <c r="A270" s="28"/>
    </row>
    <row r="271" spans="1:1" x14ac:dyDescent="0.2">
      <c r="A271" s="28"/>
    </row>
    <row r="272" spans="1:1" x14ac:dyDescent="0.2">
      <c r="A272" s="28"/>
    </row>
    <row r="273" spans="1:1" x14ac:dyDescent="0.2">
      <c r="A273" s="28"/>
    </row>
    <row r="274" spans="1:1" x14ac:dyDescent="0.2">
      <c r="A274" s="28"/>
    </row>
    <row r="275" spans="1:1" x14ac:dyDescent="0.2">
      <c r="A275" s="28"/>
    </row>
    <row r="276" spans="1:1" x14ac:dyDescent="0.2">
      <c r="A276" s="28"/>
    </row>
    <row r="277" spans="1:1" x14ac:dyDescent="0.2">
      <c r="A277" s="28"/>
    </row>
    <row r="278" spans="1:1" x14ac:dyDescent="0.2">
      <c r="A278" s="28"/>
    </row>
    <row r="279" spans="1:1" x14ac:dyDescent="0.2">
      <c r="A279" s="28"/>
    </row>
    <row r="280" spans="1:1" x14ac:dyDescent="0.2">
      <c r="A280" s="28"/>
    </row>
    <row r="281" spans="1:1" x14ac:dyDescent="0.2">
      <c r="A281" s="28"/>
    </row>
    <row r="282" spans="1:1" x14ac:dyDescent="0.2">
      <c r="A282" s="28"/>
    </row>
    <row r="283" spans="1:1" x14ac:dyDescent="0.2">
      <c r="A283" s="28"/>
    </row>
    <row r="284" spans="1:1" x14ac:dyDescent="0.2">
      <c r="A284" s="28"/>
    </row>
    <row r="285" spans="1:1" x14ac:dyDescent="0.2">
      <c r="A285" s="28"/>
    </row>
    <row r="286" spans="1:1" x14ac:dyDescent="0.2">
      <c r="A286" s="28"/>
    </row>
    <row r="287" spans="1:1" x14ac:dyDescent="0.2">
      <c r="A287" s="28"/>
    </row>
    <row r="288" spans="1:1" x14ac:dyDescent="0.2">
      <c r="A288" s="28"/>
    </row>
    <row r="289" spans="1:1" x14ac:dyDescent="0.2">
      <c r="A289" s="28"/>
    </row>
    <row r="290" spans="1:1" x14ac:dyDescent="0.2">
      <c r="A290" s="28"/>
    </row>
    <row r="291" spans="1:1" x14ac:dyDescent="0.2">
      <c r="A291" s="28"/>
    </row>
    <row r="292" spans="1:1" x14ac:dyDescent="0.2">
      <c r="A292" s="28"/>
    </row>
    <row r="293" spans="1:1" x14ac:dyDescent="0.2">
      <c r="A293" s="28"/>
    </row>
    <row r="294" spans="1:1" x14ac:dyDescent="0.2">
      <c r="A294" s="28"/>
    </row>
    <row r="295" spans="1:1" x14ac:dyDescent="0.2">
      <c r="A295" s="28"/>
    </row>
    <row r="296" spans="1:1" x14ac:dyDescent="0.2">
      <c r="A296" s="28"/>
    </row>
    <row r="297" spans="1:1" x14ac:dyDescent="0.2">
      <c r="A297" s="28"/>
    </row>
    <row r="298" spans="1:1" x14ac:dyDescent="0.2">
      <c r="A298" s="28"/>
    </row>
    <row r="299" spans="1:1" x14ac:dyDescent="0.2">
      <c r="A299" s="28"/>
    </row>
    <row r="300" spans="1:1" x14ac:dyDescent="0.2">
      <c r="A300" s="28"/>
    </row>
    <row r="301" spans="1:1" x14ac:dyDescent="0.2">
      <c r="A301" s="28"/>
    </row>
    <row r="302" spans="1:1" x14ac:dyDescent="0.2">
      <c r="A302" s="28"/>
    </row>
    <row r="303" spans="1:1" x14ac:dyDescent="0.2">
      <c r="A303" s="28"/>
    </row>
    <row r="304" spans="1:1" x14ac:dyDescent="0.2">
      <c r="A304" s="28"/>
    </row>
    <row r="305" spans="1:1" x14ac:dyDescent="0.2">
      <c r="A305" s="28"/>
    </row>
    <row r="306" spans="1:1" x14ac:dyDescent="0.2">
      <c r="A306" s="28"/>
    </row>
    <row r="307" spans="1:1" x14ac:dyDescent="0.2">
      <c r="A307" s="28"/>
    </row>
    <row r="308" spans="1:1" x14ac:dyDescent="0.2">
      <c r="A308" s="28"/>
    </row>
    <row r="309" spans="1:1" x14ac:dyDescent="0.2">
      <c r="A309" s="28"/>
    </row>
    <row r="310" spans="1:1" x14ac:dyDescent="0.2">
      <c r="A310" s="28"/>
    </row>
    <row r="311" spans="1:1" x14ac:dyDescent="0.2">
      <c r="A311" s="28"/>
    </row>
    <row r="312" spans="1:1" x14ac:dyDescent="0.2">
      <c r="A312" s="28"/>
    </row>
    <row r="313" spans="1:1" x14ac:dyDescent="0.2">
      <c r="A313" s="28"/>
    </row>
    <row r="314" spans="1:1" x14ac:dyDescent="0.2">
      <c r="A314" s="28"/>
    </row>
    <row r="315" spans="1:1" x14ac:dyDescent="0.2">
      <c r="A315" s="28"/>
    </row>
    <row r="316" spans="1:1" x14ac:dyDescent="0.2">
      <c r="A316" s="28"/>
    </row>
    <row r="317" spans="1:1" x14ac:dyDescent="0.2">
      <c r="A317" s="28"/>
    </row>
    <row r="318" spans="1:1" x14ac:dyDescent="0.2">
      <c r="A318" s="28"/>
    </row>
    <row r="319" spans="1:1" x14ac:dyDescent="0.2">
      <c r="A319" s="28"/>
    </row>
    <row r="320" spans="1:1" x14ac:dyDescent="0.2">
      <c r="A320" s="28"/>
    </row>
    <row r="321" spans="1:1" x14ac:dyDescent="0.2">
      <c r="A321" s="28"/>
    </row>
    <row r="322" spans="1:1" x14ac:dyDescent="0.2">
      <c r="A322" s="28"/>
    </row>
    <row r="323" spans="1:1" x14ac:dyDescent="0.2">
      <c r="A323" s="28"/>
    </row>
    <row r="324" spans="1:1" x14ac:dyDescent="0.2">
      <c r="A324" s="28"/>
    </row>
    <row r="325" spans="1:1" x14ac:dyDescent="0.2">
      <c r="A325" s="28"/>
    </row>
    <row r="326" spans="1:1" x14ac:dyDescent="0.2">
      <c r="A326" s="28"/>
    </row>
    <row r="327" spans="1:1" x14ac:dyDescent="0.2">
      <c r="A327" s="28"/>
    </row>
    <row r="328" spans="1:1" x14ac:dyDescent="0.2">
      <c r="A328" s="28"/>
    </row>
    <row r="329" spans="1:1" x14ac:dyDescent="0.2">
      <c r="A329" s="28"/>
    </row>
    <row r="330" spans="1:1" x14ac:dyDescent="0.2">
      <c r="A330" s="28"/>
    </row>
    <row r="331" spans="1:1" x14ac:dyDescent="0.2">
      <c r="A331" s="28"/>
    </row>
    <row r="332" spans="1:1" x14ac:dyDescent="0.2">
      <c r="A332" s="28"/>
    </row>
    <row r="333" spans="1:1" x14ac:dyDescent="0.2">
      <c r="A333" s="28"/>
    </row>
    <row r="334" spans="1:1" x14ac:dyDescent="0.2">
      <c r="A334" s="28"/>
    </row>
    <row r="335" spans="1:1" x14ac:dyDescent="0.2">
      <c r="A335" s="28"/>
    </row>
    <row r="336" spans="1:1" x14ac:dyDescent="0.2">
      <c r="A336" s="28"/>
    </row>
    <row r="337" spans="1:1" x14ac:dyDescent="0.2">
      <c r="A337" s="28"/>
    </row>
    <row r="338" spans="1:1" x14ac:dyDescent="0.2">
      <c r="A338" s="28"/>
    </row>
    <row r="339" spans="1:1" x14ac:dyDescent="0.2">
      <c r="A339" s="28"/>
    </row>
    <row r="340" spans="1:1" x14ac:dyDescent="0.2">
      <c r="A340" s="28"/>
    </row>
    <row r="341" spans="1:1" x14ac:dyDescent="0.2">
      <c r="A341" s="28"/>
    </row>
    <row r="342" spans="1:1" x14ac:dyDescent="0.2">
      <c r="A342" s="28"/>
    </row>
    <row r="343" spans="1:1" x14ac:dyDescent="0.2">
      <c r="A343" s="28"/>
    </row>
    <row r="344" spans="1:1" x14ac:dyDescent="0.2">
      <c r="A344" s="28"/>
    </row>
    <row r="345" spans="1:1" x14ac:dyDescent="0.2">
      <c r="A345" s="28"/>
    </row>
    <row r="346" spans="1:1" x14ac:dyDescent="0.2">
      <c r="A346" s="28"/>
    </row>
    <row r="347" spans="1:1" x14ac:dyDescent="0.2">
      <c r="A347" s="28"/>
    </row>
    <row r="348" spans="1:1" x14ac:dyDescent="0.2">
      <c r="A348" s="28"/>
    </row>
    <row r="349" spans="1:1" x14ac:dyDescent="0.2">
      <c r="A349" s="28"/>
    </row>
    <row r="350" spans="1:1" x14ac:dyDescent="0.2">
      <c r="A350" s="28"/>
    </row>
    <row r="351" spans="1:1" x14ac:dyDescent="0.2">
      <c r="A351" s="28"/>
    </row>
    <row r="352" spans="1:1" x14ac:dyDescent="0.2">
      <c r="A352" s="28"/>
    </row>
    <row r="353" spans="1:1" x14ac:dyDescent="0.2">
      <c r="A353" s="28"/>
    </row>
    <row r="354" spans="1:1" x14ac:dyDescent="0.2">
      <c r="A354" s="28"/>
    </row>
    <row r="355" spans="1:1" x14ac:dyDescent="0.2">
      <c r="A355" s="28"/>
    </row>
    <row r="356" spans="1:1" x14ac:dyDescent="0.2">
      <c r="A356" s="28"/>
    </row>
    <row r="357" spans="1:1" x14ac:dyDescent="0.2">
      <c r="A357" s="28"/>
    </row>
    <row r="358" spans="1:1" x14ac:dyDescent="0.2">
      <c r="A358" s="28"/>
    </row>
    <row r="359" spans="1:1" x14ac:dyDescent="0.2">
      <c r="A359" s="28"/>
    </row>
    <row r="360" spans="1:1" x14ac:dyDescent="0.2">
      <c r="A360" s="28"/>
    </row>
    <row r="361" spans="1:1" x14ac:dyDescent="0.2">
      <c r="A361" s="28"/>
    </row>
    <row r="362" spans="1:1" x14ac:dyDescent="0.2">
      <c r="A362" s="28"/>
    </row>
    <row r="363" spans="1:1" x14ac:dyDescent="0.2">
      <c r="A363" s="28"/>
    </row>
    <row r="364" spans="1:1" x14ac:dyDescent="0.2">
      <c r="A364" s="28"/>
    </row>
    <row r="365" spans="1:1" x14ac:dyDescent="0.2">
      <c r="A365" s="28"/>
    </row>
    <row r="366" spans="1:1" x14ac:dyDescent="0.2">
      <c r="A366" s="28"/>
    </row>
    <row r="367" spans="1:1" x14ac:dyDescent="0.2">
      <c r="A367" s="28"/>
    </row>
    <row r="368" spans="1:1" x14ac:dyDescent="0.2">
      <c r="A368" s="28"/>
    </row>
    <row r="369" spans="1:1" x14ac:dyDescent="0.2">
      <c r="A369" s="28"/>
    </row>
    <row r="370" spans="1:1" x14ac:dyDescent="0.2">
      <c r="A370" s="28"/>
    </row>
    <row r="371" spans="1:1" x14ac:dyDescent="0.2">
      <c r="A371" s="28"/>
    </row>
    <row r="372" spans="1:1" x14ac:dyDescent="0.2">
      <c r="A372" s="28"/>
    </row>
    <row r="373" spans="1:1" x14ac:dyDescent="0.2">
      <c r="A373" s="28"/>
    </row>
    <row r="374" spans="1:1" x14ac:dyDescent="0.2">
      <c r="A374" s="28"/>
    </row>
    <row r="375" spans="1:1" x14ac:dyDescent="0.2">
      <c r="A375" s="28"/>
    </row>
    <row r="376" spans="1:1" x14ac:dyDescent="0.2">
      <c r="A376" s="28"/>
    </row>
    <row r="377" spans="1:1" x14ac:dyDescent="0.2">
      <c r="A377" s="28"/>
    </row>
    <row r="378" spans="1:1" x14ac:dyDescent="0.2">
      <c r="A378" s="28"/>
    </row>
    <row r="379" spans="1:1" x14ac:dyDescent="0.2">
      <c r="A379" s="28"/>
    </row>
    <row r="380" spans="1:1" x14ac:dyDescent="0.2">
      <c r="A380" s="28"/>
    </row>
    <row r="381" spans="1:1" x14ac:dyDescent="0.2">
      <c r="A381" s="28"/>
    </row>
    <row r="382" spans="1:1" x14ac:dyDescent="0.2">
      <c r="A382" s="28"/>
    </row>
    <row r="383" spans="1:1" x14ac:dyDescent="0.2">
      <c r="A383" s="28"/>
    </row>
    <row r="384" spans="1:1" x14ac:dyDescent="0.2">
      <c r="A384" s="28"/>
    </row>
    <row r="385" spans="1:1" x14ac:dyDescent="0.2">
      <c r="A385" s="28"/>
    </row>
    <row r="386" spans="1:1" x14ac:dyDescent="0.2">
      <c r="A386" s="28"/>
    </row>
    <row r="387" spans="1:1" x14ac:dyDescent="0.2">
      <c r="A387" s="28"/>
    </row>
    <row r="388" spans="1:1" x14ac:dyDescent="0.2">
      <c r="A388" s="28"/>
    </row>
    <row r="389" spans="1:1" x14ac:dyDescent="0.2">
      <c r="A389" s="28"/>
    </row>
    <row r="390" spans="1:1" x14ac:dyDescent="0.2">
      <c r="A390" s="28"/>
    </row>
    <row r="391" spans="1:1" x14ac:dyDescent="0.2">
      <c r="A391" s="28"/>
    </row>
    <row r="392" spans="1:1" x14ac:dyDescent="0.2">
      <c r="A392" s="28"/>
    </row>
    <row r="393" spans="1:1" x14ac:dyDescent="0.2">
      <c r="A393" s="28"/>
    </row>
    <row r="394" spans="1:1" x14ac:dyDescent="0.2">
      <c r="A394" s="28"/>
    </row>
    <row r="395" spans="1:1" x14ac:dyDescent="0.2">
      <c r="A395" s="28"/>
    </row>
    <row r="396" spans="1:1" x14ac:dyDescent="0.2">
      <c r="A396" s="28"/>
    </row>
    <row r="397" spans="1:1" x14ac:dyDescent="0.2">
      <c r="A397" s="28"/>
    </row>
    <row r="398" spans="1:1" x14ac:dyDescent="0.2">
      <c r="A398" s="28"/>
    </row>
    <row r="399" spans="1:1" x14ac:dyDescent="0.2">
      <c r="A399" s="28"/>
    </row>
    <row r="400" spans="1:1" x14ac:dyDescent="0.2">
      <c r="A400" s="28"/>
    </row>
    <row r="401" spans="1:1" x14ac:dyDescent="0.2">
      <c r="A401" s="28"/>
    </row>
    <row r="402" spans="1:1" x14ac:dyDescent="0.2">
      <c r="A402" s="28"/>
    </row>
    <row r="403" spans="1:1" x14ac:dyDescent="0.2">
      <c r="A403" s="28"/>
    </row>
    <row r="404" spans="1:1" x14ac:dyDescent="0.2">
      <c r="A404" s="28"/>
    </row>
    <row r="405" spans="1:1" x14ac:dyDescent="0.2">
      <c r="A405" s="28"/>
    </row>
    <row r="406" spans="1:1" x14ac:dyDescent="0.2">
      <c r="A406" s="28"/>
    </row>
    <row r="407" spans="1:1" x14ac:dyDescent="0.2">
      <c r="A407" s="28"/>
    </row>
    <row r="408" spans="1:1" x14ac:dyDescent="0.2">
      <c r="A408" s="28"/>
    </row>
    <row r="409" spans="1:1" x14ac:dyDescent="0.2">
      <c r="A409" s="28"/>
    </row>
    <row r="410" spans="1:1" x14ac:dyDescent="0.2">
      <c r="A410" s="28"/>
    </row>
    <row r="411" spans="1:1" x14ac:dyDescent="0.2">
      <c r="A411" s="28"/>
    </row>
    <row r="412" spans="1:1" x14ac:dyDescent="0.2">
      <c r="A412" s="28"/>
    </row>
    <row r="413" spans="1:1" x14ac:dyDescent="0.2">
      <c r="A413" s="28"/>
    </row>
    <row r="414" spans="1:1" x14ac:dyDescent="0.2">
      <c r="A414" s="28"/>
    </row>
    <row r="415" spans="1:1" x14ac:dyDescent="0.2">
      <c r="A415" s="28"/>
    </row>
    <row r="416" spans="1:1" x14ac:dyDescent="0.2">
      <c r="A416" s="28"/>
    </row>
    <row r="417" spans="1:1" x14ac:dyDescent="0.2">
      <c r="A417" s="28"/>
    </row>
    <row r="418" spans="1:1" x14ac:dyDescent="0.2">
      <c r="A418" s="28"/>
    </row>
    <row r="419" spans="1:1" x14ac:dyDescent="0.2">
      <c r="A419" s="28"/>
    </row>
    <row r="420" spans="1:1" x14ac:dyDescent="0.2">
      <c r="A420" s="28"/>
    </row>
    <row r="421" spans="1:1" x14ac:dyDescent="0.2">
      <c r="A421" s="28"/>
    </row>
    <row r="422" spans="1:1" x14ac:dyDescent="0.2">
      <c r="A422" s="28"/>
    </row>
    <row r="423" spans="1:1" x14ac:dyDescent="0.2">
      <c r="A423" s="28"/>
    </row>
    <row r="424" spans="1:1" x14ac:dyDescent="0.2">
      <c r="A424" s="28"/>
    </row>
    <row r="425" spans="1:1" x14ac:dyDescent="0.2">
      <c r="A425" s="28"/>
    </row>
    <row r="426" spans="1:1" x14ac:dyDescent="0.2">
      <c r="A426" s="28"/>
    </row>
    <row r="427" spans="1:1" x14ac:dyDescent="0.2">
      <c r="A427" s="28"/>
    </row>
    <row r="428" spans="1:1" x14ac:dyDescent="0.2">
      <c r="A428" s="28"/>
    </row>
    <row r="429" spans="1:1" x14ac:dyDescent="0.2">
      <c r="A429" s="28"/>
    </row>
    <row r="430" spans="1:1" x14ac:dyDescent="0.2">
      <c r="A430" s="28"/>
    </row>
    <row r="431" spans="1:1" x14ac:dyDescent="0.2">
      <c r="A431" s="28"/>
    </row>
    <row r="432" spans="1:1" x14ac:dyDescent="0.2">
      <c r="A432" s="28"/>
    </row>
    <row r="433" spans="1:1" x14ac:dyDescent="0.2">
      <c r="A433" s="28"/>
    </row>
    <row r="434" spans="1:1" x14ac:dyDescent="0.2">
      <c r="A434" s="28"/>
    </row>
    <row r="435" spans="1:1" x14ac:dyDescent="0.2">
      <c r="A435" s="28"/>
    </row>
    <row r="436" spans="1:1" x14ac:dyDescent="0.2">
      <c r="A436" s="28"/>
    </row>
    <row r="437" spans="1:1" x14ac:dyDescent="0.2">
      <c r="A437" s="28"/>
    </row>
    <row r="438" spans="1:1" x14ac:dyDescent="0.2">
      <c r="A438" s="28"/>
    </row>
    <row r="439" spans="1:1" x14ac:dyDescent="0.2">
      <c r="A439" s="28"/>
    </row>
    <row r="440" spans="1:1" x14ac:dyDescent="0.2">
      <c r="A440" s="28"/>
    </row>
    <row r="441" spans="1:1" x14ac:dyDescent="0.2">
      <c r="A441" s="28"/>
    </row>
    <row r="442" spans="1:1" x14ac:dyDescent="0.2">
      <c r="A442" s="28"/>
    </row>
    <row r="443" spans="1:1" x14ac:dyDescent="0.2">
      <c r="A443" s="28"/>
    </row>
    <row r="444" spans="1:1" x14ac:dyDescent="0.2">
      <c r="A444" s="28"/>
    </row>
    <row r="445" spans="1:1" x14ac:dyDescent="0.2">
      <c r="A445" s="28"/>
    </row>
    <row r="446" spans="1:1" x14ac:dyDescent="0.2">
      <c r="A446" s="28"/>
    </row>
    <row r="447" spans="1:1" x14ac:dyDescent="0.2">
      <c r="A447" s="28"/>
    </row>
    <row r="448" spans="1:1" x14ac:dyDescent="0.2">
      <c r="A448" s="28"/>
    </row>
    <row r="449" spans="1:1" x14ac:dyDescent="0.2">
      <c r="A449" s="28"/>
    </row>
    <row r="450" spans="1:1" x14ac:dyDescent="0.2">
      <c r="A450" s="28"/>
    </row>
    <row r="451" spans="1:1" x14ac:dyDescent="0.2">
      <c r="A451" s="28"/>
    </row>
    <row r="452" spans="1:1" x14ac:dyDescent="0.2">
      <c r="A452" s="28"/>
    </row>
    <row r="453" spans="1:1" x14ac:dyDescent="0.2">
      <c r="A453" s="28"/>
    </row>
    <row r="454" spans="1:1" x14ac:dyDescent="0.2">
      <c r="A454" s="28"/>
    </row>
    <row r="455" spans="1:1" x14ac:dyDescent="0.2">
      <c r="A455" s="28"/>
    </row>
    <row r="456" spans="1:1" x14ac:dyDescent="0.2">
      <c r="A456" s="28"/>
    </row>
    <row r="457" spans="1:1" x14ac:dyDescent="0.2">
      <c r="A457" s="28"/>
    </row>
    <row r="458" spans="1:1" x14ac:dyDescent="0.2">
      <c r="A458" s="28"/>
    </row>
    <row r="459" spans="1:1" x14ac:dyDescent="0.2">
      <c r="A459" s="28"/>
    </row>
    <row r="460" spans="1:1" x14ac:dyDescent="0.2">
      <c r="A460" s="28"/>
    </row>
    <row r="461" spans="1:1" x14ac:dyDescent="0.2">
      <c r="A461" s="28"/>
    </row>
    <row r="462" spans="1:1" x14ac:dyDescent="0.2">
      <c r="A462" s="28"/>
    </row>
    <row r="463" spans="1:1" x14ac:dyDescent="0.2">
      <c r="A463" s="28"/>
    </row>
    <row r="464" spans="1:1" x14ac:dyDescent="0.2">
      <c r="A464" s="28"/>
    </row>
    <row r="465" spans="1:1" x14ac:dyDescent="0.2">
      <c r="A465" s="28"/>
    </row>
    <row r="466" spans="1:1" x14ac:dyDescent="0.2">
      <c r="A466" s="28"/>
    </row>
    <row r="467" spans="1:1" x14ac:dyDescent="0.2">
      <c r="A467" s="28"/>
    </row>
    <row r="468" spans="1:1" x14ac:dyDescent="0.2">
      <c r="A468" s="28"/>
    </row>
    <row r="469" spans="1:1" x14ac:dyDescent="0.2">
      <c r="A469" s="28"/>
    </row>
    <row r="470" spans="1:1" x14ac:dyDescent="0.2">
      <c r="A470" s="28"/>
    </row>
    <row r="471" spans="1:1" x14ac:dyDescent="0.2">
      <c r="A471" s="28"/>
    </row>
    <row r="472" spans="1:1" x14ac:dyDescent="0.2">
      <c r="A472" s="28"/>
    </row>
    <row r="473" spans="1:1" x14ac:dyDescent="0.2">
      <c r="A473" s="28"/>
    </row>
    <row r="474" spans="1:1" x14ac:dyDescent="0.2">
      <c r="A474" s="28"/>
    </row>
    <row r="475" spans="1:1" x14ac:dyDescent="0.2">
      <c r="A475" s="28"/>
    </row>
    <row r="476" spans="1:1" x14ac:dyDescent="0.2">
      <c r="A476" s="28"/>
    </row>
    <row r="477" spans="1:1" x14ac:dyDescent="0.2">
      <c r="A477" s="28"/>
    </row>
    <row r="478" spans="1:1" x14ac:dyDescent="0.2">
      <c r="A478" s="28"/>
    </row>
    <row r="479" spans="1:1" x14ac:dyDescent="0.2">
      <c r="A479" s="28"/>
    </row>
    <row r="480" spans="1:1" x14ac:dyDescent="0.2">
      <c r="A480" s="28"/>
    </row>
    <row r="481" spans="1:1" x14ac:dyDescent="0.2">
      <c r="A481" s="28"/>
    </row>
    <row r="482" spans="1:1" x14ac:dyDescent="0.2">
      <c r="A482" s="28"/>
    </row>
    <row r="483" spans="1:1" x14ac:dyDescent="0.2">
      <c r="A483" s="28"/>
    </row>
    <row r="484" spans="1:1" x14ac:dyDescent="0.2">
      <c r="A484" s="28"/>
    </row>
    <row r="485" spans="1:1" x14ac:dyDescent="0.2">
      <c r="A485" s="28"/>
    </row>
    <row r="486" spans="1:1" x14ac:dyDescent="0.2">
      <c r="A486" s="28"/>
    </row>
    <row r="487" spans="1:1" x14ac:dyDescent="0.2">
      <c r="A487" s="28"/>
    </row>
    <row r="488" spans="1:1" x14ac:dyDescent="0.2">
      <c r="A488" s="28"/>
    </row>
    <row r="489" spans="1:1" x14ac:dyDescent="0.2">
      <c r="A489" s="28"/>
    </row>
    <row r="490" spans="1:1" x14ac:dyDescent="0.2">
      <c r="A490" s="28"/>
    </row>
    <row r="491" spans="1:1" x14ac:dyDescent="0.2">
      <c r="A491" s="28"/>
    </row>
    <row r="492" spans="1:1" x14ac:dyDescent="0.2">
      <c r="A492" s="28"/>
    </row>
    <row r="493" spans="1:1" x14ac:dyDescent="0.2">
      <c r="A493" s="28"/>
    </row>
    <row r="494" spans="1:1" x14ac:dyDescent="0.2">
      <c r="A494" s="28"/>
    </row>
    <row r="495" spans="1:1" x14ac:dyDescent="0.2">
      <c r="A495" s="28"/>
    </row>
    <row r="496" spans="1:1" x14ac:dyDescent="0.2">
      <c r="A496" s="28"/>
    </row>
    <row r="497" spans="1:1" x14ac:dyDescent="0.2">
      <c r="A497" s="28"/>
    </row>
    <row r="498" spans="1:1" x14ac:dyDescent="0.2">
      <c r="A498" s="28"/>
    </row>
    <row r="499" spans="1:1" x14ac:dyDescent="0.2">
      <c r="A499" s="28"/>
    </row>
    <row r="500" spans="1:1" x14ac:dyDescent="0.2">
      <c r="A500" s="28"/>
    </row>
    <row r="501" spans="1:1" x14ac:dyDescent="0.2">
      <c r="A501" s="28"/>
    </row>
    <row r="502" spans="1:1" x14ac:dyDescent="0.2">
      <c r="A502" s="28"/>
    </row>
    <row r="503" spans="1:1" x14ac:dyDescent="0.2">
      <c r="A503" s="28"/>
    </row>
    <row r="504" spans="1:1" x14ac:dyDescent="0.2">
      <c r="A504" s="28"/>
    </row>
    <row r="505" spans="1:1" x14ac:dyDescent="0.2">
      <c r="A505" s="28"/>
    </row>
    <row r="506" spans="1:1" x14ac:dyDescent="0.2">
      <c r="A506" s="28"/>
    </row>
    <row r="507" spans="1:1" x14ac:dyDescent="0.2">
      <c r="A507" s="28"/>
    </row>
    <row r="508" spans="1:1" x14ac:dyDescent="0.2">
      <c r="A508" s="28"/>
    </row>
    <row r="509" spans="1:1" x14ac:dyDescent="0.2">
      <c r="A509" s="28"/>
    </row>
    <row r="510" spans="1:1" x14ac:dyDescent="0.2">
      <c r="A510" s="28"/>
    </row>
    <row r="511" spans="1:1" x14ac:dyDescent="0.2">
      <c r="A511" s="28"/>
    </row>
    <row r="512" spans="1:1" x14ac:dyDescent="0.2">
      <c r="A512" s="28"/>
    </row>
    <row r="513" spans="1:1" x14ac:dyDescent="0.2">
      <c r="A513" s="28"/>
    </row>
    <row r="514" spans="1:1" x14ac:dyDescent="0.2">
      <c r="A514" s="28"/>
    </row>
    <row r="515" spans="1:1" x14ac:dyDescent="0.2">
      <c r="A515" s="28"/>
    </row>
    <row r="516" spans="1:1" x14ac:dyDescent="0.2">
      <c r="A516" s="28"/>
    </row>
    <row r="517" spans="1:1" x14ac:dyDescent="0.2">
      <c r="A517" s="28"/>
    </row>
    <row r="518" spans="1:1" x14ac:dyDescent="0.2">
      <c r="A518" s="28"/>
    </row>
    <row r="519" spans="1:1" x14ac:dyDescent="0.2">
      <c r="A519" s="28"/>
    </row>
    <row r="520" spans="1:1" x14ac:dyDescent="0.2">
      <c r="A520" s="28"/>
    </row>
    <row r="521" spans="1:1" x14ac:dyDescent="0.2">
      <c r="A521" s="28"/>
    </row>
    <row r="522" spans="1:1" x14ac:dyDescent="0.2">
      <c r="A522" s="28"/>
    </row>
    <row r="523" spans="1:1" x14ac:dyDescent="0.2">
      <c r="A523" s="28"/>
    </row>
    <row r="524" spans="1:1" x14ac:dyDescent="0.2">
      <c r="A524" s="28"/>
    </row>
    <row r="525" spans="1:1" x14ac:dyDescent="0.2">
      <c r="A525" s="28"/>
    </row>
    <row r="526" spans="1:1" x14ac:dyDescent="0.2">
      <c r="A526" s="28"/>
    </row>
    <row r="527" spans="1:1" x14ac:dyDescent="0.2">
      <c r="A527" s="28"/>
    </row>
    <row r="528" spans="1:1" x14ac:dyDescent="0.2">
      <c r="A528" s="28"/>
    </row>
    <row r="529" spans="1:1" x14ac:dyDescent="0.2">
      <c r="A529" s="28"/>
    </row>
    <row r="530" spans="1:1" x14ac:dyDescent="0.2">
      <c r="A530" s="28"/>
    </row>
    <row r="531" spans="1:1" x14ac:dyDescent="0.2">
      <c r="A531" s="28"/>
    </row>
    <row r="532" spans="1:1" x14ac:dyDescent="0.2">
      <c r="A532" s="28"/>
    </row>
    <row r="533" spans="1:1" x14ac:dyDescent="0.2">
      <c r="A533" s="28"/>
    </row>
    <row r="534" spans="1:1" x14ac:dyDescent="0.2">
      <c r="A534" s="28"/>
    </row>
    <row r="535" spans="1:1" x14ac:dyDescent="0.2">
      <c r="A535" s="28"/>
    </row>
    <row r="536" spans="1:1" x14ac:dyDescent="0.2">
      <c r="A536" s="28"/>
    </row>
    <row r="537" spans="1:1" x14ac:dyDescent="0.2">
      <c r="A537" s="28"/>
    </row>
    <row r="538" spans="1:1" x14ac:dyDescent="0.2">
      <c r="A538" s="28"/>
    </row>
    <row r="539" spans="1:1" x14ac:dyDescent="0.2">
      <c r="A539" s="28"/>
    </row>
    <row r="540" spans="1:1" x14ac:dyDescent="0.2">
      <c r="A540" s="28"/>
    </row>
    <row r="541" spans="1:1" x14ac:dyDescent="0.2">
      <c r="A541" s="28"/>
    </row>
    <row r="542" spans="1:1" x14ac:dyDescent="0.2">
      <c r="A542" s="28"/>
    </row>
    <row r="543" spans="1:1" x14ac:dyDescent="0.2">
      <c r="A543" s="28"/>
    </row>
    <row r="544" spans="1:1" x14ac:dyDescent="0.2">
      <c r="A544" s="28"/>
    </row>
    <row r="545" spans="1:1" x14ac:dyDescent="0.2">
      <c r="A545" s="28"/>
    </row>
    <row r="546" spans="1:1" x14ac:dyDescent="0.2">
      <c r="A546" s="28"/>
    </row>
    <row r="547" spans="1:1" x14ac:dyDescent="0.2">
      <c r="A547" s="28"/>
    </row>
    <row r="548" spans="1:1" x14ac:dyDescent="0.2">
      <c r="A548" s="28"/>
    </row>
    <row r="549" spans="1:1" x14ac:dyDescent="0.2">
      <c r="A549" s="28"/>
    </row>
    <row r="550" spans="1:1" x14ac:dyDescent="0.2">
      <c r="A550" s="28"/>
    </row>
    <row r="551" spans="1:1" x14ac:dyDescent="0.2">
      <c r="A551" s="28"/>
    </row>
    <row r="552" spans="1:1" x14ac:dyDescent="0.2">
      <c r="A552" s="28"/>
    </row>
    <row r="553" spans="1:1" x14ac:dyDescent="0.2">
      <c r="A553" s="28"/>
    </row>
    <row r="554" spans="1:1" x14ac:dyDescent="0.2">
      <c r="A554" s="28"/>
    </row>
    <row r="555" spans="1:1" x14ac:dyDescent="0.2">
      <c r="A555" s="28"/>
    </row>
    <row r="556" spans="1:1" x14ac:dyDescent="0.2">
      <c r="A556" s="28"/>
    </row>
    <row r="557" spans="1:1" x14ac:dyDescent="0.2">
      <c r="A557" s="28"/>
    </row>
    <row r="558" spans="1:1" x14ac:dyDescent="0.2">
      <c r="A558" s="28"/>
    </row>
    <row r="559" spans="1:1" x14ac:dyDescent="0.2">
      <c r="A559" s="28"/>
    </row>
    <row r="560" spans="1:1" x14ac:dyDescent="0.2">
      <c r="A560" s="28"/>
    </row>
    <row r="561" spans="1:1" x14ac:dyDescent="0.2">
      <c r="A561" s="28"/>
    </row>
    <row r="562" spans="1:1" x14ac:dyDescent="0.2">
      <c r="A562" s="28"/>
    </row>
    <row r="563" spans="1:1" x14ac:dyDescent="0.2">
      <c r="A563" s="28"/>
    </row>
    <row r="564" spans="1:1" x14ac:dyDescent="0.2">
      <c r="A564" s="28"/>
    </row>
    <row r="565" spans="1:1" x14ac:dyDescent="0.2">
      <c r="A565" s="28"/>
    </row>
    <row r="566" spans="1:1" x14ac:dyDescent="0.2">
      <c r="A566" s="28"/>
    </row>
    <row r="567" spans="1:1" x14ac:dyDescent="0.2">
      <c r="A567" s="28"/>
    </row>
    <row r="568" spans="1:1" x14ac:dyDescent="0.2">
      <c r="A568" s="28"/>
    </row>
    <row r="569" spans="1:1" x14ac:dyDescent="0.2">
      <c r="A569" s="28"/>
    </row>
    <row r="570" spans="1:1" x14ac:dyDescent="0.2">
      <c r="A570" s="28"/>
    </row>
    <row r="571" spans="1:1" x14ac:dyDescent="0.2">
      <c r="A571" s="28"/>
    </row>
    <row r="572" spans="1:1" x14ac:dyDescent="0.2">
      <c r="A572" s="28"/>
    </row>
    <row r="573" spans="1:1" x14ac:dyDescent="0.2">
      <c r="A573" s="28"/>
    </row>
    <row r="574" spans="1:1" x14ac:dyDescent="0.2">
      <c r="A574" s="28"/>
    </row>
    <row r="575" spans="1:1" x14ac:dyDescent="0.2">
      <c r="A575" s="28"/>
    </row>
    <row r="576" spans="1:1" x14ac:dyDescent="0.2">
      <c r="A576" s="28"/>
    </row>
    <row r="577" spans="1:1" x14ac:dyDescent="0.2">
      <c r="A577" s="28"/>
    </row>
    <row r="578" spans="1:1" x14ac:dyDescent="0.2">
      <c r="A578" s="28"/>
    </row>
    <row r="579" spans="1:1" x14ac:dyDescent="0.2">
      <c r="A579" s="28"/>
    </row>
    <row r="580" spans="1:1" x14ac:dyDescent="0.2">
      <c r="A580" s="28"/>
    </row>
    <row r="581" spans="1:1" x14ac:dyDescent="0.2">
      <c r="A581" s="28"/>
    </row>
    <row r="582" spans="1:1" x14ac:dyDescent="0.2">
      <c r="A582" s="28"/>
    </row>
    <row r="583" spans="1:1" x14ac:dyDescent="0.2">
      <c r="A583" s="28"/>
    </row>
    <row r="584" spans="1:1" x14ac:dyDescent="0.2">
      <c r="A584" s="28"/>
    </row>
    <row r="585" spans="1:1" x14ac:dyDescent="0.2">
      <c r="A585" s="28"/>
    </row>
    <row r="586" spans="1:1" x14ac:dyDescent="0.2">
      <c r="A586" s="28"/>
    </row>
    <row r="587" spans="1:1" x14ac:dyDescent="0.2">
      <c r="A587" s="28"/>
    </row>
    <row r="588" spans="1:1" x14ac:dyDescent="0.2">
      <c r="A588" s="28"/>
    </row>
    <row r="589" spans="1:1" x14ac:dyDescent="0.2">
      <c r="A589" s="28"/>
    </row>
    <row r="590" spans="1:1" x14ac:dyDescent="0.2">
      <c r="A590" s="28"/>
    </row>
    <row r="591" spans="1:1" x14ac:dyDescent="0.2">
      <c r="A591" s="28"/>
    </row>
    <row r="592" spans="1:1" x14ac:dyDescent="0.2">
      <c r="A592" s="28"/>
    </row>
    <row r="593" spans="1:1" x14ac:dyDescent="0.2">
      <c r="A593" s="28"/>
    </row>
    <row r="594" spans="1:1" x14ac:dyDescent="0.2">
      <c r="A594" s="28"/>
    </row>
    <row r="595" spans="1:1" x14ac:dyDescent="0.2">
      <c r="A595" s="28"/>
    </row>
    <row r="596" spans="1:1" x14ac:dyDescent="0.2">
      <c r="A596" s="28"/>
    </row>
    <row r="597" spans="1:1" x14ac:dyDescent="0.2">
      <c r="A597" s="28"/>
    </row>
    <row r="598" spans="1:1" x14ac:dyDescent="0.2">
      <c r="A598" s="28"/>
    </row>
    <row r="599" spans="1:1" x14ac:dyDescent="0.2">
      <c r="A599" s="28"/>
    </row>
    <row r="600" spans="1:1" x14ac:dyDescent="0.2">
      <c r="A600" s="28"/>
    </row>
    <row r="601" spans="1:1" x14ac:dyDescent="0.2">
      <c r="A601" s="28"/>
    </row>
    <row r="602" spans="1:1" x14ac:dyDescent="0.2">
      <c r="A602" s="28"/>
    </row>
    <row r="603" spans="1:1" x14ac:dyDescent="0.2">
      <c r="A603" s="28"/>
    </row>
    <row r="604" spans="1:1" x14ac:dyDescent="0.2">
      <c r="A604" s="28"/>
    </row>
    <row r="605" spans="1:1" x14ac:dyDescent="0.2">
      <c r="A605" s="28"/>
    </row>
    <row r="606" spans="1:1" x14ac:dyDescent="0.2">
      <c r="A606" s="28"/>
    </row>
    <row r="607" spans="1:1" x14ac:dyDescent="0.2">
      <c r="A607" s="28"/>
    </row>
    <row r="608" spans="1:1" x14ac:dyDescent="0.2">
      <c r="A608" s="28"/>
    </row>
    <row r="609" spans="1:1" x14ac:dyDescent="0.2">
      <c r="A609" s="28"/>
    </row>
    <row r="610" spans="1:1" x14ac:dyDescent="0.2">
      <c r="A610" s="28"/>
    </row>
    <row r="611" spans="1:1" x14ac:dyDescent="0.2">
      <c r="A611" s="28"/>
    </row>
    <row r="612" spans="1:1" x14ac:dyDescent="0.2">
      <c r="A612" s="28"/>
    </row>
    <row r="613" spans="1:1" x14ac:dyDescent="0.2">
      <c r="A613" s="28"/>
    </row>
    <row r="614" spans="1:1" x14ac:dyDescent="0.2">
      <c r="A614" s="28"/>
    </row>
    <row r="615" spans="1:1" x14ac:dyDescent="0.2">
      <c r="A615" s="28"/>
    </row>
    <row r="616" spans="1:1" x14ac:dyDescent="0.2">
      <c r="A616" s="28"/>
    </row>
    <row r="617" spans="1:1" x14ac:dyDescent="0.2">
      <c r="A617" s="28"/>
    </row>
    <row r="618" spans="1:1" x14ac:dyDescent="0.2">
      <c r="A618" s="28"/>
    </row>
    <row r="619" spans="1:1" x14ac:dyDescent="0.2">
      <c r="A619" s="28"/>
    </row>
    <row r="620" spans="1:1" x14ac:dyDescent="0.2">
      <c r="A620" s="28"/>
    </row>
    <row r="621" spans="1:1" x14ac:dyDescent="0.2">
      <c r="A621" s="28"/>
    </row>
    <row r="622" spans="1:1" x14ac:dyDescent="0.2">
      <c r="A622" s="28"/>
    </row>
    <row r="623" spans="1:1" x14ac:dyDescent="0.2">
      <c r="A623" s="28"/>
    </row>
    <row r="624" spans="1:1" x14ac:dyDescent="0.2">
      <c r="A624" s="28"/>
    </row>
    <row r="625" spans="1:1" x14ac:dyDescent="0.2">
      <c r="A625" s="28"/>
    </row>
    <row r="626" spans="1:1" x14ac:dyDescent="0.2">
      <c r="A626" s="28"/>
    </row>
    <row r="627" spans="1:1" x14ac:dyDescent="0.2">
      <c r="A627" s="28"/>
    </row>
    <row r="628" spans="1:1" x14ac:dyDescent="0.2">
      <c r="A628" s="28"/>
    </row>
    <row r="629" spans="1:1" x14ac:dyDescent="0.2">
      <c r="A629" s="28"/>
    </row>
    <row r="630" spans="1:1" x14ac:dyDescent="0.2">
      <c r="A630" s="28"/>
    </row>
    <row r="631" spans="1:1" x14ac:dyDescent="0.2">
      <c r="A631" s="28"/>
    </row>
    <row r="632" spans="1:1" x14ac:dyDescent="0.2">
      <c r="A632" s="28"/>
    </row>
    <row r="633" spans="1:1" x14ac:dyDescent="0.2">
      <c r="A633" s="28"/>
    </row>
    <row r="634" spans="1:1" x14ac:dyDescent="0.2">
      <c r="A634" s="28"/>
    </row>
    <row r="635" spans="1:1" x14ac:dyDescent="0.2">
      <c r="A635" s="28"/>
    </row>
    <row r="636" spans="1:1" x14ac:dyDescent="0.2">
      <c r="A636" s="28"/>
    </row>
    <row r="637" spans="1:1" x14ac:dyDescent="0.2">
      <c r="A637" s="28"/>
    </row>
    <row r="638" spans="1:1" x14ac:dyDescent="0.2">
      <c r="A638" s="28"/>
    </row>
    <row r="639" spans="1:1" x14ac:dyDescent="0.2">
      <c r="A639" s="28"/>
    </row>
    <row r="640" spans="1:1" x14ac:dyDescent="0.2">
      <c r="A640" s="28"/>
    </row>
    <row r="641" spans="1:1" x14ac:dyDescent="0.2">
      <c r="A641" s="28"/>
    </row>
    <row r="642" spans="1:1" x14ac:dyDescent="0.2">
      <c r="A642" s="28"/>
    </row>
    <row r="643" spans="1:1" x14ac:dyDescent="0.2">
      <c r="A643" s="28"/>
    </row>
    <row r="644" spans="1:1" x14ac:dyDescent="0.2">
      <c r="A644" s="28"/>
    </row>
    <row r="645" spans="1:1" x14ac:dyDescent="0.2">
      <c r="A645" s="28"/>
    </row>
    <row r="646" spans="1:1" x14ac:dyDescent="0.2">
      <c r="A646" s="28"/>
    </row>
    <row r="647" spans="1:1" x14ac:dyDescent="0.2">
      <c r="A647" s="28"/>
    </row>
    <row r="648" spans="1:1" x14ac:dyDescent="0.2">
      <c r="A648" s="28"/>
    </row>
    <row r="649" spans="1:1" x14ac:dyDescent="0.2">
      <c r="A649" s="28"/>
    </row>
    <row r="650" spans="1:1" x14ac:dyDescent="0.2">
      <c r="A650" s="28"/>
    </row>
    <row r="651" spans="1:1" x14ac:dyDescent="0.2">
      <c r="A651" s="28"/>
    </row>
    <row r="652" spans="1:1" x14ac:dyDescent="0.2">
      <c r="A652" s="28"/>
    </row>
    <row r="653" spans="1:1" x14ac:dyDescent="0.2">
      <c r="A653" s="28"/>
    </row>
    <row r="654" spans="1:1" x14ac:dyDescent="0.2">
      <c r="A654" s="28"/>
    </row>
    <row r="655" spans="1:1" x14ac:dyDescent="0.2">
      <c r="A655" s="28"/>
    </row>
    <row r="656" spans="1:1" x14ac:dyDescent="0.2">
      <c r="A656" s="28"/>
    </row>
    <row r="657" spans="1:1" x14ac:dyDescent="0.2">
      <c r="A657" s="28"/>
    </row>
    <row r="658" spans="1:1" x14ac:dyDescent="0.2">
      <c r="A658" s="28"/>
    </row>
    <row r="659" spans="1:1" x14ac:dyDescent="0.2">
      <c r="A659" s="28"/>
    </row>
    <row r="660" spans="1:1" x14ac:dyDescent="0.2">
      <c r="A660" s="28"/>
    </row>
    <row r="661" spans="1:1" x14ac:dyDescent="0.2">
      <c r="A661" s="28"/>
    </row>
    <row r="662" spans="1:1" x14ac:dyDescent="0.2">
      <c r="A662" s="28"/>
    </row>
    <row r="663" spans="1:1" x14ac:dyDescent="0.2">
      <c r="A663" s="28"/>
    </row>
    <row r="664" spans="1:1" x14ac:dyDescent="0.2">
      <c r="A664" s="28"/>
    </row>
    <row r="665" spans="1:1" x14ac:dyDescent="0.2">
      <c r="A665" s="28"/>
    </row>
    <row r="666" spans="1:1" x14ac:dyDescent="0.2">
      <c r="A666" s="28"/>
    </row>
    <row r="667" spans="1:1" x14ac:dyDescent="0.2">
      <c r="A667" s="28"/>
    </row>
    <row r="668" spans="1:1" x14ac:dyDescent="0.2">
      <c r="A668" s="28"/>
    </row>
    <row r="669" spans="1:1" x14ac:dyDescent="0.2">
      <c r="A669" s="28"/>
    </row>
    <row r="670" spans="1:1" x14ac:dyDescent="0.2">
      <c r="A670" s="28"/>
    </row>
    <row r="671" spans="1:1" x14ac:dyDescent="0.2">
      <c r="A671" s="28"/>
    </row>
    <row r="672" spans="1:1" x14ac:dyDescent="0.2">
      <c r="A672" s="28"/>
    </row>
    <row r="673" spans="1:1" x14ac:dyDescent="0.2">
      <c r="A673" s="28"/>
    </row>
    <row r="674" spans="1:1" x14ac:dyDescent="0.2">
      <c r="A674" s="28"/>
    </row>
    <row r="675" spans="1:1" x14ac:dyDescent="0.2">
      <c r="A675" s="28"/>
    </row>
    <row r="676" spans="1:1" x14ac:dyDescent="0.2">
      <c r="A676" s="28"/>
    </row>
    <row r="677" spans="1:1" x14ac:dyDescent="0.2">
      <c r="A677" s="28"/>
    </row>
    <row r="678" spans="1:1" x14ac:dyDescent="0.2">
      <c r="A678" s="28"/>
    </row>
    <row r="679" spans="1:1" x14ac:dyDescent="0.2">
      <c r="A679" s="28"/>
    </row>
    <row r="680" spans="1:1" x14ac:dyDescent="0.2">
      <c r="A680" s="28"/>
    </row>
    <row r="681" spans="1:1" x14ac:dyDescent="0.2">
      <c r="A681" s="28"/>
    </row>
    <row r="682" spans="1:1" x14ac:dyDescent="0.2">
      <c r="A682" s="28"/>
    </row>
    <row r="683" spans="1:1" x14ac:dyDescent="0.2">
      <c r="A683" s="28"/>
    </row>
    <row r="684" spans="1:1" x14ac:dyDescent="0.2">
      <c r="A684" s="28"/>
    </row>
    <row r="685" spans="1:1" x14ac:dyDescent="0.2">
      <c r="A685" s="28"/>
    </row>
    <row r="686" spans="1:1" x14ac:dyDescent="0.2">
      <c r="A686" s="28"/>
    </row>
    <row r="687" spans="1:1" x14ac:dyDescent="0.2">
      <c r="A687" s="28"/>
    </row>
    <row r="688" spans="1:1" x14ac:dyDescent="0.2">
      <c r="A688" s="28"/>
    </row>
    <row r="689" spans="1:1" x14ac:dyDescent="0.2">
      <c r="A689" s="28"/>
    </row>
    <row r="690" spans="1:1" x14ac:dyDescent="0.2">
      <c r="A690" s="28"/>
    </row>
    <row r="691" spans="1:1" x14ac:dyDescent="0.2">
      <c r="A691" s="28"/>
    </row>
    <row r="692" spans="1:1" x14ac:dyDescent="0.2">
      <c r="A692" s="28"/>
    </row>
    <row r="693" spans="1:1" x14ac:dyDescent="0.2">
      <c r="A693" s="28"/>
    </row>
    <row r="694" spans="1:1" x14ac:dyDescent="0.2">
      <c r="A694" s="28"/>
    </row>
    <row r="695" spans="1:1" x14ac:dyDescent="0.2">
      <c r="A695" s="28"/>
    </row>
    <row r="696" spans="1:1" x14ac:dyDescent="0.2">
      <c r="A696" s="28"/>
    </row>
    <row r="697" spans="1:1" x14ac:dyDescent="0.2">
      <c r="A697" s="28"/>
    </row>
    <row r="698" spans="1:1" x14ac:dyDescent="0.2">
      <c r="A698" s="28"/>
    </row>
    <row r="699" spans="1:1" x14ac:dyDescent="0.2">
      <c r="A699" s="28"/>
    </row>
    <row r="700" spans="1:1" x14ac:dyDescent="0.2">
      <c r="A700" s="28"/>
    </row>
    <row r="701" spans="1:1" x14ac:dyDescent="0.2">
      <c r="A701" s="28"/>
    </row>
    <row r="702" spans="1:1" x14ac:dyDescent="0.2">
      <c r="A702" s="28"/>
    </row>
    <row r="703" spans="1:1" x14ac:dyDescent="0.2">
      <c r="A703" s="28"/>
    </row>
    <row r="704" spans="1:1" x14ac:dyDescent="0.2">
      <c r="A704" s="28"/>
    </row>
    <row r="705" spans="1:1" x14ac:dyDescent="0.2">
      <c r="A705" s="28"/>
    </row>
    <row r="706" spans="1:1" x14ac:dyDescent="0.2">
      <c r="A706" s="28"/>
    </row>
    <row r="707" spans="1:1" x14ac:dyDescent="0.2">
      <c r="A707" s="28"/>
    </row>
    <row r="708" spans="1:1" x14ac:dyDescent="0.2">
      <c r="A708" s="28"/>
    </row>
    <row r="709" spans="1:1" x14ac:dyDescent="0.2">
      <c r="A709" s="28"/>
    </row>
    <row r="710" spans="1:1" x14ac:dyDescent="0.2">
      <c r="A710" s="28"/>
    </row>
    <row r="711" spans="1:1" x14ac:dyDescent="0.2">
      <c r="A711" s="28"/>
    </row>
    <row r="712" spans="1:1" x14ac:dyDescent="0.2">
      <c r="A712" s="28"/>
    </row>
    <row r="713" spans="1:1" x14ac:dyDescent="0.2">
      <c r="A713" s="28"/>
    </row>
    <row r="714" spans="1:1" x14ac:dyDescent="0.2">
      <c r="A714" s="28"/>
    </row>
    <row r="715" spans="1:1" x14ac:dyDescent="0.2">
      <c r="A715" s="28"/>
    </row>
    <row r="716" spans="1:1" x14ac:dyDescent="0.2">
      <c r="A716" s="28"/>
    </row>
    <row r="717" spans="1:1" x14ac:dyDescent="0.2">
      <c r="A717" s="28"/>
    </row>
    <row r="718" spans="1:1" x14ac:dyDescent="0.2">
      <c r="A718" s="28"/>
    </row>
    <row r="719" spans="1:1" x14ac:dyDescent="0.2">
      <c r="A719" s="28"/>
    </row>
    <row r="720" spans="1:1" x14ac:dyDescent="0.2">
      <c r="A720" s="28"/>
    </row>
    <row r="721" spans="1:1" x14ac:dyDescent="0.2">
      <c r="A721" s="28"/>
    </row>
    <row r="722" spans="1:1" x14ac:dyDescent="0.2">
      <c r="A722" s="28"/>
    </row>
    <row r="723" spans="1:1" x14ac:dyDescent="0.2">
      <c r="A723" s="28"/>
    </row>
    <row r="724" spans="1:1" x14ac:dyDescent="0.2">
      <c r="A724" s="28"/>
    </row>
    <row r="725" spans="1:1" x14ac:dyDescent="0.2">
      <c r="A725" s="28"/>
    </row>
    <row r="726" spans="1:1" x14ac:dyDescent="0.2">
      <c r="A726" s="28"/>
    </row>
    <row r="727" spans="1:1" x14ac:dyDescent="0.2">
      <c r="A727" s="28"/>
    </row>
    <row r="728" spans="1:1" x14ac:dyDescent="0.2">
      <c r="A728" s="28"/>
    </row>
    <row r="729" spans="1:1" x14ac:dyDescent="0.2">
      <c r="A729" s="28"/>
    </row>
    <row r="730" spans="1:1" x14ac:dyDescent="0.2">
      <c r="A730" s="28"/>
    </row>
    <row r="731" spans="1:1" x14ac:dyDescent="0.2">
      <c r="A731" s="28"/>
    </row>
    <row r="732" spans="1:1" x14ac:dyDescent="0.2">
      <c r="A732" s="28"/>
    </row>
    <row r="733" spans="1:1" x14ac:dyDescent="0.2">
      <c r="A733" s="28"/>
    </row>
    <row r="734" spans="1:1" x14ac:dyDescent="0.2">
      <c r="A734" s="28"/>
    </row>
    <row r="735" spans="1:1" x14ac:dyDescent="0.2">
      <c r="A735" s="28"/>
    </row>
    <row r="736" spans="1:1" x14ac:dyDescent="0.2">
      <c r="A736" s="28"/>
    </row>
    <row r="737" spans="1:1" x14ac:dyDescent="0.2">
      <c r="A737" s="28"/>
    </row>
    <row r="738" spans="1:1" x14ac:dyDescent="0.2">
      <c r="A738" s="28"/>
    </row>
    <row r="739" spans="1:1" x14ac:dyDescent="0.2">
      <c r="A739" s="28"/>
    </row>
    <row r="740" spans="1:1" x14ac:dyDescent="0.2">
      <c r="A740" s="28"/>
    </row>
    <row r="741" spans="1:1" x14ac:dyDescent="0.2">
      <c r="A741" s="28"/>
    </row>
    <row r="742" spans="1:1" x14ac:dyDescent="0.2">
      <c r="A742" s="28"/>
    </row>
    <row r="743" spans="1:1" x14ac:dyDescent="0.2">
      <c r="A743" s="28"/>
    </row>
    <row r="744" spans="1:1" x14ac:dyDescent="0.2">
      <c r="A744" s="28"/>
    </row>
    <row r="745" spans="1:1" x14ac:dyDescent="0.2">
      <c r="A745" s="28"/>
    </row>
    <row r="746" spans="1:1" x14ac:dyDescent="0.2">
      <c r="A746" s="28"/>
    </row>
    <row r="747" spans="1:1" x14ac:dyDescent="0.2">
      <c r="A747" s="28"/>
    </row>
    <row r="748" spans="1:1" x14ac:dyDescent="0.2">
      <c r="A748" s="28"/>
    </row>
    <row r="749" spans="1:1" x14ac:dyDescent="0.2">
      <c r="A749" s="28"/>
    </row>
    <row r="750" spans="1:1" x14ac:dyDescent="0.2">
      <c r="A750" s="28"/>
    </row>
    <row r="751" spans="1:1" x14ac:dyDescent="0.2">
      <c r="A751" s="28"/>
    </row>
    <row r="752" spans="1:1" x14ac:dyDescent="0.2">
      <c r="A752" s="28"/>
    </row>
    <row r="753" spans="1:1" x14ac:dyDescent="0.2">
      <c r="A753" s="28"/>
    </row>
    <row r="754" spans="1:1" x14ac:dyDescent="0.2">
      <c r="A754" s="28"/>
    </row>
    <row r="755" spans="1:1" x14ac:dyDescent="0.2">
      <c r="A755" s="28"/>
    </row>
    <row r="756" spans="1:1" x14ac:dyDescent="0.2">
      <c r="A756" s="28"/>
    </row>
    <row r="757" spans="1:1" x14ac:dyDescent="0.2">
      <c r="A757" s="28"/>
    </row>
    <row r="758" spans="1:1" x14ac:dyDescent="0.2">
      <c r="A758" s="28"/>
    </row>
    <row r="759" spans="1:1" x14ac:dyDescent="0.2">
      <c r="A759" s="28"/>
    </row>
    <row r="760" spans="1:1" x14ac:dyDescent="0.2">
      <c r="A760" s="28"/>
    </row>
    <row r="761" spans="1:1" x14ac:dyDescent="0.2">
      <c r="A761" s="28"/>
    </row>
    <row r="762" spans="1:1" x14ac:dyDescent="0.2">
      <c r="A762" s="28"/>
    </row>
    <row r="763" spans="1:1" x14ac:dyDescent="0.2">
      <c r="A763" s="28"/>
    </row>
    <row r="764" spans="1:1" x14ac:dyDescent="0.2">
      <c r="A764" s="28"/>
    </row>
    <row r="765" spans="1:1" x14ac:dyDescent="0.2">
      <c r="A765" s="28"/>
    </row>
    <row r="766" spans="1:1" x14ac:dyDescent="0.2">
      <c r="A766" s="28"/>
    </row>
    <row r="767" spans="1:1" x14ac:dyDescent="0.2">
      <c r="A767" s="28"/>
    </row>
    <row r="768" spans="1:1" x14ac:dyDescent="0.2">
      <c r="A768" s="28"/>
    </row>
    <row r="769" spans="1:1" x14ac:dyDescent="0.2">
      <c r="A769" s="28"/>
    </row>
    <row r="770" spans="1:1" x14ac:dyDescent="0.2">
      <c r="A770" s="28"/>
    </row>
    <row r="771" spans="1:1" x14ac:dyDescent="0.2">
      <c r="A771" s="28"/>
    </row>
    <row r="772" spans="1:1" x14ac:dyDescent="0.2">
      <c r="A772" s="28"/>
    </row>
    <row r="773" spans="1:1" x14ac:dyDescent="0.2">
      <c r="A773" s="28"/>
    </row>
    <row r="774" spans="1:1" x14ac:dyDescent="0.2">
      <c r="A774" s="28"/>
    </row>
    <row r="775" spans="1:1" x14ac:dyDescent="0.2">
      <c r="A775" s="28"/>
    </row>
    <row r="776" spans="1:1" x14ac:dyDescent="0.2">
      <c r="A776" s="28"/>
    </row>
    <row r="777" spans="1:1" x14ac:dyDescent="0.2">
      <c r="A777" s="28"/>
    </row>
    <row r="778" spans="1:1" x14ac:dyDescent="0.2">
      <c r="A778" s="28"/>
    </row>
    <row r="779" spans="1:1" x14ac:dyDescent="0.2">
      <c r="A779" s="28"/>
    </row>
    <row r="780" spans="1:1" x14ac:dyDescent="0.2">
      <c r="A780" s="28"/>
    </row>
    <row r="781" spans="1:1" x14ac:dyDescent="0.2">
      <c r="A781" s="28"/>
    </row>
    <row r="782" spans="1:1" x14ac:dyDescent="0.2">
      <c r="A782" s="28"/>
    </row>
    <row r="783" spans="1:1" x14ac:dyDescent="0.2">
      <c r="A783" s="28"/>
    </row>
    <row r="784" spans="1:1" x14ac:dyDescent="0.2">
      <c r="A784" s="28"/>
    </row>
    <row r="785" spans="1:1" x14ac:dyDescent="0.2">
      <c r="A785" s="28"/>
    </row>
    <row r="786" spans="1:1" x14ac:dyDescent="0.2">
      <c r="A786" s="28"/>
    </row>
    <row r="787" spans="1:1" x14ac:dyDescent="0.2">
      <c r="A787" s="28"/>
    </row>
    <row r="788" spans="1:1" x14ac:dyDescent="0.2">
      <c r="A788" s="28"/>
    </row>
    <row r="789" spans="1:1" x14ac:dyDescent="0.2">
      <c r="A789" s="28"/>
    </row>
    <row r="790" spans="1:1" x14ac:dyDescent="0.2">
      <c r="A790" s="28"/>
    </row>
    <row r="791" spans="1:1" x14ac:dyDescent="0.2">
      <c r="A791" s="28"/>
    </row>
    <row r="792" spans="1:1" x14ac:dyDescent="0.2">
      <c r="A792" s="28"/>
    </row>
    <row r="793" spans="1:1" x14ac:dyDescent="0.2">
      <c r="A793" s="28"/>
    </row>
    <row r="794" spans="1:1" x14ac:dyDescent="0.2">
      <c r="A794" s="28"/>
    </row>
    <row r="795" spans="1:1" x14ac:dyDescent="0.2">
      <c r="A795" s="28"/>
    </row>
    <row r="796" spans="1:1" x14ac:dyDescent="0.2">
      <c r="A796" s="28"/>
    </row>
    <row r="797" spans="1:1" x14ac:dyDescent="0.2">
      <c r="A797" s="28"/>
    </row>
    <row r="798" spans="1:1" x14ac:dyDescent="0.2">
      <c r="A798" s="28"/>
    </row>
    <row r="799" spans="1:1" x14ac:dyDescent="0.2">
      <c r="A799" s="28"/>
    </row>
    <row r="800" spans="1:1" x14ac:dyDescent="0.2">
      <c r="A800" s="28"/>
    </row>
    <row r="801" spans="1:1" x14ac:dyDescent="0.2">
      <c r="A801" s="28"/>
    </row>
    <row r="802" spans="1:1" x14ac:dyDescent="0.2">
      <c r="A802" s="28"/>
    </row>
    <row r="803" spans="1:1" x14ac:dyDescent="0.2">
      <c r="A803" s="28"/>
    </row>
    <row r="804" spans="1:1" x14ac:dyDescent="0.2">
      <c r="A804" s="28"/>
    </row>
    <row r="805" spans="1:1" x14ac:dyDescent="0.2">
      <c r="A805" s="28"/>
    </row>
    <row r="806" spans="1:1" x14ac:dyDescent="0.2">
      <c r="A806" s="28"/>
    </row>
    <row r="807" spans="1:1" x14ac:dyDescent="0.2">
      <c r="A807" s="28"/>
    </row>
    <row r="808" spans="1:1" x14ac:dyDescent="0.2">
      <c r="A808" s="28"/>
    </row>
    <row r="809" spans="1:1" x14ac:dyDescent="0.2">
      <c r="A809" s="28"/>
    </row>
    <row r="810" spans="1:1" x14ac:dyDescent="0.2">
      <c r="A810" s="28"/>
    </row>
    <row r="811" spans="1:1" x14ac:dyDescent="0.2">
      <c r="A811" s="28"/>
    </row>
    <row r="812" spans="1:1" x14ac:dyDescent="0.2">
      <c r="A812" s="28"/>
    </row>
    <row r="813" spans="1:1" x14ac:dyDescent="0.2">
      <c r="A813" s="28"/>
    </row>
    <row r="814" spans="1:1" x14ac:dyDescent="0.2">
      <c r="A814" s="28"/>
    </row>
    <row r="815" spans="1:1" x14ac:dyDescent="0.2">
      <c r="A815" s="28"/>
    </row>
    <row r="816" spans="1:1" x14ac:dyDescent="0.2">
      <c r="A816" s="28"/>
    </row>
    <row r="817" spans="1:1" x14ac:dyDescent="0.2">
      <c r="A817" s="28"/>
    </row>
    <row r="818" spans="1:1" x14ac:dyDescent="0.2">
      <c r="A818" s="28"/>
    </row>
    <row r="819" spans="1:1" x14ac:dyDescent="0.2">
      <c r="A819" s="28"/>
    </row>
    <row r="820" spans="1:1" x14ac:dyDescent="0.2">
      <c r="A820" s="28"/>
    </row>
    <row r="821" spans="1:1" x14ac:dyDescent="0.2">
      <c r="A821" s="28"/>
    </row>
    <row r="822" spans="1:1" x14ac:dyDescent="0.2">
      <c r="A822" s="28"/>
    </row>
    <row r="823" spans="1:1" x14ac:dyDescent="0.2">
      <c r="A823" s="28"/>
    </row>
    <row r="824" spans="1:1" x14ac:dyDescent="0.2">
      <c r="A824" s="28"/>
    </row>
    <row r="825" spans="1:1" x14ac:dyDescent="0.2">
      <c r="A825" s="28"/>
    </row>
    <row r="826" spans="1:1" x14ac:dyDescent="0.2">
      <c r="A826" s="28"/>
    </row>
    <row r="827" spans="1:1" x14ac:dyDescent="0.2">
      <c r="A827" s="28"/>
    </row>
    <row r="828" spans="1:1" x14ac:dyDescent="0.2">
      <c r="A828" s="28"/>
    </row>
    <row r="829" spans="1:1" x14ac:dyDescent="0.2">
      <c r="A829" s="28"/>
    </row>
    <row r="830" spans="1:1" x14ac:dyDescent="0.2">
      <c r="A830" s="28"/>
    </row>
    <row r="831" spans="1:1" x14ac:dyDescent="0.2">
      <c r="A831" s="28"/>
    </row>
    <row r="832" spans="1:1" x14ac:dyDescent="0.2">
      <c r="A832" s="28"/>
    </row>
    <row r="833" spans="1:1" x14ac:dyDescent="0.2">
      <c r="A833" s="28"/>
    </row>
    <row r="834" spans="1:1" x14ac:dyDescent="0.2">
      <c r="A834" s="28"/>
    </row>
    <row r="835" spans="1:1" x14ac:dyDescent="0.2">
      <c r="A835" s="28"/>
    </row>
    <row r="836" spans="1:1" x14ac:dyDescent="0.2">
      <c r="A836" s="28"/>
    </row>
    <row r="837" spans="1:1" x14ac:dyDescent="0.2">
      <c r="A837" s="28"/>
    </row>
    <row r="838" spans="1:1" x14ac:dyDescent="0.2">
      <c r="A838" s="28"/>
    </row>
    <row r="839" spans="1:1" x14ac:dyDescent="0.2">
      <c r="A839" s="28"/>
    </row>
    <row r="840" spans="1:1" x14ac:dyDescent="0.2">
      <c r="A840" s="28"/>
    </row>
    <row r="841" spans="1:1" x14ac:dyDescent="0.2">
      <c r="A841" s="28"/>
    </row>
    <row r="842" spans="1:1" x14ac:dyDescent="0.2">
      <c r="A842" s="28"/>
    </row>
    <row r="843" spans="1:1" x14ac:dyDescent="0.2">
      <c r="A843" s="28"/>
    </row>
    <row r="844" spans="1:1" x14ac:dyDescent="0.2">
      <c r="A844" s="28"/>
    </row>
    <row r="845" spans="1:1" x14ac:dyDescent="0.2">
      <c r="A845" s="28"/>
    </row>
    <row r="846" spans="1:1" x14ac:dyDescent="0.2">
      <c r="A846" s="28"/>
    </row>
    <row r="847" spans="1:1" x14ac:dyDescent="0.2">
      <c r="A847" s="28"/>
    </row>
    <row r="848" spans="1:1" x14ac:dyDescent="0.2">
      <c r="A848" s="28"/>
    </row>
    <row r="849" spans="1:1" x14ac:dyDescent="0.2">
      <c r="A849" s="28"/>
    </row>
    <row r="850" spans="1:1" x14ac:dyDescent="0.2">
      <c r="A850" s="28"/>
    </row>
    <row r="851" spans="1:1" x14ac:dyDescent="0.2">
      <c r="A851" s="28"/>
    </row>
    <row r="852" spans="1:1" x14ac:dyDescent="0.2">
      <c r="A852" s="28"/>
    </row>
    <row r="853" spans="1:1" x14ac:dyDescent="0.2">
      <c r="A853" s="28"/>
    </row>
    <row r="854" spans="1:1" x14ac:dyDescent="0.2">
      <c r="A854" s="28"/>
    </row>
    <row r="855" spans="1:1" x14ac:dyDescent="0.2">
      <c r="A855" s="28"/>
    </row>
    <row r="856" spans="1:1" x14ac:dyDescent="0.2">
      <c r="A856" s="28"/>
    </row>
    <row r="857" spans="1:1" x14ac:dyDescent="0.2">
      <c r="A857" s="28"/>
    </row>
    <row r="858" spans="1:1" x14ac:dyDescent="0.2">
      <c r="A858" s="28"/>
    </row>
    <row r="859" spans="1:1" x14ac:dyDescent="0.2">
      <c r="A859" s="28"/>
    </row>
    <row r="860" spans="1:1" x14ac:dyDescent="0.2">
      <c r="A860" s="28"/>
    </row>
    <row r="861" spans="1:1" x14ac:dyDescent="0.2">
      <c r="A861" s="28"/>
    </row>
    <row r="862" spans="1:1" x14ac:dyDescent="0.2">
      <c r="A862" s="28"/>
    </row>
    <row r="863" spans="1:1" x14ac:dyDescent="0.2">
      <c r="A863" s="28"/>
    </row>
    <row r="864" spans="1:1" x14ac:dyDescent="0.2">
      <c r="A864" s="28"/>
    </row>
    <row r="865" spans="1:1" x14ac:dyDescent="0.2">
      <c r="A865" s="28"/>
    </row>
    <row r="866" spans="1:1" x14ac:dyDescent="0.2">
      <c r="A866" s="28"/>
    </row>
    <row r="867" spans="1:1" x14ac:dyDescent="0.2">
      <c r="A867" s="28"/>
    </row>
    <row r="868" spans="1:1" x14ac:dyDescent="0.2">
      <c r="A868" s="28"/>
    </row>
    <row r="869" spans="1:1" x14ac:dyDescent="0.2">
      <c r="A869" s="28"/>
    </row>
    <row r="870" spans="1:1" x14ac:dyDescent="0.2">
      <c r="A870" s="28"/>
    </row>
    <row r="871" spans="1:1" x14ac:dyDescent="0.2">
      <c r="A871" s="28"/>
    </row>
    <row r="872" spans="1:1" x14ac:dyDescent="0.2">
      <c r="A872" s="28"/>
    </row>
    <row r="873" spans="1:1" x14ac:dyDescent="0.2">
      <c r="A873" s="28"/>
    </row>
    <row r="874" spans="1:1" x14ac:dyDescent="0.2">
      <c r="A874" s="28"/>
    </row>
    <row r="875" spans="1:1" x14ac:dyDescent="0.2">
      <c r="A875" s="28"/>
    </row>
    <row r="876" spans="1:1" x14ac:dyDescent="0.2">
      <c r="A876" s="28"/>
    </row>
    <row r="877" spans="1:1" x14ac:dyDescent="0.2">
      <c r="A877" s="28"/>
    </row>
    <row r="878" spans="1:1" x14ac:dyDescent="0.2">
      <c r="A878" s="28"/>
    </row>
    <row r="879" spans="1:1" x14ac:dyDescent="0.2">
      <c r="A879" s="28"/>
    </row>
    <row r="880" spans="1:1" x14ac:dyDescent="0.2">
      <c r="A880" s="28"/>
    </row>
    <row r="881" spans="1:1" x14ac:dyDescent="0.2">
      <c r="A881" s="28"/>
    </row>
    <row r="882" spans="1:1" x14ac:dyDescent="0.2">
      <c r="A882" s="28"/>
    </row>
    <row r="883" spans="1:1" x14ac:dyDescent="0.2">
      <c r="A883" s="28"/>
    </row>
    <row r="884" spans="1:1" x14ac:dyDescent="0.2">
      <c r="A884" s="28"/>
    </row>
    <row r="885" spans="1:1" x14ac:dyDescent="0.2">
      <c r="A885" s="28"/>
    </row>
    <row r="886" spans="1:1" x14ac:dyDescent="0.2">
      <c r="A886" s="28"/>
    </row>
    <row r="887" spans="1:1" x14ac:dyDescent="0.2">
      <c r="A887" s="28"/>
    </row>
    <row r="888" spans="1:1" x14ac:dyDescent="0.2">
      <c r="A888" s="28"/>
    </row>
    <row r="889" spans="1:1" x14ac:dyDescent="0.2">
      <c r="A889" s="28"/>
    </row>
    <row r="890" spans="1:1" x14ac:dyDescent="0.2">
      <c r="A890" s="28"/>
    </row>
    <row r="891" spans="1:1" x14ac:dyDescent="0.2">
      <c r="A891" s="28"/>
    </row>
    <row r="892" spans="1:1" x14ac:dyDescent="0.2">
      <c r="A892" s="28"/>
    </row>
    <row r="893" spans="1:1" x14ac:dyDescent="0.2">
      <c r="A893" s="28"/>
    </row>
    <row r="894" spans="1:1" x14ac:dyDescent="0.2">
      <c r="A894" s="28"/>
    </row>
    <row r="895" spans="1:1" x14ac:dyDescent="0.2">
      <c r="A895" s="28"/>
    </row>
    <row r="896" spans="1:1" x14ac:dyDescent="0.2">
      <c r="A896" s="28"/>
    </row>
    <row r="897" spans="1:1" x14ac:dyDescent="0.2">
      <c r="A897" s="28"/>
    </row>
    <row r="898" spans="1:1" x14ac:dyDescent="0.2">
      <c r="A898" s="28"/>
    </row>
    <row r="899" spans="1:1" x14ac:dyDescent="0.2">
      <c r="A899" s="28"/>
    </row>
    <row r="900" spans="1:1" x14ac:dyDescent="0.2">
      <c r="A900" s="28"/>
    </row>
    <row r="901" spans="1:1" x14ac:dyDescent="0.2">
      <c r="A901" s="28"/>
    </row>
    <row r="902" spans="1:1" x14ac:dyDescent="0.2">
      <c r="A902" s="28"/>
    </row>
    <row r="903" spans="1:1" x14ac:dyDescent="0.2">
      <c r="A903" s="28"/>
    </row>
    <row r="904" spans="1:1" x14ac:dyDescent="0.2">
      <c r="A904" s="28"/>
    </row>
    <row r="905" spans="1:1" x14ac:dyDescent="0.2">
      <c r="A905" s="28"/>
    </row>
    <row r="906" spans="1:1" x14ac:dyDescent="0.2">
      <c r="A906" s="28"/>
    </row>
    <row r="907" spans="1:1" x14ac:dyDescent="0.2">
      <c r="A907" s="28"/>
    </row>
    <row r="908" spans="1:1" x14ac:dyDescent="0.2">
      <c r="A908" s="28"/>
    </row>
    <row r="909" spans="1:1" x14ac:dyDescent="0.2">
      <c r="A909" s="28"/>
    </row>
    <row r="910" spans="1:1" x14ac:dyDescent="0.2">
      <c r="A910" s="28"/>
    </row>
    <row r="911" spans="1:1" x14ac:dyDescent="0.2">
      <c r="A911" s="28"/>
    </row>
    <row r="912" spans="1:1" x14ac:dyDescent="0.2">
      <c r="A912" s="28"/>
    </row>
    <row r="913" spans="1:1" x14ac:dyDescent="0.2">
      <c r="A913" s="28"/>
    </row>
    <row r="914" spans="1:1" x14ac:dyDescent="0.2">
      <c r="A914" s="28"/>
    </row>
    <row r="915" spans="1:1" x14ac:dyDescent="0.2">
      <c r="A915" s="28"/>
    </row>
    <row r="916" spans="1:1" x14ac:dyDescent="0.2">
      <c r="A916" s="28"/>
    </row>
    <row r="917" spans="1:1" x14ac:dyDescent="0.2">
      <c r="A917" s="28"/>
    </row>
    <row r="918" spans="1:1" x14ac:dyDescent="0.2">
      <c r="A918" s="28"/>
    </row>
    <row r="919" spans="1:1" x14ac:dyDescent="0.2">
      <c r="A919" s="28"/>
    </row>
    <row r="920" spans="1:1" x14ac:dyDescent="0.2">
      <c r="A920" s="28"/>
    </row>
    <row r="921" spans="1:1" x14ac:dyDescent="0.2">
      <c r="A921" s="28"/>
    </row>
    <row r="922" spans="1:1" x14ac:dyDescent="0.2">
      <c r="A922" s="28"/>
    </row>
    <row r="923" spans="1:1" x14ac:dyDescent="0.2">
      <c r="A923" s="28"/>
    </row>
    <row r="924" spans="1:1" x14ac:dyDescent="0.2">
      <c r="A924" s="28"/>
    </row>
    <row r="925" spans="1:1" x14ac:dyDescent="0.2">
      <c r="A925" s="28"/>
    </row>
    <row r="926" spans="1:1" x14ac:dyDescent="0.2">
      <c r="A926" s="28"/>
    </row>
    <row r="927" spans="1:1" x14ac:dyDescent="0.2">
      <c r="A927" s="28"/>
    </row>
    <row r="928" spans="1:1" x14ac:dyDescent="0.2">
      <c r="A928" s="28"/>
    </row>
    <row r="929" spans="1:1" x14ac:dyDescent="0.2">
      <c r="A929" s="28"/>
    </row>
    <row r="930" spans="1:1" x14ac:dyDescent="0.2">
      <c r="A930" s="28"/>
    </row>
    <row r="931" spans="1:1" x14ac:dyDescent="0.2">
      <c r="A931" s="28"/>
    </row>
    <row r="932" spans="1:1" x14ac:dyDescent="0.2">
      <c r="A932" s="28"/>
    </row>
    <row r="933" spans="1:1" x14ac:dyDescent="0.2">
      <c r="A933" s="28"/>
    </row>
    <row r="934" spans="1:1" x14ac:dyDescent="0.2">
      <c r="A934" s="28"/>
    </row>
    <row r="935" spans="1:1" x14ac:dyDescent="0.2">
      <c r="A935" s="28"/>
    </row>
    <row r="936" spans="1:1" x14ac:dyDescent="0.2">
      <c r="A936" s="28"/>
    </row>
    <row r="937" spans="1:1" x14ac:dyDescent="0.2">
      <c r="A937" s="28"/>
    </row>
    <row r="938" spans="1:1" x14ac:dyDescent="0.2">
      <c r="A938" s="28"/>
    </row>
    <row r="939" spans="1:1" x14ac:dyDescent="0.2">
      <c r="A939" s="28"/>
    </row>
    <row r="940" spans="1:1" x14ac:dyDescent="0.2">
      <c r="A940" s="28"/>
    </row>
    <row r="941" spans="1:1" x14ac:dyDescent="0.2">
      <c r="A941" s="28"/>
    </row>
    <row r="942" spans="1:1" x14ac:dyDescent="0.2">
      <c r="A942" s="28"/>
    </row>
    <row r="943" spans="1:1" x14ac:dyDescent="0.2">
      <c r="A943" s="28"/>
    </row>
    <row r="944" spans="1:1" x14ac:dyDescent="0.2">
      <c r="A944" s="28"/>
    </row>
    <row r="945" spans="1:1" x14ac:dyDescent="0.2">
      <c r="A945" s="28"/>
    </row>
    <row r="946" spans="1:1" x14ac:dyDescent="0.2">
      <c r="A946" s="28"/>
    </row>
    <row r="947" spans="1:1" x14ac:dyDescent="0.2">
      <c r="A947" s="28"/>
    </row>
    <row r="948" spans="1:1" x14ac:dyDescent="0.2">
      <c r="A948" s="28"/>
    </row>
    <row r="949" spans="1:1" x14ac:dyDescent="0.2">
      <c r="A949" s="28"/>
    </row>
    <row r="950" spans="1:1" x14ac:dyDescent="0.2">
      <c r="A950" s="28"/>
    </row>
    <row r="951" spans="1:1" x14ac:dyDescent="0.2">
      <c r="A951" s="28"/>
    </row>
    <row r="952" spans="1:1" x14ac:dyDescent="0.2">
      <c r="A952" s="28"/>
    </row>
    <row r="953" spans="1:1" x14ac:dyDescent="0.2">
      <c r="A953" s="28"/>
    </row>
    <row r="954" spans="1:1" x14ac:dyDescent="0.2">
      <c r="A954" s="28"/>
    </row>
    <row r="955" spans="1:1" x14ac:dyDescent="0.2">
      <c r="A955" s="28"/>
    </row>
    <row r="956" spans="1:1" x14ac:dyDescent="0.2">
      <c r="A956" s="28"/>
    </row>
    <row r="957" spans="1:1" x14ac:dyDescent="0.2">
      <c r="A957" s="28"/>
    </row>
    <row r="958" spans="1:1" x14ac:dyDescent="0.2">
      <c r="A958" s="28"/>
    </row>
    <row r="959" spans="1:1" x14ac:dyDescent="0.2">
      <c r="A959" s="28"/>
    </row>
    <row r="960" spans="1:1" x14ac:dyDescent="0.2">
      <c r="A960" s="28"/>
    </row>
    <row r="961" spans="1:1" x14ac:dyDescent="0.2">
      <c r="A961" s="28"/>
    </row>
    <row r="962" spans="1:1" x14ac:dyDescent="0.2">
      <c r="A962" s="28"/>
    </row>
    <row r="963" spans="1:1" x14ac:dyDescent="0.2">
      <c r="A963" s="28"/>
    </row>
    <row r="964" spans="1:1" x14ac:dyDescent="0.2">
      <c r="A964" s="28"/>
    </row>
    <row r="965" spans="1:1" x14ac:dyDescent="0.2">
      <c r="A965" s="28"/>
    </row>
    <row r="966" spans="1:1" x14ac:dyDescent="0.2">
      <c r="A966" s="28"/>
    </row>
    <row r="967" spans="1:1" x14ac:dyDescent="0.2">
      <c r="A967" s="28"/>
    </row>
    <row r="968" spans="1:1" x14ac:dyDescent="0.2">
      <c r="A968" s="28"/>
    </row>
    <row r="969" spans="1:1" x14ac:dyDescent="0.2">
      <c r="A969" s="28"/>
    </row>
    <row r="970" spans="1:1" x14ac:dyDescent="0.2">
      <c r="A970" s="28"/>
    </row>
    <row r="971" spans="1:1" x14ac:dyDescent="0.2">
      <c r="A971" s="28"/>
    </row>
    <row r="972" spans="1:1" x14ac:dyDescent="0.2">
      <c r="A972" s="28"/>
    </row>
    <row r="973" spans="1:1" x14ac:dyDescent="0.2">
      <c r="A973" s="28"/>
    </row>
    <row r="974" spans="1:1" x14ac:dyDescent="0.2">
      <c r="A974" s="28"/>
    </row>
    <row r="975" spans="1:1" x14ac:dyDescent="0.2">
      <c r="A975" s="28"/>
    </row>
    <row r="976" spans="1:1" x14ac:dyDescent="0.2">
      <c r="A976" s="28"/>
    </row>
    <row r="977" spans="1:1" x14ac:dyDescent="0.2">
      <c r="A977" s="28"/>
    </row>
    <row r="978" spans="1:1" x14ac:dyDescent="0.2">
      <c r="A978" s="28"/>
    </row>
    <row r="979" spans="1:1" x14ac:dyDescent="0.2">
      <c r="A979" s="28"/>
    </row>
    <row r="980" spans="1:1" x14ac:dyDescent="0.2">
      <c r="A980" s="28"/>
    </row>
    <row r="981" spans="1:1" x14ac:dyDescent="0.2">
      <c r="A981" s="28"/>
    </row>
    <row r="982" spans="1:1" x14ac:dyDescent="0.2">
      <c r="A982" s="28"/>
    </row>
    <row r="983" spans="1:1" x14ac:dyDescent="0.2">
      <c r="A983" s="28"/>
    </row>
    <row r="984" spans="1:1" x14ac:dyDescent="0.2">
      <c r="A984" s="28"/>
    </row>
    <row r="985" spans="1:1" x14ac:dyDescent="0.2">
      <c r="A985" s="28"/>
    </row>
    <row r="986" spans="1:1" x14ac:dyDescent="0.2">
      <c r="A986" s="28"/>
    </row>
    <row r="987" spans="1:1" x14ac:dyDescent="0.2">
      <c r="A987" s="28"/>
    </row>
    <row r="988" spans="1:1" x14ac:dyDescent="0.2">
      <c r="A988" s="28"/>
    </row>
    <row r="989" spans="1:1" x14ac:dyDescent="0.2">
      <c r="A989" s="28"/>
    </row>
    <row r="990" spans="1:1" x14ac:dyDescent="0.2">
      <c r="A990" s="28"/>
    </row>
    <row r="991" spans="1:1" x14ac:dyDescent="0.2">
      <c r="A991" s="28"/>
    </row>
    <row r="992" spans="1:1" x14ac:dyDescent="0.2">
      <c r="A992" s="28"/>
    </row>
    <row r="993" spans="1:1" x14ac:dyDescent="0.2">
      <c r="A993" s="28"/>
    </row>
    <row r="994" spans="1:1" x14ac:dyDescent="0.2">
      <c r="A994" s="28"/>
    </row>
    <row r="995" spans="1:1" x14ac:dyDescent="0.2">
      <c r="A995" s="28"/>
    </row>
    <row r="996" spans="1:1" x14ac:dyDescent="0.2">
      <c r="A996" s="28"/>
    </row>
    <row r="997" spans="1:1" x14ac:dyDescent="0.2">
      <c r="A997" s="28"/>
    </row>
    <row r="998" spans="1:1" x14ac:dyDescent="0.2">
      <c r="A998" s="28"/>
    </row>
    <row r="999" spans="1:1" x14ac:dyDescent="0.2">
      <c r="A999" s="28"/>
    </row>
    <row r="1000" spans="1:1" x14ac:dyDescent="0.2">
      <c r="A1000" s="28"/>
    </row>
    <row r="1001" spans="1:1" x14ac:dyDescent="0.2">
      <c r="A1001" s="28"/>
    </row>
    <row r="1002" spans="1:1" x14ac:dyDescent="0.2">
      <c r="A1002" s="28"/>
    </row>
    <row r="1003" spans="1:1" x14ac:dyDescent="0.2">
      <c r="A1003" s="28"/>
    </row>
    <row r="1004" spans="1:1" x14ac:dyDescent="0.2">
      <c r="A1004" s="28"/>
    </row>
    <row r="1005" spans="1:1" x14ac:dyDescent="0.2">
      <c r="A1005" s="28"/>
    </row>
    <row r="1006" spans="1:1" x14ac:dyDescent="0.2">
      <c r="A1006" s="28"/>
    </row>
    <row r="1007" spans="1:1" x14ac:dyDescent="0.2">
      <c r="A1007" s="28"/>
    </row>
    <row r="1008" spans="1:1" x14ac:dyDescent="0.2">
      <c r="A1008" s="28"/>
    </row>
    <row r="1009" spans="1:1" x14ac:dyDescent="0.2">
      <c r="A1009" s="28"/>
    </row>
    <row r="1010" spans="1:1" x14ac:dyDescent="0.2">
      <c r="A1010" s="28"/>
    </row>
    <row r="1011" spans="1:1" x14ac:dyDescent="0.2">
      <c r="A1011" s="28"/>
    </row>
    <row r="1012" spans="1:1" x14ac:dyDescent="0.2">
      <c r="A1012" s="28"/>
    </row>
    <row r="1013" spans="1:1" x14ac:dyDescent="0.2">
      <c r="A1013" s="28"/>
    </row>
    <row r="1014" spans="1:1" x14ac:dyDescent="0.2">
      <c r="A1014" s="28"/>
    </row>
    <row r="1015" spans="1:1" x14ac:dyDescent="0.2">
      <c r="A1015" s="28"/>
    </row>
    <row r="1016" spans="1:1" x14ac:dyDescent="0.2">
      <c r="A1016" s="28"/>
    </row>
    <row r="1017" spans="1:1" x14ac:dyDescent="0.2">
      <c r="A1017" s="28"/>
    </row>
    <row r="1018" spans="1:1" x14ac:dyDescent="0.2">
      <c r="A1018" s="28"/>
    </row>
    <row r="1019" spans="1:1" x14ac:dyDescent="0.2">
      <c r="A1019" s="28"/>
    </row>
    <row r="1020" spans="1:1" x14ac:dyDescent="0.2">
      <c r="A1020" s="28"/>
    </row>
    <row r="1021" spans="1:1" x14ac:dyDescent="0.2">
      <c r="A1021" s="28"/>
    </row>
    <row r="1022" spans="1:1" x14ac:dyDescent="0.2">
      <c r="A1022" s="28"/>
    </row>
    <row r="1023" spans="1:1" x14ac:dyDescent="0.2">
      <c r="A1023" s="28"/>
    </row>
    <row r="1024" spans="1:1" x14ac:dyDescent="0.2">
      <c r="A1024" s="28"/>
    </row>
    <row r="1025" spans="1:1" x14ac:dyDescent="0.2">
      <c r="A1025" s="28"/>
    </row>
    <row r="1026" spans="1:1" x14ac:dyDescent="0.2">
      <c r="A1026" s="28"/>
    </row>
    <row r="1027" spans="1:1" x14ac:dyDescent="0.2">
      <c r="A1027" s="28"/>
    </row>
    <row r="1028" spans="1:1" x14ac:dyDescent="0.2">
      <c r="A1028" s="28"/>
    </row>
    <row r="1029" spans="1:1" x14ac:dyDescent="0.2">
      <c r="A1029" s="28"/>
    </row>
    <row r="1030" spans="1:1" x14ac:dyDescent="0.2">
      <c r="A1030" s="28"/>
    </row>
    <row r="1031" spans="1:1" x14ac:dyDescent="0.2">
      <c r="A1031" s="28"/>
    </row>
    <row r="1032" spans="1:1" x14ac:dyDescent="0.2">
      <c r="A1032" s="28"/>
    </row>
    <row r="1033" spans="1:1" x14ac:dyDescent="0.2">
      <c r="A1033" s="28"/>
    </row>
    <row r="1034" spans="1:1" x14ac:dyDescent="0.2">
      <c r="A1034" s="28"/>
    </row>
    <row r="1035" spans="1:1" x14ac:dyDescent="0.2">
      <c r="A1035" s="28"/>
    </row>
    <row r="1036" spans="1:1" x14ac:dyDescent="0.2">
      <c r="A1036" s="28"/>
    </row>
    <row r="1037" spans="1:1" x14ac:dyDescent="0.2">
      <c r="A1037" s="28"/>
    </row>
    <row r="1038" spans="1:1" x14ac:dyDescent="0.2">
      <c r="A1038" s="28"/>
    </row>
    <row r="1039" spans="1:1" x14ac:dyDescent="0.2">
      <c r="A1039" s="28"/>
    </row>
    <row r="1040" spans="1:1" x14ac:dyDescent="0.2">
      <c r="A1040" s="28"/>
    </row>
    <row r="1041" spans="1:1" x14ac:dyDescent="0.2">
      <c r="A1041" s="28"/>
    </row>
    <row r="1042" spans="1:1" x14ac:dyDescent="0.2">
      <c r="A1042" s="28"/>
    </row>
    <row r="1043" spans="1:1" x14ac:dyDescent="0.2">
      <c r="A1043" s="28"/>
    </row>
    <row r="1044" spans="1:1" x14ac:dyDescent="0.2">
      <c r="A1044" s="28"/>
    </row>
    <row r="1045" spans="1:1" x14ac:dyDescent="0.2">
      <c r="A1045" s="28"/>
    </row>
    <row r="1046" spans="1:1" x14ac:dyDescent="0.2">
      <c r="A1046" s="28"/>
    </row>
    <row r="1047" spans="1:1" x14ac:dyDescent="0.2">
      <c r="A1047" s="28"/>
    </row>
    <row r="1048" spans="1:1" x14ac:dyDescent="0.2">
      <c r="A1048" s="28"/>
    </row>
    <row r="1049" spans="1:1" x14ac:dyDescent="0.2">
      <c r="A1049" s="28"/>
    </row>
    <row r="1050" spans="1:1" x14ac:dyDescent="0.2">
      <c r="A1050" s="28"/>
    </row>
    <row r="1051" spans="1:1" x14ac:dyDescent="0.2">
      <c r="A1051" s="28"/>
    </row>
    <row r="1052" spans="1:1" x14ac:dyDescent="0.2">
      <c r="A1052" s="28"/>
    </row>
    <row r="1053" spans="1:1" x14ac:dyDescent="0.2">
      <c r="A1053" s="28"/>
    </row>
    <row r="1054" spans="1:1" x14ac:dyDescent="0.2">
      <c r="A1054" s="28"/>
    </row>
    <row r="1055" spans="1:1" x14ac:dyDescent="0.2">
      <c r="A1055" s="28"/>
    </row>
    <row r="1056" spans="1:1" x14ac:dyDescent="0.2">
      <c r="A1056" s="28"/>
    </row>
    <row r="1057" spans="1:1" x14ac:dyDescent="0.2">
      <c r="A1057" s="28"/>
    </row>
    <row r="1058" spans="1:1" x14ac:dyDescent="0.2">
      <c r="A1058" s="28"/>
    </row>
    <row r="1059" spans="1:1" x14ac:dyDescent="0.2">
      <c r="A1059" s="28"/>
    </row>
    <row r="1060" spans="1:1" x14ac:dyDescent="0.2">
      <c r="A1060" s="28"/>
    </row>
    <row r="1061" spans="1:1" x14ac:dyDescent="0.2">
      <c r="A1061" s="28"/>
    </row>
    <row r="1062" spans="1:1" x14ac:dyDescent="0.2">
      <c r="A1062" s="28"/>
    </row>
    <row r="1063" spans="1:1" x14ac:dyDescent="0.2">
      <c r="A1063" s="28"/>
    </row>
    <row r="1064" spans="1:1" x14ac:dyDescent="0.2">
      <c r="A1064" s="28"/>
    </row>
    <row r="1065" spans="1:1" x14ac:dyDescent="0.2">
      <c r="A1065" s="28"/>
    </row>
    <row r="1066" spans="1:1" x14ac:dyDescent="0.2">
      <c r="A1066" s="28"/>
    </row>
    <row r="1067" spans="1:1" x14ac:dyDescent="0.2">
      <c r="A1067" s="28"/>
    </row>
    <row r="1068" spans="1:1" x14ac:dyDescent="0.2">
      <c r="A1068" s="28"/>
    </row>
    <row r="1069" spans="1:1" x14ac:dyDescent="0.2">
      <c r="A1069" s="28"/>
    </row>
    <row r="1070" spans="1:1" x14ac:dyDescent="0.2">
      <c r="A1070" s="28"/>
    </row>
    <row r="1071" spans="1:1" x14ac:dyDescent="0.2">
      <c r="A1071" s="28"/>
    </row>
    <row r="1072" spans="1:1" x14ac:dyDescent="0.2">
      <c r="A1072" s="28"/>
    </row>
    <row r="1073" spans="1:1" x14ac:dyDescent="0.2">
      <c r="A1073" s="28"/>
    </row>
    <row r="1074" spans="1:1" x14ac:dyDescent="0.2">
      <c r="A1074" s="28"/>
    </row>
    <row r="1075" spans="1:1" x14ac:dyDescent="0.2">
      <c r="A1075" s="28"/>
    </row>
    <row r="1076" spans="1:1" x14ac:dyDescent="0.2">
      <c r="A1076" s="28"/>
    </row>
    <row r="1077" spans="1:1" x14ac:dyDescent="0.2">
      <c r="A1077" s="28"/>
    </row>
    <row r="1078" spans="1:1" x14ac:dyDescent="0.2">
      <c r="A1078" s="28"/>
    </row>
    <row r="1079" spans="1:1" x14ac:dyDescent="0.2">
      <c r="A1079" s="28"/>
    </row>
    <row r="1080" spans="1:1" x14ac:dyDescent="0.2">
      <c r="A1080" s="28"/>
    </row>
    <row r="1081" spans="1:1" x14ac:dyDescent="0.2">
      <c r="A1081" s="28"/>
    </row>
    <row r="1082" spans="1:1" x14ac:dyDescent="0.2">
      <c r="A1082" s="28"/>
    </row>
    <row r="1083" spans="1:1" x14ac:dyDescent="0.2">
      <c r="A1083" s="28"/>
    </row>
    <row r="1084" spans="1:1" x14ac:dyDescent="0.2">
      <c r="A1084" s="28"/>
    </row>
    <row r="1085" spans="1:1" x14ac:dyDescent="0.2">
      <c r="A1085" s="28"/>
    </row>
    <row r="1086" spans="1:1" x14ac:dyDescent="0.2">
      <c r="A1086" s="28"/>
    </row>
    <row r="1087" spans="1:1" x14ac:dyDescent="0.2">
      <c r="A1087" s="28"/>
    </row>
    <row r="1088" spans="1:1" x14ac:dyDescent="0.2">
      <c r="A1088" s="28"/>
    </row>
    <row r="1089" spans="1:1" x14ac:dyDescent="0.2">
      <c r="A1089" s="28"/>
    </row>
    <row r="1090" spans="1:1" x14ac:dyDescent="0.2">
      <c r="A1090" s="28"/>
    </row>
    <row r="1091" spans="1:1" x14ac:dyDescent="0.2">
      <c r="A1091" s="28"/>
    </row>
    <row r="1092" spans="1:1" x14ac:dyDescent="0.2">
      <c r="A1092" s="28"/>
    </row>
    <row r="1093" spans="1:1" x14ac:dyDescent="0.2">
      <c r="A1093" s="28"/>
    </row>
    <row r="1094" spans="1:1" x14ac:dyDescent="0.2">
      <c r="A1094" s="28"/>
    </row>
    <row r="1095" spans="1:1" x14ac:dyDescent="0.2">
      <c r="A1095" s="28"/>
    </row>
    <row r="1096" spans="1:1" x14ac:dyDescent="0.2">
      <c r="A1096" s="28"/>
    </row>
    <row r="1097" spans="1:1" x14ac:dyDescent="0.2">
      <c r="A1097" s="28"/>
    </row>
    <row r="1098" spans="1:1" x14ac:dyDescent="0.2">
      <c r="A1098" s="28"/>
    </row>
    <row r="1099" spans="1:1" x14ac:dyDescent="0.2">
      <c r="A1099" s="28"/>
    </row>
    <row r="1100" spans="1:1" x14ac:dyDescent="0.2">
      <c r="A1100" s="28"/>
    </row>
    <row r="1101" spans="1:1" x14ac:dyDescent="0.2">
      <c r="A1101" s="28"/>
    </row>
    <row r="1102" spans="1:1" x14ac:dyDescent="0.2">
      <c r="A1102" s="28"/>
    </row>
    <row r="1103" spans="1:1" x14ac:dyDescent="0.2">
      <c r="A1103" s="28"/>
    </row>
    <row r="1104" spans="1:1" x14ac:dyDescent="0.2">
      <c r="A1104" s="28"/>
    </row>
    <row r="1105" spans="1:1" x14ac:dyDescent="0.2">
      <c r="A1105" s="28"/>
    </row>
    <row r="1106" spans="1:1" x14ac:dyDescent="0.2">
      <c r="A1106" s="28"/>
    </row>
    <row r="1107" spans="1:1" x14ac:dyDescent="0.2">
      <c r="A1107" s="28"/>
    </row>
    <row r="1108" spans="1:1" x14ac:dyDescent="0.2">
      <c r="A1108" s="28"/>
    </row>
    <row r="1109" spans="1:1" x14ac:dyDescent="0.2">
      <c r="A1109" s="28"/>
    </row>
    <row r="1110" spans="1:1" x14ac:dyDescent="0.2">
      <c r="A1110" s="28"/>
    </row>
    <row r="1111" spans="1:1" x14ac:dyDescent="0.2">
      <c r="A1111" s="28"/>
    </row>
    <row r="1112" spans="1:1" x14ac:dyDescent="0.2">
      <c r="A1112" s="28"/>
    </row>
    <row r="1113" spans="1:1" x14ac:dyDescent="0.2">
      <c r="A1113" s="28"/>
    </row>
    <row r="1114" spans="1:1" x14ac:dyDescent="0.2">
      <c r="A1114" s="28"/>
    </row>
    <row r="1115" spans="1:1" x14ac:dyDescent="0.2">
      <c r="A1115" s="28"/>
    </row>
    <row r="1116" spans="1:1" x14ac:dyDescent="0.2">
      <c r="A1116" s="28"/>
    </row>
    <row r="1117" spans="1:1" x14ac:dyDescent="0.2">
      <c r="A1117" s="28"/>
    </row>
    <row r="1118" spans="1:1" x14ac:dyDescent="0.2">
      <c r="A1118" s="28"/>
    </row>
    <row r="1119" spans="1:1" x14ac:dyDescent="0.2">
      <c r="A1119" s="28"/>
    </row>
    <row r="1120" spans="1:1" x14ac:dyDescent="0.2">
      <c r="A1120" s="28"/>
    </row>
    <row r="1121" spans="1:1" x14ac:dyDescent="0.2">
      <c r="A1121" s="28"/>
    </row>
    <row r="1122" spans="1:1" x14ac:dyDescent="0.2">
      <c r="A1122" s="28"/>
    </row>
    <row r="1123" spans="1:1" x14ac:dyDescent="0.2">
      <c r="A1123" s="28"/>
    </row>
    <row r="1124" spans="1:1" x14ac:dyDescent="0.2">
      <c r="A1124" s="28"/>
    </row>
    <row r="1125" spans="1:1" x14ac:dyDescent="0.2">
      <c r="A1125" s="28"/>
    </row>
    <row r="1126" spans="1:1" x14ac:dyDescent="0.2">
      <c r="A1126" s="28"/>
    </row>
    <row r="1127" spans="1:1" x14ac:dyDescent="0.2">
      <c r="A1127" s="28"/>
    </row>
    <row r="1128" spans="1:1" x14ac:dyDescent="0.2">
      <c r="A1128" s="28"/>
    </row>
    <row r="1129" spans="1:1" x14ac:dyDescent="0.2">
      <c r="A1129" s="28"/>
    </row>
    <row r="1130" spans="1:1" x14ac:dyDescent="0.2">
      <c r="A1130" s="28"/>
    </row>
    <row r="1131" spans="1:1" x14ac:dyDescent="0.2">
      <c r="A1131" s="28"/>
    </row>
    <row r="1132" spans="1:1" x14ac:dyDescent="0.2">
      <c r="A1132" s="28"/>
    </row>
    <row r="1133" spans="1:1" x14ac:dyDescent="0.2">
      <c r="A1133" s="28"/>
    </row>
    <row r="1134" spans="1:1" x14ac:dyDescent="0.2">
      <c r="A1134" s="28"/>
    </row>
    <row r="1135" spans="1:1" x14ac:dyDescent="0.2">
      <c r="A1135" s="28"/>
    </row>
    <row r="1136" spans="1:1" x14ac:dyDescent="0.2">
      <c r="A1136" s="28"/>
    </row>
    <row r="1137" spans="1:1" x14ac:dyDescent="0.2">
      <c r="A1137" s="28"/>
    </row>
    <row r="1138" spans="1:1" x14ac:dyDescent="0.2">
      <c r="A1138" s="28"/>
    </row>
    <row r="1139" spans="1:1" x14ac:dyDescent="0.2">
      <c r="A1139" s="28"/>
    </row>
    <row r="1140" spans="1:1" x14ac:dyDescent="0.2">
      <c r="A1140" s="28"/>
    </row>
    <row r="1141" spans="1:1" x14ac:dyDescent="0.2">
      <c r="A1141" s="28"/>
    </row>
    <row r="1142" spans="1:1" x14ac:dyDescent="0.2">
      <c r="A1142" s="28"/>
    </row>
    <row r="1143" spans="1:1" x14ac:dyDescent="0.2">
      <c r="A1143" s="28"/>
    </row>
    <row r="1144" spans="1:1" x14ac:dyDescent="0.2">
      <c r="A1144" s="28"/>
    </row>
    <row r="1145" spans="1:1" x14ac:dyDescent="0.2">
      <c r="A1145" s="28"/>
    </row>
    <row r="1146" spans="1:1" x14ac:dyDescent="0.2">
      <c r="A1146" s="28"/>
    </row>
    <row r="1147" spans="1:1" x14ac:dyDescent="0.2">
      <c r="A1147" s="28"/>
    </row>
    <row r="1148" spans="1:1" x14ac:dyDescent="0.2">
      <c r="A1148" s="28"/>
    </row>
    <row r="1149" spans="1:1" x14ac:dyDescent="0.2">
      <c r="A1149" s="28"/>
    </row>
    <row r="1150" spans="1:1" x14ac:dyDescent="0.2">
      <c r="A1150" s="28"/>
    </row>
    <row r="1151" spans="1:1" x14ac:dyDescent="0.2">
      <c r="A1151" s="28"/>
    </row>
    <row r="1152" spans="1:1" x14ac:dyDescent="0.2">
      <c r="A1152" s="28"/>
    </row>
    <row r="1153" spans="1:1" x14ac:dyDescent="0.2">
      <c r="A1153" s="28"/>
    </row>
    <row r="1154" spans="1:1" x14ac:dyDescent="0.2">
      <c r="A1154" s="28"/>
    </row>
    <row r="1155" spans="1:1" x14ac:dyDescent="0.2">
      <c r="A1155" s="28"/>
    </row>
    <row r="1156" spans="1:1" x14ac:dyDescent="0.2">
      <c r="A1156" s="28"/>
    </row>
    <row r="1157" spans="1:1" x14ac:dyDescent="0.2">
      <c r="A1157" s="28"/>
    </row>
    <row r="1158" spans="1:1" x14ac:dyDescent="0.2">
      <c r="A1158" s="28"/>
    </row>
    <row r="1159" spans="1:1" x14ac:dyDescent="0.2">
      <c r="A1159" s="28"/>
    </row>
    <row r="1160" spans="1:1" x14ac:dyDescent="0.2">
      <c r="A1160" s="28"/>
    </row>
    <row r="1161" spans="1:1" x14ac:dyDescent="0.2">
      <c r="A1161" s="28"/>
    </row>
    <row r="1162" spans="1:1" x14ac:dyDescent="0.2">
      <c r="A1162" s="28"/>
    </row>
    <row r="1163" spans="1:1" x14ac:dyDescent="0.2">
      <c r="A1163" s="28"/>
    </row>
    <row r="1164" spans="1:1" x14ac:dyDescent="0.2">
      <c r="A1164" s="28"/>
    </row>
    <row r="1165" spans="1:1" x14ac:dyDescent="0.2">
      <c r="A1165" s="28"/>
    </row>
    <row r="1166" spans="1:1" x14ac:dyDescent="0.2">
      <c r="A1166" s="28"/>
    </row>
    <row r="1167" spans="1:1" x14ac:dyDescent="0.2">
      <c r="A1167" s="28"/>
    </row>
    <row r="1168" spans="1:1" x14ac:dyDescent="0.2">
      <c r="A1168" s="28"/>
    </row>
    <row r="1169" spans="1:1" x14ac:dyDescent="0.2">
      <c r="A1169" s="28"/>
    </row>
    <row r="1170" spans="1:1" x14ac:dyDescent="0.2">
      <c r="A1170" s="28"/>
    </row>
    <row r="1171" spans="1:1" x14ac:dyDescent="0.2">
      <c r="A1171" s="28"/>
    </row>
    <row r="1172" spans="1:1" x14ac:dyDescent="0.2">
      <c r="A1172" s="28"/>
    </row>
    <row r="1173" spans="1:1" x14ac:dyDescent="0.2">
      <c r="A1173" s="28"/>
    </row>
    <row r="1174" spans="1:1" x14ac:dyDescent="0.2">
      <c r="A1174" s="28"/>
    </row>
    <row r="1175" spans="1:1" x14ac:dyDescent="0.2">
      <c r="A1175" s="28"/>
    </row>
    <row r="1176" spans="1:1" x14ac:dyDescent="0.2">
      <c r="A1176" s="28"/>
    </row>
    <row r="1177" spans="1:1" x14ac:dyDescent="0.2">
      <c r="A1177" s="28"/>
    </row>
    <row r="1178" spans="1:1" x14ac:dyDescent="0.2">
      <c r="A1178" s="28"/>
    </row>
    <row r="1179" spans="1:1" x14ac:dyDescent="0.2">
      <c r="A1179" s="28"/>
    </row>
    <row r="1180" spans="1:1" x14ac:dyDescent="0.2">
      <c r="A1180" s="28"/>
    </row>
    <row r="1181" spans="1:1" x14ac:dyDescent="0.2">
      <c r="A1181" s="28"/>
    </row>
    <row r="1182" spans="1:1" x14ac:dyDescent="0.2">
      <c r="A1182" s="28"/>
    </row>
    <row r="1183" spans="1:1" x14ac:dyDescent="0.2">
      <c r="A1183" s="28"/>
    </row>
    <row r="1184" spans="1:1" x14ac:dyDescent="0.2">
      <c r="A1184" s="28"/>
    </row>
    <row r="1185" spans="1:1" x14ac:dyDescent="0.2">
      <c r="A1185" s="28"/>
    </row>
    <row r="1186" spans="1:1" x14ac:dyDescent="0.2">
      <c r="A1186" s="28"/>
    </row>
    <row r="1187" spans="1:1" x14ac:dyDescent="0.2">
      <c r="A1187" s="28"/>
    </row>
    <row r="1188" spans="1:1" x14ac:dyDescent="0.2">
      <c r="A1188" s="28"/>
    </row>
    <row r="1189" spans="1:1" x14ac:dyDescent="0.2">
      <c r="A1189" s="28"/>
    </row>
    <row r="1190" spans="1:1" x14ac:dyDescent="0.2">
      <c r="A1190" s="28"/>
    </row>
    <row r="1191" spans="1:1" x14ac:dyDescent="0.2">
      <c r="A1191" s="28"/>
    </row>
    <row r="1192" spans="1:1" x14ac:dyDescent="0.2">
      <c r="A1192" s="28"/>
    </row>
    <row r="1193" spans="1:1" x14ac:dyDescent="0.2">
      <c r="A1193" s="28"/>
    </row>
    <row r="1194" spans="1:1" x14ac:dyDescent="0.2">
      <c r="A1194" s="28"/>
    </row>
    <row r="1195" spans="1:1" x14ac:dyDescent="0.2">
      <c r="A1195" s="28"/>
    </row>
    <row r="1196" spans="1:1" x14ac:dyDescent="0.2">
      <c r="A1196" s="28"/>
    </row>
    <row r="1197" spans="1:1" x14ac:dyDescent="0.2">
      <c r="A1197" s="28"/>
    </row>
    <row r="1198" spans="1:1" x14ac:dyDescent="0.2">
      <c r="A1198" s="28"/>
    </row>
    <row r="1199" spans="1:1" x14ac:dyDescent="0.2">
      <c r="A1199" s="28"/>
    </row>
    <row r="1200" spans="1:1" x14ac:dyDescent="0.2">
      <c r="A1200" s="28"/>
    </row>
    <row r="1201" spans="1:1" x14ac:dyDescent="0.2">
      <c r="A1201" s="28"/>
    </row>
    <row r="1202" spans="1:1" x14ac:dyDescent="0.2">
      <c r="A1202" s="28"/>
    </row>
    <row r="1203" spans="1:1" x14ac:dyDescent="0.2">
      <c r="A1203" s="28"/>
    </row>
    <row r="1204" spans="1:1" x14ac:dyDescent="0.2">
      <c r="A1204" s="28"/>
    </row>
    <row r="1205" spans="1:1" x14ac:dyDescent="0.2">
      <c r="A1205" s="28"/>
    </row>
    <row r="1206" spans="1:1" x14ac:dyDescent="0.2">
      <c r="A1206" s="28"/>
    </row>
    <row r="1207" spans="1:1" x14ac:dyDescent="0.2">
      <c r="A1207" s="28"/>
    </row>
    <row r="1208" spans="1:1" x14ac:dyDescent="0.2">
      <c r="A1208" s="28"/>
    </row>
    <row r="1209" spans="1:1" x14ac:dyDescent="0.2">
      <c r="A1209" s="28"/>
    </row>
    <row r="1210" spans="1:1" x14ac:dyDescent="0.2">
      <c r="A1210" s="28"/>
    </row>
    <row r="1211" spans="1:1" x14ac:dyDescent="0.2">
      <c r="A1211" s="28"/>
    </row>
    <row r="1212" spans="1:1" x14ac:dyDescent="0.2">
      <c r="A1212" s="28"/>
    </row>
    <row r="1213" spans="1:1" x14ac:dyDescent="0.2">
      <c r="A1213" s="28"/>
    </row>
    <row r="1214" spans="1:1" x14ac:dyDescent="0.2">
      <c r="A1214" s="28"/>
    </row>
    <row r="1215" spans="1:1" x14ac:dyDescent="0.2">
      <c r="A1215" s="28"/>
    </row>
    <row r="1216" spans="1:1" x14ac:dyDescent="0.2">
      <c r="A1216" s="28"/>
    </row>
    <row r="1217" spans="1:1" x14ac:dyDescent="0.2">
      <c r="A1217" s="28"/>
    </row>
    <row r="1218" spans="1:1" x14ac:dyDescent="0.2">
      <c r="A1218" s="28"/>
    </row>
    <row r="1219" spans="1:1" x14ac:dyDescent="0.2">
      <c r="A1219" s="28"/>
    </row>
    <row r="1220" spans="1:1" x14ac:dyDescent="0.2">
      <c r="A1220" s="28"/>
    </row>
    <row r="1221" spans="1:1" x14ac:dyDescent="0.2">
      <c r="A1221" s="28"/>
    </row>
    <row r="1222" spans="1:1" x14ac:dyDescent="0.2">
      <c r="A1222" s="28"/>
    </row>
    <row r="1223" spans="1:1" x14ac:dyDescent="0.2">
      <c r="A1223" s="28"/>
    </row>
    <row r="1224" spans="1:1" x14ac:dyDescent="0.2">
      <c r="A1224" s="28"/>
    </row>
    <row r="1225" spans="1:1" x14ac:dyDescent="0.2">
      <c r="A1225" s="28"/>
    </row>
    <row r="1226" spans="1:1" x14ac:dyDescent="0.2">
      <c r="A1226" s="28"/>
    </row>
    <row r="1227" spans="1:1" x14ac:dyDescent="0.2">
      <c r="A1227" s="28"/>
    </row>
    <row r="1228" spans="1:1" x14ac:dyDescent="0.2">
      <c r="A1228" s="28"/>
    </row>
    <row r="1229" spans="1:1" x14ac:dyDescent="0.2">
      <c r="A1229" s="28"/>
    </row>
    <row r="1230" spans="1:1" x14ac:dyDescent="0.2">
      <c r="A1230" s="28"/>
    </row>
    <row r="1231" spans="1:1" x14ac:dyDescent="0.2">
      <c r="A1231" s="28"/>
    </row>
    <row r="1232" spans="1:1" x14ac:dyDescent="0.2">
      <c r="A1232" s="28"/>
    </row>
    <row r="1233" spans="1:1" x14ac:dyDescent="0.2">
      <c r="A1233" s="28"/>
    </row>
    <row r="1234" spans="1:1" x14ac:dyDescent="0.2">
      <c r="A1234" s="28"/>
    </row>
    <row r="1235" spans="1:1" x14ac:dyDescent="0.2">
      <c r="A1235" s="28"/>
    </row>
    <row r="1236" spans="1:1" x14ac:dyDescent="0.2">
      <c r="A1236" s="28"/>
    </row>
    <row r="1237" spans="1:1" x14ac:dyDescent="0.2">
      <c r="A1237" s="28"/>
    </row>
    <row r="1238" spans="1:1" x14ac:dyDescent="0.2">
      <c r="A1238" s="28"/>
    </row>
    <row r="1239" spans="1:1" x14ac:dyDescent="0.2">
      <c r="A1239" s="28"/>
    </row>
    <row r="1240" spans="1:1" x14ac:dyDescent="0.2">
      <c r="A1240" s="28"/>
    </row>
    <row r="1241" spans="1:1" x14ac:dyDescent="0.2">
      <c r="A1241" s="28"/>
    </row>
    <row r="1242" spans="1:1" x14ac:dyDescent="0.2">
      <c r="A1242" s="28"/>
    </row>
    <row r="1243" spans="1:1" x14ac:dyDescent="0.2">
      <c r="A1243" s="28"/>
    </row>
    <row r="1244" spans="1:1" x14ac:dyDescent="0.2">
      <c r="A1244" s="28"/>
    </row>
    <row r="1245" spans="1:1" x14ac:dyDescent="0.2">
      <c r="A1245" s="28"/>
    </row>
    <row r="1246" spans="1:1" x14ac:dyDescent="0.2">
      <c r="A1246" s="28"/>
    </row>
    <row r="1247" spans="1:1" x14ac:dyDescent="0.2">
      <c r="A1247" s="28"/>
    </row>
    <row r="1248" spans="1:1" x14ac:dyDescent="0.2">
      <c r="A1248" s="28"/>
    </row>
    <row r="1249" spans="1:1" x14ac:dyDescent="0.2">
      <c r="A1249" s="28"/>
    </row>
    <row r="1250" spans="1:1" x14ac:dyDescent="0.2">
      <c r="A1250" s="28"/>
    </row>
    <row r="1251" spans="1:1" x14ac:dyDescent="0.2">
      <c r="A1251" s="28"/>
    </row>
    <row r="1252" spans="1:1" x14ac:dyDescent="0.2">
      <c r="A1252" s="28"/>
    </row>
    <row r="1253" spans="1:1" x14ac:dyDescent="0.2">
      <c r="A1253" s="28"/>
    </row>
    <row r="1254" spans="1:1" x14ac:dyDescent="0.2">
      <c r="A1254" s="28"/>
    </row>
    <row r="1255" spans="1:1" x14ac:dyDescent="0.2">
      <c r="A1255" s="28"/>
    </row>
    <row r="1256" spans="1:1" x14ac:dyDescent="0.2">
      <c r="A1256" s="28"/>
    </row>
    <row r="1257" spans="1:1" x14ac:dyDescent="0.2">
      <c r="A1257" s="28"/>
    </row>
    <row r="1258" spans="1:1" x14ac:dyDescent="0.2">
      <c r="A1258" s="28"/>
    </row>
    <row r="1259" spans="1:1" x14ac:dyDescent="0.2">
      <c r="A1259" s="28"/>
    </row>
    <row r="1260" spans="1:1" x14ac:dyDescent="0.2">
      <c r="A1260" s="28"/>
    </row>
    <row r="1261" spans="1:1" x14ac:dyDescent="0.2">
      <c r="A1261" s="28"/>
    </row>
    <row r="1262" spans="1:1" x14ac:dyDescent="0.2">
      <c r="A1262" s="28"/>
    </row>
    <row r="1263" spans="1:1" x14ac:dyDescent="0.2">
      <c r="A1263" s="28"/>
    </row>
    <row r="1264" spans="1:1" x14ac:dyDescent="0.2">
      <c r="A1264" s="28"/>
    </row>
    <row r="1265" spans="1:1" x14ac:dyDescent="0.2">
      <c r="A1265" s="28"/>
    </row>
    <row r="1266" spans="1:1" x14ac:dyDescent="0.2">
      <c r="A1266" s="28"/>
    </row>
    <row r="1267" spans="1:1" x14ac:dyDescent="0.2">
      <c r="A1267" s="28"/>
    </row>
    <row r="1268" spans="1:1" x14ac:dyDescent="0.2">
      <c r="A1268" s="28"/>
    </row>
    <row r="1269" spans="1:1" x14ac:dyDescent="0.2">
      <c r="A1269" s="28"/>
    </row>
    <row r="1270" spans="1:1" x14ac:dyDescent="0.2">
      <c r="A1270" s="28"/>
    </row>
    <row r="1271" spans="1:1" x14ac:dyDescent="0.2">
      <c r="A1271" s="28"/>
    </row>
    <row r="1272" spans="1:1" x14ac:dyDescent="0.2">
      <c r="A1272" s="28"/>
    </row>
    <row r="1273" spans="1:1" x14ac:dyDescent="0.2">
      <c r="A1273" s="28"/>
    </row>
    <row r="1274" spans="1:1" x14ac:dyDescent="0.2">
      <c r="A1274" s="28"/>
    </row>
    <row r="1275" spans="1:1" x14ac:dyDescent="0.2">
      <c r="A1275" s="28"/>
    </row>
    <row r="1276" spans="1:1" x14ac:dyDescent="0.2">
      <c r="A1276" s="28"/>
    </row>
    <row r="1277" spans="1:1" x14ac:dyDescent="0.2">
      <c r="A1277" s="28"/>
    </row>
    <row r="1278" spans="1:1" x14ac:dyDescent="0.2">
      <c r="A1278" s="28"/>
    </row>
    <row r="1279" spans="1:1" x14ac:dyDescent="0.2">
      <c r="A1279" s="28"/>
    </row>
    <row r="1280" spans="1:1" x14ac:dyDescent="0.2">
      <c r="A1280" s="28"/>
    </row>
    <row r="1281" spans="1:1" x14ac:dyDescent="0.2">
      <c r="A1281" s="28"/>
    </row>
    <row r="1282" spans="1:1" x14ac:dyDescent="0.2">
      <c r="A1282" s="28"/>
    </row>
    <row r="1283" spans="1:1" x14ac:dyDescent="0.2">
      <c r="A1283" s="28"/>
    </row>
    <row r="1284" spans="1:1" x14ac:dyDescent="0.2">
      <c r="A1284" s="28"/>
    </row>
    <row r="1285" spans="1:1" x14ac:dyDescent="0.2">
      <c r="A1285" s="28"/>
    </row>
    <row r="1286" spans="1:1" x14ac:dyDescent="0.2">
      <c r="A1286" s="28"/>
    </row>
    <row r="1287" spans="1:1" x14ac:dyDescent="0.2">
      <c r="A1287" s="28"/>
    </row>
    <row r="1288" spans="1:1" x14ac:dyDescent="0.2">
      <c r="A1288" s="28"/>
    </row>
    <row r="1289" spans="1:1" x14ac:dyDescent="0.2">
      <c r="A1289" s="28"/>
    </row>
    <row r="1290" spans="1:1" x14ac:dyDescent="0.2">
      <c r="A1290" s="28"/>
    </row>
    <row r="1291" spans="1:1" x14ac:dyDescent="0.2">
      <c r="A1291" s="28"/>
    </row>
    <row r="1292" spans="1:1" x14ac:dyDescent="0.2">
      <c r="A1292" s="28"/>
    </row>
    <row r="1293" spans="1:1" x14ac:dyDescent="0.2">
      <c r="A1293" s="28"/>
    </row>
    <row r="1294" spans="1:1" x14ac:dyDescent="0.2">
      <c r="A1294" s="28"/>
    </row>
    <row r="1295" spans="1:1" x14ac:dyDescent="0.2">
      <c r="A1295" s="28"/>
    </row>
    <row r="1296" spans="1:1" x14ac:dyDescent="0.2">
      <c r="A1296" s="28"/>
    </row>
    <row r="1297" spans="1:1" x14ac:dyDescent="0.2">
      <c r="A1297" s="28"/>
    </row>
    <row r="1298" spans="1:1" x14ac:dyDescent="0.2">
      <c r="A1298" s="28"/>
    </row>
    <row r="1299" spans="1:1" x14ac:dyDescent="0.2">
      <c r="A1299" s="28"/>
    </row>
    <row r="1300" spans="1:1" x14ac:dyDescent="0.2">
      <c r="A1300" s="28"/>
    </row>
    <row r="1301" spans="1:1" x14ac:dyDescent="0.2">
      <c r="A1301" s="28"/>
    </row>
    <row r="1302" spans="1:1" x14ac:dyDescent="0.2">
      <c r="A1302" s="28"/>
    </row>
    <row r="1303" spans="1:1" x14ac:dyDescent="0.2">
      <c r="A1303" s="28"/>
    </row>
    <row r="1304" spans="1:1" x14ac:dyDescent="0.2">
      <c r="A1304" s="28"/>
    </row>
    <row r="1305" spans="1:1" x14ac:dyDescent="0.2">
      <c r="A1305" s="28"/>
    </row>
    <row r="1306" spans="1:1" x14ac:dyDescent="0.2">
      <c r="A1306" s="28"/>
    </row>
    <row r="1307" spans="1:1" x14ac:dyDescent="0.2">
      <c r="A1307" s="28"/>
    </row>
    <row r="1308" spans="1:1" x14ac:dyDescent="0.2">
      <c r="A1308" s="28"/>
    </row>
    <row r="1309" spans="1:1" x14ac:dyDescent="0.2">
      <c r="A1309" s="28"/>
    </row>
    <row r="1310" spans="1:1" x14ac:dyDescent="0.2">
      <c r="A1310" s="28"/>
    </row>
    <row r="1311" spans="1:1" x14ac:dyDescent="0.2">
      <c r="A1311" s="28"/>
    </row>
    <row r="1312" spans="1:1" x14ac:dyDescent="0.2">
      <c r="A1312" s="28"/>
    </row>
    <row r="1313" spans="1:1" x14ac:dyDescent="0.2">
      <c r="A1313" s="28"/>
    </row>
    <row r="1314" spans="1:1" x14ac:dyDescent="0.2">
      <c r="A1314" s="28"/>
    </row>
    <row r="1315" spans="1:1" x14ac:dyDescent="0.2">
      <c r="A1315" s="28"/>
    </row>
    <row r="1316" spans="1:1" x14ac:dyDescent="0.2">
      <c r="A1316" s="28"/>
    </row>
    <row r="1317" spans="1:1" x14ac:dyDescent="0.2">
      <c r="A1317" s="28"/>
    </row>
    <row r="1318" spans="1:1" x14ac:dyDescent="0.2">
      <c r="A1318" s="28"/>
    </row>
    <row r="1319" spans="1:1" x14ac:dyDescent="0.2">
      <c r="A1319" s="28"/>
    </row>
    <row r="1320" spans="1:1" x14ac:dyDescent="0.2">
      <c r="A1320" s="28"/>
    </row>
    <row r="1321" spans="1:1" x14ac:dyDescent="0.2">
      <c r="A1321" s="28"/>
    </row>
    <row r="1322" spans="1:1" x14ac:dyDescent="0.2">
      <c r="A1322" s="28"/>
    </row>
    <row r="1323" spans="1:1" x14ac:dyDescent="0.2">
      <c r="A1323" s="28"/>
    </row>
    <row r="1324" spans="1:1" x14ac:dyDescent="0.2">
      <c r="A1324" s="28"/>
    </row>
    <row r="1325" spans="1:1" x14ac:dyDescent="0.2">
      <c r="A1325" s="28"/>
    </row>
    <row r="1326" spans="1:1" x14ac:dyDescent="0.2">
      <c r="A1326" s="28"/>
    </row>
    <row r="1327" spans="1:1" x14ac:dyDescent="0.2">
      <c r="A1327" s="28"/>
    </row>
    <row r="1328" spans="1:1" x14ac:dyDescent="0.2">
      <c r="A1328" s="28"/>
    </row>
    <row r="1329" spans="1:1" x14ac:dyDescent="0.2">
      <c r="A1329" s="28"/>
    </row>
    <row r="1330" spans="1:1" x14ac:dyDescent="0.2">
      <c r="A1330" s="28"/>
    </row>
    <row r="1331" spans="1:1" x14ac:dyDescent="0.2">
      <c r="A1331" s="28"/>
    </row>
    <row r="1332" spans="1:1" x14ac:dyDescent="0.2">
      <c r="A1332" s="28"/>
    </row>
    <row r="1333" spans="1:1" x14ac:dyDescent="0.2">
      <c r="A1333" s="28"/>
    </row>
    <row r="1334" spans="1:1" x14ac:dyDescent="0.2">
      <c r="A1334" s="28"/>
    </row>
    <row r="1335" spans="1:1" x14ac:dyDescent="0.2">
      <c r="A1335" s="28"/>
    </row>
    <row r="1336" spans="1:1" x14ac:dyDescent="0.2">
      <c r="A1336" s="28"/>
    </row>
    <row r="1337" spans="1:1" x14ac:dyDescent="0.2">
      <c r="A1337" s="28"/>
    </row>
    <row r="1338" spans="1:1" x14ac:dyDescent="0.2">
      <c r="A1338" s="28"/>
    </row>
    <row r="1339" spans="1:1" x14ac:dyDescent="0.2">
      <c r="A1339" s="28"/>
    </row>
    <row r="1340" spans="1:1" x14ac:dyDescent="0.2">
      <c r="A1340" s="28"/>
    </row>
    <row r="1341" spans="1:1" x14ac:dyDescent="0.2">
      <c r="A1341" s="28"/>
    </row>
    <row r="1342" spans="1:1" x14ac:dyDescent="0.2">
      <c r="A1342" s="28"/>
    </row>
    <row r="1343" spans="1:1" x14ac:dyDescent="0.2">
      <c r="A1343" s="28"/>
    </row>
    <row r="1344" spans="1:1" x14ac:dyDescent="0.2">
      <c r="A1344" s="28"/>
    </row>
    <row r="1345" spans="1:1" x14ac:dyDescent="0.2">
      <c r="A1345" s="28"/>
    </row>
    <row r="1346" spans="1:1" x14ac:dyDescent="0.2">
      <c r="A1346" s="28"/>
    </row>
    <row r="1347" spans="1:1" x14ac:dyDescent="0.2">
      <c r="A1347" s="28"/>
    </row>
    <row r="1348" spans="1:1" x14ac:dyDescent="0.2">
      <c r="A1348" s="28"/>
    </row>
    <row r="1349" spans="1:1" x14ac:dyDescent="0.2">
      <c r="A1349" s="28"/>
    </row>
    <row r="1350" spans="1:1" x14ac:dyDescent="0.2">
      <c r="A1350" s="28"/>
    </row>
    <row r="1351" spans="1:1" x14ac:dyDescent="0.2">
      <c r="A1351" s="28"/>
    </row>
    <row r="1352" spans="1:1" x14ac:dyDescent="0.2">
      <c r="A1352" s="28"/>
    </row>
    <row r="1353" spans="1:1" x14ac:dyDescent="0.2">
      <c r="A1353" s="28"/>
    </row>
    <row r="1354" spans="1:1" x14ac:dyDescent="0.2">
      <c r="A1354" s="28"/>
    </row>
    <row r="1355" spans="1:1" x14ac:dyDescent="0.2">
      <c r="A1355" s="28"/>
    </row>
    <row r="1356" spans="1:1" x14ac:dyDescent="0.2">
      <c r="A1356" s="28"/>
    </row>
    <row r="1357" spans="1:1" x14ac:dyDescent="0.2">
      <c r="A1357" s="28"/>
    </row>
    <row r="1358" spans="1:1" x14ac:dyDescent="0.2">
      <c r="A1358" s="28"/>
    </row>
    <row r="1359" spans="1:1" x14ac:dyDescent="0.2">
      <c r="A1359" s="28"/>
    </row>
    <row r="1360" spans="1:1" x14ac:dyDescent="0.2">
      <c r="A1360" s="28"/>
    </row>
    <row r="1361" spans="1:1" x14ac:dyDescent="0.2">
      <c r="A1361" s="28"/>
    </row>
    <row r="1362" spans="1:1" x14ac:dyDescent="0.2">
      <c r="A1362" s="28"/>
    </row>
    <row r="1363" spans="1:1" x14ac:dyDescent="0.2">
      <c r="A1363" s="28"/>
    </row>
    <row r="1364" spans="1:1" x14ac:dyDescent="0.2">
      <c r="A1364" s="28"/>
    </row>
    <row r="1365" spans="1:1" x14ac:dyDescent="0.2">
      <c r="A1365" s="28"/>
    </row>
    <row r="1366" spans="1:1" x14ac:dyDescent="0.2">
      <c r="A1366" s="28"/>
    </row>
    <row r="1367" spans="1:1" x14ac:dyDescent="0.2">
      <c r="A1367" s="28"/>
    </row>
    <row r="1368" spans="1:1" x14ac:dyDescent="0.2">
      <c r="A1368" s="28"/>
    </row>
    <row r="1369" spans="1:1" x14ac:dyDescent="0.2">
      <c r="A1369" s="28"/>
    </row>
    <row r="1370" spans="1:1" x14ac:dyDescent="0.2">
      <c r="A1370" s="28"/>
    </row>
    <row r="1371" spans="1:1" x14ac:dyDescent="0.2">
      <c r="A1371" s="28"/>
    </row>
    <row r="1372" spans="1:1" x14ac:dyDescent="0.2">
      <c r="A1372" s="28"/>
    </row>
    <row r="1373" spans="1:1" x14ac:dyDescent="0.2">
      <c r="A1373" s="28"/>
    </row>
    <row r="1374" spans="1:1" x14ac:dyDescent="0.2">
      <c r="A1374" s="28"/>
    </row>
    <row r="1375" spans="1:1" x14ac:dyDescent="0.2">
      <c r="A1375" s="28"/>
    </row>
    <row r="1376" spans="1:1" x14ac:dyDescent="0.2">
      <c r="A1376" s="28"/>
    </row>
    <row r="1377" spans="1:1" x14ac:dyDescent="0.2">
      <c r="A1377" s="28"/>
    </row>
    <row r="1378" spans="1:1" x14ac:dyDescent="0.2">
      <c r="A1378" s="28"/>
    </row>
    <row r="1379" spans="1:1" x14ac:dyDescent="0.2">
      <c r="A1379" s="28"/>
    </row>
    <row r="1380" spans="1:1" x14ac:dyDescent="0.2">
      <c r="A1380" s="28"/>
    </row>
    <row r="1381" spans="1:1" x14ac:dyDescent="0.2">
      <c r="A1381" s="28"/>
    </row>
    <row r="1382" spans="1:1" x14ac:dyDescent="0.2">
      <c r="A1382" s="28"/>
    </row>
    <row r="1383" spans="1:1" x14ac:dyDescent="0.2">
      <c r="A1383" s="28"/>
    </row>
    <row r="1384" spans="1:1" x14ac:dyDescent="0.2">
      <c r="A1384" s="28"/>
    </row>
    <row r="1385" spans="1:1" x14ac:dyDescent="0.2">
      <c r="A1385" s="28"/>
    </row>
    <row r="1386" spans="1:1" x14ac:dyDescent="0.2">
      <c r="A1386" s="28"/>
    </row>
    <row r="1387" spans="1:1" x14ac:dyDescent="0.2">
      <c r="A1387" s="28"/>
    </row>
    <row r="1388" spans="1:1" x14ac:dyDescent="0.2">
      <c r="A1388" s="28"/>
    </row>
    <row r="1389" spans="1:1" x14ac:dyDescent="0.2">
      <c r="A1389" s="28"/>
    </row>
    <row r="1390" spans="1:1" x14ac:dyDescent="0.2">
      <c r="A1390" s="28"/>
    </row>
    <row r="1391" spans="1:1" x14ac:dyDescent="0.2">
      <c r="A1391" s="28"/>
    </row>
    <row r="1392" spans="1:1" x14ac:dyDescent="0.2">
      <c r="A1392" s="28"/>
    </row>
    <row r="1393" spans="1:1" x14ac:dyDescent="0.2">
      <c r="A1393" s="28"/>
    </row>
    <row r="1394" spans="1:1" x14ac:dyDescent="0.2">
      <c r="A1394" s="28"/>
    </row>
    <row r="1395" spans="1:1" x14ac:dyDescent="0.2">
      <c r="A1395" s="28"/>
    </row>
    <row r="1396" spans="1:1" x14ac:dyDescent="0.2">
      <c r="A1396" s="28"/>
    </row>
    <row r="1397" spans="1:1" x14ac:dyDescent="0.2">
      <c r="A1397" s="28"/>
    </row>
    <row r="1398" spans="1:1" x14ac:dyDescent="0.2">
      <c r="A1398" s="28"/>
    </row>
    <row r="1399" spans="1:1" x14ac:dyDescent="0.2">
      <c r="A1399" s="28"/>
    </row>
    <row r="1400" spans="1:1" x14ac:dyDescent="0.2">
      <c r="A1400" s="28"/>
    </row>
    <row r="1401" spans="1:1" x14ac:dyDescent="0.2">
      <c r="A1401" s="28"/>
    </row>
    <row r="1402" spans="1:1" x14ac:dyDescent="0.2">
      <c r="A1402" s="28"/>
    </row>
    <row r="1403" spans="1:1" x14ac:dyDescent="0.2">
      <c r="A1403" s="28"/>
    </row>
    <row r="1404" spans="1:1" x14ac:dyDescent="0.2">
      <c r="A1404" s="28"/>
    </row>
    <row r="1405" spans="1:1" x14ac:dyDescent="0.2">
      <c r="A1405" s="28"/>
    </row>
    <row r="1406" spans="1:1" x14ac:dyDescent="0.2">
      <c r="A1406" s="28"/>
    </row>
    <row r="1407" spans="1:1" x14ac:dyDescent="0.2">
      <c r="A1407" s="28"/>
    </row>
    <row r="1408" spans="1:1" x14ac:dyDescent="0.2">
      <c r="A1408" s="28"/>
    </row>
    <row r="1409" spans="1:1" x14ac:dyDescent="0.2">
      <c r="A1409" s="28"/>
    </row>
    <row r="1410" spans="1:1" x14ac:dyDescent="0.2">
      <c r="A1410" s="28"/>
    </row>
    <row r="1411" spans="1:1" x14ac:dyDescent="0.2">
      <c r="A1411" s="28"/>
    </row>
    <row r="1412" spans="1:1" x14ac:dyDescent="0.2">
      <c r="A1412" s="28"/>
    </row>
    <row r="1413" spans="1:1" x14ac:dyDescent="0.2">
      <c r="A1413" s="28"/>
    </row>
    <row r="1414" spans="1:1" x14ac:dyDescent="0.2">
      <c r="A1414" s="28"/>
    </row>
    <row r="1415" spans="1:1" x14ac:dyDescent="0.2">
      <c r="A1415" s="28"/>
    </row>
    <row r="1416" spans="1:1" x14ac:dyDescent="0.2">
      <c r="A1416" s="28"/>
    </row>
    <row r="1417" spans="1:1" x14ac:dyDescent="0.2">
      <c r="A1417" s="28"/>
    </row>
    <row r="1418" spans="1:1" x14ac:dyDescent="0.2">
      <c r="A1418" s="28"/>
    </row>
    <row r="1419" spans="1:1" x14ac:dyDescent="0.2">
      <c r="A1419" s="28"/>
    </row>
    <row r="1420" spans="1:1" x14ac:dyDescent="0.2">
      <c r="A1420" s="28"/>
    </row>
    <row r="1421" spans="1:1" x14ac:dyDescent="0.2">
      <c r="A1421" s="28"/>
    </row>
    <row r="1422" spans="1:1" x14ac:dyDescent="0.2">
      <c r="A1422" s="28"/>
    </row>
    <row r="1423" spans="1:1" x14ac:dyDescent="0.2">
      <c r="A1423" s="28"/>
    </row>
    <row r="1424" spans="1:1" x14ac:dyDescent="0.2">
      <c r="A1424" s="28"/>
    </row>
    <row r="1425" spans="1:1" x14ac:dyDescent="0.2">
      <c r="A1425" s="28"/>
    </row>
    <row r="1426" spans="1:1" x14ac:dyDescent="0.2">
      <c r="A1426" s="28"/>
    </row>
    <row r="1427" spans="1:1" x14ac:dyDescent="0.2">
      <c r="A1427" s="28"/>
    </row>
    <row r="1428" spans="1:1" x14ac:dyDescent="0.2">
      <c r="A1428" s="28"/>
    </row>
    <row r="1429" spans="1:1" x14ac:dyDescent="0.2">
      <c r="A1429" s="28"/>
    </row>
    <row r="1430" spans="1:1" x14ac:dyDescent="0.2">
      <c r="A1430" s="28"/>
    </row>
    <row r="1431" spans="1:1" x14ac:dyDescent="0.2">
      <c r="A1431" s="28"/>
    </row>
    <row r="1432" spans="1:1" x14ac:dyDescent="0.2">
      <c r="A1432" s="28"/>
    </row>
    <row r="1433" spans="1:1" x14ac:dyDescent="0.2">
      <c r="A1433" s="28"/>
    </row>
    <row r="1434" spans="1:1" x14ac:dyDescent="0.2">
      <c r="A1434" s="28"/>
    </row>
    <row r="1435" spans="1:1" x14ac:dyDescent="0.2">
      <c r="A1435" s="28"/>
    </row>
    <row r="1436" spans="1:1" x14ac:dyDescent="0.2">
      <c r="A1436" s="28"/>
    </row>
    <row r="1437" spans="1:1" x14ac:dyDescent="0.2">
      <c r="A1437" s="28"/>
    </row>
    <row r="1438" spans="1:1" x14ac:dyDescent="0.2">
      <c r="A1438" s="28"/>
    </row>
    <row r="1439" spans="1:1" x14ac:dyDescent="0.2">
      <c r="A1439" s="28"/>
    </row>
    <row r="1440" spans="1:1" x14ac:dyDescent="0.2">
      <c r="A1440" s="28"/>
    </row>
    <row r="1441" spans="1:1" x14ac:dyDescent="0.2">
      <c r="A1441" s="28"/>
    </row>
    <row r="1442" spans="1:1" x14ac:dyDescent="0.2">
      <c r="A1442" s="28"/>
    </row>
    <row r="1443" spans="1:1" x14ac:dyDescent="0.2">
      <c r="A1443" s="28"/>
    </row>
    <row r="1444" spans="1:1" x14ac:dyDescent="0.2">
      <c r="A1444" s="28"/>
    </row>
    <row r="1445" spans="1:1" x14ac:dyDescent="0.2">
      <c r="A1445" s="28"/>
    </row>
    <row r="1446" spans="1:1" x14ac:dyDescent="0.2">
      <c r="A1446" s="28"/>
    </row>
    <row r="1447" spans="1:1" x14ac:dyDescent="0.2">
      <c r="A1447" s="28"/>
    </row>
    <row r="1448" spans="1:1" x14ac:dyDescent="0.2">
      <c r="A1448" s="28"/>
    </row>
    <row r="1449" spans="1:1" x14ac:dyDescent="0.2">
      <c r="A1449" s="28"/>
    </row>
    <row r="1450" spans="1:1" x14ac:dyDescent="0.2">
      <c r="A1450" s="28"/>
    </row>
    <row r="1451" spans="1:1" x14ac:dyDescent="0.2">
      <c r="A1451" s="28"/>
    </row>
    <row r="1452" spans="1:1" x14ac:dyDescent="0.2">
      <c r="A1452" s="28"/>
    </row>
    <row r="1453" spans="1:1" x14ac:dyDescent="0.2">
      <c r="A1453" s="28"/>
    </row>
    <row r="1454" spans="1:1" x14ac:dyDescent="0.2">
      <c r="A1454" s="28"/>
    </row>
    <row r="1455" spans="1:1" x14ac:dyDescent="0.2">
      <c r="A1455" s="28"/>
    </row>
    <row r="1456" spans="1:1" x14ac:dyDescent="0.2">
      <c r="A1456" s="28"/>
    </row>
    <row r="1457" spans="1:1" x14ac:dyDescent="0.2">
      <c r="A1457" s="28"/>
    </row>
    <row r="1458" spans="1:1" x14ac:dyDescent="0.2">
      <c r="A1458" s="28"/>
    </row>
    <row r="1459" spans="1:1" x14ac:dyDescent="0.2">
      <c r="A1459" s="28"/>
    </row>
    <row r="1460" spans="1:1" x14ac:dyDescent="0.2">
      <c r="A1460" s="28"/>
    </row>
    <row r="1461" spans="1:1" x14ac:dyDescent="0.2">
      <c r="A1461" s="28"/>
    </row>
    <row r="1462" spans="1:1" x14ac:dyDescent="0.2">
      <c r="A1462" s="28"/>
    </row>
    <row r="1463" spans="1:1" x14ac:dyDescent="0.2">
      <c r="A1463" s="28"/>
    </row>
    <row r="1464" spans="1:1" x14ac:dyDescent="0.2">
      <c r="A1464" s="28"/>
    </row>
    <row r="1465" spans="1:1" x14ac:dyDescent="0.2">
      <c r="A1465" s="28"/>
    </row>
    <row r="1466" spans="1:1" x14ac:dyDescent="0.2">
      <c r="A1466" s="28"/>
    </row>
    <row r="1467" spans="1:1" x14ac:dyDescent="0.2">
      <c r="A1467" s="28"/>
    </row>
    <row r="1468" spans="1:1" x14ac:dyDescent="0.2">
      <c r="A1468" s="28"/>
    </row>
    <row r="1469" spans="1:1" x14ac:dyDescent="0.2">
      <c r="A1469" s="28"/>
    </row>
    <row r="1470" spans="1:1" x14ac:dyDescent="0.2">
      <c r="A1470" s="28"/>
    </row>
    <row r="1471" spans="1:1" x14ac:dyDescent="0.2">
      <c r="A1471" s="28"/>
    </row>
    <row r="1472" spans="1:1" x14ac:dyDescent="0.2">
      <c r="A1472" s="28"/>
    </row>
    <row r="1473" spans="1:1" x14ac:dyDescent="0.2">
      <c r="A1473" s="28"/>
    </row>
    <row r="1474" spans="1:1" x14ac:dyDescent="0.2">
      <c r="A1474" s="28"/>
    </row>
    <row r="1475" spans="1:1" x14ac:dyDescent="0.2">
      <c r="A1475" s="28"/>
    </row>
    <row r="1476" spans="1:1" x14ac:dyDescent="0.2">
      <c r="A1476" s="28"/>
    </row>
    <row r="1477" spans="1:1" x14ac:dyDescent="0.2">
      <c r="A1477" s="28"/>
    </row>
    <row r="1478" spans="1:1" x14ac:dyDescent="0.2">
      <c r="A1478" s="28"/>
    </row>
    <row r="1479" spans="1:1" x14ac:dyDescent="0.2">
      <c r="A1479" s="28"/>
    </row>
    <row r="1480" spans="1:1" x14ac:dyDescent="0.2">
      <c r="A1480" s="28"/>
    </row>
    <row r="1481" spans="1:1" x14ac:dyDescent="0.2">
      <c r="A1481" s="28"/>
    </row>
    <row r="1482" spans="1:1" x14ac:dyDescent="0.2">
      <c r="A1482" s="28"/>
    </row>
    <row r="1483" spans="1:1" x14ac:dyDescent="0.2">
      <c r="A1483" s="28"/>
    </row>
    <row r="1484" spans="1:1" x14ac:dyDescent="0.2">
      <c r="A1484" s="28"/>
    </row>
    <row r="1485" spans="1:1" x14ac:dyDescent="0.2">
      <c r="A1485" s="28"/>
    </row>
    <row r="1486" spans="1:1" x14ac:dyDescent="0.2">
      <c r="A1486" s="28"/>
    </row>
    <row r="1487" spans="1:1" x14ac:dyDescent="0.2">
      <c r="A1487" s="28"/>
    </row>
    <row r="1488" spans="1:1" x14ac:dyDescent="0.2">
      <c r="A1488" s="28"/>
    </row>
    <row r="1489" spans="1:1" x14ac:dyDescent="0.2">
      <c r="A1489" s="28"/>
    </row>
    <row r="1490" spans="1:1" x14ac:dyDescent="0.2">
      <c r="A1490" s="28"/>
    </row>
    <row r="1491" spans="1:1" x14ac:dyDescent="0.2">
      <c r="A1491" s="28"/>
    </row>
    <row r="1492" spans="1:1" x14ac:dyDescent="0.2">
      <c r="A1492" s="28"/>
    </row>
    <row r="1493" spans="1:1" x14ac:dyDescent="0.2">
      <c r="A1493" s="28"/>
    </row>
    <row r="1494" spans="1:1" x14ac:dyDescent="0.2">
      <c r="A1494" s="28"/>
    </row>
    <row r="1495" spans="1:1" x14ac:dyDescent="0.2">
      <c r="A1495" s="28"/>
    </row>
    <row r="1496" spans="1:1" x14ac:dyDescent="0.2">
      <c r="A1496" s="28"/>
    </row>
    <row r="1497" spans="1:1" x14ac:dyDescent="0.2">
      <c r="A1497" s="28"/>
    </row>
    <row r="1498" spans="1:1" x14ac:dyDescent="0.2">
      <c r="A1498" s="28"/>
    </row>
    <row r="1499" spans="1:1" x14ac:dyDescent="0.2">
      <c r="A1499" s="28"/>
    </row>
    <row r="1500" spans="1:1" x14ac:dyDescent="0.2">
      <c r="A1500" s="28"/>
    </row>
    <row r="1501" spans="1:1" x14ac:dyDescent="0.2">
      <c r="A1501" s="28"/>
    </row>
    <row r="1502" spans="1:1" x14ac:dyDescent="0.2">
      <c r="A1502" s="28"/>
    </row>
    <row r="1503" spans="1:1" x14ac:dyDescent="0.2">
      <c r="A1503" s="28"/>
    </row>
    <row r="1504" spans="1:1" x14ac:dyDescent="0.2">
      <c r="A1504" s="28"/>
    </row>
    <row r="1505" spans="1:1" x14ac:dyDescent="0.2">
      <c r="A1505" s="28"/>
    </row>
    <row r="1506" spans="1:1" x14ac:dyDescent="0.2">
      <c r="A1506" s="28"/>
    </row>
    <row r="1507" spans="1:1" x14ac:dyDescent="0.2">
      <c r="A1507" s="28"/>
    </row>
    <row r="1508" spans="1:1" x14ac:dyDescent="0.2">
      <c r="A1508" s="28"/>
    </row>
    <row r="1509" spans="1:1" x14ac:dyDescent="0.2">
      <c r="A1509" s="28"/>
    </row>
    <row r="1510" spans="1:1" x14ac:dyDescent="0.2">
      <c r="A1510" s="28"/>
    </row>
    <row r="1511" spans="1:1" x14ac:dyDescent="0.2">
      <c r="A1511" s="28"/>
    </row>
    <row r="1512" spans="1:1" x14ac:dyDescent="0.2">
      <c r="A1512" s="28"/>
    </row>
    <row r="1513" spans="1:1" x14ac:dyDescent="0.2">
      <c r="A1513" s="28"/>
    </row>
    <row r="1514" spans="1:1" x14ac:dyDescent="0.2">
      <c r="A1514" s="28"/>
    </row>
    <row r="1515" spans="1:1" x14ac:dyDescent="0.2">
      <c r="A1515" s="28"/>
    </row>
    <row r="1516" spans="1:1" x14ac:dyDescent="0.2">
      <c r="A1516" s="28"/>
    </row>
    <row r="1517" spans="1:1" x14ac:dyDescent="0.2">
      <c r="A1517" s="28"/>
    </row>
    <row r="1518" spans="1:1" x14ac:dyDescent="0.2">
      <c r="A1518" s="28"/>
    </row>
    <row r="1519" spans="1:1" x14ac:dyDescent="0.2">
      <c r="A1519" s="28"/>
    </row>
    <row r="1520" spans="1:1" x14ac:dyDescent="0.2">
      <c r="A1520" s="28"/>
    </row>
    <row r="1521" spans="1:1" x14ac:dyDescent="0.2">
      <c r="A1521" s="28"/>
    </row>
    <row r="1522" spans="1:1" x14ac:dyDescent="0.2">
      <c r="A1522" s="28"/>
    </row>
    <row r="1523" spans="1:1" x14ac:dyDescent="0.2">
      <c r="A1523" s="28"/>
    </row>
    <row r="1524" spans="1:1" x14ac:dyDescent="0.2">
      <c r="A1524" s="28"/>
    </row>
    <row r="1525" spans="1:1" x14ac:dyDescent="0.2">
      <c r="A1525" s="28"/>
    </row>
    <row r="1526" spans="1:1" x14ac:dyDescent="0.2">
      <c r="A1526" s="28"/>
    </row>
    <row r="1527" spans="1:1" x14ac:dyDescent="0.2">
      <c r="A1527" s="28"/>
    </row>
    <row r="1528" spans="1:1" x14ac:dyDescent="0.2">
      <c r="A1528" s="28"/>
    </row>
    <row r="1529" spans="1:1" x14ac:dyDescent="0.2">
      <c r="A1529" s="28"/>
    </row>
    <row r="1530" spans="1:1" x14ac:dyDescent="0.2">
      <c r="A1530" s="28"/>
    </row>
    <row r="1531" spans="1:1" x14ac:dyDescent="0.2">
      <c r="A1531" s="28"/>
    </row>
    <row r="1532" spans="1:1" x14ac:dyDescent="0.2">
      <c r="A1532" s="28"/>
    </row>
    <row r="1533" spans="1:1" x14ac:dyDescent="0.2">
      <c r="A1533" s="28"/>
    </row>
    <row r="1534" spans="1:1" x14ac:dyDescent="0.2">
      <c r="A1534" s="28"/>
    </row>
    <row r="1535" spans="1:1" x14ac:dyDescent="0.2">
      <c r="A1535" s="28"/>
    </row>
    <row r="1536" spans="1:1" x14ac:dyDescent="0.2">
      <c r="A1536" s="28"/>
    </row>
    <row r="1537" spans="1:1" x14ac:dyDescent="0.2">
      <c r="A1537" s="28"/>
    </row>
    <row r="1538" spans="1:1" x14ac:dyDescent="0.2">
      <c r="A1538" s="28"/>
    </row>
    <row r="1539" spans="1:1" x14ac:dyDescent="0.2">
      <c r="A1539" s="28"/>
    </row>
    <row r="1540" spans="1:1" x14ac:dyDescent="0.2">
      <c r="A1540" s="28"/>
    </row>
    <row r="1541" spans="1:1" x14ac:dyDescent="0.2">
      <c r="A1541" s="28"/>
    </row>
    <row r="1542" spans="1:1" x14ac:dyDescent="0.2">
      <c r="A1542" s="28"/>
    </row>
    <row r="1543" spans="1:1" x14ac:dyDescent="0.2">
      <c r="A1543" s="28"/>
    </row>
    <row r="1544" spans="1:1" x14ac:dyDescent="0.2">
      <c r="A1544" s="28"/>
    </row>
    <row r="1545" spans="1:1" x14ac:dyDescent="0.2">
      <c r="A1545" s="28"/>
    </row>
    <row r="1546" spans="1:1" x14ac:dyDescent="0.2">
      <c r="A1546" s="28"/>
    </row>
    <row r="1547" spans="1:1" x14ac:dyDescent="0.2">
      <c r="A1547" s="28"/>
    </row>
    <row r="1548" spans="1:1" x14ac:dyDescent="0.2">
      <c r="A1548" s="28"/>
    </row>
    <row r="1549" spans="1:1" x14ac:dyDescent="0.2">
      <c r="A1549" s="28"/>
    </row>
    <row r="1550" spans="1:1" x14ac:dyDescent="0.2">
      <c r="A1550" s="28"/>
    </row>
    <row r="1551" spans="1:1" x14ac:dyDescent="0.2">
      <c r="A1551" s="28"/>
    </row>
    <row r="1552" spans="1:1" x14ac:dyDescent="0.2">
      <c r="A1552" s="28"/>
    </row>
    <row r="1553" spans="1:1" x14ac:dyDescent="0.2">
      <c r="A1553" s="28"/>
    </row>
    <row r="1554" spans="1:1" x14ac:dyDescent="0.2">
      <c r="A1554" s="28"/>
    </row>
    <row r="1555" spans="1:1" x14ac:dyDescent="0.2">
      <c r="A1555" s="28"/>
    </row>
    <row r="1556" spans="1:1" x14ac:dyDescent="0.2">
      <c r="A1556" s="28"/>
    </row>
    <row r="1557" spans="1:1" x14ac:dyDescent="0.2">
      <c r="A1557" s="28"/>
    </row>
    <row r="1558" spans="1:1" x14ac:dyDescent="0.2">
      <c r="A1558" s="28"/>
    </row>
    <row r="1559" spans="1:1" x14ac:dyDescent="0.2">
      <c r="A1559" s="28"/>
    </row>
    <row r="1560" spans="1:1" x14ac:dyDescent="0.2">
      <c r="A1560" s="28"/>
    </row>
    <row r="1561" spans="1:1" x14ac:dyDescent="0.2">
      <c r="A1561" s="28"/>
    </row>
    <row r="1562" spans="1:1" x14ac:dyDescent="0.2">
      <c r="A1562" s="28"/>
    </row>
    <row r="1563" spans="1:1" x14ac:dyDescent="0.2">
      <c r="A1563" s="28"/>
    </row>
    <row r="1564" spans="1:1" x14ac:dyDescent="0.2">
      <c r="A1564" s="28"/>
    </row>
    <row r="1565" spans="1:1" x14ac:dyDescent="0.2">
      <c r="A1565" s="28"/>
    </row>
    <row r="1566" spans="1:1" x14ac:dyDescent="0.2">
      <c r="A1566" s="28"/>
    </row>
    <row r="1567" spans="1:1" x14ac:dyDescent="0.2">
      <c r="A1567" s="28"/>
    </row>
    <row r="1568" spans="1:1" x14ac:dyDescent="0.2">
      <c r="A1568" s="28"/>
    </row>
    <row r="1569" spans="1:1" x14ac:dyDescent="0.2">
      <c r="A1569" s="28"/>
    </row>
    <row r="1570" spans="1:1" x14ac:dyDescent="0.2">
      <c r="A1570" s="28"/>
    </row>
    <row r="1571" spans="1:1" x14ac:dyDescent="0.2">
      <c r="A1571" s="28"/>
    </row>
    <row r="1572" spans="1:1" x14ac:dyDescent="0.2">
      <c r="A1572" s="28"/>
    </row>
    <row r="1573" spans="1:1" x14ac:dyDescent="0.2">
      <c r="A1573" s="28"/>
    </row>
    <row r="1574" spans="1:1" x14ac:dyDescent="0.2">
      <c r="A1574" s="28"/>
    </row>
    <row r="1575" spans="1:1" x14ac:dyDescent="0.2">
      <c r="A1575" s="28"/>
    </row>
    <row r="1576" spans="1:1" x14ac:dyDescent="0.2">
      <c r="A1576" s="28"/>
    </row>
    <row r="1577" spans="1:1" x14ac:dyDescent="0.2">
      <c r="A1577" s="28"/>
    </row>
    <row r="1578" spans="1:1" x14ac:dyDescent="0.2">
      <c r="A1578" s="28"/>
    </row>
    <row r="1579" spans="1:1" x14ac:dyDescent="0.2">
      <c r="A1579" s="28"/>
    </row>
    <row r="1580" spans="1:1" x14ac:dyDescent="0.2">
      <c r="A1580" s="28"/>
    </row>
    <row r="1581" spans="1:1" x14ac:dyDescent="0.2">
      <c r="A1581" s="28"/>
    </row>
    <row r="1582" spans="1:1" x14ac:dyDescent="0.2">
      <c r="A1582" s="28"/>
    </row>
    <row r="1583" spans="1:1" x14ac:dyDescent="0.2">
      <c r="A1583" s="28"/>
    </row>
    <row r="1584" spans="1:1" x14ac:dyDescent="0.2">
      <c r="A1584" s="28"/>
    </row>
    <row r="1585" spans="1:1" x14ac:dyDescent="0.2">
      <c r="A1585" s="28"/>
    </row>
    <row r="1586" spans="1:1" x14ac:dyDescent="0.2">
      <c r="A1586" s="28"/>
    </row>
    <row r="1587" spans="1:1" x14ac:dyDescent="0.2">
      <c r="A1587" s="28"/>
    </row>
    <row r="1588" spans="1:1" x14ac:dyDescent="0.2">
      <c r="A1588" s="28"/>
    </row>
    <row r="1589" spans="1:1" x14ac:dyDescent="0.2">
      <c r="A1589" s="28"/>
    </row>
    <row r="1590" spans="1:1" x14ac:dyDescent="0.2">
      <c r="A1590" s="28"/>
    </row>
    <row r="1591" spans="1:1" x14ac:dyDescent="0.2">
      <c r="A1591" s="28"/>
    </row>
    <row r="1592" spans="1:1" x14ac:dyDescent="0.2">
      <c r="A1592" s="28"/>
    </row>
    <row r="1593" spans="1:1" x14ac:dyDescent="0.2">
      <c r="A1593" s="28"/>
    </row>
    <row r="1594" spans="1:1" x14ac:dyDescent="0.2">
      <c r="A1594" s="28"/>
    </row>
    <row r="1595" spans="1:1" x14ac:dyDescent="0.2">
      <c r="A1595" s="28"/>
    </row>
    <row r="1596" spans="1:1" x14ac:dyDescent="0.2">
      <c r="A1596" s="28"/>
    </row>
    <row r="1597" spans="1:1" x14ac:dyDescent="0.2">
      <c r="A1597" s="28"/>
    </row>
    <row r="1598" spans="1:1" x14ac:dyDescent="0.2">
      <c r="A1598" s="28"/>
    </row>
    <row r="1599" spans="1:1" x14ac:dyDescent="0.2">
      <c r="A1599" s="28"/>
    </row>
    <row r="1600" spans="1:1" x14ac:dyDescent="0.2">
      <c r="A1600" s="28"/>
    </row>
    <row r="1601" spans="1:1" x14ac:dyDescent="0.2">
      <c r="A1601" s="28"/>
    </row>
    <row r="1602" spans="1:1" x14ac:dyDescent="0.2">
      <c r="A1602" s="28"/>
    </row>
    <row r="1603" spans="1:1" x14ac:dyDescent="0.2">
      <c r="A1603" s="28"/>
    </row>
    <row r="1604" spans="1:1" x14ac:dyDescent="0.2">
      <c r="A1604" s="28"/>
    </row>
    <row r="1605" spans="1:1" x14ac:dyDescent="0.2">
      <c r="A1605" s="28"/>
    </row>
    <row r="1606" spans="1:1" x14ac:dyDescent="0.2">
      <c r="A1606" s="28"/>
    </row>
    <row r="1607" spans="1:1" x14ac:dyDescent="0.2">
      <c r="A1607" s="28"/>
    </row>
    <row r="1608" spans="1:1" x14ac:dyDescent="0.2">
      <c r="A1608" s="28"/>
    </row>
    <row r="1609" spans="1:1" x14ac:dyDescent="0.2">
      <c r="A1609" s="28"/>
    </row>
    <row r="1610" spans="1:1" x14ac:dyDescent="0.2">
      <c r="A1610" s="28"/>
    </row>
    <row r="1611" spans="1:1" x14ac:dyDescent="0.2">
      <c r="A1611" s="28"/>
    </row>
    <row r="1612" spans="1:1" x14ac:dyDescent="0.2">
      <c r="A1612" s="28"/>
    </row>
    <row r="1613" spans="1:1" x14ac:dyDescent="0.2">
      <c r="A1613" s="28"/>
    </row>
    <row r="1614" spans="1:1" x14ac:dyDescent="0.2">
      <c r="A1614" s="28"/>
    </row>
    <row r="1615" spans="1:1" x14ac:dyDescent="0.2">
      <c r="A1615" s="28"/>
    </row>
    <row r="1616" spans="1:1" x14ac:dyDescent="0.2">
      <c r="A1616" s="28"/>
    </row>
    <row r="1617" spans="1:1" x14ac:dyDescent="0.2">
      <c r="A1617" s="28"/>
    </row>
    <row r="1618" spans="1:1" x14ac:dyDescent="0.2">
      <c r="A1618" s="28"/>
    </row>
    <row r="1619" spans="1:1" x14ac:dyDescent="0.2">
      <c r="A1619" s="28"/>
    </row>
    <row r="1620" spans="1:1" x14ac:dyDescent="0.2">
      <c r="A1620" s="28"/>
    </row>
    <row r="1621" spans="1:1" x14ac:dyDescent="0.2">
      <c r="A1621" s="28"/>
    </row>
    <row r="1622" spans="1:1" x14ac:dyDescent="0.2">
      <c r="A1622" s="28"/>
    </row>
    <row r="1623" spans="1:1" x14ac:dyDescent="0.2">
      <c r="A1623" s="28"/>
    </row>
    <row r="1624" spans="1:1" x14ac:dyDescent="0.2">
      <c r="A1624" s="28"/>
    </row>
    <row r="1625" spans="1:1" x14ac:dyDescent="0.2">
      <c r="A1625" s="28"/>
    </row>
    <row r="1626" spans="1:1" x14ac:dyDescent="0.2">
      <c r="A1626" s="28"/>
    </row>
    <row r="1627" spans="1:1" x14ac:dyDescent="0.2">
      <c r="A1627" s="28"/>
    </row>
    <row r="1628" spans="1:1" x14ac:dyDescent="0.2">
      <c r="A1628" s="28"/>
    </row>
    <row r="1629" spans="1:1" x14ac:dyDescent="0.2">
      <c r="A1629" s="28"/>
    </row>
    <row r="1630" spans="1:1" x14ac:dyDescent="0.2">
      <c r="A1630" s="28"/>
    </row>
    <row r="1631" spans="1:1" x14ac:dyDescent="0.2">
      <c r="A1631" s="28"/>
    </row>
    <row r="1632" spans="1:1" x14ac:dyDescent="0.2">
      <c r="A1632" s="28"/>
    </row>
    <row r="1633" spans="1:1" x14ac:dyDescent="0.2">
      <c r="A1633" s="28"/>
    </row>
    <row r="1634" spans="1:1" x14ac:dyDescent="0.2">
      <c r="A1634" s="28"/>
    </row>
    <row r="1635" spans="1:1" x14ac:dyDescent="0.2">
      <c r="A1635" s="28"/>
    </row>
    <row r="1636" spans="1:1" x14ac:dyDescent="0.2">
      <c r="A1636" s="28"/>
    </row>
    <row r="1637" spans="1:1" x14ac:dyDescent="0.2">
      <c r="A1637" s="28"/>
    </row>
    <row r="1638" spans="1:1" x14ac:dyDescent="0.2">
      <c r="A1638" s="28"/>
    </row>
    <row r="1639" spans="1:1" x14ac:dyDescent="0.2">
      <c r="A1639" s="28"/>
    </row>
    <row r="1640" spans="1:1" x14ac:dyDescent="0.2">
      <c r="A1640" s="28"/>
    </row>
    <row r="1641" spans="1:1" x14ac:dyDescent="0.2">
      <c r="A1641" s="28"/>
    </row>
    <row r="1642" spans="1:1" x14ac:dyDescent="0.2">
      <c r="A1642" s="28"/>
    </row>
    <row r="1643" spans="1:1" x14ac:dyDescent="0.2">
      <c r="A1643" s="28"/>
    </row>
    <row r="1644" spans="1:1" x14ac:dyDescent="0.2">
      <c r="A1644" s="28"/>
    </row>
    <row r="1645" spans="1:1" x14ac:dyDescent="0.2">
      <c r="A1645" s="28"/>
    </row>
    <row r="1646" spans="1:1" x14ac:dyDescent="0.2">
      <c r="A1646" s="28"/>
    </row>
    <row r="1647" spans="1:1" x14ac:dyDescent="0.2">
      <c r="A1647" s="28"/>
    </row>
    <row r="1648" spans="1:1" x14ac:dyDescent="0.2">
      <c r="A1648" s="28"/>
    </row>
    <row r="1649" spans="1:1" x14ac:dyDescent="0.2">
      <c r="A1649" s="28"/>
    </row>
    <row r="1650" spans="1:1" x14ac:dyDescent="0.2">
      <c r="A1650" s="28"/>
    </row>
    <row r="1651" spans="1:1" x14ac:dyDescent="0.2">
      <c r="A1651" s="28"/>
    </row>
    <row r="1652" spans="1:1" x14ac:dyDescent="0.2">
      <c r="A1652" s="28"/>
    </row>
    <row r="1653" spans="1:1" x14ac:dyDescent="0.2">
      <c r="A1653" s="28"/>
    </row>
    <row r="1654" spans="1:1" x14ac:dyDescent="0.2">
      <c r="A1654" s="28"/>
    </row>
    <row r="1655" spans="1:1" x14ac:dyDescent="0.2">
      <c r="A1655" s="28"/>
    </row>
    <row r="1656" spans="1:1" x14ac:dyDescent="0.2">
      <c r="A1656" s="28"/>
    </row>
    <row r="1657" spans="1:1" x14ac:dyDescent="0.2">
      <c r="A1657" s="28"/>
    </row>
    <row r="1658" spans="1:1" x14ac:dyDescent="0.2">
      <c r="A1658" s="28"/>
    </row>
    <row r="1659" spans="1:1" x14ac:dyDescent="0.2">
      <c r="A1659" s="28"/>
    </row>
    <row r="1660" spans="1:1" x14ac:dyDescent="0.2">
      <c r="A1660" s="28"/>
    </row>
    <row r="1661" spans="1:1" x14ac:dyDescent="0.2">
      <c r="A1661" s="28"/>
    </row>
    <row r="1662" spans="1:1" x14ac:dyDescent="0.2">
      <c r="A1662" s="28"/>
    </row>
    <row r="1663" spans="1:1" x14ac:dyDescent="0.2">
      <c r="A1663" s="28"/>
    </row>
    <row r="1664" spans="1:1" x14ac:dyDescent="0.2">
      <c r="A1664" s="28"/>
    </row>
    <row r="1665" spans="1:1" x14ac:dyDescent="0.2">
      <c r="A1665" s="28"/>
    </row>
    <row r="1666" spans="1:1" x14ac:dyDescent="0.2">
      <c r="A1666" s="28"/>
    </row>
    <row r="1667" spans="1:1" x14ac:dyDescent="0.2">
      <c r="A1667" s="28"/>
    </row>
    <row r="1668" spans="1:1" x14ac:dyDescent="0.2">
      <c r="A1668" s="28"/>
    </row>
    <row r="1669" spans="1:1" x14ac:dyDescent="0.2">
      <c r="A1669" s="28"/>
    </row>
    <row r="1670" spans="1:1" x14ac:dyDescent="0.2">
      <c r="A1670" s="28"/>
    </row>
    <row r="1671" spans="1:1" x14ac:dyDescent="0.2">
      <c r="A1671" s="28"/>
    </row>
    <row r="1672" spans="1:1" x14ac:dyDescent="0.2">
      <c r="A1672" s="28"/>
    </row>
    <row r="1673" spans="1:1" x14ac:dyDescent="0.2">
      <c r="A1673" s="28"/>
    </row>
    <row r="1674" spans="1:1" x14ac:dyDescent="0.2">
      <c r="A1674" s="28"/>
    </row>
    <row r="1675" spans="1:1" x14ac:dyDescent="0.2">
      <c r="A1675" s="28"/>
    </row>
    <row r="1676" spans="1:1" x14ac:dyDescent="0.2">
      <c r="A1676" s="28"/>
    </row>
    <row r="1677" spans="1:1" x14ac:dyDescent="0.2">
      <c r="A1677" s="28"/>
    </row>
    <row r="1678" spans="1:1" x14ac:dyDescent="0.2">
      <c r="A1678" s="28"/>
    </row>
    <row r="1679" spans="1:1" x14ac:dyDescent="0.2">
      <c r="A1679" s="28"/>
    </row>
    <row r="1680" spans="1:1" x14ac:dyDescent="0.2">
      <c r="A1680" s="28"/>
    </row>
    <row r="1681" spans="1:1" x14ac:dyDescent="0.2">
      <c r="A1681" s="28"/>
    </row>
    <row r="1682" spans="1:1" x14ac:dyDescent="0.2">
      <c r="A1682" s="28"/>
    </row>
    <row r="1683" spans="1:1" x14ac:dyDescent="0.2">
      <c r="A1683" s="28"/>
    </row>
    <row r="1684" spans="1:1" x14ac:dyDescent="0.2">
      <c r="A1684" s="28"/>
    </row>
    <row r="1685" spans="1:1" x14ac:dyDescent="0.2">
      <c r="A1685" s="28"/>
    </row>
    <row r="1686" spans="1:1" x14ac:dyDescent="0.2">
      <c r="A1686" s="28"/>
    </row>
    <row r="1687" spans="1:1" x14ac:dyDescent="0.2">
      <c r="A1687" s="28"/>
    </row>
    <row r="1688" spans="1:1" x14ac:dyDescent="0.2">
      <c r="A1688" s="28"/>
    </row>
    <row r="1689" spans="1:1" x14ac:dyDescent="0.2">
      <c r="A1689" s="28"/>
    </row>
    <row r="1690" spans="1:1" x14ac:dyDescent="0.2">
      <c r="A1690" s="28"/>
    </row>
    <row r="1691" spans="1:1" x14ac:dyDescent="0.2">
      <c r="A1691" s="28"/>
    </row>
    <row r="1692" spans="1:1" x14ac:dyDescent="0.2">
      <c r="A1692" s="28"/>
    </row>
    <row r="1693" spans="1:1" x14ac:dyDescent="0.2">
      <c r="A1693" s="28"/>
    </row>
    <row r="1694" spans="1:1" x14ac:dyDescent="0.2">
      <c r="A1694" s="28"/>
    </row>
    <row r="1695" spans="1:1" x14ac:dyDescent="0.2">
      <c r="A1695" s="28"/>
    </row>
    <row r="1696" spans="1:1" x14ac:dyDescent="0.2">
      <c r="A1696" s="28"/>
    </row>
    <row r="1697" spans="1:1" x14ac:dyDescent="0.2">
      <c r="A1697" s="28"/>
    </row>
    <row r="1698" spans="1:1" x14ac:dyDescent="0.2">
      <c r="A1698" s="28"/>
    </row>
    <row r="1699" spans="1:1" x14ac:dyDescent="0.2">
      <c r="A1699" s="28"/>
    </row>
    <row r="1700" spans="1:1" x14ac:dyDescent="0.2">
      <c r="A1700" s="28"/>
    </row>
    <row r="1701" spans="1:1" x14ac:dyDescent="0.2">
      <c r="A1701" s="28"/>
    </row>
    <row r="1702" spans="1:1" x14ac:dyDescent="0.2">
      <c r="A1702" s="28"/>
    </row>
    <row r="1703" spans="1:1" x14ac:dyDescent="0.2">
      <c r="A1703" s="28"/>
    </row>
    <row r="1704" spans="1:1" x14ac:dyDescent="0.2">
      <c r="A1704" s="28"/>
    </row>
    <row r="1705" spans="1:1" x14ac:dyDescent="0.2">
      <c r="A1705" s="28"/>
    </row>
    <row r="1706" spans="1:1" x14ac:dyDescent="0.2">
      <c r="A1706" s="28"/>
    </row>
    <row r="1707" spans="1:1" x14ac:dyDescent="0.2">
      <c r="A1707" s="28"/>
    </row>
    <row r="1708" spans="1:1" x14ac:dyDescent="0.2">
      <c r="A1708" s="28"/>
    </row>
    <row r="1709" spans="1:1" x14ac:dyDescent="0.2">
      <c r="A1709" s="28"/>
    </row>
    <row r="1710" spans="1:1" x14ac:dyDescent="0.2">
      <c r="A1710" s="28"/>
    </row>
    <row r="1711" spans="1:1" x14ac:dyDescent="0.2">
      <c r="A1711" s="28"/>
    </row>
    <row r="1712" spans="1:1" x14ac:dyDescent="0.2">
      <c r="A1712" s="28"/>
    </row>
    <row r="1713" spans="1:1" x14ac:dyDescent="0.2">
      <c r="A1713" s="28"/>
    </row>
    <row r="1714" spans="1:1" x14ac:dyDescent="0.2">
      <c r="A1714" s="28"/>
    </row>
    <row r="1715" spans="1:1" x14ac:dyDescent="0.2">
      <c r="A1715" s="28"/>
    </row>
    <row r="1716" spans="1:1" x14ac:dyDescent="0.2">
      <c r="A1716" s="28"/>
    </row>
    <row r="1717" spans="1:1" x14ac:dyDescent="0.2">
      <c r="A1717" s="28"/>
    </row>
    <row r="1718" spans="1:1" x14ac:dyDescent="0.2">
      <c r="A1718" s="28"/>
    </row>
    <row r="1719" spans="1:1" x14ac:dyDescent="0.2">
      <c r="A1719" s="28"/>
    </row>
    <row r="1720" spans="1:1" x14ac:dyDescent="0.2">
      <c r="A1720" s="28"/>
    </row>
    <row r="1721" spans="1:1" x14ac:dyDescent="0.2">
      <c r="A1721" s="28"/>
    </row>
    <row r="1722" spans="1:1" x14ac:dyDescent="0.2">
      <c r="A1722" s="28"/>
    </row>
    <row r="1723" spans="1:1" x14ac:dyDescent="0.2">
      <c r="A1723" s="28"/>
    </row>
    <row r="1724" spans="1:1" x14ac:dyDescent="0.2">
      <c r="A1724" s="28"/>
    </row>
    <row r="1725" spans="1:1" x14ac:dyDescent="0.2">
      <c r="A1725" s="28"/>
    </row>
    <row r="1726" spans="1:1" x14ac:dyDescent="0.2">
      <c r="A1726" s="28"/>
    </row>
    <row r="1727" spans="1:1" x14ac:dyDescent="0.2">
      <c r="A1727" s="28"/>
    </row>
    <row r="1728" spans="1:1" x14ac:dyDescent="0.2">
      <c r="A1728" s="28"/>
    </row>
    <row r="1729" spans="1:1" x14ac:dyDescent="0.2">
      <c r="A1729" s="28"/>
    </row>
    <row r="1730" spans="1:1" x14ac:dyDescent="0.2">
      <c r="A1730" s="28"/>
    </row>
    <row r="1731" spans="1:1" x14ac:dyDescent="0.2">
      <c r="A1731" s="28"/>
    </row>
    <row r="1732" spans="1:1" x14ac:dyDescent="0.2">
      <c r="A1732" s="28"/>
    </row>
    <row r="1733" spans="1:1" x14ac:dyDescent="0.2">
      <c r="A1733" s="28"/>
    </row>
    <row r="1734" spans="1:1" x14ac:dyDescent="0.2">
      <c r="A1734" s="28"/>
    </row>
    <row r="1735" spans="1:1" x14ac:dyDescent="0.2">
      <c r="A1735" s="28"/>
    </row>
    <row r="1736" spans="1:1" x14ac:dyDescent="0.2">
      <c r="A1736" s="28"/>
    </row>
    <row r="1737" spans="1:1" x14ac:dyDescent="0.2">
      <c r="A1737" s="28"/>
    </row>
    <row r="1738" spans="1:1" x14ac:dyDescent="0.2">
      <c r="A1738" s="28"/>
    </row>
    <row r="1739" spans="1:1" x14ac:dyDescent="0.2">
      <c r="A1739" s="28"/>
    </row>
    <row r="1740" spans="1:1" x14ac:dyDescent="0.2">
      <c r="A1740" s="28"/>
    </row>
    <row r="1741" spans="1:1" x14ac:dyDescent="0.2">
      <c r="A1741" s="28"/>
    </row>
  </sheetData>
  <mergeCells count="1">
    <mergeCell ref="B4:C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Plan48">
    <pageSetUpPr autoPageBreaks="0"/>
  </sheetPr>
  <dimension ref="B1:KS1754"/>
  <sheetViews>
    <sheetView showGridLines="0" zoomScaleNormal="10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ColWidth="9.140625" defaultRowHeight="14.25" outlineLevelRow="1" x14ac:dyDescent="0.2"/>
  <cols>
    <col min="1" max="1" width="1.42578125" style="25" customWidth="1"/>
    <col min="2" max="2" width="56.140625" style="25" customWidth="1"/>
    <col min="3" max="4" width="10.85546875" style="25" customWidth="1"/>
    <col min="5" max="7" width="10.85546875" style="26" customWidth="1"/>
    <col min="8" max="51" width="10.85546875" style="27" customWidth="1"/>
    <col min="52" max="53" width="9.85546875" style="28" bestFit="1" customWidth="1"/>
    <col min="54" max="54" width="1" style="28" customWidth="1"/>
    <col min="55" max="56" width="10.5703125" style="28" bestFit="1" customWidth="1"/>
    <col min="57" max="57" width="2.85546875" style="28" customWidth="1"/>
    <col min="58" max="58" width="8.85546875" style="28" customWidth="1"/>
    <col min="59" max="59" width="9.140625" style="28" customWidth="1"/>
    <col min="60" max="60" width="1.85546875" style="28" customWidth="1"/>
    <col min="61" max="62" width="8.140625" style="28" customWidth="1"/>
    <col min="63" max="63" width="1.140625" style="28" customWidth="1"/>
    <col min="64" max="65" width="8.85546875" style="28" customWidth="1"/>
    <col min="66" max="66" width="2.85546875" style="28" customWidth="1"/>
    <col min="67" max="67" width="8.85546875" style="28" customWidth="1"/>
    <col min="68" max="68" width="9.140625" style="28" customWidth="1"/>
    <col min="69" max="69" width="1.85546875" style="28" customWidth="1"/>
    <col min="70" max="71" width="8.140625" style="28" customWidth="1"/>
    <col min="72" max="72" width="1.140625" style="28" customWidth="1"/>
    <col min="73" max="74" width="8.85546875" style="28" customWidth="1"/>
    <col min="75" max="75" width="9.140625" style="28"/>
    <col min="76" max="76" width="11.42578125" style="28" customWidth="1"/>
    <col min="77" max="77" width="11" style="28" customWidth="1"/>
    <col min="78" max="78" width="12.140625" style="28" customWidth="1"/>
    <col min="79" max="79" width="10.140625" style="28" customWidth="1"/>
    <col min="80" max="80" width="9.140625" style="28"/>
    <col min="81" max="81" width="13.140625" style="28" customWidth="1"/>
    <col min="82" max="82" width="14.5703125" style="28" customWidth="1"/>
    <col min="83" max="83" width="11.42578125" style="28" customWidth="1"/>
    <col min="84" max="84" width="12.42578125" style="28" customWidth="1"/>
    <col min="85" max="85" width="11.85546875" style="28" customWidth="1"/>
    <col min="86" max="86" width="10.85546875" style="28" customWidth="1"/>
    <col min="87" max="305" width="9.140625" style="28"/>
    <col min="306" max="16384" width="9.140625" style="25"/>
  </cols>
  <sheetData>
    <row r="1" spans="2:305" s="549" customFormat="1" ht="7.5" customHeight="1" x14ac:dyDescent="0.2">
      <c r="E1" s="556"/>
      <c r="F1" s="556"/>
      <c r="G1" s="556"/>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c r="AM1" s="557"/>
      <c r="AN1" s="557"/>
      <c r="AO1" s="557"/>
      <c r="AP1" s="557"/>
      <c r="AQ1" s="557"/>
      <c r="AR1" s="557"/>
      <c r="AS1" s="557"/>
      <c r="AT1" s="557"/>
      <c r="AU1" s="557"/>
      <c r="AV1" s="557"/>
      <c r="AW1" s="557"/>
      <c r="AX1" s="557"/>
      <c r="AY1" s="557"/>
      <c r="AZ1" s="550"/>
      <c r="BA1" s="550"/>
      <c r="BB1" s="550"/>
      <c r="BC1" s="550"/>
      <c r="BD1" s="550"/>
      <c r="BE1" s="550"/>
      <c r="BF1" s="550"/>
      <c r="BG1" s="550"/>
      <c r="BH1" s="550"/>
      <c r="BI1" s="550"/>
      <c r="BJ1" s="550"/>
      <c r="BK1" s="550"/>
      <c r="BL1" s="550"/>
      <c r="BM1" s="550"/>
      <c r="BN1" s="550"/>
      <c r="BO1" s="550"/>
      <c r="BP1" s="550"/>
      <c r="BQ1" s="550"/>
      <c r="BR1" s="550"/>
      <c r="BS1" s="550"/>
      <c r="BT1" s="550"/>
      <c r="BU1" s="550"/>
      <c r="BV1" s="550"/>
      <c r="BW1" s="550"/>
      <c r="BX1" s="550"/>
      <c r="BY1" s="550"/>
      <c r="BZ1" s="550"/>
      <c r="CA1" s="550"/>
      <c r="CB1" s="550"/>
      <c r="CC1" s="550"/>
      <c r="CD1" s="550"/>
      <c r="CE1" s="550"/>
      <c r="CF1" s="550"/>
      <c r="CG1" s="550"/>
      <c r="CH1" s="550"/>
      <c r="CI1" s="550"/>
      <c r="CJ1" s="550"/>
      <c r="CK1" s="550"/>
      <c r="CL1" s="550"/>
      <c r="CM1" s="550"/>
      <c r="CN1" s="550"/>
      <c r="CO1" s="550"/>
      <c r="CP1" s="550"/>
      <c r="CQ1" s="550"/>
      <c r="CR1" s="550"/>
      <c r="CS1" s="550"/>
      <c r="CT1" s="550"/>
      <c r="CU1" s="550"/>
      <c r="CV1" s="550"/>
      <c r="CW1" s="550"/>
      <c r="CX1" s="550"/>
      <c r="CY1" s="550"/>
      <c r="CZ1" s="550"/>
      <c r="DA1" s="550"/>
      <c r="DB1" s="550"/>
      <c r="DC1" s="550"/>
      <c r="DD1" s="550"/>
      <c r="DE1" s="550"/>
      <c r="DF1" s="550"/>
      <c r="DG1" s="550"/>
      <c r="DH1" s="550"/>
      <c r="DI1" s="550"/>
      <c r="DJ1" s="550"/>
      <c r="DK1" s="550"/>
      <c r="DL1" s="550"/>
      <c r="DM1" s="550"/>
      <c r="DN1" s="550"/>
      <c r="DO1" s="550"/>
      <c r="DP1" s="550"/>
      <c r="DQ1" s="550"/>
      <c r="DR1" s="550"/>
      <c r="DS1" s="550"/>
      <c r="DT1" s="550"/>
      <c r="DU1" s="550"/>
      <c r="DV1" s="550"/>
      <c r="DW1" s="550"/>
      <c r="DX1" s="550"/>
      <c r="DY1" s="550"/>
      <c r="DZ1" s="550"/>
      <c r="EA1" s="550"/>
      <c r="EB1" s="550"/>
      <c r="EC1" s="550"/>
      <c r="ED1" s="550"/>
      <c r="EE1" s="550"/>
      <c r="EF1" s="550"/>
      <c r="EG1" s="550"/>
      <c r="EH1" s="550"/>
      <c r="EI1" s="550"/>
      <c r="EJ1" s="550"/>
      <c r="EK1" s="550"/>
      <c r="EL1" s="550"/>
      <c r="EM1" s="550"/>
      <c r="EN1" s="550"/>
      <c r="EO1" s="550"/>
      <c r="EP1" s="550"/>
      <c r="EQ1" s="550"/>
      <c r="ER1" s="550"/>
      <c r="ES1" s="550"/>
      <c r="ET1" s="550"/>
      <c r="EU1" s="550"/>
      <c r="EV1" s="550"/>
      <c r="EW1" s="550"/>
      <c r="EX1" s="550"/>
      <c r="EY1" s="550"/>
      <c r="EZ1" s="550"/>
      <c r="FA1" s="550"/>
      <c r="FB1" s="550"/>
      <c r="FC1" s="550"/>
      <c r="FD1" s="550"/>
      <c r="FE1" s="550"/>
      <c r="FF1" s="550"/>
      <c r="FG1" s="550"/>
      <c r="FH1" s="550"/>
      <c r="FI1" s="550"/>
      <c r="FJ1" s="550"/>
      <c r="FK1" s="550"/>
      <c r="FL1" s="550"/>
      <c r="FM1" s="550"/>
      <c r="FN1" s="550"/>
      <c r="FO1" s="550"/>
      <c r="FP1" s="550"/>
      <c r="FQ1" s="550"/>
      <c r="FR1" s="550"/>
      <c r="FS1" s="550"/>
      <c r="FT1" s="550"/>
      <c r="FU1" s="550"/>
      <c r="FV1" s="550"/>
      <c r="FW1" s="550"/>
      <c r="FX1" s="550"/>
      <c r="FY1" s="550"/>
      <c r="FZ1" s="550"/>
      <c r="GA1" s="550"/>
      <c r="GB1" s="550"/>
      <c r="GC1" s="550"/>
      <c r="GD1" s="550"/>
      <c r="GE1" s="550"/>
      <c r="GF1" s="550"/>
      <c r="GG1" s="550"/>
      <c r="GH1" s="550"/>
      <c r="GI1" s="550"/>
      <c r="GJ1" s="550"/>
      <c r="GK1" s="550"/>
      <c r="GL1" s="550"/>
      <c r="GM1" s="550"/>
      <c r="GN1" s="550"/>
      <c r="GO1" s="550"/>
      <c r="GP1" s="550"/>
      <c r="GQ1" s="550"/>
      <c r="GR1" s="550"/>
      <c r="GS1" s="550"/>
      <c r="GT1" s="550"/>
      <c r="GU1" s="550"/>
      <c r="GV1" s="550"/>
      <c r="GW1" s="550"/>
      <c r="GX1" s="550"/>
      <c r="GY1" s="550"/>
      <c r="GZ1" s="550"/>
      <c r="HA1" s="550"/>
      <c r="HB1" s="550"/>
      <c r="HC1" s="550"/>
      <c r="HD1" s="550"/>
      <c r="HE1" s="550"/>
      <c r="HF1" s="550"/>
      <c r="HG1" s="550"/>
      <c r="HH1" s="550"/>
      <c r="HI1" s="550"/>
      <c r="HJ1" s="550"/>
      <c r="HK1" s="550"/>
      <c r="HL1" s="550"/>
      <c r="HM1" s="550"/>
      <c r="HN1" s="550"/>
      <c r="HO1" s="550"/>
      <c r="HP1" s="550"/>
      <c r="HQ1" s="550"/>
      <c r="HR1" s="550"/>
      <c r="HS1" s="550"/>
      <c r="HT1" s="550"/>
      <c r="HU1" s="550"/>
      <c r="HV1" s="550"/>
      <c r="HW1" s="550"/>
      <c r="HX1" s="550"/>
      <c r="HY1" s="550"/>
      <c r="HZ1" s="550"/>
      <c r="IA1" s="550"/>
      <c r="IB1" s="550"/>
      <c r="IC1" s="550"/>
      <c r="ID1" s="550"/>
      <c r="IE1" s="550"/>
      <c r="IF1" s="550"/>
      <c r="IG1" s="550"/>
      <c r="IH1" s="550"/>
      <c r="II1" s="550"/>
      <c r="IJ1" s="550"/>
      <c r="IK1" s="550"/>
      <c r="IL1" s="550"/>
      <c r="IM1" s="550"/>
      <c r="IN1" s="550"/>
      <c r="IO1" s="550"/>
      <c r="IP1" s="550"/>
      <c r="IQ1" s="550"/>
      <c r="IR1" s="550"/>
      <c r="IS1" s="550"/>
      <c r="IT1" s="550"/>
      <c r="IU1" s="550"/>
      <c r="IV1" s="550"/>
      <c r="IW1" s="550"/>
      <c r="IX1" s="550"/>
      <c r="IY1" s="550"/>
      <c r="IZ1" s="550"/>
      <c r="JA1" s="550"/>
      <c r="JB1" s="550"/>
      <c r="JC1" s="550"/>
      <c r="JD1" s="550"/>
      <c r="JE1" s="550"/>
      <c r="JF1" s="550"/>
      <c r="JG1" s="550"/>
      <c r="JH1" s="550"/>
      <c r="JI1" s="550"/>
      <c r="JJ1" s="550"/>
      <c r="JK1" s="550"/>
      <c r="JL1" s="550"/>
      <c r="JM1" s="550"/>
      <c r="JN1" s="550"/>
      <c r="JO1" s="550"/>
      <c r="JP1" s="550"/>
      <c r="JQ1" s="550"/>
      <c r="JR1" s="550"/>
      <c r="JS1" s="550"/>
      <c r="JT1" s="550"/>
      <c r="JU1" s="550"/>
      <c r="JV1" s="550"/>
      <c r="JW1" s="550"/>
      <c r="JX1" s="550"/>
      <c r="JY1" s="550"/>
      <c r="JZ1" s="550"/>
      <c r="KA1" s="550"/>
      <c r="KB1" s="550"/>
      <c r="KC1" s="550"/>
      <c r="KD1" s="550"/>
      <c r="KE1" s="550"/>
      <c r="KF1" s="550"/>
      <c r="KG1" s="550"/>
      <c r="KH1" s="550"/>
      <c r="KI1" s="550"/>
      <c r="KJ1" s="550"/>
      <c r="KK1" s="550"/>
      <c r="KL1" s="550"/>
      <c r="KM1" s="550"/>
      <c r="KN1" s="550"/>
      <c r="KO1" s="550"/>
      <c r="KP1" s="550"/>
      <c r="KQ1" s="550"/>
      <c r="KR1" s="550"/>
      <c r="KS1" s="550"/>
    </row>
    <row r="2" spans="2:305" s="549" customFormat="1" ht="12.75" customHeight="1" x14ac:dyDescent="0.25">
      <c r="D2" s="554"/>
      <c r="E2" s="556"/>
      <c r="F2" s="556"/>
      <c r="G2" s="556"/>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c r="AM2" s="557"/>
      <c r="AN2" s="557"/>
      <c r="AO2" s="557"/>
      <c r="AP2" s="557"/>
      <c r="AQ2" s="557"/>
      <c r="AR2" s="557"/>
      <c r="AS2" s="557"/>
      <c r="AT2" s="557"/>
      <c r="AU2" s="557"/>
      <c r="AV2" s="557"/>
      <c r="AW2" s="557"/>
      <c r="AX2" s="557"/>
      <c r="AY2" s="557"/>
      <c r="AZ2" s="550"/>
      <c r="BA2" s="550"/>
      <c r="BB2" s="550"/>
      <c r="BC2" s="550"/>
      <c r="BD2" s="550"/>
      <c r="BE2" s="550"/>
      <c r="BF2" s="550"/>
      <c r="BG2" s="550"/>
      <c r="BH2" s="550"/>
      <c r="BI2" s="550"/>
      <c r="BJ2" s="550"/>
      <c r="BK2" s="550"/>
      <c r="BL2" s="550"/>
      <c r="BM2" s="550"/>
      <c r="BN2" s="550"/>
      <c r="BO2" s="550"/>
      <c r="BP2" s="550"/>
      <c r="BQ2" s="550"/>
      <c r="BR2" s="550"/>
      <c r="BS2" s="550"/>
      <c r="BT2" s="550"/>
      <c r="BU2" s="550"/>
      <c r="BV2" s="550"/>
      <c r="BW2" s="550"/>
      <c r="BX2" s="550"/>
      <c r="BY2" s="550"/>
      <c r="BZ2" s="550"/>
      <c r="CA2" s="550"/>
      <c r="CB2" s="550"/>
      <c r="CC2" s="550"/>
      <c r="CD2" s="550"/>
      <c r="CE2" s="550"/>
      <c r="CF2" s="550"/>
      <c r="CG2" s="550"/>
      <c r="CH2" s="550"/>
      <c r="CI2" s="550"/>
      <c r="CJ2" s="550"/>
      <c r="CK2" s="550"/>
      <c r="CL2" s="550"/>
      <c r="CM2" s="550"/>
      <c r="CN2" s="550"/>
      <c r="CO2" s="550"/>
      <c r="CP2" s="550"/>
      <c r="CQ2" s="550"/>
      <c r="CR2" s="550"/>
      <c r="CS2" s="550"/>
      <c r="CT2" s="550"/>
      <c r="CU2" s="550"/>
      <c r="CV2" s="550"/>
      <c r="CW2" s="550"/>
      <c r="CX2" s="550"/>
      <c r="CY2" s="550"/>
      <c r="CZ2" s="550"/>
      <c r="DA2" s="550"/>
      <c r="DB2" s="550"/>
      <c r="DC2" s="550"/>
      <c r="DD2" s="550"/>
      <c r="DE2" s="550"/>
      <c r="DF2" s="550"/>
      <c r="DG2" s="550"/>
      <c r="DH2" s="550"/>
      <c r="DI2" s="550"/>
      <c r="DJ2" s="550"/>
      <c r="DK2" s="550"/>
      <c r="DL2" s="550"/>
      <c r="DM2" s="550"/>
      <c r="DN2" s="550"/>
      <c r="DO2" s="550"/>
      <c r="DP2" s="550"/>
      <c r="DQ2" s="550"/>
      <c r="DR2" s="550"/>
      <c r="DS2" s="550"/>
      <c r="DT2" s="550"/>
      <c r="DU2" s="550"/>
      <c r="DV2" s="550"/>
      <c r="DW2" s="550"/>
      <c r="DX2" s="550"/>
      <c r="DY2" s="550"/>
      <c r="DZ2" s="550"/>
      <c r="EA2" s="550"/>
      <c r="EB2" s="550"/>
      <c r="EC2" s="550"/>
      <c r="ED2" s="550"/>
      <c r="EE2" s="550"/>
      <c r="EF2" s="550"/>
      <c r="EG2" s="550"/>
      <c r="EH2" s="550"/>
      <c r="EI2" s="550"/>
      <c r="EJ2" s="550"/>
      <c r="EK2" s="550"/>
      <c r="EL2" s="550"/>
      <c r="EM2" s="550"/>
      <c r="EN2" s="550"/>
      <c r="EO2" s="550"/>
      <c r="EP2" s="550"/>
      <c r="EQ2" s="550"/>
      <c r="ER2" s="550"/>
      <c r="ES2" s="550"/>
      <c r="ET2" s="550"/>
      <c r="EU2" s="550"/>
      <c r="EV2" s="550"/>
      <c r="EW2" s="550"/>
      <c r="EX2" s="550"/>
      <c r="EY2" s="550"/>
      <c r="EZ2" s="550"/>
      <c r="FA2" s="550"/>
      <c r="FB2" s="550"/>
      <c r="FC2" s="550"/>
      <c r="FD2" s="550"/>
      <c r="FE2" s="550"/>
      <c r="FF2" s="550"/>
      <c r="FG2" s="550"/>
      <c r="FH2" s="550"/>
      <c r="FI2" s="550"/>
      <c r="FJ2" s="550"/>
      <c r="FK2" s="550"/>
      <c r="FL2" s="550"/>
      <c r="FM2" s="550"/>
      <c r="FN2" s="550"/>
      <c r="FO2" s="550"/>
      <c r="FP2" s="550"/>
      <c r="FQ2" s="550"/>
      <c r="FR2" s="550"/>
      <c r="FS2" s="550"/>
      <c r="FT2" s="550"/>
      <c r="FU2" s="550"/>
      <c r="FV2" s="550"/>
      <c r="FW2" s="550"/>
      <c r="FX2" s="550"/>
      <c r="FY2" s="550"/>
      <c r="FZ2" s="550"/>
      <c r="GA2" s="550"/>
      <c r="GB2" s="550"/>
      <c r="GC2" s="550"/>
      <c r="GD2" s="550"/>
      <c r="GE2" s="550"/>
      <c r="GF2" s="550"/>
      <c r="GG2" s="550"/>
      <c r="GH2" s="550"/>
      <c r="GI2" s="550"/>
      <c r="GJ2" s="550"/>
      <c r="GK2" s="550"/>
      <c r="GL2" s="550"/>
      <c r="GM2" s="550"/>
      <c r="GN2" s="550"/>
      <c r="GO2" s="550"/>
      <c r="GP2" s="550"/>
      <c r="GQ2" s="550"/>
      <c r="GR2" s="550"/>
      <c r="GS2" s="550"/>
      <c r="GT2" s="550"/>
      <c r="GU2" s="550"/>
      <c r="GV2" s="550"/>
      <c r="GW2" s="550"/>
      <c r="GX2" s="550"/>
      <c r="GY2" s="550"/>
      <c r="GZ2" s="550"/>
      <c r="HA2" s="550"/>
      <c r="HB2" s="550"/>
      <c r="HC2" s="550"/>
      <c r="HD2" s="550"/>
      <c r="HE2" s="550"/>
      <c r="HF2" s="550"/>
      <c r="HG2" s="550"/>
      <c r="HH2" s="550"/>
      <c r="HI2" s="550"/>
      <c r="HJ2" s="550"/>
      <c r="HK2" s="550"/>
      <c r="HL2" s="550"/>
      <c r="HM2" s="550"/>
      <c r="HN2" s="550"/>
      <c r="HO2" s="550"/>
      <c r="HP2" s="550"/>
      <c r="HQ2" s="550"/>
      <c r="HR2" s="550"/>
      <c r="HS2" s="550"/>
      <c r="HT2" s="550"/>
      <c r="HU2" s="550"/>
      <c r="HV2" s="550"/>
      <c r="HW2" s="550"/>
      <c r="HX2" s="550"/>
      <c r="HY2" s="550"/>
      <c r="HZ2" s="550"/>
      <c r="IA2" s="550"/>
      <c r="IB2" s="550"/>
      <c r="IC2" s="550"/>
      <c r="ID2" s="550"/>
      <c r="IE2" s="550"/>
      <c r="IF2" s="550"/>
      <c r="IG2" s="550"/>
      <c r="IH2" s="550"/>
      <c r="II2" s="550"/>
      <c r="IJ2" s="550"/>
      <c r="IK2" s="550"/>
      <c r="IL2" s="550"/>
      <c r="IM2" s="550"/>
      <c r="IN2" s="550"/>
      <c r="IO2" s="550"/>
      <c r="IP2" s="550"/>
      <c r="IQ2" s="550"/>
      <c r="IR2" s="550"/>
      <c r="IS2" s="550"/>
      <c r="IT2" s="550"/>
      <c r="IU2" s="550"/>
      <c r="IV2" s="550"/>
      <c r="IW2" s="550"/>
      <c r="IX2" s="550"/>
      <c r="IY2" s="550"/>
      <c r="IZ2" s="550"/>
      <c r="JA2" s="550"/>
      <c r="JB2" s="550"/>
      <c r="JC2" s="550"/>
      <c r="JD2" s="550"/>
      <c r="JE2" s="550"/>
      <c r="JF2" s="550"/>
      <c r="JG2" s="550"/>
      <c r="JH2" s="550"/>
      <c r="JI2" s="550"/>
      <c r="JJ2" s="550"/>
      <c r="JK2" s="550"/>
      <c r="JL2" s="550"/>
      <c r="JM2" s="550"/>
      <c r="JN2" s="550"/>
      <c r="JO2" s="550"/>
      <c r="JP2" s="550"/>
      <c r="JQ2" s="550"/>
      <c r="JR2" s="550"/>
      <c r="JS2" s="550"/>
      <c r="JT2" s="550"/>
      <c r="JU2" s="550"/>
      <c r="JV2" s="550"/>
      <c r="JW2" s="550"/>
      <c r="JX2" s="550"/>
      <c r="JY2" s="550"/>
      <c r="JZ2" s="550"/>
      <c r="KA2" s="550"/>
      <c r="KB2" s="550"/>
      <c r="KC2" s="550"/>
      <c r="KD2" s="550"/>
      <c r="KE2" s="550"/>
      <c r="KF2" s="550"/>
      <c r="KG2" s="550"/>
      <c r="KH2" s="550"/>
      <c r="KI2" s="550"/>
      <c r="KJ2" s="550"/>
      <c r="KK2" s="550"/>
      <c r="KL2" s="550"/>
      <c r="KM2" s="550"/>
      <c r="KN2" s="550"/>
      <c r="KO2" s="550"/>
      <c r="KP2" s="550"/>
      <c r="KQ2" s="550"/>
      <c r="KR2" s="550"/>
      <c r="KS2" s="550"/>
    </row>
    <row r="3" spans="2:305" ht="12.75" customHeight="1" x14ac:dyDescent="0.2"/>
    <row r="4" spans="2:305" ht="12.75" customHeight="1" x14ac:dyDescent="0.2"/>
    <row r="5" spans="2:305" x14ac:dyDescent="0.2">
      <c r="B5" s="115" t="s">
        <v>96</v>
      </c>
      <c r="C5" s="115" t="s">
        <v>45</v>
      </c>
      <c r="D5" s="115" t="s">
        <v>55</v>
      </c>
      <c r="E5" s="115" t="s">
        <v>71</v>
      </c>
      <c r="F5" s="115" t="s">
        <v>77</v>
      </c>
      <c r="G5" s="115" t="s">
        <v>87</v>
      </c>
      <c r="H5" s="115" t="s">
        <v>88</v>
      </c>
      <c r="I5" s="115" t="s">
        <v>378</v>
      </c>
      <c r="J5" s="115" t="s">
        <v>406</v>
      </c>
      <c r="K5" s="115" t="s">
        <v>467</v>
      </c>
      <c r="L5" s="115" t="s">
        <v>501</v>
      </c>
      <c r="M5" s="115" t="s">
        <v>511</v>
      </c>
      <c r="N5" s="115" t="s">
        <v>538</v>
      </c>
      <c r="O5" s="115" t="s">
        <v>567</v>
      </c>
      <c r="P5" s="115" t="s">
        <v>575</v>
      </c>
      <c r="Q5" s="115" t="s">
        <v>595</v>
      </c>
      <c r="R5" s="115" t="s">
        <v>596</v>
      </c>
      <c r="S5" s="115" t="s">
        <v>623</v>
      </c>
      <c r="T5" s="115" t="s">
        <v>624</v>
      </c>
      <c r="U5" s="115" t="s">
        <v>625</v>
      </c>
      <c r="V5" s="115" t="s">
        <v>626</v>
      </c>
      <c r="W5" s="115" t="s">
        <v>798</v>
      </c>
      <c r="X5" s="115" t="s">
        <v>799</v>
      </c>
      <c r="Y5" s="115" t="s">
        <v>800</v>
      </c>
      <c r="Z5" s="115" t="s">
        <v>801</v>
      </c>
      <c r="AA5" s="115" t="s">
        <v>913</v>
      </c>
      <c r="AB5" s="115" t="s">
        <v>914</v>
      </c>
      <c r="AC5" s="115" t="s">
        <v>923</v>
      </c>
      <c r="AD5" s="115" t="s">
        <v>924</v>
      </c>
      <c r="AE5" s="115" t="s">
        <v>1049</v>
      </c>
      <c r="AF5" s="115" t="s">
        <v>1023</v>
      </c>
      <c r="AG5" s="115" t="s">
        <v>1024</v>
      </c>
      <c r="AH5" s="115" t="s">
        <v>1050</v>
      </c>
      <c r="AI5" s="115" t="s">
        <v>1114</v>
      </c>
      <c r="AJ5" s="115" t="s">
        <v>1119</v>
      </c>
      <c r="AK5" s="115" t="s">
        <v>1121</v>
      </c>
      <c r="AL5" s="115" t="s">
        <v>1123</v>
      </c>
      <c r="AM5" s="115" t="s">
        <v>1176</v>
      </c>
      <c r="AN5" s="115" t="s">
        <v>1177</v>
      </c>
      <c r="AO5" s="115" t="s">
        <v>1179</v>
      </c>
      <c r="AP5" s="115" t="s">
        <v>1181</v>
      </c>
      <c r="AQ5" s="115" t="s">
        <v>1243</v>
      </c>
      <c r="AR5" s="115" t="s">
        <v>1250</v>
      </c>
      <c r="AS5" s="115" t="s">
        <v>1251</v>
      </c>
      <c r="AT5" s="115" t="s">
        <v>1252</v>
      </c>
      <c r="AU5" s="115" t="s">
        <v>1311</v>
      </c>
      <c r="AV5" s="115" t="s">
        <v>1313</v>
      </c>
      <c r="AW5" s="115" t="s">
        <v>1315</v>
      </c>
      <c r="AX5" s="115" t="s">
        <v>1317</v>
      </c>
      <c r="AY5" s="115" t="s">
        <v>1344</v>
      </c>
    </row>
    <row r="6" spans="2:305" x14ac:dyDescent="0.2">
      <c r="B6" s="129" t="s">
        <v>842</v>
      </c>
      <c r="C6" s="118">
        <v>3989</v>
      </c>
      <c r="D6" s="118">
        <v>3415</v>
      </c>
      <c r="E6" s="118">
        <v>2104</v>
      </c>
      <c r="F6" s="118">
        <v>3926</v>
      </c>
      <c r="G6" s="118">
        <v>3775</v>
      </c>
      <c r="H6" s="118">
        <v>4104</v>
      </c>
      <c r="I6" s="118">
        <v>3490</v>
      </c>
      <c r="J6" s="118">
        <v>2637</v>
      </c>
      <c r="K6" s="118">
        <v>2493</v>
      </c>
      <c r="L6" s="118">
        <v>1156</v>
      </c>
      <c r="M6" s="118">
        <v>621</v>
      </c>
      <c r="N6" s="118">
        <v>781</v>
      </c>
      <c r="O6" s="118">
        <v>606</v>
      </c>
      <c r="P6" s="118">
        <v>1189</v>
      </c>
      <c r="Q6" s="118">
        <v>986</v>
      </c>
      <c r="R6" s="118">
        <v>952</v>
      </c>
      <c r="S6" s="118">
        <v>845</v>
      </c>
      <c r="T6" s="118">
        <v>736</v>
      </c>
      <c r="U6" s="118">
        <v>713</v>
      </c>
      <c r="V6" s="118">
        <v>769</v>
      </c>
      <c r="W6" s="118">
        <v>1243</v>
      </c>
      <c r="X6" s="118">
        <v>864</v>
      </c>
      <c r="Y6" s="118">
        <v>864</v>
      </c>
      <c r="Z6" s="118">
        <v>1235</v>
      </c>
      <c r="AA6" s="118">
        <v>538</v>
      </c>
      <c r="AB6" s="118">
        <v>36</v>
      </c>
      <c r="AC6" s="118">
        <v>152</v>
      </c>
      <c r="AD6" s="118">
        <v>176</v>
      </c>
      <c r="AE6" s="118">
        <v>209</v>
      </c>
      <c r="AF6" s="118">
        <v>119</v>
      </c>
      <c r="AG6" s="118">
        <v>178</v>
      </c>
      <c r="AH6" s="118">
        <v>56</v>
      </c>
      <c r="AI6" s="118">
        <v>46</v>
      </c>
      <c r="AJ6" s="118">
        <v>734</v>
      </c>
      <c r="AK6" s="118">
        <v>333</v>
      </c>
      <c r="AL6" s="118">
        <v>220</v>
      </c>
      <c r="AM6" s="118">
        <v>870</v>
      </c>
      <c r="AN6" s="118">
        <v>175</v>
      </c>
      <c r="AO6" s="118">
        <v>507</v>
      </c>
      <c r="AP6" s="118">
        <v>55</v>
      </c>
      <c r="AQ6" s="118">
        <v>83</v>
      </c>
      <c r="AR6" s="118">
        <v>108</v>
      </c>
      <c r="AS6" s="118">
        <v>204</v>
      </c>
      <c r="AT6" s="118">
        <v>473</v>
      </c>
      <c r="AU6" s="118">
        <v>674</v>
      </c>
      <c r="AV6" s="118">
        <v>45</v>
      </c>
      <c r="AW6" s="118">
        <v>335</v>
      </c>
      <c r="AX6" s="118">
        <v>246</v>
      </c>
      <c r="AY6" s="118">
        <v>171</v>
      </c>
    </row>
    <row r="7" spans="2:305" x14ac:dyDescent="0.2">
      <c r="B7" s="129" t="s">
        <v>127</v>
      </c>
      <c r="C7" s="118">
        <v>381</v>
      </c>
      <c r="D7" s="118">
        <v>398</v>
      </c>
      <c r="E7" s="118">
        <v>125</v>
      </c>
      <c r="F7" s="118">
        <v>-898</v>
      </c>
      <c r="G7" s="118">
        <v>421</v>
      </c>
      <c r="H7" s="118">
        <v>-36</v>
      </c>
      <c r="I7" s="118">
        <v>-52</v>
      </c>
      <c r="J7" s="118">
        <v>-346</v>
      </c>
      <c r="K7" s="118">
        <v>-41</v>
      </c>
      <c r="L7" s="118">
        <v>-249</v>
      </c>
      <c r="M7" s="118">
        <v>-237</v>
      </c>
      <c r="N7" s="118">
        <v>-210</v>
      </c>
      <c r="O7" s="118">
        <v>-3</v>
      </c>
      <c r="P7" s="118">
        <v>3</v>
      </c>
      <c r="Q7" s="118">
        <v>-18</v>
      </c>
      <c r="R7" s="118">
        <v>-16</v>
      </c>
      <c r="S7" s="118">
        <v>-27</v>
      </c>
      <c r="T7" s="118">
        <v>-16</v>
      </c>
      <c r="U7" s="118">
        <v>-19</v>
      </c>
      <c r="V7" s="118">
        <v>-13</v>
      </c>
      <c r="W7" s="118">
        <v>-15</v>
      </c>
      <c r="X7" s="118">
        <v>-4</v>
      </c>
      <c r="Y7" s="118">
        <v>-105</v>
      </c>
      <c r="Z7" s="118">
        <v>98</v>
      </c>
      <c r="AA7" s="118">
        <v>2</v>
      </c>
      <c r="AB7" s="118">
        <v>-4</v>
      </c>
      <c r="AC7" s="118">
        <v>1</v>
      </c>
      <c r="AD7" s="118">
        <v>-3</v>
      </c>
      <c r="AE7" s="118">
        <v>-2</v>
      </c>
      <c r="AF7" s="118">
        <v>-8</v>
      </c>
      <c r="AG7" s="118">
        <v>-5</v>
      </c>
      <c r="AH7" s="118">
        <v>-2</v>
      </c>
      <c r="AI7" s="118">
        <v>-3</v>
      </c>
      <c r="AJ7" s="118">
        <v>-19</v>
      </c>
      <c r="AK7" s="118">
        <v>1</v>
      </c>
      <c r="AL7" s="118">
        <v>-2</v>
      </c>
      <c r="AM7" s="118">
        <v>-7</v>
      </c>
      <c r="AN7" s="118">
        <v>-9</v>
      </c>
      <c r="AO7" s="118">
        <v>-7</v>
      </c>
      <c r="AP7" s="118">
        <v>-24</v>
      </c>
      <c r="AQ7" s="118">
        <v>-10</v>
      </c>
      <c r="AR7" s="118">
        <v>-11</v>
      </c>
      <c r="AS7" s="118">
        <v>-11</v>
      </c>
      <c r="AT7" s="118">
        <v>-3</v>
      </c>
      <c r="AU7" s="118">
        <v>0</v>
      </c>
      <c r="AV7" s="118">
        <v>0</v>
      </c>
      <c r="AW7" s="118">
        <v>0</v>
      </c>
      <c r="AX7" s="118">
        <v>0</v>
      </c>
      <c r="AY7" s="118">
        <v>0</v>
      </c>
    </row>
    <row r="8" spans="2:305" x14ac:dyDescent="0.2">
      <c r="B8" s="129" t="s">
        <v>385</v>
      </c>
      <c r="C8" s="118">
        <v>124</v>
      </c>
      <c r="D8" s="118">
        <v>50</v>
      </c>
      <c r="E8" s="118">
        <v>267</v>
      </c>
      <c r="F8" s="118">
        <v>1412</v>
      </c>
      <c r="G8" s="118">
        <v>-72</v>
      </c>
      <c r="H8" s="118">
        <v>-107</v>
      </c>
      <c r="I8" s="118">
        <v>441</v>
      </c>
      <c r="J8" s="118">
        <v>-367</v>
      </c>
      <c r="K8" s="118">
        <v>-35</v>
      </c>
      <c r="L8" s="118">
        <v>-369</v>
      </c>
      <c r="M8" s="118">
        <v>-594</v>
      </c>
      <c r="N8" s="261">
        <v>-1920</v>
      </c>
      <c r="O8" s="118">
        <v>-153</v>
      </c>
      <c r="P8" s="118">
        <v>79</v>
      </c>
      <c r="Q8" s="118">
        <v>-232</v>
      </c>
      <c r="R8" s="118">
        <v>-508</v>
      </c>
      <c r="S8" s="118">
        <v>-406</v>
      </c>
      <c r="T8" s="118">
        <v>-22</v>
      </c>
      <c r="U8" s="118">
        <v>21</v>
      </c>
      <c r="V8" s="118">
        <v>-819</v>
      </c>
      <c r="W8" s="118">
        <v>-71</v>
      </c>
      <c r="X8" s="118">
        <v>23</v>
      </c>
      <c r="Y8" s="118">
        <v>12</v>
      </c>
      <c r="Z8" s="118">
        <v>-2852</v>
      </c>
      <c r="AA8" s="118">
        <v>16</v>
      </c>
      <c r="AB8" s="118">
        <v>25</v>
      </c>
      <c r="AC8" s="118">
        <v>-229</v>
      </c>
      <c r="AD8" s="118">
        <v>329</v>
      </c>
      <c r="AE8" s="118">
        <v>76</v>
      </c>
      <c r="AF8" s="118">
        <v>-633</v>
      </c>
      <c r="AG8" s="118">
        <v>148</v>
      </c>
      <c r="AH8" s="118">
        <v>-5</v>
      </c>
      <c r="AI8" s="118">
        <v>-71</v>
      </c>
      <c r="AJ8" s="118">
        <v>-14</v>
      </c>
      <c r="AK8" s="118">
        <v>-65</v>
      </c>
      <c r="AL8" s="118">
        <v>-33</v>
      </c>
      <c r="AM8" s="118">
        <v>19</v>
      </c>
      <c r="AN8" s="118">
        <v>1</v>
      </c>
      <c r="AO8" s="118">
        <v>189</v>
      </c>
      <c r="AP8" s="118">
        <v>-385</v>
      </c>
      <c r="AQ8" s="118">
        <v>423</v>
      </c>
      <c r="AR8" s="118">
        <v>146</v>
      </c>
      <c r="AS8" s="118">
        <v>82</v>
      </c>
      <c r="AT8" s="118">
        <v>127</v>
      </c>
      <c r="AU8" s="118">
        <v>-716</v>
      </c>
      <c r="AV8" s="118">
        <v>953</v>
      </c>
      <c r="AW8" s="118">
        <v>244</v>
      </c>
      <c r="AX8" s="118">
        <v>-20</v>
      </c>
      <c r="AY8" s="118">
        <v>118</v>
      </c>
    </row>
    <row r="9" spans="2:305" ht="15" customHeight="1" x14ac:dyDescent="0.2">
      <c r="B9" s="129" t="s">
        <v>588</v>
      </c>
      <c r="C9" s="118">
        <v>0</v>
      </c>
      <c r="D9" s="118">
        <v>0</v>
      </c>
      <c r="E9" s="118">
        <v>0</v>
      </c>
      <c r="F9" s="118">
        <v>0</v>
      </c>
      <c r="G9" s="118">
        <v>-890</v>
      </c>
      <c r="H9" s="118">
        <v>-3033</v>
      </c>
      <c r="I9" s="118">
        <v>-4671</v>
      </c>
      <c r="J9" s="118">
        <v>-21451</v>
      </c>
      <c r="K9" s="118">
        <v>-1666</v>
      </c>
      <c r="L9" s="118">
        <v>-2160</v>
      </c>
      <c r="M9" s="118">
        <v>-1715</v>
      </c>
      <c r="N9" s="118">
        <v>-2355</v>
      </c>
      <c r="O9" s="118">
        <v>-2502</v>
      </c>
      <c r="P9" s="261">
        <v>-23943</v>
      </c>
      <c r="Q9" s="118">
        <v>-2029</v>
      </c>
      <c r="R9" s="261">
        <v>-9966</v>
      </c>
      <c r="S9" s="118">
        <v>-10256</v>
      </c>
      <c r="T9" s="118">
        <v>-3842</v>
      </c>
      <c r="U9" s="118">
        <v>-2044</v>
      </c>
      <c r="V9" s="118">
        <v>-16341</v>
      </c>
      <c r="W9" s="118">
        <v>-4346</v>
      </c>
      <c r="X9" s="118">
        <v>-4653</v>
      </c>
      <c r="Y9" s="118">
        <v>-5749</v>
      </c>
      <c r="Z9" s="118">
        <v>-6352</v>
      </c>
      <c r="AA9" s="118">
        <v>-5750</v>
      </c>
      <c r="AB9" s="118">
        <v>-2009</v>
      </c>
      <c r="AC9" s="118">
        <v>-5509</v>
      </c>
      <c r="AD9" s="118">
        <v>-1698</v>
      </c>
      <c r="AE9" s="118">
        <v>-980</v>
      </c>
      <c r="AF9" s="118">
        <v>-1036</v>
      </c>
      <c r="AG9" s="118">
        <v>-4</v>
      </c>
      <c r="AH9" s="118">
        <v>-2461</v>
      </c>
      <c r="AI9" s="118">
        <v>562</v>
      </c>
      <c r="AJ9" s="118">
        <v>-28</v>
      </c>
      <c r="AK9" s="261">
        <v>-6930</v>
      </c>
      <c r="AL9" s="118">
        <v>-416</v>
      </c>
      <c r="AM9" s="118">
        <v>-478</v>
      </c>
      <c r="AN9" s="118">
        <v>-197</v>
      </c>
      <c r="AO9" s="118">
        <v>-369</v>
      </c>
      <c r="AP9" s="118">
        <v>-1068</v>
      </c>
      <c r="AQ9" s="118">
        <v>-894</v>
      </c>
      <c r="AR9" s="118">
        <v>-480</v>
      </c>
      <c r="AS9" s="118">
        <v>23</v>
      </c>
      <c r="AT9" s="118">
        <v>-476</v>
      </c>
      <c r="AU9" s="118">
        <v>-380</v>
      </c>
      <c r="AV9" s="118">
        <v>-206</v>
      </c>
      <c r="AW9" s="118">
        <v>-169</v>
      </c>
      <c r="AX9" s="118">
        <v>-926</v>
      </c>
      <c r="AY9" s="118">
        <v>760</v>
      </c>
    </row>
    <row r="10" spans="2:305" x14ac:dyDescent="0.2">
      <c r="B10" s="129" t="s">
        <v>878</v>
      </c>
      <c r="C10" s="118">
        <v>0</v>
      </c>
      <c r="D10" s="118">
        <v>0</v>
      </c>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261">
        <v>56475</v>
      </c>
      <c r="Z10" s="321">
        <v>0</v>
      </c>
      <c r="AA10" s="321">
        <v>0</v>
      </c>
      <c r="AB10" s="321">
        <v>0</v>
      </c>
      <c r="AC10" s="321">
        <v>0</v>
      </c>
      <c r="AD10" s="118">
        <v>0</v>
      </c>
      <c r="AE10" s="118">
        <v>0</v>
      </c>
      <c r="AF10" s="261">
        <v>5732</v>
      </c>
      <c r="AG10" s="118">
        <v>0</v>
      </c>
      <c r="AH10" s="118">
        <v>0</v>
      </c>
      <c r="AI10" s="118">
        <v>0</v>
      </c>
      <c r="AJ10" s="118">
        <v>0</v>
      </c>
      <c r="AK10" s="118">
        <v>0</v>
      </c>
      <c r="AL10" s="261">
        <v>9187</v>
      </c>
      <c r="AM10" s="118">
        <v>0</v>
      </c>
      <c r="AN10" s="118">
        <v>0</v>
      </c>
      <c r="AO10" s="118">
        <v>0</v>
      </c>
      <c r="AP10" s="118">
        <v>0</v>
      </c>
      <c r="AQ10" s="118">
        <v>0</v>
      </c>
      <c r="AR10" s="118">
        <v>0</v>
      </c>
      <c r="AS10" s="118">
        <v>0</v>
      </c>
      <c r="AT10" s="118">
        <v>0</v>
      </c>
      <c r="AU10" s="118">
        <v>0</v>
      </c>
      <c r="AV10" s="118">
        <v>0</v>
      </c>
      <c r="AW10" s="118">
        <v>0</v>
      </c>
      <c r="AX10" s="118">
        <v>0</v>
      </c>
      <c r="AY10" s="118">
        <v>0</v>
      </c>
    </row>
    <row r="11" spans="2:305" ht="15" customHeight="1" x14ac:dyDescent="0.2">
      <c r="B11" s="129" t="s">
        <v>876</v>
      </c>
      <c r="C11" s="118">
        <v>0</v>
      </c>
      <c r="D11" s="118">
        <v>0</v>
      </c>
      <c r="E11" s="118">
        <v>0</v>
      </c>
      <c r="F11" s="118">
        <v>0</v>
      </c>
      <c r="G11" s="118">
        <v>0</v>
      </c>
      <c r="H11" s="118">
        <v>0</v>
      </c>
      <c r="I11" s="118">
        <v>0</v>
      </c>
      <c r="J11" s="118">
        <v>0</v>
      </c>
      <c r="K11" s="118">
        <v>0</v>
      </c>
      <c r="L11" s="118">
        <v>0</v>
      </c>
      <c r="M11" s="118">
        <v>0</v>
      </c>
      <c r="N11" s="118">
        <v>0</v>
      </c>
      <c r="O11" s="118">
        <v>0</v>
      </c>
      <c r="P11" s="118">
        <v>0</v>
      </c>
      <c r="Q11" s="118">
        <v>0</v>
      </c>
      <c r="R11" s="118">
        <v>0</v>
      </c>
      <c r="S11" s="118">
        <v>0</v>
      </c>
      <c r="T11" s="118">
        <v>0</v>
      </c>
      <c r="U11" s="118">
        <v>0</v>
      </c>
      <c r="V11" s="118">
        <v>0</v>
      </c>
      <c r="W11" s="118">
        <v>0</v>
      </c>
      <c r="X11" s="118">
        <v>0</v>
      </c>
      <c r="Y11" s="118">
        <v>10</v>
      </c>
      <c r="Z11" s="118">
        <v>105</v>
      </c>
      <c r="AA11" s="118">
        <v>-2</v>
      </c>
      <c r="AB11" s="118">
        <v>38</v>
      </c>
      <c r="AC11" s="118">
        <v>36</v>
      </c>
      <c r="AD11" s="118">
        <v>35</v>
      </c>
      <c r="AE11" s="118">
        <v>2</v>
      </c>
      <c r="AF11" s="118">
        <v>1</v>
      </c>
      <c r="AG11" s="118">
        <v>0</v>
      </c>
      <c r="AH11" s="118">
        <v>0</v>
      </c>
      <c r="AI11" s="118">
        <v>3</v>
      </c>
      <c r="AJ11" s="118">
        <v>-3</v>
      </c>
      <c r="AK11" s="118">
        <v>0</v>
      </c>
      <c r="AL11" s="118">
        <v>0</v>
      </c>
      <c r="AM11" s="118">
        <v>0</v>
      </c>
      <c r="AN11" s="118">
        <v>0</v>
      </c>
      <c r="AO11" s="118">
        <v>0</v>
      </c>
      <c r="AP11" s="118">
        <v>0</v>
      </c>
      <c r="AQ11" s="118">
        <v>0</v>
      </c>
      <c r="AR11" s="118">
        <v>0</v>
      </c>
      <c r="AS11" s="118">
        <v>0</v>
      </c>
      <c r="AT11" s="118">
        <v>0</v>
      </c>
      <c r="AU11" s="118">
        <v>0</v>
      </c>
      <c r="AV11" s="118">
        <v>0</v>
      </c>
      <c r="AW11" s="118">
        <v>0</v>
      </c>
      <c r="AX11" s="118">
        <v>0</v>
      </c>
      <c r="AY11" s="118">
        <v>0</v>
      </c>
    </row>
    <row r="12" spans="2:305" x14ac:dyDescent="0.2">
      <c r="B12" s="129" t="s">
        <v>1116</v>
      </c>
      <c r="C12" s="118" t="s">
        <v>160</v>
      </c>
      <c r="D12" s="118" t="s">
        <v>160</v>
      </c>
      <c r="E12" s="118" t="s">
        <v>160</v>
      </c>
      <c r="F12" s="118" t="s">
        <v>160</v>
      </c>
      <c r="G12" s="118" t="s">
        <v>160</v>
      </c>
      <c r="H12" s="118" t="s">
        <v>160</v>
      </c>
      <c r="I12" s="118" t="s">
        <v>160</v>
      </c>
      <c r="J12" s="118" t="s">
        <v>160</v>
      </c>
      <c r="K12" s="118" t="s">
        <v>160</v>
      </c>
      <c r="L12" s="118" t="s">
        <v>160</v>
      </c>
      <c r="M12" s="118" t="s">
        <v>160</v>
      </c>
      <c r="N12" s="118" t="s">
        <v>160</v>
      </c>
      <c r="O12" s="118" t="s">
        <v>160</v>
      </c>
      <c r="P12" s="118" t="s">
        <v>160</v>
      </c>
      <c r="Q12" s="118" t="s">
        <v>160</v>
      </c>
      <c r="R12" s="118" t="s">
        <v>160</v>
      </c>
      <c r="S12" s="118" t="s">
        <v>160</v>
      </c>
      <c r="T12" s="118" t="s">
        <v>160</v>
      </c>
      <c r="U12" s="118" t="s">
        <v>160</v>
      </c>
      <c r="V12" s="118" t="s">
        <v>160</v>
      </c>
      <c r="W12" s="118" t="s">
        <v>160</v>
      </c>
      <c r="X12" s="118" t="s">
        <v>160</v>
      </c>
      <c r="Y12" s="118" t="s">
        <v>160</v>
      </c>
      <c r="Z12" s="118" t="s">
        <v>160</v>
      </c>
      <c r="AA12" s="118" t="s">
        <v>160</v>
      </c>
      <c r="AB12" s="118" t="s">
        <v>160</v>
      </c>
      <c r="AC12" s="118" t="s">
        <v>160</v>
      </c>
      <c r="AD12" s="118" t="s">
        <v>160</v>
      </c>
      <c r="AE12" s="118" t="s">
        <v>160</v>
      </c>
      <c r="AF12" s="118" t="s">
        <v>160</v>
      </c>
      <c r="AG12" s="118" t="s">
        <v>160</v>
      </c>
      <c r="AH12" s="261">
        <v>2592</v>
      </c>
      <c r="AI12" s="118">
        <v>0</v>
      </c>
      <c r="AJ12" s="118">
        <v>0</v>
      </c>
      <c r="AK12" s="118">
        <v>847</v>
      </c>
      <c r="AL12" s="118">
        <v>0</v>
      </c>
      <c r="AM12" s="118">
        <v>0</v>
      </c>
      <c r="AN12" s="118">
        <v>0</v>
      </c>
      <c r="AO12" s="118">
        <v>0</v>
      </c>
      <c r="AP12" s="118">
        <v>0</v>
      </c>
      <c r="AQ12" s="118">
        <v>0</v>
      </c>
      <c r="AR12" s="118">
        <v>0</v>
      </c>
      <c r="AS12" s="118">
        <v>0</v>
      </c>
      <c r="AT12" s="118">
        <v>0</v>
      </c>
      <c r="AU12" s="118">
        <v>0</v>
      </c>
      <c r="AV12" s="118">
        <v>0</v>
      </c>
      <c r="AW12" s="118">
        <v>0</v>
      </c>
      <c r="AX12" s="118">
        <v>0</v>
      </c>
      <c r="AY12" s="118">
        <v>0</v>
      </c>
    </row>
    <row r="13" spans="2:305" x14ac:dyDescent="0.2">
      <c r="B13" s="129" t="s">
        <v>128</v>
      </c>
      <c r="C13" s="118">
        <v>6</v>
      </c>
      <c r="D13" s="118">
        <v>17</v>
      </c>
      <c r="E13" s="118">
        <v>209</v>
      </c>
      <c r="F13" s="118">
        <v>647</v>
      </c>
      <c r="G13" s="118">
        <v>17</v>
      </c>
      <c r="H13" s="118">
        <v>38</v>
      </c>
      <c r="I13" s="118">
        <v>180</v>
      </c>
      <c r="J13" s="118">
        <v>-1764</v>
      </c>
      <c r="K13" s="118">
        <v>1048</v>
      </c>
      <c r="L13" s="118">
        <v>-32</v>
      </c>
      <c r="M13" s="118">
        <v>-186</v>
      </c>
      <c r="N13" s="118">
        <v>379</v>
      </c>
      <c r="O13" s="118">
        <v>2</v>
      </c>
      <c r="P13" s="118">
        <v>2</v>
      </c>
      <c r="Q13" s="118">
        <v>692</v>
      </c>
      <c r="R13" s="118">
        <v>-1648</v>
      </c>
      <c r="S13" s="118">
        <v>4893</v>
      </c>
      <c r="T13" s="118">
        <v>-66</v>
      </c>
      <c r="U13" s="118">
        <v>-2233</v>
      </c>
      <c r="V13" s="118">
        <v>1399</v>
      </c>
      <c r="W13" s="118">
        <v>169</v>
      </c>
      <c r="X13" s="118">
        <v>-938</v>
      </c>
      <c r="Y13" s="118">
        <v>-68</v>
      </c>
      <c r="Z13" s="118">
        <v>153</v>
      </c>
      <c r="AA13" s="118">
        <v>-60</v>
      </c>
      <c r="AB13" s="118">
        <v>-72</v>
      </c>
      <c r="AC13" s="118">
        <v>259</v>
      </c>
      <c r="AD13" s="118">
        <v>-2309</v>
      </c>
      <c r="AE13" s="261">
        <v>6571</v>
      </c>
      <c r="AF13" s="118">
        <v>-1266</v>
      </c>
      <c r="AG13" s="118">
        <v>337</v>
      </c>
      <c r="AH13" s="118">
        <v>-503</v>
      </c>
      <c r="AI13" s="118">
        <v>164</v>
      </c>
      <c r="AJ13" s="118">
        <v>-493</v>
      </c>
      <c r="AK13" s="118">
        <v>-360</v>
      </c>
      <c r="AL13" s="261">
        <v>-3044</v>
      </c>
      <c r="AM13" s="118">
        <v>819</v>
      </c>
      <c r="AN13" s="118">
        <v>-233</v>
      </c>
      <c r="AO13" s="118">
        <v>-42</v>
      </c>
      <c r="AP13" s="118">
        <v>-933</v>
      </c>
      <c r="AQ13" s="118">
        <v>-156</v>
      </c>
      <c r="AR13" s="118">
        <v>649</v>
      </c>
      <c r="AS13" s="118">
        <v>-324</v>
      </c>
      <c r="AT13" s="118">
        <v>1956</v>
      </c>
      <c r="AU13" s="118">
        <v>948</v>
      </c>
      <c r="AV13" s="118">
        <v>-970</v>
      </c>
      <c r="AW13" s="118">
        <v>37</v>
      </c>
      <c r="AX13" s="118">
        <v>-218</v>
      </c>
      <c r="AY13" s="261">
        <v>3288</v>
      </c>
    </row>
    <row r="14" spans="2:305" s="248" customFormat="1" ht="15" hidden="1" customHeight="1" outlineLevel="1" x14ac:dyDescent="0.2">
      <c r="B14" s="249" t="s">
        <v>581</v>
      </c>
      <c r="C14" s="218">
        <v>0</v>
      </c>
      <c r="D14" s="218">
        <v>0</v>
      </c>
      <c r="E14" s="218">
        <v>0</v>
      </c>
      <c r="F14" s="218">
        <v>0</v>
      </c>
      <c r="G14" s="218">
        <v>0</v>
      </c>
      <c r="H14" s="218">
        <v>0</v>
      </c>
      <c r="I14" s="218">
        <v>0</v>
      </c>
      <c r="J14" s="218">
        <v>0</v>
      </c>
      <c r="K14" s="218">
        <v>0</v>
      </c>
      <c r="L14" s="218">
        <v>0</v>
      </c>
      <c r="M14" s="218">
        <v>0</v>
      </c>
      <c r="N14" s="218">
        <v>0</v>
      </c>
      <c r="O14" s="218">
        <v>0</v>
      </c>
      <c r="P14" s="218">
        <v>-223</v>
      </c>
      <c r="Q14" s="218">
        <v>0</v>
      </c>
      <c r="R14" s="218">
        <v>0</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c r="AN14" s="218">
        <v>0</v>
      </c>
      <c r="AO14" s="218">
        <v>0</v>
      </c>
      <c r="AP14" s="218">
        <v>0</v>
      </c>
      <c r="AQ14" s="218">
        <v>0</v>
      </c>
      <c r="AR14" s="218"/>
      <c r="AS14" s="218"/>
      <c r="AT14" s="218"/>
      <c r="AU14" s="218"/>
      <c r="AV14" s="218">
        <v>0</v>
      </c>
      <c r="AW14" s="218">
        <v>0</v>
      </c>
      <c r="AX14" s="218">
        <v>0</v>
      </c>
      <c r="AY14" s="218">
        <v>0</v>
      </c>
      <c r="AZ14" s="752"/>
      <c r="BA14" s="752"/>
      <c r="BB14" s="752"/>
      <c r="BC14" s="752"/>
      <c r="BD14" s="752"/>
      <c r="BE14" s="752"/>
      <c r="BF14" s="752"/>
      <c r="BG14" s="752"/>
      <c r="BH14" s="752"/>
      <c r="BI14" s="752"/>
      <c r="BJ14" s="752"/>
      <c r="BK14" s="752"/>
      <c r="BL14" s="752"/>
      <c r="BM14" s="752"/>
      <c r="BN14" s="752"/>
      <c r="BO14" s="752"/>
      <c r="BP14" s="752"/>
      <c r="BQ14" s="752"/>
      <c r="BR14" s="752"/>
      <c r="BS14" s="752"/>
      <c r="BT14" s="752"/>
      <c r="BU14" s="752"/>
      <c r="BV14" s="752"/>
      <c r="BW14" s="752"/>
      <c r="BX14" s="752"/>
      <c r="BY14" s="752"/>
      <c r="BZ14" s="752"/>
      <c r="CA14" s="752"/>
      <c r="CB14" s="752"/>
      <c r="CC14" s="752"/>
      <c r="CD14" s="752"/>
      <c r="CE14" s="752"/>
      <c r="CF14" s="752"/>
      <c r="CG14" s="752"/>
      <c r="CH14" s="752"/>
      <c r="CI14" s="752"/>
      <c r="CJ14" s="752"/>
      <c r="CK14" s="752"/>
      <c r="CL14" s="752"/>
      <c r="CM14" s="752"/>
      <c r="CN14" s="752"/>
      <c r="CO14" s="752"/>
      <c r="CP14" s="752"/>
      <c r="CQ14" s="752"/>
      <c r="CR14" s="752"/>
      <c r="CS14" s="752"/>
      <c r="CT14" s="752"/>
      <c r="CU14" s="752"/>
      <c r="CV14" s="752"/>
      <c r="CW14" s="752"/>
      <c r="CX14" s="752"/>
      <c r="CY14" s="752"/>
      <c r="CZ14" s="752"/>
      <c r="DA14" s="752"/>
      <c r="DB14" s="752"/>
      <c r="DC14" s="752"/>
      <c r="DD14" s="752"/>
      <c r="DE14" s="752"/>
      <c r="DF14" s="752"/>
      <c r="DG14" s="752"/>
      <c r="DH14" s="752"/>
      <c r="DI14" s="752"/>
      <c r="DJ14" s="752"/>
      <c r="DK14" s="752"/>
      <c r="DL14" s="752"/>
      <c r="DM14" s="752"/>
      <c r="DN14" s="752"/>
      <c r="DO14" s="752"/>
      <c r="DP14" s="752"/>
      <c r="DQ14" s="752"/>
      <c r="DR14" s="752"/>
      <c r="DS14" s="752"/>
      <c r="DT14" s="752"/>
      <c r="DU14" s="752"/>
      <c r="DV14" s="752"/>
      <c r="DW14" s="752"/>
      <c r="DX14" s="752"/>
      <c r="DY14" s="752"/>
      <c r="DZ14" s="752"/>
      <c r="EA14" s="752"/>
      <c r="EB14" s="752"/>
      <c r="EC14" s="752"/>
      <c r="ED14" s="752"/>
      <c r="EE14" s="752"/>
      <c r="EF14" s="752"/>
      <c r="EG14" s="752"/>
      <c r="EH14" s="752"/>
      <c r="EI14" s="752"/>
      <c r="EJ14" s="752"/>
      <c r="EK14" s="752"/>
      <c r="EL14" s="752"/>
      <c r="EM14" s="752"/>
      <c r="EN14" s="752"/>
      <c r="EO14" s="752"/>
      <c r="EP14" s="752"/>
      <c r="EQ14" s="752"/>
      <c r="ER14" s="752"/>
      <c r="ES14" s="752"/>
      <c r="ET14" s="752"/>
      <c r="EU14" s="752"/>
      <c r="EV14" s="752"/>
      <c r="EW14" s="752"/>
      <c r="EX14" s="752"/>
      <c r="EY14" s="752"/>
      <c r="EZ14" s="752"/>
      <c r="FA14" s="752"/>
      <c r="FB14" s="752"/>
      <c r="FC14" s="752"/>
      <c r="FD14" s="752"/>
      <c r="FE14" s="752"/>
      <c r="FF14" s="752"/>
      <c r="FG14" s="752"/>
      <c r="FH14" s="752"/>
      <c r="FI14" s="752"/>
      <c r="FJ14" s="752"/>
      <c r="FK14" s="752"/>
      <c r="FL14" s="752"/>
      <c r="FM14" s="752"/>
      <c r="FN14" s="752"/>
      <c r="FO14" s="752"/>
      <c r="FP14" s="752"/>
      <c r="FQ14" s="752"/>
      <c r="FR14" s="752"/>
      <c r="FS14" s="752"/>
      <c r="FT14" s="752"/>
      <c r="FU14" s="752"/>
      <c r="FV14" s="752"/>
      <c r="FW14" s="752"/>
      <c r="FX14" s="752"/>
      <c r="FY14" s="752"/>
      <c r="FZ14" s="752"/>
      <c r="GA14" s="752"/>
      <c r="GB14" s="752"/>
      <c r="GC14" s="752"/>
      <c r="GD14" s="752"/>
      <c r="GE14" s="752"/>
      <c r="GF14" s="752"/>
      <c r="GG14" s="752"/>
      <c r="GH14" s="752"/>
      <c r="GI14" s="752"/>
      <c r="GJ14" s="752"/>
      <c r="GK14" s="752"/>
      <c r="GL14" s="752"/>
      <c r="GM14" s="752"/>
      <c r="GN14" s="752"/>
      <c r="GO14" s="752"/>
      <c r="GP14" s="752"/>
      <c r="GQ14" s="752"/>
      <c r="GR14" s="752"/>
      <c r="GS14" s="752"/>
      <c r="GT14" s="752"/>
      <c r="GU14" s="752"/>
      <c r="GV14" s="752"/>
      <c r="GW14" s="752"/>
      <c r="GX14" s="752"/>
      <c r="GY14" s="752"/>
      <c r="GZ14" s="752"/>
      <c r="HA14" s="752"/>
      <c r="HB14" s="752"/>
      <c r="HC14" s="752"/>
      <c r="HD14" s="752"/>
      <c r="HE14" s="752"/>
      <c r="HF14" s="752"/>
      <c r="HG14" s="752"/>
      <c r="HH14" s="752"/>
      <c r="HI14" s="752"/>
      <c r="HJ14" s="752"/>
      <c r="HK14" s="752"/>
      <c r="HL14" s="752"/>
      <c r="HM14" s="752"/>
      <c r="HN14" s="752"/>
      <c r="HO14" s="752"/>
      <c r="HP14" s="752"/>
      <c r="HQ14" s="752"/>
      <c r="HR14" s="752"/>
      <c r="HS14" s="752"/>
      <c r="HT14" s="752"/>
      <c r="HU14" s="752"/>
      <c r="HV14" s="752"/>
      <c r="HW14" s="752"/>
      <c r="HX14" s="752"/>
      <c r="HY14" s="752"/>
      <c r="HZ14" s="752"/>
      <c r="IA14" s="752"/>
      <c r="IB14" s="752"/>
      <c r="IC14" s="752"/>
      <c r="ID14" s="752"/>
      <c r="IE14" s="752"/>
      <c r="IF14" s="752"/>
      <c r="IG14" s="752"/>
      <c r="IH14" s="752"/>
      <c r="II14" s="752"/>
      <c r="IJ14" s="752"/>
      <c r="IK14" s="752"/>
      <c r="IL14" s="752"/>
      <c r="IM14" s="752"/>
      <c r="IN14" s="752"/>
      <c r="IO14" s="752"/>
      <c r="IP14" s="752"/>
      <c r="IQ14" s="752"/>
      <c r="IR14" s="752"/>
      <c r="IS14" s="752"/>
      <c r="IT14" s="752"/>
      <c r="IU14" s="752"/>
      <c r="IV14" s="752"/>
      <c r="IW14" s="752"/>
      <c r="IX14" s="752"/>
      <c r="IY14" s="752"/>
      <c r="IZ14" s="752"/>
      <c r="JA14" s="752"/>
      <c r="JB14" s="752"/>
      <c r="JC14" s="752"/>
      <c r="JD14" s="752"/>
      <c r="JE14" s="752"/>
      <c r="JF14" s="752"/>
      <c r="JG14" s="752"/>
      <c r="JH14" s="752"/>
      <c r="JI14" s="752"/>
      <c r="JJ14" s="752"/>
      <c r="JK14" s="752"/>
      <c r="JL14" s="752"/>
      <c r="JM14" s="752"/>
      <c r="JN14" s="752"/>
      <c r="JO14" s="752"/>
      <c r="JP14" s="752"/>
      <c r="JQ14" s="752"/>
      <c r="JR14" s="752"/>
      <c r="JS14" s="752"/>
      <c r="JT14" s="752"/>
      <c r="JU14" s="752"/>
      <c r="JV14" s="752"/>
      <c r="JW14" s="752"/>
      <c r="JX14" s="752"/>
      <c r="JY14" s="752"/>
      <c r="JZ14" s="752"/>
      <c r="KA14" s="752"/>
      <c r="KB14" s="752"/>
      <c r="KC14" s="752"/>
      <c r="KD14" s="752"/>
      <c r="KE14" s="752"/>
      <c r="KF14" s="752"/>
      <c r="KG14" s="752"/>
      <c r="KH14" s="752"/>
      <c r="KI14" s="752"/>
      <c r="KJ14" s="752"/>
      <c r="KK14" s="752"/>
      <c r="KL14" s="752"/>
      <c r="KM14" s="752"/>
      <c r="KN14" s="752"/>
      <c r="KO14" s="752"/>
      <c r="KP14" s="752"/>
      <c r="KQ14" s="752"/>
      <c r="KR14" s="752"/>
      <c r="KS14" s="752"/>
    </row>
    <row r="15" spans="2:305" s="248" customFormat="1" ht="15" hidden="1" customHeight="1" outlineLevel="1" x14ac:dyDescent="0.2">
      <c r="B15" s="249" t="s">
        <v>126</v>
      </c>
      <c r="C15" s="218">
        <v>-372</v>
      </c>
      <c r="D15" s="218">
        <v>-1631</v>
      </c>
      <c r="E15" s="218">
        <v>-12619</v>
      </c>
      <c r="F15" s="218">
        <v>-5339</v>
      </c>
      <c r="G15" s="218">
        <v>-808</v>
      </c>
      <c r="H15" s="218">
        <v>-894</v>
      </c>
      <c r="I15" s="218">
        <v>-1732</v>
      </c>
      <c r="J15" s="218">
        <v>-1087</v>
      </c>
      <c r="K15" s="218">
        <v>-734</v>
      </c>
      <c r="L15" s="218">
        <v>-956</v>
      </c>
      <c r="M15" s="218">
        <v>-162</v>
      </c>
      <c r="N15" s="218">
        <v>-879</v>
      </c>
      <c r="O15" s="218">
        <v>-168</v>
      </c>
      <c r="P15" s="218">
        <v>-13</v>
      </c>
      <c r="Q15" s="218">
        <v>-1851</v>
      </c>
      <c r="R15" s="218">
        <v>1939</v>
      </c>
      <c r="S15" s="218">
        <v>-63</v>
      </c>
      <c r="T15" s="218">
        <v>410</v>
      </c>
      <c r="U15" s="218">
        <v>308</v>
      </c>
      <c r="V15" s="218">
        <v>-1751</v>
      </c>
      <c r="W15" s="218">
        <v>-76</v>
      </c>
      <c r="X15" s="218">
        <v>1492</v>
      </c>
      <c r="Y15" s="218">
        <v>-132</v>
      </c>
      <c r="Z15" s="218">
        <v>-1284</v>
      </c>
      <c r="AA15" s="218">
        <v>0</v>
      </c>
      <c r="AB15" s="218">
        <v>0</v>
      </c>
      <c r="AC15" s="218">
        <v>0</v>
      </c>
      <c r="AD15" s="218">
        <v>0</v>
      </c>
      <c r="AE15" s="218">
        <v>0</v>
      </c>
      <c r="AF15" s="218">
        <v>0</v>
      </c>
      <c r="AG15" s="218">
        <v>0</v>
      </c>
      <c r="AH15" s="218">
        <v>0</v>
      </c>
      <c r="AI15" s="218">
        <v>0</v>
      </c>
      <c r="AJ15" s="218">
        <v>0</v>
      </c>
      <c r="AK15" s="218">
        <v>0</v>
      </c>
      <c r="AL15" s="218">
        <v>0</v>
      </c>
      <c r="AM15" s="218">
        <v>0</v>
      </c>
      <c r="AN15" s="218">
        <v>0</v>
      </c>
      <c r="AO15" s="218">
        <v>0</v>
      </c>
      <c r="AP15" s="218">
        <v>0</v>
      </c>
      <c r="AQ15" s="218">
        <v>0</v>
      </c>
      <c r="AR15" s="218"/>
      <c r="AS15" s="218"/>
      <c r="AT15" s="218"/>
      <c r="AU15" s="218"/>
      <c r="AV15" s="218">
        <v>0</v>
      </c>
      <c r="AW15" s="218">
        <v>0</v>
      </c>
      <c r="AX15" s="218">
        <v>0</v>
      </c>
      <c r="AY15" s="218">
        <v>0</v>
      </c>
      <c r="AZ15" s="752"/>
      <c r="BA15" s="752"/>
      <c r="BB15" s="752"/>
      <c r="BC15" s="752"/>
      <c r="BD15" s="752"/>
      <c r="BE15" s="752"/>
      <c r="BF15" s="752"/>
      <c r="BG15" s="752"/>
      <c r="BH15" s="752"/>
      <c r="BI15" s="752"/>
      <c r="BJ15" s="752"/>
      <c r="BK15" s="752"/>
      <c r="BL15" s="752"/>
      <c r="BM15" s="752"/>
      <c r="BN15" s="752"/>
      <c r="BO15" s="752"/>
      <c r="BP15" s="752"/>
      <c r="BQ15" s="752"/>
      <c r="BR15" s="752"/>
      <c r="BS15" s="752"/>
      <c r="BT15" s="752"/>
      <c r="BU15" s="752"/>
      <c r="BV15" s="752"/>
      <c r="BW15" s="752"/>
      <c r="BX15" s="752"/>
      <c r="BY15" s="752"/>
      <c r="BZ15" s="752"/>
      <c r="CA15" s="752"/>
      <c r="CB15" s="752"/>
      <c r="CC15" s="752"/>
      <c r="CD15" s="752"/>
      <c r="CE15" s="752"/>
      <c r="CF15" s="752"/>
      <c r="CG15" s="752"/>
      <c r="CH15" s="752"/>
      <c r="CI15" s="752"/>
      <c r="CJ15" s="752"/>
      <c r="CK15" s="752"/>
      <c r="CL15" s="752"/>
      <c r="CM15" s="752"/>
      <c r="CN15" s="752"/>
      <c r="CO15" s="752"/>
      <c r="CP15" s="752"/>
      <c r="CQ15" s="752"/>
      <c r="CR15" s="752"/>
      <c r="CS15" s="752"/>
      <c r="CT15" s="752"/>
      <c r="CU15" s="752"/>
      <c r="CV15" s="752"/>
      <c r="CW15" s="752"/>
      <c r="CX15" s="752"/>
      <c r="CY15" s="752"/>
      <c r="CZ15" s="752"/>
      <c r="DA15" s="752"/>
      <c r="DB15" s="752"/>
      <c r="DC15" s="752"/>
      <c r="DD15" s="752"/>
      <c r="DE15" s="752"/>
      <c r="DF15" s="752"/>
      <c r="DG15" s="752"/>
      <c r="DH15" s="752"/>
      <c r="DI15" s="752"/>
      <c r="DJ15" s="752"/>
      <c r="DK15" s="752"/>
      <c r="DL15" s="752"/>
      <c r="DM15" s="752"/>
      <c r="DN15" s="752"/>
      <c r="DO15" s="752"/>
      <c r="DP15" s="752"/>
      <c r="DQ15" s="752"/>
      <c r="DR15" s="752"/>
      <c r="DS15" s="752"/>
      <c r="DT15" s="752"/>
      <c r="DU15" s="752"/>
      <c r="DV15" s="752"/>
      <c r="DW15" s="752"/>
      <c r="DX15" s="752"/>
      <c r="DY15" s="752"/>
      <c r="DZ15" s="752"/>
      <c r="EA15" s="752"/>
      <c r="EB15" s="752"/>
      <c r="EC15" s="752"/>
      <c r="ED15" s="752"/>
      <c r="EE15" s="752"/>
      <c r="EF15" s="752"/>
      <c r="EG15" s="752"/>
      <c r="EH15" s="752"/>
      <c r="EI15" s="752"/>
      <c r="EJ15" s="752"/>
      <c r="EK15" s="752"/>
      <c r="EL15" s="752"/>
      <c r="EM15" s="752"/>
      <c r="EN15" s="752"/>
      <c r="EO15" s="752"/>
      <c r="EP15" s="752"/>
      <c r="EQ15" s="752"/>
      <c r="ER15" s="752"/>
      <c r="ES15" s="752"/>
      <c r="ET15" s="752"/>
      <c r="EU15" s="752"/>
      <c r="EV15" s="752"/>
      <c r="EW15" s="752"/>
      <c r="EX15" s="752"/>
      <c r="EY15" s="752"/>
      <c r="EZ15" s="752"/>
      <c r="FA15" s="752"/>
      <c r="FB15" s="752"/>
      <c r="FC15" s="752"/>
      <c r="FD15" s="752"/>
      <c r="FE15" s="752"/>
      <c r="FF15" s="752"/>
      <c r="FG15" s="752"/>
      <c r="FH15" s="752"/>
      <c r="FI15" s="752"/>
      <c r="FJ15" s="752"/>
      <c r="FK15" s="752"/>
      <c r="FL15" s="752"/>
      <c r="FM15" s="752"/>
      <c r="FN15" s="752"/>
      <c r="FO15" s="752"/>
      <c r="FP15" s="752"/>
      <c r="FQ15" s="752"/>
      <c r="FR15" s="752"/>
      <c r="FS15" s="752"/>
      <c r="FT15" s="752"/>
      <c r="FU15" s="752"/>
      <c r="FV15" s="752"/>
      <c r="FW15" s="752"/>
      <c r="FX15" s="752"/>
      <c r="FY15" s="752"/>
      <c r="FZ15" s="752"/>
      <c r="GA15" s="752"/>
      <c r="GB15" s="752"/>
      <c r="GC15" s="752"/>
      <c r="GD15" s="752"/>
      <c r="GE15" s="752"/>
      <c r="GF15" s="752"/>
      <c r="GG15" s="752"/>
      <c r="GH15" s="752"/>
      <c r="GI15" s="752"/>
      <c r="GJ15" s="752"/>
      <c r="GK15" s="752"/>
      <c r="GL15" s="752"/>
      <c r="GM15" s="752"/>
      <c r="GN15" s="752"/>
      <c r="GO15" s="752"/>
      <c r="GP15" s="752"/>
      <c r="GQ15" s="752"/>
      <c r="GR15" s="752"/>
      <c r="GS15" s="752"/>
      <c r="GT15" s="752"/>
      <c r="GU15" s="752"/>
      <c r="GV15" s="752"/>
      <c r="GW15" s="752"/>
      <c r="GX15" s="752"/>
      <c r="GY15" s="752"/>
      <c r="GZ15" s="752"/>
      <c r="HA15" s="752"/>
      <c r="HB15" s="752"/>
      <c r="HC15" s="752"/>
      <c r="HD15" s="752"/>
      <c r="HE15" s="752"/>
      <c r="HF15" s="752"/>
      <c r="HG15" s="752"/>
      <c r="HH15" s="752"/>
      <c r="HI15" s="752"/>
      <c r="HJ15" s="752"/>
      <c r="HK15" s="752"/>
      <c r="HL15" s="752"/>
      <c r="HM15" s="752"/>
      <c r="HN15" s="752"/>
      <c r="HO15" s="752"/>
      <c r="HP15" s="752"/>
      <c r="HQ15" s="752"/>
      <c r="HR15" s="752"/>
      <c r="HS15" s="752"/>
      <c r="HT15" s="752"/>
      <c r="HU15" s="752"/>
      <c r="HV15" s="752"/>
      <c r="HW15" s="752"/>
      <c r="HX15" s="752"/>
      <c r="HY15" s="752"/>
      <c r="HZ15" s="752"/>
      <c r="IA15" s="752"/>
      <c r="IB15" s="752"/>
      <c r="IC15" s="752"/>
      <c r="ID15" s="752"/>
      <c r="IE15" s="752"/>
      <c r="IF15" s="752"/>
      <c r="IG15" s="752"/>
      <c r="IH15" s="752"/>
      <c r="II15" s="752"/>
      <c r="IJ15" s="752"/>
      <c r="IK15" s="752"/>
      <c r="IL15" s="752"/>
      <c r="IM15" s="752"/>
      <c r="IN15" s="752"/>
      <c r="IO15" s="752"/>
      <c r="IP15" s="752"/>
      <c r="IQ15" s="752"/>
      <c r="IR15" s="752"/>
      <c r="IS15" s="752"/>
      <c r="IT15" s="752"/>
      <c r="IU15" s="752"/>
      <c r="IV15" s="752"/>
      <c r="IW15" s="752"/>
      <c r="IX15" s="752"/>
      <c r="IY15" s="752"/>
      <c r="IZ15" s="752"/>
      <c r="JA15" s="752"/>
      <c r="JB15" s="752"/>
      <c r="JC15" s="752"/>
      <c r="JD15" s="752"/>
      <c r="JE15" s="752"/>
      <c r="JF15" s="752"/>
      <c r="JG15" s="752"/>
      <c r="JH15" s="752"/>
      <c r="JI15" s="752"/>
      <c r="JJ15" s="752"/>
      <c r="JK15" s="752"/>
      <c r="JL15" s="752"/>
      <c r="JM15" s="752"/>
      <c r="JN15" s="752"/>
      <c r="JO15" s="752"/>
      <c r="JP15" s="752"/>
      <c r="JQ15" s="752"/>
      <c r="JR15" s="752"/>
      <c r="JS15" s="752"/>
      <c r="JT15" s="752"/>
      <c r="JU15" s="752"/>
      <c r="JV15" s="752"/>
      <c r="JW15" s="752"/>
      <c r="JX15" s="752"/>
      <c r="JY15" s="752"/>
      <c r="JZ15" s="752"/>
      <c r="KA15" s="752"/>
      <c r="KB15" s="752"/>
      <c r="KC15" s="752"/>
      <c r="KD15" s="752"/>
      <c r="KE15" s="752"/>
      <c r="KF15" s="752"/>
      <c r="KG15" s="752"/>
      <c r="KH15" s="752"/>
      <c r="KI15" s="752"/>
      <c r="KJ15" s="752"/>
      <c r="KK15" s="752"/>
      <c r="KL15" s="752"/>
      <c r="KM15" s="752"/>
      <c r="KN15" s="752"/>
      <c r="KO15" s="752"/>
      <c r="KP15" s="752"/>
      <c r="KQ15" s="752"/>
      <c r="KR15" s="752"/>
      <c r="KS15" s="752"/>
    </row>
    <row r="16" spans="2:305" s="248" customFormat="1" ht="15" hidden="1" customHeight="1" outlineLevel="1" x14ac:dyDescent="0.2">
      <c r="B16" s="249" t="s">
        <v>750</v>
      </c>
      <c r="C16" s="218">
        <v>0</v>
      </c>
      <c r="D16" s="218">
        <v>0</v>
      </c>
      <c r="E16" s="218">
        <v>0</v>
      </c>
      <c r="F16" s="218">
        <v>0</v>
      </c>
      <c r="G16" s="218">
        <v>0</v>
      </c>
      <c r="H16" s="218">
        <v>0</v>
      </c>
      <c r="I16" s="218">
        <v>0</v>
      </c>
      <c r="J16" s="218">
        <v>0</v>
      </c>
      <c r="K16" s="218">
        <v>0</v>
      </c>
      <c r="L16" s="218">
        <v>0</v>
      </c>
      <c r="M16" s="218">
        <v>0</v>
      </c>
      <c r="N16" s="218">
        <v>0</v>
      </c>
      <c r="O16" s="218">
        <v>0</v>
      </c>
      <c r="P16" s="218">
        <v>0</v>
      </c>
      <c r="Q16" s="218">
        <v>0</v>
      </c>
      <c r="R16" s="218">
        <v>0</v>
      </c>
      <c r="S16" s="218">
        <v>-2527</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v>0</v>
      </c>
      <c r="AK16" s="218">
        <v>0</v>
      </c>
      <c r="AL16" s="218">
        <v>0</v>
      </c>
      <c r="AM16" s="218">
        <v>0</v>
      </c>
      <c r="AN16" s="218">
        <v>0</v>
      </c>
      <c r="AO16" s="218">
        <v>0</v>
      </c>
      <c r="AP16" s="218">
        <v>0</v>
      </c>
      <c r="AQ16" s="218">
        <v>0</v>
      </c>
      <c r="AR16" s="218"/>
      <c r="AS16" s="218"/>
      <c r="AT16" s="218"/>
      <c r="AU16" s="218"/>
      <c r="AV16" s="218">
        <v>0</v>
      </c>
      <c r="AW16" s="218">
        <v>0</v>
      </c>
      <c r="AX16" s="218">
        <v>0</v>
      </c>
      <c r="AY16" s="218">
        <v>0</v>
      </c>
      <c r="AZ16" s="752"/>
      <c r="BA16" s="752"/>
      <c r="BB16" s="752"/>
      <c r="BC16" s="752"/>
      <c r="BD16" s="752"/>
      <c r="BE16" s="752"/>
      <c r="BF16" s="752"/>
      <c r="BG16" s="752"/>
      <c r="BH16" s="752"/>
      <c r="BI16" s="752"/>
      <c r="BJ16" s="752"/>
      <c r="BK16" s="752"/>
      <c r="BL16" s="752"/>
      <c r="BM16" s="752"/>
      <c r="BN16" s="752"/>
      <c r="BO16" s="752"/>
      <c r="BP16" s="752"/>
      <c r="BQ16" s="752"/>
      <c r="BR16" s="752"/>
      <c r="BS16" s="752"/>
      <c r="BT16" s="752"/>
      <c r="BU16" s="752"/>
      <c r="BV16" s="752"/>
      <c r="BW16" s="752"/>
      <c r="BX16" s="752"/>
      <c r="BY16" s="752"/>
      <c r="BZ16" s="752"/>
      <c r="CA16" s="752"/>
      <c r="CB16" s="752"/>
      <c r="CC16" s="752"/>
      <c r="CD16" s="752"/>
      <c r="CE16" s="752"/>
      <c r="CF16" s="752"/>
      <c r="CG16" s="752"/>
      <c r="CH16" s="752"/>
      <c r="CI16" s="752"/>
      <c r="CJ16" s="752"/>
      <c r="CK16" s="752"/>
      <c r="CL16" s="752"/>
      <c r="CM16" s="752"/>
      <c r="CN16" s="752"/>
      <c r="CO16" s="752"/>
      <c r="CP16" s="752"/>
      <c r="CQ16" s="752"/>
      <c r="CR16" s="752"/>
      <c r="CS16" s="752"/>
      <c r="CT16" s="752"/>
      <c r="CU16" s="752"/>
      <c r="CV16" s="752"/>
      <c r="CW16" s="752"/>
      <c r="CX16" s="752"/>
      <c r="CY16" s="752"/>
      <c r="CZ16" s="752"/>
      <c r="DA16" s="752"/>
      <c r="DB16" s="752"/>
      <c r="DC16" s="752"/>
      <c r="DD16" s="752"/>
      <c r="DE16" s="752"/>
      <c r="DF16" s="752"/>
      <c r="DG16" s="752"/>
      <c r="DH16" s="752"/>
      <c r="DI16" s="752"/>
      <c r="DJ16" s="752"/>
      <c r="DK16" s="752"/>
      <c r="DL16" s="752"/>
      <c r="DM16" s="752"/>
      <c r="DN16" s="752"/>
      <c r="DO16" s="752"/>
      <c r="DP16" s="752"/>
      <c r="DQ16" s="752"/>
      <c r="DR16" s="752"/>
      <c r="DS16" s="752"/>
      <c r="DT16" s="752"/>
      <c r="DU16" s="752"/>
      <c r="DV16" s="752"/>
      <c r="DW16" s="752"/>
      <c r="DX16" s="752"/>
      <c r="DY16" s="752"/>
      <c r="DZ16" s="752"/>
      <c r="EA16" s="752"/>
      <c r="EB16" s="752"/>
      <c r="EC16" s="752"/>
      <c r="ED16" s="752"/>
      <c r="EE16" s="752"/>
      <c r="EF16" s="752"/>
      <c r="EG16" s="752"/>
      <c r="EH16" s="752"/>
      <c r="EI16" s="752"/>
      <c r="EJ16" s="752"/>
      <c r="EK16" s="752"/>
      <c r="EL16" s="752"/>
      <c r="EM16" s="752"/>
      <c r="EN16" s="752"/>
      <c r="EO16" s="752"/>
      <c r="EP16" s="752"/>
      <c r="EQ16" s="752"/>
      <c r="ER16" s="752"/>
      <c r="ES16" s="752"/>
      <c r="ET16" s="752"/>
      <c r="EU16" s="752"/>
      <c r="EV16" s="752"/>
      <c r="EW16" s="752"/>
      <c r="EX16" s="752"/>
      <c r="EY16" s="752"/>
      <c r="EZ16" s="752"/>
      <c r="FA16" s="752"/>
      <c r="FB16" s="752"/>
      <c r="FC16" s="752"/>
      <c r="FD16" s="752"/>
      <c r="FE16" s="752"/>
      <c r="FF16" s="752"/>
      <c r="FG16" s="752"/>
      <c r="FH16" s="752"/>
      <c r="FI16" s="752"/>
      <c r="FJ16" s="752"/>
      <c r="FK16" s="752"/>
      <c r="FL16" s="752"/>
      <c r="FM16" s="752"/>
      <c r="FN16" s="752"/>
      <c r="FO16" s="752"/>
      <c r="FP16" s="752"/>
      <c r="FQ16" s="752"/>
      <c r="FR16" s="752"/>
      <c r="FS16" s="752"/>
      <c r="FT16" s="752"/>
      <c r="FU16" s="752"/>
      <c r="FV16" s="752"/>
      <c r="FW16" s="752"/>
      <c r="FX16" s="752"/>
      <c r="FY16" s="752"/>
      <c r="FZ16" s="752"/>
      <c r="GA16" s="752"/>
      <c r="GB16" s="752"/>
      <c r="GC16" s="752"/>
      <c r="GD16" s="752"/>
      <c r="GE16" s="752"/>
      <c r="GF16" s="752"/>
      <c r="GG16" s="752"/>
      <c r="GH16" s="752"/>
      <c r="GI16" s="752"/>
      <c r="GJ16" s="752"/>
      <c r="GK16" s="752"/>
      <c r="GL16" s="752"/>
      <c r="GM16" s="752"/>
      <c r="GN16" s="752"/>
      <c r="GO16" s="752"/>
      <c r="GP16" s="752"/>
      <c r="GQ16" s="752"/>
      <c r="GR16" s="752"/>
      <c r="GS16" s="752"/>
      <c r="GT16" s="752"/>
      <c r="GU16" s="752"/>
      <c r="GV16" s="752"/>
      <c r="GW16" s="752"/>
      <c r="GX16" s="752"/>
      <c r="GY16" s="752"/>
      <c r="GZ16" s="752"/>
      <c r="HA16" s="752"/>
      <c r="HB16" s="752"/>
      <c r="HC16" s="752"/>
      <c r="HD16" s="752"/>
      <c r="HE16" s="752"/>
      <c r="HF16" s="752"/>
      <c r="HG16" s="752"/>
      <c r="HH16" s="752"/>
      <c r="HI16" s="752"/>
      <c r="HJ16" s="752"/>
      <c r="HK16" s="752"/>
      <c r="HL16" s="752"/>
      <c r="HM16" s="752"/>
      <c r="HN16" s="752"/>
      <c r="HO16" s="752"/>
      <c r="HP16" s="752"/>
      <c r="HQ16" s="752"/>
      <c r="HR16" s="752"/>
      <c r="HS16" s="752"/>
      <c r="HT16" s="752"/>
      <c r="HU16" s="752"/>
      <c r="HV16" s="752"/>
      <c r="HW16" s="752"/>
      <c r="HX16" s="752"/>
      <c r="HY16" s="752"/>
      <c r="HZ16" s="752"/>
      <c r="IA16" s="752"/>
      <c r="IB16" s="752"/>
      <c r="IC16" s="752"/>
      <c r="ID16" s="752"/>
      <c r="IE16" s="752"/>
      <c r="IF16" s="752"/>
      <c r="IG16" s="752"/>
      <c r="IH16" s="752"/>
      <c r="II16" s="752"/>
      <c r="IJ16" s="752"/>
      <c r="IK16" s="752"/>
      <c r="IL16" s="752"/>
      <c r="IM16" s="752"/>
      <c r="IN16" s="752"/>
      <c r="IO16" s="752"/>
      <c r="IP16" s="752"/>
      <c r="IQ16" s="752"/>
      <c r="IR16" s="752"/>
      <c r="IS16" s="752"/>
      <c r="IT16" s="752"/>
      <c r="IU16" s="752"/>
      <c r="IV16" s="752"/>
      <c r="IW16" s="752"/>
      <c r="IX16" s="752"/>
      <c r="IY16" s="752"/>
      <c r="IZ16" s="752"/>
      <c r="JA16" s="752"/>
      <c r="JB16" s="752"/>
      <c r="JC16" s="752"/>
      <c r="JD16" s="752"/>
      <c r="JE16" s="752"/>
      <c r="JF16" s="752"/>
      <c r="JG16" s="752"/>
      <c r="JH16" s="752"/>
      <c r="JI16" s="752"/>
      <c r="JJ16" s="752"/>
      <c r="JK16" s="752"/>
      <c r="JL16" s="752"/>
      <c r="JM16" s="752"/>
      <c r="JN16" s="752"/>
      <c r="JO16" s="752"/>
      <c r="JP16" s="752"/>
      <c r="JQ16" s="752"/>
      <c r="JR16" s="752"/>
      <c r="JS16" s="752"/>
      <c r="JT16" s="752"/>
      <c r="JU16" s="752"/>
      <c r="JV16" s="752"/>
      <c r="JW16" s="752"/>
      <c r="JX16" s="752"/>
      <c r="JY16" s="752"/>
      <c r="JZ16" s="752"/>
      <c r="KA16" s="752"/>
      <c r="KB16" s="752"/>
      <c r="KC16" s="752"/>
      <c r="KD16" s="752"/>
      <c r="KE16" s="752"/>
      <c r="KF16" s="752"/>
      <c r="KG16" s="752"/>
      <c r="KH16" s="752"/>
      <c r="KI16" s="752"/>
      <c r="KJ16" s="752"/>
      <c r="KK16" s="752"/>
      <c r="KL16" s="752"/>
      <c r="KM16" s="752"/>
      <c r="KN16" s="752"/>
      <c r="KO16" s="752"/>
      <c r="KP16" s="752"/>
      <c r="KQ16" s="752"/>
      <c r="KR16" s="752"/>
      <c r="KS16" s="752"/>
    </row>
    <row r="17" spans="2:305" s="248" customFormat="1" ht="15" hidden="1" customHeight="1" outlineLevel="1" x14ac:dyDescent="0.2">
      <c r="B17" s="249" t="s">
        <v>751</v>
      </c>
      <c r="C17" s="218">
        <v>0</v>
      </c>
      <c r="D17" s="218">
        <v>0</v>
      </c>
      <c r="E17" s="218">
        <v>0</v>
      </c>
      <c r="F17" s="218">
        <v>0</v>
      </c>
      <c r="G17" s="218">
        <v>0</v>
      </c>
      <c r="H17" s="218">
        <v>0</v>
      </c>
      <c r="I17" s="218">
        <v>0</v>
      </c>
      <c r="J17" s="218">
        <v>0</v>
      </c>
      <c r="K17" s="218">
        <v>0</v>
      </c>
      <c r="L17" s="218">
        <v>0</v>
      </c>
      <c r="M17" s="218">
        <v>0</v>
      </c>
      <c r="N17" s="218">
        <v>0</v>
      </c>
      <c r="O17" s="218">
        <v>0</v>
      </c>
      <c r="P17" s="218">
        <v>0</v>
      </c>
      <c r="Q17" s="218">
        <v>0</v>
      </c>
      <c r="R17" s="218">
        <v>0</v>
      </c>
      <c r="S17" s="218">
        <v>1842</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c r="AN17" s="218">
        <v>0</v>
      </c>
      <c r="AO17" s="218">
        <v>0</v>
      </c>
      <c r="AP17" s="218">
        <v>0</v>
      </c>
      <c r="AQ17" s="218">
        <v>0</v>
      </c>
      <c r="AR17" s="218"/>
      <c r="AS17" s="218"/>
      <c r="AT17" s="218"/>
      <c r="AU17" s="218"/>
      <c r="AV17" s="218">
        <v>0</v>
      </c>
      <c r="AW17" s="218">
        <v>0</v>
      </c>
      <c r="AX17" s="218">
        <v>0</v>
      </c>
      <c r="AY17" s="218">
        <v>0</v>
      </c>
      <c r="AZ17" s="752"/>
      <c r="BA17" s="752"/>
      <c r="BB17" s="752"/>
      <c r="BC17" s="752"/>
      <c r="BD17" s="752"/>
      <c r="BE17" s="752"/>
      <c r="BF17" s="752"/>
      <c r="BG17" s="752"/>
      <c r="BH17" s="752"/>
      <c r="BI17" s="752"/>
      <c r="BJ17" s="752"/>
      <c r="BK17" s="752"/>
      <c r="BL17" s="752"/>
      <c r="BM17" s="752"/>
      <c r="BN17" s="752"/>
      <c r="BO17" s="752"/>
      <c r="BP17" s="752"/>
      <c r="BQ17" s="752"/>
      <c r="BR17" s="752"/>
      <c r="BS17" s="752"/>
      <c r="BT17" s="752"/>
      <c r="BU17" s="752"/>
      <c r="BV17" s="752"/>
      <c r="BW17" s="752"/>
      <c r="BX17" s="752"/>
      <c r="BY17" s="752"/>
      <c r="BZ17" s="752"/>
      <c r="CA17" s="752"/>
      <c r="CB17" s="752"/>
      <c r="CC17" s="752"/>
      <c r="CD17" s="752"/>
      <c r="CE17" s="752"/>
      <c r="CF17" s="752"/>
      <c r="CG17" s="752"/>
      <c r="CH17" s="752"/>
      <c r="CI17" s="752"/>
      <c r="CJ17" s="752"/>
      <c r="CK17" s="752"/>
      <c r="CL17" s="752"/>
      <c r="CM17" s="752"/>
      <c r="CN17" s="752"/>
      <c r="CO17" s="752"/>
      <c r="CP17" s="752"/>
      <c r="CQ17" s="752"/>
      <c r="CR17" s="752"/>
      <c r="CS17" s="752"/>
      <c r="CT17" s="752"/>
      <c r="CU17" s="752"/>
      <c r="CV17" s="752"/>
      <c r="CW17" s="752"/>
      <c r="CX17" s="752"/>
      <c r="CY17" s="752"/>
      <c r="CZ17" s="752"/>
      <c r="DA17" s="752"/>
      <c r="DB17" s="752"/>
      <c r="DC17" s="752"/>
      <c r="DD17" s="752"/>
      <c r="DE17" s="752"/>
      <c r="DF17" s="752"/>
      <c r="DG17" s="752"/>
      <c r="DH17" s="752"/>
      <c r="DI17" s="752"/>
      <c r="DJ17" s="752"/>
      <c r="DK17" s="752"/>
      <c r="DL17" s="752"/>
      <c r="DM17" s="752"/>
      <c r="DN17" s="752"/>
      <c r="DO17" s="752"/>
      <c r="DP17" s="752"/>
      <c r="DQ17" s="752"/>
      <c r="DR17" s="752"/>
      <c r="DS17" s="752"/>
      <c r="DT17" s="752"/>
      <c r="DU17" s="752"/>
      <c r="DV17" s="752"/>
      <c r="DW17" s="752"/>
      <c r="DX17" s="752"/>
      <c r="DY17" s="752"/>
      <c r="DZ17" s="752"/>
      <c r="EA17" s="752"/>
      <c r="EB17" s="752"/>
      <c r="EC17" s="752"/>
      <c r="ED17" s="752"/>
      <c r="EE17" s="752"/>
      <c r="EF17" s="752"/>
      <c r="EG17" s="752"/>
      <c r="EH17" s="752"/>
      <c r="EI17" s="752"/>
      <c r="EJ17" s="752"/>
      <c r="EK17" s="752"/>
      <c r="EL17" s="752"/>
      <c r="EM17" s="752"/>
      <c r="EN17" s="752"/>
      <c r="EO17" s="752"/>
      <c r="EP17" s="752"/>
      <c r="EQ17" s="752"/>
      <c r="ER17" s="752"/>
      <c r="ES17" s="752"/>
      <c r="ET17" s="752"/>
      <c r="EU17" s="752"/>
      <c r="EV17" s="752"/>
      <c r="EW17" s="752"/>
      <c r="EX17" s="752"/>
      <c r="EY17" s="752"/>
      <c r="EZ17" s="752"/>
      <c r="FA17" s="752"/>
      <c r="FB17" s="752"/>
      <c r="FC17" s="752"/>
      <c r="FD17" s="752"/>
      <c r="FE17" s="752"/>
      <c r="FF17" s="752"/>
      <c r="FG17" s="752"/>
      <c r="FH17" s="752"/>
      <c r="FI17" s="752"/>
      <c r="FJ17" s="752"/>
      <c r="FK17" s="752"/>
      <c r="FL17" s="752"/>
      <c r="FM17" s="752"/>
      <c r="FN17" s="752"/>
      <c r="FO17" s="752"/>
      <c r="FP17" s="752"/>
      <c r="FQ17" s="752"/>
      <c r="FR17" s="752"/>
      <c r="FS17" s="752"/>
      <c r="FT17" s="752"/>
      <c r="FU17" s="752"/>
      <c r="FV17" s="752"/>
      <c r="FW17" s="752"/>
      <c r="FX17" s="752"/>
      <c r="FY17" s="752"/>
      <c r="FZ17" s="752"/>
      <c r="GA17" s="752"/>
      <c r="GB17" s="752"/>
      <c r="GC17" s="752"/>
      <c r="GD17" s="752"/>
      <c r="GE17" s="752"/>
      <c r="GF17" s="752"/>
      <c r="GG17" s="752"/>
      <c r="GH17" s="752"/>
      <c r="GI17" s="752"/>
      <c r="GJ17" s="752"/>
      <c r="GK17" s="752"/>
      <c r="GL17" s="752"/>
      <c r="GM17" s="752"/>
      <c r="GN17" s="752"/>
      <c r="GO17" s="752"/>
      <c r="GP17" s="752"/>
      <c r="GQ17" s="752"/>
      <c r="GR17" s="752"/>
      <c r="GS17" s="752"/>
      <c r="GT17" s="752"/>
      <c r="GU17" s="752"/>
      <c r="GV17" s="752"/>
      <c r="GW17" s="752"/>
      <c r="GX17" s="752"/>
      <c r="GY17" s="752"/>
      <c r="GZ17" s="752"/>
      <c r="HA17" s="752"/>
      <c r="HB17" s="752"/>
      <c r="HC17" s="752"/>
      <c r="HD17" s="752"/>
      <c r="HE17" s="752"/>
      <c r="HF17" s="752"/>
      <c r="HG17" s="752"/>
      <c r="HH17" s="752"/>
      <c r="HI17" s="752"/>
      <c r="HJ17" s="752"/>
      <c r="HK17" s="752"/>
      <c r="HL17" s="752"/>
      <c r="HM17" s="752"/>
      <c r="HN17" s="752"/>
      <c r="HO17" s="752"/>
      <c r="HP17" s="752"/>
      <c r="HQ17" s="752"/>
      <c r="HR17" s="752"/>
      <c r="HS17" s="752"/>
      <c r="HT17" s="752"/>
      <c r="HU17" s="752"/>
      <c r="HV17" s="752"/>
      <c r="HW17" s="752"/>
      <c r="HX17" s="752"/>
      <c r="HY17" s="752"/>
      <c r="HZ17" s="752"/>
      <c r="IA17" s="752"/>
      <c r="IB17" s="752"/>
      <c r="IC17" s="752"/>
      <c r="ID17" s="752"/>
      <c r="IE17" s="752"/>
      <c r="IF17" s="752"/>
      <c r="IG17" s="752"/>
      <c r="IH17" s="752"/>
      <c r="II17" s="752"/>
      <c r="IJ17" s="752"/>
      <c r="IK17" s="752"/>
      <c r="IL17" s="752"/>
      <c r="IM17" s="752"/>
      <c r="IN17" s="752"/>
      <c r="IO17" s="752"/>
      <c r="IP17" s="752"/>
      <c r="IQ17" s="752"/>
      <c r="IR17" s="752"/>
      <c r="IS17" s="752"/>
      <c r="IT17" s="752"/>
      <c r="IU17" s="752"/>
      <c r="IV17" s="752"/>
      <c r="IW17" s="752"/>
      <c r="IX17" s="752"/>
      <c r="IY17" s="752"/>
      <c r="IZ17" s="752"/>
      <c r="JA17" s="752"/>
      <c r="JB17" s="752"/>
      <c r="JC17" s="752"/>
      <c r="JD17" s="752"/>
      <c r="JE17" s="752"/>
      <c r="JF17" s="752"/>
      <c r="JG17" s="752"/>
      <c r="JH17" s="752"/>
      <c r="JI17" s="752"/>
      <c r="JJ17" s="752"/>
      <c r="JK17" s="752"/>
      <c r="JL17" s="752"/>
      <c r="JM17" s="752"/>
      <c r="JN17" s="752"/>
      <c r="JO17" s="752"/>
      <c r="JP17" s="752"/>
      <c r="JQ17" s="752"/>
      <c r="JR17" s="752"/>
      <c r="JS17" s="752"/>
      <c r="JT17" s="752"/>
      <c r="JU17" s="752"/>
      <c r="JV17" s="752"/>
      <c r="JW17" s="752"/>
      <c r="JX17" s="752"/>
      <c r="JY17" s="752"/>
      <c r="JZ17" s="752"/>
      <c r="KA17" s="752"/>
      <c r="KB17" s="752"/>
      <c r="KC17" s="752"/>
      <c r="KD17" s="752"/>
      <c r="KE17" s="752"/>
      <c r="KF17" s="752"/>
      <c r="KG17" s="752"/>
      <c r="KH17" s="752"/>
      <c r="KI17" s="752"/>
      <c r="KJ17" s="752"/>
      <c r="KK17" s="752"/>
      <c r="KL17" s="752"/>
      <c r="KM17" s="752"/>
      <c r="KN17" s="752"/>
      <c r="KO17" s="752"/>
      <c r="KP17" s="752"/>
      <c r="KQ17" s="752"/>
      <c r="KR17" s="752"/>
      <c r="KS17" s="752"/>
    </row>
    <row r="18" spans="2:305" s="248" customFormat="1" ht="15" hidden="1" customHeight="1" outlineLevel="1" x14ac:dyDescent="0.2">
      <c r="B18" s="249" t="s">
        <v>580</v>
      </c>
      <c r="C18" s="218">
        <v>0</v>
      </c>
      <c r="D18" s="218">
        <v>0</v>
      </c>
      <c r="E18" s="218">
        <v>0</v>
      </c>
      <c r="F18" s="218">
        <v>0</v>
      </c>
      <c r="G18" s="218">
        <v>0</v>
      </c>
      <c r="H18" s="218">
        <v>0</v>
      </c>
      <c r="I18" s="218">
        <v>0</v>
      </c>
      <c r="J18" s="218">
        <v>0</v>
      </c>
      <c r="K18" s="218">
        <v>0</v>
      </c>
      <c r="L18" s="218">
        <v>0</v>
      </c>
      <c r="M18" s="218">
        <v>0</v>
      </c>
      <c r="N18" s="218">
        <v>0</v>
      </c>
      <c r="O18" s="218">
        <v>0</v>
      </c>
      <c r="P18" s="218">
        <v>-1365</v>
      </c>
      <c r="Q18" s="218">
        <v>0</v>
      </c>
      <c r="R18" s="218">
        <v>0</v>
      </c>
      <c r="S18" s="218">
        <v>0</v>
      </c>
      <c r="T18" s="218">
        <v>0</v>
      </c>
      <c r="U18" s="218">
        <v>0</v>
      </c>
      <c r="V18" s="218">
        <v>0</v>
      </c>
      <c r="W18" s="218">
        <v>0</v>
      </c>
      <c r="X18" s="218">
        <v>0</v>
      </c>
      <c r="Y18" s="218">
        <v>0</v>
      </c>
      <c r="Z18" s="218">
        <v>0</v>
      </c>
      <c r="AA18" s="218">
        <v>0</v>
      </c>
      <c r="AB18" s="218">
        <v>0</v>
      </c>
      <c r="AC18" s="218">
        <v>0</v>
      </c>
      <c r="AD18" s="218">
        <v>0</v>
      </c>
      <c r="AE18" s="218">
        <v>0</v>
      </c>
      <c r="AF18" s="218">
        <v>0</v>
      </c>
      <c r="AG18" s="218">
        <v>0</v>
      </c>
      <c r="AH18" s="218">
        <v>0</v>
      </c>
      <c r="AI18" s="218">
        <v>0</v>
      </c>
      <c r="AJ18" s="218">
        <v>0</v>
      </c>
      <c r="AK18" s="218">
        <v>0</v>
      </c>
      <c r="AL18" s="218">
        <v>0</v>
      </c>
      <c r="AM18" s="218">
        <v>0</v>
      </c>
      <c r="AN18" s="218">
        <v>0</v>
      </c>
      <c r="AO18" s="218">
        <v>0</v>
      </c>
      <c r="AP18" s="218">
        <v>0</v>
      </c>
      <c r="AQ18" s="218">
        <v>0</v>
      </c>
      <c r="AR18" s="218"/>
      <c r="AS18" s="218"/>
      <c r="AT18" s="218"/>
      <c r="AU18" s="218"/>
      <c r="AV18" s="218">
        <v>0</v>
      </c>
      <c r="AW18" s="218">
        <v>0</v>
      </c>
      <c r="AX18" s="218">
        <v>0</v>
      </c>
      <c r="AY18" s="218">
        <v>0</v>
      </c>
      <c r="AZ18" s="752"/>
      <c r="BA18" s="752"/>
      <c r="BB18" s="752"/>
      <c r="BC18" s="752"/>
      <c r="BD18" s="752"/>
      <c r="BE18" s="752"/>
      <c r="BF18" s="752"/>
      <c r="BG18" s="752"/>
      <c r="BH18" s="752"/>
      <c r="BI18" s="752"/>
      <c r="BJ18" s="752"/>
      <c r="BK18" s="752"/>
      <c r="BL18" s="752"/>
      <c r="BM18" s="752"/>
      <c r="BN18" s="752"/>
      <c r="BO18" s="752"/>
      <c r="BP18" s="752"/>
      <c r="BQ18" s="752"/>
      <c r="BR18" s="752"/>
      <c r="BS18" s="752"/>
      <c r="BT18" s="752"/>
      <c r="BU18" s="752"/>
      <c r="BV18" s="752"/>
      <c r="BW18" s="752"/>
      <c r="BX18" s="752"/>
      <c r="BY18" s="752"/>
      <c r="BZ18" s="752"/>
      <c r="CA18" s="752"/>
      <c r="CB18" s="752"/>
      <c r="CC18" s="752"/>
      <c r="CD18" s="752"/>
      <c r="CE18" s="752"/>
      <c r="CF18" s="752"/>
      <c r="CG18" s="752"/>
      <c r="CH18" s="752"/>
      <c r="CI18" s="752"/>
      <c r="CJ18" s="752"/>
      <c r="CK18" s="752"/>
      <c r="CL18" s="752"/>
      <c r="CM18" s="752"/>
      <c r="CN18" s="752"/>
      <c r="CO18" s="752"/>
      <c r="CP18" s="752"/>
      <c r="CQ18" s="752"/>
      <c r="CR18" s="752"/>
      <c r="CS18" s="752"/>
      <c r="CT18" s="752"/>
      <c r="CU18" s="752"/>
      <c r="CV18" s="752"/>
      <c r="CW18" s="752"/>
      <c r="CX18" s="752"/>
      <c r="CY18" s="752"/>
      <c r="CZ18" s="752"/>
      <c r="DA18" s="752"/>
      <c r="DB18" s="752"/>
      <c r="DC18" s="752"/>
      <c r="DD18" s="752"/>
      <c r="DE18" s="752"/>
      <c r="DF18" s="752"/>
      <c r="DG18" s="752"/>
      <c r="DH18" s="752"/>
      <c r="DI18" s="752"/>
      <c r="DJ18" s="752"/>
      <c r="DK18" s="752"/>
      <c r="DL18" s="752"/>
      <c r="DM18" s="752"/>
      <c r="DN18" s="752"/>
      <c r="DO18" s="752"/>
      <c r="DP18" s="752"/>
      <c r="DQ18" s="752"/>
      <c r="DR18" s="752"/>
      <c r="DS18" s="752"/>
      <c r="DT18" s="752"/>
      <c r="DU18" s="752"/>
      <c r="DV18" s="752"/>
      <c r="DW18" s="752"/>
      <c r="DX18" s="752"/>
      <c r="DY18" s="752"/>
      <c r="DZ18" s="752"/>
      <c r="EA18" s="752"/>
      <c r="EB18" s="752"/>
      <c r="EC18" s="752"/>
      <c r="ED18" s="752"/>
      <c r="EE18" s="752"/>
      <c r="EF18" s="752"/>
      <c r="EG18" s="752"/>
      <c r="EH18" s="752"/>
      <c r="EI18" s="752"/>
      <c r="EJ18" s="752"/>
      <c r="EK18" s="752"/>
      <c r="EL18" s="752"/>
      <c r="EM18" s="752"/>
      <c r="EN18" s="752"/>
      <c r="EO18" s="752"/>
      <c r="EP18" s="752"/>
      <c r="EQ18" s="752"/>
      <c r="ER18" s="752"/>
      <c r="ES18" s="752"/>
      <c r="ET18" s="752"/>
      <c r="EU18" s="752"/>
      <c r="EV18" s="752"/>
      <c r="EW18" s="752"/>
      <c r="EX18" s="752"/>
      <c r="EY18" s="752"/>
      <c r="EZ18" s="752"/>
      <c r="FA18" s="752"/>
      <c r="FB18" s="752"/>
      <c r="FC18" s="752"/>
      <c r="FD18" s="752"/>
      <c r="FE18" s="752"/>
      <c r="FF18" s="752"/>
      <c r="FG18" s="752"/>
      <c r="FH18" s="752"/>
      <c r="FI18" s="752"/>
      <c r="FJ18" s="752"/>
      <c r="FK18" s="752"/>
      <c r="FL18" s="752"/>
      <c r="FM18" s="752"/>
      <c r="FN18" s="752"/>
      <c r="FO18" s="752"/>
      <c r="FP18" s="752"/>
      <c r="FQ18" s="752"/>
      <c r="FR18" s="752"/>
      <c r="FS18" s="752"/>
      <c r="FT18" s="752"/>
      <c r="FU18" s="752"/>
      <c r="FV18" s="752"/>
      <c r="FW18" s="752"/>
      <c r="FX18" s="752"/>
      <c r="FY18" s="752"/>
      <c r="FZ18" s="752"/>
      <c r="GA18" s="752"/>
      <c r="GB18" s="752"/>
      <c r="GC18" s="752"/>
      <c r="GD18" s="752"/>
      <c r="GE18" s="752"/>
      <c r="GF18" s="752"/>
      <c r="GG18" s="752"/>
      <c r="GH18" s="752"/>
      <c r="GI18" s="752"/>
      <c r="GJ18" s="752"/>
      <c r="GK18" s="752"/>
      <c r="GL18" s="752"/>
      <c r="GM18" s="752"/>
      <c r="GN18" s="752"/>
      <c r="GO18" s="752"/>
      <c r="GP18" s="752"/>
      <c r="GQ18" s="752"/>
      <c r="GR18" s="752"/>
      <c r="GS18" s="752"/>
      <c r="GT18" s="752"/>
      <c r="GU18" s="752"/>
      <c r="GV18" s="752"/>
      <c r="GW18" s="752"/>
      <c r="GX18" s="752"/>
      <c r="GY18" s="752"/>
      <c r="GZ18" s="752"/>
      <c r="HA18" s="752"/>
      <c r="HB18" s="752"/>
      <c r="HC18" s="752"/>
      <c r="HD18" s="752"/>
      <c r="HE18" s="752"/>
      <c r="HF18" s="752"/>
      <c r="HG18" s="752"/>
      <c r="HH18" s="752"/>
      <c r="HI18" s="752"/>
      <c r="HJ18" s="752"/>
      <c r="HK18" s="752"/>
      <c r="HL18" s="752"/>
      <c r="HM18" s="752"/>
      <c r="HN18" s="752"/>
      <c r="HO18" s="752"/>
      <c r="HP18" s="752"/>
      <c r="HQ18" s="752"/>
      <c r="HR18" s="752"/>
      <c r="HS18" s="752"/>
      <c r="HT18" s="752"/>
      <c r="HU18" s="752"/>
      <c r="HV18" s="752"/>
      <c r="HW18" s="752"/>
      <c r="HX18" s="752"/>
      <c r="HY18" s="752"/>
      <c r="HZ18" s="752"/>
      <c r="IA18" s="752"/>
      <c r="IB18" s="752"/>
      <c r="IC18" s="752"/>
      <c r="ID18" s="752"/>
      <c r="IE18" s="752"/>
      <c r="IF18" s="752"/>
      <c r="IG18" s="752"/>
      <c r="IH18" s="752"/>
      <c r="II18" s="752"/>
      <c r="IJ18" s="752"/>
      <c r="IK18" s="752"/>
      <c r="IL18" s="752"/>
      <c r="IM18" s="752"/>
      <c r="IN18" s="752"/>
      <c r="IO18" s="752"/>
      <c r="IP18" s="752"/>
      <c r="IQ18" s="752"/>
      <c r="IR18" s="752"/>
      <c r="IS18" s="752"/>
      <c r="IT18" s="752"/>
      <c r="IU18" s="752"/>
      <c r="IV18" s="752"/>
      <c r="IW18" s="752"/>
      <c r="IX18" s="752"/>
      <c r="IY18" s="752"/>
      <c r="IZ18" s="752"/>
      <c r="JA18" s="752"/>
      <c r="JB18" s="752"/>
      <c r="JC18" s="752"/>
      <c r="JD18" s="752"/>
      <c r="JE18" s="752"/>
      <c r="JF18" s="752"/>
      <c r="JG18" s="752"/>
      <c r="JH18" s="752"/>
      <c r="JI18" s="752"/>
      <c r="JJ18" s="752"/>
      <c r="JK18" s="752"/>
      <c r="JL18" s="752"/>
      <c r="JM18" s="752"/>
      <c r="JN18" s="752"/>
      <c r="JO18" s="752"/>
      <c r="JP18" s="752"/>
      <c r="JQ18" s="752"/>
      <c r="JR18" s="752"/>
      <c r="JS18" s="752"/>
      <c r="JT18" s="752"/>
      <c r="JU18" s="752"/>
      <c r="JV18" s="752"/>
      <c r="JW18" s="752"/>
      <c r="JX18" s="752"/>
      <c r="JY18" s="752"/>
      <c r="JZ18" s="752"/>
      <c r="KA18" s="752"/>
      <c r="KB18" s="752"/>
      <c r="KC18" s="752"/>
      <c r="KD18" s="752"/>
      <c r="KE18" s="752"/>
      <c r="KF18" s="752"/>
      <c r="KG18" s="752"/>
      <c r="KH18" s="752"/>
      <c r="KI18" s="752"/>
      <c r="KJ18" s="752"/>
      <c r="KK18" s="752"/>
      <c r="KL18" s="752"/>
      <c r="KM18" s="752"/>
      <c r="KN18" s="752"/>
      <c r="KO18" s="752"/>
      <c r="KP18" s="752"/>
      <c r="KQ18" s="752"/>
      <c r="KR18" s="752"/>
      <c r="KS18" s="752"/>
    </row>
    <row r="19" spans="2:305" collapsed="1" x14ac:dyDescent="0.2">
      <c r="B19" s="126" t="s">
        <v>386</v>
      </c>
      <c r="C19" s="120">
        <f t="shared" ref="C19:AL19" si="0">SUM(C6:C18)</f>
        <v>4128</v>
      </c>
      <c r="D19" s="120">
        <f t="shared" si="0"/>
        <v>2249</v>
      </c>
      <c r="E19" s="120">
        <f t="shared" si="0"/>
        <v>-9914</v>
      </c>
      <c r="F19" s="120">
        <f t="shared" si="0"/>
        <v>-252</v>
      </c>
      <c r="G19" s="120">
        <f t="shared" si="0"/>
        <v>2443</v>
      </c>
      <c r="H19" s="120">
        <f t="shared" si="0"/>
        <v>72</v>
      </c>
      <c r="I19" s="120">
        <f t="shared" si="0"/>
        <v>-2344</v>
      </c>
      <c r="J19" s="120">
        <f t="shared" si="0"/>
        <v>-22378</v>
      </c>
      <c r="K19" s="120">
        <f t="shared" si="0"/>
        <v>1065</v>
      </c>
      <c r="L19" s="120">
        <f t="shared" si="0"/>
        <v>-2610</v>
      </c>
      <c r="M19" s="120">
        <f t="shared" si="0"/>
        <v>-2273</v>
      </c>
      <c r="N19" s="120">
        <f t="shared" si="0"/>
        <v>-4204</v>
      </c>
      <c r="O19" s="120">
        <f t="shared" si="0"/>
        <v>-2218</v>
      </c>
      <c r="P19" s="120">
        <f t="shared" si="0"/>
        <v>-24271</v>
      </c>
      <c r="Q19" s="120">
        <f t="shared" si="0"/>
        <v>-2452</v>
      </c>
      <c r="R19" s="120">
        <f t="shared" si="0"/>
        <v>-9247</v>
      </c>
      <c r="S19" s="120">
        <f t="shared" si="0"/>
        <v>-5699</v>
      </c>
      <c r="T19" s="120">
        <f t="shared" si="0"/>
        <v>-2800</v>
      </c>
      <c r="U19" s="120">
        <f t="shared" si="0"/>
        <v>-3254</v>
      </c>
      <c r="V19" s="120">
        <f t="shared" si="0"/>
        <v>-16756</v>
      </c>
      <c r="W19" s="120">
        <f t="shared" si="0"/>
        <v>-3096</v>
      </c>
      <c r="X19" s="120">
        <f t="shared" si="0"/>
        <v>-3216</v>
      </c>
      <c r="Y19" s="120">
        <f t="shared" si="0"/>
        <v>51307</v>
      </c>
      <c r="Z19" s="120">
        <f t="shared" si="0"/>
        <v>-8897</v>
      </c>
      <c r="AA19" s="120">
        <f t="shared" si="0"/>
        <v>-5256</v>
      </c>
      <c r="AB19" s="120">
        <f t="shared" si="0"/>
        <v>-1986</v>
      </c>
      <c r="AC19" s="120">
        <f t="shared" si="0"/>
        <v>-5290</v>
      </c>
      <c r="AD19" s="120">
        <f t="shared" si="0"/>
        <v>-3470</v>
      </c>
      <c r="AE19" s="120">
        <f t="shared" si="0"/>
        <v>5876</v>
      </c>
      <c r="AF19" s="120">
        <f t="shared" si="0"/>
        <v>2909</v>
      </c>
      <c r="AG19" s="120">
        <f t="shared" si="0"/>
        <v>654</v>
      </c>
      <c r="AH19" s="120">
        <f t="shared" si="0"/>
        <v>-323</v>
      </c>
      <c r="AI19" s="120">
        <f t="shared" si="0"/>
        <v>701</v>
      </c>
      <c r="AJ19" s="120">
        <f t="shared" si="0"/>
        <v>177</v>
      </c>
      <c r="AK19" s="120">
        <f t="shared" si="0"/>
        <v>-6174</v>
      </c>
      <c r="AL19" s="120">
        <f t="shared" si="0"/>
        <v>5912</v>
      </c>
      <c r="AM19" s="120">
        <f t="shared" ref="AM19:AU19" si="1">SUM(AM6:AM18)</f>
        <v>1223</v>
      </c>
      <c r="AN19" s="120">
        <f t="shared" si="1"/>
        <v>-263</v>
      </c>
      <c r="AO19" s="120">
        <f t="shared" si="1"/>
        <v>278</v>
      </c>
      <c r="AP19" s="120">
        <f t="shared" si="1"/>
        <v>-2355</v>
      </c>
      <c r="AQ19" s="120">
        <f t="shared" si="1"/>
        <v>-554</v>
      </c>
      <c r="AR19" s="120">
        <f>SUM(AR6:AR18)</f>
        <v>412</v>
      </c>
      <c r="AS19" s="120">
        <f t="shared" si="1"/>
        <v>-26</v>
      </c>
      <c r="AT19" s="120">
        <f t="shared" si="1"/>
        <v>2077</v>
      </c>
      <c r="AU19" s="120">
        <f t="shared" si="1"/>
        <v>526</v>
      </c>
      <c r="AV19" s="120">
        <f>SUM(AV6:AV18)</f>
        <v>-178</v>
      </c>
      <c r="AW19" s="120">
        <f>SUM(AW6:AW18)</f>
        <v>447</v>
      </c>
      <c r="AX19" s="120">
        <v>-918</v>
      </c>
      <c r="AY19" s="120">
        <f>SUM(AY6:AY18)</f>
        <v>4337</v>
      </c>
    </row>
    <row r="20" spans="2:305" x14ac:dyDescent="0.2">
      <c r="B20"/>
      <c r="C20" s="648"/>
      <c r="D20" s="648"/>
      <c r="E20" s="648"/>
      <c r="F20" s="648"/>
      <c r="G20" s="648"/>
      <c r="H20" s="648"/>
      <c r="I20" s="648"/>
      <c r="J20" s="648"/>
      <c r="K20" s="648"/>
      <c r="L20" s="648"/>
      <c r="M20" s="648"/>
      <c r="N20" s="648"/>
      <c r="O20" s="648"/>
      <c r="P20" s="648"/>
      <c r="Q20" s="648"/>
      <c r="R20" s="648"/>
      <c r="S20" s="208"/>
      <c r="T20" s="208"/>
      <c r="U20" s="208"/>
      <c r="V20" s="169"/>
      <c r="W20" s="169"/>
      <c r="X20" s="169"/>
      <c r="Y20" s="169"/>
      <c r="Z20" s="169"/>
      <c r="AA20" s="169"/>
      <c r="AB20" s="169"/>
      <c r="AC20" s="169"/>
      <c r="AD20" s="169"/>
      <c r="AE20" s="169"/>
      <c r="AF20" s="169"/>
      <c r="AG20" s="169"/>
      <c r="AH20" s="169"/>
      <c r="AI20" s="169"/>
      <c r="AJ20" s="169"/>
      <c r="AK20" s="169"/>
      <c r="AL20" s="169"/>
      <c r="AM20" s="169"/>
      <c r="AN20" s="169"/>
      <c r="AO20" s="169"/>
      <c r="AP20" s="169"/>
      <c r="AQ20" s="1161"/>
      <c r="AR20" s="169"/>
      <c r="AS20" s="169"/>
      <c r="AT20" s="169"/>
      <c r="AU20" s="169"/>
      <c r="AV20" s="169"/>
      <c r="AW20" s="169"/>
      <c r="AX20" s="169"/>
      <c r="AY20" s="169"/>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c r="IR20" s="25"/>
      <c r="IS20" s="25"/>
      <c r="IT20" s="25"/>
      <c r="IU20" s="25"/>
      <c r="IV20" s="25"/>
      <c r="IW20" s="25"/>
      <c r="IX20" s="25"/>
      <c r="IY20" s="25"/>
      <c r="IZ20" s="25"/>
      <c r="JA20" s="25"/>
      <c r="JB20" s="25"/>
      <c r="JC20" s="25"/>
      <c r="JD20" s="25"/>
      <c r="JE20" s="25"/>
      <c r="JF20" s="25"/>
      <c r="JG20" s="25"/>
      <c r="JH20" s="25"/>
      <c r="JI20" s="25"/>
      <c r="JJ20" s="25"/>
      <c r="JK20" s="25"/>
      <c r="JL20" s="25"/>
      <c r="JM20" s="25"/>
      <c r="JN20" s="25"/>
      <c r="JO20" s="25"/>
      <c r="JP20" s="25"/>
      <c r="JQ20" s="25"/>
      <c r="JR20" s="25"/>
      <c r="JS20" s="25"/>
      <c r="JT20" s="25"/>
      <c r="JU20" s="25"/>
      <c r="JV20" s="25"/>
      <c r="JW20" s="25"/>
      <c r="JX20" s="25"/>
      <c r="JY20" s="25"/>
      <c r="JZ20" s="25"/>
      <c r="KA20" s="25"/>
      <c r="KB20" s="25"/>
      <c r="KC20" s="25"/>
      <c r="KD20" s="25"/>
      <c r="KE20" s="25"/>
      <c r="KF20" s="25"/>
      <c r="KG20" s="25"/>
      <c r="KH20" s="25"/>
      <c r="KI20" s="25"/>
      <c r="KJ20" s="25"/>
      <c r="KK20" s="25"/>
      <c r="KL20" s="25"/>
      <c r="KM20" s="25"/>
      <c r="KN20" s="25"/>
      <c r="KO20" s="25"/>
      <c r="KP20" s="25"/>
      <c r="KQ20" s="25"/>
      <c r="KR20" s="25"/>
      <c r="KS20" s="25"/>
    </row>
    <row r="21" spans="2:305" x14ac:dyDescent="0.2">
      <c r="B21" s="115" t="s">
        <v>97</v>
      </c>
      <c r="C21" s="115" t="str">
        <f t="shared" ref="C21:AL21" si="2">C5</f>
        <v>1T14</v>
      </c>
      <c r="D21" s="115" t="str">
        <f t="shared" si="2"/>
        <v>2T14</v>
      </c>
      <c r="E21" s="115" t="str">
        <f t="shared" si="2"/>
        <v>3T14</v>
      </c>
      <c r="F21" s="115" t="str">
        <f t="shared" si="2"/>
        <v>4T14</v>
      </c>
      <c r="G21" s="115" t="str">
        <f t="shared" si="2"/>
        <v>1T15</v>
      </c>
      <c r="H21" s="115" t="str">
        <f t="shared" si="2"/>
        <v>2T15</v>
      </c>
      <c r="I21" s="115" t="str">
        <f t="shared" si="2"/>
        <v>3T15</v>
      </c>
      <c r="J21" s="115" t="str">
        <f t="shared" si="2"/>
        <v>4T15</v>
      </c>
      <c r="K21" s="115" t="str">
        <f t="shared" si="2"/>
        <v>1T16</v>
      </c>
      <c r="L21" s="115" t="str">
        <f t="shared" si="2"/>
        <v>2T16</v>
      </c>
      <c r="M21" s="115" t="str">
        <f t="shared" si="2"/>
        <v>3T16</v>
      </c>
      <c r="N21" s="115" t="str">
        <f t="shared" si="2"/>
        <v>4T16</v>
      </c>
      <c r="O21" s="115" t="str">
        <f t="shared" si="2"/>
        <v>1T17</v>
      </c>
      <c r="P21" s="115" t="str">
        <f t="shared" si="2"/>
        <v>2T17</v>
      </c>
      <c r="Q21" s="115" t="str">
        <f t="shared" si="2"/>
        <v>3T17</v>
      </c>
      <c r="R21" s="115" t="str">
        <f t="shared" si="2"/>
        <v>4T17</v>
      </c>
      <c r="S21" s="115" t="str">
        <f t="shared" si="2"/>
        <v>1T18</v>
      </c>
      <c r="T21" s="115" t="str">
        <f t="shared" si="2"/>
        <v>2T18</v>
      </c>
      <c r="U21" s="115" t="str">
        <f t="shared" si="2"/>
        <v>3T18</v>
      </c>
      <c r="V21" s="115" t="str">
        <f t="shared" si="2"/>
        <v>4T18</v>
      </c>
      <c r="W21" s="115" t="str">
        <f t="shared" si="2"/>
        <v>1T19</v>
      </c>
      <c r="X21" s="115" t="str">
        <f t="shared" si="2"/>
        <v>2T19</v>
      </c>
      <c r="Y21" s="115" t="str">
        <f t="shared" si="2"/>
        <v>3T19</v>
      </c>
      <c r="Z21" s="115" t="str">
        <f t="shared" si="2"/>
        <v>4T19</v>
      </c>
      <c r="AA21" s="115" t="str">
        <f t="shared" si="2"/>
        <v>1T20</v>
      </c>
      <c r="AB21" s="115" t="str">
        <f t="shared" si="2"/>
        <v>2T20</v>
      </c>
      <c r="AC21" s="115" t="str">
        <f t="shared" si="2"/>
        <v>3T20</v>
      </c>
      <c r="AD21" s="115" t="str">
        <f t="shared" si="2"/>
        <v>4T20</v>
      </c>
      <c r="AE21" s="115" t="str">
        <f t="shared" si="2"/>
        <v>1T21</v>
      </c>
      <c r="AF21" s="115" t="str">
        <f t="shared" si="2"/>
        <v>2T21</v>
      </c>
      <c r="AG21" s="115" t="str">
        <f t="shared" si="2"/>
        <v>3T21</v>
      </c>
      <c r="AH21" s="115" t="str">
        <f t="shared" si="2"/>
        <v>4T21</v>
      </c>
      <c r="AI21" s="115" t="str">
        <f t="shared" si="2"/>
        <v>1T22</v>
      </c>
      <c r="AJ21" s="115" t="str">
        <f t="shared" si="2"/>
        <v>2T22</v>
      </c>
      <c r="AK21" s="115" t="str">
        <f t="shared" si="2"/>
        <v>3T22</v>
      </c>
      <c r="AL21" s="115" t="str">
        <f t="shared" si="2"/>
        <v>4T22</v>
      </c>
      <c r="AM21" s="115" t="str">
        <f t="shared" ref="AM21:AV21" si="3">AM5</f>
        <v>1T23</v>
      </c>
      <c r="AN21" s="115" t="str">
        <f t="shared" si="3"/>
        <v>2T23</v>
      </c>
      <c r="AO21" s="115" t="str">
        <f t="shared" si="3"/>
        <v>3T23</v>
      </c>
      <c r="AP21" s="115" t="str">
        <f t="shared" si="3"/>
        <v>4T23</v>
      </c>
      <c r="AQ21" s="115" t="str">
        <f t="shared" si="3"/>
        <v>1T24</v>
      </c>
      <c r="AR21" s="115" t="str">
        <f>AR5</f>
        <v>2T24</v>
      </c>
      <c r="AS21" s="115" t="str">
        <f t="shared" si="3"/>
        <v>3T24</v>
      </c>
      <c r="AT21" s="115" t="str">
        <f t="shared" si="3"/>
        <v>4T24</v>
      </c>
      <c r="AU21" s="115" t="str">
        <f t="shared" si="3"/>
        <v>1T25</v>
      </c>
      <c r="AV21" s="115" t="str">
        <f t="shared" si="3"/>
        <v>2T25</v>
      </c>
      <c r="AW21" s="115" t="str">
        <f>AW5</f>
        <v>3T25</v>
      </c>
      <c r="AX21" s="115" t="s">
        <v>1317</v>
      </c>
      <c r="AY21" s="115" t="str">
        <f>AY5</f>
        <v>1T26</v>
      </c>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c r="JC21" s="25"/>
      <c r="JD21" s="25"/>
      <c r="JE21" s="25"/>
      <c r="JF21" s="25"/>
      <c r="JG21" s="25"/>
      <c r="JH21" s="25"/>
      <c r="JI21" s="25"/>
      <c r="JJ21" s="25"/>
      <c r="JK21" s="25"/>
      <c r="JL21" s="25"/>
      <c r="JM21" s="25"/>
      <c r="JN21" s="25"/>
      <c r="JO21" s="25"/>
      <c r="JP21" s="25"/>
      <c r="JQ21" s="25"/>
      <c r="JR21" s="25"/>
      <c r="JS21" s="25"/>
      <c r="JT21" s="25"/>
      <c r="JU21" s="25"/>
      <c r="JV21" s="25"/>
      <c r="JW21" s="25"/>
      <c r="JX21" s="25"/>
      <c r="JY21" s="25"/>
      <c r="JZ21" s="25"/>
      <c r="KA21" s="25"/>
      <c r="KB21" s="25"/>
      <c r="KC21" s="25"/>
      <c r="KD21" s="25"/>
      <c r="KE21" s="25"/>
      <c r="KF21" s="25"/>
      <c r="KG21" s="25"/>
      <c r="KH21" s="25"/>
      <c r="KI21" s="25"/>
      <c r="KJ21" s="25"/>
      <c r="KK21" s="25"/>
      <c r="KL21" s="25"/>
      <c r="KM21" s="25"/>
      <c r="KN21" s="25"/>
      <c r="KO21" s="25"/>
      <c r="KP21" s="25"/>
      <c r="KQ21" s="25"/>
      <c r="KR21" s="25"/>
      <c r="KS21" s="25"/>
    </row>
    <row r="22" spans="2:305" x14ac:dyDescent="0.2">
      <c r="B22" s="129" t="s">
        <v>842</v>
      </c>
      <c r="C22" s="118">
        <v>91</v>
      </c>
      <c r="D22" s="118">
        <v>196</v>
      </c>
      <c r="E22" s="118">
        <v>172</v>
      </c>
      <c r="F22" s="118">
        <v>445</v>
      </c>
      <c r="G22" s="118">
        <v>142</v>
      </c>
      <c r="H22" s="118">
        <v>406</v>
      </c>
      <c r="I22" s="118">
        <v>267</v>
      </c>
      <c r="J22" s="118">
        <v>217</v>
      </c>
      <c r="K22" s="118">
        <v>81</v>
      </c>
      <c r="L22" s="118">
        <v>436</v>
      </c>
      <c r="M22" s="118">
        <v>117</v>
      </c>
      <c r="N22" s="118">
        <v>364</v>
      </c>
      <c r="O22" s="118">
        <v>67</v>
      </c>
      <c r="P22" s="118">
        <v>594</v>
      </c>
      <c r="Q22" s="118">
        <v>386</v>
      </c>
      <c r="R22" s="118">
        <v>254</v>
      </c>
      <c r="S22" s="118">
        <v>127</v>
      </c>
      <c r="T22" s="118">
        <v>221</v>
      </c>
      <c r="U22" s="118">
        <v>69</v>
      </c>
      <c r="V22" s="118">
        <v>369</v>
      </c>
      <c r="W22" s="118">
        <v>714</v>
      </c>
      <c r="X22" s="118">
        <v>349</v>
      </c>
      <c r="Y22" s="118">
        <v>381</v>
      </c>
      <c r="Z22" s="118">
        <v>753</v>
      </c>
      <c r="AA22" s="118">
        <v>244</v>
      </c>
      <c r="AB22" s="118">
        <v>-71</v>
      </c>
      <c r="AC22" s="118">
        <v>149</v>
      </c>
      <c r="AD22" s="118">
        <v>175</v>
      </c>
      <c r="AE22" s="118">
        <v>207</v>
      </c>
      <c r="AF22" s="118">
        <v>117</v>
      </c>
      <c r="AG22" s="118">
        <v>179</v>
      </c>
      <c r="AH22" s="118">
        <v>56</v>
      </c>
      <c r="AI22" s="118">
        <v>45</v>
      </c>
      <c r="AJ22" s="118">
        <v>734</v>
      </c>
      <c r="AK22" s="118">
        <v>333</v>
      </c>
      <c r="AL22" s="118">
        <v>207</v>
      </c>
      <c r="AM22" s="118">
        <v>846</v>
      </c>
      <c r="AN22" s="118">
        <v>142</v>
      </c>
      <c r="AO22" s="118">
        <v>438</v>
      </c>
      <c r="AP22" s="118">
        <v>27</v>
      </c>
      <c r="AQ22" s="118">
        <v>32</v>
      </c>
      <c r="AR22" s="118">
        <v>66</v>
      </c>
      <c r="AS22" s="118">
        <v>159</v>
      </c>
      <c r="AT22" s="118">
        <v>444</v>
      </c>
      <c r="AU22" s="118">
        <v>432</v>
      </c>
      <c r="AV22" s="118">
        <v>-41</v>
      </c>
      <c r="AW22" s="118">
        <v>146</v>
      </c>
      <c r="AX22" s="118">
        <v>145</v>
      </c>
      <c r="AY22" s="118">
        <v>108</v>
      </c>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row>
    <row r="23" spans="2:305" x14ac:dyDescent="0.2">
      <c r="B23" s="129" t="s">
        <v>127</v>
      </c>
      <c r="C23" s="118">
        <v>23</v>
      </c>
      <c r="D23" s="118">
        <v>18</v>
      </c>
      <c r="E23" s="118">
        <v>-11</v>
      </c>
      <c r="F23" s="118">
        <v>-1039</v>
      </c>
      <c r="G23" s="118">
        <v>30</v>
      </c>
      <c r="H23" s="118">
        <v>-30</v>
      </c>
      <c r="I23" s="118">
        <v>-3</v>
      </c>
      <c r="J23" s="118">
        <v>-32</v>
      </c>
      <c r="K23" s="118">
        <v>32</v>
      </c>
      <c r="L23" s="118">
        <v>0</v>
      </c>
      <c r="M23" s="118">
        <v>0</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18">
        <v>0</v>
      </c>
      <c r="AD23" s="118">
        <v>0</v>
      </c>
      <c r="AE23" s="118">
        <v>0</v>
      </c>
      <c r="AF23" s="118">
        <v>0</v>
      </c>
      <c r="AG23" s="118">
        <v>0</v>
      </c>
      <c r="AH23" s="118">
        <v>0</v>
      </c>
      <c r="AI23" s="118">
        <v>0</v>
      </c>
      <c r="AJ23" s="118">
        <v>-2</v>
      </c>
      <c r="AK23" s="118">
        <v>0</v>
      </c>
      <c r="AL23" s="118">
        <v>0</v>
      </c>
      <c r="AM23" s="118">
        <v>0</v>
      </c>
      <c r="AN23" s="118">
        <v>-5</v>
      </c>
      <c r="AO23" s="118">
        <v>0</v>
      </c>
      <c r="AP23" s="118">
        <v>-14</v>
      </c>
      <c r="AQ23" s="118">
        <v>0</v>
      </c>
      <c r="AR23" s="118">
        <v>0</v>
      </c>
      <c r="AS23" s="118">
        <v>0</v>
      </c>
      <c r="AT23" s="118">
        <v>0</v>
      </c>
      <c r="AU23" s="118">
        <v>0</v>
      </c>
      <c r="AV23" s="118">
        <v>0</v>
      </c>
      <c r="AW23" s="118">
        <v>0</v>
      </c>
      <c r="AX23" s="118">
        <v>0</v>
      </c>
      <c r="AY23" s="118">
        <v>0</v>
      </c>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25"/>
      <c r="JH23" s="25"/>
      <c r="JI23" s="25"/>
      <c r="JJ23" s="25"/>
      <c r="JK23" s="25"/>
      <c r="JL23" s="25"/>
      <c r="JM23" s="25"/>
      <c r="JN23" s="25"/>
      <c r="JO23" s="25"/>
      <c r="JP23" s="25"/>
      <c r="JQ23" s="25"/>
      <c r="JR23" s="25"/>
      <c r="JS23" s="25"/>
      <c r="JT23" s="25"/>
      <c r="JU23" s="25"/>
      <c r="JV23" s="25"/>
      <c r="JW23" s="25"/>
      <c r="JX23" s="25"/>
      <c r="JY23" s="25"/>
      <c r="JZ23" s="25"/>
      <c r="KA23" s="25"/>
      <c r="KB23" s="25"/>
      <c r="KC23" s="25"/>
      <c r="KD23" s="25"/>
      <c r="KE23" s="25"/>
      <c r="KF23" s="25"/>
      <c r="KG23" s="25"/>
      <c r="KH23" s="25"/>
      <c r="KI23" s="25"/>
      <c r="KJ23" s="25"/>
      <c r="KK23" s="25"/>
      <c r="KL23" s="25"/>
      <c r="KM23" s="25"/>
      <c r="KN23" s="25"/>
      <c r="KO23" s="25"/>
      <c r="KP23" s="25"/>
      <c r="KQ23" s="25"/>
      <c r="KR23" s="25"/>
      <c r="KS23" s="25"/>
    </row>
    <row r="24" spans="2:305" x14ac:dyDescent="0.2">
      <c r="B24" s="129" t="s">
        <v>385</v>
      </c>
      <c r="C24" s="118">
        <v>-18</v>
      </c>
      <c r="D24" s="118">
        <v>-1</v>
      </c>
      <c r="E24" s="118">
        <v>1</v>
      </c>
      <c r="F24" s="118">
        <v>1334</v>
      </c>
      <c r="G24" s="118">
        <v>84</v>
      </c>
      <c r="H24" s="118">
        <v>-122</v>
      </c>
      <c r="I24" s="118">
        <v>129</v>
      </c>
      <c r="J24" s="118">
        <v>-380</v>
      </c>
      <c r="K24" s="118">
        <v>-147</v>
      </c>
      <c r="L24" s="118">
        <v>-220</v>
      </c>
      <c r="M24" s="118">
        <v>-859</v>
      </c>
      <c r="N24" s="118">
        <v>-664</v>
      </c>
      <c r="O24" s="118">
        <v>-153</v>
      </c>
      <c r="P24" s="118">
        <v>3</v>
      </c>
      <c r="Q24" s="118">
        <v>-195</v>
      </c>
      <c r="R24" s="118">
        <v>-510</v>
      </c>
      <c r="S24" s="118">
        <v>-295</v>
      </c>
      <c r="T24" s="118">
        <v>-64</v>
      </c>
      <c r="U24" s="118">
        <v>3</v>
      </c>
      <c r="V24" s="118">
        <v>-10</v>
      </c>
      <c r="W24" s="118">
        <v>12</v>
      </c>
      <c r="X24" s="118">
        <v>19</v>
      </c>
      <c r="Y24" s="118">
        <v>-7</v>
      </c>
      <c r="Z24" s="118">
        <v>-985</v>
      </c>
      <c r="AA24" s="118">
        <v>1</v>
      </c>
      <c r="AB24" s="118">
        <v>-2</v>
      </c>
      <c r="AC24" s="118">
        <v>-230</v>
      </c>
      <c r="AD24" s="118">
        <v>5</v>
      </c>
      <c r="AE24" s="118">
        <v>-87</v>
      </c>
      <c r="AF24" s="118">
        <v>0</v>
      </c>
      <c r="AG24" s="118">
        <v>149</v>
      </c>
      <c r="AH24" s="118">
        <v>-4</v>
      </c>
      <c r="AI24" s="118">
        <v>0</v>
      </c>
      <c r="AJ24" s="118">
        <v>-51</v>
      </c>
      <c r="AK24" s="118">
        <v>0</v>
      </c>
      <c r="AL24" s="118">
        <v>1</v>
      </c>
      <c r="AM24" s="118">
        <v>19</v>
      </c>
      <c r="AN24" s="118">
        <v>1</v>
      </c>
      <c r="AO24" s="118">
        <v>0</v>
      </c>
      <c r="AP24" s="118">
        <v>-138</v>
      </c>
      <c r="AQ24" s="118">
        <v>-10</v>
      </c>
      <c r="AR24" s="118">
        <v>6</v>
      </c>
      <c r="AS24" s="118">
        <v>94</v>
      </c>
      <c r="AT24" s="118">
        <v>176</v>
      </c>
      <c r="AU24" s="118">
        <v>-98</v>
      </c>
      <c r="AV24" s="118">
        <v>289</v>
      </c>
      <c r="AW24" s="118">
        <v>1</v>
      </c>
      <c r="AX24" s="118">
        <v>0</v>
      </c>
      <c r="AY24" s="118">
        <v>0</v>
      </c>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row>
    <row r="25" spans="2:305" ht="15" customHeight="1" x14ac:dyDescent="0.2">
      <c r="B25" s="129" t="s">
        <v>588</v>
      </c>
      <c r="C25" s="118">
        <v>0</v>
      </c>
      <c r="D25" s="118">
        <v>0</v>
      </c>
      <c r="E25" s="118">
        <v>0</v>
      </c>
      <c r="F25" s="118">
        <v>0</v>
      </c>
      <c r="G25" s="118">
        <v>-263</v>
      </c>
      <c r="H25" s="118">
        <v>403</v>
      </c>
      <c r="I25" s="118">
        <v>-181</v>
      </c>
      <c r="J25" s="118">
        <v>-4616</v>
      </c>
      <c r="K25" s="118">
        <v>-596</v>
      </c>
      <c r="L25" s="118">
        <v>-987</v>
      </c>
      <c r="M25" s="118">
        <v>-283</v>
      </c>
      <c r="N25" s="118">
        <v>-352</v>
      </c>
      <c r="O25" s="118">
        <v>-1455</v>
      </c>
      <c r="P25" s="261">
        <v>-18703</v>
      </c>
      <c r="Q25" s="118">
        <v>-3287</v>
      </c>
      <c r="R25" s="118">
        <v>-7763</v>
      </c>
      <c r="S25" s="118">
        <v>-5551</v>
      </c>
      <c r="T25" s="118">
        <v>-2971</v>
      </c>
      <c r="U25" s="118">
        <v>-640</v>
      </c>
      <c r="V25" s="118">
        <v>-15384</v>
      </c>
      <c r="W25" s="118">
        <v>-4037</v>
      </c>
      <c r="X25" s="118">
        <v>-3479</v>
      </c>
      <c r="Y25" s="118">
        <v>-5089</v>
      </c>
      <c r="Z25" s="118">
        <v>-5969</v>
      </c>
      <c r="AA25" s="118">
        <v>-5593</v>
      </c>
      <c r="AB25" s="118">
        <v>-1978</v>
      </c>
      <c r="AC25" s="118">
        <v>-5211</v>
      </c>
      <c r="AD25" s="118">
        <v>-2037</v>
      </c>
      <c r="AE25" s="118">
        <v>-926</v>
      </c>
      <c r="AF25" s="118">
        <v>-921</v>
      </c>
      <c r="AG25" s="118">
        <v>1</v>
      </c>
      <c r="AH25" s="118">
        <v>-2090</v>
      </c>
      <c r="AI25" s="118">
        <v>587</v>
      </c>
      <c r="AJ25" s="118">
        <v>138</v>
      </c>
      <c r="AK25" s="261">
        <v>-6904</v>
      </c>
      <c r="AL25" s="118">
        <v>-227</v>
      </c>
      <c r="AM25" s="118">
        <v>-443</v>
      </c>
      <c r="AN25" s="118">
        <v>-559</v>
      </c>
      <c r="AO25" s="118">
        <v>-322</v>
      </c>
      <c r="AP25" s="118">
        <v>-459</v>
      </c>
      <c r="AQ25" s="118">
        <v>-660</v>
      </c>
      <c r="AR25" s="118">
        <v>-431</v>
      </c>
      <c r="AS25" s="118">
        <v>144</v>
      </c>
      <c r="AT25" s="118">
        <v>-236</v>
      </c>
      <c r="AU25" s="118">
        <v>-361</v>
      </c>
      <c r="AV25" s="118">
        <v>-205</v>
      </c>
      <c r="AW25" s="118">
        <v>-235</v>
      </c>
      <c r="AX25" s="118">
        <v>-878</v>
      </c>
      <c r="AY25" s="118">
        <v>765</v>
      </c>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row>
    <row r="26" spans="2:305" x14ac:dyDescent="0.2">
      <c r="B26" s="129" t="s">
        <v>878</v>
      </c>
      <c r="C26" s="118">
        <v>0</v>
      </c>
      <c r="D26" s="118">
        <v>0</v>
      </c>
      <c r="E26" s="118">
        <v>0</v>
      </c>
      <c r="F26" s="118">
        <v>0</v>
      </c>
      <c r="G26" s="118">
        <v>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18">
        <v>0</v>
      </c>
      <c r="Y26" s="261">
        <v>56475</v>
      </c>
      <c r="Z26" s="321">
        <v>0</v>
      </c>
      <c r="AA26" s="321">
        <v>0</v>
      </c>
      <c r="AB26" s="321">
        <v>0</v>
      </c>
      <c r="AC26" s="321">
        <v>0</v>
      </c>
      <c r="AD26" s="321">
        <v>0</v>
      </c>
      <c r="AE26" s="321">
        <v>0</v>
      </c>
      <c r="AF26" s="321">
        <v>0</v>
      </c>
      <c r="AG26" s="321">
        <v>0</v>
      </c>
      <c r="AH26" s="321">
        <v>0</v>
      </c>
      <c r="AI26" s="321">
        <v>0</v>
      </c>
      <c r="AJ26" s="321">
        <v>0</v>
      </c>
      <c r="AK26" s="321">
        <v>0</v>
      </c>
      <c r="AL26" s="321">
        <v>0</v>
      </c>
      <c r="AM26" s="321">
        <v>0</v>
      </c>
      <c r="AN26" s="321">
        <v>0</v>
      </c>
      <c r="AO26" s="321">
        <v>0</v>
      </c>
      <c r="AP26" s="321">
        <v>0</v>
      </c>
      <c r="AQ26" s="321">
        <v>0</v>
      </c>
      <c r="AR26" s="321">
        <v>0</v>
      </c>
      <c r="AS26" s="321">
        <v>0</v>
      </c>
      <c r="AT26" s="321">
        <v>0</v>
      </c>
      <c r="AU26" s="321">
        <v>0</v>
      </c>
      <c r="AV26" s="321">
        <v>0</v>
      </c>
      <c r="AW26" s="321">
        <v>0</v>
      </c>
      <c r="AX26" s="321">
        <v>0</v>
      </c>
      <c r="AY26" s="321">
        <v>0</v>
      </c>
    </row>
    <row r="27" spans="2:305" ht="15" customHeight="1" x14ac:dyDescent="0.2">
      <c r="B27" s="129" t="s">
        <v>876</v>
      </c>
      <c r="C27" s="118">
        <v>0</v>
      </c>
      <c r="D27" s="118">
        <v>0</v>
      </c>
      <c r="E27" s="118">
        <v>0</v>
      </c>
      <c r="F27" s="118">
        <v>0</v>
      </c>
      <c r="G27" s="118">
        <v>0</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18">
        <v>0</v>
      </c>
      <c r="Y27" s="118">
        <v>10</v>
      </c>
      <c r="Z27" s="118">
        <v>56</v>
      </c>
      <c r="AA27" s="118">
        <v>-10</v>
      </c>
      <c r="AB27" s="118">
        <v>5</v>
      </c>
      <c r="AC27" s="118">
        <v>36</v>
      </c>
      <c r="AD27" s="118">
        <v>0</v>
      </c>
      <c r="AE27" s="118">
        <v>0</v>
      </c>
      <c r="AF27" s="118">
        <v>0</v>
      </c>
      <c r="AG27" s="118">
        <v>0</v>
      </c>
      <c r="AH27" s="118">
        <v>0</v>
      </c>
      <c r="AI27" s="118">
        <v>3</v>
      </c>
      <c r="AJ27" s="118">
        <v>-3</v>
      </c>
      <c r="AK27" s="118">
        <v>0</v>
      </c>
      <c r="AL27" s="118">
        <v>0</v>
      </c>
      <c r="AM27" s="118">
        <v>0</v>
      </c>
      <c r="AN27" s="118">
        <v>0</v>
      </c>
      <c r="AO27" s="118">
        <v>0</v>
      </c>
      <c r="AP27" s="118">
        <v>0</v>
      </c>
      <c r="AQ27" s="118">
        <v>0</v>
      </c>
      <c r="AR27" s="118">
        <v>0</v>
      </c>
      <c r="AS27" s="118">
        <v>0</v>
      </c>
      <c r="AT27" s="118">
        <v>41</v>
      </c>
      <c r="AU27" s="118">
        <v>0</v>
      </c>
      <c r="AV27" s="118">
        <v>0</v>
      </c>
      <c r="AW27" s="118">
        <v>0</v>
      </c>
      <c r="AX27" s="118">
        <v>0</v>
      </c>
      <c r="AY27" s="118">
        <v>0</v>
      </c>
    </row>
    <row r="28" spans="2:305" x14ac:dyDescent="0.2">
      <c r="B28" s="129" t="s">
        <v>1116</v>
      </c>
      <c r="C28" s="118" t="s">
        <v>160</v>
      </c>
      <c r="D28" s="118" t="s">
        <v>160</v>
      </c>
      <c r="E28" s="118" t="s">
        <v>160</v>
      </c>
      <c r="F28" s="118" t="s">
        <v>160</v>
      </c>
      <c r="G28" s="118" t="s">
        <v>160</v>
      </c>
      <c r="H28" s="118" t="s">
        <v>160</v>
      </c>
      <c r="I28" s="118" t="s">
        <v>160</v>
      </c>
      <c r="J28" s="118" t="s">
        <v>160</v>
      </c>
      <c r="K28" s="118" t="s">
        <v>160</v>
      </c>
      <c r="L28" s="118" t="s">
        <v>160</v>
      </c>
      <c r="M28" s="118" t="s">
        <v>160</v>
      </c>
      <c r="N28" s="118" t="s">
        <v>160</v>
      </c>
      <c r="O28" s="118" t="s">
        <v>160</v>
      </c>
      <c r="P28" s="118" t="s">
        <v>160</v>
      </c>
      <c r="Q28" s="118" t="s">
        <v>160</v>
      </c>
      <c r="R28" s="118" t="s">
        <v>160</v>
      </c>
      <c r="S28" s="118" t="s">
        <v>160</v>
      </c>
      <c r="T28" s="118" t="s">
        <v>160</v>
      </c>
      <c r="U28" s="118" t="s">
        <v>160</v>
      </c>
      <c r="V28" s="118" t="s">
        <v>160</v>
      </c>
      <c r="W28" s="118" t="s">
        <v>160</v>
      </c>
      <c r="X28" s="118" t="s">
        <v>160</v>
      </c>
      <c r="Y28" s="118" t="s">
        <v>160</v>
      </c>
      <c r="Z28" s="118" t="s">
        <v>160</v>
      </c>
      <c r="AA28" s="118" t="s">
        <v>160</v>
      </c>
      <c r="AB28" s="118" t="s">
        <v>160</v>
      </c>
      <c r="AC28" s="118" t="s">
        <v>160</v>
      </c>
      <c r="AD28" s="118" t="s">
        <v>160</v>
      </c>
      <c r="AE28" s="118" t="s">
        <v>160</v>
      </c>
      <c r="AF28" s="118" t="s">
        <v>160</v>
      </c>
      <c r="AG28" s="118" t="s">
        <v>160</v>
      </c>
      <c r="AH28" s="118">
        <v>0</v>
      </c>
      <c r="AI28" s="118">
        <v>0</v>
      </c>
      <c r="AJ28" s="118">
        <v>0</v>
      </c>
      <c r="AK28" s="118">
        <v>0</v>
      </c>
      <c r="AL28" s="118">
        <v>0</v>
      </c>
      <c r="AM28" s="118">
        <v>0</v>
      </c>
      <c r="AN28" s="118">
        <v>0</v>
      </c>
      <c r="AO28" s="118">
        <v>0</v>
      </c>
      <c r="AP28" s="118">
        <v>0</v>
      </c>
      <c r="AQ28" s="118">
        <v>0</v>
      </c>
      <c r="AR28" s="118">
        <v>0</v>
      </c>
      <c r="AS28" s="118">
        <v>0</v>
      </c>
      <c r="AT28" s="118">
        <v>0</v>
      </c>
      <c r="AU28" s="118">
        <v>0</v>
      </c>
      <c r="AV28" s="118">
        <v>0</v>
      </c>
      <c r="AW28" s="118">
        <v>0</v>
      </c>
      <c r="AX28" s="118">
        <v>0</v>
      </c>
      <c r="AY28" s="118">
        <v>0</v>
      </c>
    </row>
    <row r="29" spans="2:305" x14ac:dyDescent="0.2">
      <c r="B29" s="129" t="s">
        <v>128</v>
      </c>
      <c r="C29" s="118">
        <v>6</v>
      </c>
      <c r="D29" s="118">
        <v>2</v>
      </c>
      <c r="E29" s="118">
        <v>293</v>
      </c>
      <c r="F29" s="118">
        <v>3</v>
      </c>
      <c r="G29" s="118">
        <v>2</v>
      </c>
      <c r="H29" s="118">
        <v>-8</v>
      </c>
      <c r="I29" s="118">
        <v>4</v>
      </c>
      <c r="J29" s="118">
        <v>-1702</v>
      </c>
      <c r="K29" s="118">
        <v>1222</v>
      </c>
      <c r="L29" s="118">
        <v>-310</v>
      </c>
      <c r="M29" s="118">
        <v>40</v>
      </c>
      <c r="N29" s="118">
        <v>-20</v>
      </c>
      <c r="O29" s="118">
        <v>2</v>
      </c>
      <c r="P29" s="118">
        <v>2</v>
      </c>
      <c r="Q29" s="118">
        <v>706</v>
      </c>
      <c r="R29" s="118">
        <v>-26</v>
      </c>
      <c r="S29" s="118">
        <v>828</v>
      </c>
      <c r="T29" s="118">
        <v>-39</v>
      </c>
      <c r="U29" s="118">
        <v>-2301</v>
      </c>
      <c r="V29" s="118">
        <v>1016</v>
      </c>
      <c r="W29" s="118">
        <v>55</v>
      </c>
      <c r="X29" s="118">
        <v>-926</v>
      </c>
      <c r="Y29" s="118">
        <v>-300</v>
      </c>
      <c r="Z29" s="118">
        <v>871</v>
      </c>
      <c r="AA29" s="118">
        <v>-71</v>
      </c>
      <c r="AB29" s="118">
        <v>-2</v>
      </c>
      <c r="AC29" s="118">
        <v>198</v>
      </c>
      <c r="AD29" s="118">
        <v>-125</v>
      </c>
      <c r="AE29" s="261">
        <v>6551</v>
      </c>
      <c r="AF29" s="118">
        <v>19</v>
      </c>
      <c r="AG29" s="118">
        <v>-11</v>
      </c>
      <c r="AH29" s="118">
        <v>-597</v>
      </c>
      <c r="AI29" s="118">
        <v>180</v>
      </c>
      <c r="AJ29" s="118">
        <v>-469</v>
      </c>
      <c r="AK29" s="118">
        <v>-299</v>
      </c>
      <c r="AL29" s="118">
        <v>340</v>
      </c>
      <c r="AM29" s="118">
        <v>146</v>
      </c>
      <c r="AN29" s="118">
        <v>-2573</v>
      </c>
      <c r="AO29" s="118">
        <v>-25</v>
      </c>
      <c r="AP29" s="118">
        <v>-168</v>
      </c>
      <c r="AQ29" s="118">
        <v>-53</v>
      </c>
      <c r="AR29" s="118">
        <v>695</v>
      </c>
      <c r="AS29" s="118">
        <v>-238</v>
      </c>
      <c r="AT29" s="118">
        <v>1830</v>
      </c>
      <c r="AU29" s="118">
        <v>269</v>
      </c>
      <c r="AV29" s="118">
        <v>-291</v>
      </c>
      <c r="AW29" s="118">
        <v>61</v>
      </c>
      <c r="AX29" s="118">
        <v>-1</v>
      </c>
      <c r="AY29" s="118">
        <v>2500</v>
      </c>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c r="IU29" s="25"/>
      <c r="IV29" s="25"/>
      <c r="IW29" s="25"/>
      <c r="IX29" s="25"/>
      <c r="IY29" s="25"/>
      <c r="IZ29" s="25"/>
      <c r="JA29" s="25"/>
      <c r="JB29" s="25"/>
      <c r="JC29" s="25"/>
      <c r="JD29" s="25"/>
      <c r="JE29" s="25"/>
      <c r="JF29" s="25"/>
      <c r="JG29" s="25"/>
      <c r="JH29" s="25"/>
      <c r="JI29" s="25"/>
      <c r="JJ29" s="25"/>
      <c r="JK29" s="25"/>
      <c r="JL29" s="25"/>
      <c r="JM29" s="25"/>
      <c r="JN29" s="25"/>
      <c r="JO29" s="25"/>
      <c r="JP29" s="25"/>
      <c r="JQ29" s="25"/>
      <c r="JR29" s="25"/>
      <c r="JS29" s="25"/>
      <c r="JT29" s="25"/>
      <c r="JU29" s="25"/>
      <c r="JV29" s="25"/>
      <c r="JW29" s="25"/>
      <c r="JX29" s="25"/>
      <c r="JY29" s="25"/>
      <c r="JZ29" s="25"/>
      <c r="KA29" s="25"/>
      <c r="KB29" s="25"/>
      <c r="KC29" s="25"/>
      <c r="KD29" s="25"/>
      <c r="KE29" s="25"/>
      <c r="KF29" s="25"/>
      <c r="KG29" s="25"/>
      <c r="KH29" s="25"/>
      <c r="KI29" s="25"/>
      <c r="KJ29" s="25"/>
      <c r="KK29" s="25"/>
      <c r="KL29" s="25"/>
      <c r="KM29" s="25"/>
      <c r="KN29" s="25"/>
      <c r="KO29" s="25"/>
      <c r="KP29" s="25"/>
      <c r="KQ29" s="25"/>
      <c r="KR29" s="25"/>
      <c r="KS29" s="25"/>
    </row>
    <row r="30" spans="2:305" s="248" customFormat="1" hidden="1" outlineLevel="1" x14ac:dyDescent="0.2">
      <c r="B30" s="249" t="s">
        <v>581</v>
      </c>
      <c r="C30" s="218">
        <v>0</v>
      </c>
      <c r="D30" s="218">
        <v>0</v>
      </c>
      <c r="E30" s="218">
        <v>0</v>
      </c>
      <c r="F30" s="218">
        <v>0</v>
      </c>
      <c r="G30" s="218">
        <v>0</v>
      </c>
      <c r="H30" s="218">
        <v>0</v>
      </c>
      <c r="I30" s="218">
        <v>0</v>
      </c>
      <c r="J30" s="218">
        <v>0</v>
      </c>
      <c r="K30" s="218">
        <v>0</v>
      </c>
      <c r="L30" s="218">
        <v>0</v>
      </c>
      <c r="M30" s="218">
        <v>0</v>
      </c>
      <c r="N30" s="218">
        <v>0</v>
      </c>
      <c r="O30" s="218">
        <v>0</v>
      </c>
      <c r="P30" s="218">
        <v>-223</v>
      </c>
      <c r="Q30" s="218">
        <v>0</v>
      </c>
      <c r="R30" s="218">
        <v>0</v>
      </c>
      <c r="S30" s="218">
        <v>0</v>
      </c>
      <c r="T30" s="218">
        <v>0</v>
      </c>
      <c r="U30" s="218">
        <v>0</v>
      </c>
      <c r="V30" s="218">
        <v>0</v>
      </c>
      <c r="W30" s="218">
        <v>0</v>
      </c>
      <c r="X30" s="218">
        <v>0</v>
      </c>
      <c r="Y30" s="218">
        <v>0</v>
      </c>
      <c r="Z30" s="218">
        <v>0</v>
      </c>
      <c r="AA30" s="218">
        <v>0</v>
      </c>
      <c r="AB30" s="218">
        <v>0</v>
      </c>
      <c r="AC30" s="218">
        <v>0</v>
      </c>
      <c r="AD30" s="218">
        <v>0</v>
      </c>
      <c r="AE30" s="218">
        <v>0</v>
      </c>
      <c r="AF30" s="218">
        <v>0</v>
      </c>
      <c r="AG30" s="218">
        <v>0</v>
      </c>
      <c r="AH30" s="218">
        <v>0</v>
      </c>
      <c r="AI30" s="218">
        <v>0</v>
      </c>
      <c r="AJ30" s="218">
        <v>0</v>
      </c>
      <c r="AK30" s="218">
        <v>0</v>
      </c>
      <c r="AL30" s="218">
        <v>0</v>
      </c>
      <c r="AM30" s="218">
        <v>0</v>
      </c>
      <c r="AN30" s="218">
        <v>0</v>
      </c>
      <c r="AO30" s="218">
        <v>0</v>
      </c>
      <c r="AP30" s="218">
        <v>0</v>
      </c>
      <c r="AQ30" s="218">
        <v>0</v>
      </c>
      <c r="AR30" s="218"/>
      <c r="AS30" s="218"/>
      <c r="AT30" s="218"/>
      <c r="AU30" s="218"/>
      <c r="AV30" s="218">
        <v>0</v>
      </c>
      <c r="AW30" s="218">
        <v>0</v>
      </c>
      <c r="AX30" s="218">
        <v>0</v>
      </c>
      <c r="AY30" s="218">
        <v>0</v>
      </c>
    </row>
    <row r="31" spans="2:305" s="248" customFormat="1" hidden="1" outlineLevel="1" x14ac:dyDescent="0.2">
      <c r="B31" s="249" t="s">
        <v>126</v>
      </c>
      <c r="C31" s="218">
        <v>-647</v>
      </c>
      <c r="D31" s="218">
        <v>-828</v>
      </c>
      <c r="E31" s="218">
        <v>-12308</v>
      </c>
      <c r="F31" s="218">
        <v>-2904</v>
      </c>
      <c r="G31" s="218">
        <v>-487</v>
      </c>
      <c r="H31" s="218">
        <v>-113</v>
      </c>
      <c r="I31" s="218">
        <v>-470</v>
      </c>
      <c r="J31" s="218">
        <v>-999</v>
      </c>
      <c r="K31" s="218">
        <v>-105</v>
      </c>
      <c r="L31" s="218">
        <v>-933</v>
      </c>
      <c r="M31" s="218">
        <v>-187</v>
      </c>
      <c r="N31" s="218">
        <v>-145</v>
      </c>
      <c r="O31" s="218">
        <v>-5</v>
      </c>
      <c r="P31" s="218">
        <v>-35</v>
      </c>
      <c r="Q31" s="218">
        <v>55</v>
      </c>
      <c r="R31" s="218">
        <v>8</v>
      </c>
      <c r="S31" s="218">
        <v>-57</v>
      </c>
      <c r="T31" s="218">
        <v>109</v>
      </c>
      <c r="U31" s="218">
        <v>-5</v>
      </c>
      <c r="V31" s="218">
        <v>-15</v>
      </c>
      <c r="W31" s="218">
        <v>-79</v>
      </c>
      <c r="X31" s="218">
        <v>80</v>
      </c>
      <c r="Y31" s="218">
        <v>-86</v>
      </c>
      <c r="Z31" s="218">
        <v>85</v>
      </c>
      <c r="AA31" s="218">
        <v>0</v>
      </c>
      <c r="AB31" s="218">
        <v>0</v>
      </c>
      <c r="AC31" s="218">
        <v>0</v>
      </c>
      <c r="AD31" s="218">
        <v>0</v>
      </c>
      <c r="AE31" s="218">
        <v>0</v>
      </c>
      <c r="AF31" s="218">
        <v>0</v>
      </c>
      <c r="AG31" s="218">
        <v>0</v>
      </c>
      <c r="AH31" s="218">
        <v>0</v>
      </c>
      <c r="AI31" s="218">
        <v>0</v>
      </c>
      <c r="AJ31" s="218">
        <v>0</v>
      </c>
      <c r="AK31" s="218">
        <v>847</v>
      </c>
      <c r="AL31" s="218">
        <v>-847</v>
      </c>
      <c r="AM31" s="218">
        <v>0</v>
      </c>
      <c r="AN31" s="218">
        <v>0</v>
      </c>
      <c r="AO31" s="218">
        <v>0</v>
      </c>
      <c r="AP31" s="218">
        <v>0</v>
      </c>
      <c r="AQ31" s="218">
        <v>0</v>
      </c>
      <c r="AR31" s="218"/>
      <c r="AS31" s="218"/>
      <c r="AT31" s="218"/>
      <c r="AU31" s="218"/>
      <c r="AV31" s="218">
        <v>0</v>
      </c>
      <c r="AW31" s="218">
        <v>0</v>
      </c>
      <c r="AX31" s="218">
        <v>0</v>
      </c>
      <c r="AY31" s="218">
        <v>0</v>
      </c>
    </row>
    <row r="32" spans="2:305" hidden="1" outlineLevel="1" x14ac:dyDescent="0.2">
      <c r="B32" s="249" t="s">
        <v>750</v>
      </c>
      <c r="C32" s="218">
        <v>0</v>
      </c>
      <c r="D32" s="218">
        <v>0</v>
      </c>
      <c r="E32" s="218">
        <v>0</v>
      </c>
      <c r="F32" s="218">
        <v>0</v>
      </c>
      <c r="G32" s="218">
        <v>0</v>
      </c>
      <c r="H32" s="218">
        <v>0</v>
      </c>
      <c r="I32" s="218">
        <v>0</v>
      </c>
      <c r="J32" s="218">
        <v>0</v>
      </c>
      <c r="K32" s="218">
        <v>0</v>
      </c>
      <c r="L32" s="218">
        <v>0</v>
      </c>
      <c r="M32" s="218">
        <v>0</v>
      </c>
      <c r="N32" s="218">
        <v>0</v>
      </c>
      <c r="O32" s="218">
        <v>0</v>
      </c>
      <c r="P32" s="218">
        <v>0</v>
      </c>
      <c r="Q32" s="218">
        <v>0</v>
      </c>
      <c r="R32" s="218">
        <v>0</v>
      </c>
      <c r="S32" s="218">
        <v>-2527</v>
      </c>
      <c r="T32" s="218">
        <v>0</v>
      </c>
      <c r="U32" s="218">
        <v>0</v>
      </c>
      <c r="V32" s="218">
        <v>0</v>
      </c>
      <c r="W32" s="218">
        <v>0</v>
      </c>
      <c r="X32" s="218">
        <v>0</v>
      </c>
      <c r="Y32" s="218">
        <v>0</v>
      </c>
      <c r="Z32" s="218">
        <v>0</v>
      </c>
      <c r="AA32" s="218">
        <v>0</v>
      </c>
      <c r="AB32" s="218">
        <v>0</v>
      </c>
      <c r="AC32" s="218">
        <v>0</v>
      </c>
      <c r="AD32" s="218">
        <v>0</v>
      </c>
      <c r="AE32" s="218">
        <v>0</v>
      </c>
      <c r="AF32" s="218">
        <v>0</v>
      </c>
      <c r="AG32" s="218">
        <v>0</v>
      </c>
      <c r="AH32" s="218">
        <v>0</v>
      </c>
      <c r="AI32" s="218">
        <v>0</v>
      </c>
      <c r="AJ32" s="218">
        <v>0</v>
      </c>
      <c r="AK32" s="218">
        <v>0</v>
      </c>
      <c r="AL32" s="218">
        <v>0</v>
      </c>
      <c r="AM32" s="218">
        <v>0</v>
      </c>
      <c r="AN32" s="218">
        <v>0</v>
      </c>
      <c r="AO32" s="218">
        <v>0</v>
      </c>
      <c r="AP32" s="218">
        <v>0</v>
      </c>
      <c r="AQ32" s="218">
        <v>0</v>
      </c>
      <c r="AR32" s="218"/>
      <c r="AS32" s="218"/>
      <c r="AT32" s="218"/>
      <c r="AU32" s="218"/>
      <c r="AV32" s="218">
        <v>0</v>
      </c>
      <c r="AW32" s="218">
        <v>0</v>
      </c>
      <c r="AX32" s="218">
        <v>0</v>
      </c>
      <c r="AY32" s="218">
        <v>0</v>
      </c>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25"/>
      <c r="JH32" s="25"/>
      <c r="JI32" s="25"/>
      <c r="JJ32" s="25"/>
      <c r="JK32" s="25"/>
      <c r="JL32" s="25"/>
      <c r="JM32" s="25"/>
      <c r="JN32" s="25"/>
      <c r="JO32" s="25"/>
      <c r="JP32" s="25"/>
      <c r="JQ32" s="25"/>
      <c r="JR32" s="25"/>
      <c r="JS32" s="25"/>
      <c r="JT32" s="25"/>
      <c r="JU32" s="25"/>
      <c r="JV32" s="25"/>
      <c r="JW32" s="25"/>
      <c r="JX32" s="25"/>
      <c r="JY32" s="25"/>
      <c r="JZ32" s="25"/>
      <c r="KA32" s="25"/>
      <c r="KB32" s="25"/>
      <c r="KC32" s="25"/>
      <c r="KD32" s="25"/>
      <c r="KE32" s="25"/>
      <c r="KF32" s="25"/>
      <c r="KG32" s="25"/>
      <c r="KH32" s="25"/>
      <c r="KI32" s="25"/>
      <c r="KJ32" s="25"/>
      <c r="KK32" s="25"/>
      <c r="KL32" s="25"/>
      <c r="KM32" s="25"/>
      <c r="KN32" s="25"/>
      <c r="KO32" s="25"/>
      <c r="KP32" s="25"/>
      <c r="KQ32" s="25"/>
      <c r="KR32" s="25"/>
      <c r="KS32" s="25"/>
    </row>
    <row r="33" spans="2:305" hidden="1" outlineLevel="1" x14ac:dyDescent="0.2">
      <c r="B33" s="249" t="s">
        <v>751</v>
      </c>
      <c r="C33" s="218">
        <v>0</v>
      </c>
      <c r="D33" s="218">
        <v>0</v>
      </c>
      <c r="E33" s="218">
        <v>0</v>
      </c>
      <c r="F33" s="218">
        <v>0</v>
      </c>
      <c r="G33" s="218">
        <v>0</v>
      </c>
      <c r="H33" s="218">
        <v>0</v>
      </c>
      <c r="I33" s="218">
        <v>0</v>
      </c>
      <c r="J33" s="218">
        <v>0</v>
      </c>
      <c r="K33" s="218">
        <v>0</v>
      </c>
      <c r="L33" s="218">
        <v>0</v>
      </c>
      <c r="M33" s="218">
        <v>0</v>
      </c>
      <c r="N33" s="218">
        <v>0</v>
      </c>
      <c r="O33" s="218">
        <v>0</v>
      </c>
      <c r="P33" s="218">
        <v>0</v>
      </c>
      <c r="Q33" s="218">
        <v>0</v>
      </c>
      <c r="R33" s="218">
        <v>0</v>
      </c>
      <c r="S33" s="218">
        <v>1842</v>
      </c>
      <c r="T33" s="218">
        <v>0</v>
      </c>
      <c r="U33" s="218">
        <v>0</v>
      </c>
      <c r="V33" s="218">
        <v>0</v>
      </c>
      <c r="W33" s="218">
        <v>0</v>
      </c>
      <c r="X33" s="218">
        <v>0</v>
      </c>
      <c r="Y33" s="218">
        <v>0</v>
      </c>
      <c r="Z33" s="218">
        <v>0</v>
      </c>
      <c r="AA33" s="218">
        <v>0</v>
      </c>
      <c r="AB33" s="218">
        <v>0</v>
      </c>
      <c r="AC33" s="218">
        <v>0</v>
      </c>
      <c r="AD33" s="218">
        <v>0</v>
      </c>
      <c r="AE33" s="218">
        <v>0</v>
      </c>
      <c r="AF33" s="218">
        <v>0</v>
      </c>
      <c r="AG33" s="218">
        <v>0</v>
      </c>
      <c r="AH33" s="218">
        <v>0</v>
      </c>
      <c r="AI33" s="218">
        <v>0</v>
      </c>
      <c r="AJ33" s="218">
        <v>0</v>
      </c>
      <c r="AK33" s="218">
        <v>0</v>
      </c>
      <c r="AL33" s="218">
        <v>0</v>
      </c>
      <c r="AM33" s="218">
        <v>0</v>
      </c>
      <c r="AN33" s="218">
        <v>0</v>
      </c>
      <c r="AO33" s="218">
        <v>0</v>
      </c>
      <c r="AP33" s="218">
        <v>0</v>
      </c>
      <c r="AQ33" s="218">
        <v>0</v>
      </c>
      <c r="AR33" s="218"/>
      <c r="AS33" s="218"/>
      <c r="AT33" s="218"/>
      <c r="AU33" s="218"/>
      <c r="AV33" s="218">
        <v>0</v>
      </c>
      <c r="AW33" s="218">
        <v>0</v>
      </c>
      <c r="AX33" s="218">
        <v>0</v>
      </c>
      <c r="AY33" s="218">
        <v>0</v>
      </c>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c r="IV33" s="25"/>
      <c r="IW33" s="25"/>
      <c r="IX33" s="25"/>
      <c r="IY33" s="25"/>
      <c r="IZ33" s="25"/>
      <c r="JA33" s="25"/>
      <c r="JB33" s="25"/>
      <c r="JC33" s="25"/>
      <c r="JD33" s="25"/>
      <c r="JE33" s="25"/>
      <c r="JF33" s="25"/>
      <c r="JG33" s="25"/>
      <c r="JH33" s="25"/>
      <c r="JI33" s="25"/>
      <c r="JJ33" s="25"/>
      <c r="JK33" s="25"/>
      <c r="JL33" s="25"/>
      <c r="JM33" s="25"/>
      <c r="JN33" s="25"/>
      <c r="JO33" s="25"/>
      <c r="JP33" s="25"/>
      <c r="JQ33" s="25"/>
      <c r="JR33" s="25"/>
      <c r="JS33" s="25"/>
      <c r="JT33" s="25"/>
      <c r="JU33" s="25"/>
      <c r="JV33" s="25"/>
      <c r="JW33" s="25"/>
      <c r="JX33" s="25"/>
      <c r="JY33" s="25"/>
      <c r="JZ33" s="25"/>
      <c r="KA33" s="25"/>
      <c r="KB33" s="25"/>
      <c r="KC33" s="25"/>
      <c r="KD33" s="25"/>
      <c r="KE33" s="25"/>
      <c r="KF33" s="25"/>
      <c r="KG33" s="25"/>
      <c r="KH33" s="25"/>
      <c r="KI33" s="25"/>
      <c r="KJ33" s="25"/>
      <c r="KK33" s="25"/>
      <c r="KL33" s="25"/>
      <c r="KM33" s="25"/>
      <c r="KN33" s="25"/>
      <c r="KO33" s="25"/>
      <c r="KP33" s="25"/>
      <c r="KQ33" s="25"/>
      <c r="KR33" s="25"/>
      <c r="KS33" s="25"/>
    </row>
    <row r="34" spans="2:305" s="753" customFormat="1" ht="12.75" hidden="1" outlineLevel="1" x14ac:dyDescent="0.2">
      <c r="B34" s="249" t="s">
        <v>580</v>
      </c>
      <c r="C34" s="218">
        <v>0</v>
      </c>
      <c r="D34" s="218">
        <v>0</v>
      </c>
      <c r="E34" s="218">
        <v>0</v>
      </c>
      <c r="F34" s="218">
        <v>0</v>
      </c>
      <c r="G34" s="218">
        <v>0</v>
      </c>
      <c r="H34" s="218">
        <v>0</v>
      </c>
      <c r="I34" s="218">
        <v>0</v>
      </c>
      <c r="J34" s="218">
        <v>0</v>
      </c>
      <c r="K34" s="218">
        <v>0</v>
      </c>
      <c r="L34" s="218">
        <v>0</v>
      </c>
      <c r="M34" s="218">
        <v>0</v>
      </c>
      <c r="N34" s="218">
        <v>0</v>
      </c>
      <c r="O34" s="218">
        <v>0</v>
      </c>
      <c r="P34" s="218">
        <v>-1365</v>
      </c>
      <c r="Q34" s="218">
        <v>0</v>
      </c>
      <c r="R34" s="218">
        <v>0</v>
      </c>
      <c r="S34" s="218">
        <v>0</v>
      </c>
      <c r="T34" s="218">
        <v>0</v>
      </c>
      <c r="U34" s="218">
        <v>0</v>
      </c>
      <c r="V34" s="218">
        <v>0</v>
      </c>
      <c r="W34" s="218">
        <v>0</v>
      </c>
      <c r="X34" s="218">
        <v>0</v>
      </c>
      <c r="Y34" s="218">
        <v>0</v>
      </c>
      <c r="Z34" s="218">
        <v>0</v>
      </c>
      <c r="AA34" s="218">
        <v>0</v>
      </c>
      <c r="AB34" s="218">
        <v>0</v>
      </c>
      <c r="AC34" s="218">
        <v>0</v>
      </c>
      <c r="AD34" s="218">
        <v>0</v>
      </c>
      <c r="AE34" s="218">
        <v>0</v>
      </c>
      <c r="AF34" s="218">
        <v>0</v>
      </c>
      <c r="AG34" s="218">
        <v>0</v>
      </c>
      <c r="AH34" s="218">
        <v>0</v>
      </c>
      <c r="AI34" s="218">
        <v>0</v>
      </c>
      <c r="AJ34" s="218">
        <v>0</v>
      </c>
      <c r="AK34" s="218">
        <v>0</v>
      </c>
      <c r="AL34" s="218">
        <v>0</v>
      </c>
      <c r="AM34" s="218">
        <v>0</v>
      </c>
      <c r="AN34" s="218">
        <v>0</v>
      </c>
      <c r="AO34" s="218">
        <v>0</v>
      </c>
      <c r="AP34" s="218">
        <v>0</v>
      </c>
      <c r="AQ34" s="218">
        <v>0</v>
      </c>
      <c r="AR34" s="218"/>
      <c r="AS34" s="218"/>
      <c r="AT34" s="218"/>
      <c r="AU34" s="218"/>
      <c r="AV34" s="218">
        <v>0</v>
      </c>
      <c r="AW34" s="218">
        <v>0</v>
      </c>
      <c r="AX34" s="218">
        <v>0</v>
      </c>
      <c r="AY34" s="218">
        <v>0</v>
      </c>
    </row>
    <row r="35" spans="2:305" collapsed="1" x14ac:dyDescent="0.2">
      <c r="B35" s="126" t="s">
        <v>386</v>
      </c>
      <c r="C35" s="120">
        <f t="shared" ref="C35:AL35" si="4">SUM(C22:C34)</f>
        <v>-545</v>
      </c>
      <c r="D35" s="120">
        <f t="shared" si="4"/>
        <v>-613</v>
      </c>
      <c r="E35" s="120">
        <f t="shared" si="4"/>
        <v>-11853</v>
      </c>
      <c r="F35" s="120">
        <f t="shared" si="4"/>
        <v>-2161</v>
      </c>
      <c r="G35" s="120">
        <f t="shared" si="4"/>
        <v>-492</v>
      </c>
      <c r="H35" s="120">
        <f t="shared" si="4"/>
        <v>536</v>
      </c>
      <c r="I35" s="120">
        <f t="shared" si="4"/>
        <v>-254</v>
      </c>
      <c r="J35" s="120">
        <f t="shared" si="4"/>
        <v>-7512</v>
      </c>
      <c r="K35" s="120">
        <f t="shared" si="4"/>
        <v>487</v>
      </c>
      <c r="L35" s="120">
        <f t="shared" si="4"/>
        <v>-2014</v>
      </c>
      <c r="M35" s="120">
        <f t="shared" si="4"/>
        <v>-1172</v>
      </c>
      <c r="N35" s="120">
        <f t="shared" si="4"/>
        <v>-817</v>
      </c>
      <c r="O35" s="120">
        <f t="shared" si="4"/>
        <v>-1544</v>
      </c>
      <c r="P35" s="120">
        <f t="shared" si="4"/>
        <v>-19727</v>
      </c>
      <c r="Q35" s="120">
        <f t="shared" si="4"/>
        <v>-2335</v>
      </c>
      <c r="R35" s="120">
        <f t="shared" si="4"/>
        <v>-8037</v>
      </c>
      <c r="S35" s="120">
        <f t="shared" si="4"/>
        <v>-5633</v>
      </c>
      <c r="T35" s="120">
        <f t="shared" si="4"/>
        <v>-2744</v>
      </c>
      <c r="U35" s="120">
        <f t="shared" si="4"/>
        <v>-2874</v>
      </c>
      <c r="V35" s="120">
        <f t="shared" si="4"/>
        <v>-14024</v>
      </c>
      <c r="W35" s="120">
        <f t="shared" si="4"/>
        <v>-3335</v>
      </c>
      <c r="X35" s="120">
        <f t="shared" si="4"/>
        <v>-3957</v>
      </c>
      <c r="Y35" s="120">
        <f t="shared" si="4"/>
        <v>51384</v>
      </c>
      <c r="Z35" s="120">
        <f t="shared" si="4"/>
        <v>-5189</v>
      </c>
      <c r="AA35" s="120">
        <f t="shared" si="4"/>
        <v>-5429</v>
      </c>
      <c r="AB35" s="120">
        <f t="shared" si="4"/>
        <v>-2048</v>
      </c>
      <c r="AC35" s="120">
        <f t="shared" si="4"/>
        <v>-5058</v>
      </c>
      <c r="AD35" s="120">
        <f t="shared" si="4"/>
        <v>-1982</v>
      </c>
      <c r="AE35" s="120">
        <f t="shared" si="4"/>
        <v>5745</v>
      </c>
      <c r="AF35" s="120">
        <f t="shared" si="4"/>
        <v>-785</v>
      </c>
      <c r="AG35" s="120">
        <f t="shared" si="4"/>
        <v>318</v>
      </c>
      <c r="AH35" s="120">
        <f t="shared" si="4"/>
        <v>-2635</v>
      </c>
      <c r="AI35" s="120">
        <f t="shared" si="4"/>
        <v>815</v>
      </c>
      <c r="AJ35" s="120">
        <f t="shared" si="4"/>
        <v>347</v>
      </c>
      <c r="AK35" s="120">
        <f t="shared" si="4"/>
        <v>-6023</v>
      </c>
      <c r="AL35" s="120">
        <f t="shared" si="4"/>
        <v>-526</v>
      </c>
      <c r="AM35" s="120">
        <f t="shared" ref="AM35:AV35" si="5">SUM(AM22:AM34)</f>
        <v>568</v>
      </c>
      <c r="AN35" s="120">
        <f t="shared" si="5"/>
        <v>-2994</v>
      </c>
      <c r="AO35" s="120">
        <f t="shared" si="5"/>
        <v>91</v>
      </c>
      <c r="AP35" s="120">
        <f t="shared" si="5"/>
        <v>-752</v>
      </c>
      <c r="AQ35" s="120">
        <f t="shared" si="5"/>
        <v>-691</v>
      </c>
      <c r="AR35" s="120">
        <f>SUM(AR22:AR34)</f>
        <v>336</v>
      </c>
      <c r="AS35" s="120">
        <f t="shared" si="5"/>
        <v>159</v>
      </c>
      <c r="AT35" s="120">
        <f t="shared" si="5"/>
        <v>2255</v>
      </c>
      <c r="AU35" s="120">
        <f t="shared" si="5"/>
        <v>242</v>
      </c>
      <c r="AV35" s="120">
        <f t="shared" si="5"/>
        <v>-248</v>
      </c>
      <c r="AW35" s="120">
        <f>SUM(AW22:AW34)</f>
        <v>-27</v>
      </c>
      <c r="AX35" s="120">
        <v>-734</v>
      </c>
      <c r="AY35" s="120">
        <f>SUM(AY22:AY34)</f>
        <v>3373</v>
      </c>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c r="IR35" s="25"/>
      <c r="IS35" s="25"/>
      <c r="IT35" s="25"/>
      <c r="IU35" s="25"/>
      <c r="IV35" s="25"/>
      <c r="IW35" s="25"/>
      <c r="IX35" s="25"/>
      <c r="IY35" s="25"/>
      <c r="IZ35" s="25"/>
      <c r="JA35" s="25"/>
      <c r="JB35" s="25"/>
      <c r="JC35" s="25"/>
      <c r="JD35" s="25"/>
      <c r="JE35" s="25"/>
      <c r="JF35" s="25"/>
      <c r="JG35" s="25"/>
      <c r="JH35" s="25"/>
      <c r="JI35" s="25"/>
      <c r="JJ35" s="25"/>
      <c r="JK35" s="25"/>
      <c r="JL35" s="25"/>
      <c r="JM35" s="25"/>
      <c r="JN35" s="25"/>
      <c r="JO35" s="25"/>
      <c r="JP35" s="25"/>
      <c r="JQ35" s="25"/>
      <c r="JR35" s="25"/>
      <c r="JS35" s="25"/>
      <c r="JT35" s="25"/>
      <c r="JU35" s="25"/>
      <c r="JV35" s="25"/>
      <c r="JW35" s="25"/>
      <c r="JX35" s="25"/>
      <c r="JY35" s="25"/>
      <c r="JZ35" s="25"/>
      <c r="KA35" s="25"/>
      <c r="KB35" s="25"/>
      <c r="KC35" s="25"/>
      <c r="KD35" s="25"/>
      <c r="KE35" s="25"/>
      <c r="KF35" s="25"/>
      <c r="KG35" s="25"/>
      <c r="KH35" s="25"/>
      <c r="KI35" s="25"/>
      <c r="KJ35" s="25"/>
      <c r="KK35" s="25"/>
      <c r="KL35" s="25"/>
      <c r="KM35" s="25"/>
      <c r="KN35" s="25"/>
      <c r="KO35" s="25"/>
      <c r="KP35" s="25"/>
      <c r="KQ35" s="25"/>
      <c r="KR35" s="25"/>
      <c r="KS35" s="25"/>
    </row>
    <row r="36" spans="2:305" ht="15" customHeight="1" x14ac:dyDescent="0.2">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c r="IU36" s="25"/>
      <c r="IV36" s="25"/>
      <c r="IW36" s="25"/>
      <c r="IX36" s="25"/>
      <c r="IY36" s="25"/>
      <c r="IZ36" s="25"/>
      <c r="JA36" s="25"/>
      <c r="JB36" s="25"/>
      <c r="JC36" s="25"/>
      <c r="JD36" s="25"/>
      <c r="JE36" s="25"/>
      <c r="JF36" s="25"/>
      <c r="JG36" s="25"/>
      <c r="JH36" s="25"/>
      <c r="JI36" s="25"/>
      <c r="JJ36" s="25"/>
      <c r="JK36" s="25"/>
      <c r="JL36" s="25"/>
      <c r="JM36" s="25"/>
      <c r="JN36" s="25"/>
      <c r="JO36" s="25"/>
      <c r="JP36" s="25"/>
      <c r="JQ36" s="25"/>
      <c r="JR36" s="25"/>
      <c r="JS36" s="25"/>
      <c r="JT36" s="25"/>
      <c r="JU36" s="25"/>
      <c r="JV36" s="25"/>
      <c r="JW36" s="25"/>
      <c r="JX36" s="25"/>
      <c r="JY36" s="25"/>
      <c r="JZ36" s="25"/>
      <c r="KA36" s="25"/>
      <c r="KB36" s="25"/>
      <c r="KC36" s="25"/>
      <c r="KD36" s="25"/>
      <c r="KE36" s="25"/>
      <c r="KF36" s="25"/>
      <c r="KG36" s="25"/>
      <c r="KH36" s="25"/>
      <c r="KI36" s="25"/>
      <c r="KJ36" s="25"/>
      <c r="KK36" s="25"/>
      <c r="KL36" s="25"/>
      <c r="KM36" s="25"/>
      <c r="KN36" s="25"/>
      <c r="KO36" s="25"/>
      <c r="KP36" s="25"/>
      <c r="KQ36" s="25"/>
      <c r="KR36" s="25"/>
      <c r="KS36" s="25"/>
    </row>
    <row r="37" spans="2:305" ht="15" customHeight="1" x14ac:dyDescent="0.2">
      <c r="B37" s="115" t="s">
        <v>98</v>
      </c>
      <c r="C37" s="115" t="str">
        <f t="shared" ref="C37:AL37" si="6">C5</f>
        <v>1T14</v>
      </c>
      <c r="D37" s="115" t="str">
        <f t="shared" si="6"/>
        <v>2T14</v>
      </c>
      <c r="E37" s="115" t="str">
        <f t="shared" si="6"/>
        <v>3T14</v>
      </c>
      <c r="F37" s="115" t="str">
        <f t="shared" si="6"/>
        <v>4T14</v>
      </c>
      <c r="G37" s="115" t="str">
        <f t="shared" si="6"/>
        <v>1T15</v>
      </c>
      <c r="H37" s="115" t="str">
        <f t="shared" si="6"/>
        <v>2T15</v>
      </c>
      <c r="I37" s="115" t="str">
        <f t="shared" si="6"/>
        <v>3T15</v>
      </c>
      <c r="J37" s="115" t="str">
        <f t="shared" si="6"/>
        <v>4T15</v>
      </c>
      <c r="K37" s="115" t="str">
        <f t="shared" si="6"/>
        <v>1T16</v>
      </c>
      <c r="L37" s="115" t="str">
        <f t="shared" si="6"/>
        <v>2T16</v>
      </c>
      <c r="M37" s="115" t="str">
        <f t="shared" si="6"/>
        <v>3T16</v>
      </c>
      <c r="N37" s="115" t="str">
        <f t="shared" si="6"/>
        <v>4T16</v>
      </c>
      <c r="O37" s="115" t="str">
        <f t="shared" si="6"/>
        <v>1T17</v>
      </c>
      <c r="P37" s="115" t="str">
        <f t="shared" si="6"/>
        <v>2T17</v>
      </c>
      <c r="Q37" s="115" t="str">
        <f t="shared" si="6"/>
        <v>3T17</v>
      </c>
      <c r="R37" s="115" t="str">
        <f t="shared" si="6"/>
        <v>4T17</v>
      </c>
      <c r="S37" s="115" t="str">
        <f t="shared" si="6"/>
        <v>1T18</v>
      </c>
      <c r="T37" s="115" t="str">
        <f t="shared" si="6"/>
        <v>2T18</v>
      </c>
      <c r="U37" s="115" t="str">
        <f t="shared" si="6"/>
        <v>3T18</v>
      </c>
      <c r="V37" s="115" t="str">
        <f t="shared" si="6"/>
        <v>4T18</v>
      </c>
      <c r="W37" s="115" t="str">
        <f t="shared" si="6"/>
        <v>1T19</v>
      </c>
      <c r="X37" s="115" t="str">
        <f t="shared" si="6"/>
        <v>2T19</v>
      </c>
      <c r="Y37" s="115" t="str">
        <f t="shared" si="6"/>
        <v>3T19</v>
      </c>
      <c r="Z37" s="115" t="str">
        <f t="shared" si="6"/>
        <v>4T19</v>
      </c>
      <c r="AA37" s="115" t="str">
        <f t="shared" si="6"/>
        <v>1T20</v>
      </c>
      <c r="AB37" s="115" t="str">
        <f t="shared" si="6"/>
        <v>2T20</v>
      </c>
      <c r="AC37" s="115" t="str">
        <f t="shared" si="6"/>
        <v>3T20</v>
      </c>
      <c r="AD37" s="115" t="str">
        <f t="shared" si="6"/>
        <v>4T20</v>
      </c>
      <c r="AE37" s="115" t="str">
        <f t="shared" si="6"/>
        <v>1T21</v>
      </c>
      <c r="AF37" s="115" t="str">
        <f t="shared" si="6"/>
        <v>2T21</v>
      </c>
      <c r="AG37" s="115" t="str">
        <f t="shared" si="6"/>
        <v>3T21</v>
      </c>
      <c r="AH37" s="115" t="str">
        <f t="shared" si="6"/>
        <v>4T21</v>
      </c>
      <c r="AI37" s="115" t="str">
        <f t="shared" si="6"/>
        <v>1T22</v>
      </c>
      <c r="AJ37" s="115" t="str">
        <f t="shared" si="6"/>
        <v>2T22</v>
      </c>
      <c r="AK37" s="115" t="str">
        <f t="shared" si="6"/>
        <v>3T22</v>
      </c>
      <c r="AL37" s="115" t="str">
        <f t="shared" si="6"/>
        <v>4T22</v>
      </c>
      <c r="AM37" s="115" t="str">
        <f t="shared" ref="AM37:AV37" si="7">AM5</f>
        <v>1T23</v>
      </c>
      <c r="AN37" s="115" t="str">
        <f t="shared" si="7"/>
        <v>2T23</v>
      </c>
      <c r="AO37" s="115" t="str">
        <f t="shared" si="7"/>
        <v>3T23</v>
      </c>
      <c r="AP37" s="115" t="str">
        <f t="shared" si="7"/>
        <v>4T23</v>
      </c>
      <c r="AQ37" s="115" t="str">
        <f t="shared" si="7"/>
        <v>1T24</v>
      </c>
      <c r="AR37" s="115" t="str">
        <f>AR5</f>
        <v>2T24</v>
      </c>
      <c r="AS37" s="115" t="str">
        <f t="shared" si="7"/>
        <v>3T24</v>
      </c>
      <c r="AT37" s="115" t="str">
        <f t="shared" si="7"/>
        <v>4T24</v>
      </c>
      <c r="AU37" s="115" t="str">
        <f t="shared" si="7"/>
        <v>1T25</v>
      </c>
      <c r="AV37" s="115" t="str">
        <f t="shared" si="7"/>
        <v>2T25</v>
      </c>
      <c r="AW37" s="115" t="str">
        <f>AW5</f>
        <v>3T25</v>
      </c>
      <c r="AX37" s="115" t="s">
        <v>1317</v>
      </c>
      <c r="AY37" s="115" t="str">
        <f>AY5</f>
        <v>1T26</v>
      </c>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c r="IC37" s="25"/>
      <c r="ID37" s="25"/>
      <c r="IE37" s="25"/>
      <c r="IF37" s="25"/>
      <c r="IG37" s="25"/>
      <c r="IH37" s="25"/>
      <c r="II37" s="25"/>
      <c r="IJ37" s="25"/>
      <c r="IK37" s="25"/>
      <c r="IL37" s="25"/>
      <c r="IM37" s="25"/>
      <c r="IN37" s="25"/>
      <c r="IO37" s="25"/>
      <c r="IP37" s="25"/>
      <c r="IQ37" s="25"/>
      <c r="IR37" s="25"/>
      <c r="IS37" s="25"/>
      <c r="IT37" s="25"/>
      <c r="IU37" s="25"/>
      <c r="IV37" s="25"/>
      <c r="IW37" s="25"/>
      <c r="IX37" s="25"/>
      <c r="IY37" s="25"/>
      <c r="IZ37" s="25"/>
      <c r="JA37" s="25"/>
      <c r="JB37" s="25"/>
      <c r="JC37" s="25"/>
      <c r="JD37" s="25"/>
      <c r="JE37" s="25"/>
      <c r="JF37" s="25"/>
      <c r="JG37" s="25"/>
      <c r="JH37" s="25"/>
      <c r="JI37" s="25"/>
      <c r="JJ37" s="25"/>
      <c r="JK37" s="25"/>
      <c r="JL37" s="25"/>
      <c r="JM37" s="25"/>
      <c r="JN37" s="25"/>
      <c r="JO37" s="25"/>
      <c r="JP37" s="25"/>
      <c r="JQ37" s="25"/>
      <c r="JR37" s="25"/>
      <c r="JS37" s="25"/>
      <c r="JT37" s="25"/>
      <c r="JU37" s="25"/>
      <c r="JV37" s="25"/>
      <c r="JW37" s="25"/>
      <c r="JX37" s="25"/>
      <c r="JY37" s="25"/>
      <c r="JZ37" s="25"/>
      <c r="KA37" s="25"/>
      <c r="KB37" s="25"/>
      <c r="KC37" s="25"/>
      <c r="KD37" s="25"/>
      <c r="KE37" s="25"/>
      <c r="KF37" s="25"/>
      <c r="KG37" s="25"/>
      <c r="KH37" s="25"/>
      <c r="KI37" s="25"/>
      <c r="KJ37" s="25"/>
      <c r="KK37" s="25"/>
      <c r="KL37" s="25"/>
      <c r="KM37" s="25"/>
      <c r="KN37" s="25"/>
      <c r="KO37" s="25"/>
      <c r="KP37" s="25"/>
      <c r="KQ37" s="25"/>
      <c r="KR37" s="25"/>
      <c r="KS37" s="25"/>
    </row>
    <row r="38" spans="2:305" ht="15" customHeight="1" x14ac:dyDescent="0.2">
      <c r="B38" s="129" t="s">
        <v>842</v>
      </c>
      <c r="C38" s="118">
        <f t="shared" ref="C38:AB38" si="8">+C6-C22</f>
        <v>3898</v>
      </c>
      <c r="D38" s="118">
        <f t="shared" si="8"/>
        <v>3219</v>
      </c>
      <c r="E38" s="118">
        <f t="shared" si="8"/>
        <v>1932</v>
      </c>
      <c r="F38" s="118">
        <f t="shared" si="8"/>
        <v>3481</v>
      </c>
      <c r="G38" s="118">
        <f t="shared" si="8"/>
        <v>3633</v>
      </c>
      <c r="H38" s="118">
        <f t="shared" si="8"/>
        <v>3698</v>
      </c>
      <c r="I38" s="118">
        <f t="shared" si="8"/>
        <v>3223</v>
      </c>
      <c r="J38" s="118">
        <f t="shared" si="8"/>
        <v>2420</v>
      </c>
      <c r="K38" s="118">
        <f t="shared" si="8"/>
        <v>2412</v>
      </c>
      <c r="L38" s="118">
        <f t="shared" si="8"/>
        <v>720</v>
      </c>
      <c r="M38" s="118">
        <f t="shared" si="8"/>
        <v>504</v>
      </c>
      <c r="N38" s="118">
        <f t="shared" si="8"/>
        <v>417</v>
      </c>
      <c r="O38" s="118">
        <f t="shared" si="8"/>
        <v>539</v>
      </c>
      <c r="P38" s="118">
        <f t="shared" si="8"/>
        <v>595</v>
      </c>
      <c r="Q38" s="118">
        <f t="shared" si="8"/>
        <v>600</v>
      </c>
      <c r="R38" s="118">
        <f t="shared" si="8"/>
        <v>698</v>
      </c>
      <c r="S38" s="118">
        <f t="shared" si="8"/>
        <v>718</v>
      </c>
      <c r="T38" s="118">
        <f t="shared" si="8"/>
        <v>515</v>
      </c>
      <c r="U38" s="118">
        <f t="shared" si="8"/>
        <v>644</v>
      </c>
      <c r="V38" s="118">
        <f t="shared" si="8"/>
        <v>400</v>
      </c>
      <c r="W38" s="118">
        <f t="shared" si="8"/>
        <v>529</v>
      </c>
      <c r="X38" s="118">
        <f t="shared" si="8"/>
        <v>515</v>
      </c>
      <c r="Y38" s="118">
        <f t="shared" si="8"/>
        <v>483</v>
      </c>
      <c r="Z38" s="118">
        <f t="shared" si="8"/>
        <v>482</v>
      </c>
      <c r="AA38" s="118">
        <f t="shared" si="8"/>
        <v>294</v>
      </c>
      <c r="AB38" s="118">
        <f t="shared" si="8"/>
        <v>107</v>
      </c>
      <c r="AC38" s="118">
        <v>3</v>
      </c>
      <c r="AD38" s="118">
        <f t="shared" ref="AD38:AL38" si="9">+AD6-AD22</f>
        <v>1</v>
      </c>
      <c r="AE38" s="118">
        <f t="shared" si="9"/>
        <v>2</v>
      </c>
      <c r="AF38" s="118">
        <f t="shared" si="9"/>
        <v>2</v>
      </c>
      <c r="AG38" s="118">
        <f t="shared" si="9"/>
        <v>-1</v>
      </c>
      <c r="AH38" s="118">
        <f t="shared" si="9"/>
        <v>0</v>
      </c>
      <c r="AI38" s="118">
        <f t="shared" si="9"/>
        <v>1</v>
      </c>
      <c r="AJ38" s="118">
        <f t="shared" si="9"/>
        <v>0</v>
      </c>
      <c r="AK38" s="118">
        <f t="shared" si="9"/>
        <v>0</v>
      </c>
      <c r="AL38" s="118">
        <f t="shared" si="9"/>
        <v>13</v>
      </c>
      <c r="AM38" s="118">
        <f t="shared" ref="AM38:AQ51" si="10">+AM6-AM22</f>
        <v>24</v>
      </c>
      <c r="AN38" s="118">
        <f t="shared" si="10"/>
        <v>33</v>
      </c>
      <c r="AO38" s="118">
        <f t="shared" si="10"/>
        <v>69</v>
      </c>
      <c r="AP38" s="118">
        <f t="shared" si="10"/>
        <v>28</v>
      </c>
      <c r="AQ38" s="118">
        <f t="shared" si="10"/>
        <v>51</v>
      </c>
      <c r="AR38" s="118">
        <f t="shared" ref="AR38:AT45" si="11">+AR6-AR22</f>
        <v>42</v>
      </c>
      <c r="AS38" s="118">
        <f t="shared" si="11"/>
        <v>45</v>
      </c>
      <c r="AT38" s="118">
        <f t="shared" si="11"/>
        <v>29</v>
      </c>
      <c r="AU38" s="118">
        <v>242</v>
      </c>
      <c r="AV38" s="118">
        <v>86</v>
      </c>
      <c r="AW38" s="118">
        <f t="shared" ref="AW38:AW51" si="12">+AW6-AW22</f>
        <v>189</v>
      </c>
      <c r="AX38" s="118">
        <v>101</v>
      </c>
      <c r="AY38" s="118">
        <f t="shared" ref="AY38:AY51" si="13">+AY6-AY22</f>
        <v>63</v>
      </c>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c r="IR38" s="25"/>
      <c r="IS38" s="25"/>
      <c r="IT38" s="25"/>
      <c r="IU38" s="25"/>
      <c r="IV38" s="25"/>
      <c r="IW38" s="25"/>
      <c r="IX38" s="25"/>
      <c r="IY38" s="25"/>
      <c r="IZ38" s="25"/>
      <c r="JA38" s="25"/>
      <c r="JB38" s="25"/>
      <c r="JC38" s="25"/>
      <c r="JD38" s="25"/>
      <c r="JE38" s="25"/>
      <c r="JF38" s="25"/>
      <c r="JG38" s="25"/>
      <c r="JH38" s="25"/>
      <c r="JI38" s="25"/>
      <c r="JJ38" s="25"/>
      <c r="JK38" s="25"/>
      <c r="JL38" s="25"/>
      <c r="JM38" s="25"/>
      <c r="JN38" s="25"/>
      <c r="JO38" s="25"/>
      <c r="JP38" s="25"/>
      <c r="JQ38" s="25"/>
      <c r="JR38" s="25"/>
      <c r="JS38" s="25"/>
      <c r="JT38" s="25"/>
      <c r="JU38" s="25"/>
      <c r="JV38" s="25"/>
      <c r="JW38" s="25"/>
      <c r="JX38" s="25"/>
      <c r="JY38" s="25"/>
      <c r="JZ38" s="25"/>
      <c r="KA38" s="25"/>
      <c r="KB38" s="25"/>
      <c r="KC38" s="25"/>
      <c r="KD38" s="25"/>
      <c r="KE38" s="25"/>
      <c r="KF38" s="25"/>
      <c r="KG38" s="25"/>
      <c r="KH38" s="25"/>
      <c r="KI38" s="25"/>
      <c r="KJ38" s="25"/>
      <c r="KK38" s="25"/>
      <c r="KL38" s="25"/>
      <c r="KM38" s="25"/>
      <c r="KN38" s="25"/>
      <c r="KO38" s="25"/>
      <c r="KP38" s="25"/>
      <c r="KQ38" s="25"/>
      <c r="KR38" s="25"/>
      <c r="KS38" s="25"/>
    </row>
    <row r="39" spans="2:305" ht="15" customHeight="1" x14ac:dyDescent="0.2">
      <c r="B39" s="129" t="s">
        <v>127</v>
      </c>
      <c r="C39" s="118">
        <f t="shared" ref="C39:AB39" si="14">+C7-C23</f>
        <v>358</v>
      </c>
      <c r="D39" s="118">
        <f t="shared" si="14"/>
        <v>380</v>
      </c>
      <c r="E39" s="118">
        <f t="shared" si="14"/>
        <v>136</v>
      </c>
      <c r="F39" s="118">
        <f t="shared" si="14"/>
        <v>141</v>
      </c>
      <c r="G39" s="118">
        <f t="shared" si="14"/>
        <v>391</v>
      </c>
      <c r="H39" s="118">
        <f t="shared" si="14"/>
        <v>-6</v>
      </c>
      <c r="I39" s="118">
        <f t="shared" si="14"/>
        <v>-49</v>
      </c>
      <c r="J39" s="118">
        <f t="shared" si="14"/>
        <v>-314</v>
      </c>
      <c r="K39" s="118">
        <f t="shared" si="14"/>
        <v>-73</v>
      </c>
      <c r="L39" s="118">
        <f t="shared" si="14"/>
        <v>-249</v>
      </c>
      <c r="M39" s="118">
        <f t="shared" si="14"/>
        <v>-237</v>
      </c>
      <c r="N39" s="118">
        <f t="shared" si="14"/>
        <v>-210</v>
      </c>
      <c r="O39" s="118">
        <f t="shared" si="14"/>
        <v>-3</v>
      </c>
      <c r="P39" s="118">
        <f t="shared" si="14"/>
        <v>3</v>
      </c>
      <c r="Q39" s="118">
        <f t="shared" si="14"/>
        <v>-18</v>
      </c>
      <c r="R39" s="118">
        <f t="shared" si="14"/>
        <v>-16</v>
      </c>
      <c r="S39" s="118">
        <f t="shared" si="14"/>
        <v>-27</v>
      </c>
      <c r="T39" s="118">
        <f t="shared" si="14"/>
        <v>-16</v>
      </c>
      <c r="U39" s="118">
        <f t="shared" si="14"/>
        <v>-19</v>
      </c>
      <c r="V39" s="118">
        <f t="shared" si="14"/>
        <v>-13</v>
      </c>
      <c r="W39" s="118">
        <f t="shared" si="14"/>
        <v>-15</v>
      </c>
      <c r="X39" s="118">
        <f t="shared" si="14"/>
        <v>-4</v>
      </c>
      <c r="Y39" s="118">
        <f t="shared" si="14"/>
        <v>-105</v>
      </c>
      <c r="Z39" s="118">
        <f t="shared" si="14"/>
        <v>98</v>
      </c>
      <c r="AA39" s="118">
        <f t="shared" si="14"/>
        <v>2</v>
      </c>
      <c r="AB39" s="118">
        <f t="shared" si="14"/>
        <v>-4</v>
      </c>
      <c r="AC39" s="118">
        <v>1</v>
      </c>
      <c r="AD39" s="118">
        <f t="shared" ref="AD39:AL39" si="15">+AD7-AD23</f>
        <v>-3</v>
      </c>
      <c r="AE39" s="118">
        <f t="shared" si="15"/>
        <v>-2</v>
      </c>
      <c r="AF39" s="118">
        <f t="shared" si="15"/>
        <v>-8</v>
      </c>
      <c r="AG39" s="118">
        <f t="shared" si="15"/>
        <v>-5</v>
      </c>
      <c r="AH39" s="118">
        <f t="shared" si="15"/>
        <v>-2</v>
      </c>
      <c r="AI39" s="118">
        <f t="shared" si="15"/>
        <v>-3</v>
      </c>
      <c r="AJ39" s="118">
        <f t="shared" si="15"/>
        <v>-17</v>
      </c>
      <c r="AK39" s="118">
        <f t="shared" si="15"/>
        <v>1</v>
      </c>
      <c r="AL39" s="118">
        <f t="shared" si="15"/>
        <v>-2</v>
      </c>
      <c r="AM39" s="118">
        <f t="shared" si="10"/>
        <v>-7</v>
      </c>
      <c r="AN39" s="118">
        <f t="shared" si="10"/>
        <v>-4</v>
      </c>
      <c r="AO39" s="118">
        <f t="shared" si="10"/>
        <v>-7</v>
      </c>
      <c r="AP39" s="118">
        <f t="shared" si="10"/>
        <v>-10</v>
      </c>
      <c r="AQ39" s="118">
        <f t="shared" si="10"/>
        <v>-10</v>
      </c>
      <c r="AR39" s="118">
        <f t="shared" si="11"/>
        <v>-11</v>
      </c>
      <c r="AS39" s="118">
        <f t="shared" si="11"/>
        <v>-11</v>
      </c>
      <c r="AT39" s="118">
        <f t="shared" si="11"/>
        <v>-3</v>
      </c>
      <c r="AU39" s="118">
        <v>0</v>
      </c>
      <c r="AV39" s="118">
        <v>0</v>
      </c>
      <c r="AW39" s="118">
        <f t="shared" si="12"/>
        <v>0</v>
      </c>
      <c r="AX39" s="118">
        <v>0</v>
      </c>
      <c r="AY39" s="118">
        <f t="shared" si="13"/>
        <v>0</v>
      </c>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c r="IR39" s="25"/>
      <c r="IS39" s="25"/>
      <c r="IT39" s="25"/>
      <c r="IU39" s="25"/>
      <c r="IV39" s="25"/>
      <c r="IW39" s="25"/>
      <c r="IX39" s="25"/>
      <c r="IY39" s="25"/>
      <c r="IZ39" s="25"/>
      <c r="JA39" s="25"/>
      <c r="JB39" s="25"/>
      <c r="JC39" s="25"/>
      <c r="JD39" s="25"/>
      <c r="JE39" s="25"/>
      <c r="JF39" s="25"/>
      <c r="JG39" s="25"/>
      <c r="JH39" s="25"/>
      <c r="JI39" s="25"/>
      <c r="JJ39" s="25"/>
      <c r="JK39" s="25"/>
      <c r="JL39" s="25"/>
      <c r="JM39" s="25"/>
      <c r="JN39" s="25"/>
      <c r="JO39" s="25"/>
      <c r="JP39" s="25"/>
      <c r="JQ39" s="25"/>
      <c r="JR39" s="25"/>
      <c r="JS39" s="25"/>
      <c r="JT39" s="25"/>
      <c r="JU39" s="25"/>
      <c r="JV39" s="25"/>
      <c r="JW39" s="25"/>
      <c r="JX39" s="25"/>
      <c r="JY39" s="25"/>
      <c r="JZ39" s="25"/>
      <c r="KA39" s="25"/>
      <c r="KB39" s="25"/>
      <c r="KC39" s="25"/>
      <c r="KD39" s="25"/>
      <c r="KE39" s="25"/>
      <c r="KF39" s="25"/>
      <c r="KG39" s="25"/>
      <c r="KH39" s="25"/>
      <c r="KI39" s="25"/>
      <c r="KJ39" s="25"/>
      <c r="KK39" s="25"/>
      <c r="KL39" s="25"/>
      <c r="KM39" s="25"/>
      <c r="KN39" s="25"/>
      <c r="KO39" s="25"/>
      <c r="KP39" s="25"/>
      <c r="KQ39" s="25"/>
      <c r="KR39" s="25"/>
      <c r="KS39" s="25"/>
    </row>
    <row r="40" spans="2:305" x14ac:dyDescent="0.2">
      <c r="B40" s="129" t="s">
        <v>385</v>
      </c>
      <c r="C40" s="118">
        <f t="shared" ref="C40:AB40" si="16">+C8-C24</f>
        <v>142</v>
      </c>
      <c r="D40" s="118">
        <f t="shared" si="16"/>
        <v>51</v>
      </c>
      <c r="E40" s="118">
        <f t="shared" si="16"/>
        <v>266</v>
      </c>
      <c r="F40" s="118">
        <f t="shared" si="16"/>
        <v>78</v>
      </c>
      <c r="G40" s="118">
        <f t="shared" si="16"/>
        <v>-156</v>
      </c>
      <c r="H40" s="118">
        <f t="shared" si="16"/>
        <v>15</v>
      </c>
      <c r="I40" s="118">
        <f t="shared" si="16"/>
        <v>312</v>
      </c>
      <c r="J40" s="118">
        <f t="shared" si="16"/>
        <v>13</v>
      </c>
      <c r="K40" s="118">
        <f t="shared" si="16"/>
        <v>112</v>
      </c>
      <c r="L40" s="118">
        <f t="shared" si="16"/>
        <v>-149</v>
      </c>
      <c r="M40" s="118">
        <f t="shared" si="16"/>
        <v>265</v>
      </c>
      <c r="N40" s="118">
        <f t="shared" si="16"/>
        <v>-1256</v>
      </c>
      <c r="O40" s="118">
        <f t="shared" si="16"/>
        <v>0</v>
      </c>
      <c r="P40" s="118">
        <f t="shared" si="16"/>
        <v>76</v>
      </c>
      <c r="Q40" s="118">
        <f t="shared" si="16"/>
        <v>-37</v>
      </c>
      <c r="R40" s="118">
        <f t="shared" si="16"/>
        <v>2</v>
      </c>
      <c r="S40" s="118">
        <f t="shared" si="16"/>
        <v>-111</v>
      </c>
      <c r="T40" s="118">
        <f t="shared" si="16"/>
        <v>42</v>
      </c>
      <c r="U40" s="118">
        <f t="shared" si="16"/>
        <v>18</v>
      </c>
      <c r="V40" s="118">
        <f t="shared" si="16"/>
        <v>-809</v>
      </c>
      <c r="W40" s="118">
        <f t="shared" si="16"/>
        <v>-83</v>
      </c>
      <c r="X40" s="118">
        <f t="shared" si="16"/>
        <v>4</v>
      </c>
      <c r="Y40" s="118">
        <f t="shared" si="16"/>
        <v>19</v>
      </c>
      <c r="Z40" s="118">
        <f t="shared" si="16"/>
        <v>-1867</v>
      </c>
      <c r="AA40" s="118">
        <f t="shared" si="16"/>
        <v>15</v>
      </c>
      <c r="AB40" s="118">
        <f t="shared" si="16"/>
        <v>27</v>
      </c>
      <c r="AC40" s="118">
        <v>1</v>
      </c>
      <c r="AD40" s="118">
        <f t="shared" ref="AD40:AL40" si="17">+AD8-AD24</f>
        <v>324</v>
      </c>
      <c r="AE40" s="118">
        <f t="shared" si="17"/>
        <v>163</v>
      </c>
      <c r="AF40" s="118">
        <f t="shared" si="17"/>
        <v>-633</v>
      </c>
      <c r="AG40" s="118">
        <f t="shared" si="17"/>
        <v>-1</v>
      </c>
      <c r="AH40" s="118">
        <f t="shared" si="17"/>
        <v>-1</v>
      </c>
      <c r="AI40" s="118">
        <f t="shared" si="17"/>
        <v>-71</v>
      </c>
      <c r="AJ40" s="118">
        <f t="shared" si="17"/>
        <v>37</v>
      </c>
      <c r="AK40" s="118">
        <f t="shared" si="17"/>
        <v>-65</v>
      </c>
      <c r="AL40" s="118">
        <f t="shared" si="17"/>
        <v>-34</v>
      </c>
      <c r="AM40" s="118">
        <f t="shared" si="10"/>
        <v>0</v>
      </c>
      <c r="AN40" s="118">
        <f t="shared" si="10"/>
        <v>0</v>
      </c>
      <c r="AO40" s="118">
        <f t="shared" si="10"/>
        <v>189</v>
      </c>
      <c r="AP40" s="118">
        <f t="shared" si="10"/>
        <v>-247</v>
      </c>
      <c r="AQ40" s="118">
        <f t="shared" si="10"/>
        <v>433</v>
      </c>
      <c r="AR40" s="118">
        <f t="shared" si="11"/>
        <v>140</v>
      </c>
      <c r="AS40" s="118">
        <f t="shared" si="11"/>
        <v>-12</v>
      </c>
      <c r="AT40" s="118">
        <f t="shared" si="11"/>
        <v>-49</v>
      </c>
      <c r="AU40" s="118">
        <v>-618</v>
      </c>
      <c r="AV40" s="118">
        <v>664</v>
      </c>
      <c r="AW40" s="118">
        <f t="shared" si="12"/>
        <v>243</v>
      </c>
      <c r="AX40" s="118">
        <v>-20</v>
      </c>
      <c r="AY40" s="118">
        <f t="shared" si="13"/>
        <v>118</v>
      </c>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c r="IR40" s="25"/>
      <c r="IS40" s="25"/>
      <c r="IT40" s="25"/>
      <c r="IU40" s="25"/>
      <c r="IV40" s="25"/>
      <c r="IW40" s="25"/>
      <c r="IX40" s="25"/>
      <c r="IY40" s="25"/>
      <c r="IZ40" s="25"/>
      <c r="JA40" s="25"/>
      <c r="JB40" s="25"/>
      <c r="JC40" s="25"/>
      <c r="JD40" s="25"/>
      <c r="JE40" s="25"/>
      <c r="JF40" s="25"/>
      <c r="JG40" s="25"/>
      <c r="JH40" s="25"/>
      <c r="JI40" s="25"/>
      <c r="JJ40" s="25"/>
      <c r="JK40" s="25"/>
      <c r="JL40" s="25"/>
      <c r="JM40" s="25"/>
      <c r="JN40" s="25"/>
      <c r="JO40" s="25"/>
      <c r="JP40" s="25"/>
      <c r="JQ40" s="25"/>
      <c r="JR40" s="25"/>
      <c r="JS40" s="25"/>
      <c r="JT40" s="25"/>
      <c r="JU40" s="25"/>
      <c r="JV40" s="25"/>
      <c r="JW40" s="25"/>
      <c r="JX40" s="25"/>
      <c r="JY40" s="25"/>
      <c r="JZ40" s="25"/>
      <c r="KA40" s="25"/>
      <c r="KB40" s="25"/>
      <c r="KC40" s="25"/>
      <c r="KD40" s="25"/>
      <c r="KE40" s="25"/>
      <c r="KF40" s="25"/>
      <c r="KG40" s="25"/>
      <c r="KH40" s="25"/>
      <c r="KI40" s="25"/>
      <c r="KJ40" s="25"/>
      <c r="KK40" s="25"/>
      <c r="KL40" s="25"/>
      <c r="KM40" s="25"/>
      <c r="KN40" s="25"/>
      <c r="KO40" s="25"/>
      <c r="KP40" s="25"/>
      <c r="KQ40" s="25"/>
      <c r="KR40" s="25"/>
      <c r="KS40" s="25"/>
    </row>
    <row r="41" spans="2:305" ht="15" customHeight="1" x14ac:dyDescent="0.2">
      <c r="B41" s="129" t="s">
        <v>588</v>
      </c>
      <c r="C41" s="118">
        <f t="shared" ref="C41:AB41" si="18">+C9-C25</f>
        <v>0</v>
      </c>
      <c r="D41" s="118">
        <f t="shared" si="18"/>
        <v>0</v>
      </c>
      <c r="E41" s="118">
        <f t="shared" si="18"/>
        <v>0</v>
      </c>
      <c r="F41" s="118">
        <f t="shared" si="18"/>
        <v>0</v>
      </c>
      <c r="G41" s="118">
        <f t="shared" si="18"/>
        <v>-627</v>
      </c>
      <c r="H41" s="118">
        <f t="shared" si="18"/>
        <v>-3436</v>
      </c>
      <c r="I41" s="118">
        <f t="shared" si="18"/>
        <v>-4490</v>
      </c>
      <c r="J41" s="118">
        <f t="shared" si="18"/>
        <v>-16835</v>
      </c>
      <c r="K41" s="118">
        <f t="shared" si="18"/>
        <v>-1070</v>
      </c>
      <c r="L41" s="118">
        <f t="shared" si="18"/>
        <v>-1173</v>
      </c>
      <c r="M41" s="118">
        <f t="shared" si="18"/>
        <v>-1432</v>
      </c>
      <c r="N41" s="118">
        <f t="shared" si="18"/>
        <v>-2003</v>
      </c>
      <c r="O41" s="118">
        <f t="shared" si="18"/>
        <v>-1047</v>
      </c>
      <c r="P41" s="118">
        <f t="shared" si="18"/>
        <v>-5240</v>
      </c>
      <c r="Q41" s="118">
        <f t="shared" si="18"/>
        <v>1258</v>
      </c>
      <c r="R41" s="118">
        <f t="shared" si="18"/>
        <v>-2203</v>
      </c>
      <c r="S41" s="118">
        <f t="shared" si="18"/>
        <v>-4705</v>
      </c>
      <c r="T41" s="118">
        <f t="shared" si="18"/>
        <v>-871</v>
      </c>
      <c r="U41" s="118">
        <f t="shared" si="18"/>
        <v>-1404</v>
      </c>
      <c r="V41" s="118">
        <f t="shared" si="18"/>
        <v>-957</v>
      </c>
      <c r="W41" s="118">
        <f t="shared" si="18"/>
        <v>-309</v>
      </c>
      <c r="X41" s="118">
        <f t="shared" si="18"/>
        <v>-1174</v>
      </c>
      <c r="Y41" s="118">
        <f t="shared" si="18"/>
        <v>-660</v>
      </c>
      <c r="Z41" s="118">
        <f t="shared" si="18"/>
        <v>-383</v>
      </c>
      <c r="AA41" s="118">
        <f t="shared" si="18"/>
        <v>-157</v>
      </c>
      <c r="AB41" s="118">
        <f t="shared" si="18"/>
        <v>-31</v>
      </c>
      <c r="AC41" s="118">
        <v>-298</v>
      </c>
      <c r="AD41" s="118">
        <f t="shared" ref="AD41:AL41" si="19">+AD9-AD25</f>
        <v>339</v>
      </c>
      <c r="AE41" s="118">
        <f t="shared" si="19"/>
        <v>-54</v>
      </c>
      <c r="AF41" s="118">
        <f t="shared" si="19"/>
        <v>-115</v>
      </c>
      <c r="AG41" s="118">
        <f t="shared" si="19"/>
        <v>-5</v>
      </c>
      <c r="AH41" s="118">
        <f t="shared" si="19"/>
        <v>-371</v>
      </c>
      <c r="AI41" s="118">
        <f t="shared" si="19"/>
        <v>-25</v>
      </c>
      <c r="AJ41" s="118">
        <f t="shared" si="19"/>
        <v>-166</v>
      </c>
      <c r="AK41" s="118">
        <f t="shared" si="19"/>
        <v>-26</v>
      </c>
      <c r="AL41" s="118">
        <f t="shared" si="19"/>
        <v>-189</v>
      </c>
      <c r="AM41" s="118">
        <f t="shared" si="10"/>
        <v>-35</v>
      </c>
      <c r="AN41" s="118">
        <f t="shared" si="10"/>
        <v>362</v>
      </c>
      <c r="AO41" s="118">
        <f t="shared" si="10"/>
        <v>-47</v>
      </c>
      <c r="AP41" s="118">
        <f t="shared" si="10"/>
        <v>-609</v>
      </c>
      <c r="AQ41" s="118">
        <f t="shared" si="10"/>
        <v>-234</v>
      </c>
      <c r="AR41" s="118">
        <f t="shared" si="11"/>
        <v>-49</v>
      </c>
      <c r="AS41" s="118">
        <f t="shared" si="11"/>
        <v>-121</v>
      </c>
      <c r="AT41" s="118">
        <f t="shared" si="11"/>
        <v>-240</v>
      </c>
      <c r="AU41" s="118">
        <v>-19</v>
      </c>
      <c r="AV41" s="118">
        <v>-1</v>
      </c>
      <c r="AW41" s="118">
        <f t="shared" si="12"/>
        <v>66</v>
      </c>
      <c r="AX41" s="118">
        <v>-48</v>
      </c>
      <c r="AY41" s="118">
        <f t="shared" si="13"/>
        <v>-5</v>
      </c>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c r="ID41" s="25"/>
      <c r="IE41" s="25"/>
      <c r="IF41" s="25"/>
      <c r="IG41" s="25"/>
      <c r="IH41" s="25"/>
      <c r="II41" s="25"/>
      <c r="IJ41" s="25"/>
      <c r="IK41" s="25"/>
      <c r="IL41" s="25"/>
      <c r="IM41" s="25"/>
      <c r="IN41" s="25"/>
      <c r="IO41" s="25"/>
      <c r="IP41" s="25"/>
      <c r="IQ41" s="25"/>
      <c r="IR41" s="25"/>
      <c r="IS41" s="25"/>
      <c r="IT41" s="25"/>
      <c r="IU41" s="25"/>
      <c r="IV41" s="25"/>
      <c r="IW41" s="25"/>
      <c r="IX41" s="25"/>
      <c r="IY41" s="25"/>
      <c r="IZ41" s="25"/>
      <c r="JA41" s="25"/>
      <c r="JB41" s="25"/>
      <c r="JC41" s="25"/>
      <c r="JD41" s="25"/>
      <c r="JE41" s="25"/>
      <c r="JF41" s="25"/>
      <c r="JG41" s="25"/>
      <c r="JH41" s="25"/>
      <c r="JI41" s="25"/>
      <c r="JJ41" s="25"/>
      <c r="JK41" s="25"/>
      <c r="JL41" s="25"/>
      <c r="JM41" s="25"/>
      <c r="JN41" s="25"/>
      <c r="JO41" s="25"/>
      <c r="JP41" s="25"/>
      <c r="JQ41" s="25"/>
      <c r="JR41" s="25"/>
      <c r="JS41" s="25"/>
      <c r="JT41" s="25"/>
      <c r="JU41" s="25"/>
      <c r="JV41" s="25"/>
      <c r="JW41" s="25"/>
      <c r="JX41" s="25"/>
      <c r="JY41" s="25"/>
      <c r="JZ41" s="25"/>
      <c r="KA41" s="25"/>
      <c r="KB41" s="25"/>
      <c r="KC41" s="25"/>
      <c r="KD41" s="25"/>
      <c r="KE41" s="25"/>
      <c r="KF41" s="25"/>
      <c r="KG41" s="25"/>
      <c r="KH41" s="25"/>
      <c r="KI41" s="25"/>
      <c r="KJ41" s="25"/>
      <c r="KK41" s="25"/>
      <c r="KL41" s="25"/>
      <c r="KM41" s="25"/>
      <c r="KN41" s="25"/>
      <c r="KO41" s="25"/>
      <c r="KP41" s="25"/>
      <c r="KQ41" s="25"/>
      <c r="KR41" s="25"/>
      <c r="KS41" s="25"/>
    </row>
    <row r="42" spans="2:305" x14ac:dyDescent="0.2">
      <c r="B42" s="129" t="s">
        <v>878</v>
      </c>
      <c r="C42" s="118">
        <f t="shared" ref="C42:AB42" si="20">+C10-C26</f>
        <v>0</v>
      </c>
      <c r="D42" s="118">
        <f t="shared" si="20"/>
        <v>0</v>
      </c>
      <c r="E42" s="118">
        <f t="shared" si="20"/>
        <v>0</v>
      </c>
      <c r="F42" s="118">
        <f t="shared" si="20"/>
        <v>0</v>
      </c>
      <c r="G42" s="118">
        <f t="shared" si="20"/>
        <v>0</v>
      </c>
      <c r="H42" s="118">
        <f t="shared" si="20"/>
        <v>0</v>
      </c>
      <c r="I42" s="118">
        <f t="shared" si="20"/>
        <v>0</v>
      </c>
      <c r="J42" s="118">
        <f t="shared" si="20"/>
        <v>0</v>
      </c>
      <c r="K42" s="118">
        <f t="shared" si="20"/>
        <v>0</v>
      </c>
      <c r="L42" s="118">
        <f t="shared" si="20"/>
        <v>0</v>
      </c>
      <c r="M42" s="118">
        <f t="shared" si="20"/>
        <v>0</v>
      </c>
      <c r="N42" s="118">
        <f t="shared" si="20"/>
        <v>0</v>
      </c>
      <c r="O42" s="118">
        <f t="shared" si="20"/>
        <v>0</v>
      </c>
      <c r="P42" s="118">
        <f t="shared" si="20"/>
        <v>0</v>
      </c>
      <c r="Q42" s="118">
        <f t="shared" si="20"/>
        <v>0</v>
      </c>
      <c r="R42" s="118">
        <f t="shared" si="20"/>
        <v>0</v>
      </c>
      <c r="S42" s="118">
        <f t="shared" si="20"/>
        <v>0</v>
      </c>
      <c r="T42" s="118">
        <f t="shared" si="20"/>
        <v>0</v>
      </c>
      <c r="U42" s="118">
        <f t="shared" si="20"/>
        <v>0</v>
      </c>
      <c r="V42" s="118">
        <f t="shared" si="20"/>
        <v>0</v>
      </c>
      <c r="W42" s="118">
        <f t="shared" si="20"/>
        <v>0</v>
      </c>
      <c r="X42" s="118">
        <f t="shared" si="20"/>
        <v>0</v>
      </c>
      <c r="Y42" s="118">
        <f t="shared" si="20"/>
        <v>0</v>
      </c>
      <c r="Z42" s="118">
        <f t="shared" si="20"/>
        <v>0</v>
      </c>
      <c r="AA42" s="118">
        <f t="shared" si="20"/>
        <v>0</v>
      </c>
      <c r="AB42" s="118">
        <f t="shared" si="20"/>
        <v>0</v>
      </c>
      <c r="AC42" s="118">
        <v>0</v>
      </c>
      <c r="AD42" s="118">
        <f t="shared" ref="AD42:AL42" si="21">+AD10-AD26</f>
        <v>0</v>
      </c>
      <c r="AE42" s="118">
        <f t="shared" si="21"/>
        <v>0</v>
      </c>
      <c r="AF42" s="261">
        <f t="shared" si="21"/>
        <v>5732</v>
      </c>
      <c r="AG42" s="118">
        <f t="shared" si="21"/>
        <v>0</v>
      </c>
      <c r="AH42" s="118">
        <f t="shared" si="21"/>
        <v>0</v>
      </c>
      <c r="AI42" s="118">
        <f t="shared" si="21"/>
        <v>0</v>
      </c>
      <c r="AJ42" s="118">
        <f t="shared" si="21"/>
        <v>0</v>
      </c>
      <c r="AK42" s="118">
        <f t="shared" si="21"/>
        <v>0</v>
      </c>
      <c r="AL42" s="261">
        <f t="shared" si="21"/>
        <v>9187</v>
      </c>
      <c r="AM42" s="118">
        <f t="shared" si="10"/>
        <v>0</v>
      </c>
      <c r="AN42" s="118">
        <f t="shared" si="10"/>
        <v>0</v>
      </c>
      <c r="AO42" s="118">
        <f t="shared" si="10"/>
        <v>0</v>
      </c>
      <c r="AP42" s="118">
        <f t="shared" si="10"/>
        <v>0</v>
      </c>
      <c r="AQ42" s="118">
        <f t="shared" si="10"/>
        <v>0</v>
      </c>
      <c r="AR42" s="118">
        <f t="shared" si="11"/>
        <v>0</v>
      </c>
      <c r="AS42" s="118">
        <f t="shared" si="11"/>
        <v>0</v>
      </c>
      <c r="AT42" s="118">
        <f t="shared" si="11"/>
        <v>0</v>
      </c>
      <c r="AU42" s="118">
        <v>0</v>
      </c>
      <c r="AV42" s="118">
        <v>0</v>
      </c>
      <c r="AW42" s="118">
        <f t="shared" si="12"/>
        <v>0</v>
      </c>
      <c r="AX42" s="118">
        <v>0</v>
      </c>
      <c r="AY42" s="118">
        <f t="shared" si="13"/>
        <v>0</v>
      </c>
    </row>
    <row r="43" spans="2:305" ht="15" customHeight="1" x14ac:dyDescent="0.2">
      <c r="B43" s="129" t="s">
        <v>876</v>
      </c>
      <c r="C43" s="118">
        <v>0</v>
      </c>
      <c r="D43" s="118">
        <v>0</v>
      </c>
      <c r="E43" s="118">
        <v>0</v>
      </c>
      <c r="F43" s="118">
        <v>0</v>
      </c>
      <c r="G43" s="118">
        <v>0</v>
      </c>
      <c r="H43" s="118">
        <v>0</v>
      </c>
      <c r="I43" s="118">
        <v>0</v>
      </c>
      <c r="J43" s="118">
        <v>0</v>
      </c>
      <c r="K43" s="118">
        <v>0</v>
      </c>
      <c r="L43" s="118">
        <v>0</v>
      </c>
      <c r="M43" s="118">
        <v>0</v>
      </c>
      <c r="N43" s="118">
        <v>0</v>
      </c>
      <c r="O43" s="118">
        <v>0</v>
      </c>
      <c r="P43" s="118">
        <v>0</v>
      </c>
      <c r="Q43" s="118">
        <v>0</v>
      </c>
      <c r="R43" s="118">
        <v>0</v>
      </c>
      <c r="S43" s="118">
        <v>0</v>
      </c>
      <c r="T43" s="118">
        <v>0</v>
      </c>
      <c r="U43" s="118">
        <v>0</v>
      </c>
      <c r="V43" s="118">
        <v>0</v>
      </c>
      <c r="W43" s="118">
        <v>0</v>
      </c>
      <c r="X43" s="118">
        <v>0</v>
      </c>
      <c r="Y43" s="118">
        <v>1</v>
      </c>
      <c r="Z43" s="118">
        <f>+Z11-Z27</f>
        <v>49</v>
      </c>
      <c r="AA43" s="118">
        <f>+AA11-AA27</f>
        <v>8</v>
      </c>
      <c r="AB43" s="118">
        <f>+AB11-AB27</f>
        <v>33</v>
      </c>
      <c r="AC43" s="118">
        <v>0</v>
      </c>
      <c r="AD43" s="118">
        <f t="shared" ref="AD43:AL43" si="22">+AD11-AD27</f>
        <v>35</v>
      </c>
      <c r="AE43" s="118">
        <f t="shared" si="22"/>
        <v>2</v>
      </c>
      <c r="AF43" s="118">
        <f t="shared" si="22"/>
        <v>1</v>
      </c>
      <c r="AG43" s="118">
        <f t="shared" si="22"/>
        <v>0</v>
      </c>
      <c r="AH43" s="118">
        <f t="shared" si="22"/>
        <v>0</v>
      </c>
      <c r="AI43" s="118">
        <f t="shared" si="22"/>
        <v>0</v>
      </c>
      <c r="AJ43" s="118">
        <f t="shared" si="22"/>
        <v>0</v>
      </c>
      <c r="AK43" s="118">
        <f t="shared" si="22"/>
        <v>0</v>
      </c>
      <c r="AL43" s="118">
        <f t="shared" si="22"/>
        <v>0</v>
      </c>
      <c r="AM43" s="118">
        <f t="shared" si="10"/>
        <v>0</v>
      </c>
      <c r="AN43" s="118">
        <f t="shared" si="10"/>
        <v>0</v>
      </c>
      <c r="AO43" s="118">
        <f t="shared" si="10"/>
        <v>0</v>
      </c>
      <c r="AP43" s="118">
        <f t="shared" si="10"/>
        <v>0</v>
      </c>
      <c r="AQ43" s="118">
        <f t="shared" si="10"/>
        <v>0</v>
      </c>
      <c r="AR43" s="118">
        <f t="shared" si="11"/>
        <v>0</v>
      </c>
      <c r="AS43" s="118">
        <f t="shared" si="11"/>
        <v>0</v>
      </c>
      <c r="AT43" s="118">
        <f t="shared" si="11"/>
        <v>-41</v>
      </c>
      <c r="AU43" s="118">
        <v>0</v>
      </c>
      <c r="AV43" s="118">
        <v>0</v>
      </c>
      <c r="AW43" s="118">
        <f t="shared" si="12"/>
        <v>0</v>
      </c>
      <c r="AX43" s="118">
        <v>0</v>
      </c>
      <c r="AY43" s="118">
        <f t="shared" si="13"/>
        <v>0</v>
      </c>
    </row>
    <row r="44" spans="2:305" x14ac:dyDescent="0.2">
      <c r="B44" s="129" t="s">
        <v>1116</v>
      </c>
      <c r="C44" s="118" t="s">
        <v>160</v>
      </c>
      <c r="D44" s="118" t="s">
        <v>160</v>
      </c>
      <c r="E44" s="118" t="s">
        <v>160</v>
      </c>
      <c r="F44" s="118" t="s">
        <v>160</v>
      </c>
      <c r="G44" s="118" t="s">
        <v>160</v>
      </c>
      <c r="H44" s="118" t="s">
        <v>160</v>
      </c>
      <c r="I44" s="118" t="s">
        <v>160</v>
      </c>
      <c r="J44" s="118" t="s">
        <v>160</v>
      </c>
      <c r="K44" s="118" t="s">
        <v>160</v>
      </c>
      <c r="L44" s="118" t="s">
        <v>160</v>
      </c>
      <c r="M44" s="118" t="s">
        <v>160</v>
      </c>
      <c r="N44" s="118" t="s">
        <v>160</v>
      </c>
      <c r="O44" s="118" t="s">
        <v>160</v>
      </c>
      <c r="P44" s="118" t="s">
        <v>160</v>
      </c>
      <c r="Q44" s="118" t="s">
        <v>160</v>
      </c>
      <c r="R44" s="118" t="s">
        <v>160</v>
      </c>
      <c r="S44" s="118" t="s">
        <v>160</v>
      </c>
      <c r="T44" s="118" t="s">
        <v>160</v>
      </c>
      <c r="U44" s="118" t="s">
        <v>160</v>
      </c>
      <c r="V44" s="118" t="s">
        <v>160</v>
      </c>
      <c r="W44" s="118" t="s">
        <v>160</v>
      </c>
      <c r="X44" s="118" t="s">
        <v>160</v>
      </c>
      <c r="Y44" s="118" t="s">
        <v>160</v>
      </c>
      <c r="Z44" s="118" t="s">
        <v>160</v>
      </c>
      <c r="AA44" s="118" t="s">
        <v>160</v>
      </c>
      <c r="AB44" s="118" t="s">
        <v>160</v>
      </c>
      <c r="AC44" s="118" t="s">
        <v>160</v>
      </c>
      <c r="AD44" s="118" t="s">
        <v>160</v>
      </c>
      <c r="AE44" s="118" t="s">
        <v>160</v>
      </c>
      <c r="AF44" s="118" t="s">
        <v>160</v>
      </c>
      <c r="AG44" s="118" t="s">
        <v>160</v>
      </c>
      <c r="AH44" s="261">
        <f t="shared" ref="AH44:AH51" si="23">+AH12-AH28</f>
        <v>2592</v>
      </c>
      <c r="AI44" s="118" t="s">
        <v>160</v>
      </c>
      <c r="AJ44" s="118" t="s">
        <v>160</v>
      </c>
      <c r="AK44" s="118">
        <f t="shared" ref="AK44:AL51" si="24">+AK12-AK28</f>
        <v>847</v>
      </c>
      <c r="AL44" s="118">
        <f t="shared" si="24"/>
        <v>0</v>
      </c>
      <c r="AM44" s="118">
        <f t="shared" si="10"/>
        <v>0</v>
      </c>
      <c r="AN44" s="118">
        <f t="shared" si="10"/>
        <v>0</v>
      </c>
      <c r="AO44" s="118">
        <f t="shared" si="10"/>
        <v>0</v>
      </c>
      <c r="AP44" s="118">
        <f t="shared" si="10"/>
        <v>0</v>
      </c>
      <c r="AQ44" s="118">
        <f t="shared" si="10"/>
        <v>0</v>
      </c>
      <c r="AR44" s="118">
        <f t="shared" si="11"/>
        <v>0</v>
      </c>
      <c r="AS44" s="118">
        <f t="shared" si="11"/>
        <v>0</v>
      </c>
      <c r="AT44" s="118">
        <f t="shared" si="11"/>
        <v>0</v>
      </c>
      <c r="AU44" s="118">
        <v>0</v>
      </c>
      <c r="AV44" s="118">
        <v>0</v>
      </c>
      <c r="AW44" s="118">
        <f t="shared" si="12"/>
        <v>0</v>
      </c>
      <c r="AX44" s="118">
        <v>0</v>
      </c>
      <c r="AY44" s="118">
        <f t="shared" si="13"/>
        <v>0</v>
      </c>
    </row>
    <row r="45" spans="2:305" ht="15" customHeight="1" x14ac:dyDescent="0.2">
      <c r="B45" s="129" t="s">
        <v>128</v>
      </c>
      <c r="C45" s="118">
        <f t="shared" ref="C45:AB45" si="25">+C13-C29</f>
        <v>0</v>
      </c>
      <c r="D45" s="118">
        <f t="shared" si="25"/>
        <v>15</v>
      </c>
      <c r="E45" s="118">
        <f t="shared" si="25"/>
        <v>-84</v>
      </c>
      <c r="F45" s="118">
        <f t="shared" si="25"/>
        <v>644</v>
      </c>
      <c r="G45" s="118">
        <f t="shared" si="25"/>
        <v>15</v>
      </c>
      <c r="H45" s="118">
        <f t="shared" si="25"/>
        <v>46</v>
      </c>
      <c r="I45" s="118">
        <f t="shared" si="25"/>
        <v>176</v>
      </c>
      <c r="J45" s="118">
        <f t="shared" si="25"/>
        <v>-62</v>
      </c>
      <c r="K45" s="118">
        <f t="shared" si="25"/>
        <v>-174</v>
      </c>
      <c r="L45" s="118">
        <f t="shared" si="25"/>
        <v>278</v>
      </c>
      <c r="M45" s="118">
        <f t="shared" si="25"/>
        <v>-226</v>
      </c>
      <c r="N45" s="118">
        <f t="shared" si="25"/>
        <v>399</v>
      </c>
      <c r="O45" s="118">
        <f t="shared" si="25"/>
        <v>0</v>
      </c>
      <c r="P45" s="118">
        <f t="shared" si="25"/>
        <v>0</v>
      </c>
      <c r="Q45" s="118">
        <f t="shared" si="25"/>
        <v>-14</v>
      </c>
      <c r="R45" s="118">
        <f t="shared" si="25"/>
        <v>-1622</v>
      </c>
      <c r="S45" s="118">
        <f t="shared" si="25"/>
        <v>4065</v>
      </c>
      <c r="T45" s="118">
        <f t="shared" si="25"/>
        <v>-27</v>
      </c>
      <c r="U45" s="118">
        <f t="shared" si="25"/>
        <v>68</v>
      </c>
      <c r="V45" s="118">
        <f t="shared" si="25"/>
        <v>383</v>
      </c>
      <c r="W45" s="118">
        <f t="shared" si="25"/>
        <v>114</v>
      </c>
      <c r="X45" s="118">
        <f t="shared" si="25"/>
        <v>-12</v>
      </c>
      <c r="Y45" s="118">
        <f t="shared" si="25"/>
        <v>232</v>
      </c>
      <c r="Z45" s="118">
        <f t="shared" si="25"/>
        <v>-718</v>
      </c>
      <c r="AA45" s="118">
        <f t="shared" si="25"/>
        <v>11</v>
      </c>
      <c r="AB45" s="118">
        <f t="shared" si="25"/>
        <v>-70</v>
      </c>
      <c r="AC45" s="118">
        <v>61</v>
      </c>
      <c r="AD45" s="118">
        <f t="shared" ref="AD45:AG51" si="26">+AD13-AD29</f>
        <v>-2184</v>
      </c>
      <c r="AE45" s="118">
        <f t="shared" si="26"/>
        <v>20</v>
      </c>
      <c r="AF45" s="118">
        <f t="shared" si="26"/>
        <v>-1285</v>
      </c>
      <c r="AG45" s="118">
        <f t="shared" si="26"/>
        <v>348</v>
      </c>
      <c r="AH45" s="118">
        <f t="shared" si="23"/>
        <v>94</v>
      </c>
      <c r="AI45" s="118">
        <f t="shared" ref="AI45:AJ51" si="27">+AI13-AI29</f>
        <v>-16</v>
      </c>
      <c r="AJ45" s="118">
        <f t="shared" si="27"/>
        <v>-24</v>
      </c>
      <c r="AK45" s="118">
        <f t="shared" si="24"/>
        <v>-61</v>
      </c>
      <c r="AL45" s="261">
        <f t="shared" si="24"/>
        <v>-3384</v>
      </c>
      <c r="AM45" s="118">
        <f t="shared" si="10"/>
        <v>673</v>
      </c>
      <c r="AN45" s="118">
        <f t="shared" si="10"/>
        <v>2340</v>
      </c>
      <c r="AO45" s="118">
        <f t="shared" si="10"/>
        <v>-17</v>
      </c>
      <c r="AP45" s="118">
        <f t="shared" si="10"/>
        <v>-765</v>
      </c>
      <c r="AQ45" s="118">
        <f t="shared" si="10"/>
        <v>-103</v>
      </c>
      <c r="AR45" s="118">
        <f t="shared" si="11"/>
        <v>-46</v>
      </c>
      <c r="AS45" s="118">
        <f t="shared" si="11"/>
        <v>-86</v>
      </c>
      <c r="AT45" s="118">
        <f t="shared" si="11"/>
        <v>126</v>
      </c>
      <c r="AU45" s="118">
        <v>679</v>
      </c>
      <c r="AV45" s="118">
        <v>-679</v>
      </c>
      <c r="AW45" s="118">
        <f t="shared" si="12"/>
        <v>-24</v>
      </c>
      <c r="AX45" s="118">
        <v>-217</v>
      </c>
      <c r="AY45" s="118">
        <f t="shared" si="13"/>
        <v>788</v>
      </c>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row>
    <row r="46" spans="2:305" s="248" customFormat="1" hidden="1" outlineLevel="1" x14ac:dyDescent="0.2">
      <c r="B46" s="249" t="s">
        <v>581</v>
      </c>
      <c r="C46" s="218">
        <f t="shared" ref="C46:X46" si="28">+C14-C30</f>
        <v>0</v>
      </c>
      <c r="D46" s="218">
        <f t="shared" si="28"/>
        <v>0</v>
      </c>
      <c r="E46" s="218">
        <f t="shared" si="28"/>
        <v>0</v>
      </c>
      <c r="F46" s="218">
        <f t="shared" si="28"/>
        <v>0</v>
      </c>
      <c r="G46" s="218">
        <f t="shared" si="28"/>
        <v>0</v>
      </c>
      <c r="H46" s="218">
        <f t="shared" si="28"/>
        <v>0</v>
      </c>
      <c r="I46" s="218">
        <f t="shared" si="28"/>
        <v>0</v>
      </c>
      <c r="J46" s="218">
        <f t="shared" si="28"/>
        <v>0</v>
      </c>
      <c r="K46" s="218">
        <f t="shared" si="28"/>
        <v>0</v>
      </c>
      <c r="L46" s="218">
        <f t="shared" si="28"/>
        <v>0</v>
      </c>
      <c r="M46" s="218">
        <f t="shared" si="28"/>
        <v>0</v>
      </c>
      <c r="N46" s="218">
        <f t="shared" si="28"/>
        <v>0</v>
      </c>
      <c r="O46" s="218">
        <f t="shared" si="28"/>
        <v>0</v>
      </c>
      <c r="P46" s="218">
        <f t="shared" si="28"/>
        <v>0</v>
      </c>
      <c r="Q46" s="218">
        <f t="shared" si="28"/>
        <v>0</v>
      </c>
      <c r="R46" s="218">
        <f t="shared" si="28"/>
        <v>0</v>
      </c>
      <c r="S46" s="218">
        <f t="shared" si="28"/>
        <v>0</v>
      </c>
      <c r="T46" s="218">
        <f t="shared" si="28"/>
        <v>0</v>
      </c>
      <c r="U46" s="218">
        <f t="shared" si="28"/>
        <v>0</v>
      </c>
      <c r="V46" s="218">
        <f t="shared" si="28"/>
        <v>0</v>
      </c>
      <c r="W46" s="218">
        <f t="shared" si="28"/>
        <v>0</v>
      </c>
      <c r="X46" s="218">
        <f t="shared" si="28"/>
        <v>0</v>
      </c>
      <c r="Y46" s="218">
        <v>0</v>
      </c>
      <c r="Z46" s="218">
        <f>+Z14-Z30</f>
        <v>0</v>
      </c>
      <c r="AA46" s="218">
        <f>+AA14-AA30</f>
        <v>0</v>
      </c>
      <c r="AB46" s="218">
        <f>+AB14-AB30</f>
        <v>0</v>
      </c>
      <c r="AC46" s="218">
        <f>+AC14-AC30</f>
        <v>0</v>
      </c>
      <c r="AD46" s="218">
        <f t="shared" si="26"/>
        <v>0</v>
      </c>
      <c r="AE46" s="218">
        <f t="shared" si="26"/>
        <v>0</v>
      </c>
      <c r="AF46" s="218">
        <f t="shared" si="26"/>
        <v>0</v>
      </c>
      <c r="AG46" s="218">
        <f t="shared" si="26"/>
        <v>0</v>
      </c>
      <c r="AH46" s="218">
        <f t="shared" si="23"/>
        <v>0</v>
      </c>
      <c r="AI46" s="218">
        <f t="shared" si="27"/>
        <v>0</v>
      </c>
      <c r="AJ46" s="218">
        <f t="shared" si="27"/>
        <v>0</v>
      </c>
      <c r="AK46" s="218">
        <f t="shared" si="24"/>
        <v>0</v>
      </c>
      <c r="AL46" s="218">
        <f t="shared" si="24"/>
        <v>0</v>
      </c>
      <c r="AM46" s="218">
        <f t="shared" si="10"/>
        <v>0</v>
      </c>
      <c r="AN46" s="218">
        <f t="shared" si="10"/>
        <v>0</v>
      </c>
      <c r="AO46" s="218">
        <f t="shared" si="10"/>
        <v>0</v>
      </c>
      <c r="AP46" s="218">
        <f t="shared" si="10"/>
        <v>0</v>
      </c>
      <c r="AQ46" s="218">
        <f t="shared" si="10"/>
        <v>0</v>
      </c>
      <c r="AR46" s="218">
        <f t="shared" ref="AR46:AR51" si="29">+AR14-AR30</f>
        <v>0</v>
      </c>
      <c r="AS46" s="218"/>
      <c r="AT46" s="218"/>
      <c r="AU46" s="218"/>
      <c r="AV46" s="218">
        <f t="shared" ref="AV46:AV51" si="30">+AV14-AV30</f>
        <v>0</v>
      </c>
      <c r="AW46" s="218">
        <f t="shared" si="12"/>
        <v>0</v>
      </c>
      <c r="AX46" s="218">
        <v>0</v>
      </c>
      <c r="AY46" s="218">
        <f t="shared" si="13"/>
        <v>0</v>
      </c>
    </row>
    <row r="47" spans="2:305" s="248" customFormat="1" hidden="1" outlineLevel="1" x14ac:dyDescent="0.2">
      <c r="B47" s="249" t="s">
        <v>126</v>
      </c>
      <c r="C47" s="218">
        <f t="shared" ref="C47:X47" si="31">+C15-C31</f>
        <v>275</v>
      </c>
      <c r="D47" s="218">
        <f t="shared" si="31"/>
        <v>-803</v>
      </c>
      <c r="E47" s="218">
        <f t="shared" si="31"/>
        <v>-311</v>
      </c>
      <c r="F47" s="218">
        <f t="shared" si="31"/>
        <v>-2435</v>
      </c>
      <c r="G47" s="218">
        <f t="shared" si="31"/>
        <v>-321</v>
      </c>
      <c r="H47" s="218">
        <f t="shared" si="31"/>
        <v>-781</v>
      </c>
      <c r="I47" s="218">
        <f t="shared" si="31"/>
        <v>-1262</v>
      </c>
      <c r="J47" s="218">
        <f t="shared" si="31"/>
        <v>-88</v>
      </c>
      <c r="K47" s="218">
        <f t="shared" si="31"/>
        <v>-629</v>
      </c>
      <c r="L47" s="218">
        <f t="shared" si="31"/>
        <v>-23</v>
      </c>
      <c r="M47" s="218">
        <f t="shared" si="31"/>
        <v>25</v>
      </c>
      <c r="N47" s="218">
        <f t="shared" si="31"/>
        <v>-734</v>
      </c>
      <c r="O47" s="218">
        <f t="shared" si="31"/>
        <v>-163</v>
      </c>
      <c r="P47" s="218">
        <f t="shared" si="31"/>
        <v>22</v>
      </c>
      <c r="Q47" s="218">
        <f t="shared" si="31"/>
        <v>-1906</v>
      </c>
      <c r="R47" s="218">
        <f t="shared" si="31"/>
        <v>1931</v>
      </c>
      <c r="S47" s="218">
        <f t="shared" si="31"/>
        <v>-6</v>
      </c>
      <c r="T47" s="218">
        <f t="shared" si="31"/>
        <v>301</v>
      </c>
      <c r="U47" s="218">
        <f t="shared" si="31"/>
        <v>313</v>
      </c>
      <c r="V47" s="218">
        <f t="shared" si="31"/>
        <v>-1736</v>
      </c>
      <c r="W47" s="218">
        <f t="shared" si="31"/>
        <v>3</v>
      </c>
      <c r="X47" s="218">
        <f t="shared" si="31"/>
        <v>1412</v>
      </c>
      <c r="Y47" s="218">
        <f t="shared" ref="Y47:AB49" si="32">+Y15-Y31</f>
        <v>-46</v>
      </c>
      <c r="Z47" s="218">
        <f t="shared" si="32"/>
        <v>-1369</v>
      </c>
      <c r="AA47" s="218">
        <f t="shared" si="32"/>
        <v>0</v>
      </c>
      <c r="AB47" s="218">
        <f t="shared" si="32"/>
        <v>0</v>
      </c>
      <c r="AC47" s="218">
        <v>0</v>
      </c>
      <c r="AD47" s="218">
        <f t="shared" si="26"/>
        <v>0</v>
      </c>
      <c r="AE47" s="218">
        <f t="shared" si="26"/>
        <v>0</v>
      </c>
      <c r="AF47" s="218">
        <f t="shared" si="26"/>
        <v>0</v>
      </c>
      <c r="AG47" s="218">
        <f t="shared" si="26"/>
        <v>0</v>
      </c>
      <c r="AH47" s="218">
        <f t="shared" si="23"/>
        <v>0</v>
      </c>
      <c r="AI47" s="218">
        <f t="shared" si="27"/>
        <v>0</v>
      </c>
      <c r="AJ47" s="218">
        <f t="shared" si="27"/>
        <v>0</v>
      </c>
      <c r="AK47" s="218">
        <f t="shared" si="24"/>
        <v>-847</v>
      </c>
      <c r="AL47" s="218">
        <f t="shared" si="24"/>
        <v>847</v>
      </c>
      <c r="AM47" s="218">
        <f t="shared" si="10"/>
        <v>0</v>
      </c>
      <c r="AN47" s="218">
        <f t="shared" si="10"/>
        <v>0</v>
      </c>
      <c r="AO47" s="218">
        <f t="shared" si="10"/>
        <v>0</v>
      </c>
      <c r="AP47" s="218">
        <f t="shared" si="10"/>
        <v>0</v>
      </c>
      <c r="AQ47" s="218">
        <f t="shared" si="10"/>
        <v>0</v>
      </c>
      <c r="AR47" s="218">
        <f t="shared" si="29"/>
        <v>0</v>
      </c>
      <c r="AS47" s="218"/>
      <c r="AT47" s="218"/>
      <c r="AU47" s="218"/>
      <c r="AV47" s="218">
        <f t="shared" si="30"/>
        <v>0</v>
      </c>
      <c r="AW47" s="218">
        <f t="shared" si="12"/>
        <v>0</v>
      </c>
      <c r="AX47" s="218">
        <v>0</v>
      </c>
      <c r="AY47" s="218">
        <f t="shared" si="13"/>
        <v>0</v>
      </c>
    </row>
    <row r="48" spans="2:305" ht="15" hidden="1" customHeight="1" outlineLevel="1" x14ac:dyDescent="0.2">
      <c r="B48" s="249" t="s">
        <v>750</v>
      </c>
      <c r="C48" s="218">
        <f t="shared" ref="C48:X48" si="33">+C16-C32</f>
        <v>0</v>
      </c>
      <c r="D48" s="218">
        <f t="shared" si="33"/>
        <v>0</v>
      </c>
      <c r="E48" s="218">
        <f t="shared" si="33"/>
        <v>0</v>
      </c>
      <c r="F48" s="218">
        <f t="shared" si="33"/>
        <v>0</v>
      </c>
      <c r="G48" s="218">
        <f t="shared" si="33"/>
        <v>0</v>
      </c>
      <c r="H48" s="218">
        <f t="shared" si="33"/>
        <v>0</v>
      </c>
      <c r="I48" s="218">
        <f t="shared" si="33"/>
        <v>0</v>
      </c>
      <c r="J48" s="218">
        <f t="shared" si="33"/>
        <v>0</v>
      </c>
      <c r="K48" s="218">
        <f t="shared" si="33"/>
        <v>0</v>
      </c>
      <c r="L48" s="218">
        <f t="shared" si="33"/>
        <v>0</v>
      </c>
      <c r="M48" s="218">
        <f t="shared" si="33"/>
        <v>0</v>
      </c>
      <c r="N48" s="218">
        <f t="shared" si="33"/>
        <v>0</v>
      </c>
      <c r="O48" s="218">
        <f t="shared" si="33"/>
        <v>0</v>
      </c>
      <c r="P48" s="218">
        <f t="shared" si="33"/>
        <v>0</v>
      </c>
      <c r="Q48" s="218">
        <f t="shared" si="33"/>
        <v>0</v>
      </c>
      <c r="R48" s="218">
        <f t="shared" si="33"/>
        <v>0</v>
      </c>
      <c r="S48" s="218">
        <f t="shared" si="33"/>
        <v>0</v>
      </c>
      <c r="T48" s="218">
        <f t="shared" si="33"/>
        <v>0</v>
      </c>
      <c r="U48" s="218">
        <f t="shared" si="33"/>
        <v>0</v>
      </c>
      <c r="V48" s="218">
        <f t="shared" si="33"/>
        <v>0</v>
      </c>
      <c r="W48" s="218">
        <f t="shared" si="33"/>
        <v>0</v>
      </c>
      <c r="X48" s="218">
        <f t="shared" si="33"/>
        <v>0</v>
      </c>
      <c r="Y48" s="218">
        <f t="shared" si="32"/>
        <v>0</v>
      </c>
      <c r="Z48" s="218">
        <f t="shared" si="32"/>
        <v>0</v>
      </c>
      <c r="AA48" s="218">
        <f t="shared" si="32"/>
        <v>0</v>
      </c>
      <c r="AB48" s="218">
        <f t="shared" si="32"/>
        <v>0</v>
      </c>
      <c r="AC48" s="218">
        <v>0</v>
      </c>
      <c r="AD48" s="218">
        <f t="shared" si="26"/>
        <v>0</v>
      </c>
      <c r="AE48" s="218">
        <f t="shared" si="26"/>
        <v>0</v>
      </c>
      <c r="AF48" s="218">
        <f t="shared" si="26"/>
        <v>0</v>
      </c>
      <c r="AG48" s="218">
        <f t="shared" si="26"/>
        <v>0</v>
      </c>
      <c r="AH48" s="218">
        <f t="shared" si="23"/>
        <v>0</v>
      </c>
      <c r="AI48" s="218">
        <f t="shared" si="27"/>
        <v>0</v>
      </c>
      <c r="AJ48" s="218">
        <f t="shared" si="27"/>
        <v>0</v>
      </c>
      <c r="AK48" s="218">
        <f t="shared" si="24"/>
        <v>0</v>
      </c>
      <c r="AL48" s="218">
        <f t="shared" si="24"/>
        <v>0</v>
      </c>
      <c r="AM48" s="218">
        <f t="shared" si="10"/>
        <v>0</v>
      </c>
      <c r="AN48" s="218">
        <f t="shared" si="10"/>
        <v>0</v>
      </c>
      <c r="AO48" s="218">
        <f t="shared" si="10"/>
        <v>0</v>
      </c>
      <c r="AP48" s="218">
        <f t="shared" si="10"/>
        <v>0</v>
      </c>
      <c r="AQ48" s="218">
        <f t="shared" si="10"/>
        <v>0</v>
      </c>
      <c r="AR48" s="218">
        <f t="shared" si="29"/>
        <v>0</v>
      </c>
      <c r="AS48" s="218"/>
      <c r="AT48" s="218"/>
      <c r="AU48" s="218"/>
      <c r="AV48" s="218">
        <f t="shared" si="30"/>
        <v>0</v>
      </c>
      <c r="AW48" s="218">
        <f t="shared" si="12"/>
        <v>0</v>
      </c>
      <c r="AX48" s="218">
        <v>0</v>
      </c>
      <c r="AY48" s="218">
        <f t="shared" si="13"/>
        <v>0</v>
      </c>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25"/>
      <c r="JH48" s="25"/>
      <c r="JI48" s="25"/>
      <c r="JJ48" s="25"/>
      <c r="JK48" s="25"/>
      <c r="JL48" s="25"/>
      <c r="JM48" s="25"/>
      <c r="JN48" s="25"/>
      <c r="JO48" s="25"/>
      <c r="JP48" s="25"/>
      <c r="JQ48" s="25"/>
      <c r="JR48" s="25"/>
      <c r="JS48" s="25"/>
      <c r="JT48" s="25"/>
      <c r="JU48" s="25"/>
      <c r="JV48" s="25"/>
      <c r="JW48" s="25"/>
      <c r="JX48" s="25"/>
      <c r="JY48" s="25"/>
      <c r="JZ48" s="25"/>
      <c r="KA48" s="25"/>
      <c r="KB48" s="25"/>
      <c r="KC48" s="25"/>
      <c r="KD48" s="25"/>
      <c r="KE48" s="25"/>
      <c r="KF48" s="25"/>
      <c r="KG48" s="25"/>
      <c r="KH48" s="25"/>
      <c r="KI48" s="25"/>
      <c r="KJ48" s="25"/>
      <c r="KK48" s="25"/>
      <c r="KL48" s="25"/>
      <c r="KM48" s="25"/>
      <c r="KN48" s="25"/>
      <c r="KO48" s="25"/>
      <c r="KP48" s="25"/>
      <c r="KQ48" s="25"/>
      <c r="KR48" s="25"/>
      <c r="KS48" s="25"/>
    </row>
    <row r="49" spans="2:305" ht="15" hidden="1" customHeight="1" outlineLevel="1" x14ac:dyDescent="0.2">
      <c r="B49" s="249" t="s">
        <v>751</v>
      </c>
      <c r="C49" s="218">
        <f t="shared" ref="C49:X49" si="34">+C17-C33</f>
        <v>0</v>
      </c>
      <c r="D49" s="218">
        <f t="shared" si="34"/>
        <v>0</v>
      </c>
      <c r="E49" s="218">
        <f t="shared" si="34"/>
        <v>0</v>
      </c>
      <c r="F49" s="218">
        <f t="shared" si="34"/>
        <v>0</v>
      </c>
      <c r="G49" s="218">
        <f t="shared" si="34"/>
        <v>0</v>
      </c>
      <c r="H49" s="218">
        <f t="shared" si="34"/>
        <v>0</v>
      </c>
      <c r="I49" s="218">
        <f t="shared" si="34"/>
        <v>0</v>
      </c>
      <c r="J49" s="218">
        <f t="shared" si="34"/>
        <v>0</v>
      </c>
      <c r="K49" s="218">
        <f t="shared" si="34"/>
        <v>0</v>
      </c>
      <c r="L49" s="218">
        <f t="shared" si="34"/>
        <v>0</v>
      </c>
      <c r="M49" s="218">
        <f t="shared" si="34"/>
        <v>0</v>
      </c>
      <c r="N49" s="218">
        <f t="shared" si="34"/>
        <v>0</v>
      </c>
      <c r="O49" s="218">
        <f t="shared" si="34"/>
        <v>0</v>
      </c>
      <c r="P49" s="218">
        <f t="shared" si="34"/>
        <v>0</v>
      </c>
      <c r="Q49" s="218">
        <f t="shared" si="34"/>
        <v>0</v>
      </c>
      <c r="R49" s="218">
        <f t="shared" si="34"/>
        <v>0</v>
      </c>
      <c r="S49" s="218">
        <f t="shared" si="34"/>
        <v>0</v>
      </c>
      <c r="T49" s="218">
        <f t="shared" si="34"/>
        <v>0</v>
      </c>
      <c r="U49" s="218">
        <f t="shared" si="34"/>
        <v>0</v>
      </c>
      <c r="V49" s="218">
        <f t="shared" si="34"/>
        <v>0</v>
      </c>
      <c r="W49" s="218">
        <f t="shared" si="34"/>
        <v>0</v>
      </c>
      <c r="X49" s="218">
        <f t="shared" si="34"/>
        <v>0</v>
      </c>
      <c r="Y49" s="218">
        <f t="shared" si="32"/>
        <v>0</v>
      </c>
      <c r="Z49" s="218">
        <f t="shared" si="32"/>
        <v>0</v>
      </c>
      <c r="AA49" s="218">
        <f t="shared" si="32"/>
        <v>0</v>
      </c>
      <c r="AB49" s="218">
        <f t="shared" si="32"/>
        <v>0</v>
      </c>
      <c r="AC49" s="218">
        <v>0</v>
      </c>
      <c r="AD49" s="218">
        <f t="shared" si="26"/>
        <v>0</v>
      </c>
      <c r="AE49" s="218">
        <f t="shared" si="26"/>
        <v>0</v>
      </c>
      <c r="AF49" s="218">
        <f t="shared" si="26"/>
        <v>0</v>
      </c>
      <c r="AG49" s="218">
        <f t="shared" si="26"/>
        <v>0</v>
      </c>
      <c r="AH49" s="218">
        <f t="shared" si="23"/>
        <v>0</v>
      </c>
      <c r="AI49" s="218">
        <f t="shared" si="27"/>
        <v>0</v>
      </c>
      <c r="AJ49" s="218">
        <f t="shared" si="27"/>
        <v>0</v>
      </c>
      <c r="AK49" s="218">
        <f t="shared" si="24"/>
        <v>0</v>
      </c>
      <c r="AL49" s="218">
        <f t="shared" si="24"/>
        <v>0</v>
      </c>
      <c r="AM49" s="218">
        <f t="shared" si="10"/>
        <v>0</v>
      </c>
      <c r="AN49" s="218">
        <f t="shared" si="10"/>
        <v>0</v>
      </c>
      <c r="AO49" s="218">
        <f t="shared" si="10"/>
        <v>0</v>
      </c>
      <c r="AP49" s="218">
        <f t="shared" si="10"/>
        <v>0</v>
      </c>
      <c r="AQ49" s="218">
        <f t="shared" si="10"/>
        <v>0</v>
      </c>
      <c r="AR49" s="218">
        <f t="shared" si="29"/>
        <v>0</v>
      </c>
      <c r="AS49" s="218"/>
      <c r="AT49" s="218"/>
      <c r="AU49" s="218"/>
      <c r="AV49" s="218">
        <f t="shared" si="30"/>
        <v>0</v>
      </c>
      <c r="AW49" s="218">
        <f t="shared" si="12"/>
        <v>0</v>
      </c>
      <c r="AX49" s="218">
        <v>0</v>
      </c>
      <c r="AY49" s="218">
        <f t="shared" si="13"/>
        <v>0</v>
      </c>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row>
    <row r="50" spans="2:305" s="248" customFormat="1" hidden="1" outlineLevel="1" x14ac:dyDescent="0.2">
      <c r="B50" s="249" t="s">
        <v>580</v>
      </c>
      <c r="C50" s="218">
        <f t="shared" ref="C50:X50" si="35">+C18-C34</f>
        <v>0</v>
      </c>
      <c r="D50" s="218">
        <f t="shared" si="35"/>
        <v>0</v>
      </c>
      <c r="E50" s="218">
        <f t="shared" si="35"/>
        <v>0</v>
      </c>
      <c r="F50" s="218">
        <f t="shared" si="35"/>
        <v>0</v>
      </c>
      <c r="G50" s="218">
        <f t="shared" si="35"/>
        <v>0</v>
      </c>
      <c r="H50" s="218">
        <f t="shared" si="35"/>
        <v>0</v>
      </c>
      <c r="I50" s="218">
        <f t="shared" si="35"/>
        <v>0</v>
      </c>
      <c r="J50" s="218">
        <f t="shared" si="35"/>
        <v>0</v>
      </c>
      <c r="K50" s="218">
        <f t="shared" si="35"/>
        <v>0</v>
      </c>
      <c r="L50" s="218">
        <f t="shared" si="35"/>
        <v>0</v>
      </c>
      <c r="M50" s="218">
        <f t="shared" si="35"/>
        <v>0</v>
      </c>
      <c r="N50" s="218">
        <f t="shared" si="35"/>
        <v>0</v>
      </c>
      <c r="O50" s="218">
        <f t="shared" si="35"/>
        <v>0</v>
      </c>
      <c r="P50" s="218">
        <f t="shared" si="35"/>
        <v>0</v>
      </c>
      <c r="Q50" s="218">
        <f t="shared" si="35"/>
        <v>0</v>
      </c>
      <c r="R50" s="218">
        <f t="shared" si="35"/>
        <v>0</v>
      </c>
      <c r="S50" s="218">
        <f t="shared" si="35"/>
        <v>0</v>
      </c>
      <c r="T50" s="218">
        <f t="shared" si="35"/>
        <v>0</v>
      </c>
      <c r="U50" s="218">
        <f t="shared" si="35"/>
        <v>0</v>
      </c>
      <c r="V50" s="218">
        <f t="shared" si="35"/>
        <v>0</v>
      </c>
      <c r="W50" s="218">
        <f t="shared" si="35"/>
        <v>0</v>
      </c>
      <c r="X50" s="218">
        <f t="shared" si="35"/>
        <v>0</v>
      </c>
      <c r="Y50" s="218">
        <v>0</v>
      </c>
      <c r="Z50" s="218">
        <f t="shared" ref="Z50:AC51" si="36">+Z18-Z34</f>
        <v>0</v>
      </c>
      <c r="AA50" s="218">
        <f t="shared" si="36"/>
        <v>0</v>
      </c>
      <c r="AB50" s="218">
        <f t="shared" si="36"/>
        <v>0</v>
      </c>
      <c r="AC50" s="218">
        <f t="shared" si="36"/>
        <v>0</v>
      </c>
      <c r="AD50" s="218">
        <f t="shared" si="26"/>
        <v>0</v>
      </c>
      <c r="AE50" s="218">
        <f t="shared" si="26"/>
        <v>0</v>
      </c>
      <c r="AF50" s="218">
        <f t="shared" si="26"/>
        <v>0</v>
      </c>
      <c r="AG50" s="218">
        <f t="shared" si="26"/>
        <v>0</v>
      </c>
      <c r="AH50" s="218">
        <f t="shared" si="23"/>
        <v>0</v>
      </c>
      <c r="AI50" s="218">
        <f t="shared" si="27"/>
        <v>0</v>
      </c>
      <c r="AJ50" s="218">
        <f t="shared" si="27"/>
        <v>0</v>
      </c>
      <c r="AK50" s="218">
        <f t="shared" si="24"/>
        <v>0</v>
      </c>
      <c r="AL50" s="218">
        <f t="shared" si="24"/>
        <v>0</v>
      </c>
      <c r="AM50" s="218">
        <f t="shared" si="10"/>
        <v>0</v>
      </c>
      <c r="AN50" s="218">
        <f t="shared" si="10"/>
        <v>0</v>
      </c>
      <c r="AO50" s="218">
        <f t="shared" si="10"/>
        <v>0</v>
      </c>
      <c r="AP50" s="218">
        <f t="shared" si="10"/>
        <v>0</v>
      </c>
      <c r="AQ50" s="218">
        <f t="shared" si="10"/>
        <v>0</v>
      </c>
      <c r="AR50" s="218">
        <f t="shared" si="29"/>
        <v>0</v>
      </c>
      <c r="AS50" s="218"/>
      <c r="AT50" s="218"/>
      <c r="AU50" s="218"/>
      <c r="AV50" s="218">
        <f t="shared" si="30"/>
        <v>0</v>
      </c>
      <c r="AW50" s="218">
        <f t="shared" si="12"/>
        <v>0</v>
      </c>
      <c r="AX50" s="218">
        <v>0</v>
      </c>
      <c r="AY50" s="218">
        <f t="shared" si="13"/>
        <v>0</v>
      </c>
    </row>
    <row r="51" spans="2:305" collapsed="1" x14ac:dyDescent="0.2">
      <c r="B51" s="126" t="s">
        <v>386</v>
      </c>
      <c r="C51" s="120">
        <f t="shared" ref="C51:X51" si="37">+C19-C35</f>
        <v>4673</v>
      </c>
      <c r="D51" s="120">
        <f t="shared" si="37"/>
        <v>2862</v>
      </c>
      <c r="E51" s="120">
        <f t="shared" si="37"/>
        <v>1939</v>
      </c>
      <c r="F51" s="120">
        <f t="shared" si="37"/>
        <v>1909</v>
      </c>
      <c r="G51" s="120">
        <f t="shared" si="37"/>
        <v>2935</v>
      </c>
      <c r="H51" s="120">
        <f t="shared" si="37"/>
        <v>-464</v>
      </c>
      <c r="I51" s="120">
        <f t="shared" si="37"/>
        <v>-2090</v>
      </c>
      <c r="J51" s="120">
        <f t="shared" si="37"/>
        <v>-14866</v>
      </c>
      <c r="K51" s="120">
        <f t="shared" si="37"/>
        <v>578</v>
      </c>
      <c r="L51" s="120">
        <f t="shared" si="37"/>
        <v>-596</v>
      </c>
      <c r="M51" s="120">
        <f t="shared" si="37"/>
        <v>-1101</v>
      </c>
      <c r="N51" s="120">
        <f t="shared" si="37"/>
        <v>-3387</v>
      </c>
      <c r="O51" s="120">
        <f t="shared" si="37"/>
        <v>-674</v>
      </c>
      <c r="P51" s="120">
        <f t="shared" si="37"/>
        <v>-4544</v>
      </c>
      <c r="Q51" s="120">
        <f t="shared" si="37"/>
        <v>-117</v>
      </c>
      <c r="R51" s="120">
        <f t="shared" si="37"/>
        <v>-1210</v>
      </c>
      <c r="S51" s="120">
        <f t="shared" si="37"/>
        <v>-66</v>
      </c>
      <c r="T51" s="120">
        <f t="shared" si="37"/>
        <v>-56</v>
      </c>
      <c r="U51" s="120">
        <f t="shared" si="37"/>
        <v>-380</v>
      </c>
      <c r="V51" s="120">
        <f t="shared" si="37"/>
        <v>-2732</v>
      </c>
      <c r="W51" s="120">
        <f t="shared" si="37"/>
        <v>239</v>
      </c>
      <c r="X51" s="120">
        <f t="shared" si="37"/>
        <v>741</v>
      </c>
      <c r="Y51" s="120">
        <f>+Y19-Y35</f>
        <v>-77</v>
      </c>
      <c r="Z51" s="120">
        <f t="shared" si="36"/>
        <v>-3708</v>
      </c>
      <c r="AA51" s="120">
        <f t="shared" si="36"/>
        <v>173</v>
      </c>
      <c r="AB51" s="120">
        <f t="shared" si="36"/>
        <v>62</v>
      </c>
      <c r="AC51" s="120">
        <f t="shared" si="36"/>
        <v>-232</v>
      </c>
      <c r="AD51" s="120">
        <f t="shared" si="26"/>
        <v>-1488</v>
      </c>
      <c r="AE51" s="120">
        <f t="shared" si="26"/>
        <v>131</v>
      </c>
      <c r="AF51" s="120">
        <f t="shared" si="26"/>
        <v>3694</v>
      </c>
      <c r="AG51" s="120">
        <f t="shared" si="26"/>
        <v>336</v>
      </c>
      <c r="AH51" s="120">
        <f t="shared" si="23"/>
        <v>2312</v>
      </c>
      <c r="AI51" s="120">
        <f t="shared" si="27"/>
        <v>-114</v>
      </c>
      <c r="AJ51" s="120">
        <f t="shared" si="27"/>
        <v>-170</v>
      </c>
      <c r="AK51" s="120">
        <f t="shared" si="24"/>
        <v>-151</v>
      </c>
      <c r="AL51" s="120">
        <f t="shared" si="24"/>
        <v>6438</v>
      </c>
      <c r="AM51" s="120">
        <f t="shared" si="10"/>
        <v>655</v>
      </c>
      <c r="AN51" s="120">
        <f t="shared" si="10"/>
        <v>2731</v>
      </c>
      <c r="AO51" s="120">
        <f t="shared" si="10"/>
        <v>187</v>
      </c>
      <c r="AP51" s="120">
        <f t="shared" si="10"/>
        <v>-1603</v>
      </c>
      <c r="AQ51" s="120">
        <f t="shared" si="10"/>
        <v>137</v>
      </c>
      <c r="AR51" s="120">
        <f t="shared" si="29"/>
        <v>76</v>
      </c>
      <c r="AS51" s="120">
        <f>+AS19-AS35</f>
        <v>-185</v>
      </c>
      <c r="AT51" s="120">
        <f>+AT19-AT35</f>
        <v>-178</v>
      </c>
      <c r="AU51" s="120">
        <v>284</v>
      </c>
      <c r="AV51" s="120">
        <f t="shared" si="30"/>
        <v>70</v>
      </c>
      <c r="AW51" s="120">
        <f t="shared" si="12"/>
        <v>474</v>
      </c>
      <c r="AX51" s="120">
        <v>-184</v>
      </c>
      <c r="AY51" s="120">
        <f t="shared" si="13"/>
        <v>964</v>
      </c>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c r="IW51" s="25"/>
      <c r="IX51" s="25"/>
      <c r="IY51" s="25"/>
      <c r="IZ51" s="25"/>
      <c r="JA51" s="25"/>
      <c r="JB51" s="25"/>
      <c r="JC51" s="25"/>
      <c r="JD51" s="25"/>
      <c r="JE51" s="25"/>
      <c r="JF51" s="25"/>
      <c r="JG51" s="25"/>
      <c r="JH51" s="25"/>
      <c r="JI51" s="25"/>
      <c r="JJ51" s="25"/>
      <c r="JK51" s="25"/>
      <c r="JL51" s="25"/>
      <c r="JM51" s="25"/>
      <c r="JN51" s="25"/>
      <c r="JO51" s="25"/>
      <c r="JP51" s="25"/>
      <c r="JQ51" s="25"/>
      <c r="JR51" s="25"/>
      <c r="JS51" s="25"/>
      <c r="JT51" s="25"/>
      <c r="JU51" s="25"/>
      <c r="JV51" s="25"/>
      <c r="JW51" s="25"/>
      <c r="JX51" s="25"/>
      <c r="JY51" s="25"/>
      <c r="JZ51" s="25"/>
      <c r="KA51" s="25"/>
      <c r="KB51" s="25"/>
      <c r="KC51" s="25"/>
      <c r="KD51" s="25"/>
      <c r="KE51" s="25"/>
      <c r="KF51" s="25"/>
      <c r="KG51" s="25"/>
      <c r="KH51" s="25"/>
      <c r="KI51" s="25"/>
      <c r="KJ51" s="25"/>
      <c r="KK51" s="25"/>
      <c r="KL51" s="25"/>
      <c r="KM51" s="25"/>
      <c r="KN51" s="25"/>
      <c r="KO51" s="25"/>
      <c r="KP51" s="25"/>
      <c r="KQ51" s="25"/>
      <c r="KR51" s="25"/>
      <c r="KS51" s="25"/>
    </row>
    <row r="52" spans="2:305" x14ac:dyDescent="0.2">
      <c r="B52" s="153"/>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c r="AY52" s="154"/>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c r="IX52" s="25"/>
      <c r="IY52" s="25"/>
      <c r="IZ52" s="25"/>
      <c r="JA52" s="25"/>
      <c r="JB52" s="25"/>
      <c r="JC52" s="25"/>
      <c r="JD52" s="25"/>
      <c r="JE52" s="25"/>
      <c r="JF52" s="25"/>
      <c r="JG52" s="25"/>
      <c r="JH52" s="25"/>
      <c r="JI52" s="25"/>
      <c r="JJ52" s="25"/>
      <c r="JK52" s="25"/>
      <c r="JL52" s="25"/>
      <c r="JM52" s="25"/>
      <c r="JN52" s="25"/>
      <c r="JO52" s="25"/>
      <c r="JP52" s="25"/>
      <c r="JQ52" s="25"/>
      <c r="JR52" s="25"/>
      <c r="JS52" s="25"/>
      <c r="JT52" s="25"/>
      <c r="JU52" s="25"/>
      <c r="JV52" s="25"/>
      <c r="JW52" s="25"/>
      <c r="JX52" s="25"/>
      <c r="JY52" s="25"/>
      <c r="JZ52" s="25"/>
      <c r="KA52" s="25"/>
      <c r="KB52" s="25"/>
      <c r="KC52" s="25"/>
      <c r="KD52" s="25"/>
      <c r="KE52" s="25"/>
      <c r="KF52" s="25"/>
      <c r="KG52" s="25"/>
      <c r="KH52" s="25"/>
      <c r="KI52" s="25"/>
      <c r="KJ52" s="25"/>
      <c r="KK52" s="25"/>
      <c r="KL52" s="25"/>
      <c r="KM52" s="25"/>
      <c r="KN52" s="25"/>
      <c r="KO52" s="25"/>
      <c r="KP52" s="25"/>
      <c r="KQ52" s="25"/>
      <c r="KR52" s="25"/>
      <c r="KS52" s="25"/>
    </row>
    <row r="53" spans="2:305" s="27" customFormat="1" ht="12" x14ac:dyDescent="0.2"/>
    <row r="54" spans="2:305" x14ac:dyDescent="0.2">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7"/>
      <c r="AX54" s="167"/>
      <c r="AY54" s="167"/>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c r="IW54" s="25"/>
      <c r="IX54" s="25"/>
      <c r="IY54" s="25"/>
      <c r="IZ54" s="25"/>
      <c r="JA54" s="25"/>
      <c r="JB54" s="25"/>
      <c r="JC54" s="25"/>
      <c r="JD54" s="25"/>
      <c r="JE54" s="25"/>
      <c r="JF54" s="25"/>
      <c r="JG54" s="25"/>
      <c r="JH54" s="25"/>
      <c r="JI54" s="25"/>
      <c r="JJ54" s="25"/>
      <c r="JK54" s="25"/>
      <c r="JL54" s="25"/>
      <c r="JM54" s="25"/>
      <c r="JN54" s="25"/>
      <c r="JO54" s="25"/>
      <c r="JP54" s="25"/>
      <c r="JQ54" s="25"/>
      <c r="JR54" s="25"/>
      <c r="JS54" s="25"/>
      <c r="JT54" s="25"/>
      <c r="JU54" s="25"/>
      <c r="JV54" s="25"/>
      <c r="JW54" s="25"/>
      <c r="JX54" s="25"/>
      <c r="JY54" s="25"/>
      <c r="JZ54" s="25"/>
      <c r="KA54" s="25"/>
      <c r="KB54" s="25"/>
      <c r="KC54" s="25"/>
      <c r="KD54" s="25"/>
      <c r="KE54" s="25"/>
      <c r="KF54" s="25"/>
      <c r="KG54" s="25"/>
      <c r="KH54" s="25"/>
      <c r="KI54" s="25"/>
      <c r="KJ54" s="25"/>
      <c r="KK54" s="25"/>
      <c r="KL54" s="25"/>
      <c r="KM54" s="25"/>
      <c r="KN54" s="25"/>
      <c r="KO54" s="25"/>
      <c r="KP54" s="25"/>
      <c r="KQ54" s="25"/>
      <c r="KR54" s="25"/>
      <c r="KS54" s="25"/>
    </row>
    <row r="55" spans="2:305" ht="15" customHeight="1" x14ac:dyDescent="0.2">
      <c r="B55" s="168"/>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c r="IW55" s="25"/>
      <c r="IX55" s="25"/>
      <c r="IY55" s="25"/>
      <c r="IZ55" s="25"/>
      <c r="JA55" s="25"/>
      <c r="JB55" s="25"/>
      <c r="JC55" s="25"/>
      <c r="JD55" s="25"/>
      <c r="JE55" s="25"/>
      <c r="JF55" s="25"/>
      <c r="JG55" s="25"/>
      <c r="JH55" s="25"/>
      <c r="JI55" s="25"/>
      <c r="JJ55" s="25"/>
      <c r="JK55" s="25"/>
      <c r="JL55" s="25"/>
      <c r="JM55" s="25"/>
      <c r="JN55" s="25"/>
      <c r="JO55" s="25"/>
      <c r="JP55" s="25"/>
      <c r="JQ55" s="25"/>
      <c r="JR55" s="25"/>
      <c r="JS55" s="25"/>
      <c r="JT55" s="25"/>
      <c r="JU55" s="25"/>
      <c r="JV55" s="25"/>
      <c r="JW55" s="25"/>
      <c r="JX55" s="25"/>
      <c r="JY55" s="25"/>
      <c r="JZ55" s="25"/>
      <c r="KA55" s="25"/>
      <c r="KB55" s="25"/>
      <c r="KC55" s="25"/>
      <c r="KD55" s="25"/>
      <c r="KE55" s="25"/>
      <c r="KF55" s="25"/>
      <c r="KG55" s="25"/>
      <c r="KH55" s="25"/>
      <c r="KI55" s="25"/>
      <c r="KJ55" s="25"/>
      <c r="KK55" s="25"/>
      <c r="KL55" s="25"/>
      <c r="KM55" s="25"/>
      <c r="KN55" s="25"/>
      <c r="KO55" s="25"/>
      <c r="KP55" s="25"/>
      <c r="KQ55" s="25"/>
      <c r="KR55" s="25"/>
      <c r="KS55" s="25"/>
    </row>
    <row r="56" spans="2:305" x14ac:dyDescent="0.2">
      <c r="B56" s="168"/>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c r="IW56" s="25"/>
      <c r="IX56" s="25"/>
      <c r="IY56" s="25"/>
      <c r="IZ56" s="25"/>
      <c r="JA56" s="25"/>
      <c r="JB56" s="25"/>
      <c r="JC56" s="25"/>
      <c r="JD56" s="25"/>
      <c r="JE56" s="25"/>
      <c r="JF56" s="25"/>
      <c r="JG56" s="25"/>
      <c r="JH56" s="25"/>
      <c r="JI56" s="25"/>
      <c r="JJ56" s="25"/>
      <c r="JK56" s="25"/>
      <c r="JL56" s="25"/>
      <c r="JM56" s="25"/>
      <c r="JN56" s="25"/>
      <c r="JO56" s="25"/>
      <c r="JP56" s="25"/>
      <c r="JQ56" s="25"/>
      <c r="JR56" s="25"/>
      <c r="JS56" s="25"/>
      <c r="JT56" s="25"/>
      <c r="JU56" s="25"/>
      <c r="JV56" s="25"/>
      <c r="JW56" s="25"/>
      <c r="JX56" s="25"/>
      <c r="JY56" s="25"/>
      <c r="JZ56" s="25"/>
      <c r="KA56" s="25"/>
      <c r="KB56" s="25"/>
      <c r="KC56" s="25"/>
      <c r="KD56" s="25"/>
      <c r="KE56" s="25"/>
      <c r="KF56" s="25"/>
      <c r="KG56" s="25"/>
      <c r="KH56" s="25"/>
      <c r="KI56" s="25"/>
      <c r="KJ56" s="25"/>
      <c r="KK56" s="25"/>
      <c r="KL56" s="25"/>
      <c r="KM56" s="25"/>
      <c r="KN56" s="25"/>
      <c r="KO56" s="25"/>
      <c r="KP56" s="25"/>
      <c r="KQ56" s="25"/>
      <c r="KR56" s="25"/>
      <c r="KS56" s="25"/>
    </row>
    <row r="57" spans="2:305" x14ac:dyDescent="0.2">
      <c r="B57" s="168"/>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c r="HP57" s="25"/>
      <c r="HQ57" s="25"/>
      <c r="HR57" s="25"/>
      <c r="HS57" s="25"/>
      <c r="HT57" s="25"/>
      <c r="HU57" s="25"/>
      <c r="HV57" s="25"/>
      <c r="HW57" s="25"/>
      <c r="HX57" s="25"/>
      <c r="HY57" s="25"/>
      <c r="HZ57" s="25"/>
      <c r="IA57" s="25"/>
      <c r="IB57" s="25"/>
      <c r="IC57" s="25"/>
      <c r="ID57" s="25"/>
      <c r="IE57" s="25"/>
      <c r="IF57" s="25"/>
      <c r="IG57" s="25"/>
      <c r="IH57" s="25"/>
      <c r="II57" s="25"/>
      <c r="IJ57" s="25"/>
      <c r="IK57" s="25"/>
      <c r="IL57" s="25"/>
      <c r="IM57" s="25"/>
      <c r="IN57" s="25"/>
      <c r="IO57" s="25"/>
      <c r="IP57" s="25"/>
      <c r="IQ57" s="25"/>
      <c r="IR57" s="25"/>
      <c r="IS57" s="25"/>
      <c r="IT57" s="25"/>
      <c r="IU57" s="25"/>
      <c r="IV57" s="25"/>
      <c r="IW57" s="25"/>
      <c r="IX57" s="25"/>
      <c r="IY57" s="25"/>
      <c r="IZ57" s="25"/>
      <c r="JA57" s="25"/>
      <c r="JB57" s="25"/>
      <c r="JC57" s="25"/>
      <c r="JD57" s="25"/>
      <c r="JE57" s="25"/>
      <c r="JF57" s="25"/>
      <c r="JG57" s="25"/>
      <c r="JH57" s="25"/>
      <c r="JI57" s="25"/>
      <c r="JJ57" s="25"/>
      <c r="JK57" s="25"/>
      <c r="JL57" s="25"/>
      <c r="JM57" s="25"/>
      <c r="JN57" s="25"/>
      <c r="JO57" s="25"/>
      <c r="JP57" s="25"/>
      <c r="JQ57" s="25"/>
      <c r="JR57" s="25"/>
      <c r="JS57" s="25"/>
      <c r="JT57" s="25"/>
      <c r="JU57" s="25"/>
      <c r="JV57" s="25"/>
      <c r="JW57" s="25"/>
      <c r="JX57" s="25"/>
      <c r="JY57" s="25"/>
      <c r="JZ57" s="25"/>
      <c r="KA57" s="25"/>
      <c r="KB57" s="25"/>
      <c r="KC57" s="25"/>
      <c r="KD57" s="25"/>
      <c r="KE57" s="25"/>
      <c r="KF57" s="25"/>
      <c r="KG57" s="25"/>
      <c r="KH57" s="25"/>
      <c r="KI57" s="25"/>
      <c r="KJ57" s="25"/>
      <c r="KK57" s="25"/>
      <c r="KL57" s="25"/>
      <c r="KM57" s="25"/>
      <c r="KN57" s="25"/>
      <c r="KO57" s="25"/>
      <c r="KP57" s="25"/>
      <c r="KQ57" s="25"/>
      <c r="KR57" s="25"/>
      <c r="KS57" s="25"/>
    </row>
    <row r="58" spans="2:305" x14ac:dyDescent="0.2">
      <c r="B58" s="168"/>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c r="IW58" s="25"/>
      <c r="IX58" s="25"/>
      <c r="IY58" s="25"/>
      <c r="IZ58" s="25"/>
      <c r="JA58" s="25"/>
      <c r="JB58" s="25"/>
      <c r="JC58" s="25"/>
      <c r="JD58" s="25"/>
      <c r="JE58" s="25"/>
      <c r="JF58" s="25"/>
      <c r="JG58" s="25"/>
      <c r="JH58" s="25"/>
      <c r="JI58" s="25"/>
      <c r="JJ58" s="25"/>
      <c r="JK58" s="25"/>
      <c r="JL58" s="25"/>
      <c r="JM58" s="25"/>
      <c r="JN58" s="25"/>
      <c r="JO58" s="25"/>
      <c r="JP58" s="25"/>
      <c r="JQ58" s="25"/>
      <c r="JR58" s="25"/>
      <c r="JS58" s="25"/>
      <c r="JT58" s="25"/>
      <c r="JU58" s="25"/>
      <c r="JV58" s="25"/>
      <c r="JW58" s="25"/>
      <c r="JX58" s="25"/>
      <c r="JY58" s="25"/>
      <c r="JZ58" s="25"/>
      <c r="KA58" s="25"/>
      <c r="KB58" s="25"/>
      <c r="KC58" s="25"/>
      <c r="KD58" s="25"/>
      <c r="KE58" s="25"/>
      <c r="KF58" s="25"/>
      <c r="KG58" s="25"/>
      <c r="KH58" s="25"/>
      <c r="KI58" s="25"/>
      <c r="KJ58" s="25"/>
      <c r="KK58" s="25"/>
      <c r="KL58" s="25"/>
      <c r="KM58" s="25"/>
      <c r="KN58" s="25"/>
      <c r="KO58" s="25"/>
      <c r="KP58" s="25"/>
      <c r="KQ58" s="25"/>
      <c r="KR58" s="25"/>
      <c r="KS58" s="25"/>
    </row>
    <row r="59" spans="2:305" ht="15" customHeight="1" x14ac:dyDescent="0.2">
      <c r="B59" s="168"/>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c r="IW59" s="25"/>
      <c r="IX59" s="25"/>
      <c r="IY59" s="25"/>
      <c r="IZ59" s="25"/>
      <c r="JA59" s="25"/>
      <c r="JB59" s="25"/>
      <c r="JC59" s="25"/>
      <c r="JD59" s="25"/>
      <c r="JE59" s="25"/>
      <c r="JF59" s="25"/>
      <c r="JG59" s="25"/>
      <c r="JH59" s="25"/>
      <c r="JI59" s="25"/>
      <c r="JJ59" s="25"/>
      <c r="JK59" s="25"/>
      <c r="JL59" s="25"/>
      <c r="JM59" s="25"/>
      <c r="JN59" s="25"/>
      <c r="JO59" s="25"/>
      <c r="JP59" s="25"/>
      <c r="JQ59" s="25"/>
      <c r="JR59" s="25"/>
      <c r="JS59" s="25"/>
      <c r="JT59" s="25"/>
      <c r="JU59" s="25"/>
      <c r="JV59" s="25"/>
      <c r="JW59" s="25"/>
      <c r="JX59" s="25"/>
      <c r="JY59" s="25"/>
      <c r="JZ59" s="25"/>
      <c r="KA59" s="25"/>
      <c r="KB59" s="25"/>
      <c r="KC59" s="25"/>
      <c r="KD59" s="25"/>
      <c r="KE59" s="25"/>
      <c r="KF59" s="25"/>
      <c r="KG59" s="25"/>
      <c r="KH59" s="25"/>
      <c r="KI59" s="25"/>
      <c r="KJ59" s="25"/>
      <c r="KK59" s="25"/>
      <c r="KL59" s="25"/>
      <c r="KM59" s="25"/>
      <c r="KN59" s="25"/>
      <c r="KO59" s="25"/>
      <c r="KP59" s="25"/>
      <c r="KQ59" s="25"/>
      <c r="KR59" s="25"/>
      <c r="KS59" s="25"/>
    </row>
    <row r="60" spans="2:305" ht="15" customHeight="1" x14ac:dyDescent="0.2">
      <c r="B60" s="168"/>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c r="IW60" s="25"/>
      <c r="IX60" s="25"/>
      <c r="IY60" s="25"/>
      <c r="IZ60" s="25"/>
      <c r="JA60" s="25"/>
      <c r="JB60" s="25"/>
      <c r="JC60" s="25"/>
      <c r="JD60" s="25"/>
      <c r="JE60" s="25"/>
      <c r="JF60" s="25"/>
      <c r="JG60" s="25"/>
      <c r="JH60" s="25"/>
      <c r="JI60" s="25"/>
      <c r="JJ60" s="25"/>
      <c r="JK60" s="25"/>
      <c r="JL60" s="25"/>
      <c r="JM60" s="25"/>
      <c r="JN60" s="25"/>
      <c r="JO60" s="25"/>
      <c r="JP60" s="25"/>
      <c r="JQ60" s="25"/>
      <c r="JR60" s="25"/>
      <c r="JS60" s="25"/>
      <c r="JT60" s="25"/>
      <c r="JU60" s="25"/>
      <c r="JV60" s="25"/>
      <c r="JW60" s="25"/>
      <c r="JX60" s="25"/>
      <c r="JY60" s="25"/>
      <c r="JZ60" s="25"/>
      <c r="KA60" s="25"/>
      <c r="KB60" s="25"/>
      <c r="KC60" s="25"/>
      <c r="KD60" s="25"/>
      <c r="KE60" s="25"/>
      <c r="KF60" s="25"/>
      <c r="KG60" s="25"/>
      <c r="KH60" s="25"/>
      <c r="KI60" s="25"/>
      <c r="KJ60" s="25"/>
      <c r="KK60" s="25"/>
      <c r="KL60" s="25"/>
      <c r="KM60" s="25"/>
      <c r="KN60" s="25"/>
      <c r="KO60" s="25"/>
      <c r="KP60" s="25"/>
      <c r="KQ60" s="25"/>
      <c r="KR60" s="25"/>
      <c r="KS60" s="25"/>
    </row>
    <row r="61" spans="2:305" x14ac:dyDescent="0.2">
      <c r="B61" s="168"/>
      <c r="C61" s="169"/>
      <c r="D61" s="169"/>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25"/>
      <c r="JH61" s="25"/>
      <c r="JI61" s="25"/>
      <c r="JJ61" s="25"/>
      <c r="JK61" s="25"/>
      <c r="JL61" s="25"/>
      <c r="JM61" s="25"/>
      <c r="JN61" s="25"/>
      <c r="JO61" s="25"/>
      <c r="JP61" s="25"/>
      <c r="JQ61" s="25"/>
      <c r="JR61" s="25"/>
      <c r="JS61" s="25"/>
      <c r="JT61" s="25"/>
      <c r="JU61" s="25"/>
      <c r="JV61" s="25"/>
      <c r="JW61" s="25"/>
      <c r="JX61" s="25"/>
      <c r="JY61" s="25"/>
      <c r="JZ61" s="25"/>
      <c r="KA61" s="25"/>
      <c r="KB61" s="25"/>
      <c r="KC61" s="25"/>
      <c r="KD61" s="25"/>
      <c r="KE61" s="25"/>
      <c r="KF61" s="25"/>
      <c r="KG61" s="25"/>
      <c r="KH61" s="25"/>
      <c r="KI61" s="25"/>
      <c r="KJ61" s="25"/>
      <c r="KK61" s="25"/>
      <c r="KL61" s="25"/>
      <c r="KM61" s="25"/>
      <c r="KN61" s="25"/>
      <c r="KO61" s="25"/>
      <c r="KP61" s="25"/>
      <c r="KQ61" s="25"/>
      <c r="KR61" s="25"/>
      <c r="KS61" s="25"/>
    </row>
    <row r="62" spans="2:305" ht="15" customHeight="1" x14ac:dyDescent="0.2">
      <c r="B62" s="153"/>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25"/>
      <c r="JH62" s="25"/>
      <c r="JI62" s="25"/>
      <c r="JJ62" s="25"/>
      <c r="JK62" s="25"/>
      <c r="JL62" s="25"/>
      <c r="JM62" s="25"/>
      <c r="JN62" s="25"/>
      <c r="JO62" s="25"/>
      <c r="JP62" s="25"/>
      <c r="JQ62" s="25"/>
      <c r="JR62" s="25"/>
      <c r="JS62" s="25"/>
      <c r="JT62" s="25"/>
      <c r="JU62" s="25"/>
      <c r="JV62" s="25"/>
      <c r="JW62" s="25"/>
      <c r="JX62" s="25"/>
      <c r="JY62" s="25"/>
      <c r="JZ62" s="25"/>
      <c r="KA62" s="25"/>
      <c r="KB62" s="25"/>
      <c r="KC62" s="25"/>
      <c r="KD62" s="25"/>
      <c r="KE62" s="25"/>
      <c r="KF62" s="25"/>
      <c r="KG62" s="25"/>
      <c r="KH62" s="25"/>
      <c r="KI62" s="25"/>
      <c r="KJ62" s="25"/>
      <c r="KK62" s="25"/>
      <c r="KL62" s="25"/>
      <c r="KM62" s="25"/>
      <c r="KN62" s="25"/>
      <c r="KO62" s="25"/>
      <c r="KP62" s="25"/>
      <c r="KQ62" s="25"/>
      <c r="KR62" s="25"/>
      <c r="KS62" s="25"/>
    </row>
    <row r="63" spans="2:305" x14ac:dyDescent="0.2">
      <c r="B63" s="168"/>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c r="IC63" s="25"/>
      <c r="ID63" s="25"/>
      <c r="IE63" s="25"/>
      <c r="IF63" s="25"/>
      <c r="IG63" s="25"/>
      <c r="IH63" s="25"/>
      <c r="II63" s="25"/>
      <c r="IJ63" s="25"/>
      <c r="IK63" s="25"/>
      <c r="IL63" s="25"/>
      <c r="IM63" s="25"/>
      <c r="IN63" s="25"/>
      <c r="IO63" s="25"/>
      <c r="IP63" s="25"/>
      <c r="IQ63" s="25"/>
      <c r="IR63" s="25"/>
      <c r="IS63" s="25"/>
      <c r="IT63" s="25"/>
      <c r="IU63" s="25"/>
      <c r="IV63" s="25"/>
      <c r="IW63" s="25"/>
      <c r="IX63" s="25"/>
      <c r="IY63" s="25"/>
      <c r="IZ63" s="25"/>
      <c r="JA63" s="25"/>
      <c r="JB63" s="25"/>
      <c r="JC63" s="25"/>
      <c r="JD63" s="25"/>
      <c r="JE63" s="25"/>
      <c r="JF63" s="25"/>
      <c r="JG63" s="25"/>
      <c r="JH63" s="25"/>
      <c r="JI63" s="25"/>
      <c r="JJ63" s="25"/>
      <c r="JK63" s="25"/>
      <c r="JL63" s="25"/>
      <c r="JM63" s="25"/>
      <c r="JN63" s="25"/>
      <c r="JO63" s="25"/>
      <c r="JP63" s="25"/>
      <c r="JQ63" s="25"/>
      <c r="JR63" s="25"/>
      <c r="JS63" s="25"/>
      <c r="JT63" s="25"/>
      <c r="JU63" s="25"/>
      <c r="JV63" s="25"/>
      <c r="JW63" s="25"/>
      <c r="JX63" s="25"/>
      <c r="JY63" s="25"/>
      <c r="JZ63" s="25"/>
      <c r="KA63" s="25"/>
      <c r="KB63" s="25"/>
      <c r="KC63" s="25"/>
      <c r="KD63" s="25"/>
      <c r="KE63" s="25"/>
      <c r="KF63" s="25"/>
      <c r="KG63" s="25"/>
      <c r="KH63" s="25"/>
      <c r="KI63" s="25"/>
      <c r="KJ63" s="25"/>
      <c r="KK63" s="25"/>
      <c r="KL63" s="25"/>
      <c r="KM63" s="25"/>
      <c r="KN63" s="25"/>
      <c r="KO63" s="25"/>
      <c r="KP63" s="25"/>
      <c r="KQ63" s="25"/>
      <c r="KR63" s="25"/>
      <c r="KS63" s="25"/>
    </row>
    <row r="64" spans="2:305" ht="15.75" customHeight="1" x14ac:dyDescent="0.2">
      <c r="B64" s="168"/>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c r="GU64" s="25"/>
      <c r="GV64" s="25"/>
      <c r="GW64" s="25"/>
      <c r="GX64" s="25"/>
      <c r="GY64" s="25"/>
      <c r="GZ64" s="25"/>
      <c r="HA64" s="25"/>
      <c r="HB64" s="25"/>
      <c r="HC64" s="25"/>
      <c r="HD64" s="25"/>
      <c r="HE64" s="25"/>
      <c r="HF64" s="25"/>
      <c r="HG64" s="25"/>
      <c r="HH64" s="25"/>
      <c r="HI64" s="25"/>
      <c r="HJ64" s="25"/>
      <c r="HK64" s="25"/>
      <c r="HL64" s="25"/>
      <c r="HM64" s="25"/>
      <c r="HN64" s="25"/>
      <c r="HO64" s="25"/>
      <c r="HP64" s="25"/>
      <c r="HQ64" s="25"/>
      <c r="HR64" s="25"/>
      <c r="HS64" s="25"/>
      <c r="HT64" s="25"/>
      <c r="HU64" s="25"/>
      <c r="HV64" s="25"/>
      <c r="HW64" s="25"/>
      <c r="HX64" s="25"/>
      <c r="HY64" s="25"/>
      <c r="HZ64" s="25"/>
      <c r="IA64" s="25"/>
      <c r="IB64" s="25"/>
      <c r="IC64" s="25"/>
      <c r="ID64" s="25"/>
      <c r="IE64" s="25"/>
      <c r="IF64" s="25"/>
      <c r="IG64" s="25"/>
      <c r="IH64" s="25"/>
      <c r="II64" s="25"/>
      <c r="IJ64" s="25"/>
      <c r="IK64" s="25"/>
      <c r="IL64" s="25"/>
      <c r="IM64" s="25"/>
      <c r="IN64" s="25"/>
      <c r="IO64" s="25"/>
      <c r="IP64" s="25"/>
      <c r="IQ64" s="25"/>
      <c r="IR64" s="25"/>
      <c r="IS64" s="25"/>
      <c r="IT64" s="25"/>
      <c r="IU64" s="25"/>
      <c r="IV64" s="25"/>
      <c r="IW64" s="25"/>
      <c r="IX64" s="25"/>
      <c r="IY64" s="25"/>
      <c r="IZ64" s="25"/>
      <c r="JA64" s="25"/>
      <c r="JB64" s="25"/>
      <c r="JC64" s="25"/>
      <c r="JD64" s="25"/>
      <c r="JE64" s="25"/>
      <c r="JF64" s="25"/>
      <c r="JG64" s="25"/>
      <c r="JH64" s="25"/>
      <c r="JI64" s="25"/>
      <c r="JJ64" s="25"/>
      <c r="JK64" s="25"/>
      <c r="JL64" s="25"/>
      <c r="JM64" s="25"/>
      <c r="JN64" s="25"/>
      <c r="JO64" s="25"/>
      <c r="JP64" s="25"/>
      <c r="JQ64" s="25"/>
      <c r="JR64" s="25"/>
      <c r="JS64" s="25"/>
      <c r="JT64" s="25"/>
      <c r="JU64" s="25"/>
      <c r="JV64" s="25"/>
      <c r="JW64" s="25"/>
      <c r="JX64" s="25"/>
      <c r="JY64" s="25"/>
      <c r="JZ64" s="25"/>
      <c r="KA64" s="25"/>
      <c r="KB64" s="25"/>
      <c r="KC64" s="25"/>
      <c r="KD64" s="25"/>
      <c r="KE64" s="25"/>
      <c r="KF64" s="25"/>
      <c r="KG64" s="25"/>
      <c r="KH64" s="25"/>
      <c r="KI64" s="25"/>
      <c r="KJ64" s="25"/>
      <c r="KK64" s="25"/>
      <c r="KL64" s="25"/>
      <c r="KM64" s="25"/>
      <c r="KN64" s="25"/>
      <c r="KO64" s="25"/>
      <c r="KP64" s="25"/>
      <c r="KQ64" s="25"/>
      <c r="KR64" s="25"/>
      <c r="KS64" s="25"/>
    </row>
    <row r="65" spans="2:305" x14ac:dyDescent="0.2">
      <c r="B65" s="168"/>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c r="GU65" s="25"/>
      <c r="GV65" s="25"/>
      <c r="GW65" s="25"/>
      <c r="GX65" s="25"/>
      <c r="GY65" s="25"/>
      <c r="GZ65" s="25"/>
      <c r="HA65" s="25"/>
      <c r="HB65" s="25"/>
      <c r="HC65" s="25"/>
      <c r="HD65" s="25"/>
      <c r="HE65" s="25"/>
      <c r="HF65" s="25"/>
      <c r="HG65" s="25"/>
      <c r="HH65" s="25"/>
      <c r="HI65" s="25"/>
      <c r="HJ65" s="25"/>
      <c r="HK65" s="25"/>
      <c r="HL65" s="25"/>
      <c r="HM65" s="25"/>
      <c r="HN65" s="25"/>
      <c r="HO65" s="25"/>
      <c r="HP65" s="25"/>
      <c r="HQ65" s="25"/>
      <c r="HR65" s="25"/>
      <c r="HS65" s="25"/>
      <c r="HT65" s="25"/>
      <c r="HU65" s="25"/>
      <c r="HV65" s="25"/>
      <c r="HW65" s="25"/>
      <c r="HX65" s="25"/>
      <c r="HY65" s="25"/>
      <c r="HZ65" s="25"/>
      <c r="IA65" s="25"/>
      <c r="IB65" s="25"/>
      <c r="IC65" s="25"/>
      <c r="ID65" s="25"/>
      <c r="IE65" s="25"/>
      <c r="IF65" s="25"/>
      <c r="IG65" s="25"/>
      <c r="IH65" s="25"/>
      <c r="II65" s="25"/>
      <c r="IJ65" s="25"/>
      <c r="IK65" s="25"/>
      <c r="IL65" s="25"/>
      <c r="IM65" s="25"/>
      <c r="IN65" s="25"/>
      <c r="IO65" s="25"/>
      <c r="IP65" s="25"/>
      <c r="IQ65" s="25"/>
      <c r="IR65" s="25"/>
      <c r="IS65" s="25"/>
      <c r="IT65" s="25"/>
      <c r="IU65" s="25"/>
      <c r="IV65" s="25"/>
      <c r="IW65" s="25"/>
      <c r="IX65" s="25"/>
      <c r="IY65" s="25"/>
      <c r="IZ65" s="25"/>
      <c r="JA65" s="25"/>
      <c r="JB65" s="25"/>
      <c r="JC65" s="25"/>
      <c r="JD65" s="25"/>
      <c r="JE65" s="25"/>
      <c r="JF65" s="25"/>
      <c r="JG65" s="25"/>
      <c r="JH65" s="25"/>
      <c r="JI65" s="25"/>
      <c r="JJ65" s="25"/>
      <c r="JK65" s="25"/>
      <c r="JL65" s="25"/>
      <c r="JM65" s="25"/>
      <c r="JN65" s="25"/>
      <c r="JO65" s="25"/>
      <c r="JP65" s="25"/>
      <c r="JQ65" s="25"/>
      <c r="JR65" s="25"/>
      <c r="JS65" s="25"/>
      <c r="JT65" s="25"/>
      <c r="JU65" s="25"/>
      <c r="JV65" s="25"/>
      <c r="JW65" s="25"/>
      <c r="JX65" s="25"/>
      <c r="JY65" s="25"/>
      <c r="JZ65" s="25"/>
      <c r="KA65" s="25"/>
      <c r="KB65" s="25"/>
      <c r="KC65" s="25"/>
      <c r="KD65" s="25"/>
      <c r="KE65" s="25"/>
      <c r="KF65" s="25"/>
      <c r="KG65" s="25"/>
      <c r="KH65" s="25"/>
      <c r="KI65" s="25"/>
      <c r="KJ65" s="25"/>
      <c r="KK65" s="25"/>
      <c r="KL65" s="25"/>
      <c r="KM65" s="25"/>
      <c r="KN65" s="25"/>
      <c r="KO65" s="25"/>
      <c r="KP65" s="25"/>
      <c r="KQ65" s="25"/>
      <c r="KR65" s="25"/>
      <c r="KS65" s="25"/>
    </row>
    <row r="66" spans="2:305" x14ac:dyDescent="0.2">
      <c r="B66" s="168"/>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c r="FW66" s="25"/>
      <c r="FX66" s="25"/>
      <c r="FY66" s="25"/>
      <c r="FZ66" s="25"/>
      <c r="GA66" s="25"/>
      <c r="GB66" s="25"/>
      <c r="GC66" s="25"/>
      <c r="GD66" s="25"/>
      <c r="GE66" s="25"/>
      <c r="GF66" s="25"/>
      <c r="GG66" s="25"/>
      <c r="GH66" s="25"/>
      <c r="GI66" s="25"/>
      <c r="GJ66" s="25"/>
      <c r="GK66" s="25"/>
      <c r="GL66" s="25"/>
      <c r="GM66" s="25"/>
      <c r="GN66" s="25"/>
      <c r="GO66" s="25"/>
      <c r="GP66" s="25"/>
      <c r="GQ66" s="25"/>
      <c r="GR66" s="25"/>
      <c r="GS66" s="25"/>
      <c r="GT66" s="25"/>
      <c r="GU66" s="25"/>
      <c r="GV66" s="25"/>
      <c r="GW66" s="25"/>
      <c r="GX66" s="25"/>
      <c r="GY66" s="25"/>
      <c r="GZ66" s="25"/>
      <c r="HA66" s="25"/>
      <c r="HB66" s="25"/>
      <c r="HC66" s="25"/>
      <c r="HD66" s="25"/>
      <c r="HE66" s="25"/>
      <c r="HF66" s="25"/>
      <c r="HG66" s="25"/>
      <c r="HH66" s="25"/>
      <c r="HI66" s="25"/>
      <c r="HJ66" s="25"/>
      <c r="HK66" s="25"/>
      <c r="HL66" s="25"/>
      <c r="HM66" s="25"/>
      <c r="HN66" s="25"/>
      <c r="HO66" s="25"/>
      <c r="HP66" s="25"/>
      <c r="HQ66" s="25"/>
      <c r="HR66" s="25"/>
      <c r="HS66" s="25"/>
      <c r="HT66" s="25"/>
      <c r="HU66" s="25"/>
      <c r="HV66" s="25"/>
      <c r="HW66" s="25"/>
      <c r="HX66" s="25"/>
      <c r="HY66" s="25"/>
      <c r="HZ66" s="25"/>
      <c r="IA66" s="25"/>
      <c r="IB66" s="25"/>
      <c r="IC66" s="25"/>
      <c r="ID66" s="25"/>
      <c r="IE66" s="25"/>
      <c r="IF66" s="25"/>
      <c r="IG66" s="25"/>
      <c r="IH66" s="25"/>
      <c r="II66" s="25"/>
      <c r="IJ66" s="25"/>
      <c r="IK66" s="25"/>
      <c r="IL66" s="25"/>
      <c r="IM66" s="25"/>
      <c r="IN66" s="25"/>
      <c r="IO66" s="25"/>
      <c r="IP66" s="25"/>
      <c r="IQ66" s="25"/>
      <c r="IR66" s="25"/>
      <c r="IS66" s="25"/>
      <c r="IT66" s="25"/>
      <c r="IU66" s="25"/>
      <c r="IV66" s="25"/>
      <c r="IW66" s="25"/>
      <c r="IX66" s="25"/>
      <c r="IY66" s="25"/>
      <c r="IZ66" s="25"/>
      <c r="JA66" s="25"/>
      <c r="JB66" s="25"/>
      <c r="JC66" s="25"/>
      <c r="JD66" s="25"/>
      <c r="JE66" s="25"/>
      <c r="JF66" s="25"/>
      <c r="JG66" s="25"/>
      <c r="JH66" s="25"/>
      <c r="JI66" s="25"/>
      <c r="JJ66" s="25"/>
      <c r="JK66" s="25"/>
      <c r="JL66" s="25"/>
      <c r="JM66" s="25"/>
      <c r="JN66" s="25"/>
      <c r="JO66" s="25"/>
      <c r="JP66" s="25"/>
      <c r="JQ66" s="25"/>
      <c r="JR66" s="25"/>
      <c r="JS66" s="25"/>
      <c r="JT66" s="25"/>
      <c r="JU66" s="25"/>
      <c r="JV66" s="25"/>
      <c r="JW66" s="25"/>
      <c r="JX66" s="25"/>
      <c r="JY66" s="25"/>
      <c r="JZ66" s="25"/>
      <c r="KA66" s="25"/>
      <c r="KB66" s="25"/>
      <c r="KC66" s="25"/>
      <c r="KD66" s="25"/>
      <c r="KE66" s="25"/>
      <c r="KF66" s="25"/>
      <c r="KG66" s="25"/>
      <c r="KH66" s="25"/>
      <c r="KI66" s="25"/>
      <c r="KJ66" s="25"/>
      <c r="KK66" s="25"/>
      <c r="KL66" s="25"/>
      <c r="KM66" s="25"/>
      <c r="KN66" s="25"/>
      <c r="KO66" s="25"/>
      <c r="KP66" s="25"/>
      <c r="KQ66" s="25"/>
      <c r="KR66" s="25"/>
      <c r="KS66" s="25"/>
    </row>
    <row r="67" spans="2:305" x14ac:dyDescent="0.2">
      <c r="B67" s="168"/>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c r="HP67" s="25"/>
      <c r="HQ67" s="25"/>
      <c r="HR67" s="25"/>
      <c r="HS67" s="25"/>
      <c r="HT67" s="25"/>
      <c r="HU67" s="25"/>
      <c r="HV67" s="25"/>
      <c r="HW67" s="25"/>
      <c r="HX67" s="25"/>
      <c r="HY67" s="25"/>
      <c r="HZ67" s="25"/>
      <c r="IA67" s="25"/>
      <c r="IB67" s="25"/>
      <c r="IC67" s="25"/>
      <c r="ID67" s="25"/>
      <c r="IE67" s="25"/>
      <c r="IF67" s="25"/>
      <c r="IG67" s="25"/>
      <c r="IH67" s="25"/>
      <c r="II67" s="25"/>
      <c r="IJ67" s="25"/>
      <c r="IK67" s="25"/>
      <c r="IL67" s="25"/>
      <c r="IM67" s="25"/>
      <c r="IN67" s="25"/>
      <c r="IO67" s="25"/>
      <c r="IP67" s="25"/>
      <c r="IQ67" s="25"/>
      <c r="IR67" s="25"/>
      <c r="IS67" s="25"/>
      <c r="IT67" s="25"/>
      <c r="IU67" s="25"/>
      <c r="IV67" s="25"/>
      <c r="IW67" s="25"/>
      <c r="IX67" s="25"/>
      <c r="IY67" s="25"/>
      <c r="IZ67" s="25"/>
      <c r="JA67" s="25"/>
      <c r="JB67" s="25"/>
      <c r="JC67" s="25"/>
      <c r="JD67" s="25"/>
      <c r="JE67" s="25"/>
      <c r="JF67" s="25"/>
      <c r="JG67" s="25"/>
      <c r="JH67" s="25"/>
      <c r="JI67" s="25"/>
      <c r="JJ67" s="25"/>
      <c r="JK67" s="25"/>
      <c r="JL67" s="25"/>
      <c r="JM67" s="25"/>
      <c r="JN67" s="25"/>
      <c r="JO67" s="25"/>
      <c r="JP67" s="25"/>
      <c r="JQ67" s="25"/>
      <c r="JR67" s="25"/>
      <c r="JS67" s="25"/>
      <c r="JT67" s="25"/>
      <c r="JU67" s="25"/>
      <c r="JV67" s="25"/>
      <c r="JW67" s="25"/>
      <c r="JX67" s="25"/>
      <c r="JY67" s="25"/>
      <c r="JZ67" s="25"/>
      <c r="KA67" s="25"/>
      <c r="KB67" s="25"/>
      <c r="KC67" s="25"/>
      <c r="KD67" s="25"/>
      <c r="KE67" s="25"/>
      <c r="KF67" s="25"/>
      <c r="KG67" s="25"/>
      <c r="KH67" s="25"/>
      <c r="KI67" s="25"/>
      <c r="KJ67" s="25"/>
      <c r="KK67" s="25"/>
      <c r="KL67" s="25"/>
      <c r="KM67" s="25"/>
      <c r="KN67" s="25"/>
      <c r="KO67" s="25"/>
      <c r="KP67" s="25"/>
      <c r="KQ67" s="25"/>
      <c r="KR67" s="25"/>
      <c r="KS67" s="25"/>
    </row>
    <row r="68" spans="2:305" x14ac:dyDescent="0.2">
      <c r="B68" s="168"/>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c r="IW68" s="25"/>
      <c r="IX68" s="25"/>
      <c r="IY68" s="25"/>
      <c r="IZ68" s="25"/>
      <c r="JA68" s="25"/>
      <c r="JB68" s="25"/>
      <c r="JC68" s="25"/>
      <c r="JD68" s="25"/>
      <c r="JE68" s="25"/>
      <c r="JF68" s="25"/>
      <c r="JG68" s="25"/>
      <c r="JH68" s="25"/>
      <c r="JI68" s="25"/>
      <c r="JJ68" s="25"/>
      <c r="JK68" s="25"/>
      <c r="JL68" s="25"/>
      <c r="JM68" s="25"/>
      <c r="JN68" s="25"/>
      <c r="JO68" s="25"/>
      <c r="JP68" s="25"/>
      <c r="JQ68" s="25"/>
      <c r="JR68" s="25"/>
      <c r="JS68" s="25"/>
      <c r="JT68" s="25"/>
      <c r="JU68" s="25"/>
      <c r="JV68" s="25"/>
      <c r="JW68" s="25"/>
      <c r="JX68" s="25"/>
      <c r="JY68" s="25"/>
      <c r="JZ68" s="25"/>
      <c r="KA68" s="25"/>
      <c r="KB68" s="25"/>
      <c r="KC68" s="25"/>
      <c r="KD68" s="25"/>
      <c r="KE68" s="25"/>
      <c r="KF68" s="25"/>
      <c r="KG68" s="25"/>
      <c r="KH68" s="25"/>
      <c r="KI68" s="25"/>
      <c r="KJ68" s="25"/>
      <c r="KK68" s="25"/>
      <c r="KL68" s="25"/>
      <c r="KM68" s="25"/>
      <c r="KN68" s="25"/>
      <c r="KO68" s="25"/>
      <c r="KP68" s="25"/>
      <c r="KQ68" s="25"/>
      <c r="KR68" s="25"/>
      <c r="KS68" s="25"/>
    </row>
    <row r="69" spans="2:305" x14ac:dyDescent="0.2">
      <c r="B69" s="153"/>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c r="AR69" s="154"/>
      <c r="AS69" s="154"/>
      <c r="AT69" s="154"/>
      <c r="AU69" s="154"/>
      <c r="AV69" s="154"/>
      <c r="AW69" s="154"/>
      <c r="AX69" s="154"/>
      <c r="AY69" s="154"/>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25"/>
      <c r="DS69" s="25"/>
      <c r="DT69" s="25"/>
      <c r="DU69" s="25"/>
      <c r="DV69" s="25"/>
      <c r="DW69" s="25"/>
      <c r="DX69" s="25"/>
      <c r="DY69" s="25"/>
      <c r="DZ69" s="25"/>
      <c r="EA69" s="25"/>
      <c r="EB69" s="25"/>
      <c r="EC69" s="25"/>
      <c r="ED69" s="25"/>
      <c r="EE69" s="25"/>
      <c r="EF69" s="25"/>
      <c r="EG69" s="25"/>
      <c r="EH69" s="25"/>
      <c r="EI69" s="25"/>
      <c r="EJ69" s="25"/>
      <c r="EK69" s="25"/>
      <c r="EL69" s="25"/>
      <c r="EM69" s="25"/>
      <c r="EN69" s="25"/>
      <c r="EO69" s="25"/>
      <c r="EP69" s="25"/>
      <c r="EQ69" s="25"/>
      <c r="ER69" s="25"/>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W69" s="25"/>
      <c r="GX69" s="25"/>
      <c r="GY69" s="25"/>
      <c r="GZ69" s="25"/>
      <c r="HA69" s="25"/>
      <c r="HB69" s="25"/>
      <c r="HC69" s="25"/>
      <c r="HD69" s="25"/>
      <c r="HE69" s="25"/>
      <c r="HF69" s="25"/>
      <c r="HG69" s="25"/>
      <c r="HH69" s="25"/>
      <c r="HI69" s="25"/>
      <c r="HJ69" s="25"/>
      <c r="HK69" s="25"/>
      <c r="HL69" s="25"/>
      <c r="HM69" s="25"/>
      <c r="HN69" s="25"/>
      <c r="HO69" s="25"/>
      <c r="HP69" s="25"/>
      <c r="HQ69" s="25"/>
      <c r="HR69" s="25"/>
      <c r="HS69" s="25"/>
      <c r="HT69" s="25"/>
      <c r="HU69" s="25"/>
      <c r="HV69" s="25"/>
      <c r="HW69" s="25"/>
      <c r="HX69" s="25"/>
      <c r="HY69" s="25"/>
      <c r="HZ69" s="25"/>
      <c r="IA69" s="25"/>
      <c r="IB69" s="25"/>
      <c r="IC69" s="25"/>
      <c r="ID69" s="25"/>
      <c r="IE69" s="25"/>
      <c r="IF69" s="25"/>
      <c r="IG69" s="25"/>
      <c r="IH69" s="25"/>
      <c r="II69" s="25"/>
      <c r="IJ69" s="25"/>
      <c r="IK69" s="25"/>
      <c r="IL69" s="25"/>
      <c r="IM69" s="25"/>
      <c r="IN69" s="25"/>
      <c r="IO69" s="25"/>
      <c r="IP69" s="25"/>
      <c r="IQ69" s="25"/>
      <c r="IR69" s="25"/>
      <c r="IS69" s="25"/>
      <c r="IT69" s="25"/>
      <c r="IU69" s="25"/>
      <c r="IV69" s="25"/>
      <c r="IW69" s="25"/>
      <c r="IX69" s="25"/>
      <c r="IY69" s="25"/>
      <c r="IZ69" s="25"/>
      <c r="JA69" s="25"/>
      <c r="JB69" s="25"/>
      <c r="JC69" s="25"/>
      <c r="JD69" s="25"/>
      <c r="JE69" s="25"/>
      <c r="JF69" s="25"/>
      <c r="JG69" s="25"/>
      <c r="JH69" s="25"/>
      <c r="JI69" s="25"/>
      <c r="JJ69" s="25"/>
      <c r="JK69" s="25"/>
      <c r="JL69" s="25"/>
      <c r="JM69" s="25"/>
      <c r="JN69" s="25"/>
      <c r="JO69" s="25"/>
      <c r="JP69" s="25"/>
      <c r="JQ69" s="25"/>
      <c r="JR69" s="25"/>
      <c r="JS69" s="25"/>
      <c r="JT69" s="25"/>
      <c r="JU69" s="25"/>
      <c r="JV69" s="25"/>
      <c r="JW69" s="25"/>
      <c r="JX69" s="25"/>
      <c r="JY69" s="25"/>
      <c r="JZ69" s="25"/>
      <c r="KA69" s="25"/>
      <c r="KB69" s="25"/>
      <c r="KC69" s="25"/>
      <c r="KD69" s="25"/>
      <c r="KE69" s="25"/>
      <c r="KF69" s="25"/>
      <c r="KG69" s="25"/>
      <c r="KH69" s="25"/>
      <c r="KI69" s="25"/>
      <c r="KJ69" s="25"/>
      <c r="KK69" s="25"/>
      <c r="KL69" s="25"/>
      <c r="KM69" s="25"/>
      <c r="KN69" s="25"/>
      <c r="KO69" s="25"/>
      <c r="KP69" s="25"/>
      <c r="KQ69" s="25"/>
      <c r="KR69" s="25"/>
      <c r="KS69" s="25"/>
    </row>
    <row r="70" spans="2:305" x14ac:dyDescent="0.2">
      <c r="B70" s="153"/>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4"/>
      <c r="AT70" s="154"/>
      <c r="AU70" s="154"/>
      <c r="AV70" s="154"/>
      <c r="AW70" s="154"/>
      <c r="AX70" s="154"/>
      <c r="AY70" s="154"/>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c r="FR70" s="25"/>
      <c r="FS70" s="25"/>
      <c r="FT70" s="25"/>
      <c r="FU70" s="25"/>
      <c r="FV70" s="25"/>
      <c r="FW70" s="25"/>
      <c r="FX70" s="25"/>
      <c r="FY70" s="25"/>
      <c r="FZ70" s="25"/>
      <c r="GA70" s="25"/>
      <c r="GB70" s="25"/>
      <c r="GC70" s="25"/>
      <c r="GD70" s="25"/>
      <c r="GE70" s="25"/>
      <c r="GF70" s="25"/>
      <c r="GG70" s="25"/>
      <c r="GH70" s="25"/>
      <c r="GI70" s="25"/>
      <c r="GJ70" s="25"/>
      <c r="GK70" s="25"/>
      <c r="GL70" s="25"/>
      <c r="GM70" s="25"/>
      <c r="GN70" s="25"/>
      <c r="GO70" s="25"/>
      <c r="GP70" s="25"/>
      <c r="GQ70" s="25"/>
      <c r="GR70" s="25"/>
      <c r="GS70" s="25"/>
      <c r="GT70" s="25"/>
      <c r="GU70" s="25"/>
      <c r="GV70" s="25"/>
      <c r="GW70" s="25"/>
      <c r="GX70" s="25"/>
      <c r="GY70" s="25"/>
      <c r="GZ70" s="25"/>
      <c r="HA70" s="25"/>
      <c r="HB70" s="25"/>
      <c r="HC70" s="25"/>
      <c r="HD70" s="25"/>
      <c r="HE70" s="25"/>
      <c r="HF70" s="25"/>
      <c r="HG70" s="25"/>
      <c r="HH70" s="25"/>
      <c r="HI70" s="25"/>
      <c r="HJ70" s="25"/>
      <c r="HK70" s="25"/>
      <c r="HL70" s="25"/>
      <c r="HM70" s="25"/>
      <c r="HN70" s="25"/>
      <c r="HO70" s="25"/>
      <c r="HP70" s="25"/>
      <c r="HQ70" s="25"/>
      <c r="HR70" s="25"/>
      <c r="HS70" s="25"/>
      <c r="HT70" s="25"/>
      <c r="HU70" s="25"/>
      <c r="HV70" s="25"/>
      <c r="HW70" s="25"/>
      <c r="HX70" s="25"/>
      <c r="HY70" s="25"/>
      <c r="HZ70" s="25"/>
      <c r="IA70" s="25"/>
      <c r="IB70" s="25"/>
      <c r="IC70" s="25"/>
      <c r="ID70" s="25"/>
      <c r="IE70" s="25"/>
      <c r="IF70" s="25"/>
      <c r="IG70" s="25"/>
      <c r="IH70" s="25"/>
      <c r="II70" s="25"/>
      <c r="IJ70" s="25"/>
      <c r="IK70" s="25"/>
      <c r="IL70" s="25"/>
      <c r="IM70" s="25"/>
      <c r="IN70" s="25"/>
      <c r="IO70" s="25"/>
      <c r="IP70" s="25"/>
      <c r="IQ70" s="25"/>
      <c r="IR70" s="25"/>
      <c r="IS70" s="25"/>
      <c r="IT70" s="25"/>
      <c r="IU70" s="25"/>
      <c r="IV70" s="25"/>
      <c r="IW70" s="25"/>
      <c r="IX70" s="25"/>
      <c r="IY70" s="25"/>
      <c r="IZ70" s="25"/>
      <c r="JA70" s="25"/>
      <c r="JB70" s="25"/>
      <c r="JC70" s="25"/>
      <c r="JD70" s="25"/>
      <c r="JE70" s="25"/>
      <c r="JF70" s="25"/>
      <c r="JG70" s="25"/>
      <c r="JH70" s="25"/>
      <c r="JI70" s="25"/>
      <c r="JJ70" s="25"/>
      <c r="JK70" s="25"/>
      <c r="JL70" s="25"/>
      <c r="JM70" s="25"/>
      <c r="JN70" s="25"/>
      <c r="JO70" s="25"/>
      <c r="JP70" s="25"/>
      <c r="JQ70" s="25"/>
      <c r="JR70" s="25"/>
      <c r="JS70" s="25"/>
      <c r="JT70" s="25"/>
      <c r="JU70" s="25"/>
      <c r="JV70" s="25"/>
      <c r="JW70" s="25"/>
      <c r="JX70" s="25"/>
      <c r="JY70" s="25"/>
      <c r="JZ70" s="25"/>
      <c r="KA70" s="25"/>
      <c r="KB70" s="25"/>
      <c r="KC70" s="25"/>
      <c r="KD70" s="25"/>
      <c r="KE70" s="25"/>
      <c r="KF70" s="25"/>
      <c r="KG70" s="25"/>
      <c r="KH70" s="25"/>
      <c r="KI70" s="25"/>
      <c r="KJ70" s="25"/>
      <c r="KK70" s="25"/>
      <c r="KL70" s="25"/>
      <c r="KM70" s="25"/>
      <c r="KN70" s="25"/>
      <c r="KO70" s="25"/>
      <c r="KP70" s="25"/>
      <c r="KQ70" s="25"/>
      <c r="KR70" s="25"/>
      <c r="KS70" s="25"/>
    </row>
    <row r="71" spans="2:305" x14ac:dyDescent="0.2">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c r="HP71" s="25"/>
      <c r="HQ71" s="25"/>
      <c r="HR71" s="25"/>
      <c r="HS71" s="25"/>
      <c r="HT71" s="25"/>
      <c r="HU71" s="25"/>
      <c r="HV71" s="25"/>
      <c r="HW71" s="25"/>
      <c r="HX71" s="25"/>
      <c r="HY71" s="25"/>
      <c r="HZ71" s="25"/>
      <c r="IA71" s="25"/>
      <c r="IB71" s="25"/>
      <c r="IC71" s="25"/>
      <c r="ID71" s="25"/>
      <c r="IE71" s="25"/>
      <c r="IF71" s="25"/>
      <c r="IG71" s="25"/>
      <c r="IH71" s="25"/>
      <c r="II71" s="25"/>
      <c r="IJ71" s="25"/>
      <c r="IK71" s="25"/>
      <c r="IL71" s="25"/>
      <c r="IM71" s="25"/>
      <c r="IN71" s="25"/>
      <c r="IO71" s="25"/>
      <c r="IP71" s="25"/>
      <c r="IQ71" s="25"/>
      <c r="IR71" s="25"/>
      <c r="IS71" s="25"/>
      <c r="IT71" s="25"/>
      <c r="IU71" s="25"/>
      <c r="IV71" s="25"/>
      <c r="IW71" s="25"/>
      <c r="IX71" s="25"/>
      <c r="IY71" s="25"/>
      <c r="IZ71" s="25"/>
      <c r="JA71" s="25"/>
      <c r="JB71" s="25"/>
      <c r="JC71" s="25"/>
      <c r="JD71" s="25"/>
      <c r="JE71" s="25"/>
      <c r="JF71" s="25"/>
      <c r="JG71" s="25"/>
      <c r="JH71" s="25"/>
      <c r="JI71" s="25"/>
      <c r="JJ71" s="25"/>
      <c r="JK71" s="25"/>
      <c r="JL71" s="25"/>
      <c r="JM71" s="25"/>
      <c r="JN71" s="25"/>
      <c r="JO71" s="25"/>
      <c r="JP71" s="25"/>
      <c r="JQ71" s="25"/>
      <c r="JR71" s="25"/>
      <c r="JS71" s="25"/>
      <c r="JT71" s="25"/>
      <c r="JU71" s="25"/>
      <c r="JV71" s="25"/>
      <c r="JW71" s="25"/>
      <c r="JX71" s="25"/>
      <c r="JY71" s="25"/>
      <c r="JZ71" s="25"/>
      <c r="KA71" s="25"/>
      <c r="KB71" s="25"/>
      <c r="KC71" s="25"/>
      <c r="KD71" s="25"/>
      <c r="KE71" s="25"/>
      <c r="KF71" s="25"/>
      <c r="KG71" s="25"/>
      <c r="KH71" s="25"/>
      <c r="KI71" s="25"/>
      <c r="KJ71" s="25"/>
      <c r="KK71" s="25"/>
      <c r="KL71" s="25"/>
      <c r="KM71" s="25"/>
      <c r="KN71" s="25"/>
      <c r="KO71" s="25"/>
      <c r="KP71" s="25"/>
      <c r="KQ71" s="25"/>
      <c r="KR71" s="25"/>
      <c r="KS71" s="25"/>
    </row>
    <row r="72" spans="2:305" x14ac:dyDescent="0.2">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25"/>
      <c r="EV72" s="25"/>
      <c r="EW72" s="25"/>
      <c r="EX72" s="25"/>
      <c r="EY72" s="25"/>
      <c r="EZ72" s="25"/>
      <c r="FA72" s="25"/>
      <c r="FB72" s="25"/>
      <c r="FC72" s="25"/>
      <c r="FD72" s="25"/>
      <c r="FE72" s="25"/>
      <c r="FF72" s="25"/>
      <c r="FG72" s="25"/>
      <c r="FH72" s="25"/>
      <c r="FI72" s="25"/>
      <c r="FJ72" s="25"/>
      <c r="FK72" s="25"/>
      <c r="FL72" s="25"/>
      <c r="FM72" s="25"/>
      <c r="FN72" s="25"/>
      <c r="FO72" s="25"/>
      <c r="FP72" s="25"/>
      <c r="FQ72" s="25"/>
      <c r="FR72" s="25"/>
      <c r="FS72" s="25"/>
      <c r="FT72" s="25"/>
      <c r="FU72" s="25"/>
      <c r="FV72" s="25"/>
      <c r="FW72" s="25"/>
      <c r="FX72" s="25"/>
      <c r="FY72" s="25"/>
      <c r="FZ72" s="25"/>
      <c r="GA72" s="25"/>
      <c r="GB72" s="25"/>
      <c r="GC72" s="25"/>
      <c r="GD72" s="25"/>
      <c r="GE72" s="25"/>
      <c r="GF72" s="25"/>
      <c r="GG72" s="25"/>
      <c r="GH72" s="25"/>
      <c r="GI72" s="25"/>
      <c r="GJ72" s="25"/>
      <c r="GK72" s="25"/>
      <c r="GL72" s="25"/>
      <c r="GM72" s="25"/>
      <c r="GN72" s="25"/>
      <c r="GO72" s="25"/>
      <c r="GP72" s="25"/>
      <c r="GQ72" s="25"/>
      <c r="GR72" s="25"/>
      <c r="GS72" s="25"/>
      <c r="GT72" s="25"/>
      <c r="GU72" s="25"/>
      <c r="GV72" s="25"/>
      <c r="GW72" s="25"/>
      <c r="GX72" s="25"/>
      <c r="GY72" s="25"/>
      <c r="GZ72" s="25"/>
      <c r="HA72" s="25"/>
      <c r="HB72" s="25"/>
      <c r="HC72" s="25"/>
      <c r="HD72" s="25"/>
      <c r="HE72" s="25"/>
      <c r="HF72" s="25"/>
      <c r="HG72" s="25"/>
      <c r="HH72" s="25"/>
      <c r="HI72" s="25"/>
      <c r="HJ72" s="25"/>
      <c r="HK72" s="25"/>
      <c r="HL72" s="25"/>
      <c r="HM72" s="25"/>
      <c r="HN72" s="25"/>
      <c r="HO72" s="25"/>
      <c r="HP72" s="25"/>
      <c r="HQ72" s="25"/>
      <c r="HR72" s="25"/>
      <c r="HS72" s="25"/>
      <c r="HT72" s="25"/>
      <c r="HU72" s="25"/>
      <c r="HV72" s="25"/>
      <c r="HW72" s="25"/>
      <c r="HX72" s="25"/>
      <c r="HY72" s="25"/>
      <c r="HZ72" s="25"/>
      <c r="IA72" s="25"/>
      <c r="IB72" s="25"/>
      <c r="IC72" s="25"/>
      <c r="ID72" s="25"/>
      <c r="IE72" s="25"/>
      <c r="IF72" s="25"/>
      <c r="IG72" s="25"/>
      <c r="IH72" s="25"/>
      <c r="II72" s="25"/>
      <c r="IJ72" s="25"/>
      <c r="IK72" s="25"/>
      <c r="IL72" s="25"/>
      <c r="IM72" s="25"/>
      <c r="IN72" s="25"/>
      <c r="IO72" s="25"/>
      <c r="IP72" s="25"/>
      <c r="IQ72" s="25"/>
      <c r="IR72" s="25"/>
      <c r="IS72" s="25"/>
      <c r="IT72" s="25"/>
      <c r="IU72" s="25"/>
      <c r="IV72" s="25"/>
      <c r="IW72" s="25"/>
      <c r="IX72" s="25"/>
      <c r="IY72" s="25"/>
      <c r="IZ72" s="25"/>
      <c r="JA72" s="25"/>
      <c r="JB72" s="25"/>
      <c r="JC72" s="25"/>
      <c r="JD72" s="25"/>
      <c r="JE72" s="25"/>
      <c r="JF72" s="25"/>
      <c r="JG72" s="25"/>
      <c r="JH72" s="25"/>
      <c r="JI72" s="25"/>
      <c r="JJ72" s="25"/>
      <c r="JK72" s="25"/>
      <c r="JL72" s="25"/>
      <c r="JM72" s="25"/>
      <c r="JN72" s="25"/>
      <c r="JO72" s="25"/>
      <c r="JP72" s="25"/>
      <c r="JQ72" s="25"/>
      <c r="JR72" s="25"/>
      <c r="JS72" s="25"/>
      <c r="JT72" s="25"/>
      <c r="JU72" s="25"/>
      <c r="JV72" s="25"/>
      <c r="JW72" s="25"/>
      <c r="JX72" s="25"/>
      <c r="JY72" s="25"/>
      <c r="JZ72" s="25"/>
      <c r="KA72" s="25"/>
      <c r="KB72" s="25"/>
      <c r="KC72" s="25"/>
      <c r="KD72" s="25"/>
      <c r="KE72" s="25"/>
      <c r="KF72" s="25"/>
      <c r="KG72" s="25"/>
      <c r="KH72" s="25"/>
      <c r="KI72" s="25"/>
      <c r="KJ72" s="25"/>
      <c r="KK72" s="25"/>
      <c r="KL72" s="25"/>
      <c r="KM72" s="25"/>
      <c r="KN72" s="25"/>
      <c r="KO72" s="25"/>
      <c r="KP72" s="25"/>
      <c r="KQ72" s="25"/>
      <c r="KR72" s="25"/>
      <c r="KS72" s="25"/>
    </row>
    <row r="73" spans="2:305" s="28" customFormat="1" ht="12.75" x14ac:dyDescent="0.2"/>
    <row r="74" spans="2:305" s="28" customFormat="1" ht="12.75" x14ac:dyDescent="0.2"/>
    <row r="75" spans="2:305" s="28" customFormat="1" ht="12.75" x14ac:dyDescent="0.2"/>
    <row r="76" spans="2:305" s="28" customFormat="1" ht="12.75" x14ac:dyDescent="0.2"/>
    <row r="77" spans="2:305" s="28" customFormat="1" ht="12.75" x14ac:dyDescent="0.2"/>
    <row r="78" spans="2:305" s="28" customFormat="1" ht="12.75" x14ac:dyDescent="0.2"/>
    <row r="79" spans="2:305" s="28" customFormat="1" ht="12.75" x14ac:dyDescent="0.2"/>
    <row r="80" spans="2:305" s="28" customFormat="1" ht="12.75" x14ac:dyDescent="0.2"/>
    <row r="81" s="28" customFormat="1" ht="12.75" x14ac:dyDescent="0.2"/>
    <row r="82" s="28" customFormat="1" ht="12.75" x14ac:dyDescent="0.2"/>
    <row r="83" s="28" customFormat="1" ht="12.75" x14ac:dyDescent="0.2"/>
    <row r="84" s="28" customFormat="1" ht="12.75" x14ac:dyDescent="0.2"/>
    <row r="85" s="28" customFormat="1" ht="12.75" x14ac:dyDescent="0.2"/>
    <row r="86" s="28" customFormat="1" ht="12.75" x14ac:dyDescent="0.2"/>
    <row r="87" s="28" customFormat="1" ht="12.75" x14ac:dyDescent="0.2"/>
    <row r="88" s="28" customFormat="1" ht="12.75" x14ac:dyDescent="0.2"/>
    <row r="89" s="28" customFormat="1" ht="12.75" x14ac:dyDescent="0.2"/>
    <row r="90" s="28" customFormat="1" ht="12.75" x14ac:dyDescent="0.2"/>
    <row r="91" s="28" customFormat="1" ht="12.75" x14ac:dyDescent="0.2"/>
    <row r="92" s="28" customFormat="1" ht="12.75" x14ac:dyDescent="0.2"/>
    <row r="93" s="28" customFormat="1" ht="15" customHeight="1" x14ac:dyDescent="0.2"/>
    <row r="94" s="28" customFormat="1" ht="12.75" x14ac:dyDescent="0.2"/>
    <row r="95" s="28" customFormat="1" ht="12.75" x14ac:dyDescent="0.2"/>
    <row r="96" s="28" customFormat="1" ht="12.75" x14ac:dyDescent="0.2"/>
    <row r="97" s="28" customFormat="1" ht="14.25" customHeight="1" x14ac:dyDescent="0.2"/>
    <row r="98" s="28" customFormat="1" ht="12.75" x14ac:dyDescent="0.2"/>
    <row r="99" s="28" customFormat="1" ht="12.75" x14ac:dyDescent="0.2"/>
    <row r="100" s="28" customFormat="1" ht="12.75" x14ac:dyDescent="0.2"/>
    <row r="101" s="28" customFormat="1" ht="12.75" x14ac:dyDescent="0.2"/>
    <row r="102" s="28" customFormat="1" ht="12.75" x14ac:dyDescent="0.2"/>
    <row r="103" s="28" customFormat="1" ht="12.75" x14ac:dyDescent="0.2"/>
    <row r="104" s="28" customFormat="1" ht="12.75" x14ac:dyDescent="0.2"/>
    <row r="105" s="28" customFormat="1" ht="12.75" x14ac:dyDescent="0.2"/>
    <row r="106" s="28" customFormat="1" ht="12.75" x14ac:dyDescent="0.2"/>
    <row r="107" s="28" customFormat="1" ht="12.75" x14ac:dyDescent="0.2"/>
    <row r="108" s="28" customFormat="1" ht="12.75" x14ac:dyDescent="0.2"/>
    <row r="109" s="28" customFormat="1" ht="12.75" x14ac:dyDescent="0.2"/>
    <row r="110" s="28" customFormat="1" ht="12.75" x14ac:dyDescent="0.2"/>
    <row r="111" s="28" customFormat="1" ht="12.75" x14ac:dyDescent="0.2"/>
    <row r="112" s="28" customFormat="1" ht="12.75" x14ac:dyDescent="0.2"/>
    <row r="113" s="28" customFormat="1" ht="12.75" x14ac:dyDescent="0.2"/>
    <row r="114" s="28" customFormat="1" ht="12.75" x14ac:dyDescent="0.2"/>
    <row r="115" s="28" customFormat="1" ht="12.75" x14ac:dyDescent="0.2"/>
    <row r="116" s="28" customFormat="1" ht="12.75" x14ac:dyDescent="0.2"/>
    <row r="117" s="28" customFormat="1" ht="12.75" x14ac:dyDescent="0.2"/>
    <row r="118" s="28" customFormat="1" ht="12.75" x14ac:dyDescent="0.2"/>
    <row r="119" s="28" customFormat="1" ht="12.75" x14ac:dyDescent="0.2"/>
    <row r="120" s="28" customFormat="1" ht="15" customHeight="1" x14ac:dyDescent="0.2"/>
    <row r="121" s="28" customFormat="1" ht="12.75" x14ac:dyDescent="0.2"/>
    <row r="122" s="28" customFormat="1" ht="12.75" x14ac:dyDescent="0.2"/>
    <row r="123" s="28" customFormat="1" ht="12.75" x14ac:dyDescent="0.2"/>
    <row r="124" s="28" customFormat="1" ht="20.25" customHeight="1" x14ac:dyDescent="0.2"/>
    <row r="125" s="28" customFormat="1" ht="12.75" x14ac:dyDescent="0.2"/>
    <row r="126" s="28" customFormat="1" ht="12.75" x14ac:dyDescent="0.2"/>
    <row r="127" s="28" customFormat="1" ht="12.75" x14ac:dyDescent="0.2"/>
    <row r="128" s="28" customFormat="1" ht="12.75" x14ac:dyDescent="0.2"/>
    <row r="129" s="28" customFormat="1" ht="12.75" x14ac:dyDescent="0.2"/>
    <row r="130" s="28" customFormat="1" ht="12.75" x14ac:dyDescent="0.2"/>
    <row r="131" s="28" customFormat="1" ht="12.75" x14ac:dyDescent="0.2"/>
    <row r="132" s="28" customFormat="1" ht="12.75" x14ac:dyDescent="0.2"/>
    <row r="133" s="28" customFormat="1" ht="12.75" x14ac:dyDescent="0.2"/>
    <row r="134" s="28" customFormat="1" ht="12.75" x14ac:dyDescent="0.2"/>
    <row r="135" s="28" customFormat="1" ht="12.75" x14ac:dyDescent="0.2"/>
    <row r="136" s="28" customFormat="1" ht="12.75" x14ac:dyDescent="0.2"/>
    <row r="137" s="28" customFormat="1" ht="12.75" x14ac:dyDescent="0.2"/>
    <row r="138" s="28" customFormat="1" ht="12.75" x14ac:dyDescent="0.2"/>
    <row r="139" s="28" customFormat="1" ht="12.75" x14ac:dyDescent="0.2"/>
    <row r="140" s="28" customFormat="1" ht="12.75" x14ac:dyDescent="0.2"/>
    <row r="141" s="28" customFormat="1" ht="12.75" x14ac:dyDescent="0.2"/>
    <row r="142" s="28" customFormat="1" ht="12.75" x14ac:dyDescent="0.2"/>
    <row r="143" s="28" customFormat="1" ht="12.75" x14ac:dyDescent="0.2"/>
    <row r="144" s="28" customFormat="1" ht="12.75" x14ac:dyDescent="0.2"/>
    <row r="145" s="28" customFormat="1" ht="12.75" x14ac:dyDescent="0.2"/>
    <row r="146" s="28" customFormat="1" ht="12.75" x14ac:dyDescent="0.2"/>
    <row r="147" s="28" customFormat="1" ht="12.75" x14ac:dyDescent="0.2"/>
    <row r="148" s="28" customFormat="1" ht="12.75" x14ac:dyDescent="0.2"/>
    <row r="149" s="28" customFormat="1" ht="12.75" x14ac:dyDescent="0.2"/>
    <row r="150" s="28" customFormat="1" ht="15" customHeight="1" x14ac:dyDescent="0.2"/>
    <row r="151" s="28" customFormat="1" ht="12.75" x14ac:dyDescent="0.2"/>
    <row r="152" s="28" customFormat="1" ht="12.75" x14ac:dyDescent="0.2"/>
    <row r="153" s="28" customFormat="1" ht="12.75" x14ac:dyDescent="0.2"/>
    <row r="154" s="28" customFormat="1" ht="12.75" x14ac:dyDescent="0.2"/>
    <row r="155" s="28" customFormat="1" ht="12.75" x14ac:dyDescent="0.2"/>
    <row r="156" s="28" customFormat="1" ht="12.75" x14ac:dyDescent="0.2"/>
    <row r="157" s="28" customFormat="1" ht="12.75" x14ac:dyDescent="0.2"/>
    <row r="158" s="28" customFormat="1" ht="12.75" x14ac:dyDescent="0.2"/>
    <row r="159" s="28" customFormat="1" ht="12.75" x14ac:dyDescent="0.2"/>
    <row r="160" s="28" customFormat="1" ht="12.75" x14ac:dyDescent="0.2"/>
    <row r="161" s="28" customFormat="1" ht="12.75" x14ac:dyDescent="0.2"/>
    <row r="162" s="28" customFormat="1" ht="12.75" x14ac:dyDescent="0.2"/>
    <row r="163" s="28" customFormat="1" ht="12.75" x14ac:dyDescent="0.2"/>
    <row r="164" s="28" customFormat="1" ht="12.75" x14ac:dyDescent="0.2"/>
    <row r="165" s="28" customFormat="1" ht="12.75" x14ac:dyDescent="0.2"/>
    <row r="166" s="28" customFormat="1" ht="12.75" x14ac:dyDescent="0.2"/>
    <row r="167" s="28" customFormat="1" ht="12.75" x14ac:dyDescent="0.2"/>
    <row r="168" s="28" customFormat="1" ht="12.75" x14ac:dyDescent="0.2"/>
    <row r="169" s="28" customFormat="1" ht="12.75" x14ac:dyDescent="0.2"/>
    <row r="170" s="28" customFormat="1" ht="12.75" x14ac:dyDescent="0.2"/>
    <row r="171" s="28" customFormat="1" ht="12.75" x14ac:dyDescent="0.2"/>
    <row r="172" s="28" customFormat="1" ht="26.25" customHeight="1" x14ac:dyDescent="0.2"/>
    <row r="173" s="28" customFormat="1" ht="14.25" customHeight="1" x14ac:dyDescent="0.2"/>
    <row r="174" s="28" customFormat="1" ht="12.75" x14ac:dyDescent="0.2"/>
    <row r="175" s="28" customFormat="1" ht="12.75" x14ac:dyDescent="0.2"/>
    <row r="176" s="28" customFormat="1" ht="12.75" x14ac:dyDescent="0.2"/>
    <row r="177" s="28" customFormat="1" ht="12.75" x14ac:dyDescent="0.2"/>
    <row r="178" s="28" customFormat="1" ht="12.75" x14ac:dyDescent="0.2"/>
    <row r="179" s="28" customFormat="1" ht="12.75" x14ac:dyDescent="0.2"/>
    <row r="180" s="28" customFormat="1" ht="14.25" customHeight="1" x14ac:dyDescent="0.2"/>
    <row r="181" s="28" customFormat="1" ht="12.75" x14ac:dyDescent="0.2"/>
    <row r="182" s="28" customFormat="1" ht="12.75" x14ac:dyDescent="0.2"/>
    <row r="183" s="28" customFormat="1" ht="12.75" x14ac:dyDescent="0.2"/>
    <row r="184" s="28" customFormat="1" ht="12.75" x14ac:dyDescent="0.2"/>
    <row r="185" s="28" customFormat="1" ht="12.75" x14ac:dyDescent="0.2"/>
    <row r="186" s="28" customFormat="1" ht="12.75" x14ac:dyDescent="0.2"/>
    <row r="187" s="28" customFormat="1" ht="12.75" x14ac:dyDescent="0.2"/>
    <row r="188" s="28" customFormat="1" ht="12.75" x14ac:dyDescent="0.2"/>
    <row r="189" s="28" customFormat="1" ht="12.75" x14ac:dyDescent="0.2"/>
    <row r="190" s="28" customFormat="1" ht="12.75" x14ac:dyDescent="0.2"/>
    <row r="191" s="28" customFormat="1" ht="12.75" x14ac:dyDescent="0.2"/>
    <row r="192" s="28" customFormat="1" ht="12.75" x14ac:dyDescent="0.2"/>
    <row r="193" s="28" customFormat="1" ht="12.75" x14ac:dyDescent="0.2"/>
    <row r="194" s="28" customFormat="1" ht="12.75" x14ac:dyDescent="0.2"/>
    <row r="195" s="28" customFormat="1" ht="12.75" x14ac:dyDescent="0.2"/>
    <row r="196" s="28" customFormat="1" ht="12.75" x14ac:dyDescent="0.2"/>
    <row r="197" s="28" customFormat="1" ht="12.75" x14ac:dyDescent="0.2"/>
    <row r="198" s="28" customFormat="1" ht="12.75" x14ac:dyDescent="0.2"/>
    <row r="199" s="28" customFormat="1" ht="12.75" x14ac:dyDescent="0.2"/>
    <row r="200" s="28" customFormat="1" ht="12.75" x14ac:dyDescent="0.2"/>
    <row r="201" s="28" customFormat="1" ht="12.75" x14ac:dyDescent="0.2"/>
    <row r="202" s="28" customFormat="1" ht="12.75" x14ac:dyDescent="0.2"/>
    <row r="203" s="28" customFormat="1" ht="12.75" x14ac:dyDescent="0.2"/>
    <row r="204" s="28" customFormat="1" ht="12.75" x14ac:dyDescent="0.2"/>
    <row r="205" s="28" customFormat="1" ht="12.75" x14ac:dyDescent="0.2"/>
    <row r="206" s="28" customFormat="1" ht="12.75" x14ac:dyDescent="0.2"/>
    <row r="207" s="28" customFormat="1" ht="12.75" x14ac:dyDescent="0.2"/>
    <row r="208" s="28" customFormat="1" ht="12.75" x14ac:dyDescent="0.2"/>
    <row r="209" s="28" customFormat="1" ht="12.75" x14ac:dyDescent="0.2"/>
    <row r="210" s="28" customFormat="1" ht="12.75" x14ac:dyDescent="0.2"/>
    <row r="211" s="28" customFormat="1" ht="12.75" x14ac:dyDescent="0.2"/>
    <row r="212" s="28" customFormat="1" ht="12.75" x14ac:dyDescent="0.2"/>
    <row r="213" s="28" customFormat="1" ht="12.75" x14ac:dyDescent="0.2"/>
    <row r="214" s="28" customFormat="1" ht="12.75" x14ac:dyDescent="0.2"/>
    <row r="215" s="28" customFormat="1" ht="12.75" x14ac:dyDescent="0.2"/>
    <row r="216" s="28" customFormat="1" ht="12.75" x14ac:dyDescent="0.2"/>
    <row r="217" s="28" customFormat="1" ht="12.75" x14ac:dyDescent="0.2"/>
    <row r="218" s="28" customFormat="1" ht="12.75" x14ac:dyDescent="0.2"/>
    <row r="219" s="28" customFormat="1" ht="12.75" x14ac:dyDescent="0.2"/>
    <row r="220" s="28" customFormat="1" ht="12.75" x14ac:dyDescent="0.2"/>
    <row r="221" s="28" customFormat="1" ht="12.75" x14ac:dyDescent="0.2"/>
    <row r="222" s="28" customFormat="1" ht="12.75" x14ac:dyDescent="0.2"/>
    <row r="223" s="28" customFormat="1" ht="12.75" x14ac:dyDescent="0.2"/>
    <row r="224" s="28" customFormat="1" ht="12.75" x14ac:dyDescent="0.2"/>
    <row r="225" s="28" customFormat="1" ht="12.75" x14ac:dyDescent="0.2"/>
    <row r="226" s="28" customFormat="1" ht="12.75" x14ac:dyDescent="0.2"/>
    <row r="227" s="28" customFormat="1" ht="12.75" x14ac:dyDescent="0.2"/>
    <row r="228" s="28" customFormat="1" ht="12.75" x14ac:dyDescent="0.2"/>
    <row r="229" s="28" customFormat="1" ht="12.75" x14ac:dyDescent="0.2"/>
    <row r="230" s="28" customFormat="1" ht="12.75" x14ac:dyDescent="0.2"/>
    <row r="231" s="28" customFormat="1" ht="12.75" x14ac:dyDescent="0.2"/>
    <row r="232" s="28" customFormat="1" ht="12.75" x14ac:dyDescent="0.2"/>
    <row r="233" s="28" customFormat="1" ht="12.75" x14ac:dyDescent="0.2"/>
    <row r="234" s="28" customFormat="1" ht="12.75" x14ac:dyDescent="0.2"/>
    <row r="235" s="28" customFormat="1" ht="12.75" x14ac:dyDescent="0.2"/>
    <row r="236" s="28" customFormat="1" ht="12.75" x14ac:dyDescent="0.2"/>
    <row r="237" s="28" customFormat="1" ht="12.75" x14ac:dyDescent="0.2"/>
    <row r="238" s="28" customFormat="1" ht="12.75" x14ac:dyDescent="0.2"/>
    <row r="239" s="28" customFormat="1" ht="12.75" x14ac:dyDescent="0.2"/>
    <row r="240" s="28" customFormat="1" ht="12.75" x14ac:dyDescent="0.2"/>
    <row r="241" s="28" customFormat="1" ht="12.75" x14ac:dyDescent="0.2"/>
    <row r="242" s="28" customFormat="1" ht="12.75" x14ac:dyDescent="0.2"/>
    <row r="243" s="28" customFormat="1" ht="12.75" x14ac:dyDescent="0.2"/>
    <row r="244" s="28" customFormat="1" ht="12.75" x14ac:dyDescent="0.2"/>
    <row r="245" s="28" customFormat="1" ht="12.75" x14ac:dyDescent="0.2"/>
    <row r="246" s="28" customFormat="1" ht="12.75" x14ac:dyDescent="0.2"/>
    <row r="247" s="28" customFormat="1" ht="12.75" x14ac:dyDescent="0.2"/>
    <row r="248" s="28" customFormat="1" ht="12.75" x14ac:dyDescent="0.2"/>
    <row r="249" s="28" customFormat="1" ht="12.75" x14ac:dyDescent="0.2"/>
    <row r="250" s="28" customFormat="1" ht="12.75" x14ac:dyDescent="0.2"/>
    <row r="251" s="28" customFormat="1" ht="12.75" x14ac:dyDescent="0.2"/>
    <row r="252" s="28" customFormat="1" ht="12.75" x14ac:dyDescent="0.2"/>
    <row r="253" s="28" customFormat="1" ht="12.75" x14ac:dyDescent="0.2"/>
    <row r="254" s="28" customFormat="1" ht="12.75" x14ac:dyDescent="0.2"/>
    <row r="255" s="28" customFormat="1" ht="12.75" x14ac:dyDescent="0.2"/>
    <row r="256" s="28" customFormat="1" ht="12.75" x14ac:dyDescent="0.2"/>
    <row r="257" s="28" customFormat="1" ht="12.75" x14ac:dyDescent="0.2"/>
    <row r="258" s="28" customFormat="1" ht="12.75" x14ac:dyDescent="0.2"/>
    <row r="259" s="28" customFormat="1" ht="12.75" x14ac:dyDescent="0.2"/>
    <row r="260" s="28" customFormat="1" ht="12.75" x14ac:dyDescent="0.2"/>
    <row r="261" s="28" customFormat="1" ht="12.75" x14ac:dyDescent="0.2"/>
    <row r="262" s="28" customFormat="1" ht="12.75" x14ac:dyDescent="0.2"/>
    <row r="263" s="28" customFormat="1" ht="12.75" x14ac:dyDescent="0.2"/>
    <row r="264" s="28" customFormat="1" ht="12.75" x14ac:dyDescent="0.2"/>
    <row r="265" s="28" customFormat="1" ht="12.75" x14ac:dyDescent="0.2"/>
    <row r="266" s="28" customFormat="1" ht="12.75" x14ac:dyDescent="0.2"/>
    <row r="267" s="28" customFormat="1" ht="12.75" x14ac:dyDescent="0.2"/>
    <row r="268" s="28" customFormat="1" ht="12.75" x14ac:dyDescent="0.2"/>
    <row r="269" s="28" customFormat="1" ht="12.75" x14ac:dyDescent="0.2"/>
    <row r="270" s="28" customFormat="1" ht="12.75" x14ac:dyDescent="0.2"/>
    <row r="271" s="28" customFormat="1" ht="12.75" x14ac:dyDescent="0.2"/>
    <row r="272" s="28" customFormat="1" ht="12.75" x14ac:dyDescent="0.2"/>
    <row r="273" s="28" customFormat="1" ht="12.75" x14ac:dyDescent="0.2"/>
    <row r="274" s="28" customFormat="1" ht="12.75" x14ac:dyDescent="0.2"/>
    <row r="275" s="28" customFormat="1" ht="12.75" x14ac:dyDescent="0.2"/>
    <row r="276" s="28" customFormat="1" ht="12.75" x14ac:dyDescent="0.2"/>
    <row r="277" s="28" customFormat="1" ht="12.75" x14ac:dyDescent="0.2"/>
    <row r="278" s="28" customFormat="1" ht="12.75" x14ac:dyDescent="0.2"/>
    <row r="279" s="28" customFormat="1" ht="12.75" x14ac:dyDescent="0.2"/>
    <row r="280" s="28" customFormat="1" ht="12.75" x14ac:dyDescent="0.2"/>
    <row r="281" s="28" customFormat="1" ht="12.75" x14ac:dyDescent="0.2"/>
    <row r="282" s="28" customFormat="1" ht="12.75" x14ac:dyDescent="0.2"/>
    <row r="283" s="28" customFormat="1" ht="12.75" x14ac:dyDescent="0.2"/>
    <row r="284" s="28" customFormat="1" ht="12.75" x14ac:dyDescent="0.2"/>
    <row r="285" s="28" customFormat="1" ht="12.75" x14ac:dyDescent="0.2"/>
    <row r="286" s="28" customFormat="1" ht="12.75" x14ac:dyDescent="0.2"/>
    <row r="287" s="28" customFormat="1" ht="12.75" x14ac:dyDescent="0.2"/>
    <row r="288" s="28" customFormat="1" ht="12.75" x14ac:dyDescent="0.2"/>
    <row r="289" s="28" customFormat="1" ht="12.75" x14ac:dyDescent="0.2"/>
    <row r="290" s="28" customFormat="1" ht="12.75" x14ac:dyDescent="0.2"/>
    <row r="291" s="28" customFormat="1" ht="12.75" x14ac:dyDescent="0.2"/>
    <row r="292" s="28" customFormat="1" ht="12.75" x14ac:dyDescent="0.2"/>
    <row r="293" s="28" customFormat="1" ht="12.75" x14ac:dyDescent="0.2"/>
    <row r="294" s="28" customFormat="1" ht="12.75" x14ac:dyDescent="0.2"/>
    <row r="295" s="28" customFormat="1" ht="12.75" x14ac:dyDescent="0.2"/>
    <row r="296" s="28" customFormat="1" ht="12.75" x14ac:dyDescent="0.2"/>
    <row r="297" s="28" customFormat="1" ht="12.75" x14ac:dyDescent="0.2"/>
    <row r="298" s="28" customFormat="1" ht="12.75" x14ac:dyDescent="0.2"/>
    <row r="299" s="28" customFormat="1" ht="12.75" x14ac:dyDescent="0.2"/>
    <row r="300" s="28" customFormat="1" ht="12.75" x14ac:dyDescent="0.2"/>
    <row r="301" s="28" customFormat="1" ht="12.75" x14ac:dyDescent="0.2"/>
    <row r="302" s="28" customFormat="1" ht="12.75" x14ac:dyDescent="0.2"/>
    <row r="303" s="28" customFormat="1" ht="12.75" x14ac:dyDescent="0.2"/>
    <row r="304" s="28" customFormat="1" ht="12.75" x14ac:dyDescent="0.2"/>
    <row r="305" s="28" customFormat="1" ht="12.75" x14ac:dyDescent="0.2"/>
    <row r="306" s="28" customFormat="1" ht="12.75" x14ac:dyDescent="0.2"/>
    <row r="307" s="28" customFormat="1" ht="12.75" x14ac:dyDescent="0.2"/>
    <row r="308" s="28" customFormat="1" ht="12.75" x14ac:dyDescent="0.2"/>
    <row r="309" s="28" customFormat="1" ht="12.75" x14ac:dyDescent="0.2"/>
    <row r="310" s="28" customFormat="1" ht="12.75" x14ac:dyDescent="0.2"/>
    <row r="311" s="28" customFormat="1" ht="12.75" x14ac:dyDescent="0.2"/>
    <row r="312" s="28" customFormat="1" ht="12.75" x14ac:dyDescent="0.2"/>
    <row r="313" s="28" customFormat="1" ht="12.75" x14ac:dyDescent="0.2"/>
    <row r="314" s="28" customFormat="1" ht="12.75" x14ac:dyDescent="0.2"/>
    <row r="315" s="28" customFormat="1" ht="12.75" x14ac:dyDescent="0.2"/>
    <row r="316" s="28" customFormat="1" ht="12.75" x14ac:dyDescent="0.2"/>
    <row r="317" s="28" customFormat="1" ht="12.75" x14ac:dyDescent="0.2"/>
    <row r="318" s="28" customFormat="1" ht="12.75" x14ac:dyDescent="0.2"/>
    <row r="319" s="28" customFormat="1" ht="12.75" x14ac:dyDescent="0.2"/>
    <row r="320" s="28" customFormat="1" ht="12.75" x14ac:dyDescent="0.2"/>
    <row r="321" s="28" customFormat="1" ht="12.75" x14ac:dyDescent="0.2"/>
    <row r="322" s="28" customFormat="1" ht="12.75" x14ac:dyDescent="0.2"/>
    <row r="323" s="28" customFormat="1" ht="12.75" x14ac:dyDescent="0.2"/>
    <row r="324" s="28" customFormat="1" ht="12.75" x14ac:dyDescent="0.2"/>
    <row r="325" s="28" customFormat="1" ht="12.75" x14ac:dyDescent="0.2"/>
    <row r="326" s="28" customFormat="1" ht="12.75" x14ac:dyDescent="0.2"/>
    <row r="327" s="28" customFormat="1" ht="12.75" x14ac:dyDescent="0.2"/>
    <row r="328" s="28" customFormat="1" ht="12.75" x14ac:dyDescent="0.2"/>
    <row r="329" s="28" customFormat="1" ht="12.75" x14ac:dyDescent="0.2"/>
    <row r="330" s="28" customFormat="1" ht="12.75" x14ac:dyDescent="0.2"/>
    <row r="331" s="28" customFormat="1" ht="12.75" x14ac:dyDescent="0.2"/>
    <row r="332" s="28" customFormat="1" ht="12.75" x14ac:dyDescent="0.2"/>
    <row r="333" s="28" customFormat="1" ht="12.75" x14ac:dyDescent="0.2"/>
    <row r="334" s="28" customFormat="1" ht="12.75" x14ac:dyDescent="0.2"/>
    <row r="335" s="28" customFormat="1" ht="12.75" x14ac:dyDescent="0.2"/>
    <row r="336" s="28" customFormat="1" ht="12.75" x14ac:dyDescent="0.2"/>
    <row r="337" s="28" customFormat="1" ht="12.75" x14ac:dyDescent="0.2"/>
    <row r="338" s="28" customFormat="1" ht="12.75" x14ac:dyDescent="0.2"/>
    <row r="339" s="28" customFormat="1" ht="12.75" x14ac:dyDescent="0.2"/>
    <row r="340" s="28" customFormat="1" ht="12.75" x14ac:dyDescent="0.2"/>
    <row r="341" s="28" customFormat="1" ht="12.75" x14ac:dyDescent="0.2"/>
    <row r="342" s="28" customFormat="1" ht="12.75" x14ac:dyDescent="0.2"/>
    <row r="343" s="28" customFormat="1" ht="12.75" x14ac:dyDescent="0.2"/>
    <row r="344" s="28" customFormat="1" ht="12.75" x14ac:dyDescent="0.2"/>
    <row r="345" s="28" customFormat="1" ht="12.75" x14ac:dyDescent="0.2"/>
    <row r="346" s="28" customFormat="1" ht="12.75" x14ac:dyDescent="0.2"/>
    <row r="347" s="28" customFormat="1" ht="12.75" x14ac:dyDescent="0.2"/>
    <row r="348" s="28" customFormat="1" ht="12.75" x14ac:dyDescent="0.2"/>
    <row r="349" s="28" customFormat="1" ht="12.75" x14ac:dyDescent="0.2"/>
    <row r="350" s="28" customFormat="1" ht="12.75" x14ac:dyDescent="0.2"/>
    <row r="351" s="28" customFormat="1" ht="12.75" x14ac:dyDescent="0.2"/>
    <row r="352" s="28" customFormat="1" ht="12.75" x14ac:dyDescent="0.2"/>
    <row r="353" s="28" customFormat="1" ht="12.75" x14ac:dyDescent="0.2"/>
    <row r="354" s="28" customFormat="1" ht="12.75" x14ac:dyDescent="0.2"/>
    <row r="355" s="28" customFormat="1" ht="12.75" x14ac:dyDescent="0.2"/>
    <row r="356" s="28" customFormat="1" ht="12.75" x14ac:dyDescent="0.2"/>
    <row r="357" s="28" customFormat="1" ht="12.75" x14ac:dyDescent="0.2"/>
    <row r="358" s="28" customFormat="1" ht="12.75" x14ac:dyDescent="0.2"/>
    <row r="359" s="28" customFormat="1" ht="12.75" x14ac:dyDescent="0.2"/>
    <row r="360" s="28" customFormat="1" ht="12.75" x14ac:dyDescent="0.2"/>
    <row r="361" s="28" customFormat="1" ht="12.75" x14ac:dyDescent="0.2"/>
    <row r="362" s="28" customFormat="1" ht="12.75" x14ac:dyDescent="0.2"/>
    <row r="363" s="28" customFormat="1" ht="12.75" x14ac:dyDescent="0.2"/>
    <row r="364" s="28" customFormat="1" ht="12.75" x14ac:dyDescent="0.2"/>
    <row r="365" s="28" customFormat="1" ht="12.75" x14ac:dyDescent="0.2"/>
    <row r="366" s="28" customFormat="1" ht="12.75" x14ac:dyDescent="0.2"/>
    <row r="367" s="28" customFormat="1" ht="12.75" x14ac:dyDescent="0.2"/>
    <row r="368" s="28" customFormat="1" ht="12.75" x14ac:dyDescent="0.2"/>
    <row r="369" s="28" customFormat="1" ht="12.75" x14ac:dyDescent="0.2"/>
    <row r="370" s="28" customFormat="1" ht="12.75" x14ac:dyDescent="0.2"/>
    <row r="371" s="28" customFormat="1" ht="12.75" x14ac:dyDescent="0.2"/>
    <row r="372" s="28" customFormat="1" ht="12.75" x14ac:dyDescent="0.2"/>
    <row r="373" s="28" customFormat="1" ht="12.75" x14ac:dyDescent="0.2"/>
    <row r="374" s="28" customFormat="1" ht="12.75" x14ac:dyDescent="0.2"/>
    <row r="375" s="28" customFormat="1" ht="12.75" x14ac:dyDescent="0.2"/>
    <row r="376" s="28" customFormat="1" ht="12.75" x14ac:dyDescent="0.2"/>
    <row r="377" s="28" customFormat="1" ht="12.75" x14ac:dyDescent="0.2"/>
    <row r="378" s="28" customFormat="1" ht="12.75" x14ac:dyDescent="0.2"/>
    <row r="379" s="28" customFormat="1" ht="12.75" x14ac:dyDescent="0.2"/>
    <row r="380" s="28" customFormat="1" ht="12.75" x14ac:dyDescent="0.2"/>
    <row r="381" s="28" customFormat="1" ht="12.75" x14ac:dyDescent="0.2"/>
    <row r="382" s="28" customFormat="1" ht="12.75" x14ac:dyDescent="0.2"/>
    <row r="383" s="28" customFormat="1" ht="12.75" x14ac:dyDescent="0.2"/>
    <row r="384" s="28" customFormat="1" ht="12.75" x14ac:dyDescent="0.2"/>
    <row r="385" s="28" customFormat="1" ht="12.75" x14ac:dyDescent="0.2"/>
    <row r="386" s="28" customFormat="1" ht="12.75" x14ac:dyDescent="0.2"/>
    <row r="387" s="28" customFormat="1" ht="12.75" x14ac:dyDescent="0.2"/>
    <row r="388" s="28" customFormat="1" ht="12.75" x14ac:dyDescent="0.2"/>
    <row r="389" s="28" customFormat="1" ht="12.75" x14ac:dyDescent="0.2"/>
    <row r="390" s="28" customFormat="1" ht="12.75" x14ac:dyDescent="0.2"/>
    <row r="391" s="28" customFormat="1" ht="12.75" x14ac:dyDescent="0.2"/>
    <row r="392" s="28" customFormat="1" ht="12.75" x14ac:dyDescent="0.2"/>
    <row r="393" s="28" customFormat="1" ht="12.75" x14ac:dyDescent="0.2"/>
    <row r="394" s="28" customFormat="1" ht="12.75" x14ac:dyDescent="0.2"/>
    <row r="395" s="28" customFormat="1" ht="12.75" x14ac:dyDescent="0.2"/>
    <row r="396" s="28" customFormat="1" ht="12.75" x14ac:dyDescent="0.2"/>
    <row r="397" s="28" customFormat="1" ht="12.75" x14ac:dyDescent="0.2"/>
    <row r="398" s="28" customFormat="1" ht="12.75" x14ac:dyDescent="0.2"/>
    <row r="399" s="28" customFormat="1" ht="12.75" x14ac:dyDescent="0.2"/>
    <row r="400" s="28" customFormat="1" ht="12.75" x14ac:dyDescent="0.2"/>
    <row r="401" s="28" customFormat="1" ht="12.75" x14ac:dyDescent="0.2"/>
    <row r="402" s="28" customFormat="1" ht="12.75" x14ac:dyDescent="0.2"/>
    <row r="403" s="28" customFormat="1" ht="12.75" x14ac:dyDescent="0.2"/>
    <row r="404" s="28" customFormat="1" ht="12.75" x14ac:dyDescent="0.2"/>
    <row r="405" s="28" customFormat="1" ht="12.75" x14ac:dyDescent="0.2"/>
    <row r="406" s="28" customFormat="1" ht="12.75" x14ac:dyDescent="0.2"/>
    <row r="407" s="28" customFormat="1" ht="12.75" x14ac:dyDescent="0.2"/>
    <row r="408" s="28" customFormat="1" ht="12.75" x14ac:dyDescent="0.2"/>
    <row r="409" s="28" customFormat="1" ht="12.75" x14ac:dyDescent="0.2"/>
    <row r="410" s="28" customFormat="1" ht="12.75" x14ac:dyDescent="0.2"/>
    <row r="411" s="28" customFormat="1" ht="12.75" x14ac:dyDescent="0.2"/>
    <row r="412" s="28" customFormat="1" ht="12.75" x14ac:dyDescent="0.2"/>
    <row r="413" s="28" customFormat="1" ht="12.75" x14ac:dyDescent="0.2"/>
    <row r="414" s="28" customFormat="1" ht="12.75" x14ac:dyDescent="0.2"/>
    <row r="415" s="28" customFormat="1" ht="12.75" x14ac:dyDescent="0.2"/>
    <row r="416" s="28" customFormat="1" ht="12.75" x14ac:dyDescent="0.2"/>
    <row r="417" s="28" customFormat="1" ht="12.75" x14ac:dyDescent="0.2"/>
    <row r="418" s="28" customFormat="1" ht="12.75" x14ac:dyDescent="0.2"/>
    <row r="419" s="28" customFormat="1" ht="12.75" x14ac:dyDescent="0.2"/>
    <row r="420" s="28" customFormat="1" ht="12.75" x14ac:dyDescent="0.2"/>
    <row r="421" s="28" customFormat="1" ht="12.75" x14ac:dyDescent="0.2"/>
    <row r="422" s="28" customFormat="1" ht="12.75" x14ac:dyDescent="0.2"/>
    <row r="423" s="28" customFormat="1" ht="12.75" x14ac:dyDescent="0.2"/>
    <row r="424" s="28" customFormat="1" ht="12.75" x14ac:dyDescent="0.2"/>
    <row r="425" s="28" customFormat="1" ht="12.75" x14ac:dyDescent="0.2"/>
    <row r="426" s="28" customFormat="1" ht="12.75" x14ac:dyDescent="0.2"/>
    <row r="427" s="28" customFormat="1" ht="12.75" x14ac:dyDescent="0.2"/>
    <row r="428" s="28" customFormat="1" ht="12.75" x14ac:dyDescent="0.2"/>
    <row r="429" s="28" customFormat="1" ht="12.75" x14ac:dyDescent="0.2"/>
    <row r="430" s="28" customFormat="1" ht="12.75" x14ac:dyDescent="0.2"/>
    <row r="431" s="28" customFormat="1" ht="12.75" x14ac:dyDescent="0.2"/>
    <row r="432" s="28" customFormat="1" ht="12.75" x14ac:dyDescent="0.2"/>
    <row r="433" s="28" customFormat="1" ht="12.75" x14ac:dyDescent="0.2"/>
    <row r="434" s="28" customFormat="1" ht="12.75" x14ac:dyDescent="0.2"/>
    <row r="435" s="28" customFormat="1" ht="12.75" x14ac:dyDescent="0.2"/>
    <row r="436" s="28" customFormat="1" ht="12.75" x14ac:dyDescent="0.2"/>
    <row r="437" s="28" customFormat="1" ht="12.75" x14ac:dyDescent="0.2"/>
    <row r="438" s="28" customFormat="1" ht="12.75" x14ac:dyDescent="0.2"/>
    <row r="439" s="28" customFormat="1" ht="12.75" x14ac:dyDescent="0.2"/>
    <row r="440" s="28" customFormat="1" ht="12.75" x14ac:dyDescent="0.2"/>
    <row r="441" s="28" customFormat="1" ht="12.75" x14ac:dyDescent="0.2"/>
    <row r="442" s="28" customFormat="1" ht="12.75" x14ac:dyDescent="0.2"/>
    <row r="443" s="28" customFormat="1" ht="12.75" x14ac:dyDescent="0.2"/>
    <row r="444" s="28" customFormat="1" ht="12.75" x14ac:dyDescent="0.2"/>
    <row r="445" s="28" customFormat="1" ht="12.75" x14ac:dyDescent="0.2"/>
    <row r="446" s="28" customFormat="1" ht="12.75" x14ac:dyDescent="0.2"/>
    <row r="447" s="28" customFormat="1" ht="12.75" x14ac:dyDescent="0.2"/>
    <row r="448" s="28" customFormat="1" ht="12.75" x14ac:dyDescent="0.2"/>
    <row r="449" s="28" customFormat="1" ht="12.75" x14ac:dyDescent="0.2"/>
    <row r="450" s="28" customFormat="1" ht="12.75" x14ac:dyDescent="0.2"/>
    <row r="451" s="28" customFormat="1" ht="12.75" x14ac:dyDescent="0.2"/>
    <row r="452" s="28" customFormat="1" ht="12.75" x14ac:dyDescent="0.2"/>
    <row r="453" s="28" customFormat="1" ht="12.75" x14ac:dyDescent="0.2"/>
    <row r="454" s="28" customFormat="1" ht="12.75" x14ac:dyDescent="0.2"/>
    <row r="455" s="28" customFormat="1" ht="12.75" x14ac:dyDescent="0.2"/>
    <row r="456" s="28" customFormat="1" ht="12.75" x14ac:dyDescent="0.2"/>
    <row r="457" s="28" customFormat="1" ht="12.75" x14ac:dyDescent="0.2"/>
    <row r="458" s="28" customFormat="1" ht="12.75" x14ac:dyDescent="0.2"/>
    <row r="459" s="28" customFormat="1" ht="12.75" x14ac:dyDescent="0.2"/>
    <row r="460" s="28" customFormat="1" ht="12.75" x14ac:dyDescent="0.2"/>
    <row r="461" s="28" customFormat="1" ht="12.75" x14ac:dyDescent="0.2"/>
    <row r="462" s="28" customFormat="1" ht="12.75" x14ac:dyDescent="0.2"/>
    <row r="463" s="28" customFormat="1" ht="12.75" x14ac:dyDescent="0.2"/>
    <row r="464" s="28" customFormat="1" ht="12.75" x14ac:dyDescent="0.2"/>
    <row r="465" s="28" customFormat="1" ht="12.75" x14ac:dyDescent="0.2"/>
    <row r="466" s="28" customFormat="1" ht="12.75" x14ac:dyDescent="0.2"/>
    <row r="467" s="28" customFormat="1" ht="12.75" x14ac:dyDescent="0.2"/>
    <row r="468" s="28" customFormat="1" ht="12.75" x14ac:dyDescent="0.2"/>
    <row r="469" s="28" customFormat="1" ht="12.75" x14ac:dyDescent="0.2"/>
    <row r="470" s="28" customFormat="1" ht="12.75" x14ac:dyDescent="0.2"/>
    <row r="471" s="28" customFormat="1" ht="12.75" x14ac:dyDescent="0.2"/>
    <row r="472" s="28" customFormat="1" ht="12.75" x14ac:dyDescent="0.2"/>
    <row r="473" s="28" customFormat="1" ht="12.75" x14ac:dyDescent="0.2"/>
    <row r="474" s="28" customFormat="1" ht="12.75" x14ac:dyDescent="0.2"/>
    <row r="475" s="28" customFormat="1" ht="12.75" x14ac:dyDescent="0.2"/>
    <row r="476" s="28" customFormat="1" ht="12.75" x14ac:dyDescent="0.2"/>
    <row r="477" s="28" customFormat="1" ht="12.75" x14ac:dyDescent="0.2"/>
    <row r="478" s="28" customFormat="1" ht="12.75" x14ac:dyDescent="0.2"/>
    <row r="479" s="28" customFormat="1" ht="12.75" x14ac:dyDescent="0.2"/>
    <row r="480" s="28" customFormat="1" ht="12.75" x14ac:dyDescent="0.2"/>
    <row r="481" s="28" customFormat="1" ht="12.75" x14ac:dyDescent="0.2"/>
    <row r="482" s="28" customFormat="1" ht="12.75" x14ac:dyDescent="0.2"/>
    <row r="483" s="28" customFormat="1" ht="12.75" x14ac:dyDescent="0.2"/>
    <row r="484" s="28" customFormat="1" ht="12.75" x14ac:dyDescent="0.2"/>
    <row r="485" s="28" customFormat="1" ht="12.75" x14ac:dyDescent="0.2"/>
    <row r="486" s="28" customFormat="1" ht="12.75" x14ac:dyDescent="0.2"/>
    <row r="487" s="28" customFormat="1" ht="12.75" x14ac:dyDescent="0.2"/>
    <row r="488" s="28" customFormat="1" ht="12.75" x14ac:dyDescent="0.2"/>
    <row r="489" s="28" customFormat="1" ht="12.75" x14ac:dyDescent="0.2"/>
    <row r="490" s="28" customFormat="1" ht="12.75" x14ac:dyDescent="0.2"/>
    <row r="491" s="28" customFormat="1" ht="12.75" x14ac:dyDescent="0.2"/>
    <row r="492" s="28" customFormat="1" ht="12.75" x14ac:dyDescent="0.2"/>
    <row r="493" s="28" customFormat="1" ht="12.75" x14ac:dyDescent="0.2"/>
    <row r="494" s="28" customFormat="1" ht="12.75" x14ac:dyDescent="0.2"/>
    <row r="495" s="28" customFormat="1" ht="12.75" x14ac:dyDescent="0.2"/>
    <row r="496" s="28" customFormat="1" ht="12.75" x14ac:dyDescent="0.2"/>
    <row r="497" s="28" customFormat="1" ht="12.75" x14ac:dyDescent="0.2"/>
    <row r="498" s="28" customFormat="1" ht="12.75" x14ac:dyDescent="0.2"/>
    <row r="499" s="28" customFormat="1" ht="12.75" x14ac:dyDescent="0.2"/>
    <row r="500" s="28" customFormat="1" ht="12.75" x14ac:dyDescent="0.2"/>
    <row r="501" s="28" customFormat="1" ht="12.75" x14ac:dyDescent="0.2"/>
    <row r="502" s="28" customFormat="1" ht="12.75" x14ac:dyDescent="0.2"/>
    <row r="503" s="28" customFormat="1" ht="12.75" x14ac:dyDescent="0.2"/>
    <row r="504" s="28" customFormat="1" ht="12.75" x14ac:dyDescent="0.2"/>
    <row r="505" s="28" customFormat="1" ht="12.75" x14ac:dyDescent="0.2"/>
    <row r="506" s="28" customFormat="1" ht="12.75" x14ac:dyDescent="0.2"/>
    <row r="507" s="28" customFormat="1" ht="12.75" x14ac:dyDescent="0.2"/>
    <row r="508" s="28" customFormat="1" ht="12.75" x14ac:dyDescent="0.2"/>
    <row r="509" s="28" customFormat="1" ht="12.75" x14ac:dyDescent="0.2"/>
    <row r="510" s="28" customFormat="1" ht="12.75" x14ac:dyDescent="0.2"/>
    <row r="511" s="28" customFormat="1" ht="12.75" x14ac:dyDescent="0.2"/>
    <row r="512" s="28" customFormat="1" ht="12.75" x14ac:dyDescent="0.2"/>
    <row r="513" s="28" customFormat="1" ht="12.75" x14ac:dyDescent="0.2"/>
    <row r="514" s="28" customFormat="1" ht="12.75" x14ac:dyDescent="0.2"/>
    <row r="515" s="28" customFormat="1" ht="12.75" x14ac:dyDescent="0.2"/>
    <row r="516" s="28" customFormat="1" ht="12.75" x14ac:dyDescent="0.2"/>
    <row r="517" s="28" customFormat="1" ht="12.75" x14ac:dyDescent="0.2"/>
    <row r="518" s="28" customFormat="1" ht="12.75" x14ac:dyDescent="0.2"/>
    <row r="519" s="28" customFormat="1" ht="12.75" x14ac:dyDescent="0.2"/>
    <row r="520" s="28" customFormat="1" ht="12.75" x14ac:dyDescent="0.2"/>
    <row r="521" s="28" customFormat="1" ht="12.75" x14ac:dyDescent="0.2"/>
    <row r="522" s="28" customFormat="1" ht="12.75" x14ac:dyDescent="0.2"/>
    <row r="523" s="28" customFormat="1" ht="12.75" x14ac:dyDescent="0.2"/>
    <row r="524" s="28" customFormat="1" ht="12.75" x14ac:dyDescent="0.2"/>
    <row r="525" s="28" customFormat="1" ht="12.75" x14ac:dyDescent="0.2"/>
    <row r="526" s="28" customFormat="1" ht="12.75" x14ac:dyDescent="0.2"/>
    <row r="527" s="28" customFormat="1" ht="12.75" x14ac:dyDescent="0.2"/>
    <row r="528" s="28" customFormat="1" ht="12.75" x14ac:dyDescent="0.2"/>
    <row r="529" s="28" customFormat="1" ht="12.75" x14ac:dyDescent="0.2"/>
    <row r="530" s="28" customFormat="1" ht="12.75" x14ac:dyDescent="0.2"/>
    <row r="531" s="28" customFormat="1" ht="12.75" x14ac:dyDescent="0.2"/>
    <row r="532" s="28" customFormat="1" ht="12.75" x14ac:dyDescent="0.2"/>
    <row r="533" s="28" customFormat="1" ht="12.75" x14ac:dyDescent="0.2"/>
    <row r="534" s="28" customFormat="1" ht="12.75" x14ac:dyDescent="0.2"/>
    <row r="535" s="28" customFormat="1" ht="12.75" x14ac:dyDescent="0.2"/>
    <row r="536" s="28" customFormat="1" ht="12.75" x14ac:dyDescent="0.2"/>
    <row r="537" s="28" customFormat="1" ht="12.75" x14ac:dyDescent="0.2"/>
    <row r="538" s="28" customFormat="1" ht="12.75" x14ac:dyDescent="0.2"/>
    <row r="539" s="28" customFormat="1" ht="12.75" x14ac:dyDescent="0.2"/>
    <row r="540" s="28" customFormat="1" ht="12.75" x14ac:dyDescent="0.2"/>
    <row r="541" s="28" customFormat="1" ht="12.75" x14ac:dyDescent="0.2"/>
    <row r="542" s="28" customFormat="1" ht="12.75" x14ac:dyDescent="0.2"/>
    <row r="543" s="28" customFormat="1" ht="12.75" x14ac:dyDescent="0.2"/>
    <row r="544" s="28" customFormat="1" ht="12.75" x14ac:dyDescent="0.2"/>
    <row r="545" s="28" customFormat="1" ht="12.75" x14ac:dyDescent="0.2"/>
    <row r="546" s="28" customFormat="1" ht="12.75" x14ac:dyDescent="0.2"/>
    <row r="547" s="28" customFormat="1" ht="12.75" x14ac:dyDescent="0.2"/>
    <row r="548" s="28" customFormat="1" ht="12.75" x14ac:dyDescent="0.2"/>
    <row r="549" s="28" customFormat="1" ht="12.75" x14ac:dyDescent="0.2"/>
    <row r="550" s="28" customFormat="1" ht="12.75" x14ac:dyDescent="0.2"/>
    <row r="551" s="28" customFormat="1" ht="12.75" x14ac:dyDescent="0.2"/>
    <row r="552" s="28" customFormat="1" ht="12.75" x14ac:dyDescent="0.2"/>
    <row r="553" s="28" customFormat="1" ht="12.75" x14ac:dyDescent="0.2"/>
    <row r="554" s="28" customFormat="1" ht="12.75" x14ac:dyDescent="0.2"/>
    <row r="555" s="28" customFormat="1" ht="12.75" x14ac:dyDescent="0.2"/>
    <row r="556" s="28" customFormat="1" ht="12.75" x14ac:dyDescent="0.2"/>
    <row r="557" s="28" customFormat="1" ht="12.75" x14ac:dyDescent="0.2"/>
    <row r="558" s="28" customFormat="1" ht="12.75" x14ac:dyDescent="0.2"/>
    <row r="559" s="28" customFormat="1" ht="12.75" x14ac:dyDescent="0.2"/>
    <row r="560" s="28" customFormat="1" ht="12.75" x14ac:dyDescent="0.2"/>
    <row r="561" s="28" customFormat="1" ht="12.75" x14ac:dyDescent="0.2"/>
    <row r="562" s="28" customFormat="1" ht="12.75" x14ac:dyDescent="0.2"/>
    <row r="563" s="28" customFormat="1" ht="12.75" x14ac:dyDescent="0.2"/>
    <row r="564" s="28" customFormat="1" ht="12.75" x14ac:dyDescent="0.2"/>
    <row r="565" s="28" customFormat="1" ht="12.75" x14ac:dyDescent="0.2"/>
    <row r="566" s="28" customFormat="1" ht="12.75" x14ac:dyDescent="0.2"/>
    <row r="567" s="28" customFormat="1" ht="12.75" x14ac:dyDescent="0.2"/>
    <row r="568" s="28" customFormat="1" ht="12.75" x14ac:dyDescent="0.2"/>
    <row r="569" s="28" customFormat="1" ht="12.75" x14ac:dyDescent="0.2"/>
    <row r="570" s="28" customFormat="1" ht="12.75" x14ac:dyDescent="0.2"/>
    <row r="571" s="28" customFormat="1" ht="12.75" x14ac:dyDescent="0.2"/>
    <row r="572" s="28" customFormat="1" ht="12.75" x14ac:dyDescent="0.2"/>
    <row r="573" s="28" customFormat="1" ht="12.75" x14ac:dyDescent="0.2"/>
    <row r="574" s="28" customFormat="1" ht="12.75" x14ac:dyDescent="0.2"/>
    <row r="575" s="28" customFormat="1" ht="12.75" x14ac:dyDescent="0.2"/>
    <row r="576" s="28" customFormat="1" ht="12.75" x14ac:dyDescent="0.2"/>
    <row r="577" s="28" customFormat="1" ht="12.75" x14ac:dyDescent="0.2"/>
    <row r="578" s="28" customFormat="1" ht="12.75" x14ac:dyDescent="0.2"/>
    <row r="579" s="28" customFormat="1" ht="12.75" x14ac:dyDescent="0.2"/>
    <row r="580" s="28" customFormat="1" ht="12.75" x14ac:dyDescent="0.2"/>
    <row r="581" s="28" customFormat="1" ht="12.75" x14ac:dyDescent="0.2"/>
    <row r="582" s="28" customFormat="1" ht="12.75" x14ac:dyDescent="0.2"/>
    <row r="583" s="28" customFormat="1" ht="12.75" x14ac:dyDescent="0.2"/>
    <row r="584" s="28" customFormat="1" ht="12.75" x14ac:dyDescent="0.2"/>
    <row r="585" s="28" customFormat="1" ht="12.75" x14ac:dyDescent="0.2"/>
    <row r="586" s="28" customFormat="1" ht="12.75" x14ac:dyDescent="0.2"/>
    <row r="587" s="28" customFormat="1" ht="12.75" x14ac:dyDescent="0.2"/>
    <row r="588" s="28" customFormat="1" ht="12.75" x14ac:dyDescent="0.2"/>
    <row r="589" s="28" customFormat="1" ht="12.75" x14ac:dyDescent="0.2"/>
    <row r="590" s="28" customFormat="1" ht="12.75" x14ac:dyDescent="0.2"/>
    <row r="591" s="28" customFormat="1" ht="12.75" x14ac:dyDescent="0.2"/>
    <row r="592" s="28" customFormat="1" ht="12.75" x14ac:dyDescent="0.2"/>
    <row r="593" s="28" customFormat="1" ht="12.75" x14ac:dyDescent="0.2"/>
    <row r="594" s="28" customFormat="1" ht="12.75" x14ac:dyDescent="0.2"/>
    <row r="595" s="28" customFormat="1" ht="12.75" x14ac:dyDescent="0.2"/>
    <row r="596" s="28" customFormat="1" ht="12.75" x14ac:dyDescent="0.2"/>
    <row r="597" s="28" customFormat="1" ht="12.75" x14ac:dyDescent="0.2"/>
    <row r="598" s="28" customFormat="1" ht="12.75" x14ac:dyDescent="0.2"/>
    <row r="599" s="28" customFormat="1" ht="12.75" x14ac:dyDescent="0.2"/>
    <row r="600" s="28" customFormat="1" ht="12.75" x14ac:dyDescent="0.2"/>
    <row r="601" s="28" customFormat="1" ht="12.75" x14ac:dyDescent="0.2"/>
    <row r="602" s="28" customFormat="1" ht="12.75" x14ac:dyDescent="0.2"/>
    <row r="603" s="28" customFormat="1" ht="12.75" x14ac:dyDescent="0.2"/>
    <row r="604" s="28" customFormat="1" ht="12.75" x14ac:dyDescent="0.2"/>
    <row r="605" s="28" customFormat="1" ht="12.75" x14ac:dyDescent="0.2"/>
    <row r="606" s="28" customFormat="1" ht="12.75" x14ac:dyDescent="0.2"/>
    <row r="607" s="28" customFormat="1" ht="12.75" x14ac:dyDescent="0.2"/>
    <row r="608" s="28" customFormat="1" ht="12.75" x14ac:dyDescent="0.2"/>
    <row r="609" s="28" customFormat="1" ht="12.75" x14ac:dyDescent="0.2"/>
    <row r="610" s="28" customFormat="1" ht="12.75" x14ac:dyDescent="0.2"/>
    <row r="611" s="28" customFormat="1" ht="12.75" x14ac:dyDescent="0.2"/>
    <row r="612" s="28" customFormat="1" ht="12.75" x14ac:dyDescent="0.2"/>
    <row r="613" s="28" customFormat="1" ht="12.75" x14ac:dyDescent="0.2"/>
    <row r="614" s="28" customFormat="1" ht="12.75" x14ac:dyDescent="0.2"/>
    <row r="615" s="28" customFormat="1" ht="12.75" x14ac:dyDescent="0.2"/>
    <row r="616" s="28" customFormat="1" ht="12.75" x14ac:dyDescent="0.2"/>
    <row r="617" s="28" customFormat="1" ht="12.75" x14ac:dyDescent="0.2"/>
    <row r="618" s="28" customFormat="1" ht="12.75" x14ac:dyDescent="0.2"/>
    <row r="619" s="28" customFormat="1" ht="12.75" x14ac:dyDescent="0.2"/>
    <row r="620" s="28" customFormat="1" ht="12.75" x14ac:dyDescent="0.2"/>
    <row r="621" s="28" customFormat="1" ht="12.75" x14ac:dyDescent="0.2"/>
    <row r="622" s="28" customFormat="1" ht="12.75" x14ac:dyDescent="0.2"/>
    <row r="623" s="28" customFormat="1" ht="12.75" x14ac:dyDescent="0.2"/>
    <row r="624" s="28" customFormat="1" ht="12.75" x14ac:dyDescent="0.2"/>
    <row r="625" s="28" customFormat="1" ht="12.75" x14ac:dyDescent="0.2"/>
    <row r="626" s="28" customFormat="1" ht="12.75" x14ac:dyDescent="0.2"/>
    <row r="627" s="28" customFormat="1" ht="12.75" x14ac:dyDescent="0.2"/>
    <row r="628" s="28" customFormat="1" ht="12.75" x14ac:dyDescent="0.2"/>
    <row r="629" s="28" customFormat="1" ht="12.75" x14ac:dyDescent="0.2"/>
    <row r="630" s="28" customFormat="1" ht="12.75" x14ac:dyDescent="0.2"/>
    <row r="631" s="28" customFormat="1" ht="12.75" x14ac:dyDescent="0.2"/>
    <row r="632" s="28" customFormat="1" ht="12.75" x14ac:dyDescent="0.2"/>
    <row r="633" s="28" customFormat="1" ht="12.75" x14ac:dyDescent="0.2"/>
    <row r="634" s="28" customFormat="1" ht="12.75" x14ac:dyDescent="0.2"/>
    <row r="635" s="28" customFormat="1" ht="12.75" x14ac:dyDescent="0.2"/>
    <row r="636" s="28" customFormat="1" ht="12.75" x14ac:dyDescent="0.2"/>
    <row r="637" s="28" customFormat="1" ht="12.75" x14ac:dyDescent="0.2"/>
    <row r="638" s="28" customFormat="1" ht="12.75" x14ac:dyDescent="0.2"/>
    <row r="639" s="28" customFormat="1" ht="12.75" x14ac:dyDescent="0.2"/>
    <row r="640" s="28" customFormat="1" ht="12.75" x14ac:dyDescent="0.2"/>
    <row r="641" s="28" customFormat="1" ht="12.75" x14ac:dyDescent="0.2"/>
    <row r="642" s="28" customFormat="1" ht="12.75" x14ac:dyDescent="0.2"/>
    <row r="643" s="28" customFormat="1" ht="12.75" x14ac:dyDescent="0.2"/>
    <row r="644" s="28" customFormat="1" ht="12.75" x14ac:dyDescent="0.2"/>
    <row r="645" s="28" customFormat="1" ht="12.75" x14ac:dyDescent="0.2"/>
    <row r="646" s="28" customFormat="1" ht="12.75" x14ac:dyDescent="0.2"/>
    <row r="647" s="28" customFormat="1" ht="12.75" x14ac:dyDescent="0.2"/>
    <row r="648" s="28" customFormat="1" ht="12.75" x14ac:dyDescent="0.2"/>
    <row r="649" s="28" customFormat="1" ht="12.75" x14ac:dyDescent="0.2"/>
    <row r="650" s="28" customFormat="1" ht="12.75" x14ac:dyDescent="0.2"/>
    <row r="651" s="28" customFormat="1" ht="12.75" x14ac:dyDescent="0.2"/>
    <row r="652" s="28" customFormat="1" ht="12.75" x14ac:dyDescent="0.2"/>
    <row r="653" s="28" customFormat="1" ht="12.75" x14ac:dyDescent="0.2"/>
    <row r="654" s="28" customFormat="1" ht="12.75" x14ac:dyDescent="0.2"/>
    <row r="655" s="28" customFormat="1" ht="12.75" x14ac:dyDescent="0.2"/>
    <row r="656" s="28" customFormat="1" ht="12.75" x14ac:dyDescent="0.2"/>
    <row r="657" s="28" customFormat="1" ht="12.75" x14ac:dyDescent="0.2"/>
    <row r="658" s="28" customFormat="1" ht="12.75" x14ac:dyDescent="0.2"/>
    <row r="659" s="28" customFormat="1" ht="12.75" x14ac:dyDescent="0.2"/>
    <row r="660" s="28" customFormat="1" ht="12.75" x14ac:dyDescent="0.2"/>
    <row r="661" s="28" customFormat="1" ht="12.75" x14ac:dyDescent="0.2"/>
    <row r="662" s="28" customFormat="1" ht="12.75" x14ac:dyDescent="0.2"/>
    <row r="663" s="28" customFormat="1" ht="12.75" x14ac:dyDescent="0.2"/>
    <row r="664" s="28" customFormat="1" ht="12.75" x14ac:dyDescent="0.2"/>
    <row r="665" s="28" customFormat="1" ht="12.75" x14ac:dyDescent="0.2"/>
    <row r="666" s="28" customFormat="1" ht="12.75" x14ac:dyDescent="0.2"/>
    <row r="667" s="28" customFormat="1" ht="12.75" x14ac:dyDescent="0.2"/>
    <row r="668" s="28" customFormat="1" ht="12.75" x14ac:dyDescent="0.2"/>
    <row r="669" s="28" customFormat="1" ht="12.75" x14ac:dyDescent="0.2"/>
    <row r="670" s="28" customFormat="1" ht="12.75" x14ac:dyDescent="0.2"/>
    <row r="671" s="28" customFormat="1" ht="12.75" x14ac:dyDescent="0.2"/>
    <row r="672" s="28" customFormat="1" ht="12.75" x14ac:dyDescent="0.2"/>
    <row r="673" s="28" customFormat="1" ht="12.75" x14ac:dyDescent="0.2"/>
    <row r="674" s="28" customFormat="1" ht="12.75" x14ac:dyDescent="0.2"/>
    <row r="675" s="28" customFormat="1" ht="12.75" x14ac:dyDescent="0.2"/>
    <row r="676" s="28" customFormat="1" ht="12.75" x14ac:dyDescent="0.2"/>
    <row r="677" s="28" customFormat="1" ht="12.75" x14ac:dyDescent="0.2"/>
    <row r="678" s="28" customFormat="1" ht="12.75" x14ac:dyDescent="0.2"/>
    <row r="679" s="28" customFormat="1" ht="12.75" x14ac:dyDescent="0.2"/>
    <row r="680" s="28" customFormat="1" ht="12.75" x14ac:dyDescent="0.2"/>
    <row r="681" s="28" customFormat="1" ht="12.75" x14ac:dyDescent="0.2"/>
    <row r="682" s="28" customFormat="1" ht="12.75" x14ac:dyDescent="0.2"/>
    <row r="683" s="28" customFormat="1" ht="12.75" x14ac:dyDescent="0.2"/>
    <row r="684" s="28" customFormat="1" ht="12.75" x14ac:dyDescent="0.2"/>
    <row r="685" s="28" customFormat="1" ht="12.75" x14ac:dyDescent="0.2"/>
    <row r="686" s="28" customFormat="1" ht="12.75" x14ac:dyDescent="0.2"/>
    <row r="687" s="28" customFormat="1" ht="12.75" x14ac:dyDescent="0.2"/>
    <row r="688" s="28" customFormat="1" ht="12.75" x14ac:dyDescent="0.2"/>
    <row r="689" s="28" customFormat="1" ht="12.75" x14ac:dyDescent="0.2"/>
    <row r="690" s="28" customFormat="1" ht="12.75" x14ac:dyDescent="0.2"/>
    <row r="691" s="28" customFormat="1" ht="12.75" x14ac:dyDescent="0.2"/>
    <row r="692" s="28" customFormat="1" ht="12.75" x14ac:dyDescent="0.2"/>
    <row r="693" s="28" customFormat="1" ht="12.75" x14ac:dyDescent="0.2"/>
    <row r="694" s="28" customFormat="1" ht="12.75" x14ac:dyDescent="0.2"/>
    <row r="695" s="28" customFormat="1" ht="12.75" x14ac:dyDescent="0.2"/>
    <row r="696" s="28" customFormat="1" ht="12.75" x14ac:dyDescent="0.2"/>
    <row r="697" s="28" customFormat="1" ht="12.75" x14ac:dyDescent="0.2"/>
    <row r="698" s="28" customFormat="1" ht="12.75" x14ac:dyDescent="0.2"/>
    <row r="699" s="28" customFormat="1" ht="12.75" x14ac:dyDescent="0.2"/>
    <row r="700" s="28" customFormat="1" ht="12.75" x14ac:dyDescent="0.2"/>
    <row r="701" s="28" customFormat="1" ht="12.75" x14ac:dyDescent="0.2"/>
    <row r="702" s="28" customFormat="1" ht="12.75" x14ac:dyDescent="0.2"/>
    <row r="703" s="28" customFormat="1" ht="12.75" x14ac:dyDescent="0.2"/>
    <row r="704" s="28" customFormat="1" ht="12.75" x14ac:dyDescent="0.2"/>
    <row r="705" s="28" customFormat="1" ht="12.75" x14ac:dyDescent="0.2"/>
    <row r="706" s="28" customFormat="1" ht="12.75" x14ac:dyDescent="0.2"/>
    <row r="707" s="28" customFormat="1" ht="12.75" x14ac:dyDescent="0.2"/>
    <row r="708" s="28" customFormat="1" ht="12.75" x14ac:dyDescent="0.2"/>
    <row r="709" s="28" customFormat="1" ht="12.75" x14ac:dyDescent="0.2"/>
    <row r="710" s="28" customFormat="1" ht="12.75" x14ac:dyDescent="0.2"/>
    <row r="711" s="28" customFormat="1" ht="12.75" x14ac:dyDescent="0.2"/>
    <row r="712" s="28" customFormat="1" ht="12.75" x14ac:dyDescent="0.2"/>
    <row r="713" s="28" customFormat="1" ht="12.75" x14ac:dyDescent="0.2"/>
    <row r="714" s="28" customFormat="1" ht="12.75" x14ac:dyDescent="0.2"/>
    <row r="715" s="28" customFormat="1" ht="12.75" x14ac:dyDescent="0.2"/>
    <row r="716" s="28" customFormat="1" ht="12.75" x14ac:dyDescent="0.2"/>
    <row r="717" s="28" customFormat="1" ht="12.75" x14ac:dyDescent="0.2"/>
    <row r="718" s="28" customFormat="1" ht="12.75" x14ac:dyDescent="0.2"/>
    <row r="719" s="28" customFormat="1" ht="12.75" x14ac:dyDescent="0.2"/>
    <row r="720" s="28" customFormat="1" ht="12.75" x14ac:dyDescent="0.2"/>
    <row r="721" s="28" customFormat="1" ht="12.75" x14ac:dyDescent="0.2"/>
    <row r="722" s="28" customFormat="1" ht="12.75" x14ac:dyDescent="0.2"/>
    <row r="723" s="28" customFormat="1" ht="12.75" x14ac:dyDescent="0.2"/>
    <row r="724" s="28" customFormat="1" ht="12.75" x14ac:dyDescent="0.2"/>
    <row r="725" s="28" customFormat="1" ht="12.75" x14ac:dyDescent="0.2"/>
    <row r="726" s="28" customFormat="1" ht="12.75" x14ac:dyDescent="0.2"/>
    <row r="727" s="28" customFormat="1" ht="12.75" x14ac:dyDescent="0.2"/>
    <row r="728" s="28" customFormat="1" ht="12.75" x14ac:dyDescent="0.2"/>
    <row r="729" s="28" customFormat="1" ht="12.75" x14ac:dyDescent="0.2"/>
    <row r="730" s="28" customFormat="1" ht="12.75" x14ac:dyDescent="0.2"/>
    <row r="731" s="28" customFormat="1" ht="12.75" x14ac:dyDescent="0.2"/>
    <row r="732" s="28" customFormat="1" ht="12.75" x14ac:dyDescent="0.2"/>
    <row r="733" s="28" customFormat="1" ht="12.75" x14ac:dyDescent="0.2"/>
    <row r="734" s="28" customFormat="1" ht="12.75" x14ac:dyDescent="0.2"/>
    <row r="735" s="28" customFormat="1" ht="12.75" x14ac:dyDescent="0.2"/>
    <row r="736" s="28" customFormat="1" ht="12.75" x14ac:dyDescent="0.2"/>
    <row r="737" s="28" customFormat="1" ht="12.75" x14ac:dyDescent="0.2"/>
    <row r="738" s="28" customFormat="1" ht="12.75" x14ac:dyDescent="0.2"/>
    <row r="739" s="28" customFormat="1" ht="12.75" x14ac:dyDescent="0.2"/>
    <row r="740" s="28" customFormat="1" ht="12.75" x14ac:dyDescent="0.2"/>
    <row r="741" s="28" customFormat="1" ht="12.75" x14ac:dyDescent="0.2"/>
    <row r="742" s="28" customFormat="1" ht="12.75" x14ac:dyDescent="0.2"/>
    <row r="743" s="28" customFormat="1" ht="12.75" x14ac:dyDescent="0.2"/>
    <row r="744" s="28" customFormat="1" ht="12.75" x14ac:dyDescent="0.2"/>
    <row r="745" s="28" customFormat="1" ht="12.75" x14ac:dyDescent="0.2"/>
    <row r="746" s="28" customFormat="1" ht="12.75" x14ac:dyDescent="0.2"/>
    <row r="747" s="28" customFormat="1" ht="12.75" x14ac:dyDescent="0.2"/>
    <row r="748" s="28" customFormat="1" ht="12.75" x14ac:dyDescent="0.2"/>
    <row r="749" s="28" customFormat="1" ht="12.75" x14ac:dyDescent="0.2"/>
    <row r="750" s="28" customFormat="1" ht="12.75" x14ac:dyDescent="0.2"/>
    <row r="751" s="28" customFormat="1" ht="12.75" x14ac:dyDescent="0.2"/>
    <row r="752" s="28" customFormat="1" ht="12.75" x14ac:dyDescent="0.2"/>
    <row r="753" s="28" customFormat="1" ht="12.75" x14ac:dyDescent="0.2"/>
    <row r="754" s="28" customFormat="1" ht="12.75" x14ac:dyDescent="0.2"/>
    <row r="755" s="28" customFormat="1" ht="12.75" x14ac:dyDescent="0.2"/>
    <row r="756" s="28" customFormat="1" ht="12.75" x14ac:dyDescent="0.2"/>
    <row r="757" s="28" customFormat="1" ht="12.75" x14ac:dyDescent="0.2"/>
    <row r="758" s="28" customFormat="1" ht="12.75" x14ac:dyDescent="0.2"/>
    <row r="759" s="28" customFormat="1" ht="12.75" x14ac:dyDescent="0.2"/>
    <row r="760" s="28" customFormat="1" ht="12.75" x14ac:dyDescent="0.2"/>
    <row r="761" s="28" customFormat="1" ht="12.75" x14ac:dyDescent="0.2"/>
    <row r="762" s="28" customFormat="1" ht="12.75" x14ac:dyDescent="0.2"/>
    <row r="763" s="28" customFormat="1" ht="12.75" x14ac:dyDescent="0.2"/>
    <row r="764" s="28" customFormat="1" ht="12.75" x14ac:dyDescent="0.2"/>
    <row r="765" s="28" customFormat="1" ht="12.75" x14ac:dyDescent="0.2"/>
    <row r="766" s="28" customFormat="1" ht="12.75" x14ac:dyDescent="0.2"/>
    <row r="767" s="28" customFormat="1" ht="12.75" x14ac:dyDescent="0.2"/>
    <row r="768" s="28" customFormat="1" ht="12.75" x14ac:dyDescent="0.2"/>
    <row r="769" s="28" customFormat="1" ht="12.75" x14ac:dyDescent="0.2"/>
    <row r="770" s="28" customFormat="1" ht="12.75" x14ac:dyDescent="0.2"/>
    <row r="771" s="28" customFormat="1" ht="12.75" x14ac:dyDescent="0.2"/>
    <row r="772" s="28" customFormat="1" ht="12.75" x14ac:dyDescent="0.2"/>
    <row r="773" s="28" customFormat="1" ht="12.75" x14ac:dyDescent="0.2"/>
    <row r="774" s="28" customFormat="1" ht="12.75" x14ac:dyDescent="0.2"/>
    <row r="775" s="28" customFormat="1" ht="12.75" x14ac:dyDescent="0.2"/>
    <row r="776" s="28" customFormat="1" ht="12.75" x14ac:dyDescent="0.2"/>
    <row r="777" s="28" customFormat="1" ht="12.75" x14ac:dyDescent="0.2"/>
    <row r="778" s="28" customFormat="1" ht="12.75" x14ac:dyDescent="0.2"/>
    <row r="779" s="28" customFormat="1" ht="12.75" x14ac:dyDescent="0.2"/>
    <row r="780" s="28" customFormat="1" ht="12.75" x14ac:dyDescent="0.2"/>
    <row r="781" s="28" customFormat="1" ht="12.75" x14ac:dyDescent="0.2"/>
    <row r="782" s="28" customFormat="1" ht="12.75" x14ac:dyDescent="0.2"/>
    <row r="783" s="28" customFormat="1" ht="12.75" x14ac:dyDescent="0.2"/>
    <row r="784" s="28" customFormat="1" ht="12.75" x14ac:dyDescent="0.2"/>
    <row r="785" s="28" customFormat="1" ht="12.75" x14ac:dyDescent="0.2"/>
    <row r="786" s="28" customFormat="1" ht="12.75" x14ac:dyDescent="0.2"/>
    <row r="787" s="28" customFormat="1" ht="12.75" x14ac:dyDescent="0.2"/>
    <row r="788" s="28" customFormat="1" ht="12.75" x14ac:dyDescent="0.2"/>
    <row r="789" s="28" customFormat="1" ht="12.75" x14ac:dyDescent="0.2"/>
    <row r="790" s="28" customFormat="1" ht="12.75" x14ac:dyDescent="0.2"/>
    <row r="791" s="28" customFormat="1" ht="12.75" x14ac:dyDescent="0.2"/>
    <row r="792" s="28" customFormat="1" ht="12.75" x14ac:dyDescent="0.2"/>
    <row r="793" s="28" customFormat="1" ht="12.75" x14ac:dyDescent="0.2"/>
    <row r="794" s="28" customFormat="1" ht="12.75" x14ac:dyDescent="0.2"/>
    <row r="795" s="28" customFormat="1" ht="12.75" x14ac:dyDescent="0.2"/>
    <row r="796" s="28" customFormat="1" ht="12.75" x14ac:dyDescent="0.2"/>
    <row r="797" s="28" customFormat="1" ht="12.75" x14ac:dyDescent="0.2"/>
    <row r="798" s="28" customFormat="1" ht="12.75" x14ac:dyDescent="0.2"/>
    <row r="799" s="28" customFormat="1" ht="12.75" x14ac:dyDescent="0.2"/>
    <row r="800" s="28" customFormat="1" ht="12.75" x14ac:dyDescent="0.2"/>
    <row r="801" s="28" customFormat="1" ht="12.75" x14ac:dyDescent="0.2"/>
    <row r="802" s="28" customFormat="1" ht="12.75" x14ac:dyDescent="0.2"/>
    <row r="803" s="28" customFormat="1" ht="12.75" x14ac:dyDescent="0.2"/>
    <row r="804" s="28" customFormat="1" ht="12.75" x14ac:dyDescent="0.2"/>
    <row r="805" s="28" customFormat="1" ht="12.75" x14ac:dyDescent="0.2"/>
    <row r="806" s="28" customFormat="1" ht="12.75" x14ac:dyDescent="0.2"/>
    <row r="807" s="28" customFormat="1" ht="12.75" x14ac:dyDescent="0.2"/>
    <row r="808" s="28" customFormat="1" ht="12.75" x14ac:dyDescent="0.2"/>
    <row r="809" s="28" customFormat="1" ht="12.75" x14ac:dyDescent="0.2"/>
    <row r="810" s="28" customFormat="1" ht="12.75" x14ac:dyDescent="0.2"/>
    <row r="811" s="28" customFormat="1" ht="12.75" x14ac:dyDescent="0.2"/>
    <row r="812" s="28" customFormat="1" ht="12.75" x14ac:dyDescent="0.2"/>
    <row r="813" s="28" customFormat="1" ht="12.75" x14ac:dyDescent="0.2"/>
    <row r="814" s="28" customFormat="1" ht="12.75" x14ac:dyDescent="0.2"/>
    <row r="815" s="28" customFormat="1" ht="12.75" x14ac:dyDescent="0.2"/>
    <row r="816" s="28" customFormat="1" ht="12.75" x14ac:dyDescent="0.2"/>
    <row r="817" s="28" customFormat="1" ht="12.75" x14ac:dyDescent="0.2"/>
    <row r="818" s="28" customFormat="1" ht="12.75" x14ac:dyDescent="0.2"/>
    <row r="819" s="28" customFormat="1" ht="12.75" x14ac:dyDescent="0.2"/>
    <row r="820" s="28" customFormat="1" ht="12.75" x14ac:dyDescent="0.2"/>
    <row r="821" s="28" customFormat="1" ht="12.75" x14ac:dyDescent="0.2"/>
    <row r="822" s="28" customFormat="1" ht="12.75" x14ac:dyDescent="0.2"/>
    <row r="823" s="28" customFormat="1" ht="12.75" x14ac:dyDescent="0.2"/>
    <row r="824" s="28" customFormat="1" ht="12.75" x14ac:dyDescent="0.2"/>
    <row r="825" s="28" customFormat="1" ht="12.75" x14ac:dyDescent="0.2"/>
    <row r="826" s="28" customFormat="1" ht="12.75" x14ac:dyDescent="0.2"/>
    <row r="827" s="28" customFormat="1" ht="12.75" x14ac:dyDescent="0.2"/>
    <row r="828" s="28" customFormat="1" ht="12.75" x14ac:dyDescent="0.2"/>
    <row r="829" s="28" customFormat="1" ht="12.75" x14ac:dyDescent="0.2"/>
    <row r="830" s="28" customFormat="1" ht="12.75" x14ac:dyDescent="0.2"/>
    <row r="831" s="28" customFormat="1" ht="12.75" x14ac:dyDescent="0.2"/>
    <row r="832" s="28" customFormat="1" ht="12.75" x14ac:dyDescent="0.2"/>
    <row r="833" s="28" customFormat="1" ht="12.75" x14ac:dyDescent="0.2"/>
    <row r="834" s="28" customFormat="1" ht="12.75" x14ac:dyDescent="0.2"/>
    <row r="835" s="28" customFormat="1" ht="12.75" x14ac:dyDescent="0.2"/>
    <row r="836" s="28" customFormat="1" ht="12.75" x14ac:dyDescent="0.2"/>
    <row r="837" s="28" customFormat="1" ht="12.75" x14ac:dyDescent="0.2"/>
    <row r="838" s="28" customFormat="1" ht="12.75" x14ac:dyDescent="0.2"/>
    <row r="839" s="28" customFormat="1" ht="12.75" x14ac:dyDescent="0.2"/>
    <row r="840" s="28" customFormat="1" ht="12.75" x14ac:dyDescent="0.2"/>
    <row r="841" s="28" customFormat="1" ht="12.75" x14ac:dyDescent="0.2"/>
    <row r="842" s="28" customFormat="1" ht="12.75" x14ac:dyDescent="0.2"/>
    <row r="843" s="28" customFormat="1" ht="12.75" x14ac:dyDescent="0.2"/>
    <row r="844" s="28" customFormat="1" ht="12.75" x14ac:dyDescent="0.2"/>
    <row r="845" s="28" customFormat="1" ht="12.75" x14ac:dyDescent="0.2"/>
    <row r="846" s="28" customFormat="1" ht="12.75" x14ac:dyDescent="0.2"/>
    <row r="847" s="28" customFormat="1" ht="12.75" x14ac:dyDescent="0.2"/>
    <row r="848" s="28" customFormat="1" ht="12.75" x14ac:dyDescent="0.2"/>
    <row r="849" s="28" customFormat="1" ht="12.75" x14ac:dyDescent="0.2"/>
    <row r="850" s="28" customFormat="1" ht="12.75" x14ac:dyDescent="0.2"/>
    <row r="851" s="28" customFormat="1" ht="12.75" x14ac:dyDescent="0.2"/>
    <row r="852" s="28" customFormat="1" ht="12.75" x14ac:dyDescent="0.2"/>
    <row r="853" s="28" customFormat="1" ht="12.75" x14ac:dyDescent="0.2"/>
    <row r="854" s="28" customFormat="1" ht="12.75" x14ac:dyDescent="0.2"/>
    <row r="855" s="28" customFormat="1" ht="12.75" x14ac:dyDescent="0.2"/>
    <row r="856" s="28" customFormat="1" ht="12.75" x14ac:dyDescent="0.2"/>
    <row r="857" s="28" customFormat="1" ht="12.75" x14ac:dyDescent="0.2"/>
    <row r="858" s="28" customFormat="1" ht="12.75" x14ac:dyDescent="0.2"/>
    <row r="859" s="28" customFormat="1" ht="12.75" x14ac:dyDescent="0.2"/>
    <row r="860" s="28" customFormat="1" ht="12.75" x14ac:dyDescent="0.2"/>
    <row r="861" s="28" customFormat="1" ht="12.75" x14ac:dyDescent="0.2"/>
    <row r="862" s="28" customFormat="1" ht="12.75" x14ac:dyDescent="0.2"/>
    <row r="863" s="28" customFormat="1" ht="12.75" x14ac:dyDescent="0.2"/>
    <row r="864" s="28" customFormat="1" ht="12.75" x14ac:dyDescent="0.2"/>
    <row r="865" s="28" customFormat="1" ht="12.75" x14ac:dyDescent="0.2"/>
    <row r="866" s="28" customFormat="1" ht="12.75" x14ac:dyDescent="0.2"/>
    <row r="867" s="28" customFormat="1" ht="12.75" x14ac:dyDescent="0.2"/>
    <row r="868" s="28" customFormat="1" ht="12.75" x14ac:dyDescent="0.2"/>
    <row r="869" s="28" customFormat="1" ht="12.75" x14ac:dyDescent="0.2"/>
    <row r="870" s="28" customFormat="1" ht="12.75" x14ac:dyDescent="0.2"/>
    <row r="871" s="28" customFormat="1" ht="12.75" x14ac:dyDescent="0.2"/>
    <row r="872" s="28" customFormat="1" ht="12.75" x14ac:dyDescent="0.2"/>
    <row r="873" s="28" customFormat="1" ht="12.75" x14ac:dyDescent="0.2"/>
    <row r="874" s="28" customFormat="1" ht="12.75" x14ac:dyDescent="0.2"/>
    <row r="875" s="28" customFormat="1" ht="12.75" x14ac:dyDescent="0.2"/>
    <row r="876" s="28" customFormat="1" ht="12.75" x14ac:dyDescent="0.2"/>
    <row r="877" s="28" customFormat="1" ht="12.75" x14ac:dyDescent="0.2"/>
    <row r="878" s="28" customFormat="1" ht="12.75" x14ac:dyDescent="0.2"/>
    <row r="879" s="28" customFormat="1" ht="12.75" x14ac:dyDescent="0.2"/>
    <row r="880" s="28" customFormat="1" ht="12.75" x14ac:dyDescent="0.2"/>
    <row r="881" s="28" customFormat="1" ht="12.75" x14ac:dyDescent="0.2"/>
    <row r="882" s="28" customFormat="1" ht="12.75" x14ac:dyDescent="0.2"/>
    <row r="883" s="28" customFormat="1" ht="12.75" x14ac:dyDescent="0.2"/>
    <row r="884" s="28" customFormat="1" ht="12.75" x14ac:dyDescent="0.2"/>
    <row r="885" s="28" customFormat="1" ht="12.75" x14ac:dyDescent="0.2"/>
    <row r="886" s="28" customFormat="1" ht="12.75" x14ac:dyDescent="0.2"/>
    <row r="887" s="28" customFormat="1" ht="12.75" x14ac:dyDescent="0.2"/>
    <row r="888" s="28" customFormat="1" ht="12.75" x14ac:dyDescent="0.2"/>
    <row r="889" s="28" customFormat="1" ht="12.75" x14ac:dyDescent="0.2"/>
    <row r="890" s="28" customFormat="1" ht="12.75" x14ac:dyDescent="0.2"/>
    <row r="891" s="28" customFormat="1" ht="12.75" x14ac:dyDescent="0.2"/>
    <row r="892" s="28" customFormat="1" ht="12.75" x14ac:dyDescent="0.2"/>
    <row r="893" s="28" customFormat="1" ht="12.75" x14ac:dyDescent="0.2"/>
    <row r="894" s="28" customFormat="1" ht="12.75" x14ac:dyDescent="0.2"/>
    <row r="895" s="28" customFormat="1" ht="12.75" x14ac:dyDescent="0.2"/>
    <row r="896" s="28" customFormat="1" ht="12.75" x14ac:dyDescent="0.2"/>
    <row r="897" s="28" customFormat="1" ht="12.75" x14ac:dyDescent="0.2"/>
    <row r="898" s="28" customFormat="1" ht="12.75" x14ac:dyDescent="0.2"/>
    <row r="899" s="28" customFormat="1" ht="12.75" x14ac:dyDescent="0.2"/>
    <row r="900" s="28" customFormat="1" ht="12.75" x14ac:dyDescent="0.2"/>
    <row r="901" s="28" customFormat="1" ht="12.75" x14ac:dyDescent="0.2"/>
    <row r="902" s="28" customFormat="1" ht="12.75" x14ac:dyDescent="0.2"/>
    <row r="903" s="28" customFormat="1" ht="12.75" x14ac:dyDescent="0.2"/>
    <row r="904" s="28" customFormat="1" ht="12.75" x14ac:dyDescent="0.2"/>
    <row r="905" s="28" customFormat="1" ht="12.75" x14ac:dyDescent="0.2"/>
    <row r="906" s="28" customFormat="1" ht="12.75" x14ac:dyDescent="0.2"/>
    <row r="907" s="28" customFormat="1" ht="12.75" x14ac:dyDescent="0.2"/>
    <row r="908" s="28" customFormat="1" ht="12.75" x14ac:dyDescent="0.2"/>
    <row r="909" s="28" customFormat="1" ht="12.75" x14ac:dyDescent="0.2"/>
    <row r="910" s="28" customFormat="1" ht="12.75" x14ac:dyDescent="0.2"/>
    <row r="911" s="28" customFormat="1" ht="12.75" x14ac:dyDescent="0.2"/>
    <row r="912" s="28" customFormat="1" ht="12.75" x14ac:dyDescent="0.2"/>
    <row r="913" s="28" customFormat="1" ht="12.75" x14ac:dyDescent="0.2"/>
    <row r="914" s="28" customFormat="1" ht="12.75" x14ac:dyDescent="0.2"/>
    <row r="915" s="28" customFormat="1" ht="12.75" x14ac:dyDescent="0.2"/>
    <row r="916" s="28" customFormat="1" ht="12.75" x14ac:dyDescent="0.2"/>
    <row r="917" s="28" customFormat="1" ht="12.75" x14ac:dyDescent="0.2"/>
    <row r="918" s="28" customFormat="1" ht="12.75" x14ac:dyDescent="0.2"/>
    <row r="919" s="28" customFormat="1" ht="12.75" x14ac:dyDescent="0.2"/>
    <row r="920" s="28" customFormat="1" ht="12.75" x14ac:dyDescent="0.2"/>
    <row r="921" s="28" customFormat="1" ht="12.75" x14ac:dyDescent="0.2"/>
    <row r="922" s="28" customFormat="1" ht="12.75" x14ac:dyDescent="0.2"/>
    <row r="923" s="28" customFormat="1" ht="12.75" x14ac:dyDescent="0.2"/>
    <row r="924" s="28" customFormat="1" ht="12.75" x14ac:dyDescent="0.2"/>
    <row r="925" s="28" customFormat="1" ht="12.75" x14ac:dyDescent="0.2"/>
    <row r="926" s="28" customFormat="1" ht="12.75" x14ac:dyDescent="0.2"/>
    <row r="927" s="28" customFormat="1" ht="12.75" x14ac:dyDescent="0.2"/>
    <row r="928" s="28" customFormat="1" ht="12.75" x14ac:dyDescent="0.2"/>
    <row r="929" s="28" customFormat="1" ht="12.75" x14ac:dyDescent="0.2"/>
    <row r="930" s="28" customFormat="1" ht="12.75" x14ac:dyDescent="0.2"/>
    <row r="931" s="28" customFormat="1" ht="12.75" x14ac:dyDescent="0.2"/>
    <row r="932" s="28" customFormat="1" ht="12.75" x14ac:dyDescent="0.2"/>
    <row r="933" s="28" customFormat="1" ht="12.75" x14ac:dyDescent="0.2"/>
    <row r="934" s="28" customFormat="1" ht="12.75" x14ac:dyDescent="0.2"/>
    <row r="935" s="28" customFormat="1" ht="12.75" x14ac:dyDescent="0.2"/>
    <row r="936" s="28" customFormat="1" ht="12.75" x14ac:dyDescent="0.2"/>
    <row r="937" s="28" customFormat="1" ht="12.75" x14ac:dyDescent="0.2"/>
    <row r="938" s="28" customFormat="1" ht="12.75" x14ac:dyDescent="0.2"/>
    <row r="939" s="28" customFormat="1" ht="12.75" x14ac:dyDescent="0.2"/>
    <row r="940" s="28" customFormat="1" ht="12.75" x14ac:dyDescent="0.2"/>
    <row r="941" s="28" customFormat="1" ht="12.75" x14ac:dyDescent="0.2"/>
    <row r="942" s="28" customFormat="1" ht="12.75" x14ac:dyDescent="0.2"/>
    <row r="943" s="28" customFormat="1" ht="12.75" x14ac:dyDescent="0.2"/>
    <row r="944" s="28" customFormat="1" ht="12.75" x14ac:dyDescent="0.2"/>
    <row r="945" s="28" customFormat="1" ht="12.75" x14ac:dyDescent="0.2"/>
    <row r="946" s="28" customFormat="1" ht="12.75" x14ac:dyDescent="0.2"/>
    <row r="947" s="28" customFormat="1" ht="12.75" x14ac:dyDescent="0.2"/>
    <row r="948" s="28" customFormat="1" ht="12.75" x14ac:dyDescent="0.2"/>
    <row r="949" s="28" customFormat="1" ht="12.75" x14ac:dyDescent="0.2"/>
    <row r="950" s="28" customFormat="1" ht="12.75" x14ac:dyDescent="0.2"/>
    <row r="951" s="28" customFormat="1" ht="12.75" x14ac:dyDescent="0.2"/>
    <row r="952" s="28" customFormat="1" ht="12.75" x14ac:dyDescent="0.2"/>
    <row r="953" s="28" customFormat="1" ht="12.75" x14ac:dyDescent="0.2"/>
    <row r="954" s="28" customFormat="1" ht="12.75" x14ac:dyDescent="0.2"/>
    <row r="955" s="28" customFormat="1" ht="12.75" x14ac:dyDescent="0.2"/>
    <row r="956" s="28" customFormat="1" ht="12.75" x14ac:dyDescent="0.2"/>
    <row r="957" s="28" customFormat="1" ht="12.75" x14ac:dyDescent="0.2"/>
    <row r="958" s="28" customFormat="1" ht="12.75" x14ac:dyDescent="0.2"/>
    <row r="959" s="28" customFormat="1" ht="12.75" x14ac:dyDescent="0.2"/>
    <row r="960" s="28" customFormat="1" ht="12.75" x14ac:dyDescent="0.2"/>
    <row r="961" s="28" customFormat="1" ht="12.75" x14ac:dyDescent="0.2"/>
    <row r="962" s="28" customFormat="1" ht="12.75" x14ac:dyDescent="0.2"/>
    <row r="963" s="28" customFormat="1" ht="12.75" x14ac:dyDescent="0.2"/>
    <row r="964" s="28" customFormat="1" ht="12.75" x14ac:dyDescent="0.2"/>
    <row r="965" s="28" customFormat="1" ht="12.75" x14ac:dyDescent="0.2"/>
    <row r="966" s="28" customFormat="1" ht="12.75" x14ac:dyDescent="0.2"/>
    <row r="967" s="28" customFormat="1" ht="12.75" x14ac:dyDescent="0.2"/>
    <row r="968" s="28" customFormat="1" ht="12.75" x14ac:dyDescent="0.2"/>
    <row r="969" s="28" customFormat="1" ht="12.75" x14ac:dyDescent="0.2"/>
    <row r="970" s="28" customFormat="1" ht="12.75" x14ac:dyDescent="0.2"/>
    <row r="971" s="28" customFormat="1" ht="12.75" x14ac:dyDescent="0.2"/>
    <row r="972" s="28" customFormat="1" ht="12.75" x14ac:dyDescent="0.2"/>
    <row r="973" s="28" customFormat="1" ht="12.75" x14ac:dyDescent="0.2"/>
    <row r="974" s="28" customFormat="1" ht="12.75" x14ac:dyDescent="0.2"/>
    <row r="975" s="28" customFormat="1" ht="12.75" x14ac:dyDescent="0.2"/>
    <row r="976" s="28" customFormat="1" ht="12.75" x14ac:dyDescent="0.2"/>
    <row r="977" s="28" customFormat="1" ht="12.75" x14ac:dyDescent="0.2"/>
    <row r="978" s="28" customFormat="1" ht="12.75" x14ac:dyDescent="0.2"/>
    <row r="979" s="28" customFormat="1" ht="12.75" x14ac:dyDescent="0.2"/>
    <row r="980" s="28" customFormat="1" ht="12.75" x14ac:dyDescent="0.2"/>
    <row r="981" s="28" customFormat="1" ht="12.75" x14ac:dyDescent="0.2"/>
    <row r="982" s="28" customFormat="1" ht="12.75" x14ac:dyDescent="0.2"/>
    <row r="983" s="28" customFormat="1" ht="12.75" x14ac:dyDescent="0.2"/>
    <row r="984" s="28" customFormat="1" ht="12.75" x14ac:dyDescent="0.2"/>
    <row r="985" s="28" customFormat="1" ht="12.75" x14ac:dyDescent="0.2"/>
    <row r="986" s="28" customFormat="1" ht="12.75" x14ac:dyDescent="0.2"/>
    <row r="987" s="28" customFormat="1" ht="12.75" x14ac:dyDescent="0.2"/>
    <row r="988" s="28" customFormat="1" ht="12.75" x14ac:dyDescent="0.2"/>
    <row r="989" s="28" customFormat="1" ht="12.75" x14ac:dyDescent="0.2"/>
    <row r="990" s="28" customFormat="1" ht="12.75" x14ac:dyDescent="0.2"/>
    <row r="991" s="28" customFormat="1" ht="12.75" x14ac:dyDescent="0.2"/>
    <row r="992" s="28" customFormat="1" ht="12.75" x14ac:dyDescent="0.2"/>
    <row r="993" s="28" customFormat="1" ht="12.75" x14ac:dyDescent="0.2"/>
    <row r="994" s="28" customFormat="1" ht="12.75" x14ac:dyDescent="0.2"/>
    <row r="995" s="28" customFormat="1" ht="12.75" x14ac:dyDescent="0.2"/>
    <row r="996" s="28" customFormat="1" ht="12.75" x14ac:dyDescent="0.2"/>
    <row r="997" s="28" customFormat="1" ht="12.75" x14ac:dyDescent="0.2"/>
    <row r="998" s="28" customFormat="1" ht="12.75" x14ac:dyDescent="0.2"/>
    <row r="999" s="28" customFormat="1" ht="12.75" x14ac:dyDescent="0.2"/>
    <row r="1000" s="28" customFormat="1" ht="12.75" x14ac:dyDescent="0.2"/>
    <row r="1001" s="28" customFormat="1" ht="12.75" x14ac:dyDescent="0.2"/>
    <row r="1002" s="28" customFormat="1" ht="12.75" x14ac:dyDescent="0.2"/>
    <row r="1003" s="28" customFormat="1" ht="12.75" x14ac:dyDescent="0.2"/>
    <row r="1004" s="28" customFormat="1" ht="12.75" x14ac:dyDescent="0.2"/>
    <row r="1005" s="28" customFormat="1" ht="12.75" x14ac:dyDescent="0.2"/>
    <row r="1006" s="28" customFormat="1" ht="12.75" x14ac:dyDescent="0.2"/>
    <row r="1007" s="28" customFormat="1" ht="12.75" x14ac:dyDescent="0.2"/>
    <row r="1008" s="28" customFormat="1" ht="12.75" x14ac:dyDescent="0.2"/>
    <row r="1009" s="28" customFormat="1" ht="12.75" x14ac:dyDescent="0.2"/>
    <row r="1010" s="28" customFormat="1" ht="12.75" x14ac:dyDescent="0.2"/>
    <row r="1011" s="28" customFormat="1" ht="12.75" x14ac:dyDescent="0.2"/>
    <row r="1012" s="28" customFormat="1" ht="12.75" x14ac:dyDescent="0.2"/>
    <row r="1013" s="28" customFormat="1" ht="12.75" x14ac:dyDescent="0.2"/>
    <row r="1014" s="28" customFormat="1" ht="12.75" x14ac:dyDescent="0.2"/>
    <row r="1015" s="28" customFormat="1" ht="12.75" x14ac:dyDescent="0.2"/>
    <row r="1016" s="28" customFormat="1" ht="12.75" x14ac:dyDescent="0.2"/>
    <row r="1017" s="28" customFormat="1" ht="12.75" x14ac:dyDescent="0.2"/>
    <row r="1018" s="28" customFormat="1" ht="12.75" x14ac:dyDescent="0.2"/>
    <row r="1019" s="28" customFormat="1" ht="12.75" x14ac:dyDescent="0.2"/>
    <row r="1020" s="28" customFormat="1" ht="12.75" x14ac:dyDescent="0.2"/>
    <row r="1021" s="28" customFormat="1" ht="12.75" x14ac:dyDescent="0.2"/>
    <row r="1022" s="28" customFormat="1" ht="12.75" x14ac:dyDescent="0.2"/>
    <row r="1023" s="28" customFormat="1" ht="12.75" x14ac:dyDescent="0.2"/>
    <row r="1024" s="28" customFormat="1" ht="12.75" x14ac:dyDescent="0.2"/>
    <row r="1025" s="28" customFormat="1" ht="12.75" x14ac:dyDescent="0.2"/>
    <row r="1026" s="28" customFormat="1" ht="12.75" x14ac:dyDescent="0.2"/>
    <row r="1027" s="28" customFormat="1" ht="12.75" x14ac:dyDescent="0.2"/>
    <row r="1028" s="28" customFormat="1" ht="12.75" x14ac:dyDescent="0.2"/>
    <row r="1029" s="28" customFormat="1" ht="12.75" x14ac:dyDescent="0.2"/>
    <row r="1030" s="28" customFormat="1" ht="12.75" x14ac:dyDescent="0.2"/>
    <row r="1031" s="28" customFormat="1" ht="12.75" x14ac:dyDescent="0.2"/>
    <row r="1032" s="28" customFormat="1" ht="12.75" x14ac:dyDescent="0.2"/>
    <row r="1033" s="28" customFormat="1" ht="12.75" x14ac:dyDescent="0.2"/>
    <row r="1034" s="28" customFormat="1" ht="12.75" x14ac:dyDescent="0.2"/>
    <row r="1035" s="28" customFormat="1" ht="12.75" x14ac:dyDescent="0.2"/>
    <row r="1036" s="28" customFormat="1" ht="12.75" x14ac:dyDescent="0.2"/>
    <row r="1037" s="28" customFormat="1" ht="12.75" x14ac:dyDescent="0.2"/>
    <row r="1038" s="28" customFormat="1" ht="12.75" x14ac:dyDescent="0.2"/>
    <row r="1039" s="28" customFormat="1" ht="12.75" x14ac:dyDescent="0.2"/>
    <row r="1040" s="28" customFormat="1" ht="12.75" x14ac:dyDescent="0.2"/>
    <row r="1041" s="28" customFormat="1" ht="12.75" x14ac:dyDescent="0.2"/>
    <row r="1042" s="28" customFormat="1" ht="12.75" x14ac:dyDescent="0.2"/>
    <row r="1043" s="28" customFormat="1" ht="12.75" x14ac:dyDescent="0.2"/>
    <row r="1044" s="28" customFormat="1" ht="12.75" x14ac:dyDescent="0.2"/>
    <row r="1045" s="28" customFormat="1" ht="12.75" x14ac:dyDescent="0.2"/>
    <row r="1046" s="28" customFormat="1" ht="12.75" x14ac:dyDescent="0.2"/>
    <row r="1047" s="28" customFormat="1" ht="12.75" x14ac:dyDescent="0.2"/>
    <row r="1048" s="28" customFormat="1" ht="12.75" x14ac:dyDescent="0.2"/>
    <row r="1049" s="28" customFormat="1" ht="12.75" x14ac:dyDescent="0.2"/>
    <row r="1050" s="28" customFormat="1" ht="12.75" x14ac:dyDescent="0.2"/>
    <row r="1051" s="28" customFormat="1" ht="12.75" x14ac:dyDescent="0.2"/>
    <row r="1052" s="28" customFormat="1" ht="12.75" x14ac:dyDescent="0.2"/>
    <row r="1053" s="28" customFormat="1" ht="12.75" x14ac:dyDescent="0.2"/>
    <row r="1054" s="28" customFormat="1" ht="12.75" x14ac:dyDescent="0.2"/>
    <row r="1055" s="28" customFormat="1" ht="12.75" x14ac:dyDescent="0.2"/>
    <row r="1056" s="28" customFormat="1" ht="12.75" x14ac:dyDescent="0.2"/>
    <row r="1057" s="28" customFormat="1" ht="12.75" x14ac:dyDescent="0.2"/>
    <row r="1058" s="28" customFormat="1" ht="12.75" x14ac:dyDescent="0.2"/>
    <row r="1059" s="28" customFormat="1" ht="12.75" x14ac:dyDescent="0.2"/>
    <row r="1060" s="28" customFormat="1" ht="12.75" x14ac:dyDescent="0.2"/>
    <row r="1061" s="28" customFormat="1" ht="12.75" x14ac:dyDescent="0.2"/>
    <row r="1062" s="28" customFormat="1" ht="12.75" x14ac:dyDescent="0.2"/>
    <row r="1063" s="28" customFormat="1" ht="12.75" x14ac:dyDescent="0.2"/>
    <row r="1064" s="28" customFormat="1" ht="12.75" x14ac:dyDescent="0.2"/>
    <row r="1065" s="28" customFormat="1" ht="12.75" x14ac:dyDescent="0.2"/>
    <row r="1066" s="28" customFormat="1" ht="12.75" x14ac:dyDescent="0.2"/>
    <row r="1067" s="28" customFormat="1" ht="12.75" x14ac:dyDescent="0.2"/>
    <row r="1068" s="28" customFormat="1" ht="12.75" x14ac:dyDescent="0.2"/>
    <row r="1069" s="28" customFormat="1" ht="12.75" x14ac:dyDescent="0.2"/>
    <row r="1070" s="28" customFormat="1" ht="12.75" x14ac:dyDescent="0.2"/>
    <row r="1071" s="28" customFormat="1" ht="12.75" x14ac:dyDescent="0.2"/>
    <row r="1072" s="28" customFormat="1" ht="12.75" x14ac:dyDescent="0.2"/>
    <row r="1073" s="28" customFormat="1" ht="12.75" x14ac:dyDescent="0.2"/>
    <row r="1074" s="28" customFormat="1" ht="12.75" x14ac:dyDescent="0.2"/>
    <row r="1075" s="28" customFormat="1" ht="12.75" x14ac:dyDescent="0.2"/>
    <row r="1076" s="28" customFormat="1" ht="12.75" x14ac:dyDescent="0.2"/>
    <row r="1077" s="28" customFormat="1" ht="12.75" x14ac:dyDescent="0.2"/>
    <row r="1078" s="28" customFormat="1" ht="12.75" x14ac:dyDescent="0.2"/>
    <row r="1079" s="28" customFormat="1" ht="12.75" x14ac:dyDescent="0.2"/>
    <row r="1080" s="28" customFormat="1" ht="12.75" x14ac:dyDescent="0.2"/>
    <row r="1081" s="28" customFormat="1" ht="12.75" x14ac:dyDescent="0.2"/>
    <row r="1082" s="28" customFormat="1" ht="12.75" x14ac:dyDescent="0.2"/>
    <row r="1083" s="28" customFormat="1" ht="12.75" x14ac:dyDescent="0.2"/>
    <row r="1084" s="28" customFormat="1" ht="12.75" x14ac:dyDescent="0.2"/>
    <row r="1085" s="28" customFormat="1" ht="12.75" x14ac:dyDescent="0.2"/>
    <row r="1086" s="28" customFormat="1" ht="12.75" x14ac:dyDescent="0.2"/>
    <row r="1087" s="28" customFormat="1" ht="12.75" x14ac:dyDescent="0.2"/>
    <row r="1088" s="28" customFormat="1" ht="12.75" x14ac:dyDescent="0.2"/>
    <row r="1089" s="28" customFormat="1" ht="12.75" x14ac:dyDescent="0.2"/>
    <row r="1090" s="28" customFormat="1" ht="12.75" x14ac:dyDescent="0.2"/>
    <row r="1091" s="28" customFormat="1" ht="12.75" x14ac:dyDescent="0.2"/>
    <row r="1092" s="28" customFormat="1" ht="12.75" x14ac:dyDescent="0.2"/>
    <row r="1093" s="28" customFormat="1" ht="12.75" x14ac:dyDescent="0.2"/>
    <row r="1094" s="28" customFormat="1" ht="12.75" x14ac:dyDescent="0.2"/>
    <row r="1095" s="28" customFormat="1" ht="12.75" x14ac:dyDescent="0.2"/>
    <row r="1096" s="28" customFormat="1" ht="12.75" x14ac:dyDescent="0.2"/>
    <row r="1097" s="28" customFormat="1" ht="12.75" x14ac:dyDescent="0.2"/>
    <row r="1098" s="28" customFormat="1" ht="12.75" x14ac:dyDescent="0.2"/>
    <row r="1099" s="28" customFormat="1" ht="12.75" x14ac:dyDescent="0.2"/>
    <row r="1100" s="28" customFormat="1" ht="12.75" x14ac:dyDescent="0.2"/>
    <row r="1101" s="28" customFormat="1" ht="12.75" x14ac:dyDescent="0.2"/>
    <row r="1102" s="28" customFormat="1" ht="12.75" x14ac:dyDescent="0.2"/>
    <row r="1103" s="28" customFormat="1" ht="12.75" x14ac:dyDescent="0.2"/>
    <row r="1104" s="28" customFormat="1" ht="12.75" x14ac:dyDescent="0.2"/>
    <row r="1105" s="28" customFormat="1" ht="12.75" x14ac:dyDescent="0.2"/>
    <row r="1106" s="28" customFormat="1" ht="12.75" x14ac:dyDescent="0.2"/>
    <row r="1107" s="28" customFormat="1" ht="12.75" x14ac:dyDescent="0.2"/>
    <row r="1108" s="28" customFormat="1" ht="12.75" x14ac:dyDescent="0.2"/>
    <row r="1109" s="28" customFormat="1" ht="12.75" x14ac:dyDescent="0.2"/>
    <row r="1110" s="28" customFormat="1" ht="12.75" x14ac:dyDescent="0.2"/>
    <row r="1111" s="28" customFormat="1" ht="12.75" x14ac:dyDescent="0.2"/>
    <row r="1112" s="28" customFormat="1" ht="12.75" x14ac:dyDescent="0.2"/>
    <row r="1113" s="28" customFormat="1" ht="12.75" x14ac:dyDescent="0.2"/>
    <row r="1114" s="28" customFormat="1" ht="12.75" x14ac:dyDescent="0.2"/>
    <row r="1115" s="28" customFormat="1" ht="12.75" x14ac:dyDescent="0.2"/>
    <row r="1116" s="28" customFormat="1" ht="12.75" x14ac:dyDescent="0.2"/>
    <row r="1117" s="28" customFormat="1" ht="12.75" x14ac:dyDescent="0.2"/>
    <row r="1118" s="28" customFormat="1" ht="12.75" x14ac:dyDescent="0.2"/>
    <row r="1119" s="28" customFormat="1" ht="12.75" x14ac:dyDescent="0.2"/>
    <row r="1120" s="28" customFormat="1" ht="12.75" x14ac:dyDescent="0.2"/>
    <row r="1121" s="28" customFormat="1" ht="12.75" x14ac:dyDescent="0.2"/>
    <row r="1122" s="28" customFormat="1" ht="12.75" x14ac:dyDescent="0.2"/>
    <row r="1123" s="28" customFormat="1" ht="12.75" x14ac:dyDescent="0.2"/>
    <row r="1124" s="28" customFormat="1" ht="12.75" x14ac:dyDescent="0.2"/>
    <row r="1125" s="28" customFormat="1" ht="12.75" x14ac:dyDescent="0.2"/>
    <row r="1126" s="28" customFormat="1" ht="12.75" x14ac:dyDescent="0.2"/>
    <row r="1127" s="28" customFormat="1" ht="12.75" x14ac:dyDescent="0.2"/>
    <row r="1128" s="28" customFormat="1" ht="12.75" x14ac:dyDescent="0.2"/>
    <row r="1129" s="28" customFormat="1" ht="12.75" x14ac:dyDescent="0.2"/>
    <row r="1130" s="28" customFormat="1" ht="12.75" x14ac:dyDescent="0.2"/>
    <row r="1131" s="28" customFormat="1" ht="12.75" x14ac:dyDescent="0.2"/>
    <row r="1132" s="28" customFormat="1" ht="12.75" x14ac:dyDescent="0.2"/>
    <row r="1133" s="28" customFormat="1" ht="12.75" x14ac:dyDescent="0.2"/>
    <row r="1134" s="28" customFormat="1" ht="12.75" x14ac:dyDescent="0.2"/>
    <row r="1135" s="28" customFormat="1" ht="12.75" x14ac:dyDescent="0.2"/>
    <row r="1136" s="28" customFormat="1" ht="12.75" x14ac:dyDescent="0.2"/>
    <row r="1137" s="28" customFormat="1" ht="12.75" x14ac:dyDescent="0.2"/>
    <row r="1138" s="28" customFormat="1" ht="12.75" x14ac:dyDescent="0.2"/>
    <row r="1139" s="28" customFormat="1" ht="12.75" x14ac:dyDescent="0.2"/>
    <row r="1140" s="28" customFormat="1" ht="12.75" x14ac:dyDescent="0.2"/>
    <row r="1141" s="28" customFormat="1" ht="12.75" x14ac:dyDescent="0.2"/>
    <row r="1142" s="28" customFormat="1" ht="12.75" x14ac:dyDescent="0.2"/>
    <row r="1143" s="28" customFormat="1" ht="12.75" x14ac:dyDescent="0.2"/>
    <row r="1144" s="28" customFormat="1" ht="12.75" x14ac:dyDescent="0.2"/>
    <row r="1145" s="28" customFormat="1" ht="12.75" x14ac:dyDescent="0.2"/>
    <row r="1146" s="28" customFormat="1" ht="12.75" x14ac:dyDescent="0.2"/>
    <row r="1147" s="28" customFormat="1" ht="12.75" x14ac:dyDescent="0.2"/>
    <row r="1148" s="28" customFormat="1" ht="12.75" x14ac:dyDescent="0.2"/>
    <row r="1149" s="28" customFormat="1" ht="12.75" x14ac:dyDescent="0.2"/>
    <row r="1150" s="28" customFormat="1" ht="12.75" x14ac:dyDescent="0.2"/>
    <row r="1151" s="28" customFormat="1" ht="12.75" x14ac:dyDescent="0.2"/>
    <row r="1152" s="28" customFormat="1" ht="12.75" x14ac:dyDescent="0.2"/>
    <row r="1153" s="28" customFormat="1" ht="12.75" x14ac:dyDescent="0.2"/>
    <row r="1154" s="28" customFormat="1" ht="12.75" x14ac:dyDescent="0.2"/>
    <row r="1155" s="28" customFormat="1" ht="12.75" x14ac:dyDescent="0.2"/>
    <row r="1156" s="28" customFormat="1" ht="12.75" x14ac:dyDescent="0.2"/>
    <row r="1157" s="28" customFormat="1" ht="12.75" x14ac:dyDescent="0.2"/>
    <row r="1158" s="28" customFormat="1" ht="12.75" x14ac:dyDescent="0.2"/>
    <row r="1159" s="28" customFormat="1" ht="12.75" x14ac:dyDescent="0.2"/>
    <row r="1160" s="28" customFormat="1" ht="12.75" x14ac:dyDescent="0.2"/>
    <row r="1161" s="28" customFormat="1" ht="12.75" x14ac:dyDescent="0.2"/>
    <row r="1162" s="28" customFormat="1" ht="12.75" x14ac:dyDescent="0.2"/>
    <row r="1163" s="28" customFormat="1" ht="12.75" x14ac:dyDescent="0.2"/>
    <row r="1164" s="28" customFormat="1" ht="12.75" x14ac:dyDescent="0.2"/>
    <row r="1165" s="28" customFormat="1" ht="12.75" x14ac:dyDescent="0.2"/>
    <row r="1166" s="28" customFormat="1" ht="12.75" x14ac:dyDescent="0.2"/>
    <row r="1167" s="28" customFormat="1" ht="12.75" x14ac:dyDescent="0.2"/>
    <row r="1168" s="28" customFormat="1" ht="12.75" x14ac:dyDescent="0.2"/>
    <row r="1169" s="28" customFormat="1" ht="12.75" x14ac:dyDescent="0.2"/>
    <row r="1170" s="28" customFormat="1" ht="12.75" x14ac:dyDescent="0.2"/>
    <row r="1171" s="28" customFormat="1" ht="12.75" x14ac:dyDescent="0.2"/>
    <row r="1172" s="28" customFormat="1" ht="12.75" x14ac:dyDescent="0.2"/>
    <row r="1173" s="28" customFormat="1" ht="12.75" x14ac:dyDescent="0.2"/>
    <row r="1174" s="28" customFormat="1" ht="12.75" x14ac:dyDescent="0.2"/>
    <row r="1175" s="28" customFormat="1" ht="12.75" x14ac:dyDescent="0.2"/>
    <row r="1176" s="28" customFormat="1" ht="12.75" x14ac:dyDescent="0.2"/>
    <row r="1177" s="28" customFormat="1" ht="12.75" x14ac:dyDescent="0.2"/>
    <row r="1178" s="28" customFormat="1" ht="12.75" x14ac:dyDescent="0.2"/>
    <row r="1179" s="28" customFormat="1" ht="12.75" x14ac:dyDescent="0.2"/>
    <row r="1180" s="28" customFormat="1" ht="12.75" x14ac:dyDescent="0.2"/>
    <row r="1181" s="28" customFormat="1" ht="12.75" x14ac:dyDescent="0.2"/>
    <row r="1182" s="28" customFormat="1" ht="12.75" x14ac:dyDescent="0.2"/>
    <row r="1183" s="28" customFormat="1" ht="12.75" x14ac:dyDescent="0.2"/>
    <row r="1184" s="28" customFormat="1" ht="12.75" x14ac:dyDescent="0.2"/>
    <row r="1185" s="28" customFormat="1" ht="12.75" x14ac:dyDescent="0.2"/>
    <row r="1186" s="28" customFormat="1" ht="12.75" x14ac:dyDescent="0.2"/>
    <row r="1187" s="28" customFormat="1" ht="12.75" x14ac:dyDescent="0.2"/>
    <row r="1188" s="28" customFormat="1" ht="12.75" x14ac:dyDescent="0.2"/>
    <row r="1189" s="28" customFormat="1" ht="12.75" x14ac:dyDescent="0.2"/>
    <row r="1190" s="28" customFormat="1" ht="12.75" x14ac:dyDescent="0.2"/>
    <row r="1191" s="28" customFormat="1" ht="12.75" x14ac:dyDescent="0.2"/>
    <row r="1192" s="28" customFormat="1" ht="12.75" x14ac:dyDescent="0.2"/>
    <row r="1193" s="28" customFormat="1" ht="12.75" x14ac:dyDescent="0.2"/>
    <row r="1194" s="28" customFormat="1" ht="12.75" x14ac:dyDescent="0.2"/>
    <row r="1195" s="28" customFormat="1" ht="12.75" x14ac:dyDescent="0.2"/>
    <row r="1196" s="28" customFormat="1" ht="12.75" x14ac:dyDescent="0.2"/>
    <row r="1197" s="28" customFormat="1" ht="12.75" x14ac:dyDescent="0.2"/>
    <row r="1198" s="28" customFormat="1" ht="12.75" x14ac:dyDescent="0.2"/>
    <row r="1199" s="28" customFormat="1" ht="12.75" x14ac:dyDescent="0.2"/>
    <row r="1200" s="28" customFormat="1" ht="12.75" x14ac:dyDescent="0.2"/>
    <row r="1201" s="28" customFormat="1" ht="12.75" x14ac:dyDescent="0.2"/>
    <row r="1202" s="28" customFormat="1" ht="12.75" x14ac:dyDescent="0.2"/>
    <row r="1203" s="28" customFormat="1" ht="12.75" x14ac:dyDescent="0.2"/>
    <row r="1204" s="28" customFormat="1" ht="12.75" x14ac:dyDescent="0.2"/>
    <row r="1205" s="28" customFormat="1" ht="12.75" x14ac:dyDescent="0.2"/>
    <row r="1206" s="28" customFormat="1" ht="12.75" x14ac:dyDescent="0.2"/>
    <row r="1207" s="28" customFormat="1" ht="12.75" x14ac:dyDescent="0.2"/>
    <row r="1208" s="28" customFormat="1" ht="12.75" x14ac:dyDescent="0.2"/>
    <row r="1209" s="28" customFormat="1" ht="12.75" x14ac:dyDescent="0.2"/>
    <row r="1210" s="28" customFormat="1" ht="12.75" x14ac:dyDescent="0.2"/>
    <row r="1211" s="28" customFormat="1" ht="12.75" x14ac:dyDescent="0.2"/>
    <row r="1212" s="28" customFormat="1" ht="12.75" x14ac:dyDescent="0.2"/>
    <row r="1213" s="28" customFormat="1" ht="12.75" x14ac:dyDescent="0.2"/>
    <row r="1214" s="28" customFormat="1" ht="12.75" x14ac:dyDescent="0.2"/>
    <row r="1215" s="28" customFormat="1" ht="12.75" x14ac:dyDescent="0.2"/>
    <row r="1216" s="28" customFormat="1" ht="12.75" x14ac:dyDescent="0.2"/>
    <row r="1217" s="28" customFormat="1" ht="12.75" x14ac:dyDescent="0.2"/>
    <row r="1218" s="28" customFormat="1" ht="12.75" x14ac:dyDescent="0.2"/>
    <row r="1219" s="28" customFormat="1" ht="12.75" x14ac:dyDescent="0.2"/>
    <row r="1220" s="28" customFormat="1" ht="12.75" x14ac:dyDescent="0.2"/>
    <row r="1221" s="28" customFormat="1" ht="12.75" x14ac:dyDescent="0.2"/>
    <row r="1222" s="28" customFormat="1" ht="12.75" x14ac:dyDescent="0.2"/>
    <row r="1223" s="28" customFormat="1" ht="12.75" x14ac:dyDescent="0.2"/>
    <row r="1224" s="28" customFormat="1" ht="12.75" x14ac:dyDescent="0.2"/>
    <row r="1225" s="28" customFormat="1" ht="12.75" x14ac:dyDescent="0.2"/>
    <row r="1226" s="28" customFormat="1" ht="12.75" x14ac:dyDescent="0.2"/>
    <row r="1227" s="28" customFormat="1" ht="12.75" x14ac:dyDescent="0.2"/>
    <row r="1228" s="28" customFormat="1" ht="12.75" x14ac:dyDescent="0.2"/>
    <row r="1229" s="28" customFormat="1" ht="12.75" x14ac:dyDescent="0.2"/>
    <row r="1230" s="28" customFormat="1" ht="12.75" x14ac:dyDescent="0.2"/>
    <row r="1231" s="28" customFormat="1" ht="12.75" x14ac:dyDescent="0.2"/>
    <row r="1232" s="28" customFormat="1" ht="12.75" x14ac:dyDescent="0.2"/>
    <row r="1233" s="28" customFormat="1" ht="12.75" x14ac:dyDescent="0.2"/>
    <row r="1234" s="28" customFormat="1" ht="12.75" x14ac:dyDescent="0.2"/>
    <row r="1235" s="28" customFormat="1" ht="12.75" x14ac:dyDescent="0.2"/>
    <row r="1236" s="28" customFormat="1" ht="12.75" x14ac:dyDescent="0.2"/>
    <row r="1237" s="28" customFormat="1" ht="12.75" x14ac:dyDescent="0.2"/>
    <row r="1238" s="28" customFormat="1" ht="12.75" x14ac:dyDescent="0.2"/>
    <row r="1239" s="28" customFormat="1" ht="12.75" x14ac:dyDescent="0.2"/>
    <row r="1240" s="28" customFormat="1" ht="12.75" x14ac:dyDescent="0.2"/>
    <row r="1241" s="28" customFormat="1" ht="12.75" x14ac:dyDescent="0.2"/>
    <row r="1242" s="28" customFormat="1" ht="12.75" x14ac:dyDescent="0.2"/>
    <row r="1243" s="28" customFormat="1" ht="12.75" x14ac:dyDescent="0.2"/>
    <row r="1244" s="28" customFormat="1" ht="12.75" x14ac:dyDescent="0.2"/>
    <row r="1245" s="28" customFormat="1" ht="12.75" x14ac:dyDescent="0.2"/>
    <row r="1246" s="28" customFormat="1" ht="12.75" x14ac:dyDescent="0.2"/>
    <row r="1247" s="28" customFormat="1" ht="12.75" x14ac:dyDescent="0.2"/>
    <row r="1248" s="28" customFormat="1" ht="12.75" x14ac:dyDescent="0.2"/>
    <row r="1249" s="28" customFormat="1" ht="12.75" x14ac:dyDescent="0.2"/>
    <row r="1250" s="28" customFormat="1" ht="12.75" x14ac:dyDescent="0.2"/>
    <row r="1251" s="28" customFormat="1" ht="12.75" x14ac:dyDescent="0.2"/>
    <row r="1252" s="28" customFormat="1" ht="12.75" x14ac:dyDescent="0.2"/>
    <row r="1253" s="28" customFormat="1" ht="12.75" x14ac:dyDescent="0.2"/>
    <row r="1254" s="28" customFormat="1" ht="12.75" x14ac:dyDescent="0.2"/>
    <row r="1255" s="28" customFormat="1" ht="12.75" x14ac:dyDescent="0.2"/>
    <row r="1256" s="28" customFormat="1" ht="12.75" x14ac:dyDescent="0.2"/>
    <row r="1257" s="28" customFormat="1" ht="12.75" x14ac:dyDescent="0.2"/>
    <row r="1258" s="28" customFormat="1" ht="12.75" x14ac:dyDescent="0.2"/>
    <row r="1259" s="28" customFormat="1" ht="12.75" x14ac:dyDescent="0.2"/>
    <row r="1260" s="28" customFormat="1" ht="12.75" x14ac:dyDescent="0.2"/>
    <row r="1261" s="28" customFormat="1" ht="12.75" x14ac:dyDescent="0.2"/>
    <row r="1262" s="28" customFormat="1" ht="12.75" x14ac:dyDescent="0.2"/>
    <row r="1263" s="28" customFormat="1" ht="12.75" x14ac:dyDescent="0.2"/>
    <row r="1264" s="28" customFormat="1" ht="12.75" x14ac:dyDescent="0.2"/>
    <row r="1265" s="28" customFormat="1" ht="12.75" x14ac:dyDescent="0.2"/>
    <row r="1266" s="28" customFormat="1" ht="12.75" x14ac:dyDescent="0.2"/>
    <row r="1267" s="28" customFormat="1" ht="12.75" x14ac:dyDescent="0.2"/>
    <row r="1268" s="28" customFormat="1" ht="12.75" x14ac:dyDescent="0.2"/>
    <row r="1269" s="28" customFormat="1" ht="12.75" x14ac:dyDescent="0.2"/>
    <row r="1270" s="28" customFormat="1" ht="12.75" x14ac:dyDescent="0.2"/>
    <row r="1271" s="28" customFormat="1" ht="12.75" x14ac:dyDescent="0.2"/>
    <row r="1272" s="28" customFormat="1" ht="12.75" x14ac:dyDescent="0.2"/>
    <row r="1273" s="28" customFormat="1" ht="12.75" x14ac:dyDescent="0.2"/>
    <row r="1274" s="28" customFormat="1" ht="12.75" x14ac:dyDescent="0.2"/>
    <row r="1275" s="28" customFormat="1" ht="12.75" x14ac:dyDescent="0.2"/>
    <row r="1276" s="28" customFormat="1" ht="12.75" x14ac:dyDescent="0.2"/>
    <row r="1277" s="28" customFormat="1" ht="12.75" x14ac:dyDescent="0.2"/>
    <row r="1278" s="28" customFormat="1" ht="12.75" x14ac:dyDescent="0.2"/>
    <row r="1279" s="28" customFormat="1" ht="12.75" x14ac:dyDescent="0.2"/>
    <row r="1280" s="28" customFormat="1" ht="12.75" x14ac:dyDescent="0.2"/>
    <row r="1281" s="28" customFormat="1" ht="12.75" x14ac:dyDescent="0.2"/>
    <row r="1282" s="28" customFormat="1" ht="12.75" x14ac:dyDescent="0.2"/>
    <row r="1283" s="28" customFormat="1" ht="12.75" x14ac:dyDescent="0.2"/>
    <row r="1284" s="28" customFormat="1" ht="12.75" x14ac:dyDescent="0.2"/>
    <row r="1285" s="28" customFormat="1" ht="12.75" x14ac:dyDescent="0.2"/>
    <row r="1286" s="28" customFormat="1" ht="12.75" x14ac:dyDescent="0.2"/>
    <row r="1287" s="28" customFormat="1" ht="12.75" x14ac:dyDescent="0.2"/>
    <row r="1288" s="28" customFormat="1" ht="12.75" x14ac:dyDescent="0.2"/>
    <row r="1289" s="28" customFormat="1" ht="12.75" x14ac:dyDescent="0.2"/>
    <row r="1290" s="28" customFormat="1" ht="12.75" x14ac:dyDescent="0.2"/>
    <row r="1291" s="28" customFormat="1" ht="12.75" x14ac:dyDescent="0.2"/>
    <row r="1292" s="28" customFormat="1" ht="12.75" x14ac:dyDescent="0.2"/>
    <row r="1293" s="28" customFormat="1" ht="12.75" x14ac:dyDescent="0.2"/>
    <row r="1294" s="28" customFormat="1" ht="12.75" x14ac:dyDescent="0.2"/>
    <row r="1295" s="28" customFormat="1" ht="12.75" x14ac:dyDescent="0.2"/>
    <row r="1296" s="28" customFormat="1" ht="12.75" x14ac:dyDescent="0.2"/>
    <row r="1297" s="28" customFormat="1" ht="12.75" x14ac:dyDescent="0.2"/>
    <row r="1298" s="28" customFormat="1" ht="12.75" x14ac:dyDescent="0.2"/>
    <row r="1299" s="28" customFormat="1" ht="12.75" x14ac:dyDescent="0.2"/>
    <row r="1300" s="28" customFormat="1" ht="12.75" x14ac:dyDescent="0.2"/>
    <row r="1301" s="28" customFormat="1" ht="12.75" x14ac:dyDescent="0.2"/>
    <row r="1302" s="28" customFormat="1" ht="12.75" x14ac:dyDescent="0.2"/>
    <row r="1303" s="28" customFormat="1" ht="12.75" x14ac:dyDescent="0.2"/>
    <row r="1304" s="28" customFormat="1" ht="12.75" x14ac:dyDescent="0.2"/>
    <row r="1305" s="28" customFormat="1" ht="12.75" x14ac:dyDescent="0.2"/>
    <row r="1306" s="28" customFormat="1" ht="12.75" x14ac:dyDescent="0.2"/>
    <row r="1307" s="28" customFormat="1" ht="12.75" x14ac:dyDescent="0.2"/>
    <row r="1308" s="28" customFormat="1" ht="12.75" x14ac:dyDescent="0.2"/>
    <row r="1309" s="28" customFormat="1" ht="12.75" x14ac:dyDescent="0.2"/>
    <row r="1310" s="28" customFormat="1" ht="12.75" x14ac:dyDescent="0.2"/>
    <row r="1311" s="28" customFormat="1" ht="12.75" x14ac:dyDescent="0.2"/>
    <row r="1312" s="28" customFormat="1" ht="12.75" x14ac:dyDescent="0.2"/>
    <row r="1313" s="28" customFormat="1" ht="12.75" x14ac:dyDescent="0.2"/>
    <row r="1314" s="28" customFormat="1" ht="12.75" x14ac:dyDescent="0.2"/>
    <row r="1315" s="28" customFormat="1" ht="12.75" x14ac:dyDescent="0.2"/>
    <row r="1316" s="28" customFormat="1" ht="12.75" x14ac:dyDescent="0.2"/>
    <row r="1317" s="28" customFormat="1" ht="12.75" x14ac:dyDescent="0.2"/>
    <row r="1318" s="28" customFormat="1" ht="12.75" x14ac:dyDescent="0.2"/>
    <row r="1319" s="28" customFormat="1" ht="12.75" x14ac:dyDescent="0.2"/>
    <row r="1320" s="28" customFormat="1" ht="12.75" x14ac:dyDescent="0.2"/>
    <row r="1321" s="28" customFormat="1" ht="12.75" x14ac:dyDescent="0.2"/>
    <row r="1322" s="28" customFormat="1" ht="12.75" x14ac:dyDescent="0.2"/>
    <row r="1323" s="28" customFormat="1" ht="12.75" x14ac:dyDescent="0.2"/>
    <row r="1324" s="28" customFormat="1" ht="12.75" x14ac:dyDescent="0.2"/>
    <row r="1325" s="28" customFormat="1" ht="12.75" x14ac:dyDescent="0.2"/>
    <row r="1326" s="28" customFormat="1" ht="12.75" x14ac:dyDescent="0.2"/>
    <row r="1327" s="28" customFormat="1" ht="12.75" x14ac:dyDescent="0.2"/>
    <row r="1328" s="28" customFormat="1" ht="12.75" x14ac:dyDescent="0.2"/>
    <row r="1329" s="28" customFormat="1" ht="12.75" x14ac:dyDescent="0.2"/>
    <row r="1330" s="28" customFormat="1" ht="12.75" x14ac:dyDescent="0.2"/>
    <row r="1331" s="28" customFormat="1" ht="12.75" x14ac:dyDescent="0.2"/>
    <row r="1332" s="28" customFormat="1" ht="12.75" x14ac:dyDescent="0.2"/>
    <row r="1333" s="28" customFormat="1" ht="12.75" x14ac:dyDescent="0.2"/>
    <row r="1334" s="28" customFormat="1" ht="12.75" x14ac:dyDescent="0.2"/>
    <row r="1335" s="28" customFormat="1" ht="12.75" x14ac:dyDescent="0.2"/>
    <row r="1336" s="28" customFormat="1" ht="12.75" x14ac:dyDescent="0.2"/>
    <row r="1337" s="28" customFormat="1" ht="12.75" x14ac:dyDescent="0.2"/>
    <row r="1338" s="28" customFormat="1" ht="12.75" x14ac:dyDescent="0.2"/>
    <row r="1339" s="28" customFormat="1" ht="12.75" x14ac:dyDescent="0.2"/>
    <row r="1340" s="28" customFormat="1" ht="12.75" x14ac:dyDescent="0.2"/>
    <row r="1341" s="28" customFormat="1" ht="12.75" x14ac:dyDescent="0.2"/>
    <row r="1342" s="28" customFormat="1" ht="12.75" x14ac:dyDescent="0.2"/>
    <row r="1343" s="28" customFormat="1" ht="12.75" x14ac:dyDescent="0.2"/>
    <row r="1344" s="28" customFormat="1" ht="12.75" x14ac:dyDescent="0.2"/>
    <row r="1345" s="28" customFormat="1" ht="12.75" x14ac:dyDescent="0.2"/>
    <row r="1346" s="28" customFormat="1" ht="12.75" x14ac:dyDescent="0.2"/>
    <row r="1347" s="28" customFormat="1" ht="12.75" x14ac:dyDescent="0.2"/>
    <row r="1348" s="28" customFormat="1" ht="12.75" x14ac:dyDescent="0.2"/>
    <row r="1349" s="28" customFormat="1" ht="12.75" x14ac:dyDescent="0.2"/>
    <row r="1350" s="28" customFormat="1" ht="12.75" x14ac:dyDescent="0.2"/>
    <row r="1351" s="28" customFormat="1" ht="12.75" x14ac:dyDescent="0.2"/>
    <row r="1352" s="28" customFormat="1" ht="12.75" x14ac:dyDescent="0.2"/>
    <row r="1353" s="28" customFormat="1" ht="12.75" x14ac:dyDescent="0.2"/>
    <row r="1354" s="28" customFormat="1" ht="12.75" x14ac:dyDescent="0.2"/>
    <row r="1355" s="28" customFormat="1" ht="12.75" x14ac:dyDescent="0.2"/>
    <row r="1356" s="28" customFormat="1" ht="12.75" x14ac:dyDescent="0.2"/>
    <row r="1357" s="28" customFormat="1" ht="12.75" x14ac:dyDescent="0.2"/>
    <row r="1358" s="28" customFormat="1" ht="12.75" x14ac:dyDescent="0.2"/>
    <row r="1359" s="28" customFormat="1" ht="12.75" x14ac:dyDescent="0.2"/>
    <row r="1360" s="28" customFormat="1" ht="12.75" x14ac:dyDescent="0.2"/>
    <row r="1361" s="28" customFormat="1" ht="12.75" x14ac:dyDescent="0.2"/>
    <row r="1362" s="28" customFormat="1" ht="12.75" x14ac:dyDescent="0.2"/>
    <row r="1363" s="28" customFormat="1" ht="12.75" x14ac:dyDescent="0.2"/>
    <row r="1364" s="28" customFormat="1" ht="12.75" x14ac:dyDescent="0.2"/>
    <row r="1365" s="28" customFormat="1" ht="12.75" x14ac:dyDescent="0.2"/>
    <row r="1366" s="28" customFormat="1" ht="12.75" x14ac:dyDescent="0.2"/>
    <row r="1367" s="28" customFormat="1" ht="12.75" x14ac:dyDescent="0.2"/>
    <row r="1368" s="28" customFormat="1" ht="12.75" x14ac:dyDescent="0.2"/>
    <row r="1369" s="28" customFormat="1" ht="12.75" x14ac:dyDescent="0.2"/>
    <row r="1370" s="28" customFormat="1" ht="12.75" x14ac:dyDescent="0.2"/>
    <row r="1371" s="28" customFormat="1" ht="12.75" x14ac:dyDescent="0.2"/>
    <row r="1372" s="28" customFormat="1" ht="12.75" x14ac:dyDescent="0.2"/>
    <row r="1373" s="28" customFormat="1" ht="12.75" x14ac:dyDescent="0.2"/>
    <row r="1374" s="28" customFormat="1" ht="12.75" x14ac:dyDescent="0.2"/>
    <row r="1375" s="28" customFormat="1" ht="12.75" x14ac:dyDescent="0.2"/>
    <row r="1376" s="28" customFormat="1" ht="12.75" x14ac:dyDescent="0.2"/>
    <row r="1377" s="28" customFormat="1" ht="12.75" x14ac:dyDescent="0.2"/>
    <row r="1378" s="28" customFormat="1" ht="12.75" x14ac:dyDescent="0.2"/>
    <row r="1379" s="28" customFormat="1" ht="12.75" x14ac:dyDescent="0.2"/>
    <row r="1380" s="28" customFormat="1" ht="12.75" x14ac:dyDescent="0.2"/>
    <row r="1381" s="28" customFormat="1" ht="12.75" x14ac:dyDescent="0.2"/>
    <row r="1382" s="28" customFormat="1" ht="12.75" x14ac:dyDescent="0.2"/>
    <row r="1383" s="28" customFormat="1" ht="12.75" x14ac:dyDescent="0.2"/>
    <row r="1384" s="28" customFormat="1" ht="12.75" x14ac:dyDescent="0.2"/>
    <row r="1385" s="28" customFormat="1" ht="12.75" x14ac:dyDescent="0.2"/>
    <row r="1386" s="28" customFormat="1" ht="12.75" x14ac:dyDescent="0.2"/>
    <row r="1387" s="28" customFormat="1" ht="12.75" x14ac:dyDescent="0.2"/>
    <row r="1388" s="28" customFormat="1" ht="12.75" x14ac:dyDescent="0.2"/>
    <row r="1389" s="28" customFormat="1" ht="12.75" x14ac:dyDescent="0.2"/>
    <row r="1390" s="28" customFormat="1" ht="12.75" x14ac:dyDescent="0.2"/>
    <row r="1391" s="28" customFormat="1" ht="12.75" x14ac:dyDescent="0.2"/>
    <row r="1392" s="28" customFormat="1" ht="12.75" x14ac:dyDescent="0.2"/>
    <row r="1393" s="28" customFormat="1" ht="12.75" x14ac:dyDescent="0.2"/>
    <row r="1394" s="28" customFormat="1" ht="12.75" x14ac:dyDescent="0.2"/>
    <row r="1395" s="28" customFormat="1" ht="12.75" x14ac:dyDescent="0.2"/>
    <row r="1396" s="28" customFormat="1" ht="12.75" x14ac:dyDescent="0.2"/>
    <row r="1397" s="28" customFormat="1" ht="12.75" x14ac:dyDescent="0.2"/>
    <row r="1398" s="28" customFormat="1" ht="12.75" x14ac:dyDescent="0.2"/>
    <row r="1399" s="28" customFormat="1" ht="12.75" x14ac:dyDescent="0.2"/>
    <row r="1400" s="28" customFormat="1" ht="12.75" x14ac:dyDescent="0.2"/>
    <row r="1401" s="28" customFormat="1" ht="12.75" x14ac:dyDescent="0.2"/>
    <row r="1402" s="28" customFormat="1" ht="12.75" x14ac:dyDescent="0.2"/>
    <row r="1403" s="28" customFormat="1" ht="12.75" x14ac:dyDescent="0.2"/>
    <row r="1404" s="28" customFormat="1" ht="12.75" x14ac:dyDescent="0.2"/>
    <row r="1405" s="28" customFormat="1" ht="12.75" x14ac:dyDescent="0.2"/>
    <row r="1406" s="28" customFormat="1" ht="12.75" x14ac:dyDescent="0.2"/>
    <row r="1407" s="28" customFormat="1" ht="12.75" x14ac:dyDescent="0.2"/>
    <row r="1408" s="28" customFormat="1" ht="12.75" x14ac:dyDescent="0.2"/>
    <row r="1409" s="28" customFormat="1" ht="12.75" x14ac:dyDescent="0.2"/>
    <row r="1410" s="28" customFormat="1" ht="12.75" x14ac:dyDescent="0.2"/>
    <row r="1411" s="28" customFormat="1" ht="12.75" x14ac:dyDescent="0.2"/>
    <row r="1412" s="28" customFormat="1" ht="12.75" x14ac:dyDescent="0.2"/>
    <row r="1413" s="28" customFormat="1" ht="12.75" x14ac:dyDescent="0.2"/>
    <row r="1414" s="28" customFormat="1" ht="12.75" x14ac:dyDescent="0.2"/>
    <row r="1415" s="28" customFormat="1" ht="12.75" x14ac:dyDescent="0.2"/>
    <row r="1416" s="28" customFormat="1" ht="12.75" x14ac:dyDescent="0.2"/>
    <row r="1417" s="28" customFormat="1" ht="12.75" x14ac:dyDescent="0.2"/>
    <row r="1418" s="28" customFormat="1" ht="12.75" x14ac:dyDescent="0.2"/>
    <row r="1419" s="28" customFormat="1" ht="12.75" x14ac:dyDescent="0.2"/>
    <row r="1420" s="28" customFormat="1" ht="12.75" x14ac:dyDescent="0.2"/>
    <row r="1421" s="28" customFormat="1" ht="12.75" x14ac:dyDescent="0.2"/>
    <row r="1422" s="28" customFormat="1" ht="12.75" x14ac:dyDescent="0.2"/>
    <row r="1423" s="28" customFormat="1" ht="12.75" x14ac:dyDescent="0.2"/>
    <row r="1424" s="28" customFormat="1" ht="12.75" x14ac:dyDescent="0.2"/>
    <row r="1425" s="28" customFormat="1" ht="12.75" x14ac:dyDescent="0.2"/>
    <row r="1426" s="28" customFormat="1" ht="12.75" x14ac:dyDescent="0.2"/>
    <row r="1427" s="28" customFormat="1" ht="12.75" x14ac:dyDescent="0.2"/>
    <row r="1428" s="28" customFormat="1" ht="12.75" x14ac:dyDescent="0.2"/>
    <row r="1429" s="28" customFormat="1" ht="12.75" x14ac:dyDescent="0.2"/>
    <row r="1430" s="28" customFormat="1" ht="12.75" x14ac:dyDescent="0.2"/>
    <row r="1431" s="28" customFormat="1" ht="12.75" x14ac:dyDescent="0.2"/>
    <row r="1432" s="28" customFormat="1" ht="12.75" x14ac:dyDescent="0.2"/>
    <row r="1433" s="28" customFormat="1" ht="12.75" x14ac:dyDescent="0.2"/>
    <row r="1434" s="28" customFormat="1" ht="12.75" x14ac:dyDescent="0.2"/>
    <row r="1435" s="28" customFormat="1" ht="12.75" x14ac:dyDescent="0.2"/>
    <row r="1436" s="28" customFormat="1" ht="12.75" x14ac:dyDescent="0.2"/>
    <row r="1437" s="28" customFormat="1" ht="12.75" x14ac:dyDescent="0.2"/>
    <row r="1438" s="28" customFormat="1" ht="12.75" x14ac:dyDescent="0.2"/>
    <row r="1439" s="28" customFormat="1" ht="12.75" x14ac:dyDescent="0.2"/>
    <row r="1440" s="28" customFormat="1" ht="12.75" x14ac:dyDescent="0.2"/>
    <row r="1441" s="28" customFormat="1" ht="12.75" x14ac:dyDescent="0.2"/>
    <row r="1442" s="28" customFormat="1" ht="12.75" x14ac:dyDescent="0.2"/>
    <row r="1443" s="28" customFormat="1" ht="12.75" x14ac:dyDescent="0.2"/>
    <row r="1444" s="28" customFormat="1" ht="12.75" x14ac:dyDescent="0.2"/>
    <row r="1445" s="28" customFormat="1" ht="12.75" x14ac:dyDescent="0.2"/>
    <row r="1446" s="28" customFormat="1" ht="12.75" x14ac:dyDescent="0.2"/>
    <row r="1447" s="28" customFormat="1" ht="12.75" x14ac:dyDescent="0.2"/>
    <row r="1448" s="28" customFormat="1" ht="12.75" x14ac:dyDescent="0.2"/>
    <row r="1449" s="28" customFormat="1" ht="12.75" x14ac:dyDescent="0.2"/>
    <row r="1450" s="28" customFormat="1" ht="12.75" x14ac:dyDescent="0.2"/>
    <row r="1451" s="28" customFormat="1" ht="12.75" x14ac:dyDescent="0.2"/>
    <row r="1452" s="28" customFormat="1" ht="12.75" x14ac:dyDescent="0.2"/>
    <row r="1453" s="28" customFormat="1" ht="12.75" x14ac:dyDescent="0.2"/>
    <row r="1454" s="28" customFormat="1" ht="12.75" x14ac:dyDescent="0.2"/>
    <row r="1455" s="28" customFormat="1" ht="12.75" x14ac:dyDescent="0.2"/>
    <row r="1456" s="28" customFormat="1" ht="12.75" x14ac:dyDescent="0.2"/>
    <row r="1457" s="28" customFormat="1" ht="12.75" x14ac:dyDescent="0.2"/>
    <row r="1458" s="28" customFormat="1" ht="12.75" x14ac:dyDescent="0.2"/>
    <row r="1459" s="28" customFormat="1" ht="12.75" x14ac:dyDescent="0.2"/>
    <row r="1460" s="28" customFormat="1" ht="12.75" x14ac:dyDescent="0.2"/>
    <row r="1461" s="28" customFormat="1" ht="12.75" x14ac:dyDescent="0.2"/>
    <row r="1462" s="28" customFormat="1" ht="12.75" x14ac:dyDescent="0.2"/>
    <row r="1463" s="28" customFormat="1" ht="12.75" x14ac:dyDescent="0.2"/>
    <row r="1464" s="28" customFormat="1" ht="12.75" x14ac:dyDescent="0.2"/>
    <row r="1465" s="28" customFormat="1" ht="12.75" x14ac:dyDescent="0.2"/>
    <row r="1466" s="28" customFormat="1" ht="12.75" x14ac:dyDescent="0.2"/>
    <row r="1467" s="28" customFormat="1" ht="12.75" x14ac:dyDescent="0.2"/>
    <row r="1468" s="28" customFormat="1" ht="12.75" x14ac:dyDescent="0.2"/>
    <row r="1469" s="28" customFormat="1" ht="12.75" x14ac:dyDescent="0.2"/>
    <row r="1470" s="28" customFormat="1" ht="12.75" x14ac:dyDescent="0.2"/>
    <row r="1471" s="28" customFormat="1" ht="12.75" x14ac:dyDescent="0.2"/>
    <row r="1472" s="28" customFormat="1" ht="12.75" x14ac:dyDescent="0.2"/>
    <row r="1473" s="28" customFormat="1" ht="12.75" x14ac:dyDescent="0.2"/>
    <row r="1474" s="28" customFormat="1" ht="12.75" x14ac:dyDescent="0.2"/>
    <row r="1475" s="28" customFormat="1" ht="12.75" x14ac:dyDescent="0.2"/>
    <row r="1476" s="28" customFormat="1" ht="12.75" x14ac:dyDescent="0.2"/>
    <row r="1477" s="28" customFormat="1" ht="12.75" x14ac:dyDescent="0.2"/>
    <row r="1478" s="28" customFormat="1" ht="12.75" x14ac:dyDescent="0.2"/>
    <row r="1479" s="28" customFormat="1" ht="12.75" x14ac:dyDescent="0.2"/>
    <row r="1480" s="28" customFormat="1" ht="12.75" x14ac:dyDescent="0.2"/>
    <row r="1481" s="28" customFormat="1" ht="12.75" x14ac:dyDescent="0.2"/>
    <row r="1482" s="28" customFormat="1" ht="12.75" x14ac:dyDescent="0.2"/>
    <row r="1483" s="28" customFormat="1" ht="12.75" x14ac:dyDescent="0.2"/>
    <row r="1484" s="28" customFormat="1" ht="12.75" x14ac:dyDescent="0.2"/>
    <row r="1485" s="28" customFormat="1" ht="12.75" x14ac:dyDescent="0.2"/>
    <row r="1486" s="28" customFormat="1" ht="12.75" x14ac:dyDescent="0.2"/>
    <row r="1487" s="28" customFormat="1" ht="12.75" x14ac:dyDescent="0.2"/>
    <row r="1488" s="28" customFormat="1" ht="12.75" x14ac:dyDescent="0.2"/>
    <row r="1489" s="28" customFormat="1" ht="12.75" x14ac:dyDescent="0.2"/>
    <row r="1490" s="28" customFormat="1" ht="12.75" x14ac:dyDescent="0.2"/>
    <row r="1491" s="28" customFormat="1" ht="12.75" x14ac:dyDescent="0.2"/>
    <row r="1492" s="28" customFormat="1" ht="12.75" x14ac:dyDescent="0.2"/>
    <row r="1493" s="28" customFormat="1" ht="12.75" x14ac:dyDescent="0.2"/>
    <row r="1494" s="28" customFormat="1" ht="12.75" x14ac:dyDescent="0.2"/>
    <row r="1495" s="28" customFormat="1" ht="12.75" x14ac:dyDescent="0.2"/>
    <row r="1496" s="28" customFormat="1" ht="12.75" x14ac:dyDescent="0.2"/>
    <row r="1497" s="28" customFormat="1" ht="12.75" x14ac:dyDescent="0.2"/>
    <row r="1498" s="28" customFormat="1" ht="12.75" x14ac:dyDescent="0.2"/>
    <row r="1499" s="28" customFormat="1" ht="12.75" x14ac:dyDescent="0.2"/>
    <row r="1500" s="28" customFormat="1" ht="12.75" x14ac:dyDescent="0.2"/>
    <row r="1501" s="28" customFormat="1" ht="12.75" x14ac:dyDescent="0.2"/>
    <row r="1502" s="28" customFormat="1" ht="12.75" x14ac:dyDescent="0.2"/>
    <row r="1503" s="28" customFormat="1" ht="12.75" x14ac:dyDescent="0.2"/>
    <row r="1504" s="28" customFormat="1" ht="12.75" x14ac:dyDescent="0.2"/>
    <row r="1505" s="28" customFormat="1" ht="12.75" x14ac:dyDescent="0.2"/>
    <row r="1506" s="28" customFormat="1" ht="12.75" x14ac:dyDescent="0.2"/>
    <row r="1507" s="28" customFormat="1" ht="12.75" x14ac:dyDescent="0.2"/>
    <row r="1508" s="28" customFormat="1" ht="12.75" x14ac:dyDescent="0.2"/>
    <row r="1509" s="28" customFormat="1" ht="12.75" x14ac:dyDescent="0.2"/>
    <row r="1510" s="28" customFormat="1" ht="12.75" x14ac:dyDescent="0.2"/>
    <row r="1511" s="28" customFormat="1" ht="12.75" x14ac:dyDescent="0.2"/>
    <row r="1512" s="28" customFormat="1" ht="12.75" x14ac:dyDescent="0.2"/>
    <row r="1513" s="28" customFormat="1" ht="12.75" x14ac:dyDescent="0.2"/>
    <row r="1514" s="28" customFormat="1" ht="12.75" x14ac:dyDescent="0.2"/>
    <row r="1515" s="28" customFormat="1" ht="12.75" x14ac:dyDescent="0.2"/>
    <row r="1516" s="28" customFormat="1" ht="12.75" x14ac:dyDescent="0.2"/>
    <row r="1517" s="28" customFormat="1" ht="12.75" x14ac:dyDescent="0.2"/>
    <row r="1518" s="28" customFormat="1" ht="12.75" x14ac:dyDescent="0.2"/>
    <row r="1519" s="28" customFormat="1" ht="12.75" x14ac:dyDescent="0.2"/>
    <row r="1520" s="28" customFormat="1" ht="12.75" x14ac:dyDescent="0.2"/>
    <row r="1521" s="28" customFormat="1" ht="12.75" x14ac:dyDescent="0.2"/>
    <row r="1522" s="28" customFormat="1" ht="12.75" x14ac:dyDescent="0.2"/>
    <row r="1523" s="28" customFormat="1" ht="12.75" x14ac:dyDescent="0.2"/>
    <row r="1524" s="28" customFormat="1" ht="12.75" x14ac:dyDescent="0.2"/>
    <row r="1525" s="28" customFormat="1" ht="12.75" x14ac:dyDescent="0.2"/>
    <row r="1526" s="28" customFormat="1" ht="12.75" x14ac:dyDescent="0.2"/>
    <row r="1527" s="28" customFormat="1" ht="12.75" x14ac:dyDescent="0.2"/>
    <row r="1528" s="28" customFormat="1" ht="12.75" x14ac:dyDescent="0.2"/>
    <row r="1529" s="28" customFormat="1" ht="12.75" x14ac:dyDescent="0.2"/>
    <row r="1530" s="28" customFormat="1" ht="12.75" x14ac:dyDescent="0.2"/>
    <row r="1531" s="28" customFormat="1" ht="12.75" x14ac:dyDescent="0.2"/>
    <row r="1532" s="28" customFormat="1" ht="12.75" x14ac:dyDescent="0.2"/>
    <row r="1533" s="28" customFormat="1" ht="12.75" x14ac:dyDescent="0.2"/>
    <row r="1534" s="28" customFormat="1" ht="12.75" x14ac:dyDescent="0.2"/>
    <row r="1535" s="28" customFormat="1" ht="12.75" x14ac:dyDescent="0.2"/>
    <row r="1536" s="28" customFormat="1" ht="12.75" x14ac:dyDescent="0.2"/>
    <row r="1537" s="28" customFormat="1" ht="12.75" x14ac:dyDescent="0.2"/>
    <row r="1538" s="28" customFormat="1" ht="12.75" x14ac:dyDescent="0.2"/>
    <row r="1539" s="28" customFormat="1" ht="12.75" x14ac:dyDescent="0.2"/>
    <row r="1540" s="28" customFormat="1" ht="12.75" x14ac:dyDescent="0.2"/>
    <row r="1541" s="28" customFormat="1" ht="12.75" x14ac:dyDescent="0.2"/>
    <row r="1542" s="28" customFormat="1" ht="12.75" x14ac:dyDescent="0.2"/>
    <row r="1543" s="28" customFormat="1" ht="12.75" x14ac:dyDescent="0.2"/>
    <row r="1544" s="28" customFormat="1" ht="12.75" x14ac:dyDescent="0.2"/>
    <row r="1545" s="28" customFormat="1" ht="12.75" x14ac:dyDescent="0.2"/>
    <row r="1546" s="28" customFormat="1" ht="12.75" x14ac:dyDescent="0.2"/>
    <row r="1547" s="28" customFormat="1" ht="12.75" x14ac:dyDescent="0.2"/>
    <row r="1548" s="28" customFormat="1" ht="12.75" x14ac:dyDescent="0.2"/>
    <row r="1549" s="28" customFormat="1" ht="12.75" x14ac:dyDescent="0.2"/>
    <row r="1550" s="28" customFormat="1" ht="12.75" x14ac:dyDescent="0.2"/>
    <row r="1551" s="28" customFormat="1" ht="12.75" x14ac:dyDescent="0.2"/>
    <row r="1552" s="28" customFormat="1" ht="12.75" x14ac:dyDescent="0.2"/>
    <row r="1553" s="28" customFormat="1" ht="12.75" x14ac:dyDescent="0.2"/>
    <row r="1554" s="28" customFormat="1" ht="12.75" x14ac:dyDescent="0.2"/>
    <row r="1555" s="28" customFormat="1" ht="12.75" x14ac:dyDescent="0.2"/>
    <row r="1556" s="28" customFormat="1" ht="12.75" x14ac:dyDescent="0.2"/>
    <row r="1557" s="28" customFormat="1" ht="12.75" x14ac:dyDescent="0.2"/>
    <row r="1558" s="28" customFormat="1" ht="12.75" x14ac:dyDescent="0.2"/>
    <row r="1559" s="28" customFormat="1" ht="12.75" x14ac:dyDescent="0.2"/>
    <row r="1560" s="28" customFormat="1" ht="12.75" x14ac:dyDescent="0.2"/>
    <row r="1561" s="28" customFormat="1" ht="12.75" x14ac:dyDescent="0.2"/>
    <row r="1562" s="28" customFormat="1" ht="12.75" x14ac:dyDescent="0.2"/>
    <row r="1563" s="28" customFormat="1" ht="12.75" x14ac:dyDescent="0.2"/>
    <row r="1564" s="28" customFormat="1" ht="12.75" x14ac:dyDescent="0.2"/>
    <row r="1565" s="28" customFormat="1" ht="12.75" x14ac:dyDescent="0.2"/>
    <row r="1566" s="28" customFormat="1" ht="12.75" x14ac:dyDescent="0.2"/>
    <row r="1567" s="28" customFormat="1" ht="12.75" x14ac:dyDescent="0.2"/>
    <row r="1568" s="28" customFormat="1" ht="12.75" x14ac:dyDescent="0.2"/>
    <row r="1569" s="28" customFormat="1" ht="12.75" x14ac:dyDescent="0.2"/>
    <row r="1570" s="28" customFormat="1" ht="12.75" x14ac:dyDescent="0.2"/>
    <row r="1571" s="28" customFormat="1" ht="12.75" x14ac:dyDescent="0.2"/>
    <row r="1572" s="28" customFormat="1" ht="12.75" x14ac:dyDescent="0.2"/>
    <row r="1573" s="28" customFormat="1" ht="12.75" x14ac:dyDescent="0.2"/>
    <row r="1574" s="28" customFormat="1" ht="12.75" x14ac:dyDescent="0.2"/>
    <row r="1575" s="28" customFormat="1" ht="12.75" x14ac:dyDescent="0.2"/>
    <row r="1576" s="28" customFormat="1" ht="12.75" x14ac:dyDescent="0.2"/>
    <row r="1577" s="28" customFormat="1" ht="12.75" x14ac:dyDescent="0.2"/>
    <row r="1578" s="28" customFormat="1" ht="12.75" x14ac:dyDescent="0.2"/>
    <row r="1579" s="28" customFormat="1" ht="12.75" x14ac:dyDescent="0.2"/>
    <row r="1580" s="28" customFormat="1" ht="12.75" x14ac:dyDescent="0.2"/>
    <row r="1581" s="28" customFormat="1" ht="12.75" x14ac:dyDescent="0.2"/>
    <row r="1582" s="28" customFormat="1" ht="12.75" x14ac:dyDescent="0.2"/>
    <row r="1583" s="28" customFormat="1" ht="12.75" x14ac:dyDescent="0.2"/>
    <row r="1584" s="28" customFormat="1" ht="12.75" x14ac:dyDescent="0.2"/>
    <row r="1585" s="28" customFormat="1" ht="12.75" x14ac:dyDescent="0.2"/>
    <row r="1586" s="28" customFormat="1" ht="12.75" x14ac:dyDescent="0.2"/>
    <row r="1587" s="28" customFormat="1" ht="12.75" x14ac:dyDescent="0.2"/>
    <row r="1588" s="28" customFormat="1" ht="12.75" x14ac:dyDescent="0.2"/>
    <row r="1589" s="28" customFormat="1" ht="12.75" x14ac:dyDescent="0.2"/>
    <row r="1590" s="28" customFormat="1" ht="12.75" x14ac:dyDescent="0.2"/>
    <row r="1591" s="28" customFormat="1" ht="12.75" x14ac:dyDescent="0.2"/>
    <row r="1592" s="28" customFormat="1" ht="12.75" x14ac:dyDescent="0.2"/>
    <row r="1593" s="28" customFormat="1" ht="12.75" x14ac:dyDescent="0.2"/>
    <row r="1594" s="28" customFormat="1" ht="12.75" x14ac:dyDescent="0.2"/>
    <row r="1595" s="28" customFormat="1" ht="12.75" x14ac:dyDescent="0.2"/>
    <row r="1596" s="28" customFormat="1" ht="12.75" x14ac:dyDescent="0.2"/>
    <row r="1597" s="28" customFormat="1" ht="12.75" x14ac:dyDescent="0.2"/>
    <row r="1598" s="28" customFormat="1" ht="12.75" x14ac:dyDescent="0.2"/>
    <row r="1599" s="28" customFormat="1" ht="12.75" x14ac:dyDescent="0.2"/>
    <row r="1600" s="28" customFormat="1" ht="12.75" x14ac:dyDescent="0.2"/>
    <row r="1601" s="28" customFormat="1" ht="12.75" x14ac:dyDescent="0.2"/>
    <row r="1602" s="28" customFormat="1" ht="12.75" x14ac:dyDescent="0.2"/>
    <row r="1603" s="28" customFormat="1" ht="12.75" x14ac:dyDescent="0.2"/>
    <row r="1604" s="28" customFormat="1" ht="12.75" x14ac:dyDescent="0.2"/>
    <row r="1605" s="28" customFormat="1" ht="12.75" x14ac:dyDescent="0.2"/>
    <row r="1606" s="28" customFormat="1" ht="12.75" x14ac:dyDescent="0.2"/>
    <row r="1607" s="28" customFormat="1" ht="12.75" x14ac:dyDescent="0.2"/>
    <row r="1608" s="28" customFormat="1" ht="12.75" x14ac:dyDescent="0.2"/>
    <row r="1609" s="28" customFormat="1" ht="12.75" x14ac:dyDescent="0.2"/>
    <row r="1610" s="28" customFormat="1" ht="12.75" x14ac:dyDescent="0.2"/>
    <row r="1611" s="28" customFormat="1" ht="12.75" x14ac:dyDescent="0.2"/>
    <row r="1612" s="28" customFormat="1" ht="12.75" x14ac:dyDescent="0.2"/>
    <row r="1613" s="28" customFormat="1" ht="12.75" x14ac:dyDescent="0.2"/>
    <row r="1614" s="28" customFormat="1" ht="12.75" x14ac:dyDescent="0.2"/>
    <row r="1615" s="28" customFormat="1" ht="12.75" x14ac:dyDescent="0.2"/>
    <row r="1616" s="28" customFormat="1" ht="12.75" x14ac:dyDescent="0.2"/>
    <row r="1617" s="28" customFormat="1" ht="12.75" x14ac:dyDescent="0.2"/>
    <row r="1618" s="28" customFormat="1" ht="12.75" x14ac:dyDescent="0.2"/>
    <row r="1619" s="28" customFormat="1" ht="12.75" x14ac:dyDescent="0.2"/>
    <row r="1620" s="28" customFormat="1" ht="12.75" x14ac:dyDescent="0.2"/>
    <row r="1621" s="28" customFormat="1" ht="12.75" x14ac:dyDescent="0.2"/>
    <row r="1622" s="28" customFormat="1" ht="12.75" x14ac:dyDescent="0.2"/>
    <row r="1623" s="28" customFormat="1" ht="12.75" x14ac:dyDescent="0.2"/>
    <row r="1624" s="28" customFormat="1" ht="12.75" x14ac:dyDescent="0.2"/>
    <row r="1625" s="28" customFormat="1" ht="12.75" x14ac:dyDescent="0.2"/>
    <row r="1626" s="28" customFormat="1" ht="12.75" x14ac:dyDescent="0.2"/>
    <row r="1627" s="28" customFormat="1" ht="12.75" x14ac:dyDescent="0.2"/>
    <row r="1628" s="28" customFormat="1" ht="12.75" x14ac:dyDescent="0.2"/>
    <row r="1629" s="28" customFormat="1" ht="12.75" x14ac:dyDescent="0.2"/>
    <row r="1630" s="28" customFormat="1" ht="12.75" x14ac:dyDescent="0.2"/>
    <row r="1631" s="28" customFormat="1" ht="12.75" x14ac:dyDescent="0.2"/>
    <row r="1632" s="28" customFormat="1" ht="12.75" x14ac:dyDescent="0.2"/>
    <row r="1633" s="28" customFormat="1" ht="12.75" x14ac:dyDescent="0.2"/>
    <row r="1634" s="28" customFormat="1" ht="12.75" x14ac:dyDescent="0.2"/>
    <row r="1635" s="28" customFormat="1" ht="12.75" x14ac:dyDescent="0.2"/>
    <row r="1636" s="28" customFormat="1" ht="12.75" x14ac:dyDescent="0.2"/>
    <row r="1637" s="28" customFormat="1" ht="12.75" x14ac:dyDescent="0.2"/>
    <row r="1638" s="28" customFormat="1" ht="12.75" x14ac:dyDescent="0.2"/>
    <row r="1639" s="28" customFormat="1" ht="12.75" x14ac:dyDescent="0.2"/>
    <row r="1640" s="28" customFormat="1" ht="12.75" x14ac:dyDescent="0.2"/>
    <row r="1641" s="28" customFormat="1" ht="12.75" x14ac:dyDescent="0.2"/>
    <row r="1642" s="28" customFormat="1" ht="12.75" x14ac:dyDescent="0.2"/>
    <row r="1643" s="28" customFormat="1" ht="12.75" x14ac:dyDescent="0.2"/>
    <row r="1644" s="28" customFormat="1" ht="12.75" x14ac:dyDescent="0.2"/>
    <row r="1645" s="28" customFormat="1" ht="12.75" x14ac:dyDescent="0.2"/>
    <row r="1646" s="28" customFormat="1" ht="12.75" x14ac:dyDescent="0.2"/>
    <row r="1647" s="28" customFormat="1" ht="12.75" x14ac:dyDescent="0.2"/>
    <row r="1648" s="28" customFormat="1" ht="12.75" x14ac:dyDescent="0.2"/>
    <row r="1649" s="28" customFormat="1" ht="12.75" x14ac:dyDescent="0.2"/>
    <row r="1650" s="28" customFormat="1" ht="12.75" x14ac:dyDescent="0.2"/>
    <row r="1651" s="28" customFormat="1" ht="12.75" x14ac:dyDescent="0.2"/>
    <row r="1652" s="28" customFormat="1" ht="12.75" x14ac:dyDescent="0.2"/>
    <row r="1653" s="28" customFormat="1" ht="12.75" x14ac:dyDescent="0.2"/>
    <row r="1654" s="28" customFormat="1" ht="12.75" x14ac:dyDescent="0.2"/>
    <row r="1655" s="28" customFormat="1" ht="12.75" x14ac:dyDescent="0.2"/>
    <row r="1656" s="28" customFormat="1" ht="12.75" x14ac:dyDescent="0.2"/>
    <row r="1657" s="28" customFormat="1" ht="12.75" x14ac:dyDescent="0.2"/>
    <row r="1658" s="28" customFormat="1" ht="12.75" x14ac:dyDescent="0.2"/>
    <row r="1659" s="28" customFormat="1" ht="12.75" x14ac:dyDescent="0.2"/>
    <row r="1660" s="28" customFormat="1" ht="12.75" x14ac:dyDescent="0.2"/>
    <row r="1661" s="28" customFormat="1" ht="12.75" x14ac:dyDescent="0.2"/>
    <row r="1662" s="28" customFormat="1" ht="12.75" x14ac:dyDescent="0.2"/>
    <row r="1663" s="28" customFormat="1" ht="12.75" x14ac:dyDescent="0.2"/>
    <row r="1664" s="28" customFormat="1" ht="12.75" x14ac:dyDescent="0.2"/>
    <row r="1665" s="28" customFormat="1" ht="12.75" x14ac:dyDescent="0.2"/>
    <row r="1666" s="28" customFormat="1" ht="12.75" x14ac:dyDescent="0.2"/>
    <row r="1667" s="28" customFormat="1" ht="12.75" x14ac:dyDescent="0.2"/>
    <row r="1668" s="28" customFormat="1" ht="12.75" x14ac:dyDescent="0.2"/>
    <row r="1669" s="28" customFormat="1" ht="12.75" x14ac:dyDescent="0.2"/>
    <row r="1670" s="28" customFormat="1" ht="12.75" x14ac:dyDescent="0.2"/>
    <row r="1671" s="28" customFormat="1" ht="12.75" x14ac:dyDescent="0.2"/>
    <row r="1672" s="28" customFormat="1" ht="12.75" x14ac:dyDescent="0.2"/>
    <row r="1673" s="28" customFormat="1" ht="12.75" x14ac:dyDescent="0.2"/>
    <row r="1674" s="28" customFormat="1" ht="12.75" x14ac:dyDescent="0.2"/>
    <row r="1675" s="28" customFormat="1" ht="12.75" x14ac:dyDescent="0.2"/>
    <row r="1676" s="28" customFormat="1" ht="12.75" x14ac:dyDescent="0.2"/>
    <row r="1677" s="28" customFormat="1" ht="12.75" x14ac:dyDescent="0.2"/>
    <row r="1678" s="28" customFormat="1" ht="12.75" x14ac:dyDescent="0.2"/>
    <row r="1679" s="28" customFormat="1" ht="12.75" x14ac:dyDescent="0.2"/>
    <row r="1680" s="28" customFormat="1" ht="12.75" x14ac:dyDescent="0.2"/>
    <row r="1681" s="28" customFormat="1" ht="12.75" x14ac:dyDescent="0.2"/>
    <row r="1682" s="28" customFormat="1" ht="12.75" x14ac:dyDescent="0.2"/>
    <row r="1683" s="28" customFormat="1" ht="12.75" x14ac:dyDescent="0.2"/>
    <row r="1684" s="28" customFormat="1" ht="12.75" x14ac:dyDescent="0.2"/>
    <row r="1685" s="28" customFormat="1" ht="12.75" x14ac:dyDescent="0.2"/>
    <row r="1686" s="28" customFormat="1" ht="12.75" x14ac:dyDescent="0.2"/>
    <row r="1687" s="28" customFormat="1" ht="12.75" x14ac:dyDescent="0.2"/>
    <row r="1688" s="28" customFormat="1" ht="12.75" x14ac:dyDescent="0.2"/>
    <row r="1689" s="28" customFormat="1" ht="12.75" x14ac:dyDescent="0.2"/>
    <row r="1690" s="28" customFormat="1" ht="12.75" x14ac:dyDescent="0.2"/>
    <row r="1691" s="28" customFormat="1" ht="12.75" x14ac:dyDescent="0.2"/>
    <row r="1692" s="28" customFormat="1" ht="12.75" x14ac:dyDescent="0.2"/>
    <row r="1693" s="28" customFormat="1" ht="12.75" x14ac:dyDescent="0.2"/>
    <row r="1694" s="28" customFormat="1" ht="12.75" x14ac:dyDescent="0.2"/>
    <row r="1695" s="28" customFormat="1" ht="12.75" x14ac:dyDescent="0.2"/>
    <row r="1696" s="28" customFormat="1" ht="12.75" x14ac:dyDescent="0.2"/>
    <row r="1697" s="28" customFormat="1" ht="12.75" x14ac:dyDescent="0.2"/>
    <row r="1698" s="28" customFormat="1" ht="12.75" x14ac:dyDescent="0.2"/>
    <row r="1699" s="28" customFormat="1" ht="12.75" x14ac:dyDescent="0.2"/>
    <row r="1700" s="28" customFormat="1" ht="12.75" x14ac:dyDescent="0.2"/>
    <row r="1701" s="28" customFormat="1" ht="12.75" x14ac:dyDescent="0.2"/>
    <row r="1702" s="28" customFormat="1" ht="12.75" x14ac:dyDescent="0.2"/>
    <row r="1703" s="28" customFormat="1" ht="12.75" x14ac:dyDescent="0.2"/>
    <row r="1704" s="28" customFormat="1" ht="12.75" x14ac:dyDescent="0.2"/>
    <row r="1705" s="28" customFormat="1" ht="12.75" x14ac:dyDescent="0.2"/>
    <row r="1706" s="28" customFormat="1" ht="12.75" x14ac:dyDescent="0.2"/>
    <row r="1707" s="28" customFormat="1" ht="12.75" x14ac:dyDescent="0.2"/>
    <row r="1708" s="28" customFormat="1" ht="12.75" x14ac:dyDescent="0.2"/>
    <row r="1709" s="28" customFormat="1" ht="12.75" x14ac:dyDescent="0.2"/>
    <row r="1710" s="28" customFormat="1" ht="12.75" x14ac:dyDescent="0.2"/>
    <row r="1711" s="28" customFormat="1" ht="12.75" x14ac:dyDescent="0.2"/>
    <row r="1712" s="28" customFormat="1" ht="12.75" x14ac:dyDescent="0.2"/>
    <row r="1713" s="28" customFormat="1" ht="12.75" x14ac:dyDescent="0.2"/>
    <row r="1714" s="28" customFormat="1" ht="12.75" x14ac:dyDescent="0.2"/>
    <row r="1715" s="28" customFormat="1" ht="12.75" x14ac:dyDescent="0.2"/>
    <row r="1716" s="28" customFormat="1" ht="12.75" x14ac:dyDescent="0.2"/>
    <row r="1717" s="28" customFormat="1" ht="12.75" x14ac:dyDescent="0.2"/>
    <row r="1718" s="28" customFormat="1" ht="12.75" x14ac:dyDescent="0.2"/>
    <row r="1719" s="28" customFormat="1" ht="12.75" x14ac:dyDescent="0.2"/>
    <row r="1720" s="28" customFormat="1" ht="12.75" x14ac:dyDescent="0.2"/>
    <row r="1721" s="28" customFormat="1" ht="12.75" x14ac:dyDescent="0.2"/>
    <row r="1722" s="28" customFormat="1" ht="12.75" x14ac:dyDescent="0.2"/>
    <row r="1723" s="28" customFormat="1" ht="12.75" x14ac:dyDescent="0.2"/>
    <row r="1724" s="28" customFormat="1" ht="12.75" x14ac:dyDescent="0.2"/>
    <row r="1725" s="28" customFormat="1" ht="12.75" x14ac:dyDescent="0.2"/>
    <row r="1726" s="28" customFormat="1" ht="12.75" x14ac:dyDescent="0.2"/>
    <row r="1727" s="28" customFormat="1" ht="12.75" x14ac:dyDescent="0.2"/>
    <row r="1728" s="28" customFormat="1" ht="12.75" x14ac:dyDescent="0.2"/>
    <row r="1729" s="28" customFormat="1" ht="12.75" x14ac:dyDescent="0.2"/>
    <row r="1730" s="28" customFormat="1" ht="12.75" x14ac:dyDescent="0.2"/>
    <row r="1731" s="28" customFormat="1" ht="12.75" x14ac:dyDescent="0.2"/>
    <row r="1732" s="28" customFormat="1" ht="12.75" x14ac:dyDescent="0.2"/>
    <row r="1733" s="28" customFormat="1" ht="12.75" x14ac:dyDescent="0.2"/>
    <row r="1734" s="28" customFormat="1" ht="12.75" x14ac:dyDescent="0.2"/>
    <row r="1735" s="28" customFormat="1" ht="12.75" x14ac:dyDescent="0.2"/>
    <row r="1736" s="28" customFormat="1" ht="12.75" x14ac:dyDescent="0.2"/>
    <row r="1737" s="28" customFormat="1" ht="12.75" x14ac:dyDescent="0.2"/>
    <row r="1738" s="28" customFormat="1" ht="12.75" x14ac:dyDescent="0.2"/>
    <row r="1739" s="28" customFormat="1" ht="12.75" x14ac:dyDescent="0.2"/>
    <row r="1740" s="28" customFormat="1" ht="12.75" x14ac:dyDescent="0.2"/>
    <row r="1741" s="28" customFormat="1" ht="12.75" x14ac:dyDescent="0.2"/>
    <row r="1742" s="28" customFormat="1" ht="12.75" x14ac:dyDescent="0.2"/>
    <row r="1743" s="28" customFormat="1" ht="12.75" x14ac:dyDescent="0.2"/>
    <row r="1744" s="28" customFormat="1" ht="12.75" x14ac:dyDescent="0.2"/>
    <row r="1745" spans="2:51" s="28" customFormat="1" ht="12.75" x14ac:dyDescent="0.2"/>
    <row r="1746" spans="2:51" s="28" customFormat="1" ht="12.75" x14ac:dyDescent="0.2"/>
    <row r="1747" spans="2:51" s="28" customFormat="1" ht="12.75" x14ac:dyDescent="0.2"/>
    <row r="1748" spans="2:51" s="28" customFormat="1" ht="12.75" x14ac:dyDescent="0.2"/>
    <row r="1749" spans="2:51" s="28" customFormat="1" ht="12.75" x14ac:dyDescent="0.2"/>
    <row r="1750" spans="2:51" s="28" customFormat="1" ht="12.75" x14ac:dyDescent="0.2"/>
    <row r="1751" spans="2:51" s="28" customFormat="1" ht="12.75" x14ac:dyDescent="0.2"/>
    <row r="1752" spans="2:51" s="28" customFormat="1" ht="12.75" x14ac:dyDescent="0.2"/>
    <row r="1753" spans="2:51" s="28" customFormat="1" x14ac:dyDescent="0.2">
      <c r="B1753" s="25"/>
      <c r="C1753" s="25"/>
      <c r="D1753" s="25"/>
      <c r="E1753" s="26"/>
      <c r="F1753" s="26"/>
      <c r="G1753" s="26"/>
      <c r="H1753" s="27"/>
      <c r="I1753" s="27"/>
      <c r="J1753" s="27"/>
      <c r="K1753" s="27"/>
      <c r="L1753" s="27"/>
      <c r="M1753" s="27"/>
      <c r="N1753" s="27"/>
      <c r="O1753" s="27"/>
      <c r="P1753" s="27"/>
      <c r="Q1753" s="27"/>
      <c r="R1753" s="27"/>
      <c r="S1753" s="27"/>
      <c r="T1753" s="27"/>
      <c r="U1753" s="27"/>
      <c r="V1753" s="27"/>
      <c r="W1753" s="27"/>
      <c r="X1753" s="27"/>
      <c r="Y1753" s="27"/>
      <c r="Z1753" s="27"/>
      <c r="AA1753" s="27"/>
      <c r="AB1753" s="27"/>
      <c r="AC1753" s="27"/>
      <c r="AD1753" s="27"/>
      <c r="AE1753" s="27"/>
      <c r="AF1753" s="27"/>
      <c r="AG1753" s="27"/>
      <c r="AH1753" s="27"/>
      <c r="AI1753" s="27"/>
      <c r="AJ1753" s="27"/>
      <c r="AK1753" s="27"/>
      <c r="AL1753" s="27"/>
      <c r="AM1753" s="27"/>
      <c r="AN1753" s="27"/>
      <c r="AO1753" s="27"/>
      <c r="AP1753" s="27"/>
      <c r="AQ1753" s="27"/>
      <c r="AR1753" s="27"/>
      <c r="AS1753" s="27"/>
      <c r="AT1753" s="27"/>
      <c r="AU1753" s="27"/>
      <c r="AV1753" s="27"/>
      <c r="AW1753" s="27"/>
      <c r="AX1753" s="27"/>
      <c r="AY1753" s="27"/>
    </row>
    <row r="1754" spans="2:51" s="28" customFormat="1" x14ac:dyDescent="0.2">
      <c r="B1754" s="25"/>
      <c r="C1754" s="25"/>
      <c r="D1754" s="25"/>
      <c r="E1754" s="26"/>
      <c r="F1754" s="26"/>
      <c r="G1754" s="26"/>
      <c r="H1754" s="27"/>
      <c r="I1754" s="27"/>
      <c r="J1754" s="27"/>
      <c r="K1754" s="27"/>
      <c r="L1754" s="27"/>
      <c r="M1754" s="27"/>
      <c r="N1754" s="27"/>
      <c r="O1754" s="27"/>
      <c r="P1754" s="27"/>
      <c r="Q1754" s="27"/>
      <c r="R1754" s="27"/>
      <c r="S1754" s="27"/>
      <c r="T1754" s="27"/>
      <c r="U1754" s="27"/>
      <c r="V1754" s="27"/>
      <c r="W1754" s="27"/>
      <c r="X1754" s="27"/>
      <c r="Y1754" s="27"/>
      <c r="Z1754" s="27"/>
      <c r="AA1754" s="27"/>
      <c r="AB1754" s="27"/>
      <c r="AC1754" s="27"/>
      <c r="AD1754" s="27"/>
      <c r="AE1754" s="27"/>
      <c r="AF1754" s="27"/>
      <c r="AG1754" s="27"/>
      <c r="AH1754" s="27"/>
      <c r="AI1754" s="27"/>
      <c r="AJ1754" s="27"/>
      <c r="AK1754" s="27"/>
      <c r="AL1754" s="27"/>
      <c r="AM1754" s="27"/>
      <c r="AN1754" s="27"/>
      <c r="AO1754" s="27"/>
      <c r="AP1754" s="27"/>
      <c r="AQ1754" s="27"/>
      <c r="AR1754" s="27"/>
      <c r="AS1754" s="27"/>
      <c r="AT1754" s="27"/>
      <c r="AU1754" s="27"/>
      <c r="AV1754" s="27"/>
      <c r="AW1754" s="27"/>
      <c r="AX1754" s="27"/>
      <c r="AY1754" s="27"/>
    </row>
  </sheetData>
  <pageMargins left="0.511811024" right="0.511811024" top="0.78740157499999996" bottom="0.78740157499999996" header="0.31496062000000002" footer="0.31496062000000002"/>
  <pageSetup orientation="portrait"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V14:AV18 AV20:AV21" formulaRange="1"/>
  </ignoredErrors>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49">
    <pageSetUpPr autoPageBreaks="0"/>
  </sheetPr>
  <dimension ref="B1:AY24"/>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2.75" x14ac:dyDescent="0.2"/>
  <cols>
    <col min="1" max="1" width="1.42578125" customWidth="1"/>
    <col min="2" max="2" width="29.85546875" customWidth="1"/>
    <col min="3" max="51" width="10.85546875" customWidth="1"/>
  </cols>
  <sheetData>
    <row r="1" spans="2:51" s="544" customFormat="1" ht="7.5" customHeight="1" x14ac:dyDescent="0.2"/>
    <row r="2" spans="2:51" s="544" customFormat="1" ht="12.75" customHeight="1" x14ac:dyDescent="0.25">
      <c r="D2" s="554"/>
    </row>
    <row r="3" spans="2:51" ht="12.75" customHeight="1" x14ac:dyDescent="0.2">
      <c r="V3" s="544"/>
      <c r="W3" s="544"/>
      <c r="X3" s="544"/>
      <c r="Y3" s="544"/>
      <c r="Z3" s="544"/>
      <c r="AA3" s="544"/>
      <c r="AB3" s="544"/>
      <c r="AC3" s="544"/>
      <c r="AD3" s="544"/>
      <c r="AE3" s="544"/>
      <c r="AF3" s="544"/>
      <c r="AG3" s="544"/>
      <c r="AH3" s="544"/>
      <c r="AI3" s="544"/>
      <c r="AJ3" s="544"/>
      <c r="AK3" s="544"/>
      <c r="AL3" s="544"/>
      <c r="AM3" s="544"/>
      <c r="AN3" s="544"/>
      <c r="AO3" s="544"/>
      <c r="AP3" s="328"/>
      <c r="AQ3" s="328"/>
      <c r="AR3" s="328"/>
      <c r="AS3" s="328"/>
      <c r="AT3" s="328"/>
      <c r="AU3" s="328"/>
      <c r="AV3" s="328"/>
      <c r="AW3" s="328"/>
      <c r="AX3" s="328"/>
      <c r="AY3" s="328"/>
    </row>
    <row r="4" spans="2:51" ht="12.75" customHeight="1" x14ac:dyDescent="0.2"/>
    <row r="5" spans="2:51" x14ac:dyDescent="0.2">
      <c r="B5" s="115" t="s">
        <v>96</v>
      </c>
      <c r="C5" s="115" t="s">
        <v>45</v>
      </c>
      <c r="D5" s="115" t="s">
        <v>55</v>
      </c>
      <c r="E5" s="115" t="s">
        <v>71</v>
      </c>
      <c r="F5" s="115" t="s">
        <v>77</v>
      </c>
      <c r="G5" s="115" t="s">
        <v>87</v>
      </c>
      <c r="H5" s="115" t="s">
        <v>88</v>
      </c>
      <c r="I5" s="115" t="s">
        <v>378</v>
      </c>
      <c r="J5" s="115" t="s">
        <v>406</v>
      </c>
      <c r="K5" s="115" t="s">
        <v>467</v>
      </c>
      <c r="L5" s="115" t="s">
        <v>501</v>
      </c>
      <c r="M5" s="115" t="s">
        <v>511</v>
      </c>
      <c r="N5" s="115" t="s">
        <v>538</v>
      </c>
      <c r="O5" s="115" t="s">
        <v>567</v>
      </c>
      <c r="P5" s="115" t="s">
        <v>575</v>
      </c>
      <c r="Q5" s="115" t="s">
        <v>595</v>
      </c>
      <c r="R5" s="115" t="s">
        <v>596</v>
      </c>
      <c r="S5" s="115" t="s">
        <v>623</v>
      </c>
      <c r="T5" s="115" t="s">
        <v>624</v>
      </c>
      <c r="U5" s="115" t="s">
        <v>625</v>
      </c>
      <c r="V5" s="115" t="s">
        <v>626</v>
      </c>
      <c r="W5" s="115" t="s">
        <v>798</v>
      </c>
      <c r="X5" s="115" t="s">
        <v>799</v>
      </c>
      <c r="Y5" s="115" t="s">
        <v>800</v>
      </c>
      <c r="Z5" s="115" t="s">
        <v>801</v>
      </c>
      <c r="AA5" s="115" t="s">
        <v>913</v>
      </c>
      <c r="AB5" s="115" t="s">
        <v>914</v>
      </c>
      <c r="AC5" s="115" t="s">
        <v>923</v>
      </c>
      <c r="AD5" s="115" t="s">
        <v>924</v>
      </c>
      <c r="AE5" s="115" t="s">
        <v>1049</v>
      </c>
      <c r="AF5" s="115" t="s">
        <v>1023</v>
      </c>
      <c r="AG5" s="115" t="s">
        <v>1024</v>
      </c>
      <c r="AH5" s="115" t="s">
        <v>1050</v>
      </c>
      <c r="AI5" s="115" t="s">
        <v>1114</v>
      </c>
      <c r="AJ5" s="115" t="s">
        <v>1119</v>
      </c>
      <c r="AK5" s="115" t="s">
        <v>1121</v>
      </c>
      <c r="AL5" s="115" t="s">
        <v>1123</v>
      </c>
      <c r="AM5" s="115" t="s">
        <v>1176</v>
      </c>
      <c r="AN5" s="115" t="s">
        <v>1177</v>
      </c>
      <c r="AO5" s="115" t="s">
        <v>1179</v>
      </c>
      <c r="AP5" s="115" t="s">
        <v>1181</v>
      </c>
      <c r="AQ5" s="115" t="s">
        <v>1243</v>
      </c>
      <c r="AR5" s="115" t="s">
        <v>1250</v>
      </c>
      <c r="AS5" s="115" t="s">
        <v>1251</v>
      </c>
      <c r="AT5" s="115" t="s">
        <v>1252</v>
      </c>
      <c r="AU5" s="115" t="s">
        <v>1311</v>
      </c>
      <c r="AV5" s="115" t="s">
        <v>1313</v>
      </c>
      <c r="AW5" s="115" t="s">
        <v>1315</v>
      </c>
      <c r="AX5" s="115" t="s">
        <v>1317</v>
      </c>
      <c r="AY5" s="115" t="s">
        <v>1344</v>
      </c>
    </row>
    <row r="6" spans="2:51" x14ac:dyDescent="0.2">
      <c r="B6" s="129" t="s">
        <v>297</v>
      </c>
      <c r="C6" s="118">
        <v>408159</v>
      </c>
      <c r="D6" s="118">
        <v>441325</v>
      </c>
      <c r="E6" s="118">
        <v>444965</v>
      </c>
      <c r="F6" s="118">
        <v>492842</v>
      </c>
      <c r="G6" s="118">
        <v>352872</v>
      </c>
      <c r="H6" s="118">
        <v>342156</v>
      </c>
      <c r="I6" s="118">
        <v>343148</v>
      </c>
      <c r="J6" s="118">
        <v>353862</v>
      </c>
      <c r="K6" s="118">
        <v>251045</v>
      </c>
      <c r="L6" s="118">
        <v>283051</v>
      </c>
      <c r="M6" s="118">
        <v>292571</v>
      </c>
      <c r="N6" s="118">
        <v>313561</v>
      </c>
      <c r="O6" s="118">
        <v>263139</v>
      </c>
      <c r="P6" s="118">
        <v>316768</v>
      </c>
      <c r="Q6" s="118">
        <v>355630</v>
      </c>
      <c r="R6" s="118">
        <v>394653</v>
      </c>
      <c r="S6" s="118">
        <v>322849</v>
      </c>
      <c r="T6" s="118">
        <v>360399</v>
      </c>
      <c r="U6" s="118">
        <v>415846</v>
      </c>
      <c r="V6" s="118">
        <v>439626</v>
      </c>
      <c r="W6" s="118">
        <v>367283</v>
      </c>
      <c r="X6" s="118">
        <v>406330</v>
      </c>
      <c r="Y6" s="118">
        <v>415850</v>
      </c>
      <c r="Z6" s="118">
        <v>463847</v>
      </c>
      <c r="AA6" s="118">
        <v>345453</v>
      </c>
      <c r="AB6" s="118">
        <v>160265</v>
      </c>
      <c r="AC6" s="118">
        <v>358317</v>
      </c>
      <c r="AD6" s="118">
        <v>386729</v>
      </c>
      <c r="AE6" s="118">
        <v>290765</v>
      </c>
      <c r="AF6" s="118">
        <v>294711</v>
      </c>
      <c r="AG6" s="118">
        <v>289282</v>
      </c>
      <c r="AH6" s="118">
        <v>379482</v>
      </c>
      <c r="AI6" s="118">
        <v>298338</v>
      </c>
      <c r="AJ6" s="118">
        <v>375832</v>
      </c>
      <c r="AK6" s="118">
        <v>511410</v>
      </c>
      <c r="AL6" s="118">
        <v>506301</v>
      </c>
      <c r="AM6" s="118">
        <v>417226</v>
      </c>
      <c r="AN6" s="118">
        <v>457144</v>
      </c>
      <c r="AO6" s="118">
        <v>531099</v>
      </c>
      <c r="AP6" s="118">
        <v>565970</v>
      </c>
      <c r="AQ6" s="118">
        <v>483236</v>
      </c>
      <c r="AR6" s="118">
        <v>584888</v>
      </c>
      <c r="AS6" s="118">
        <v>746758</v>
      </c>
      <c r="AT6" s="118">
        <v>770341</v>
      </c>
      <c r="AU6" s="118">
        <v>545150</v>
      </c>
      <c r="AV6" s="118">
        <v>675686</v>
      </c>
      <c r="AW6" s="118">
        <v>786432</v>
      </c>
      <c r="AX6" s="118">
        <v>764752</v>
      </c>
      <c r="AY6" s="118">
        <v>650036</v>
      </c>
    </row>
    <row r="7" spans="2:51" x14ac:dyDescent="0.2">
      <c r="B7" s="129" t="s">
        <v>298</v>
      </c>
      <c r="C7" s="118">
        <v>-19216</v>
      </c>
      <c r="D7" s="118">
        <v>-18613</v>
      </c>
      <c r="E7" s="118">
        <v>-19373</v>
      </c>
      <c r="F7" s="118">
        <v>-21834</v>
      </c>
      <c r="G7" s="118">
        <v>-14829</v>
      </c>
      <c r="H7" s="118">
        <v>-14476</v>
      </c>
      <c r="I7" s="118">
        <v>-15581</v>
      </c>
      <c r="J7" s="118">
        <v>-15718</v>
      </c>
      <c r="K7" s="118">
        <v>-13375</v>
      </c>
      <c r="L7" s="118">
        <v>-16133</v>
      </c>
      <c r="M7" s="118">
        <v>-15067</v>
      </c>
      <c r="N7" s="118">
        <v>-16475</v>
      </c>
      <c r="O7" s="118">
        <v>-13363</v>
      </c>
      <c r="P7" s="118">
        <v>-19180</v>
      </c>
      <c r="Q7" s="118">
        <v>-21827</v>
      </c>
      <c r="R7" s="118">
        <v>-21515</v>
      </c>
      <c r="S7" s="118">
        <v>-17379</v>
      </c>
      <c r="T7" s="118">
        <v>-18727</v>
      </c>
      <c r="U7" s="118">
        <v>-23160</v>
      </c>
      <c r="V7" s="118">
        <v>-23073</v>
      </c>
      <c r="W7" s="118">
        <v>-18561</v>
      </c>
      <c r="X7" s="118">
        <v>-20329</v>
      </c>
      <c r="Y7" s="118">
        <v>-20310</v>
      </c>
      <c r="Z7" s="118">
        <v>-23486</v>
      </c>
      <c r="AA7" s="118">
        <v>-17255</v>
      </c>
      <c r="AB7" s="118">
        <v>-6945</v>
      </c>
      <c r="AC7" s="118">
        <v>-19108</v>
      </c>
      <c r="AD7" s="118">
        <v>-20062</v>
      </c>
      <c r="AE7" s="118">
        <v>-15718</v>
      </c>
      <c r="AF7" s="118">
        <v>-18452</v>
      </c>
      <c r="AG7" s="118">
        <v>-16758</v>
      </c>
      <c r="AH7" s="118">
        <v>-21235</v>
      </c>
      <c r="AI7" s="118">
        <v>-15700</v>
      </c>
      <c r="AJ7" s="118">
        <v>-18394</v>
      </c>
      <c r="AK7" s="118">
        <v>-23371</v>
      </c>
      <c r="AL7" s="118">
        <v>-25247</v>
      </c>
      <c r="AM7" s="118">
        <v>-22771</v>
      </c>
      <c r="AN7" s="261">
        <v>-25245</v>
      </c>
      <c r="AO7" s="118">
        <v>-27210</v>
      </c>
      <c r="AP7" s="261">
        <v>-29815</v>
      </c>
      <c r="AQ7" s="118">
        <v>-22544</v>
      </c>
      <c r="AR7" s="118">
        <v>-26744</v>
      </c>
      <c r="AS7" s="118">
        <v>-33795</v>
      </c>
      <c r="AT7" s="118">
        <v>-33436</v>
      </c>
      <c r="AU7" s="118">
        <v>-27570</v>
      </c>
      <c r="AV7" s="118">
        <v>-38570</v>
      </c>
      <c r="AW7" s="118">
        <v>-37059</v>
      </c>
      <c r="AX7" s="118">
        <v>-35136</v>
      </c>
      <c r="AY7" s="118">
        <v>-28855</v>
      </c>
    </row>
    <row r="8" spans="2:51" x14ac:dyDescent="0.2">
      <c r="B8" s="126" t="s">
        <v>375</v>
      </c>
      <c r="C8" s="120">
        <f t="shared" ref="C8:I8" si="0">SUM(C6:C7)</f>
        <v>388943</v>
      </c>
      <c r="D8" s="120">
        <f t="shared" si="0"/>
        <v>422712</v>
      </c>
      <c r="E8" s="120">
        <f t="shared" si="0"/>
        <v>425592</v>
      </c>
      <c r="F8" s="120">
        <f t="shared" si="0"/>
        <v>471008</v>
      </c>
      <c r="G8" s="120">
        <f t="shared" si="0"/>
        <v>338043</v>
      </c>
      <c r="H8" s="120">
        <f t="shared" si="0"/>
        <v>327680</v>
      </c>
      <c r="I8" s="120">
        <f t="shared" si="0"/>
        <v>327567</v>
      </c>
      <c r="J8" s="120">
        <f>SUM(J6:J7)</f>
        <v>338144</v>
      </c>
      <c r="K8" s="120">
        <f>SUM(K6:K7)</f>
        <v>237670</v>
      </c>
      <c r="L8" s="120">
        <f t="shared" ref="L8:Q8" si="1">SUM(L6:L7)</f>
        <v>266918</v>
      </c>
      <c r="M8" s="120">
        <f t="shared" si="1"/>
        <v>277504</v>
      </c>
      <c r="N8" s="120">
        <f t="shared" si="1"/>
        <v>297086</v>
      </c>
      <c r="O8" s="120">
        <f t="shared" si="1"/>
        <v>249776</v>
      </c>
      <c r="P8" s="120">
        <f t="shared" si="1"/>
        <v>297588</v>
      </c>
      <c r="Q8" s="120">
        <f t="shared" si="1"/>
        <v>333803</v>
      </c>
      <c r="R8" s="120">
        <f t="shared" ref="R8:Z8" si="2">SUM(R6:R7)</f>
        <v>373138</v>
      </c>
      <c r="S8" s="120">
        <f t="shared" si="2"/>
        <v>305470</v>
      </c>
      <c r="T8" s="120">
        <f t="shared" si="2"/>
        <v>341672</v>
      </c>
      <c r="U8" s="120">
        <f t="shared" si="2"/>
        <v>392686</v>
      </c>
      <c r="V8" s="120">
        <f t="shared" si="2"/>
        <v>416553</v>
      </c>
      <c r="W8" s="120">
        <f t="shared" si="2"/>
        <v>348722</v>
      </c>
      <c r="X8" s="120">
        <f t="shared" si="2"/>
        <v>386001</v>
      </c>
      <c r="Y8" s="120">
        <f t="shared" si="2"/>
        <v>395540</v>
      </c>
      <c r="Z8" s="120">
        <f t="shared" si="2"/>
        <v>440361</v>
      </c>
      <c r="AA8" s="120">
        <f t="shared" ref="AA8:AG8" si="3">SUM(AA6:AA7)</f>
        <v>328198</v>
      </c>
      <c r="AB8" s="120">
        <f t="shared" si="3"/>
        <v>153320</v>
      </c>
      <c r="AC8" s="120">
        <f t="shared" si="3"/>
        <v>339209</v>
      </c>
      <c r="AD8" s="120">
        <f t="shared" si="3"/>
        <v>366667</v>
      </c>
      <c r="AE8" s="120">
        <f t="shared" si="3"/>
        <v>275047</v>
      </c>
      <c r="AF8" s="120">
        <f t="shared" si="3"/>
        <v>276259</v>
      </c>
      <c r="AG8" s="120">
        <f t="shared" si="3"/>
        <v>272524</v>
      </c>
      <c r="AH8" s="120">
        <f t="shared" ref="AH8:AM8" si="4">SUM(AH6:AH7)</f>
        <v>358247</v>
      </c>
      <c r="AI8" s="120">
        <f t="shared" si="4"/>
        <v>282638</v>
      </c>
      <c r="AJ8" s="120">
        <f t="shared" si="4"/>
        <v>357438</v>
      </c>
      <c r="AK8" s="120">
        <f t="shared" si="4"/>
        <v>488039</v>
      </c>
      <c r="AL8" s="120">
        <f t="shared" si="4"/>
        <v>481054</v>
      </c>
      <c r="AM8" s="120">
        <f t="shared" si="4"/>
        <v>394455</v>
      </c>
      <c r="AN8" s="120">
        <f t="shared" ref="AN8:AU8" si="5">SUM(AN6:AN7)</f>
        <v>431899</v>
      </c>
      <c r="AO8" s="120">
        <f t="shared" si="5"/>
        <v>503889</v>
      </c>
      <c r="AP8" s="120">
        <f t="shared" si="5"/>
        <v>536155</v>
      </c>
      <c r="AQ8" s="120">
        <f t="shared" si="5"/>
        <v>460692</v>
      </c>
      <c r="AR8" s="120">
        <f t="shared" si="5"/>
        <v>558144</v>
      </c>
      <c r="AS8" s="120">
        <f t="shared" si="5"/>
        <v>712963</v>
      </c>
      <c r="AT8" s="120">
        <f t="shared" si="5"/>
        <v>736905</v>
      </c>
      <c r="AU8" s="120">
        <f t="shared" si="5"/>
        <v>517580</v>
      </c>
      <c r="AV8" s="120">
        <f>SUM(AV6:AV7)</f>
        <v>637116</v>
      </c>
      <c r="AW8" s="120">
        <f>SUM(AW6:AW7)</f>
        <v>749373</v>
      </c>
      <c r="AX8" s="120">
        <f>SUM(AX6:AX7)</f>
        <v>729616</v>
      </c>
      <c r="AY8" s="120">
        <f>SUM(AY6:AY7)</f>
        <v>621181</v>
      </c>
    </row>
    <row r="9" spans="2:51" x14ac:dyDescent="0.2">
      <c r="B9" s="129" t="s">
        <v>299</v>
      </c>
      <c r="C9" s="118">
        <v>-61578</v>
      </c>
      <c r="D9" s="118">
        <v>-66400</v>
      </c>
      <c r="E9" s="118">
        <v>-66758</v>
      </c>
      <c r="F9" s="118">
        <v>-73966</v>
      </c>
      <c r="G9" s="118">
        <v>-53144</v>
      </c>
      <c r="H9" s="118">
        <v>-52574</v>
      </c>
      <c r="I9" s="118">
        <v>-52181</v>
      </c>
      <c r="J9" s="118">
        <v>-50971</v>
      </c>
      <c r="K9" s="118">
        <v>-34776</v>
      </c>
      <c r="L9" s="118">
        <v>-38261</v>
      </c>
      <c r="M9" s="118">
        <v>-39686</v>
      </c>
      <c r="N9" s="118">
        <v>-42564</v>
      </c>
      <c r="O9" s="118">
        <v>-36262</v>
      </c>
      <c r="P9" s="261">
        <v>-32481</v>
      </c>
      <c r="Q9" s="118">
        <v>-47924</v>
      </c>
      <c r="R9" s="118">
        <v>-53663</v>
      </c>
      <c r="S9" s="118">
        <v>-43398</v>
      </c>
      <c r="T9" s="118">
        <v>-48396</v>
      </c>
      <c r="U9" s="118">
        <v>-61481</v>
      </c>
      <c r="V9" s="118">
        <v>-49327</v>
      </c>
      <c r="W9" s="118">
        <v>-52041</v>
      </c>
      <c r="X9" s="118">
        <v>-54413</v>
      </c>
      <c r="Y9" s="118">
        <v>-54817</v>
      </c>
      <c r="Z9" s="118">
        <v>-62033</v>
      </c>
      <c r="AA9" s="118">
        <v>-48452</v>
      </c>
      <c r="AB9" s="118">
        <v>-23179</v>
      </c>
      <c r="AC9" s="118">
        <v>-50028</v>
      </c>
      <c r="AD9" s="118">
        <v>-53700</v>
      </c>
      <c r="AE9" s="118">
        <v>-41135</v>
      </c>
      <c r="AF9" s="118">
        <v>-39193</v>
      </c>
      <c r="AG9" s="118">
        <v>-41085</v>
      </c>
      <c r="AH9" s="118">
        <v>-53321</v>
      </c>
      <c r="AI9" s="118">
        <v>-41572</v>
      </c>
      <c r="AJ9" s="118">
        <v>-52903</v>
      </c>
      <c r="AK9" s="118">
        <v>-72530</v>
      </c>
      <c r="AL9" s="118">
        <v>-71655</v>
      </c>
      <c r="AM9" s="118">
        <v>-58417</v>
      </c>
      <c r="AN9" s="118">
        <v>-65248</v>
      </c>
      <c r="AO9" s="118">
        <v>-76912</v>
      </c>
      <c r="AP9" s="118">
        <v>-82353</v>
      </c>
      <c r="AQ9" s="118">
        <v>-71521</v>
      </c>
      <c r="AR9" s="118">
        <v>-85302</v>
      </c>
      <c r="AS9" s="118">
        <v>-109209</v>
      </c>
      <c r="AT9" s="118">
        <v>-112545</v>
      </c>
      <c r="AU9" s="118">
        <v>-77223</v>
      </c>
      <c r="AV9" s="118">
        <v>-96576</v>
      </c>
      <c r="AW9" s="118">
        <v>-115150</v>
      </c>
      <c r="AX9" s="118">
        <v>-119308</v>
      </c>
      <c r="AY9" s="118">
        <v>-99902</v>
      </c>
    </row>
    <row r="10" spans="2:51" x14ac:dyDescent="0.2">
      <c r="B10" s="126" t="s">
        <v>300</v>
      </c>
      <c r="C10" s="120">
        <f t="shared" ref="C10:I10" si="6">SUM(C8:C9)</f>
        <v>327365</v>
      </c>
      <c r="D10" s="120">
        <f t="shared" si="6"/>
        <v>356312</v>
      </c>
      <c r="E10" s="120">
        <f t="shared" si="6"/>
        <v>358834</v>
      </c>
      <c r="F10" s="120">
        <f t="shared" si="6"/>
        <v>397042</v>
      </c>
      <c r="G10" s="120">
        <f t="shared" si="6"/>
        <v>284899</v>
      </c>
      <c r="H10" s="120">
        <f t="shared" si="6"/>
        <v>275106</v>
      </c>
      <c r="I10" s="120">
        <f t="shared" si="6"/>
        <v>275386</v>
      </c>
      <c r="J10" s="120">
        <f>SUM(J8:J9)</f>
        <v>287173</v>
      </c>
      <c r="K10" s="120">
        <f>SUM(K8:K9)</f>
        <v>202894</v>
      </c>
      <c r="L10" s="120">
        <f t="shared" ref="L10:Q10" si="7">SUM(L8:L9)</f>
        <v>228657</v>
      </c>
      <c r="M10" s="120">
        <f t="shared" si="7"/>
        <v>237818</v>
      </c>
      <c r="N10" s="120">
        <f t="shared" si="7"/>
        <v>254522</v>
      </c>
      <c r="O10" s="120">
        <f t="shared" si="7"/>
        <v>213514</v>
      </c>
      <c r="P10" s="120">
        <f t="shared" si="7"/>
        <v>265107</v>
      </c>
      <c r="Q10" s="120">
        <f t="shared" si="7"/>
        <v>285879</v>
      </c>
      <c r="R10" s="120">
        <f t="shared" ref="R10:Z10" si="8">SUM(R8:R9)</f>
        <v>319475</v>
      </c>
      <c r="S10" s="120">
        <f t="shared" si="8"/>
        <v>262072</v>
      </c>
      <c r="T10" s="120">
        <f t="shared" si="8"/>
        <v>293276</v>
      </c>
      <c r="U10" s="120">
        <f t="shared" si="8"/>
        <v>331205</v>
      </c>
      <c r="V10" s="120">
        <f t="shared" si="8"/>
        <v>367226</v>
      </c>
      <c r="W10" s="120">
        <f t="shared" si="8"/>
        <v>296681</v>
      </c>
      <c r="X10" s="120">
        <f t="shared" si="8"/>
        <v>331588</v>
      </c>
      <c r="Y10" s="120">
        <f t="shared" si="8"/>
        <v>340723</v>
      </c>
      <c r="Z10" s="120">
        <f t="shared" si="8"/>
        <v>378328</v>
      </c>
      <c r="AA10" s="120">
        <f t="shared" ref="AA10:AG10" si="9">SUM(AA8:AA9)</f>
        <v>279746</v>
      </c>
      <c r="AB10" s="120">
        <f t="shared" si="9"/>
        <v>130141</v>
      </c>
      <c r="AC10" s="120">
        <f t="shared" si="9"/>
        <v>289181</v>
      </c>
      <c r="AD10" s="120">
        <f t="shared" si="9"/>
        <v>312967</v>
      </c>
      <c r="AE10" s="120">
        <f t="shared" si="9"/>
        <v>233912</v>
      </c>
      <c r="AF10" s="120">
        <f t="shared" si="9"/>
        <v>237066</v>
      </c>
      <c r="AG10" s="120">
        <f t="shared" si="9"/>
        <v>231439</v>
      </c>
      <c r="AH10" s="120">
        <f>SUM(AH8:AH9)</f>
        <v>304926</v>
      </c>
      <c r="AI10" s="120">
        <v>241066</v>
      </c>
      <c r="AJ10" s="120">
        <f t="shared" ref="AJ10:AO10" si="10">SUM(AJ8:AJ9)</f>
        <v>304535</v>
      </c>
      <c r="AK10" s="120">
        <f t="shared" si="10"/>
        <v>415509</v>
      </c>
      <c r="AL10" s="120">
        <f t="shared" si="10"/>
        <v>409399</v>
      </c>
      <c r="AM10" s="120">
        <f t="shared" si="10"/>
        <v>336038</v>
      </c>
      <c r="AN10" s="120">
        <f t="shared" si="10"/>
        <v>366651</v>
      </c>
      <c r="AO10" s="120">
        <f t="shared" si="10"/>
        <v>426977</v>
      </c>
      <c r="AP10" s="120">
        <f t="shared" ref="AP10:AY10" si="11">SUM(AP8:AP9)</f>
        <v>453802</v>
      </c>
      <c r="AQ10" s="120">
        <f t="shared" si="11"/>
        <v>389171</v>
      </c>
      <c r="AR10" s="120">
        <f t="shared" si="11"/>
        <v>472842</v>
      </c>
      <c r="AS10" s="120">
        <f t="shared" si="11"/>
        <v>603754</v>
      </c>
      <c r="AT10" s="120">
        <f t="shared" si="11"/>
        <v>624360</v>
      </c>
      <c r="AU10" s="120">
        <f t="shared" si="11"/>
        <v>440357</v>
      </c>
      <c r="AV10" s="120">
        <f t="shared" si="11"/>
        <v>540540</v>
      </c>
      <c r="AW10" s="120">
        <f t="shared" si="11"/>
        <v>634223</v>
      </c>
      <c r="AX10" s="120">
        <f t="shared" si="11"/>
        <v>610308</v>
      </c>
      <c r="AY10" s="120">
        <f t="shared" si="11"/>
        <v>521279</v>
      </c>
    </row>
    <row r="11" spans="2:51" x14ac:dyDescent="0.2">
      <c r="B11" s="105"/>
      <c r="C11" s="177"/>
      <c r="D11" s="177"/>
      <c r="E11" s="177"/>
      <c r="F11" s="177"/>
      <c r="G11" s="177"/>
      <c r="H11" s="177"/>
      <c r="I11" s="177"/>
      <c r="J11" s="177"/>
      <c r="K11" s="177"/>
      <c r="L11" s="177"/>
      <c r="M11" s="177"/>
      <c r="N11" s="177"/>
      <c r="O11" s="169">
        <f>+DRE!AB10-O10</f>
        <v>0.57686999998986721</v>
      </c>
      <c r="P11" s="169">
        <f>+DRE!AC10-P10</f>
        <v>-0.59764000005088747</v>
      </c>
      <c r="Q11" s="169">
        <f>+DRE!AD10-Q10</f>
        <v>-0.14616999996360391</v>
      </c>
      <c r="R11" s="169">
        <f>+DRE!AE10-R10</f>
        <v>0.60617999994428828</v>
      </c>
      <c r="S11" s="169">
        <f>+DRE!AF10-S10</f>
        <v>0.36444000000483356</v>
      </c>
      <c r="T11" s="169">
        <f>+DRE!AG10-T10</f>
        <v>-0.67650000005960464</v>
      </c>
      <c r="U11" s="169">
        <f>+DRE!AH10-U10</f>
        <v>0.66719999996712431</v>
      </c>
      <c r="V11" s="169">
        <f>+DRE!AI10-V10</f>
        <v>-0.53106999996816739</v>
      </c>
      <c r="W11" s="169">
        <f>+DRE!AJ10-W10</f>
        <v>-0.20844000001670793</v>
      </c>
      <c r="X11" s="169">
        <f>+DRE!AK10-X10</f>
        <v>1.169000007212162E-2</v>
      </c>
      <c r="Y11" s="169">
        <f>+DRE!AL10-Y10</f>
        <v>0.14690000005066395</v>
      </c>
      <c r="Z11" s="169">
        <f>+DRE!AM10-Z10</f>
        <v>0.5195600000442937</v>
      </c>
      <c r="AA11" s="169">
        <f>+DRE!AN10-AA10</f>
        <v>0.42341999994823709</v>
      </c>
      <c r="AB11" s="169">
        <f>+DRE!AO10-AB10</f>
        <v>-0.45756000000983477</v>
      </c>
      <c r="AC11" s="169">
        <f>+DRE!AP10-AC10</f>
        <v>0.48297999997157604</v>
      </c>
      <c r="AD11" s="169">
        <f>+DRE!AQ10-AD10</f>
        <v>-0.47023000003537163</v>
      </c>
      <c r="AE11" s="169">
        <f>+DRE!AR10-AE10</f>
        <v>0.14429999998537824</v>
      </c>
      <c r="AF11" s="169">
        <f>+DRE!AS10-AF10</f>
        <v>0.25822999997762963</v>
      </c>
      <c r="AG11" s="169">
        <v>-0.48523999997996725</v>
      </c>
      <c r="AH11" s="169">
        <f>+DRE!AU10-AH10</f>
        <v>9.1619999904651195E-2</v>
      </c>
      <c r="AI11" s="169">
        <f>+DRE!AV10-AI10</f>
        <v>0.10910999996121973</v>
      </c>
      <c r="AJ11" s="169">
        <f>+DRE!AW10-AJ10</f>
        <v>0.17456000001402572</v>
      </c>
      <c r="AK11" s="169">
        <f>+DRE!AX10-AK10</f>
        <v>-0.30891999992309138</v>
      </c>
      <c r="AL11" s="169">
        <f>+DRE!AY10-AL10</f>
        <v>0.47148000000743195</v>
      </c>
      <c r="AM11" s="169">
        <f>+DRE!AZ10-AM10</f>
        <v>-5.0830000196583569E-2</v>
      </c>
      <c r="AN11" s="169">
        <f>+DRE!BA10-AN10</f>
        <v>-0.2699599998886697</v>
      </c>
      <c r="AO11" s="169">
        <f>+DRE!BB10-AO10</f>
        <v>0.59149000007892027</v>
      </c>
      <c r="AP11" s="169">
        <f>+DRE!BC10-AP10</f>
        <v>-0.72626999986823648</v>
      </c>
      <c r="AQ11" s="169">
        <f>+DRE!BD10-AQ10</f>
        <v>-0.20720000012079254</v>
      </c>
      <c r="AR11" s="169">
        <f>+DRE!BE10-AR10</f>
        <v>0.18974000005982816</v>
      </c>
      <c r="AS11" s="169">
        <f>+DRE!BF10-AS10</f>
        <v>0.2609100000699982</v>
      </c>
      <c r="AT11" s="169">
        <f>+DRE!BG10-AT10</f>
        <v>0.17367999989073724</v>
      </c>
      <c r="AU11" s="169">
        <f>+DRE!BH10-AU10</f>
        <v>0.28667999990284443</v>
      </c>
      <c r="AV11" s="169">
        <f>+DRE!BI10-AV10</f>
        <v>-0.43962000007741153</v>
      </c>
      <c r="AW11" s="169">
        <f>+DRE!BJ10-AW10</f>
        <v>1.1180000030435622E-2</v>
      </c>
      <c r="AX11" s="169">
        <f>+DRE!BK10-AX10</f>
        <v>0.31069999991450459</v>
      </c>
      <c r="AY11" s="169">
        <f>+DRE!BL10-AY10</f>
        <v>-0.32766999991144985</v>
      </c>
    </row>
    <row r="12" spans="2:51" x14ac:dyDescent="0.2">
      <c r="B12" s="115" t="s">
        <v>97</v>
      </c>
      <c r="C12" s="115" t="str">
        <f>C5</f>
        <v>1T14</v>
      </c>
      <c r="D12" s="115" t="str">
        <f t="shared" ref="D12:Q12" si="12">D5</f>
        <v>2T14</v>
      </c>
      <c r="E12" s="115" t="str">
        <f t="shared" si="12"/>
        <v>3T14</v>
      </c>
      <c r="F12" s="115" t="str">
        <f t="shared" si="12"/>
        <v>4T14</v>
      </c>
      <c r="G12" s="115" t="str">
        <f t="shared" si="12"/>
        <v>1T15</v>
      </c>
      <c r="H12" s="115" t="str">
        <f t="shared" si="12"/>
        <v>2T15</v>
      </c>
      <c r="I12" s="115" t="str">
        <f t="shared" si="12"/>
        <v>3T15</v>
      </c>
      <c r="J12" s="115" t="str">
        <f t="shared" si="12"/>
        <v>4T15</v>
      </c>
      <c r="K12" s="115" t="str">
        <f t="shared" si="12"/>
        <v>1T16</v>
      </c>
      <c r="L12" s="115" t="str">
        <f t="shared" si="12"/>
        <v>2T16</v>
      </c>
      <c r="M12" s="115" t="str">
        <f t="shared" si="12"/>
        <v>3T16</v>
      </c>
      <c r="N12" s="115" t="str">
        <f t="shared" si="12"/>
        <v>4T16</v>
      </c>
      <c r="O12" s="115" t="str">
        <f t="shared" si="12"/>
        <v>1T17</v>
      </c>
      <c r="P12" s="115" t="str">
        <f t="shared" si="12"/>
        <v>2T17</v>
      </c>
      <c r="Q12" s="115" t="str">
        <f t="shared" si="12"/>
        <v>3T17</v>
      </c>
      <c r="R12" s="115" t="str">
        <f t="shared" ref="R12:Z12" si="13">R5</f>
        <v>4T17</v>
      </c>
      <c r="S12" s="115" t="str">
        <f t="shared" si="13"/>
        <v>1T18</v>
      </c>
      <c r="T12" s="115" t="str">
        <f t="shared" si="13"/>
        <v>2T18</v>
      </c>
      <c r="U12" s="115" t="str">
        <f t="shared" si="13"/>
        <v>3T18</v>
      </c>
      <c r="V12" s="115" t="str">
        <f t="shared" si="13"/>
        <v>4T18</v>
      </c>
      <c r="W12" s="115" t="str">
        <f t="shared" si="13"/>
        <v>1T19</v>
      </c>
      <c r="X12" s="115" t="str">
        <f t="shared" si="13"/>
        <v>2T19</v>
      </c>
      <c r="Y12" s="115" t="str">
        <f t="shared" si="13"/>
        <v>3T19</v>
      </c>
      <c r="Z12" s="115" t="str">
        <f t="shared" si="13"/>
        <v>4T19</v>
      </c>
      <c r="AA12" s="115" t="str">
        <f t="shared" ref="AA12:AJ12" si="14">AA5</f>
        <v>1T20</v>
      </c>
      <c r="AB12" s="115" t="str">
        <f t="shared" si="14"/>
        <v>2T20</v>
      </c>
      <c r="AC12" s="115" t="str">
        <f t="shared" si="14"/>
        <v>3T20</v>
      </c>
      <c r="AD12" s="115" t="str">
        <f t="shared" si="14"/>
        <v>4T20</v>
      </c>
      <c r="AE12" s="115" t="str">
        <f t="shared" si="14"/>
        <v>1T21</v>
      </c>
      <c r="AF12" s="115" t="str">
        <f t="shared" si="14"/>
        <v>2T21</v>
      </c>
      <c r="AG12" s="115" t="str">
        <f t="shared" si="14"/>
        <v>3T21</v>
      </c>
      <c r="AH12" s="115" t="str">
        <f t="shared" si="14"/>
        <v>4T21</v>
      </c>
      <c r="AI12" s="115" t="str">
        <f t="shared" si="14"/>
        <v>1T22</v>
      </c>
      <c r="AJ12" s="115" t="str">
        <f t="shared" si="14"/>
        <v>2T22</v>
      </c>
      <c r="AK12" s="115" t="str">
        <f t="shared" ref="AK12:AQ12" si="15">AK5</f>
        <v>3T22</v>
      </c>
      <c r="AL12" s="115" t="str">
        <f t="shared" si="15"/>
        <v>4T22</v>
      </c>
      <c r="AM12" s="115" t="str">
        <f t="shared" si="15"/>
        <v>1T23</v>
      </c>
      <c r="AN12" s="115" t="str">
        <f t="shared" si="15"/>
        <v>2T23</v>
      </c>
      <c r="AO12" s="115" t="str">
        <f t="shared" si="15"/>
        <v>3T23</v>
      </c>
      <c r="AP12" s="115" t="str">
        <f t="shared" si="15"/>
        <v>4T23</v>
      </c>
      <c r="AQ12" s="115" t="str">
        <f t="shared" si="15"/>
        <v>1T24</v>
      </c>
      <c r="AR12" s="115" t="str">
        <f t="shared" ref="AR12:AW12" si="16">AR5</f>
        <v>2T24</v>
      </c>
      <c r="AS12" s="115" t="str">
        <f t="shared" si="16"/>
        <v>3T24</v>
      </c>
      <c r="AT12" s="115" t="str">
        <f t="shared" si="16"/>
        <v>4T24</v>
      </c>
      <c r="AU12" s="115" t="str">
        <f t="shared" si="16"/>
        <v>1T25</v>
      </c>
      <c r="AV12" s="115" t="str">
        <f t="shared" si="16"/>
        <v>2T25</v>
      </c>
      <c r="AW12" s="115" t="str">
        <f t="shared" si="16"/>
        <v>3T25</v>
      </c>
      <c r="AX12" s="115" t="str">
        <f>AX5</f>
        <v>4T25</v>
      </c>
      <c r="AY12" s="115" t="str">
        <f>AY5</f>
        <v>1T26</v>
      </c>
    </row>
    <row r="13" spans="2:51" x14ac:dyDescent="0.2">
      <c r="B13" s="129" t="s">
        <v>297</v>
      </c>
      <c r="C13" s="118">
        <v>350260</v>
      </c>
      <c r="D13" s="118">
        <v>384570</v>
      </c>
      <c r="E13" s="118">
        <v>388402</v>
      </c>
      <c r="F13" s="118">
        <v>438119</v>
      </c>
      <c r="G13" s="118">
        <v>303213</v>
      </c>
      <c r="H13" s="118">
        <v>291573</v>
      </c>
      <c r="I13" s="118">
        <v>289424</v>
      </c>
      <c r="J13" s="118">
        <v>301758</v>
      </c>
      <c r="K13" s="118">
        <v>210357</v>
      </c>
      <c r="L13" s="118">
        <v>243250</v>
      </c>
      <c r="M13" s="118">
        <v>254608</v>
      </c>
      <c r="N13" s="118">
        <v>273853</v>
      </c>
      <c r="O13" s="118">
        <v>224602</v>
      </c>
      <c r="P13" s="118">
        <v>279313</v>
      </c>
      <c r="Q13" s="118">
        <v>317046</v>
      </c>
      <c r="R13" s="118">
        <v>352817</v>
      </c>
      <c r="S13" s="118">
        <v>286049</v>
      </c>
      <c r="T13" s="118">
        <v>325559</v>
      </c>
      <c r="U13" s="118">
        <v>377916</v>
      </c>
      <c r="V13" s="118">
        <v>403028</v>
      </c>
      <c r="W13" s="118">
        <v>330842</v>
      </c>
      <c r="X13" s="118">
        <v>357019</v>
      </c>
      <c r="Y13" s="118">
        <v>363550</v>
      </c>
      <c r="Z13" s="118">
        <v>407034</v>
      </c>
      <c r="AA13" s="118">
        <v>293793</v>
      </c>
      <c r="AB13" s="118">
        <v>108445</v>
      </c>
      <c r="AC13" s="118">
        <v>300876</v>
      </c>
      <c r="AD13" s="118">
        <v>330747</v>
      </c>
      <c r="AE13" s="118">
        <v>241836</v>
      </c>
      <c r="AF13" s="118">
        <v>238168</v>
      </c>
      <c r="AG13" s="118">
        <v>234639</v>
      </c>
      <c r="AH13" s="118">
        <v>323633</v>
      </c>
      <c r="AI13" s="118">
        <v>235046</v>
      </c>
      <c r="AJ13" s="118">
        <v>306547</v>
      </c>
      <c r="AK13" s="118">
        <v>434500</v>
      </c>
      <c r="AL13" s="118">
        <v>428713</v>
      </c>
      <c r="AM13" s="118">
        <v>337833</v>
      </c>
      <c r="AN13" s="118">
        <v>382856</v>
      </c>
      <c r="AO13" s="118">
        <v>446061</v>
      </c>
      <c r="AP13" s="118">
        <v>480205</v>
      </c>
      <c r="AQ13" s="118">
        <v>394085</v>
      </c>
      <c r="AR13" s="118">
        <v>506074</v>
      </c>
      <c r="AS13" s="118">
        <v>682373</v>
      </c>
      <c r="AT13" s="118">
        <v>708745</v>
      </c>
      <c r="AU13" s="118">
        <v>477345</v>
      </c>
      <c r="AV13" s="118">
        <v>601805</v>
      </c>
      <c r="AW13" s="118">
        <v>724412</v>
      </c>
      <c r="AX13" s="118">
        <v>695083</v>
      </c>
      <c r="AY13" s="118">
        <v>577002</v>
      </c>
    </row>
    <row r="14" spans="2:51" x14ac:dyDescent="0.2">
      <c r="B14" s="129" t="s">
        <v>298</v>
      </c>
      <c r="C14" s="118">
        <v>-17739</v>
      </c>
      <c r="D14" s="118">
        <v>-18114</v>
      </c>
      <c r="E14" s="118">
        <v>-18819</v>
      </c>
      <c r="F14" s="118">
        <v>-21747</v>
      </c>
      <c r="G14" s="118">
        <v>-14780</v>
      </c>
      <c r="H14" s="118">
        <v>-14141</v>
      </c>
      <c r="I14" s="118">
        <v>-15363</v>
      </c>
      <c r="J14" s="118">
        <v>-15182</v>
      </c>
      <c r="K14" s="118">
        <v>-13108</v>
      </c>
      <c r="L14" s="118">
        <v>-15927</v>
      </c>
      <c r="M14" s="118">
        <v>-14880</v>
      </c>
      <c r="N14" s="118">
        <v>-16178</v>
      </c>
      <c r="O14" s="118">
        <v>-13111</v>
      </c>
      <c r="P14" s="118">
        <v>-18870</v>
      </c>
      <c r="Q14" s="118">
        <v>-21639</v>
      </c>
      <c r="R14" s="118">
        <v>-21206</v>
      </c>
      <c r="S14" s="118">
        <v>-17227</v>
      </c>
      <c r="T14" s="118">
        <v>-18426</v>
      </c>
      <c r="U14" s="118">
        <v>-21993</v>
      </c>
      <c r="V14" s="118">
        <v>-22898</v>
      </c>
      <c r="W14" s="118">
        <v>-18172</v>
      </c>
      <c r="X14" s="118">
        <v>-19117</v>
      </c>
      <c r="Y14" s="118">
        <v>-19198</v>
      </c>
      <c r="Z14" s="118">
        <v>-22348</v>
      </c>
      <c r="AA14" s="118">
        <v>-16351</v>
      </c>
      <c r="AB14" s="118">
        <v>-6392</v>
      </c>
      <c r="AC14" s="118">
        <v>-17599</v>
      </c>
      <c r="AD14" s="118">
        <v>-18903</v>
      </c>
      <c r="AE14" s="118">
        <v>-14445</v>
      </c>
      <c r="AF14" s="118">
        <v>-16848</v>
      </c>
      <c r="AG14" s="118">
        <v>-15591</v>
      </c>
      <c r="AH14" s="118">
        <v>-19623</v>
      </c>
      <c r="AI14" s="118">
        <v>-14629</v>
      </c>
      <c r="AJ14" s="118">
        <v>-17021</v>
      </c>
      <c r="AK14" s="118">
        <v>-21957</v>
      </c>
      <c r="AL14" s="118">
        <v>-23213</v>
      </c>
      <c r="AM14" s="118">
        <v>-20254</v>
      </c>
      <c r="AN14" s="261">
        <v>-22821</v>
      </c>
      <c r="AO14" s="118">
        <v>-24522</v>
      </c>
      <c r="AP14" s="118">
        <v>-27221</v>
      </c>
      <c r="AQ14" s="118">
        <v>-19896</v>
      </c>
      <c r="AR14" s="118">
        <v>-24608</v>
      </c>
      <c r="AS14" s="118">
        <v>-32014</v>
      </c>
      <c r="AT14" s="118">
        <v>-31836</v>
      </c>
      <c r="AU14" s="118">
        <v>-25954</v>
      </c>
      <c r="AV14" s="118">
        <v>-36695</v>
      </c>
      <c r="AW14" s="118">
        <v>-35276</v>
      </c>
      <c r="AX14" s="118">
        <v>-33489</v>
      </c>
      <c r="AY14" s="118">
        <v>-27313</v>
      </c>
    </row>
    <row r="15" spans="2:51" x14ac:dyDescent="0.2">
      <c r="B15" s="126" t="s">
        <v>375</v>
      </c>
      <c r="C15" s="120">
        <f t="shared" ref="C15:I15" si="17">SUM(C13:C14)</f>
        <v>332521</v>
      </c>
      <c r="D15" s="120">
        <f t="shared" si="17"/>
        <v>366456</v>
      </c>
      <c r="E15" s="120">
        <f t="shared" si="17"/>
        <v>369583</v>
      </c>
      <c r="F15" s="120">
        <f t="shared" si="17"/>
        <v>416372</v>
      </c>
      <c r="G15" s="120">
        <f t="shared" si="17"/>
        <v>288433</v>
      </c>
      <c r="H15" s="120">
        <f t="shared" si="17"/>
        <v>277432</v>
      </c>
      <c r="I15" s="120">
        <f t="shared" si="17"/>
        <v>274061</v>
      </c>
      <c r="J15" s="120">
        <f>SUM(J13:J14)</f>
        <v>286576</v>
      </c>
      <c r="K15" s="120">
        <f>SUM(K13:K14)</f>
        <v>197249</v>
      </c>
      <c r="L15" s="120">
        <f t="shared" ref="L15:Q15" si="18">SUM(L13:L14)</f>
        <v>227323</v>
      </c>
      <c r="M15" s="120">
        <f t="shared" si="18"/>
        <v>239728</v>
      </c>
      <c r="N15" s="120">
        <f t="shared" si="18"/>
        <v>257675</v>
      </c>
      <c r="O15" s="120">
        <f t="shared" si="18"/>
        <v>211491</v>
      </c>
      <c r="P15" s="120">
        <f t="shared" si="18"/>
        <v>260443</v>
      </c>
      <c r="Q15" s="120">
        <f t="shared" si="18"/>
        <v>295407</v>
      </c>
      <c r="R15" s="120">
        <f t="shared" ref="R15:Z15" si="19">SUM(R13:R14)</f>
        <v>331611</v>
      </c>
      <c r="S15" s="120">
        <f t="shared" si="19"/>
        <v>268822</v>
      </c>
      <c r="T15" s="120">
        <f t="shared" si="19"/>
        <v>307133</v>
      </c>
      <c r="U15" s="120">
        <f t="shared" si="19"/>
        <v>355923</v>
      </c>
      <c r="V15" s="120">
        <f t="shared" si="19"/>
        <v>380130</v>
      </c>
      <c r="W15" s="120">
        <f t="shared" si="19"/>
        <v>312670</v>
      </c>
      <c r="X15" s="120">
        <f t="shared" si="19"/>
        <v>337902</v>
      </c>
      <c r="Y15" s="120">
        <f t="shared" si="19"/>
        <v>344352</v>
      </c>
      <c r="Z15" s="120">
        <f t="shared" si="19"/>
        <v>384686</v>
      </c>
      <c r="AA15" s="120">
        <f t="shared" ref="AA15:AG15" si="20">SUM(AA13:AA14)</f>
        <v>277442</v>
      </c>
      <c r="AB15" s="120">
        <f t="shared" si="20"/>
        <v>102053</v>
      </c>
      <c r="AC15" s="120">
        <f t="shared" si="20"/>
        <v>283277</v>
      </c>
      <c r="AD15" s="120">
        <f t="shared" si="20"/>
        <v>311844</v>
      </c>
      <c r="AE15" s="120">
        <f t="shared" si="20"/>
        <v>227391</v>
      </c>
      <c r="AF15" s="120">
        <f t="shared" si="20"/>
        <v>221320</v>
      </c>
      <c r="AG15" s="120">
        <f t="shared" si="20"/>
        <v>219048</v>
      </c>
      <c r="AH15" s="120">
        <f>SUM(AH13:AH14)</f>
        <v>304010</v>
      </c>
      <c r="AI15" s="120">
        <v>220417</v>
      </c>
      <c r="AJ15" s="120">
        <f t="shared" ref="AJ15:AO15" si="21">SUM(AJ13:AJ14)</f>
        <v>289526</v>
      </c>
      <c r="AK15" s="120">
        <f t="shared" si="21"/>
        <v>412543</v>
      </c>
      <c r="AL15" s="120">
        <f t="shared" si="21"/>
        <v>405500</v>
      </c>
      <c r="AM15" s="120">
        <f t="shared" si="21"/>
        <v>317579</v>
      </c>
      <c r="AN15" s="120">
        <f t="shared" si="21"/>
        <v>360035</v>
      </c>
      <c r="AO15" s="120">
        <f t="shared" si="21"/>
        <v>421539</v>
      </c>
      <c r="AP15" s="120">
        <f t="shared" ref="AP15:AV15" si="22">SUM(AP13:AP14)</f>
        <v>452984</v>
      </c>
      <c r="AQ15" s="120">
        <f t="shared" si="22"/>
        <v>374189</v>
      </c>
      <c r="AR15" s="120">
        <f t="shared" si="22"/>
        <v>481466</v>
      </c>
      <c r="AS15" s="120">
        <f t="shared" si="22"/>
        <v>650359</v>
      </c>
      <c r="AT15" s="120">
        <f t="shared" si="22"/>
        <v>676909</v>
      </c>
      <c r="AU15" s="120">
        <f t="shared" si="22"/>
        <v>451391</v>
      </c>
      <c r="AV15" s="120">
        <f t="shared" si="22"/>
        <v>565110</v>
      </c>
      <c r="AW15" s="120">
        <f>SUM(AW13:AW14)</f>
        <v>689136</v>
      </c>
      <c r="AX15" s="120">
        <f>SUM(AX13:AX14)</f>
        <v>661594</v>
      </c>
      <c r="AY15" s="120">
        <f>SUM(AY13:AY14)</f>
        <v>549689</v>
      </c>
    </row>
    <row r="16" spans="2:51" x14ac:dyDescent="0.2">
      <c r="B16" s="129" t="s">
        <v>299</v>
      </c>
      <c r="C16" s="118">
        <v>-51110</v>
      </c>
      <c r="D16" s="118">
        <v>-56591</v>
      </c>
      <c r="E16" s="118">
        <v>-57316</v>
      </c>
      <c r="F16" s="118">
        <v>-64664</v>
      </c>
      <c r="G16" s="118">
        <v>-44517</v>
      </c>
      <c r="H16" s="118">
        <v>-43850</v>
      </c>
      <c r="I16" s="118">
        <v>-43017</v>
      </c>
      <c r="J16" s="118">
        <v>-42115</v>
      </c>
      <c r="K16" s="118">
        <v>-28313</v>
      </c>
      <c r="L16" s="118">
        <v>-32007</v>
      </c>
      <c r="M16" s="118">
        <v>-33773</v>
      </c>
      <c r="N16" s="118">
        <v>-36381</v>
      </c>
      <c r="O16" s="118">
        <v>-30274</v>
      </c>
      <c r="P16" s="118">
        <v>-36345</v>
      </c>
      <c r="Q16" s="118">
        <v>-42012</v>
      </c>
      <c r="R16" s="118">
        <v>-47139</v>
      </c>
      <c r="S16" s="118">
        <v>-37802</v>
      </c>
      <c r="T16" s="118">
        <v>-43187</v>
      </c>
      <c r="U16" s="118">
        <v>-50267</v>
      </c>
      <c r="V16" s="118">
        <v>-44587</v>
      </c>
      <c r="W16" s="118">
        <v>-46687</v>
      </c>
      <c r="X16" s="118">
        <v>-48024</v>
      </c>
      <c r="Y16" s="118">
        <v>-48059</v>
      </c>
      <c r="Z16" s="118">
        <v>-54938</v>
      </c>
      <c r="AA16" s="118">
        <v>-41549</v>
      </c>
      <c r="AB16" s="118">
        <v>-15838</v>
      </c>
      <c r="AC16" s="118">
        <v>-42459</v>
      </c>
      <c r="AD16" s="118">
        <v>-46333</v>
      </c>
      <c r="AE16" s="118">
        <v>-34655</v>
      </c>
      <c r="AF16" s="118">
        <v>-31940</v>
      </c>
      <c r="AG16" s="118">
        <v>-33706</v>
      </c>
      <c r="AH16" s="118">
        <v>-46220</v>
      </c>
      <c r="AI16" s="118">
        <v>-32762</v>
      </c>
      <c r="AJ16" s="118">
        <v>-43579</v>
      </c>
      <c r="AK16" s="118">
        <v>-62173</v>
      </c>
      <c r="AL16" s="118">
        <v>-61112</v>
      </c>
      <c r="AM16" s="118">
        <v>-47033</v>
      </c>
      <c r="AN16" s="118">
        <v>-54895</v>
      </c>
      <c r="AO16" s="118">
        <v>-65056</v>
      </c>
      <c r="AP16" s="118">
        <v>-70509</v>
      </c>
      <c r="AQ16" s="118">
        <v>-58830</v>
      </c>
      <c r="AR16" s="118">
        <v>-72886</v>
      </c>
      <c r="AS16" s="118">
        <v>-98388</v>
      </c>
      <c r="AT16" s="118">
        <v>-101989</v>
      </c>
      <c r="AU16" s="118">
        <v>-66000</v>
      </c>
      <c r="AV16" s="118">
        <v>-83952</v>
      </c>
      <c r="AW16" s="118">
        <v>-104228</v>
      </c>
      <c r="AX16" s="118">
        <v>-106899</v>
      </c>
      <c r="AY16" s="118">
        <v>-86756</v>
      </c>
    </row>
    <row r="17" spans="2:51" x14ac:dyDescent="0.2">
      <c r="B17" s="126" t="s">
        <v>300</v>
      </c>
      <c r="C17" s="120">
        <f t="shared" ref="C17:I17" si="23">SUM(C15:C16)</f>
        <v>281411</v>
      </c>
      <c r="D17" s="120">
        <f>SUM(D15:D16)</f>
        <v>309865</v>
      </c>
      <c r="E17" s="120">
        <f t="shared" si="23"/>
        <v>312267</v>
      </c>
      <c r="F17" s="120">
        <f t="shared" si="23"/>
        <v>351708</v>
      </c>
      <c r="G17" s="120">
        <f t="shared" si="23"/>
        <v>243916</v>
      </c>
      <c r="H17" s="120">
        <f t="shared" si="23"/>
        <v>233582</v>
      </c>
      <c r="I17" s="120">
        <f t="shared" si="23"/>
        <v>231044</v>
      </c>
      <c r="J17" s="120">
        <f>SUM(J15:J16)</f>
        <v>244461</v>
      </c>
      <c r="K17" s="120">
        <f>SUM(K15:K16)</f>
        <v>168936</v>
      </c>
      <c r="L17" s="120">
        <f t="shared" ref="L17:Q17" si="24">SUM(L15:L16)</f>
        <v>195316</v>
      </c>
      <c r="M17" s="120">
        <f t="shared" si="24"/>
        <v>205955</v>
      </c>
      <c r="N17" s="120">
        <f t="shared" si="24"/>
        <v>221294</v>
      </c>
      <c r="O17" s="120">
        <f t="shared" si="24"/>
        <v>181217</v>
      </c>
      <c r="P17" s="120">
        <f t="shared" si="24"/>
        <v>224098</v>
      </c>
      <c r="Q17" s="120">
        <f t="shared" si="24"/>
        <v>253395</v>
      </c>
      <c r="R17" s="120">
        <f t="shared" ref="R17:Z17" si="25">SUM(R15:R16)</f>
        <v>284472</v>
      </c>
      <c r="S17" s="120">
        <f t="shared" si="25"/>
        <v>231020</v>
      </c>
      <c r="T17" s="120">
        <f t="shared" si="25"/>
        <v>263946</v>
      </c>
      <c r="U17" s="120">
        <f t="shared" si="25"/>
        <v>305656</v>
      </c>
      <c r="V17" s="120">
        <f t="shared" si="25"/>
        <v>335543</v>
      </c>
      <c r="W17" s="120">
        <f t="shared" si="25"/>
        <v>265983</v>
      </c>
      <c r="X17" s="120">
        <f t="shared" si="25"/>
        <v>289878</v>
      </c>
      <c r="Y17" s="120">
        <f t="shared" si="25"/>
        <v>296293</v>
      </c>
      <c r="Z17" s="120">
        <f t="shared" si="25"/>
        <v>329748</v>
      </c>
      <c r="AA17" s="120">
        <f t="shared" ref="AA17:AG17" si="26">SUM(AA15:AA16)</f>
        <v>235893</v>
      </c>
      <c r="AB17" s="120">
        <f t="shared" si="26"/>
        <v>86215</v>
      </c>
      <c r="AC17" s="120">
        <f t="shared" si="26"/>
        <v>240818</v>
      </c>
      <c r="AD17" s="120">
        <f t="shared" si="26"/>
        <v>265511</v>
      </c>
      <c r="AE17" s="120">
        <f t="shared" si="26"/>
        <v>192736</v>
      </c>
      <c r="AF17" s="120">
        <f t="shared" si="26"/>
        <v>189380</v>
      </c>
      <c r="AG17" s="120">
        <f t="shared" si="26"/>
        <v>185342</v>
      </c>
      <c r="AH17" s="120">
        <f>SUM(AH15:AH16)</f>
        <v>257790</v>
      </c>
      <c r="AI17" s="120">
        <v>187655</v>
      </c>
      <c r="AJ17" s="120">
        <f t="shared" ref="AJ17:AO17" si="27">SUM(AJ15:AJ16)</f>
        <v>245947</v>
      </c>
      <c r="AK17" s="120">
        <f t="shared" si="27"/>
        <v>350370</v>
      </c>
      <c r="AL17" s="120">
        <f t="shared" si="27"/>
        <v>344388</v>
      </c>
      <c r="AM17" s="120">
        <f t="shared" si="27"/>
        <v>270546</v>
      </c>
      <c r="AN17" s="120">
        <f t="shared" si="27"/>
        <v>305140</v>
      </c>
      <c r="AO17" s="120">
        <f t="shared" si="27"/>
        <v>356483</v>
      </c>
      <c r="AP17" s="120">
        <f t="shared" ref="AP17:AV17" si="28">SUM(AP15:AP16)</f>
        <v>382475</v>
      </c>
      <c r="AQ17" s="120">
        <f t="shared" si="28"/>
        <v>315359</v>
      </c>
      <c r="AR17" s="120">
        <f t="shared" si="28"/>
        <v>408580</v>
      </c>
      <c r="AS17" s="120">
        <f t="shared" si="28"/>
        <v>551971</v>
      </c>
      <c r="AT17" s="120">
        <f t="shared" si="28"/>
        <v>574920</v>
      </c>
      <c r="AU17" s="120">
        <f t="shared" si="28"/>
        <v>385391</v>
      </c>
      <c r="AV17" s="120">
        <f t="shared" si="28"/>
        <v>481158</v>
      </c>
      <c r="AW17" s="120">
        <f>SUM(AW15:AW16)</f>
        <v>584908</v>
      </c>
      <c r="AX17" s="120">
        <f>SUM(AX15:AX16)</f>
        <v>554695</v>
      </c>
      <c r="AY17" s="120">
        <f>SUM(AY15:AY16)</f>
        <v>462933</v>
      </c>
    </row>
    <row r="18" spans="2:51" x14ac:dyDescent="0.2">
      <c r="C18" s="177"/>
      <c r="D18" s="177"/>
      <c r="E18" s="177"/>
      <c r="F18" s="177"/>
      <c r="G18" s="177"/>
      <c r="H18" s="177"/>
    </row>
    <row r="19" spans="2:51" x14ac:dyDescent="0.2">
      <c r="B19" s="115" t="s">
        <v>98</v>
      </c>
      <c r="C19" s="115" t="str">
        <f>C5</f>
        <v>1T14</v>
      </c>
      <c r="D19" s="115" t="str">
        <f t="shared" ref="D19:Q19" si="29">D5</f>
        <v>2T14</v>
      </c>
      <c r="E19" s="115" t="str">
        <f t="shared" si="29"/>
        <v>3T14</v>
      </c>
      <c r="F19" s="115" t="str">
        <f t="shared" si="29"/>
        <v>4T14</v>
      </c>
      <c r="G19" s="115" t="str">
        <f t="shared" si="29"/>
        <v>1T15</v>
      </c>
      <c r="H19" s="115" t="str">
        <f t="shared" si="29"/>
        <v>2T15</v>
      </c>
      <c r="I19" s="115" t="str">
        <f t="shared" si="29"/>
        <v>3T15</v>
      </c>
      <c r="J19" s="115" t="str">
        <f t="shared" si="29"/>
        <v>4T15</v>
      </c>
      <c r="K19" s="115" t="str">
        <f t="shared" si="29"/>
        <v>1T16</v>
      </c>
      <c r="L19" s="115" t="str">
        <f t="shared" si="29"/>
        <v>2T16</v>
      </c>
      <c r="M19" s="115" t="str">
        <f t="shared" si="29"/>
        <v>3T16</v>
      </c>
      <c r="N19" s="115" t="str">
        <f t="shared" si="29"/>
        <v>4T16</v>
      </c>
      <c r="O19" s="115" t="str">
        <f t="shared" si="29"/>
        <v>1T17</v>
      </c>
      <c r="P19" s="115" t="str">
        <f t="shared" si="29"/>
        <v>2T17</v>
      </c>
      <c r="Q19" s="115" t="str">
        <f t="shared" si="29"/>
        <v>3T17</v>
      </c>
      <c r="R19" s="115" t="str">
        <f t="shared" ref="R19:Z19" si="30">R5</f>
        <v>4T17</v>
      </c>
      <c r="S19" s="115" t="str">
        <f t="shared" si="30"/>
        <v>1T18</v>
      </c>
      <c r="T19" s="115" t="str">
        <f t="shared" si="30"/>
        <v>2T18</v>
      </c>
      <c r="U19" s="115" t="str">
        <f t="shared" si="30"/>
        <v>3T18</v>
      </c>
      <c r="V19" s="115" t="str">
        <f t="shared" si="30"/>
        <v>4T18</v>
      </c>
      <c r="W19" s="115" t="str">
        <f t="shared" si="30"/>
        <v>1T19</v>
      </c>
      <c r="X19" s="115" t="str">
        <f t="shared" si="30"/>
        <v>2T19</v>
      </c>
      <c r="Y19" s="115" t="str">
        <f t="shared" si="30"/>
        <v>3T19</v>
      </c>
      <c r="Z19" s="115" t="str">
        <f t="shared" si="30"/>
        <v>4T19</v>
      </c>
      <c r="AA19" s="115" t="str">
        <f>AA5</f>
        <v>1T20</v>
      </c>
      <c r="AB19" s="115" t="str">
        <f>AB5</f>
        <v>2T20</v>
      </c>
      <c r="AC19" s="115" t="str">
        <f>AC5</f>
        <v>3T20</v>
      </c>
      <c r="AD19" s="115" t="s">
        <v>924</v>
      </c>
      <c r="AE19" s="115" t="str">
        <f t="shared" ref="AE19:AJ19" si="31">AE5</f>
        <v>1T21</v>
      </c>
      <c r="AF19" s="115" t="str">
        <f t="shared" si="31"/>
        <v>2T21</v>
      </c>
      <c r="AG19" s="115" t="str">
        <f t="shared" si="31"/>
        <v>3T21</v>
      </c>
      <c r="AH19" s="115" t="str">
        <f t="shared" si="31"/>
        <v>4T21</v>
      </c>
      <c r="AI19" s="115" t="str">
        <f t="shared" si="31"/>
        <v>1T22</v>
      </c>
      <c r="AJ19" s="115" t="str">
        <f t="shared" si="31"/>
        <v>2T22</v>
      </c>
      <c r="AK19" s="115" t="str">
        <f t="shared" ref="AK19:AQ19" si="32">AK5</f>
        <v>3T22</v>
      </c>
      <c r="AL19" s="115" t="str">
        <f t="shared" si="32"/>
        <v>4T22</v>
      </c>
      <c r="AM19" s="115" t="str">
        <f t="shared" si="32"/>
        <v>1T23</v>
      </c>
      <c r="AN19" s="115" t="str">
        <f t="shared" si="32"/>
        <v>2T23</v>
      </c>
      <c r="AO19" s="115" t="str">
        <f t="shared" si="32"/>
        <v>3T23</v>
      </c>
      <c r="AP19" s="115" t="str">
        <f t="shared" si="32"/>
        <v>4T23</v>
      </c>
      <c r="AQ19" s="115" t="str">
        <f t="shared" si="32"/>
        <v>1T24</v>
      </c>
      <c r="AR19" s="115" t="str">
        <f>AR5</f>
        <v>2T24</v>
      </c>
      <c r="AS19" s="115" t="str">
        <f t="shared" ref="AS19:AX19" si="33">AS5</f>
        <v>3T24</v>
      </c>
      <c r="AT19" s="115" t="str">
        <f t="shared" si="33"/>
        <v>4T24</v>
      </c>
      <c r="AU19" s="115" t="str">
        <f t="shared" si="33"/>
        <v>1T25</v>
      </c>
      <c r="AV19" s="115" t="str">
        <f t="shared" si="33"/>
        <v>2T25</v>
      </c>
      <c r="AW19" s="115" t="str">
        <f t="shared" si="33"/>
        <v>3T25</v>
      </c>
      <c r="AX19" s="115" t="str">
        <f t="shared" si="33"/>
        <v>4T25</v>
      </c>
      <c r="AY19" s="115" t="str">
        <f>AY5</f>
        <v>1T26</v>
      </c>
    </row>
    <row r="20" spans="2:51" x14ac:dyDescent="0.2">
      <c r="B20" s="129" t="s">
        <v>297</v>
      </c>
      <c r="C20" s="118">
        <f t="shared" ref="C20:I20" si="34">+C6-C13</f>
        <v>57899</v>
      </c>
      <c r="D20" s="118">
        <f t="shared" si="34"/>
        <v>56755</v>
      </c>
      <c r="E20" s="118">
        <f t="shared" si="34"/>
        <v>56563</v>
      </c>
      <c r="F20" s="118">
        <f t="shared" si="34"/>
        <v>54723</v>
      </c>
      <c r="G20" s="118">
        <f t="shared" si="34"/>
        <v>49659</v>
      </c>
      <c r="H20" s="118">
        <f t="shared" si="34"/>
        <v>50583</v>
      </c>
      <c r="I20" s="118">
        <f t="shared" si="34"/>
        <v>53724</v>
      </c>
      <c r="J20" s="118">
        <f t="shared" ref="J20:P21" si="35">+J6-J13</f>
        <v>52104</v>
      </c>
      <c r="K20" s="118">
        <f t="shared" si="35"/>
        <v>40688</v>
      </c>
      <c r="L20" s="118">
        <f t="shared" si="35"/>
        <v>39801</v>
      </c>
      <c r="M20" s="118">
        <f t="shared" si="35"/>
        <v>37963</v>
      </c>
      <c r="N20" s="118">
        <f t="shared" si="35"/>
        <v>39708</v>
      </c>
      <c r="O20" s="118">
        <f t="shared" si="35"/>
        <v>38537</v>
      </c>
      <c r="P20" s="118">
        <f t="shared" si="35"/>
        <v>37455</v>
      </c>
      <c r="Q20" s="118">
        <f t="shared" ref="Q20:S21" si="36">+Q6-Q13</f>
        <v>38584</v>
      </c>
      <c r="R20" s="118">
        <f t="shared" si="36"/>
        <v>41836</v>
      </c>
      <c r="S20" s="118">
        <f t="shared" si="36"/>
        <v>36800</v>
      </c>
      <c r="T20" s="118">
        <f t="shared" ref="T20:W21" si="37">+T6-T13</f>
        <v>34840</v>
      </c>
      <c r="U20" s="118">
        <f t="shared" si="37"/>
        <v>37930</v>
      </c>
      <c r="V20" s="118">
        <f t="shared" si="37"/>
        <v>36598</v>
      </c>
      <c r="W20" s="118">
        <f t="shared" si="37"/>
        <v>36441</v>
      </c>
      <c r="X20" s="118">
        <f>+X6-X13</f>
        <v>49311</v>
      </c>
      <c r="Y20" s="118">
        <v>52300</v>
      </c>
      <c r="Z20" s="118">
        <v>56813</v>
      </c>
      <c r="AA20" s="118">
        <f t="shared" ref="AA20:AC21" si="38">+AA6-AA13</f>
        <v>51660</v>
      </c>
      <c r="AB20" s="118">
        <f t="shared" si="38"/>
        <v>51820</v>
      </c>
      <c r="AC20" s="118">
        <f t="shared" si="38"/>
        <v>57441</v>
      </c>
      <c r="AD20" s="118">
        <v>55982</v>
      </c>
      <c r="AE20" s="118">
        <f t="shared" ref="AE20:AJ21" si="39">+AE6-AE13</f>
        <v>48929</v>
      </c>
      <c r="AF20" s="118">
        <f t="shared" si="39"/>
        <v>56543</v>
      </c>
      <c r="AG20" s="118">
        <f t="shared" si="39"/>
        <v>54643</v>
      </c>
      <c r="AH20" s="118">
        <f t="shared" si="39"/>
        <v>55849</v>
      </c>
      <c r="AI20" s="118">
        <v>63292</v>
      </c>
      <c r="AJ20" s="118">
        <f t="shared" si="39"/>
        <v>69285</v>
      </c>
      <c r="AK20" s="118">
        <f t="shared" ref="AK20:AQ21" si="40">+AK6-AK13</f>
        <v>76910</v>
      </c>
      <c r="AL20" s="118">
        <f t="shared" si="40"/>
        <v>77588</v>
      </c>
      <c r="AM20" s="118">
        <f t="shared" si="40"/>
        <v>79393</v>
      </c>
      <c r="AN20" s="118">
        <f t="shared" si="40"/>
        <v>74288</v>
      </c>
      <c r="AO20" s="118">
        <f t="shared" si="40"/>
        <v>85038</v>
      </c>
      <c r="AP20" s="118">
        <f t="shared" si="40"/>
        <v>85765</v>
      </c>
      <c r="AQ20" s="118">
        <f t="shared" si="40"/>
        <v>89151</v>
      </c>
      <c r="AR20" s="118">
        <f t="shared" ref="AR20:AT21" si="41">+AR6-AR13</f>
        <v>78814</v>
      </c>
      <c r="AS20" s="118">
        <f t="shared" si="41"/>
        <v>64385</v>
      </c>
      <c r="AT20" s="118">
        <f t="shared" si="41"/>
        <v>61596</v>
      </c>
      <c r="AU20" s="118">
        <v>67805</v>
      </c>
      <c r="AV20" s="118">
        <v>73881</v>
      </c>
      <c r="AW20" s="118">
        <f>+AW6-AW13</f>
        <v>62020</v>
      </c>
      <c r="AX20" s="118">
        <v>69669</v>
      </c>
      <c r="AY20" s="118">
        <f>+AY6-AY13</f>
        <v>73034</v>
      </c>
    </row>
    <row r="21" spans="2:51" x14ac:dyDescent="0.2">
      <c r="B21" s="129" t="s">
        <v>298</v>
      </c>
      <c r="C21" s="118">
        <f t="shared" ref="C21:I21" si="42">+C7-C14</f>
        <v>-1477</v>
      </c>
      <c r="D21" s="118">
        <f t="shared" si="42"/>
        <v>-499</v>
      </c>
      <c r="E21" s="118">
        <f t="shared" si="42"/>
        <v>-554</v>
      </c>
      <c r="F21" s="118">
        <f t="shared" si="42"/>
        <v>-87</v>
      </c>
      <c r="G21" s="118">
        <f t="shared" si="42"/>
        <v>-49</v>
      </c>
      <c r="H21" s="118">
        <f t="shared" si="42"/>
        <v>-335</v>
      </c>
      <c r="I21" s="118">
        <f t="shared" si="42"/>
        <v>-218</v>
      </c>
      <c r="J21" s="118">
        <f t="shared" si="35"/>
        <v>-536</v>
      </c>
      <c r="K21" s="118">
        <f t="shared" si="35"/>
        <v>-267</v>
      </c>
      <c r="L21" s="118">
        <f t="shared" si="35"/>
        <v>-206</v>
      </c>
      <c r="M21" s="118">
        <f t="shared" si="35"/>
        <v>-187</v>
      </c>
      <c r="N21" s="118">
        <f t="shared" si="35"/>
        <v>-297</v>
      </c>
      <c r="O21" s="118">
        <f t="shared" si="35"/>
        <v>-252</v>
      </c>
      <c r="P21" s="118">
        <f t="shared" si="35"/>
        <v>-310</v>
      </c>
      <c r="Q21" s="118">
        <f t="shared" si="36"/>
        <v>-188</v>
      </c>
      <c r="R21" s="118">
        <f t="shared" si="36"/>
        <v>-309</v>
      </c>
      <c r="S21" s="118">
        <f t="shared" si="36"/>
        <v>-152</v>
      </c>
      <c r="T21" s="118">
        <f t="shared" si="37"/>
        <v>-301</v>
      </c>
      <c r="U21" s="118">
        <f t="shared" si="37"/>
        <v>-1167</v>
      </c>
      <c r="V21" s="118">
        <f t="shared" si="37"/>
        <v>-175</v>
      </c>
      <c r="W21" s="118">
        <f t="shared" si="37"/>
        <v>-389</v>
      </c>
      <c r="X21" s="118">
        <f>+X7-X14</f>
        <v>-1212</v>
      </c>
      <c r="Y21" s="118">
        <v>-1112</v>
      </c>
      <c r="Z21" s="118">
        <v>-1138</v>
      </c>
      <c r="AA21" s="118">
        <f t="shared" si="38"/>
        <v>-904</v>
      </c>
      <c r="AB21" s="118">
        <f t="shared" si="38"/>
        <v>-553</v>
      </c>
      <c r="AC21" s="118">
        <f t="shared" si="38"/>
        <v>-1509</v>
      </c>
      <c r="AD21" s="118">
        <v>-1159</v>
      </c>
      <c r="AE21" s="118">
        <f t="shared" si="39"/>
        <v>-1273</v>
      </c>
      <c r="AF21" s="118">
        <f t="shared" si="39"/>
        <v>-1604</v>
      </c>
      <c r="AG21" s="118">
        <f t="shared" si="39"/>
        <v>-1167</v>
      </c>
      <c r="AH21" s="118">
        <f t="shared" si="39"/>
        <v>-1612</v>
      </c>
      <c r="AI21" s="118">
        <v>-1071</v>
      </c>
      <c r="AJ21" s="118">
        <f t="shared" si="39"/>
        <v>-1373</v>
      </c>
      <c r="AK21" s="118">
        <f t="shared" si="40"/>
        <v>-1414</v>
      </c>
      <c r="AL21" s="118">
        <f t="shared" si="40"/>
        <v>-2034</v>
      </c>
      <c r="AM21" s="118">
        <f t="shared" si="40"/>
        <v>-2517</v>
      </c>
      <c r="AN21" s="118">
        <f t="shared" si="40"/>
        <v>-2424</v>
      </c>
      <c r="AO21" s="118">
        <f t="shared" si="40"/>
        <v>-2688</v>
      </c>
      <c r="AP21" s="118">
        <f t="shared" si="40"/>
        <v>-2594</v>
      </c>
      <c r="AQ21" s="118">
        <f t="shared" si="40"/>
        <v>-2648</v>
      </c>
      <c r="AR21" s="118">
        <f t="shared" si="41"/>
        <v>-2136</v>
      </c>
      <c r="AS21" s="118">
        <f t="shared" si="41"/>
        <v>-1781</v>
      </c>
      <c r="AT21" s="118">
        <f t="shared" si="41"/>
        <v>-1600</v>
      </c>
      <c r="AU21" s="118">
        <v>-1616</v>
      </c>
      <c r="AV21" s="118">
        <v>-1875</v>
      </c>
      <c r="AW21" s="118">
        <f>+AW7-AW14</f>
        <v>-1783</v>
      </c>
      <c r="AX21" s="118">
        <v>-1647</v>
      </c>
      <c r="AY21" s="118">
        <f>+AY7-AY14</f>
        <v>-1542</v>
      </c>
    </row>
    <row r="22" spans="2:51" x14ac:dyDescent="0.2">
      <c r="B22" s="126" t="s">
        <v>375</v>
      </c>
      <c r="C22" s="120">
        <f t="shared" ref="C22:I22" si="43">SUM(C20:C21)</f>
        <v>56422</v>
      </c>
      <c r="D22" s="120">
        <f t="shared" si="43"/>
        <v>56256</v>
      </c>
      <c r="E22" s="120">
        <f t="shared" si="43"/>
        <v>56009</v>
      </c>
      <c r="F22" s="120">
        <f t="shared" si="43"/>
        <v>54636</v>
      </c>
      <c r="G22" s="120">
        <f t="shared" si="43"/>
        <v>49610</v>
      </c>
      <c r="H22" s="120">
        <f t="shared" si="43"/>
        <v>50248</v>
      </c>
      <c r="I22" s="120">
        <f t="shared" si="43"/>
        <v>53506</v>
      </c>
      <c r="J22" s="120">
        <f>SUM(J20:J21)</f>
        <v>51568</v>
      </c>
      <c r="K22" s="120">
        <f>SUM(K20:K21)</f>
        <v>40421</v>
      </c>
      <c r="L22" s="120">
        <f t="shared" ref="L22:Q22" si="44">SUM(L20:L21)</f>
        <v>39595</v>
      </c>
      <c r="M22" s="120">
        <f t="shared" si="44"/>
        <v>37776</v>
      </c>
      <c r="N22" s="120">
        <f t="shared" si="44"/>
        <v>39411</v>
      </c>
      <c r="O22" s="120">
        <f t="shared" si="44"/>
        <v>38285</v>
      </c>
      <c r="P22" s="120">
        <f t="shared" si="44"/>
        <v>37145</v>
      </c>
      <c r="Q22" s="120">
        <f t="shared" si="44"/>
        <v>38396</v>
      </c>
      <c r="R22" s="120">
        <f t="shared" ref="R22:W22" si="45">SUM(R20:R21)</f>
        <v>41527</v>
      </c>
      <c r="S22" s="120">
        <f t="shared" si="45"/>
        <v>36648</v>
      </c>
      <c r="T22" s="120">
        <f t="shared" si="45"/>
        <v>34539</v>
      </c>
      <c r="U22" s="120">
        <f t="shared" si="45"/>
        <v>36763</v>
      </c>
      <c r="V22" s="120">
        <f t="shared" si="45"/>
        <v>36423</v>
      </c>
      <c r="W22" s="120">
        <f t="shared" si="45"/>
        <v>36052</v>
      </c>
      <c r="X22" s="120">
        <f t="shared" ref="X22:AD22" si="46">SUM(X20:X21)</f>
        <v>48099</v>
      </c>
      <c r="Y22" s="120">
        <f t="shared" si="46"/>
        <v>51188</v>
      </c>
      <c r="Z22" s="120">
        <f t="shared" si="46"/>
        <v>55675</v>
      </c>
      <c r="AA22" s="120">
        <f t="shared" si="46"/>
        <v>50756</v>
      </c>
      <c r="AB22" s="120">
        <f t="shared" si="46"/>
        <v>51267</v>
      </c>
      <c r="AC22" s="120">
        <f t="shared" si="46"/>
        <v>55932</v>
      </c>
      <c r="AD22" s="120">
        <f t="shared" si="46"/>
        <v>54823</v>
      </c>
      <c r="AE22" s="120">
        <f>SUM(AE20:AE21)</f>
        <v>47656</v>
      </c>
      <c r="AF22" s="120">
        <f>SUM(AF20:AF21)</f>
        <v>54939</v>
      </c>
      <c r="AG22" s="120">
        <f>SUM(AG20:AG21)</f>
        <v>53476</v>
      </c>
      <c r="AH22" s="120">
        <f>SUM(AH20:AH21)</f>
        <v>54237</v>
      </c>
      <c r="AI22" s="120">
        <v>62221</v>
      </c>
      <c r="AJ22" s="120">
        <f t="shared" ref="AJ22:AO22" si="47">SUM(AJ20:AJ21)</f>
        <v>67912</v>
      </c>
      <c r="AK22" s="120">
        <f t="shared" si="47"/>
        <v>75496</v>
      </c>
      <c r="AL22" s="120">
        <f t="shared" si="47"/>
        <v>75554</v>
      </c>
      <c r="AM22" s="120">
        <f t="shared" si="47"/>
        <v>76876</v>
      </c>
      <c r="AN22" s="120">
        <f t="shared" si="47"/>
        <v>71864</v>
      </c>
      <c r="AO22" s="120">
        <f t="shared" si="47"/>
        <v>82350</v>
      </c>
      <c r="AP22" s="120">
        <f t="shared" ref="AP22:AY22" si="48">SUM(AP20:AP21)</f>
        <v>83171</v>
      </c>
      <c r="AQ22" s="120">
        <f t="shared" si="48"/>
        <v>86503</v>
      </c>
      <c r="AR22" s="120">
        <f t="shared" si="48"/>
        <v>76678</v>
      </c>
      <c r="AS22" s="120">
        <f t="shared" si="48"/>
        <v>62604</v>
      </c>
      <c r="AT22" s="120">
        <f t="shared" si="48"/>
        <v>59996</v>
      </c>
      <c r="AU22" s="120">
        <f t="shared" si="48"/>
        <v>66189</v>
      </c>
      <c r="AV22" s="120">
        <f t="shared" si="48"/>
        <v>72006</v>
      </c>
      <c r="AW22" s="120">
        <f t="shared" si="48"/>
        <v>60237</v>
      </c>
      <c r="AX22" s="120">
        <f t="shared" si="48"/>
        <v>68022</v>
      </c>
      <c r="AY22" s="120">
        <f t="shared" si="48"/>
        <v>71492</v>
      </c>
    </row>
    <row r="23" spans="2:51" x14ac:dyDescent="0.2">
      <c r="B23" s="129" t="s">
        <v>299</v>
      </c>
      <c r="C23" s="118">
        <f t="shared" ref="C23:I23" si="49">+C9-C16</f>
        <v>-10468</v>
      </c>
      <c r="D23" s="118">
        <f t="shared" si="49"/>
        <v>-9809</v>
      </c>
      <c r="E23" s="118">
        <f t="shared" si="49"/>
        <v>-9442</v>
      </c>
      <c r="F23" s="118">
        <f t="shared" si="49"/>
        <v>-9302</v>
      </c>
      <c r="G23" s="118">
        <f t="shared" si="49"/>
        <v>-8627</v>
      </c>
      <c r="H23" s="118">
        <f t="shared" si="49"/>
        <v>-8724</v>
      </c>
      <c r="I23" s="118">
        <f t="shared" si="49"/>
        <v>-9164</v>
      </c>
      <c r="J23" s="118">
        <f t="shared" ref="J23:W23" si="50">+J9-J16</f>
        <v>-8856</v>
      </c>
      <c r="K23" s="118">
        <f t="shared" si="50"/>
        <v>-6463</v>
      </c>
      <c r="L23" s="118">
        <f t="shared" si="50"/>
        <v>-6254</v>
      </c>
      <c r="M23" s="118">
        <f t="shared" si="50"/>
        <v>-5913</v>
      </c>
      <c r="N23" s="118">
        <f t="shared" si="50"/>
        <v>-6183</v>
      </c>
      <c r="O23" s="118">
        <f t="shared" si="50"/>
        <v>-5988</v>
      </c>
      <c r="P23" s="261">
        <f t="shared" si="50"/>
        <v>3864</v>
      </c>
      <c r="Q23" s="118">
        <f t="shared" si="50"/>
        <v>-5912</v>
      </c>
      <c r="R23" s="118">
        <f t="shared" si="50"/>
        <v>-6524</v>
      </c>
      <c r="S23" s="118">
        <f t="shared" si="50"/>
        <v>-5596</v>
      </c>
      <c r="T23" s="118">
        <f t="shared" si="50"/>
        <v>-5209</v>
      </c>
      <c r="U23" s="118">
        <f t="shared" si="50"/>
        <v>-11214</v>
      </c>
      <c r="V23" s="118">
        <f t="shared" si="50"/>
        <v>-4740</v>
      </c>
      <c r="W23" s="118">
        <f t="shared" si="50"/>
        <v>-5354</v>
      </c>
      <c r="X23" s="118">
        <f>+X9-X16</f>
        <v>-6389</v>
      </c>
      <c r="Y23" s="118">
        <v>-6758</v>
      </c>
      <c r="Z23" s="118">
        <v>-7095</v>
      </c>
      <c r="AA23" s="118">
        <f>+AA9-AA16</f>
        <v>-6903</v>
      </c>
      <c r="AB23" s="118">
        <f>+AB9-AB16</f>
        <v>-7341</v>
      </c>
      <c r="AC23" s="118">
        <f>+AC9-AC16</f>
        <v>-7569</v>
      </c>
      <c r="AD23" s="118">
        <v>-7367</v>
      </c>
      <c r="AE23" s="118">
        <f>+AE9-AE16</f>
        <v>-6480</v>
      </c>
      <c r="AF23" s="118">
        <f>+AF9-AF16</f>
        <v>-7253</v>
      </c>
      <c r="AG23" s="118">
        <f>+AG9-AG16</f>
        <v>-7379</v>
      </c>
      <c r="AH23" s="118">
        <f>+AH9-AH16</f>
        <v>-7101</v>
      </c>
      <c r="AI23" s="118">
        <v>-8810</v>
      </c>
      <c r="AJ23" s="118">
        <f t="shared" ref="AJ23:AO23" si="51">+AJ9-AJ16</f>
        <v>-9324</v>
      </c>
      <c r="AK23" s="118">
        <f t="shared" si="51"/>
        <v>-10357</v>
      </c>
      <c r="AL23" s="118">
        <f t="shared" si="51"/>
        <v>-10543</v>
      </c>
      <c r="AM23" s="118">
        <f t="shared" si="51"/>
        <v>-11384</v>
      </c>
      <c r="AN23" s="118">
        <f t="shared" si="51"/>
        <v>-10353</v>
      </c>
      <c r="AO23" s="118">
        <f t="shared" si="51"/>
        <v>-11856</v>
      </c>
      <c r="AP23" s="118">
        <f>+AP9-AP16</f>
        <v>-11844</v>
      </c>
      <c r="AQ23" s="118">
        <f>+AQ9-AQ16</f>
        <v>-12691</v>
      </c>
      <c r="AR23" s="118">
        <f>+AR9-AR16</f>
        <v>-12416</v>
      </c>
      <c r="AS23" s="118">
        <f>+AS9-AS16</f>
        <v>-10821</v>
      </c>
      <c r="AT23" s="118">
        <f>+AT9-AT16</f>
        <v>-10556</v>
      </c>
      <c r="AU23" s="118">
        <v>-11223</v>
      </c>
      <c r="AV23" s="118">
        <v>-12624</v>
      </c>
      <c r="AW23" s="118">
        <f>+AW9-AW16</f>
        <v>-10922</v>
      </c>
      <c r="AX23" s="118">
        <v>-12409</v>
      </c>
      <c r="AY23" s="118">
        <f>+AY9-AY16</f>
        <v>-13146</v>
      </c>
    </row>
    <row r="24" spans="2:51" x14ac:dyDescent="0.2">
      <c r="B24" s="126" t="s">
        <v>300</v>
      </c>
      <c r="C24" s="120">
        <f t="shared" ref="C24:I24" si="52">SUM(C22:C23)</f>
        <v>45954</v>
      </c>
      <c r="D24" s="120">
        <f t="shared" si="52"/>
        <v>46447</v>
      </c>
      <c r="E24" s="120">
        <f t="shared" si="52"/>
        <v>46567</v>
      </c>
      <c r="F24" s="120">
        <f t="shared" si="52"/>
        <v>45334</v>
      </c>
      <c r="G24" s="120">
        <f t="shared" si="52"/>
        <v>40983</v>
      </c>
      <c r="H24" s="120">
        <f t="shared" si="52"/>
        <v>41524</v>
      </c>
      <c r="I24" s="120">
        <f t="shared" si="52"/>
        <v>44342</v>
      </c>
      <c r="J24" s="120">
        <f>SUM(J22:J23)</f>
        <v>42712</v>
      </c>
      <c r="K24" s="120">
        <f>SUM(K22:K23)</f>
        <v>33958</v>
      </c>
      <c r="L24" s="120">
        <f t="shared" ref="L24:Q24" si="53">SUM(L22:L23)</f>
        <v>33341</v>
      </c>
      <c r="M24" s="120">
        <f t="shared" si="53"/>
        <v>31863</v>
      </c>
      <c r="N24" s="120">
        <f t="shared" si="53"/>
        <v>33228</v>
      </c>
      <c r="O24" s="120">
        <f t="shared" si="53"/>
        <v>32297</v>
      </c>
      <c r="P24" s="120">
        <f t="shared" si="53"/>
        <v>41009</v>
      </c>
      <c r="Q24" s="120">
        <f t="shared" si="53"/>
        <v>32484</v>
      </c>
      <c r="R24" s="120">
        <f t="shared" ref="R24:W24" si="54">SUM(R22:R23)</f>
        <v>35003</v>
      </c>
      <c r="S24" s="120">
        <f t="shared" si="54"/>
        <v>31052</v>
      </c>
      <c r="T24" s="120">
        <f t="shared" si="54"/>
        <v>29330</v>
      </c>
      <c r="U24" s="120">
        <f t="shared" si="54"/>
        <v>25549</v>
      </c>
      <c r="V24" s="120">
        <f t="shared" si="54"/>
        <v>31683</v>
      </c>
      <c r="W24" s="120">
        <f t="shared" si="54"/>
        <v>30698</v>
      </c>
      <c r="X24" s="120">
        <f t="shared" ref="X24:AD24" si="55">SUM(X22:X23)</f>
        <v>41710</v>
      </c>
      <c r="Y24" s="120">
        <f t="shared" si="55"/>
        <v>44430</v>
      </c>
      <c r="Z24" s="120">
        <f t="shared" si="55"/>
        <v>48580</v>
      </c>
      <c r="AA24" s="120">
        <f t="shared" si="55"/>
        <v>43853</v>
      </c>
      <c r="AB24" s="120">
        <f t="shared" si="55"/>
        <v>43926</v>
      </c>
      <c r="AC24" s="120">
        <f t="shared" si="55"/>
        <v>48363</v>
      </c>
      <c r="AD24" s="120">
        <f t="shared" si="55"/>
        <v>47456</v>
      </c>
      <c r="AE24" s="120">
        <f>SUM(AE22:AE23)</f>
        <v>41176</v>
      </c>
      <c r="AF24" s="120">
        <f>SUM(AF22:AF23)</f>
        <v>47686</v>
      </c>
      <c r="AG24" s="120">
        <f>SUM(AG22:AG23)</f>
        <v>46097</v>
      </c>
      <c r="AH24" s="120">
        <f>SUM(AH22:AH23)</f>
        <v>47136</v>
      </c>
      <c r="AI24" s="120">
        <v>53411</v>
      </c>
      <c r="AJ24" s="120">
        <f t="shared" ref="AJ24:AO24" si="56">SUM(AJ22:AJ23)</f>
        <v>58588</v>
      </c>
      <c r="AK24" s="120">
        <f t="shared" si="56"/>
        <v>65139</v>
      </c>
      <c r="AL24" s="120">
        <f t="shared" si="56"/>
        <v>65011</v>
      </c>
      <c r="AM24" s="120">
        <f t="shared" si="56"/>
        <v>65492</v>
      </c>
      <c r="AN24" s="120">
        <f t="shared" si="56"/>
        <v>61511</v>
      </c>
      <c r="AO24" s="120">
        <f t="shared" si="56"/>
        <v>70494</v>
      </c>
      <c r="AP24" s="120">
        <f>SUM(AP22:AP23)</f>
        <v>71327</v>
      </c>
      <c r="AQ24" s="120">
        <f>SUM(AQ22:AQ23)</f>
        <v>73812</v>
      </c>
      <c r="AR24" s="120">
        <f>SUM(AR22:AR23)</f>
        <v>64262</v>
      </c>
      <c r="AS24" s="120">
        <f>SUM(AS22:AS23)</f>
        <v>51783</v>
      </c>
      <c r="AT24" s="120">
        <f>SUM(AT22:AT23)</f>
        <v>49440</v>
      </c>
      <c r="AU24" s="120">
        <v>54966</v>
      </c>
      <c r="AV24" s="120">
        <f>SUM(AV22:AV23)</f>
        <v>59382</v>
      </c>
      <c r="AW24" s="120">
        <f>SUM(AW22:AW23)</f>
        <v>49315</v>
      </c>
      <c r="AX24" s="120">
        <f>SUM(AX22:AX23)</f>
        <v>55613</v>
      </c>
      <c r="AY24" s="120">
        <f>SUM(AY22:AY23)</f>
        <v>58346</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tabColor rgb="FF70AD47"/>
    <outlinePr summaryBelow="0" summaryRight="0"/>
    <pageSetUpPr autoPageBreaks="0"/>
  </sheetPr>
  <dimension ref="A1:BR96"/>
  <sheetViews>
    <sheetView showGridLines="0" zoomScaleNormal="100" workbookViewId="0">
      <pane xSplit="2" ySplit="5" topLeftCell="C6" activePane="bottomRight" state="frozen"/>
      <selection activeCell="AO35" sqref="AO35:AO49"/>
      <selection pane="topRight" activeCell="AO35" sqref="AO35:AO49"/>
      <selection pane="bottomLeft" activeCell="AO35" sqref="AO35:AO49"/>
      <selection pane="bottomRight" activeCell="E2" sqref="E2"/>
    </sheetView>
  </sheetViews>
  <sheetFormatPr defaultColWidth="21.42578125" defaultRowHeight="14.1" customHeight="1" outlineLevelRow="1" x14ac:dyDescent="0.2"/>
  <cols>
    <col min="1" max="1" width="0.140625" style="267" customWidth="1"/>
    <col min="2" max="2" width="35.5703125" style="476" customWidth="1"/>
    <col min="3" max="67" width="9.85546875" style="511" customWidth="1"/>
    <col min="68" max="16384" width="21.42578125" style="476"/>
  </cols>
  <sheetData>
    <row r="1" spans="1:67" s="567" customFormat="1" ht="11.25" customHeight="1" x14ac:dyDescent="0.2">
      <c r="A1" s="267"/>
      <c r="C1" s="704"/>
      <c r="D1" s="704"/>
      <c r="E1" s="704"/>
      <c r="F1" s="704"/>
      <c r="G1" s="704"/>
      <c r="H1" s="704"/>
      <c r="I1" s="704"/>
      <c r="J1" s="704"/>
      <c r="K1" s="704"/>
      <c r="L1" s="704"/>
      <c r="M1" s="704"/>
      <c r="N1" s="704"/>
      <c r="O1" s="704"/>
      <c r="P1" s="704"/>
      <c r="Q1" s="704"/>
      <c r="R1" s="704"/>
      <c r="S1" s="704"/>
      <c r="T1" s="704"/>
      <c r="U1" s="704"/>
      <c r="V1" s="704"/>
      <c r="W1" s="704"/>
      <c r="X1" s="704"/>
      <c r="Y1" s="704"/>
      <c r="Z1" s="704"/>
      <c r="AA1" s="704"/>
      <c r="AB1" s="704"/>
      <c r="AC1" s="704"/>
      <c r="AD1" s="704"/>
      <c r="AE1" s="704"/>
      <c r="AF1" s="704"/>
      <c r="AG1" s="704"/>
      <c r="AH1" s="704"/>
      <c r="AI1" s="704"/>
      <c r="AJ1" s="704"/>
      <c r="AK1" s="704"/>
      <c r="AL1" s="704"/>
      <c r="AM1" s="704"/>
      <c r="AN1" s="704"/>
      <c r="AO1" s="704"/>
      <c r="AP1" s="704"/>
      <c r="AQ1" s="704"/>
      <c r="AR1" s="704"/>
      <c r="AS1" s="704"/>
      <c r="AT1" s="704"/>
      <c r="AU1" s="704"/>
      <c r="AV1" s="704"/>
      <c r="AW1" s="704"/>
      <c r="AX1" s="704"/>
      <c r="AY1" s="704"/>
      <c r="AZ1" s="704"/>
      <c r="BA1" s="704"/>
      <c r="BB1" s="704"/>
      <c r="BC1" s="704"/>
      <c r="BD1" s="704"/>
      <c r="BE1" s="704"/>
      <c r="BF1" s="704"/>
      <c r="BG1" s="704"/>
      <c r="BH1" s="704"/>
      <c r="BI1" s="704"/>
      <c r="BJ1" s="704"/>
      <c r="BK1" s="704"/>
      <c r="BL1" s="704"/>
      <c r="BM1" s="704"/>
      <c r="BN1" s="704"/>
      <c r="BO1" s="704"/>
    </row>
    <row r="2" spans="1:67" s="567" customFormat="1" ht="12.75" customHeight="1" x14ac:dyDescent="0.2">
      <c r="A2" s="267"/>
      <c r="C2" s="705"/>
      <c r="D2" s="705"/>
      <c r="E2" s="705"/>
      <c r="F2" s="705"/>
      <c r="G2" s="705"/>
      <c r="H2" s="705"/>
      <c r="I2" s="705"/>
      <c r="J2" s="705"/>
      <c r="K2" s="705"/>
      <c r="L2" s="705"/>
      <c r="M2" s="705"/>
      <c r="N2" s="705"/>
      <c r="O2" s="705"/>
      <c r="P2" s="705"/>
      <c r="Q2" s="705"/>
      <c r="R2" s="705"/>
      <c r="S2" s="705"/>
      <c r="T2" s="705"/>
      <c r="U2" s="705"/>
      <c r="V2" s="705"/>
      <c r="W2" s="705"/>
      <c r="X2" s="705"/>
      <c r="Y2" s="705"/>
      <c r="Z2" s="705"/>
      <c r="AA2" s="705"/>
      <c r="AB2" s="705"/>
      <c r="AC2" s="705"/>
      <c r="AD2" s="705"/>
      <c r="AE2" s="705"/>
      <c r="AF2" s="705"/>
      <c r="AG2" s="705"/>
      <c r="AH2" s="705"/>
      <c r="AI2" s="705"/>
      <c r="AJ2" s="790"/>
      <c r="AK2" s="790"/>
      <c r="AL2" s="790"/>
      <c r="AM2" s="790"/>
      <c r="AN2" s="790"/>
      <c r="AO2" s="790"/>
      <c r="AP2" s="790"/>
      <c r="AQ2" s="790"/>
      <c r="AR2" s="790"/>
      <c r="AS2" s="790"/>
      <c r="AT2" s="790"/>
      <c r="AU2" s="790"/>
      <c r="AV2" s="790"/>
      <c r="AW2" s="790"/>
      <c r="AX2" s="790"/>
      <c r="AY2" s="790"/>
      <c r="AZ2" s="790"/>
      <c r="BA2" s="790"/>
      <c r="BB2" s="790"/>
      <c r="BC2" s="790"/>
      <c r="BD2" s="790"/>
      <c r="BE2" s="790"/>
      <c r="BF2" s="790"/>
      <c r="BG2" s="790"/>
      <c r="BH2" s="790"/>
      <c r="BI2" s="790"/>
      <c r="BJ2" s="790"/>
      <c r="BK2" s="790"/>
      <c r="BL2" s="790"/>
      <c r="BM2" s="790"/>
      <c r="BN2" s="790"/>
      <c r="BO2" s="790"/>
    </row>
    <row r="3" spans="1:67" s="530" customFormat="1" ht="12.75" customHeight="1" x14ac:dyDescent="0.2">
      <c r="A3" s="267"/>
      <c r="B3" s="531"/>
      <c r="C3" s="706"/>
      <c r="D3" s="706"/>
      <c r="E3" s="706"/>
      <c r="F3" s="706"/>
      <c r="G3" s="706"/>
      <c r="H3" s="706"/>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I3" s="706"/>
      <c r="AJ3" s="706"/>
      <c r="AK3" s="706"/>
      <c r="AL3" s="706"/>
      <c r="AM3" s="706"/>
      <c r="AN3" s="706"/>
      <c r="AO3" s="706"/>
      <c r="AP3" s="706"/>
      <c r="AQ3" s="706"/>
      <c r="AR3" s="706"/>
      <c r="AS3" s="706"/>
      <c r="AT3" s="706"/>
      <c r="AU3" s="706"/>
      <c r="AV3" s="706"/>
      <c r="AW3" s="706"/>
      <c r="AX3" s="706"/>
      <c r="AY3" s="706"/>
      <c r="AZ3" s="706"/>
      <c r="BA3" s="706"/>
      <c r="BB3" s="706"/>
      <c r="BC3" s="706"/>
      <c r="BD3" s="706"/>
      <c r="BE3" s="706"/>
      <c r="BF3" s="706"/>
      <c r="BG3" s="706"/>
      <c r="BH3" s="706"/>
      <c r="BI3" s="706"/>
      <c r="BJ3" s="706"/>
      <c r="BK3" s="706"/>
      <c r="BL3" s="706"/>
      <c r="BM3" s="706"/>
      <c r="BN3" s="706"/>
      <c r="BO3" s="706"/>
    </row>
    <row r="4" spans="1:67" ht="12.75" customHeight="1" x14ac:dyDescent="0.2">
      <c r="B4" s="516" t="s">
        <v>337</v>
      </c>
      <c r="C4" s="707"/>
      <c r="D4" s="707"/>
      <c r="E4" s="707"/>
      <c r="F4" s="707"/>
      <c r="G4" s="708"/>
      <c r="H4" s="709" t="s">
        <v>1423</v>
      </c>
      <c r="I4" s="705"/>
      <c r="J4" s="705"/>
      <c r="K4" s="710"/>
      <c r="L4" s="1230" t="s">
        <v>1424</v>
      </c>
      <c r="M4" s="1230"/>
      <c r="N4" s="1231"/>
      <c r="O4" s="709" t="s">
        <v>1425</v>
      </c>
      <c r="P4" s="710"/>
      <c r="Q4" s="710"/>
      <c r="R4" s="1230" t="s">
        <v>1426</v>
      </c>
      <c r="S4" s="1231"/>
      <c r="T4" s="709" t="s">
        <v>1427</v>
      </c>
      <c r="U4" s="710"/>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789"/>
      <c r="AW4" s="789"/>
      <c r="AX4" s="789"/>
      <c r="AY4" s="789"/>
      <c r="AZ4" s="789"/>
      <c r="BA4" s="789"/>
      <c r="BB4" s="789"/>
      <c r="BC4" s="789"/>
      <c r="BD4" s="789"/>
      <c r="BE4" s="789"/>
      <c r="BF4" s="789"/>
      <c r="BG4" s="789"/>
      <c r="BH4" s="789"/>
      <c r="BI4" s="789"/>
      <c r="BJ4" s="789"/>
      <c r="BK4" s="789"/>
      <c r="BL4" s="789"/>
      <c r="BM4" s="789"/>
      <c r="BN4" s="789"/>
      <c r="BO4" s="789"/>
    </row>
    <row r="5" spans="1:67" ht="12.75" customHeight="1" x14ac:dyDescent="0.2">
      <c r="B5" s="478" t="s">
        <v>450</v>
      </c>
      <c r="C5" s="532" t="s">
        <v>539</v>
      </c>
      <c r="D5" s="532" t="s">
        <v>540</v>
      </c>
      <c r="E5" s="532" t="s">
        <v>541</v>
      </c>
      <c r="F5" s="532" t="s">
        <v>485</v>
      </c>
      <c r="G5" s="532" t="s">
        <v>60</v>
      </c>
      <c r="H5" s="480" t="s">
        <v>61</v>
      </c>
      <c r="I5" s="479" t="s">
        <v>62</v>
      </c>
      <c r="J5" s="479" t="s">
        <v>63</v>
      </c>
      <c r="K5" s="479" t="s">
        <v>7</v>
      </c>
      <c r="L5" s="479" t="s">
        <v>6</v>
      </c>
      <c r="M5" s="479" t="s">
        <v>5</v>
      </c>
      <c r="N5" s="479" t="s">
        <v>4</v>
      </c>
      <c r="O5" s="480" t="s">
        <v>3</v>
      </c>
      <c r="P5" s="479" t="s">
        <v>2</v>
      </c>
      <c r="Q5" s="479" t="s">
        <v>1</v>
      </c>
      <c r="R5" s="479" t="s">
        <v>0</v>
      </c>
      <c r="S5" s="479" t="s">
        <v>45</v>
      </c>
      <c r="T5" s="480" t="s">
        <v>55</v>
      </c>
      <c r="U5" s="479" t="s">
        <v>71</v>
      </c>
      <c r="V5" s="479" t="s">
        <v>77</v>
      </c>
      <c r="W5" s="479" t="s">
        <v>87</v>
      </c>
      <c r="X5" s="479" t="s">
        <v>88</v>
      </c>
      <c r="Y5" s="479" t="s">
        <v>378</v>
      </c>
      <c r="Z5" s="479" t="s">
        <v>406</v>
      </c>
      <c r="AA5" s="479" t="s">
        <v>467</v>
      </c>
      <c r="AB5" s="479" t="s">
        <v>501</v>
      </c>
      <c r="AC5" s="479" t="s">
        <v>511</v>
      </c>
      <c r="AD5" s="479" t="s">
        <v>538</v>
      </c>
      <c r="AE5" s="479" t="s">
        <v>567</v>
      </c>
      <c r="AF5" s="479" t="s">
        <v>575</v>
      </c>
      <c r="AG5" s="532" t="s">
        <v>595</v>
      </c>
      <c r="AH5" s="532" t="s">
        <v>596</v>
      </c>
      <c r="AI5" s="532" t="s">
        <v>623</v>
      </c>
      <c r="AJ5" s="532" t="s">
        <v>624</v>
      </c>
      <c r="AK5" s="532" t="s">
        <v>625</v>
      </c>
      <c r="AL5" s="532" t="s">
        <v>626</v>
      </c>
      <c r="AM5" s="532" t="s">
        <v>798</v>
      </c>
      <c r="AN5" s="532" t="s">
        <v>799</v>
      </c>
      <c r="AO5" s="532" t="s">
        <v>800</v>
      </c>
      <c r="AP5" s="532" t="s">
        <v>801</v>
      </c>
      <c r="AQ5" s="532" t="s">
        <v>913</v>
      </c>
      <c r="AR5" s="532" t="s">
        <v>914</v>
      </c>
      <c r="AS5" s="532" t="s">
        <v>923</v>
      </c>
      <c r="AT5" s="532" t="s">
        <v>924</v>
      </c>
      <c r="AU5" s="532" t="s">
        <v>1049</v>
      </c>
      <c r="AV5" s="532" t="s">
        <v>1023</v>
      </c>
      <c r="AW5" s="532" t="s">
        <v>1024</v>
      </c>
      <c r="AX5" s="532" t="s">
        <v>1050</v>
      </c>
      <c r="AY5" s="532" t="s">
        <v>1114</v>
      </c>
      <c r="AZ5" s="532" t="s">
        <v>1119</v>
      </c>
      <c r="BA5" s="532" t="s">
        <v>1121</v>
      </c>
      <c r="BB5" s="532" t="s">
        <v>1123</v>
      </c>
      <c r="BC5" s="532" t="s">
        <v>1176</v>
      </c>
      <c r="BD5" s="532" t="s">
        <v>1177</v>
      </c>
      <c r="BE5" s="532" t="s">
        <v>1179</v>
      </c>
      <c r="BF5" s="532" t="s">
        <v>1181</v>
      </c>
      <c r="BG5" s="532" t="s">
        <v>1243</v>
      </c>
      <c r="BH5" s="532" t="s">
        <v>1250</v>
      </c>
      <c r="BI5" s="532" t="s">
        <v>1251</v>
      </c>
      <c r="BJ5" s="532" t="s">
        <v>1252</v>
      </c>
      <c r="BK5" s="532" t="s">
        <v>1311</v>
      </c>
      <c r="BL5" s="532" t="s">
        <v>1313</v>
      </c>
      <c r="BM5" s="532" t="s">
        <v>1315</v>
      </c>
      <c r="BN5" s="532" t="s">
        <v>1317</v>
      </c>
      <c r="BO5" s="532" t="s">
        <v>1344</v>
      </c>
    </row>
    <row r="6" spans="1:67" ht="14.1" customHeight="1" x14ac:dyDescent="0.2">
      <c r="B6" s="481" t="s">
        <v>35</v>
      </c>
      <c r="C6" s="482">
        <f t="shared" ref="C6:AE6" si="0">SUM(C7:C19)</f>
        <v>385957</v>
      </c>
      <c r="D6" s="482">
        <f t="shared" si="0"/>
        <v>231219</v>
      </c>
      <c r="E6" s="482">
        <f t="shared" si="0"/>
        <v>229817</v>
      </c>
      <c r="F6" s="482">
        <f t="shared" si="0"/>
        <v>248772.09744374378</v>
      </c>
      <c r="G6" s="482">
        <f t="shared" si="0"/>
        <v>271782</v>
      </c>
      <c r="H6" s="483">
        <f t="shared" si="0"/>
        <v>290236</v>
      </c>
      <c r="I6" s="482">
        <f t="shared" si="0"/>
        <v>382886</v>
      </c>
      <c r="J6" s="482">
        <f t="shared" si="0"/>
        <v>387939</v>
      </c>
      <c r="K6" s="482">
        <f t="shared" si="0"/>
        <v>410842</v>
      </c>
      <c r="L6" s="482">
        <f t="shared" si="0"/>
        <v>476889</v>
      </c>
      <c r="M6" s="482">
        <f t="shared" si="0"/>
        <v>535704</v>
      </c>
      <c r="N6" s="482">
        <f t="shared" si="0"/>
        <v>530656</v>
      </c>
      <c r="O6" s="483">
        <f t="shared" si="0"/>
        <v>760934</v>
      </c>
      <c r="P6" s="482">
        <f t="shared" si="0"/>
        <v>827145</v>
      </c>
      <c r="Q6" s="482">
        <f t="shared" si="0"/>
        <v>622581</v>
      </c>
      <c r="R6" s="482">
        <f t="shared" si="0"/>
        <v>609659</v>
      </c>
      <c r="S6" s="482">
        <f t="shared" si="0"/>
        <v>582931</v>
      </c>
      <c r="T6" s="483">
        <f t="shared" si="0"/>
        <v>710465</v>
      </c>
      <c r="U6" s="482">
        <f t="shared" si="0"/>
        <v>595297</v>
      </c>
      <c r="V6" s="482">
        <f t="shared" si="0"/>
        <v>621340</v>
      </c>
      <c r="W6" s="482">
        <f t="shared" si="0"/>
        <v>629227</v>
      </c>
      <c r="X6" s="482">
        <f t="shared" si="0"/>
        <v>454963</v>
      </c>
      <c r="Y6" s="482">
        <f t="shared" si="0"/>
        <v>439710</v>
      </c>
      <c r="Z6" s="482">
        <f t="shared" si="0"/>
        <v>449610</v>
      </c>
      <c r="AA6" s="482">
        <f t="shared" si="0"/>
        <v>407506</v>
      </c>
      <c r="AB6" s="482">
        <f t="shared" si="0"/>
        <v>393313</v>
      </c>
      <c r="AC6" s="482">
        <f t="shared" si="0"/>
        <v>398950</v>
      </c>
      <c r="AD6" s="482">
        <f t="shared" si="0"/>
        <v>375977</v>
      </c>
      <c r="AE6" s="482">
        <f t="shared" si="0"/>
        <v>265863</v>
      </c>
      <c r="AF6" s="482">
        <v>343759</v>
      </c>
      <c r="AG6" s="482">
        <f t="shared" ref="AG6:AP6" si="1">SUM(AG7:AG19)</f>
        <v>301570.20061</v>
      </c>
      <c r="AH6" s="482">
        <f t="shared" si="1"/>
        <v>374680</v>
      </c>
      <c r="AI6" s="482">
        <f t="shared" si="1"/>
        <v>301072</v>
      </c>
      <c r="AJ6" s="482">
        <f t="shared" si="1"/>
        <v>282166</v>
      </c>
      <c r="AK6" s="482">
        <f t="shared" si="1"/>
        <v>304270</v>
      </c>
      <c r="AL6" s="482">
        <f t="shared" si="1"/>
        <v>337511</v>
      </c>
      <c r="AM6" s="482">
        <f t="shared" si="1"/>
        <v>338424</v>
      </c>
      <c r="AN6" s="482">
        <f t="shared" si="1"/>
        <v>350720</v>
      </c>
      <c r="AO6" s="482">
        <f t="shared" si="1"/>
        <v>457387</v>
      </c>
      <c r="AP6" s="482">
        <f t="shared" si="1"/>
        <v>449072</v>
      </c>
      <c r="AQ6" s="482">
        <f t="shared" ref="AQ6:AZ6" si="2">SUM(AQ7:AQ19)</f>
        <v>425365</v>
      </c>
      <c r="AR6" s="482">
        <f t="shared" si="2"/>
        <v>509845</v>
      </c>
      <c r="AS6" s="482">
        <f t="shared" si="2"/>
        <v>511246</v>
      </c>
      <c r="AT6" s="482">
        <f t="shared" si="2"/>
        <v>517707</v>
      </c>
      <c r="AU6" s="482">
        <f t="shared" si="2"/>
        <v>520283</v>
      </c>
      <c r="AV6" s="482">
        <f t="shared" si="2"/>
        <v>499034</v>
      </c>
      <c r="AW6" s="482">
        <f t="shared" si="2"/>
        <v>473722</v>
      </c>
      <c r="AX6" s="482">
        <f t="shared" si="2"/>
        <v>507179</v>
      </c>
      <c r="AY6" s="482">
        <f t="shared" si="2"/>
        <v>493938</v>
      </c>
      <c r="AZ6" s="482">
        <f t="shared" si="2"/>
        <v>447362</v>
      </c>
      <c r="BA6" s="482">
        <f t="shared" ref="BA6:BM6" si="3">SUM(BA7:BA19)</f>
        <v>496779</v>
      </c>
      <c r="BB6" s="482">
        <f t="shared" si="3"/>
        <v>552717</v>
      </c>
      <c r="BC6" s="482">
        <f t="shared" si="3"/>
        <v>549687</v>
      </c>
      <c r="BD6" s="482">
        <f t="shared" si="3"/>
        <v>543928</v>
      </c>
      <c r="BE6" s="482">
        <f t="shared" si="3"/>
        <v>578394</v>
      </c>
      <c r="BF6" s="482">
        <f t="shared" si="3"/>
        <v>612732</v>
      </c>
      <c r="BG6" s="482">
        <f t="shared" si="3"/>
        <v>625944</v>
      </c>
      <c r="BH6" s="482">
        <f t="shared" si="3"/>
        <v>657428</v>
      </c>
      <c r="BI6" s="482">
        <f t="shared" si="3"/>
        <v>691781</v>
      </c>
      <c r="BJ6" s="482">
        <f t="shared" si="3"/>
        <v>712728</v>
      </c>
      <c r="BK6" s="482">
        <f t="shared" si="3"/>
        <v>708253</v>
      </c>
      <c r="BL6" s="482">
        <f>SUM(BL7:BL19)</f>
        <v>751456</v>
      </c>
      <c r="BM6" s="482">
        <f t="shared" si="3"/>
        <v>720668</v>
      </c>
      <c r="BN6" s="482">
        <f>SUM(BN7:BN19)</f>
        <v>616898</v>
      </c>
      <c r="BO6" s="482">
        <f>SUM(BO7:BO19)</f>
        <v>649708</v>
      </c>
    </row>
    <row r="7" spans="1:67" ht="14.1" customHeight="1" x14ac:dyDescent="0.2">
      <c r="A7" s="267" t="s">
        <v>75</v>
      </c>
      <c r="B7" s="484" t="s">
        <v>75</v>
      </c>
      <c r="C7" s="485">
        <v>223477</v>
      </c>
      <c r="D7" s="485">
        <v>16441</v>
      </c>
      <c r="E7" s="485">
        <v>59128</v>
      </c>
      <c r="F7" s="485">
        <v>24852</v>
      </c>
      <c r="G7" s="485">
        <v>28692</v>
      </c>
      <c r="H7" s="486">
        <v>16854</v>
      </c>
      <c r="I7" s="485">
        <v>19754</v>
      </c>
      <c r="J7" s="485">
        <v>3884</v>
      </c>
      <c r="K7" s="485">
        <v>18127</v>
      </c>
      <c r="L7" s="485">
        <v>7496</v>
      </c>
      <c r="M7" s="485">
        <v>15445</v>
      </c>
      <c r="N7" s="485">
        <v>12360</v>
      </c>
      <c r="O7" s="486">
        <v>12772</v>
      </c>
      <c r="P7" s="485">
        <v>13164</v>
      </c>
      <c r="Q7" s="485">
        <v>13048</v>
      </c>
      <c r="R7" s="485">
        <v>204448</v>
      </c>
      <c r="S7" s="485">
        <v>221474</v>
      </c>
      <c r="T7" s="486">
        <v>179882</v>
      </c>
      <c r="U7" s="485">
        <v>186093</v>
      </c>
      <c r="V7" s="485">
        <v>227857</v>
      </c>
      <c r="W7" s="485">
        <v>306960</v>
      </c>
      <c r="X7" s="485">
        <v>131505</v>
      </c>
      <c r="Y7" s="485">
        <v>206751</v>
      </c>
      <c r="Z7" s="485">
        <v>214259</v>
      </c>
      <c r="AA7" s="485">
        <v>232693</v>
      </c>
      <c r="AB7" s="485">
        <v>219216</v>
      </c>
      <c r="AC7" s="485">
        <v>241918</v>
      </c>
      <c r="AD7" s="485">
        <v>192858</v>
      </c>
      <c r="AE7" s="485">
        <v>126013</v>
      </c>
      <c r="AF7" s="485">
        <v>183030</v>
      </c>
      <c r="AG7" s="485">
        <v>145307</v>
      </c>
      <c r="AH7" s="485">
        <v>148732</v>
      </c>
      <c r="AI7" s="485">
        <v>125466</v>
      </c>
      <c r="AJ7" s="485">
        <v>90689</v>
      </c>
      <c r="AK7" s="485">
        <v>97964</v>
      </c>
      <c r="AL7" s="485">
        <v>83542</v>
      </c>
      <c r="AM7" s="485">
        <v>107994</v>
      </c>
      <c r="AN7" s="485">
        <v>106775</v>
      </c>
      <c r="AO7" s="485">
        <v>112108</v>
      </c>
      <c r="AP7" s="485">
        <v>67332</v>
      </c>
      <c r="AQ7" s="485">
        <v>125940</v>
      </c>
      <c r="AR7" s="485">
        <v>286503</v>
      </c>
      <c r="AS7" s="485">
        <v>247793</v>
      </c>
      <c r="AT7" s="485">
        <v>260387</v>
      </c>
      <c r="AU7" s="485">
        <v>304909</v>
      </c>
      <c r="AV7" s="485">
        <v>244529</v>
      </c>
      <c r="AW7" s="485">
        <v>221421</v>
      </c>
      <c r="AX7" s="485">
        <v>147128</v>
      </c>
      <c r="AY7" s="485">
        <v>210504</v>
      </c>
      <c r="AZ7" s="485">
        <v>119723</v>
      </c>
      <c r="BA7" s="485">
        <v>137242</v>
      </c>
      <c r="BB7" s="485">
        <v>190299</v>
      </c>
      <c r="BC7" s="485">
        <v>242048</v>
      </c>
      <c r="BD7" s="485">
        <v>237038</v>
      </c>
      <c r="BE7" s="485">
        <v>258630</v>
      </c>
      <c r="BF7" s="485">
        <v>232539</v>
      </c>
      <c r="BG7" s="485">
        <v>299796</v>
      </c>
      <c r="BH7" s="485">
        <v>282802</v>
      </c>
      <c r="BI7" s="485">
        <v>264126</v>
      </c>
      <c r="BJ7" s="485">
        <v>241335</v>
      </c>
      <c r="BK7" s="485">
        <v>339197</v>
      </c>
      <c r="BL7" s="485">
        <v>347151</v>
      </c>
      <c r="BM7" s="485">
        <v>245664</v>
      </c>
      <c r="BN7" s="485">
        <v>113860</v>
      </c>
      <c r="BO7" s="485">
        <v>184189</v>
      </c>
    </row>
    <row r="8" spans="1:67" ht="14.1" customHeight="1" x14ac:dyDescent="0.2">
      <c r="A8" s="267" t="s">
        <v>719</v>
      </c>
      <c r="B8" s="484" t="s">
        <v>719</v>
      </c>
      <c r="C8" s="485">
        <v>106327</v>
      </c>
      <c r="D8" s="485">
        <v>125326</v>
      </c>
      <c r="E8" s="485">
        <v>137205</v>
      </c>
      <c r="F8" s="485">
        <v>180797</v>
      </c>
      <c r="G8" s="485">
        <v>192194</v>
      </c>
      <c r="H8" s="486">
        <v>220140</v>
      </c>
      <c r="I8" s="485">
        <v>239040</v>
      </c>
      <c r="J8" s="485">
        <v>274485</v>
      </c>
      <c r="K8" s="485">
        <v>294602</v>
      </c>
      <c r="L8" s="485">
        <v>331980</v>
      </c>
      <c r="M8" s="485">
        <v>352994</v>
      </c>
      <c r="N8" s="485">
        <v>361666</v>
      </c>
      <c r="O8" s="486">
        <v>341441</v>
      </c>
      <c r="P8" s="485">
        <v>394608</v>
      </c>
      <c r="Q8" s="485">
        <v>353269</v>
      </c>
      <c r="R8" s="485">
        <v>338425</v>
      </c>
      <c r="S8" s="485">
        <v>301539</v>
      </c>
      <c r="T8" s="486">
        <v>260290</v>
      </c>
      <c r="U8" s="485">
        <v>248659</v>
      </c>
      <c r="V8" s="485">
        <v>253604</v>
      </c>
      <c r="W8" s="485">
        <v>199309</v>
      </c>
      <c r="X8" s="485">
        <v>221868</v>
      </c>
      <c r="Y8" s="485">
        <v>182340</v>
      </c>
      <c r="Z8" s="485">
        <v>187600</v>
      </c>
      <c r="AA8" s="485">
        <v>129251</v>
      </c>
      <c r="AB8" s="485">
        <v>138728</v>
      </c>
      <c r="AC8" s="485">
        <v>126437</v>
      </c>
      <c r="AD8" s="485">
        <v>154255</v>
      </c>
      <c r="AE8" s="485">
        <v>116130</v>
      </c>
      <c r="AF8" s="485">
        <v>123239</v>
      </c>
      <c r="AG8" s="485">
        <v>137433</v>
      </c>
      <c r="AH8" s="485">
        <v>171180</v>
      </c>
      <c r="AI8" s="485">
        <v>149456</v>
      </c>
      <c r="AJ8" s="485">
        <v>175884</v>
      </c>
      <c r="AK8" s="485">
        <v>190482</v>
      </c>
      <c r="AL8" s="485">
        <v>226227</v>
      </c>
      <c r="AM8" s="485">
        <v>202605</v>
      </c>
      <c r="AN8" s="485">
        <v>215878</v>
      </c>
      <c r="AO8" s="485">
        <v>222773</v>
      </c>
      <c r="AP8" s="485">
        <v>261173</v>
      </c>
      <c r="AQ8" s="485">
        <v>208452</v>
      </c>
      <c r="AR8" s="485">
        <v>127444</v>
      </c>
      <c r="AS8" s="485">
        <v>199717</v>
      </c>
      <c r="AT8" s="485">
        <v>212138</v>
      </c>
      <c r="AU8" s="485">
        <v>169120</v>
      </c>
      <c r="AV8" s="485">
        <v>197088</v>
      </c>
      <c r="AW8" s="485">
        <v>196436</v>
      </c>
      <c r="AX8" s="485">
        <v>302669</v>
      </c>
      <c r="AY8" s="485">
        <v>223696</v>
      </c>
      <c r="AZ8" s="485">
        <v>266460</v>
      </c>
      <c r="BA8" s="485">
        <v>289087</v>
      </c>
      <c r="BB8" s="485">
        <v>314053</v>
      </c>
      <c r="BC8" s="485">
        <v>259933</v>
      </c>
      <c r="BD8" s="485">
        <v>264045</v>
      </c>
      <c r="BE8" s="485">
        <v>280755</v>
      </c>
      <c r="BF8" s="485">
        <v>345505</v>
      </c>
      <c r="BG8" s="485">
        <v>294190</v>
      </c>
      <c r="BH8" s="485">
        <v>342942</v>
      </c>
      <c r="BI8" s="485">
        <v>395339</v>
      </c>
      <c r="BJ8" s="485">
        <v>437934</v>
      </c>
      <c r="BK8" s="485">
        <v>328402</v>
      </c>
      <c r="BL8" s="485">
        <v>366152</v>
      </c>
      <c r="BM8" s="485">
        <v>419796</v>
      </c>
      <c r="BN8" s="485">
        <v>443159</v>
      </c>
      <c r="BO8" s="485">
        <v>413218</v>
      </c>
    </row>
    <row r="9" spans="1:67" ht="14.1" customHeight="1" x14ac:dyDescent="0.2">
      <c r="A9" s="267" t="s">
        <v>25</v>
      </c>
      <c r="B9" s="484" t="s">
        <v>25</v>
      </c>
      <c r="C9" s="485">
        <v>0</v>
      </c>
      <c r="D9" s="485">
        <v>0</v>
      </c>
      <c r="E9" s="485">
        <v>0</v>
      </c>
      <c r="F9" s="485">
        <v>0</v>
      </c>
      <c r="G9" s="485">
        <v>0</v>
      </c>
      <c r="H9" s="486">
        <v>0</v>
      </c>
      <c r="I9" s="485">
        <v>0</v>
      </c>
      <c r="J9" s="485">
        <v>0</v>
      </c>
      <c r="K9" s="485">
        <v>0</v>
      </c>
      <c r="L9" s="485">
        <v>0</v>
      </c>
      <c r="M9" s="485">
        <v>0</v>
      </c>
      <c r="N9" s="485">
        <v>0</v>
      </c>
      <c r="O9" s="486">
        <v>0</v>
      </c>
      <c r="P9" s="485">
        <v>621</v>
      </c>
      <c r="Q9" s="485">
        <v>0</v>
      </c>
      <c r="R9" s="485">
        <v>0</v>
      </c>
      <c r="S9" s="485">
        <v>0</v>
      </c>
      <c r="T9" s="486">
        <v>532</v>
      </c>
      <c r="U9" s="485">
        <v>0</v>
      </c>
      <c r="V9" s="485">
        <v>12174</v>
      </c>
      <c r="W9" s="485">
        <v>1</v>
      </c>
      <c r="X9" s="485">
        <v>2071</v>
      </c>
      <c r="Y9" s="485">
        <v>1203</v>
      </c>
      <c r="Z9" s="485">
        <v>1851</v>
      </c>
      <c r="AA9" s="485">
        <v>798</v>
      </c>
      <c r="AB9" s="485">
        <v>334</v>
      </c>
      <c r="AC9" s="485">
        <v>810</v>
      </c>
      <c r="AD9" s="485">
        <v>770</v>
      </c>
      <c r="AE9" s="485">
        <v>513</v>
      </c>
      <c r="AF9" s="485">
        <v>462</v>
      </c>
      <c r="AG9" s="485">
        <v>614</v>
      </c>
      <c r="AH9" s="485">
        <v>768</v>
      </c>
      <c r="AI9" s="485">
        <v>602</v>
      </c>
      <c r="AJ9" s="485">
        <v>841</v>
      </c>
      <c r="AK9" s="485">
        <v>1556</v>
      </c>
      <c r="AL9" s="485">
        <v>4126</v>
      </c>
      <c r="AM9" s="485">
        <v>2641</v>
      </c>
      <c r="AN9" s="485">
        <v>3000</v>
      </c>
      <c r="AO9" s="485">
        <v>201</v>
      </c>
      <c r="AP9" s="485">
        <v>684</v>
      </c>
      <c r="AQ9" s="485">
        <v>558</v>
      </c>
      <c r="AR9" s="485">
        <v>112</v>
      </c>
      <c r="AS9" s="485">
        <v>127</v>
      </c>
      <c r="AT9" s="485">
        <v>182</v>
      </c>
      <c r="AU9" s="485">
        <v>247</v>
      </c>
      <c r="AV9" s="485">
        <v>112</v>
      </c>
      <c r="AW9" s="485">
        <v>93</v>
      </c>
      <c r="AX9" s="485">
        <v>94</v>
      </c>
      <c r="AY9" s="485">
        <v>35</v>
      </c>
      <c r="AZ9" s="485">
        <v>35</v>
      </c>
      <c r="BA9" s="485">
        <v>34</v>
      </c>
      <c r="BB9" s="485">
        <v>181</v>
      </c>
      <c r="BC9" s="485">
        <v>197</v>
      </c>
      <c r="BD9" s="485">
        <v>347</v>
      </c>
      <c r="BE9" s="485">
        <v>268</v>
      </c>
      <c r="BF9" s="485">
        <v>292</v>
      </c>
      <c r="BG9" s="485">
        <v>378</v>
      </c>
      <c r="BH9" s="485">
        <v>435</v>
      </c>
      <c r="BI9" s="485">
        <v>1027</v>
      </c>
      <c r="BJ9" s="485">
        <v>537</v>
      </c>
      <c r="BK9" s="485">
        <v>1030</v>
      </c>
      <c r="BL9" s="485">
        <v>1002</v>
      </c>
      <c r="BM9" s="485">
        <v>1040</v>
      </c>
      <c r="BN9" s="485">
        <v>1087</v>
      </c>
      <c r="BO9" s="485">
        <v>805</v>
      </c>
    </row>
    <row r="10" spans="1:67" ht="14.1" customHeight="1" x14ac:dyDescent="0.2">
      <c r="B10" s="487" t="s">
        <v>636</v>
      </c>
      <c r="C10" s="485">
        <v>1902</v>
      </c>
      <c r="D10" s="485">
        <v>1934</v>
      </c>
      <c r="E10" s="485">
        <v>1444</v>
      </c>
      <c r="F10" s="485">
        <v>1117.5131474000245</v>
      </c>
      <c r="G10" s="485">
        <v>1562</v>
      </c>
      <c r="H10" s="486">
        <v>2438</v>
      </c>
      <c r="I10" s="485">
        <v>2569</v>
      </c>
      <c r="J10" s="485">
        <v>4726</v>
      </c>
      <c r="K10" s="485">
        <v>4575</v>
      </c>
      <c r="L10" s="485">
        <v>3471</v>
      </c>
      <c r="M10" s="485">
        <v>3309</v>
      </c>
      <c r="N10" s="485">
        <v>2145</v>
      </c>
      <c r="O10" s="486">
        <v>2915</v>
      </c>
      <c r="P10" s="485">
        <v>3880</v>
      </c>
      <c r="Q10" s="485">
        <v>4037</v>
      </c>
      <c r="R10" s="485">
        <v>4184</v>
      </c>
      <c r="S10" s="485">
        <v>3862</v>
      </c>
      <c r="T10" s="486">
        <v>3452</v>
      </c>
      <c r="U10" s="485">
        <v>3416</v>
      </c>
      <c r="V10" s="485">
        <v>1993</v>
      </c>
      <c r="W10" s="485">
        <v>2414</v>
      </c>
      <c r="X10" s="485">
        <v>2339</v>
      </c>
      <c r="Y10" s="485">
        <v>2198</v>
      </c>
      <c r="Z10" s="485">
        <v>1533</v>
      </c>
      <c r="AA10" s="485">
        <v>923</v>
      </c>
      <c r="AB10" s="485">
        <v>637</v>
      </c>
      <c r="AC10" s="485">
        <v>392</v>
      </c>
      <c r="AD10" s="485">
        <v>209</v>
      </c>
      <c r="AE10" s="485">
        <v>213</v>
      </c>
      <c r="AF10" s="485">
        <v>214</v>
      </c>
      <c r="AG10" s="485">
        <v>227</v>
      </c>
      <c r="AH10" s="485">
        <v>227</v>
      </c>
      <c r="AI10" s="485">
        <v>194</v>
      </c>
      <c r="AJ10" s="485">
        <v>185</v>
      </c>
      <c r="AK10" s="485">
        <v>175</v>
      </c>
      <c r="AL10" s="485">
        <v>173</v>
      </c>
      <c r="AM10" s="485">
        <v>178</v>
      </c>
      <c r="AN10" s="485">
        <v>172</v>
      </c>
      <c r="AO10" s="485">
        <v>85</v>
      </c>
      <c r="AP10" s="485">
        <v>75</v>
      </c>
      <c r="AQ10" s="485">
        <v>76</v>
      </c>
      <c r="AR10" s="485">
        <v>74</v>
      </c>
      <c r="AS10" s="485">
        <v>88</v>
      </c>
      <c r="AT10" s="485">
        <v>82</v>
      </c>
      <c r="AU10" s="485">
        <v>429</v>
      </c>
      <c r="AV10" s="485">
        <v>829</v>
      </c>
      <c r="AW10" s="485">
        <v>1212</v>
      </c>
      <c r="AX10" s="485">
        <v>1251</v>
      </c>
      <c r="AY10" s="485">
        <v>1313</v>
      </c>
      <c r="AZ10" s="485">
        <v>1126</v>
      </c>
      <c r="BA10" s="485">
        <v>1166</v>
      </c>
      <c r="BB10" s="485">
        <v>1004</v>
      </c>
      <c r="BC10" s="485">
        <v>769</v>
      </c>
      <c r="BD10" s="485">
        <v>1012</v>
      </c>
      <c r="BE10" s="485">
        <v>804</v>
      </c>
      <c r="BF10" s="485">
        <v>810</v>
      </c>
      <c r="BG10" s="485">
        <v>732</v>
      </c>
      <c r="BH10" s="485">
        <v>739</v>
      </c>
      <c r="BI10" s="485">
        <v>890</v>
      </c>
      <c r="BJ10" s="485">
        <v>263</v>
      </c>
      <c r="BK10" s="485">
        <v>716</v>
      </c>
      <c r="BL10" s="485">
        <v>935</v>
      </c>
      <c r="BM10" s="485">
        <v>554</v>
      </c>
      <c r="BN10" s="485">
        <v>697</v>
      </c>
      <c r="BO10" s="485">
        <v>2177</v>
      </c>
    </row>
    <row r="11" spans="1:67" ht="14.1" customHeight="1" x14ac:dyDescent="0.2">
      <c r="B11" s="487" t="s">
        <v>15</v>
      </c>
      <c r="C11" s="485">
        <v>0</v>
      </c>
      <c r="D11" s="485">
        <v>0</v>
      </c>
      <c r="E11" s="485">
        <v>0</v>
      </c>
      <c r="F11" s="485">
        <v>0</v>
      </c>
      <c r="G11" s="485">
        <v>0</v>
      </c>
      <c r="H11" s="486">
        <v>0</v>
      </c>
      <c r="I11" s="485">
        <v>0</v>
      </c>
      <c r="J11" s="485">
        <v>0</v>
      </c>
      <c r="K11" s="485">
        <v>0</v>
      </c>
      <c r="L11" s="485">
        <v>0</v>
      </c>
      <c r="M11" s="485">
        <v>0</v>
      </c>
      <c r="N11" s="485">
        <v>0</v>
      </c>
      <c r="O11" s="486">
        <v>0</v>
      </c>
      <c r="P11" s="485">
        <v>0</v>
      </c>
      <c r="Q11" s="485">
        <v>0</v>
      </c>
      <c r="R11" s="485">
        <v>0</v>
      </c>
      <c r="S11" s="485">
        <v>0</v>
      </c>
      <c r="T11" s="486">
        <v>0</v>
      </c>
      <c r="U11" s="485">
        <v>0</v>
      </c>
      <c r="V11" s="485">
        <v>0</v>
      </c>
      <c r="W11" s="485">
        <v>0</v>
      </c>
      <c r="X11" s="485">
        <v>0</v>
      </c>
      <c r="Y11" s="485">
        <v>0</v>
      </c>
      <c r="Z11" s="485">
        <v>0</v>
      </c>
      <c r="AA11" s="485">
        <v>0</v>
      </c>
      <c r="AB11" s="485">
        <v>0</v>
      </c>
      <c r="AC11" s="485">
        <v>0</v>
      </c>
      <c r="AD11" s="485">
        <v>2837</v>
      </c>
      <c r="AE11" s="485">
        <v>2837</v>
      </c>
      <c r="AF11" s="485">
        <v>2837</v>
      </c>
      <c r="AG11" s="485">
        <v>2837</v>
      </c>
      <c r="AH11" s="485">
        <v>5208</v>
      </c>
      <c r="AI11" s="485">
        <v>2353</v>
      </c>
      <c r="AJ11" s="485">
        <v>1853</v>
      </c>
      <c r="AK11" s="485">
        <v>2539</v>
      </c>
      <c r="AL11" s="485">
        <v>3342</v>
      </c>
      <c r="AM11" s="485">
        <v>3479</v>
      </c>
      <c r="AN11" s="485">
        <v>3274</v>
      </c>
      <c r="AO11" s="485">
        <v>2218</v>
      </c>
      <c r="AP11" s="485">
        <v>1130</v>
      </c>
      <c r="AQ11" s="485">
        <v>766</v>
      </c>
      <c r="AR11" s="485">
        <v>772</v>
      </c>
      <c r="AS11" s="485">
        <v>775</v>
      </c>
      <c r="AT11" s="485">
        <v>829</v>
      </c>
      <c r="AU11" s="485">
        <v>835</v>
      </c>
      <c r="AV11" s="485">
        <v>1007</v>
      </c>
      <c r="AW11" s="485">
        <v>1083</v>
      </c>
      <c r="AX11" s="485">
        <v>1157</v>
      </c>
      <c r="AY11" s="485">
        <v>1908</v>
      </c>
      <c r="AZ11" s="485">
        <v>1937</v>
      </c>
      <c r="BA11" s="485">
        <v>2238</v>
      </c>
      <c r="BB11" s="485">
        <v>2263</v>
      </c>
      <c r="BC11" s="485">
        <v>2299</v>
      </c>
      <c r="BD11" s="485">
        <v>2397</v>
      </c>
      <c r="BE11" s="485">
        <v>2356</v>
      </c>
      <c r="BF11" s="485">
        <v>2398</v>
      </c>
      <c r="BG11" s="485">
        <v>2420</v>
      </c>
      <c r="BH11" s="485">
        <v>2875</v>
      </c>
      <c r="BI11" s="485">
        <v>3019</v>
      </c>
      <c r="BJ11" s="485">
        <v>2746</v>
      </c>
      <c r="BK11" s="485">
        <v>2790</v>
      </c>
      <c r="BL11" s="485">
        <v>2800</v>
      </c>
      <c r="BM11" s="485">
        <v>2875</v>
      </c>
      <c r="BN11" s="485">
        <v>8420</v>
      </c>
      <c r="BO11" s="485">
        <v>3600</v>
      </c>
    </row>
    <row r="12" spans="1:67" ht="14.1" customHeight="1" x14ac:dyDescent="0.2">
      <c r="A12" s="267" t="s">
        <v>723</v>
      </c>
      <c r="B12" s="484" t="s">
        <v>723</v>
      </c>
      <c r="C12" s="485">
        <v>13909</v>
      </c>
      <c r="D12" s="485">
        <v>15937</v>
      </c>
      <c r="E12" s="485">
        <v>9924</v>
      </c>
      <c r="F12" s="485">
        <v>10178</v>
      </c>
      <c r="G12" s="485">
        <v>9204</v>
      </c>
      <c r="H12" s="486">
        <v>11605</v>
      </c>
      <c r="I12" s="485">
        <v>12549</v>
      </c>
      <c r="J12" s="485">
        <v>18665</v>
      </c>
      <c r="K12" s="485">
        <v>22389</v>
      </c>
      <c r="L12" s="485">
        <v>19996</v>
      </c>
      <c r="M12" s="485">
        <v>20508</v>
      </c>
      <c r="N12" s="485">
        <v>21725</v>
      </c>
      <c r="O12" s="486">
        <v>30329</v>
      </c>
      <c r="P12" s="485">
        <v>28898</v>
      </c>
      <c r="Q12" s="485">
        <v>19495</v>
      </c>
      <c r="R12" s="485">
        <v>23889</v>
      </c>
      <c r="S12" s="485">
        <v>15987</v>
      </c>
      <c r="T12" s="486">
        <v>14510</v>
      </c>
      <c r="U12" s="485">
        <v>15375</v>
      </c>
      <c r="V12" s="485">
        <v>19086</v>
      </c>
      <c r="W12" s="485">
        <v>22813</v>
      </c>
      <c r="X12" s="485">
        <v>25649</v>
      </c>
      <c r="Y12" s="485">
        <v>22515</v>
      </c>
      <c r="Z12" s="485">
        <v>22710</v>
      </c>
      <c r="AA12" s="485">
        <v>19173</v>
      </c>
      <c r="AB12" s="485">
        <v>16057</v>
      </c>
      <c r="AC12" s="485">
        <v>13644</v>
      </c>
      <c r="AD12" s="485">
        <v>13032</v>
      </c>
      <c r="AE12" s="485">
        <v>2591</v>
      </c>
      <c r="AF12" s="488">
        <v>20551</v>
      </c>
      <c r="AG12" s="485">
        <v>6643.2006099999999</v>
      </c>
      <c r="AH12" s="488">
        <v>42770</v>
      </c>
      <c r="AI12" s="485">
        <v>14837</v>
      </c>
      <c r="AJ12" s="485">
        <v>3955</v>
      </c>
      <c r="AK12" s="485">
        <v>3001</v>
      </c>
      <c r="AL12" s="488">
        <v>12007</v>
      </c>
      <c r="AM12" s="485">
        <v>12317</v>
      </c>
      <c r="AN12" s="485">
        <v>12634</v>
      </c>
      <c r="AO12" s="488">
        <v>104567</v>
      </c>
      <c r="AP12" s="485">
        <v>106280</v>
      </c>
      <c r="AQ12" s="488">
        <v>57078</v>
      </c>
      <c r="AR12" s="485">
        <v>57277</v>
      </c>
      <c r="AS12" s="485">
        <v>50657</v>
      </c>
      <c r="AT12" s="485">
        <v>33989</v>
      </c>
      <c r="AU12" s="485">
        <v>30248</v>
      </c>
      <c r="AV12" s="488">
        <v>43566</v>
      </c>
      <c r="AW12" s="485">
        <v>42887</v>
      </c>
      <c r="AX12" s="485">
        <v>43369</v>
      </c>
      <c r="AY12" s="485">
        <v>44063</v>
      </c>
      <c r="AZ12" s="485">
        <v>44352</v>
      </c>
      <c r="BA12" s="485">
        <v>41196</v>
      </c>
      <c r="BB12" s="485">
        <v>24726</v>
      </c>
      <c r="BC12" s="485">
        <v>24340</v>
      </c>
      <c r="BD12" s="485">
        <v>20303</v>
      </c>
      <c r="BE12" s="485">
        <v>15773</v>
      </c>
      <c r="BF12" s="485">
        <v>11040</v>
      </c>
      <c r="BG12" s="485">
        <v>9955</v>
      </c>
      <c r="BH12" s="485">
        <v>7913</v>
      </c>
      <c r="BI12" s="485">
        <v>4827</v>
      </c>
      <c r="BJ12" s="485">
        <v>4380</v>
      </c>
      <c r="BK12" s="485">
        <v>6301</v>
      </c>
      <c r="BL12" s="485">
        <v>7828</v>
      </c>
      <c r="BM12" s="485">
        <v>7779</v>
      </c>
      <c r="BN12" s="485">
        <v>7142</v>
      </c>
      <c r="BO12" s="485">
        <v>7171</v>
      </c>
    </row>
    <row r="13" spans="1:67" ht="14.1" customHeight="1" x14ac:dyDescent="0.2">
      <c r="A13" s="267" t="s">
        <v>26</v>
      </c>
      <c r="B13" s="484" t="s">
        <v>26</v>
      </c>
      <c r="C13" s="485">
        <v>10733</v>
      </c>
      <c r="D13" s="485">
        <v>8355</v>
      </c>
      <c r="E13" s="485">
        <v>8398</v>
      </c>
      <c r="F13" s="485">
        <v>14372.200566295001</v>
      </c>
      <c r="G13" s="485">
        <v>16118</v>
      </c>
      <c r="H13" s="486">
        <v>17216</v>
      </c>
      <c r="I13" s="485">
        <v>19141</v>
      </c>
      <c r="J13" s="485">
        <v>19442</v>
      </c>
      <c r="K13" s="485">
        <v>18988</v>
      </c>
      <c r="L13" s="485">
        <v>21592</v>
      </c>
      <c r="M13" s="485">
        <v>30204</v>
      </c>
      <c r="N13" s="485">
        <v>33668</v>
      </c>
      <c r="O13" s="486">
        <v>35444</v>
      </c>
      <c r="P13" s="485">
        <v>41054</v>
      </c>
      <c r="Q13" s="485">
        <v>50169</v>
      </c>
      <c r="R13" s="485">
        <v>29210</v>
      </c>
      <c r="S13" s="485">
        <v>22430</v>
      </c>
      <c r="T13" s="486">
        <v>20682</v>
      </c>
      <c r="U13" s="485">
        <v>134784</v>
      </c>
      <c r="V13" s="485">
        <v>104274</v>
      </c>
      <c r="W13" s="485">
        <v>62780</v>
      </c>
      <c r="X13" s="485">
        <v>65013.000000000007</v>
      </c>
      <c r="Y13" s="485">
        <v>20826</v>
      </c>
      <c r="Z13" s="485">
        <v>19738</v>
      </c>
      <c r="AA13" s="485">
        <v>17124</v>
      </c>
      <c r="AB13" s="485">
        <v>12954</v>
      </c>
      <c r="AC13" s="485">
        <v>12736</v>
      </c>
      <c r="AD13" s="485">
        <v>11048</v>
      </c>
      <c r="AE13" s="485">
        <v>10452</v>
      </c>
      <c r="AF13" s="485">
        <v>8277</v>
      </c>
      <c r="AG13" s="485">
        <v>5144</v>
      </c>
      <c r="AH13" s="485">
        <v>4528</v>
      </c>
      <c r="AI13" s="485">
        <v>4997</v>
      </c>
      <c r="AJ13" s="485">
        <v>5118</v>
      </c>
      <c r="AK13" s="485">
        <v>6055</v>
      </c>
      <c r="AL13" s="485">
        <v>6775</v>
      </c>
      <c r="AM13" s="485">
        <v>6217</v>
      </c>
      <c r="AN13" s="485">
        <v>5545</v>
      </c>
      <c r="AO13" s="485">
        <v>6225</v>
      </c>
      <c r="AP13" s="485">
        <v>6687</v>
      </c>
      <c r="AQ13" s="485">
        <v>8597</v>
      </c>
      <c r="AR13" s="485">
        <v>9426</v>
      </c>
      <c r="AS13" s="485">
        <v>9001</v>
      </c>
      <c r="AT13" s="485">
        <v>8266</v>
      </c>
      <c r="AU13" s="485">
        <v>9503</v>
      </c>
      <c r="AV13" s="485">
        <v>6835</v>
      </c>
      <c r="AW13" s="485">
        <v>7280</v>
      </c>
      <c r="AX13" s="485">
        <v>8891</v>
      </c>
      <c r="AY13" s="485">
        <v>7570</v>
      </c>
      <c r="AZ13" s="485">
        <v>8940</v>
      </c>
      <c r="BA13" s="485">
        <v>20280</v>
      </c>
      <c r="BB13" s="485">
        <v>15269</v>
      </c>
      <c r="BC13" s="485">
        <v>13492</v>
      </c>
      <c r="BD13" s="485">
        <v>13448</v>
      </c>
      <c r="BE13" s="485">
        <v>15088</v>
      </c>
      <c r="BF13" s="485">
        <v>14485</v>
      </c>
      <c r="BG13" s="485">
        <v>10566</v>
      </c>
      <c r="BH13" s="485">
        <v>12863</v>
      </c>
      <c r="BI13" s="485">
        <v>16675</v>
      </c>
      <c r="BJ13" s="485">
        <v>17922</v>
      </c>
      <c r="BK13" s="485">
        <v>17071</v>
      </c>
      <c r="BL13" s="485">
        <v>15732</v>
      </c>
      <c r="BM13" s="485">
        <v>34629</v>
      </c>
      <c r="BN13" s="485">
        <v>31704</v>
      </c>
      <c r="BO13" s="485">
        <v>25649</v>
      </c>
    </row>
    <row r="14" spans="1:67" ht="14.1" customHeight="1" x14ac:dyDescent="0.2">
      <c r="B14" s="487" t="s">
        <v>54</v>
      </c>
      <c r="C14" s="485">
        <v>0</v>
      </c>
      <c r="D14" s="485">
        <v>0</v>
      </c>
      <c r="E14" s="485">
        <v>0</v>
      </c>
      <c r="F14" s="485">
        <v>0</v>
      </c>
      <c r="G14" s="485">
        <v>0</v>
      </c>
      <c r="H14" s="486">
        <v>0</v>
      </c>
      <c r="I14" s="485">
        <v>0</v>
      </c>
      <c r="J14" s="485">
        <v>1844</v>
      </c>
      <c r="K14" s="485">
        <v>0</v>
      </c>
      <c r="L14" s="485">
        <v>0</v>
      </c>
      <c r="M14" s="485">
        <v>0</v>
      </c>
      <c r="N14" s="485">
        <v>0</v>
      </c>
      <c r="O14" s="486">
        <v>0</v>
      </c>
      <c r="P14" s="485">
        <v>0</v>
      </c>
      <c r="Q14" s="485">
        <v>0</v>
      </c>
      <c r="R14" s="485">
        <v>0</v>
      </c>
      <c r="S14" s="485">
        <v>0</v>
      </c>
      <c r="T14" s="486">
        <v>0</v>
      </c>
      <c r="U14" s="485">
        <v>0</v>
      </c>
      <c r="V14" s="485">
        <v>0</v>
      </c>
      <c r="W14" s="485">
        <v>0</v>
      </c>
      <c r="X14" s="485">
        <v>0</v>
      </c>
      <c r="Y14" s="485">
        <v>0</v>
      </c>
      <c r="Z14" s="485">
        <v>0</v>
      </c>
      <c r="AA14" s="485">
        <v>0</v>
      </c>
      <c r="AB14" s="485">
        <v>0</v>
      </c>
      <c r="AC14" s="485">
        <v>0</v>
      </c>
      <c r="AD14" s="485">
        <v>0</v>
      </c>
      <c r="AE14" s="485">
        <v>0</v>
      </c>
      <c r="AF14" s="485">
        <v>0</v>
      </c>
      <c r="AG14" s="485">
        <v>0</v>
      </c>
      <c r="AH14" s="485">
        <v>0</v>
      </c>
      <c r="AI14" s="485">
        <v>0</v>
      </c>
      <c r="AJ14" s="485">
        <v>0</v>
      </c>
      <c r="AK14" s="485">
        <v>0</v>
      </c>
      <c r="AL14" s="485">
        <v>0</v>
      </c>
      <c r="AM14" s="485">
        <v>85</v>
      </c>
      <c r="AN14" s="485">
        <v>0</v>
      </c>
      <c r="AO14" s="485">
        <v>0</v>
      </c>
      <c r="AP14" s="485">
        <v>0</v>
      </c>
      <c r="AQ14" s="485">
        <v>0</v>
      </c>
      <c r="AR14" s="485">
        <v>0</v>
      </c>
      <c r="AS14" s="485">
        <v>0</v>
      </c>
      <c r="AT14" s="485">
        <v>0</v>
      </c>
      <c r="AU14" s="485">
        <v>0</v>
      </c>
      <c r="AV14" s="485">
        <v>127</v>
      </c>
      <c r="AW14" s="485">
        <v>0</v>
      </c>
      <c r="AX14" s="485">
        <v>0</v>
      </c>
      <c r="AY14" s="485">
        <v>0</v>
      </c>
      <c r="AZ14" s="485">
        <v>0</v>
      </c>
      <c r="BA14" s="485">
        <v>0</v>
      </c>
      <c r="BB14" s="485">
        <v>0</v>
      </c>
      <c r="BC14" s="485">
        <v>0</v>
      </c>
      <c r="BD14" s="485">
        <v>0</v>
      </c>
      <c r="BE14" s="485">
        <v>0</v>
      </c>
      <c r="BF14" s="485">
        <v>0</v>
      </c>
      <c r="BG14" s="485">
        <v>0</v>
      </c>
      <c r="BH14" s="485">
        <v>0</v>
      </c>
      <c r="BI14" s="485">
        <v>0</v>
      </c>
      <c r="BJ14" s="485">
        <v>0</v>
      </c>
      <c r="BK14" s="485">
        <v>0</v>
      </c>
      <c r="BL14" s="485">
        <v>0</v>
      </c>
      <c r="BM14" s="485">
        <v>0</v>
      </c>
      <c r="BN14" s="485">
        <v>0</v>
      </c>
      <c r="BO14" s="485">
        <v>0</v>
      </c>
    </row>
    <row r="15" spans="1:67" ht="14.1" customHeight="1" x14ac:dyDescent="0.2">
      <c r="B15" s="487" t="s">
        <v>22</v>
      </c>
      <c r="C15" s="485">
        <v>1852</v>
      </c>
      <c r="D15" s="485">
        <v>1491</v>
      </c>
      <c r="E15" s="485">
        <v>3618</v>
      </c>
      <c r="F15" s="485">
        <v>3728.3837300487498</v>
      </c>
      <c r="G15" s="485">
        <v>4479</v>
      </c>
      <c r="H15" s="486">
        <v>5017</v>
      </c>
      <c r="I15" s="485">
        <v>4601</v>
      </c>
      <c r="J15" s="485">
        <v>1960</v>
      </c>
      <c r="K15" s="485">
        <v>8965</v>
      </c>
      <c r="L15" s="485">
        <v>10480</v>
      </c>
      <c r="M15" s="485">
        <v>3666</v>
      </c>
      <c r="N15" s="485">
        <v>2555</v>
      </c>
      <c r="O15" s="486">
        <v>7863</v>
      </c>
      <c r="P15" s="485">
        <v>7629</v>
      </c>
      <c r="Q15" s="485">
        <v>4666</v>
      </c>
      <c r="R15" s="485">
        <v>1572</v>
      </c>
      <c r="S15" s="485">
        <v>7252</v>
      </c>
      <c r="T15" s="486">
        <v>5485</v>
      </c>
      <c r="U15" s="485">
        <v>3323</v>
      </c>
      <c r="V15" s="485">
        <v>1424</v>
      </c>
      <c r="W15" s="485">
        <v>8193</v>
      </c>
      <c r="X15" s="485">
        <v>6518</v>
      </c>
      <c r="Y15" s="485">
        <v>3877</v>
      </c>
      <c r="Z15" s="485">
        <v>1919</v>
      </c>
      <c r="AA15" s="485">
        <v>7544</v>
      </c>
      <c r="AB15" s="485">
        <v>5387</v>
      </c>
      <c r="AC15" s="485">
        <v>3013</v>
      </c>
      <c r="AD15" s="485">
        <v>968</v>
      </c>
      <c r="AE15" s="485">
        <v>7114</v>
      </c>
      <c r="AF15" s="485">
        <v>5149</v>
      </c>
      <c r="AG15" s="485">
        <v>3365</v>
      </c>
      <c r="AH15" s="485">
        <v>1267</v>
      </c>
      <c r="AI15" s="485">
        <v>3167</v>
      </c>
      <c r="AJ15" s="485">
        <v>3641</v>
      </c>
      <c r="AK15" s="485">
        <v>2498</v>
      </c>
      <c r="AL15" s="485">
        <v>1319</v>
      </c>
      <c r="AM15" s="485">
        <v>2908</v>
      </c>
      <c r="AN15" s="485">
        <v>3442</v>
      </c>
      <c r="AO15" s="485">
        <v>3311</v>
      </c>
      <c r="AP15" s="485">
        <v>1972</v>
      </c>
      <c r="AQ15" s="485">
        <v>3240</v>
      </c>
      <c r="AR15" s="485">
        <v>4366</v>
      </c>
      <c r="AS15" s="485">
        <v>3088</v>
      </c>
      <c r="AT15" s="485">
        <v>1834</v>
      </c>
      <c r="AU15" s="485">
        <v>4992</v>
      </c>
      <c r="AV15" s="485">
        <v>4941</v>
      </c>
      <c r="AW15" s="485">
        <v>3310</v>
      </c>
      <c r="AX15" s="485">
        <v>2620</v>
      </c>
      <c r="AY15" s="485">
        <v>4849</v>
      </c>
      <c r="AZ15" s="485">
        <v>4789</v>
      </c>
      <c r="BA15" s="485">
        <v>5536</v>
      </c>
      <c r="BB15" s="485">
        <v>4922</v>
      </c>
      <c r="BC15" s="485">
        <v>6609</v>
      </c>
      <c r="BD15" s="485">
        <v>5338</v>
      </c>
      <c r="BE15" s="485">
        <v>4720</v>
      </c>
      <c r="BF15" s="485">
        <v>5663</v>
      </c>
      <c r="BG15" s="485">
        <v>7907</v>
      </c>
      <c r="BH15" s="485">
        <v>6859</v>
      </c>
      <c r="BI15" s="485">
        <v>5878</v>
      </c>
      <c r="BJ15" s="485">
        <v>7611</v>
      </c>
      <c r="BK15" s="485">
        <v>12746</v>
      </c>
      <c r="BL15" s="485">
        <v>9856</v>
      </c>
      <c r="BM15" s="485">
        <v>8331</v>
      </c>
      <c r="BN15" s="485">
        <v>10829</v>
      </c>
      <c r="BO15" s="485">
        <v>12899</v>
      </c>
    </row>
    <row r="16" spans="1:67" ht="14.1" customHeight="1" collapsed="1" x14ac:dyDescent="0.2">
      <c r="B16" s="487" t="s">
        <v>773</v>
      </c>
      <c r="C16" s="485">
        <v>0</v>
      </c>
      <c r="D16" s="485">
        <v>0</v>
      </c>
      <c r="E16" s="485">
        <v>0</v>
      </c>
      <c r="F16" s="485">
        <v>0</v>
      </c>
      <c r="G16" s="485">
        <v>0</v>
      </c>
      <c r="H16" s="486">
        <v>0</v>
      </c>
      <c r="I16" s="485">
        <v>0</v>
      </c>
      <c r="J16" s="485">
        <v>0</v>
      </c>
      <c r="K16" s="485">
        <v>0</v>
      </c>
      <c r="L16" s="485">
        <v>35167</v>
      </c>
      <c r="M16" s="485">
        <v>44469</v>
      </c>
      <c r="N16" s="485">
        <v>42154</v>
      </c>
      <c r="O16" s="486">
        <v>40143</v>
      </c>
      <c r="P16" s="485">
        <v>63174</v>
      </c>
      <c r="Q16" s="485">
        <v>5530</v>
      </c>
      <c r="R16" s="485">
        <v>7931</v>
      </c>
      <c r="S16" s="485">
        <v>3815</v>
      </c>
      <c r="T16" s="486">
        <v>0</v>
      </c>
      <c r="U16" s="485">
        <v>154</v>
      </c>
      <c r="V16" s="485">
        <v>928</v>
      </c>
      <c r="W16" s="485">
        <v>26757</v>
      </c>
      <c r="X16" s="485">
        <v>0</v>
      </c>
      <c r="Y16" s="485">
        <v>0</v>
      </c>
      <c r="Z16" s="485">
        <v>0</v>
      </c>
      <c r="AA16" s="485">
        <v>0</v>
      </c>
      <c r="AB16" s="485">
        <v>0</v>
      </c>
      <c r="AC16" s="485">
        <v>0</v>
      </c>
      <c r="AD16" s="485">
        <v>0</v>
      </c>
      <c r="AE16" s="485">
        <v>0</v>
      </c>
      <c r="AF16" s="485">
        <v>0</v>
      </c>
      <c r="AG16" s="485">
        <v>0</v>
      </c>
      <c r="AH16" s="485">
        <v>0</v>
      </c>
      <c r="AI16" s="485">
        <v>0</v>
      </c>
      <c r="AJ16" s="485">
        <v>0</v>
      </c>
      <c r="AK16" s="485">
        <v>0</v>
      </c>
      <c r="AL16" s="485">
        <v>0</v>
      </c>
      <c r="AM16" s="485">
        <v>0</v>
      </c>
      <c r="AN16" s="485">
        <v>0</v>
      </c>
      <c r="AO16" s="485">
        <v>5899</v>
      </c>
      <c r="AP16" s="485">
        <v>3739</v>
      </c>
      <c r="AQ16" s="485">
        <v>20658</v>
      </c>
      <c r="AR16" s="485">
        <v>23871</v>
      </c>
      <c r="AS16" s="485">
        <v>0</v>
      </c>
      <c r="AT16" s="485">
        <v>0</v>
      </c>
      <c r="AU16" s="485">
        <v>0</v>
      </c>
      <c r="AV16" s="485">
        <v>0</v>
      </c>
      <c r="AW16" s="485">
        <v>0</v>
      </c>
      <c r="AX16" s="485">
        <v>0</v>
      </c>
      <c r="AY16" s="485">
        <v>0</v>
      </c>
      <c r="AZ16" s="485">
        <v>0</v>
      </c>
      <c r="BA16" s="485">
        <v>0</v>
      </c>
      <c r="BB16" s="485">
        <v>0</v>
      </c>
      <c r="BC16" s="485">
        <v>0</v>
      </c>
      <c r="BD16" s="485">
        <v>0</v>
      </c>
      <c r="BE16" s="485">
        <v>0</v>
      </c>
      <c r="BF16" s="485">
        <v>0</v>
      </c>
      <c r="BG16" s="485">
        <v>0</v>
      </c>
      <c r="BH16" s="485">
        <v>0</v>
      </c>
      <c r="BI16" s="485">
        <v>0</v>
      </c>
      <c r="BJ16" s="485">
        <v>0</v>
      </c>
      <c r="BK16" s="485">
        <v>0</v>
      </c>
      <c r="BL16" s="485">
        <v>0</v>
      </c>
      <c r="BM16" s="485">
        <v>0</v>
      </c>
      <c r="BN16" s="485">
        <v>0</v>
      </c>
      <c r="BO16" s="485">
        <v>0</v>
      </c>
    </row>
    <row r="17" spans="1:67" ht="13.5" hidden="1" customHeight="1" outlineLevel="1" x14ac:dyDescent="0.2">
      <c r="B17" s="490" t="s">
        <v>58</v>
      </c>
      <c r="C17" s="491">
        <v>0</v>
      </c>
      <c r="D17" s="491">
        <v>0</v>
      </c>
      <c r="E17" s="491">
        <v>0</v>
      </c>
      <c r="F17" s="491">
        <v>0</v>
      </c>
      <c r="G17" s="491">
        <v>0</v>
      </c>
      <c r="H17" s="492">
        <v>0</v>
      </c>
      <c r="I17" s="491">
        <v>0</v>
      </c>
      <c r="J17" s="491">
        <v>0</v>
      </c>
      <c r="K17" s="491">
        <v>0</v>
      </c>
      <c r="L17" s="491">
        <v>0</v>
      </c>
      <c r="M17" s="491">
        <v>0</v>
      </c>
      <c r="N17" s="491">
        <v>0</v>
      </c>
      <c r="O17" s="492">
        <v>0</v>
      </c>
      <c r="P17" s="491">
        <v>0</v>
      </c>
      <c r="Q17" s="491">
        <v>0</v>
      </c>
      <c r="R17" s="491">
        <v>0</v>
      </c>
      <c r="S17" s="491">
        <v>0</v>
      </c>
      <c r="T17" s="492">
        <v>222913</v>
      </c>
      <c r="U17" s="491">
        <v>0</v>
      </c>
      <c r="V17" s="491">
        <v>0</v>
      </c>
      <c r="W17" s="491">
        <v>0</v>
      </c>
      <c r="X17" s="491">
        <v>0</v>
      </c>
      <c r="Y17" s="491">
        <v>0</v>
      </c>
      <c r="Z17" s="491">
        <v>0</v>
      </c>
      <c r="AA17" s="491">
        <v>0</v>
      </c>
      <c r="AB17" s="491">
        <v>0</v>
      </c>
      <c r="AC17" s="491">
        <v>0</v>
      </c>
      <c r="AD17" s="491">
        <v>0</v>
      </c>
      <c r="AE17" s="491">
        <v>0</v>
      </c>
      <c r="AF17" s="491">
        <v>0</v>
      </c>
      <c r="AG17" s="491">
        <v>0</v>
      </c>
      <c r="AH17" s="491">
        <v>0</v>
      </c>
      <c r="AI17" s="485">
        <v>0</v>
      </c>
      <c r="AJ17" s="485">
        <v>0</v>
      </c>
      <c r="AK17" s="485">
        <v>0</v>
      </c>
      <c r="AL17" s="485">
        <v>0</v>
      </c>
      <c r="AM17" s="485">
        <v>0</v>
      </c>
      <c r="AN17" s="485">
        <v>0</v>
      </c>
      <c r="AO17" s="485">
        <v>0</v>
      </c>
      <c r="AP17" s="485">
        <v>0</v>
      </c>
      <c r="AQ17" s="485">
        <v>0</v>
      </c>
      <c r="AR17" s="485">
        <v>0</v>
      </c>
      <c r="AS17" s="485">
        <v>0</v>
      </c>
      <c r="AT17" s="485">
        <v>0</v>
      </c>
      <c r="AU17" s="485">
        <v>0</v>
      </c>
      <c r="AV17" s="485">
        <v>0</v>
      </c>
      <c r="AW17" s="485">
        <v>0</v>
      </c>
      <c r="AX17" s="485"/>
      <c r="AY17" s="485">
        <v>0</v>
      </c>
      <c r="AZ17" s="485">
        <v>0</v>
      </c>
      <c r="BA17" s="485">
        <v>0</v>
      </c>
      <c r="BB17" s="485">
        <v>0</v>
      </c>
      <c r="BC17" s="485">
        <v>0</v>
      </c>
      <c r="BD17" s="485">
        <v>0</v>
      </c>
      <c r="BE17" s="485">
        <v>0</v>
      </c>
      <c r="BF17" s="485">
        <v>0</v>
      </c>
      <c r="BG17" s="485"/>
      <c r="BH17" s="485"/>
      <c r="BI17" s="485"/>
      <c r="BJ17" s="485">
        <v>0</v>
      </c>
      <c r="BK17" s="485"/>
      <c r="BL17" s="485">
        <v>0</v>
      </c>
      <c r="BM17" s="485">
        <v>0</v>
      </c>
      <c r="BN17" s="485">
        <v>0</v>
      </c>
      <c r="BO17" s="485">
        <v>0</v>
      </c>
    </row>
    <row r="18" spans="1:67" ht="14.1" hidden="1" customHeight="1" outlineLevel="1" x14ac:dyDescent="0.2">
      <c r="B18" s="493" t="s">
        <v>78</v>
      </c>
      <c r="C18" s="491">
        <v>8694</v>
      </c>
      <c r="D18" s="491">
        <v>9520</v>
      </c>
      <c r="E18" s="491">
        <v>0</v>
      </c>
      <c r="F18" s="491">
        <v>0</v>
      </c>
      <c r="G18" s="491">
        <v>0</v>
      </c>
      <c r="H18" s="492">
        <v>0</v>
      </c>
      <c r="I18" s="491">
        <v>0</v>
      </c>
      <c r="J18" s="491">
        <v>0</v>
      </c>
      <c r="K18" s="491">
        <v>0</v>
      </c>
      <c r="L18" s="491">
        <v>0</v>
      </c>
      <c r="M18" s="491">
        <v>0</v>
      </c>
      <c r="N18" s="491">
        <v>0</v>
      </c>
      <c r="O18" s="492">
        <v>0</v>
      </c>
      <c r="P18" s="491">
        <v>0</v>
      </c>
      <c r="Q18" s="491">
        <v>0</v>
      </c>
      <c r="R18" s="491">
        <v>0</v>
      </c>
      <c r="S18" s="491">
        <v>6572</v>
      </c>
      <c r="T18" s="492">
        <v>2719</v>
      </c>
      <c r="U18" s="491">
        <v>3493</v>
      </c>
      <c r="V18" s="491">
        <v>0</v>
      </c>
      <c r="W18" s="491">
        <v>0</v>
      </c>
      <c r="X18" s="491">
        <v>0</v>
      </c>
      <c r="Y18" s="491">
        <v>0</v>
      </c>
      <c r="Z18" s="491">
        <v>0</v>
      </c>
      <c r="AA18" s="491">
        <v>0</v>
      </c>
      <c r="AB18" s="491">
        <v>0</v>
      </c>
      <c r="AC18" s="491">
        <v>0</v>
      </c>
      <c r="AD18" s="491">
        <v>0</v>
      </c>
      <c r="AE18" s="491">
        <v>0</v>
      </c>
      <c r="AF18" s="491">
        <v>0</v>
      </c>
      <c r="AG18" s="491">
        <v>0</v>
      </c>
      <c r="AH18" s="491">
        <v>0</v>
      </c>
      <c r="AI18" s="485">
        <v>0</v>
      </c>
      <c r="AJ18" s="485">
        <v>0</v>
      </c>
      <c r="AK18" s="485">
        <v>0</v>
      </c>
      <c r="AL18" s="485">
        <v>0</v>
      </c>
      <c r="AM18" s="485">
        <v>0</v>
      </c>
      <c r="AN18" s="485">
        <v>0</v>
      </c>
      <c r="AO18" s="485">
        <v>0</v>
      </c>
      <c r="AP18" s="485">
        <v>0</v>
      </c>
      <c r="AQ18" s="485">
        <v>0</v>
      </c>
      <c r="AR18" s="485">
        <v>0</v>
      </c>
      <c r="AS18" s="485">
        <v>0</v>
      </c>
      <c r="AT18" s="485">
        <v>0</v>
      </c>
      <c r="AU18" s="485">
        <v>0</v>
      </c>
      <c r="AV18" s="485">
        <v>0</v>
      </c>
      <c r="AW18" s="485">
        <v>0</v>
      </c>
      <c r="AX18" s="485"/>
      <c r="AY18" s="485">
        <v>0</v>
      </c>
      <c r="AZ18" s="485">
        <v>0</v>
      </c>
      <c r="BA18" s="485">
        <v>0</v>
      </c>
      <c r="BB18" s="485">
        <v>0</v>
      </c>
      <c r="BC18" s="485">
        <v>0</v>
      </c>
      <c r="BD18" s="485">
        <v>0</v>
      </c>
      <c r="BE18" s="485">
        <v>0</v>
      </c>
      <c r="BF18" s="485">
        <v>0</v>
      </c>
      <c r="BG18" s="485"/>
      <c r="BH18" s="485"/>
      <c r="BI18" s="485"/>
      <c r="BJ18" s="485">
        <v>0</v>
      </c>
      <c r="BK18" s="485"/>
      <c r="BL18" s="485">
        <v>0</v>
      </c>
      <c r="BM18" s="485">
        <v>0</v>
      </c>
      <c r="BN18" s="485">
        <v>0</v>
      </c>
      <c r="BO18" s="485">
        <v>0</v>
      </c>
    </row>
    <row r="19" spans="1:67" ht="14.1" hidden="1" customHeight="1" outlineLevel="1" x14ac:dyDescent="0.2">
      <c r="B19" s="494" t="s">
        <v>17</v>
      </c>
      <c r="C19" s="495">
        <v>19063</v>
      </c>
      <c r="D19" s="495">
        <v>52215</v>
      </c>
      <c r="E19" s="495">
        <v>10100</v>
      </c>
      <c r="F19" s="495">
        <v>13727</v>
      </c>
      <c r="G19" s="495">
        <v>19533</v>
      </c>
      <c r="H19" s="496">
        <v>16966</v>
      </c>
      <c r="I19" s="495">
        <v>85232</v>
      </c>
      <c r="J19" s="495">
        <v>62933</v>
      </c>
      <c r="K19" s="495">
        <v>43196</v>
      </c>
      <c r="L19" s="495">
        <v>46707</v>
      </c>
      <c r="M19" s="495">
        <v>65109</v>
      </c>
      <c r="N19" s="495">
        <v>54383</v>
      </c>
      <c r="O19" s="496">
        <v>290027</v>
      </c>
      <c r="P19" s="495">
        <v>274117</v>
      </c>
      <c r="Q19" s="495">
        <v>172367</v>
      </c>
      <c r="R19" s="495">
        <v>0</v>
      </c>
      <c r="S19" s="495">
        <v>0</v>
      </c>
      <c r="T19" s="496">
        <v>0</v>
      </c>
      <c r="U19" s="495">
        <v>0</v>
      </c>
      <c r="V19" s="495">
        <v>0</v>
      </c>
      <c r="W19" s="495">
        <v>0</v>
      </c>
      <c r="X19" s="495">
        <v>0</v>
      </c>
      <c r="Y19" s="495">
        <v>0</v>
      </c>
      <c r="Z19" s="495">
        <v>0</v>
      </c>
      <c r="AA19" s="495">
        <v>0</v>
      </c>
      <c r="AB19" s="495">
        <v>0</v>
      </c>
      <c r="AC19" s="495">
        <v>0</v>
      </c>
      <c r="AD19" s="495">
        <v>0</v>
      </c>
      <c r="AE19" s="495">
        <v>0</v>
      </c>
      <c r="AF19" s="495">
        <v>0</v>
      </c>
      <c r="AG19" s="495">
        <v>0</v>
      </c>
      <c r="AH19" s="495">
        <v>0</v>
      </c>
      <c r="AI19" s="510">
        <v>0</v>
      </c>
      <c r="AJ19" s="510">
        <v>0</v>
      </c>
      <c r="AK19" s="510">
        <v>0</v>
      </c>
      <c r="AL19" s="510">
        <v>0</v>
      </c>
      <c r="AM19" s="510">
        <v>0</v>
      </c>
      <c r="AN19" s="510">
        <v>0</v>
      </c>
      <c r="AO19" s="510">
        <v>0</v>
      </c>
      <c r="AP19" s="510">
        <v>0</v>
      </c>
      <c r="AQ19" s="510">
        <v>0</v>
      </c>
      <c r="AR19" s="510">
        <v>0</v>
      </c>
      <c r="AS19" s="510">
        <v>0</v>
      </c>
      <c r="AT19" s="510">
        <v>0</v>
      </c>
      <c r="AU19" s="510">
        <v>0</v>
      </c>
      <c r="AV19" s="510">
        <v>0</v>
      </c>
      <c r="AW19" s="510">
        <v>0</v>
      </c>
      <c r="AX19" s="510"/>
      <c r="AY19" s="510">
        <v>0</v>
      </c>
      <c r="AZ19" s="510">
        <v>0</v>
      </c>
      <c r="BA19" s="510">
        <v>0</v>
      </c>
      <c r="BB19" s="510">
        <v>0</v>
      </c>
      <c r="BC19" s="510">
        <v>0</v>
      </c>
      <c r="BD19" s="510">
        <v>0</v>
      </c>
      <c r="BE19" s="510">
        <v>0</v>
      </c>
      <c r="BF19" s="510">
        <v>0</v>
      </c>
      <c r="BG19" s="510"/>
      <c r="BH19" s="510"/>
      <c r="BI19" s="510"/>
      <c r="BJ19" s="510">
        <v>0</v>
      </c>
      <c r="BK19" s="510"/>
      <c r="BL19" s="510">
        <v>0</v>
      </c>
      <c r="BM19" s="510">
        <v>0</v>
      </c>
      <c r="BN19" s="510">
        <v>0</v>
      </c>
      <c r="BO19" s="510">
        <v>0</v>
      </c>
    </row>
    <row r="20" spans="1:67" ht="6.75" hidden="1" customHeight="1" outlineLevel="1" x14ac:dyDescent="0.2">
      <c r="B20" s="497">
        <v>0</v>
      </c>
      <c r="C20" s="711"/>
      <c r="D20" s="711"/>
      <c r="E20" s="711"/>
      <c r="F20" s="711">
        <v>0</v>
      </c>
      <c r="G20" s="711">
        <f t="shared" ref="G20:S20" si="4">G19+G7</f>
        <v>48225</v>
      </c>
      <c r="H20" s="712">
        <f t="shared" si="4"/>
        <v>33820</v>
      </c>
      <c r="I20" s="711">
        <f t="shared" si="4"/>
        <v>104986</v>
      </c>
      <c r="J20" s="711">
        <f t="shared" si="4"/>
        <v>66817</v>
      </c>
      <c r="K20" s="711">
        <f t="shared" si="4"/>
        <v>61323</v>
      </c>
      <c r="L20" s="711">
        <f t="shared" si="4"/>
        <v>54203</v>
      </c>
      <c r="M20" s="711">
        <f t="shared" si="4"/>
        <v>80554</v>
      </c>
      <c r="N20" s="711">
        <f t="shared" si="4"/>
        <v>66743</v>
      </c>
      <c r="O20" s="711">
        <f t="shared" si="4"/>
        <v>302799</v>
      </c>
      <c r="P20" s="711">
        <f t="shared" si="4"/>
        <v>287281</v>
      </c>
      <c r="Q20" s="711">
        <f t="shared" si="4"/>
        <v>185415</v>
      </c>
      <c r="R20" s="711">
        <f t="shared" si="4"/>
        <v>204448</v>
      </c>
      <c r="S20" s="711">
        <f t="shared" si="4"/>
        <v>221474</v>
      </c>
      <c r="T20" s="713"/>
      <c r="U20" s="714"/>
      <c r="V20" s="714"/>
      <c r="W20" s="714"/>
      <c r="X20" s="714"/>
      <c r="Y20" s="714"/>
      <c r="Z20" s="714"/>
      <c r="AA20" s="714"/>
      <c r="AB20" s="714"/>
      <c r="AC20" s="714"/>
      <c r="AD20" s="714"/>
      <c r="AE20" s="714"/>
      <c r="AF20" s="714"/>
      <c r="AG20" s="714"/>
      <c r="AH20" s="714"/>
      <c r="AI20" s="714"/>
      <c r="AJ20" s="714"/>
      <c r="AK20" s="714"/>
      <c r="AL20" s="714"/>
      <c r="AM20" s="714"/>
      <c r="AN20" s="714"/>
      <c r="AO20" s="714"/>
      <c r="AP20" s="714"/>
      <c r="AQ20" s="714"/>
      <c r="AR20" s="714"/>
      <c r="AS20" s="714"/>
      <c r="AT20" s="714"/>
      <c r="AU20" s="714"/>
      <c r="AV20" s="714"/>
      <c r="AW20" s="714"/>
      <c r="AX20" s="714"/>
      <c r="AY20" s="714"/>
      <c r="AZ20" s="714"/>
      <c r="BA20" s="714"/>
      <c r="BB20" s="714"/>
      <c r="BC20" s="714"/>
      <c r="BD20" s="714"/>
      <c r="BE20" s="714"/>
      <c r="BF20" s="714"/>
      <c r="BG20" s="714"/>
      <c r="BH20" s="714"/>
      <c r="BI20" s="714"/>
      <c r="BJ20" s="714"/>
      <c r="BK20" s="714"/>
      <c r="BL20" s="714"/>
      <c r="BM20" s="714"/>
      <c r="BN20" s="714"/>
      <c r="BO20" s="714"/>
    </row>
    <row r="21" spans="1:67" ht="14.1" hidden="1" customHeight="1" outlineLevel="1" x14ac:dyDescent="0.2">
      <c r="B21" s="498" t="s">
        <v>79</v>
      </c>
      <c r="C21" s="499">
        <v>0</v>
      </c>
      <c r="D21" s="499">
        <v>0</v>
      </c>
      <c r="E21" s="499">
        <v>6519</v>
      </c>
      <c r="F21" s="499">
        <v>14698.745720000001</v>
      </c>
      <c r="G21" s="499">
        <v>14699</v>
      </c>
      <c r="H21" s="500">
        <v>12909</v>
      </c>
      <c r="I21" s="499">
        <v>12592</v>
      </c>
      <c r="J21" s="499">
        <v>12593</v>
      </c>
      <c r="K21" s="499">
        <v>6449</v>
      </c>
      <c r="L21" s="499">
        <v>4296</v>
      </c>
      <c r="M21" s="499">
        <v>3497</v>
      </c>
      <c r="N21" s="499">
        <v>2081</v>
      </c>
      <c r="O21" s="501">
        <v>796</v>
      </c>
      <c r="P21" s="499">
        <v>0</v>
      </c>
      <c r="Q21" s="499">
        <v>287</v>
      </c>
      <c r="R21" s="499">
        <v>287</v>
      </c>
      <c r="S21" s="499">
        <v>287</v>
      </c>
      <c r="T21" s="501">
        <v>287</v>
      </c>
      <c r="U21" s="499">
        <v>287</v>
      </c>
      <c r="V21" s="499">
        <v>0</v>
      </c>
      <c r="W21" s="499">
        <v>0</v>
      </c>
      <c r="X21" s="499">
        <v>0</v>
      </c>
      <c r="Y21" s="499">
        <v>0</v>
      </c>
      <c r="Z21" s="499">
        <v>0</v>
      </c>
      <c r="AA21" s="499">
        <v>0</v>
      </c>
      <c r="AB21" s="499">
        <v>0</v>
      </c>
      <c r="AC21" s="499">
        <v>0</v>
      </c>
      <c r="AD21" s="499">
        <v>0</v>
      </c>
      <c r="AE21" s="499">
        <v>0</v>
      </c>
      <c r="AF21" s="499">
        <v>0</v>
      </c>
      <c r="AG21" s="499">
        <v>0</v>
      </c>
      <c r="AH21" s="499">
        <v>0</v>
      </c>
      <c r="AI21" s="482">
        <v>0</v>
      </c>
      <c r="AJ21" s="482">
        <v>0</v>
      </c>
      <c r="AK21" s="482">
        <v>0</v>
      </c>
      <c r="AL21" s="482">
        <v>0</v>
      </c>
      <c r="AM21" s="482">
        <v>0</v>
      </c>
      <c r="AN21" s="482">
        <v>0</v>
      </c>
      <c r="AO21" s="482">
        <v>0</v>
      </c>
      <c r="AP21" s="482">
        <v>0</v>
      </c>
      <c r="AQ21" s="482">
        <v>0</v>
      </c>
      <c r="AR21" s="482">
        <v>0</v>
      </c>
      <c r="AS21" s="482">
        <v>0</v>
      </c>
      <c r="AT21" s="482">
        <v>0</v>
      </c>
      <c r="AU21" s="482">
        <v>0</v>
      </c>
      <c r="AV21" s="482">
        <v>0</v>
      </c>
      <c r="AW21" s="482">
        <v>0</v>
      </c>
      <c r="AX21" s="482"/>
      <c r="AY21" s="482">
        <v>0</v>
      </c>
      <c r="AZ21" s="482">
        <v>0</v>
      </c>
      <c r="BA21" s="482">
        <v>0</v>
      </c>
      <c r="BB21" s="482">
        <v>0</v>
      </c>
      <c r="BC21" s="482">
        <v>0</v>
      </c>
      <c r="BD21" s="482">
        <v>0</v>
      </c>
      <c r="BE21" s="482">
        <v>0</v>
      </c>
      <c r="BF21" s="482">
        <v>0</v>
      </c>
      <c r="BG21" s="482"/>
      <c r="BH21" s="482"/>
      <c r="BI21" s="482"/>
      <c r="BJ21" s="482">
        <v>0</v>
      </c>
      <c r="BK21" s="482"/>
      <c r="BL21" s="482">
        <v>0</v>
      </c>
      <c r="BM21" s="482">
        <v>0</v>
      </c>
      <c r="BN21" s="482">
        <v>0</v>
      </c>
      <c r="BO21" s="482">
        <v>0</v>
      </c>
    </row>
    <row r="22" spans="1:67" ht="6.75" customHeight="1" x14ac:dyDescent="0.2">
      <c r="B22" s="502"/>
      <c r="C22" s="715"/>
      <c r="D22" s="715"/>
      <c r="E22" s="715"/>
      <c r="F22" s="715"/>
      <c r="G22" s="715"/>
      <c r="H22" s="714"/>
      <c r="I22" s="715"/>
      <c r="J22" s="715"/>
      <c r="K22" s="715"/>
      <c r="L22" s="715"/>
      <c r="M22" s="715"/>
      <c r="N22" s="715"/>
      <c r="O22" s="716"/>
      <c r="P22" s="715"/>
      <c r="Q22" s="715"/>
      <c r="R22" s="715"/>
      <c r="S22" s="715"/>
      <c r="T22" s="716"/>
      <c r="U22" s="715"/>
      <c r="V22" s="717"/>
      <c r="W22" s="717"/>
      <c r="X22" s="717"/>
      <c r="Y22" s="717"/>
      <c r="Z22" s="717"/>
      <c r="AA22" s="717"/>
      <c r="AB22" s="717"/>
      <c r="AC22" s="717"/>
      <c r="AD22" s="717"/>
      <c r="AE22" s="717"/>
      <c r="AF22" s="717"/>
      <c r="AG22" s="718" t="s">
        <v>89</v>
      </c>
      <c r="AH22" s="718" t="s">
        <v>89</v>
      </c>
      <c r="AI22" s="718" t="s">
        <v>89</v>
      </c>
      <c r="AJ22" s="718" t="s">
        <v>89</v>
      </c>
      <c r="AK22" s="718" t="s">
        <v>89</v>
      </c>
      <c r="AL22" s="718"/>
      <c r="AM22" s="718" t="s">
        <v>89</v>
      </c>
      <c r="AN22" s="718" t="s">
        <v>89</v>
      </c>
      <c r="AO22" s="718" t="s">
        <v>89</v>
      </c>
      <c r="AP22" s="718" t="s">
        <v>89</v>
      </c>
      <c r="AQ22" s="718" t="s">
        <v>89</v>
      </c>
      <c r="AR22" s="718" t="s">
        <v>89</v>
      </c>
      <c r="AS22" s="718" t="s">
        <v>89</v>
      </c>
      <c r="AT22" s="718" t="s">
        <v>89</v>
      </c>
      <c r="AU22" s="718" t="s">
        <v>89</v>
      </c>
      <c r="AV22" s="718" t="s">
        <v>89</v>
      </c>
      <c r="AW22" s="718" t="s">
        <v>89</v>
      </c>
      <c r="AX22" s="718"/>
      <c r="AY22" s="718" t="s">
        <v>89</v>
      </c>
      <c r="AZ22" s="718" t="s">
        <v>89</v>
      </c>
      <c r="BA22" s="718" t="s">
        <v>89</v>
      </c>
      <c r="BB22" s="718" t="s">
        <v>89</v>
      </c>
      <c r="BC22" s="718" t="s">
        <v>89</v>
      </c>
      <c r="BD22" s="718" t="s">
        <v>89</v>
      </c>
      <c r="BE22" s="718" t="s">
        <v>89</v>
      </c>
      <c r="BF22" s="718" t="s">
        <v>89</v>
      </c>
      <c r="BG22" s="718"/>
      <c r="BH22" s="718"/>
      <c r="BI22" s="718"/>
      <c r="BJ22" s="718" t="s">
        <v>89</v>
      </c>
      <c r="BK22" s="718"/>
      <c r="BL22" s="718" t="s">
        <v>89</v>
      </c>
      <c r="BM22" s="718" t="s">
        <v>89</v>
      </c>
      <c r="BN22" s="718" t="s">
        <v>89</v>
      </c>
      <c r="BO22" s="718" t="s">
        <v>89</v>
      </c>
    </row>
    <row r="23" spans="1:67" ht="14.1" customHeight="1" x14ac:dyDescent="0.2">
      <c r="B23" s="481" t="s">
        <v>37</v>
      </c>
      <c r="C23" s="482">
        <f t="shared" ref="C23:AP23" si="5">SUM(C24:C32)</f>
        <v>9640</v>
      </c>
      <c r="D23" s="482">
        <f t="shared" si="5"/>
        <v>33160</v>
      </c>
      <c r="E23" s="482">
        <f t="shared" si="5"/>
        <v>30037</v>
      </c>
      <c r="F23" s="482">
        <f t="shared" si="5"/>
        <v>27923.705784500002</v>
      </c>
      <c r="G23" s="482">
        <f t="shared" si="5"/>
        <v>43942</v>
      </c>
      <c r="H23" s="483">
        <f t="shared" si="5"/>
        <v>57922</v>
      </c>
      <c r="I23" s="482">
        <f t="shared" si="5"/>
        <v>85983</v>
      </c>
      <c r="J23" s="482">
        <f t="shared" si="5"/>
        <v>80107</v>
      </c>
      <c r="K23" s="482">
        <f t="shared" si="5"/>
        <v>76148</v>
      </c>
      <c r="L23" s="482">
        <f t="shared" si="5"/>
        <v>58352</v>
      </c>
      <c r="M23" s="482">
        <f t="shared" si="5"/>
        <v>56065</v>
      </c>
      <c r="N23" s="482">
        <f t="shared" si="5"/>
        <v>53361</v>
      </c>
      <c r="O23" s="483">
        <f t="shared" si="5"/>
        <v>59476</v>
      </c>
      <c r="P23" s="482">
        <f t="shared" si="5"/>
        <v>71443</v>
      </c>
      <c r="Q23" s="482">
        <f t="shared" si="5"/>
        <v>97884</v>
      </c>
      <c r="R23" s="482">
        <f t="shared" si="5"/>
        <v>116766</v>
      </c>
      <c r="S23" s="482">
        <f t="shared" si="5"/>
        <v>108723</v>
      </c>
      <c r="T23" s="483">
        <f t="shared" si="5"/>
        <v>41653</v>
      </c>
      <c r="U23" s="482">
        <f t="shared" si="5"/>
        <v>70648</v>
      </c>
      <c r="V23" s="482">
        <f t="shared" si="5"/>
        <v>67770</v>
      </c>
      <c r="W23" s="482">
        <f t="shared" si="5"/>
        <v>76386</v>
      </c>
      <c r="X23" s="482">
        <f t="shared" si="5"/>
        <v>57857</v>
      </c>
      <c r="Y23" s="482">
        <f t="shared" si="5"/>
        <v>58935</v>
      </c>
      <c r="Z23" s="482">
        <f t="shared" si="5"/>
        <v>54178</v>
      </c>
      <c r="AA23" s="482">
        <f t="shared" si="5"/>
        <v>55989</v>
      </c>
      <c r="AB23" s="482">
        <f t="shared" si="5"/>
        <v>57230</v>
      </c>
      <c r="AC23" s="482">
        <f t="shared" si="5"/>
        <v>58256</v>
      </c>
      <c r="AD23" s="482">
        <f t="shared" si="5"/>
        <v>58185</v>
      </c>
      <c r="AE23" s="482">
        <f t="shared" si="5"/>
        <v>68766</v>
      </c>
      <c r="AF23" s="482">
        <f t="shared" si="5"/>
        <v>74282</v>
      </c>
      <c r="AG23" s="482">
        <f t="shared" si="5"/>
        <v>71903.79939</v>
      </c>
      <c r="AH23" s="482">
        <f t="shared" si="5"/>
        <v>75966</v>
      </c>
      <c r="AI23" s="482">
        <f t="shared" si="5"/>
        <v>58406</v>
      </c>
      <c r="AJ23" s="482">
        <f t="shared" si="5"/>
        <v>58878</v>
      </c>
      <c r="AK23" s="482">
        <f t="shared" si="5"/>
        <v>64765</v>
      </c>
      <c r="AL23" s="482">
        <f t="shared" si="5"/>
        <v>61358</v>
      </c>
      <c r="AM23" s="482">
        <f t="shared" si="5"/>
        <v>62082</v>
      </c>
      <c r="AN23" s="482">
        <f t="shared" si="5"/>
        <v>49698</v>
      </c>
      <c r="AO23" s="482">
        <f t="shared" si="5"/>
        <v>45925</v>
      </c>
      <c r="AP23" s="482">
        <f t="shared" si="5"/>
        <v>46598</v>
      </c>
      <c r="AQ23" s="482">
        <f t="shared" ref="AQ23:AZ23" si="6">SUM(AQ24:AQ32)</f>
        <v>46501</v>
      </c>
      <c r="AR23" s="482">
        <f t="shared" si="6"/>
        <v>48479</v>
      </c>
      <c r="AS23" s="482">
        <f t="shared" si="6"/>
        <v>46182</v>
      </c>
      <c r="AT23" s="482">
        <f t="shared" si="6"/>
        <v>46744</v>
      </c>
      <c r="AU23" s="482">
        <f t="shared" si="6"/>
        <v>45793</v>
      </c>
      <c r="AV23" s="482">
        <f t="shared" si="6"/>
        <v>42017</v>
      </c>
      <c r="AW23" s="482">
        <f t="shared" si="6"/>
        <v>55036</v>
      </c>
      <c r="AX23" s="482">
        <f t="shared" si="6"/>
        <v>56267</v>
      </c>
      <c r="AY23" s="482">
        <f t="shared" si="6"/>
        <v>56361</v>
      </c>
      <c r="AZ23" s="482">
        <f t="shared" si="6"/>
        <v>49978</v>
      </c>
      <c r="BA23" s="482">
        <f t="shared" ref="BA23:BM23" si="7">SUM(BA24:BA32)</f>
        <v>48391</v>
      </c>
      <c r="BB23" s="482">
        <f t="shared" si="7"/>
        <v>60689</v>
      </c>
      <c r="BC23" s="482">
        <f t="shared" si="7"/>
        <v>62028</v>
      </c>
      <c r="BD23" s="482">
        <f t="shared" si="7"/>
        <v>62623</v>
      </c>
      <c r="BE23" s="482">
        <f t="shared" si="7"/>
        <v>64378</v>
      </c>
      <c r="BF23" s="482">
        <f t="shared" si="7"/>
        <v>65203</v>
      </c>
      <c r="BG23" s="482">
        <f t="shared" si="7"/>
        <v>63475</v>
      </c>
      <c r="BH23" s="482">
        <f t="shared" si="7"/>
        <v>65826</v>
      </c>
      <c r="BI23" s="482">
        <f t="shared" si="7"/>
        <v>52903</v>
      </c>
      <c r="BJ23" s="482">
        <f t="shared" si="7"/>
        <v>53635</v>
      </c>
      <c r="BK23" s="482">
        <f t="shared" si="7"/>
        <v>53157</v>
      </c>
      <c r="BL23" s="482">
        <f>SUM(BL24:BL32)</f>
        <v>53804</v>
      </c>
      <c r="BM23" s="482">
        <f t="shared" si="7"/>
        <v>54528</v>
      </c>
      <c r="BN23" s="482">
        <f>SUM(BN24:BN32)</f>
        <v>54617</v>
      </c>
      <c r="BO23" s="482">
        <f>SUM(BO24:BO32)</f>
        <v>55604</v>
      </c>
    </row>
    <row r="24" spans="1:67" ht="14.1" customHeight="1" x14ac:dyDescent="0.2">
      <c r="A24" s="267" t="s">
        <v>723</v>
      </c>
      <c r="B24" s="484" t="s">
        <v>723</v>
      </c>
      <c r="C24" s="485">
        <v>0</v>
      </c>
      <c r="D24" s="485">
        <v>0</v>
      </c>
      <c r="E24" s="485">
        <v>0</v>
      </c>
      <c r="F24" s="485">
        <v>0</v>
      </c>
      <c r="G24" s="485">
        <v>0</v>
      </c>
      <c r="H24" s="486">
        <v>0</v>
      </c>
      <c r="I24" s="485">
        <v>0</v>
      </c>
      <c r="J24" s="485">
        <v>0</v>
      </c>
      <c r="K24" s="485">
        <v>0</v>
      </c>
      <c r="L24" s="485">
        <v>0</v>
      </c>
      <c r="M24" s="485">
        <v>0</v>
      </c>
      <c r="N24" s="485">
        <v>0</v>
      </c>
      <c r="O24" s="486">
        <v>0</v>
      </c>
      <c r="P24" s="485">
        <v>0</v>
      </c>
      <c r="Q24" s="485">
        <v>0</v>
      </c>
      <c r="R24" s="485">
        <v>0</v>
      </c>
      <c r="S24" s="485">
        <v>0</v>
      </c>
      <c r="T24" s="486">
        <v>0</v>
      </c>
      <c r="U24" s="485">
        <v>0</v>
      </c>
      <c r="V24" s="485">
        <v>0</v>
      </c>
      <c r="W24" s="485">
        <v>0</v>
      </c>
      <c r="X24" s="485">
        <v>0</v>
      </c>
      <c r="Y24" s="485">
        <v>0</v>
      </c>
      <c r="Z24" s="485">
        <v>0</v>
      </c>
      <c r="AA24" s="485">
        <v>0</v>
      </c>
      <c r="AB24" s="485">
        <v>0</v>
      </c>
      <c r="AC24" s="485">
        <v>0</v>
      </c>
      <c r="AD24" s="485">
        <v>0</v>
      </c>
      <c r="AE24" s="488">
        <v>9942</v>
      </c>
      <c r="AF24" s="488">
        <v>18044</v>
      </c>
      <c r="AG24" s="485">
        <v>18897.79939</v>
      </c>
      <c r="AH24" s="485">
        <v>23928</v>
      </c>
      <c r="AI24" s="485">
        <v>9201</v>
      </c>
      <c r="AJ24" s="485">
        <v>9273</v>
      </c>
      <c r="AK24" s="485">
        <v>9348</v>
      </c>
      <c r="AL24" s="485">
        <v>9417</v>
      </c>
      <c r="AM24" s="485">
        <v>9487</v>
      </c>
      <c r="AN24" s="485">
        <v>9558</v>
      </c>
      <c r="AO24" s="485">
        <v>9628</v>
      </c>
      <c r="AP24" s="485">
        <v>9689</v>
      </c>
      <c r="AQ24" s="485">
        <v>9737</v>
      </c>
      <c r="AR24" s="485">
        <v>9777</v>
      </c>
      <c r="AS24" s="485">
        <v>9802</v>
      </c>
      <c r="AT24" s="485">
        <v>9544</v>
      </c>
      <c r="AU24" s="485">
        <v>9564</v>
      </c>
      <c r="AV24" s="485">
        <v>9594</v>
      </c>
      <c r="AW24" s="485">
        <v>9637</v>
      </c>
      <c r="AX24" s="485">
        <v>9705</v>
      </c>
      <c r="AY24" s="485">
        <v>9079</v>
      </c>
      <c r="AZ24" s="485">
        <v>5559</v>
      </c>
      <c r="BA24" s="485">
        <v>5621</v>
      </c>
      <c r="BB24" s="485">
        <v>19812</v>
      </c>
      <c r="BC24" s="485">
        <v>20037</v>
      </c>
      <c r="BD24" s="485">
        <v>20015</v>
      </c>
      <c r="BE24" s="485">
        <v>20227</v>
      </c>
      <c r="BF24" s="485">
        <v>20400</v>
      </c>
      <c r="BG24" s="485">
        <v>18959</v>
      </c>
      <c r="BH24" s="485">
        <v>20188</v>
      </c>
      <c r="BI24" s="485">
        <v>5896</v>
      </c>
      <c r="BJ24" s="485">
        <v>5943</v>
      </c>
      <c r="BK24" s="485">
        <v>5997</v>
      </c>
      <c r="BL24" s="485">
        <v>6008</v>
      </c>
      <c r="BM24" s="485">
        <v>6073</v>
      </c>
      <c r="BN24" s="485">
        <v>6138</v>
      </c>
      <c r="BO24" s="485">
        <v>6200</v>
      </c>
    </row>
    <row r="25" spans="1:67" ht="14.1" customHeight="1" x14ac:dyDescent="0.2">
      <c r="B25" s="487" t="s">
        <v>15</v>
      </c>
      <c r="C25" s="485">
        <v>0</v>
      </c>
      <c r="D25" s="485">
        <v>0</v>
      </c>
      <c r="E25" s="485">
        <v>0</v>
      </c>
      <c r="F25" s="485">
        <v>0</v>
      </c>
      <c r="G25" s="485">
        <v>0</v>
      </c>
      <c r="H25" s="485">
        <v>0</v>
      </c>
      <c r="I25" s="485">
        <v>0</v>
      </c>
      <c r="J25" s="485">
        <v>0</v>
      </c>
      <c r="K25" s="485">
        <v>0</v>
      </c>
      <c r="L25" s="485">
        <v>0</v>
      </c>
      <c r="M25" s="485">
        <v>0</v>
      </c>
      <c r="N25" s="485">
        <v>0</v>
      </c>
      <c r="O25" s="485">
        <v>0</v>
      </c>
      <c r="P25" s="485">
        <v>0</v>
      </c>
      <c r="Q25" s="485">
        <v>0</v>
      </c>
      <c r="R25" s="485">
        <v>0</v>
      </c>
      <c r="S25" s="485">
        <v>0</v>
      </c>
      <c r="T25" s="485">
        <v>0</v>
      </c>
      <c r="U25" s="485">
        <v>0</v>
      </c>
      <c r="V25" s="485">
        <v>0</v>
      </c>
      <c r="W25" s="485">
        <v>0</v>
      </c>
      <c r="X25" s="485">
        <v>0</v>
      </c>
      <c r="Y25" s="485">
        <v>0</v>
      </c>
      <c r="Z25" s="485">
        <v>0</v>
      </c>
      <c r="AA25" s="485">
        <v>0</v>
      </c>
      <c r="AB25" s="485">
        <v>0</v>
      </c>
      <c r="AC25" s="485">
        <v>0</v>
      </c>
      <c r="AD25" s="485">
        <v>0</v>
      </c>
      <c r="AE25" s="485">
        <v>0</v>
      </c>
      <c r="AF25" s="485">
        <v>0</v>
      </c>
      <c r="AG25" s="485">
        <v>0</v>
      </c>
      <c r="AH25" s="485">
        <v>0</v>
      </c>
      <c r="AI25" s="485">
        <v>0</v>
      </c>
      <c r="AJ25" s="485">
        <v>0</v>
      </c>
      <c r="AK25" s="485">
        <v>0</v>
      </c>
      <c r="AL25" s="485">
        <v>0</v>
      </c>
      <c r="AM25" s="485">
        <v>0</v>
      </c>
      <c r="AN25" s="485">
        <v>0</v>
      </c>
      <c r="AO25" s="485">
        <v>0</v>
      </c>
      <c r="AP25" s="485">
        <v>0</v>
      </c>
      <c r="AQ25" s="485">
        <v>0</v>
      </c>
      <c r="AR25" s="485">
        <v>0</v>
      </c>
      <c r="AS25" s="485">
        <v>0</v>
      </c>
      <c r="AT25" s="485">
        <v>0</v>
      </c>
      <c r="AU25" s="485">
        <v>0</v>
      </c>
      <c r="AV25" s="485">
        <v>0</v>
      </c>
      <c r="AW25" s="488">
        <v>12919</v>
      </c>
      <c r="AX25" s="485">
        <v>12919</v>
      </c>
      <c r="AY25" s="485">
        <v>12919</v>
      </c>
      <c r="AZ25" s="485">
        <v>13842</v>
      </c>
      <c r="BA25" s="485">
        <v>13842</v>
      </c>
      <c r="BB25" s="485">
        <v>13842</v>
      </c>
      <c r="BC25" s="485">
        <v>13842</v>
      </c>
      <c r="BD25" s="485">
        <v>16299</v>
      </c>
      <c r="BE25" s="485">
        <v>16723</v>
      </c>
      <c r="BF25" s="485">
        <v>17096</v>
      </c>
      <c r="BG25" s="485">
        <v>17440</v>
      </c>
      <c r="BH25" s="485">
        <v>17769</v>
      </c>
      <c r="BI25" s="485">
        <v>18101</v>
      </c>
      <c r="BJ25" s="485">
        <v>18432</v>
      </c>
      <c r="BK25" s="485">
        <v>18811</v>
      </c>
      <c r="BL25" s="485">
        <v>19219</v>
      </c>
      <c r="BM25" s="485">
        <v>19676</v>
      </c>
      <c r="BN25" s="485">
        <v>20135</v>
      </c>
      <c r="BO25" s="485">
        <v>20571</v>
      </c>
    </row>
    <row r="26" spans="1:67" ht="14.1" customHeight="1" x14ac:dyDescent="0.2">
      <c r="A26" s="267" t="s">
        <v>26</v>
      </c>
      <c r="B26" s="484" t="s">
        <v>26</v>
      </c>
      <c r="C26" s="485">
        <v>300</v>
      </c>
      <c r="D26" s="485">
        <v>300</v>
      </c>
      <c r="E26" s="485">
        <v>0</v>
      </c>
      <c r="F26" s="485">
        <v>0</v>
      </c>
      <c r="G26" s="485">
        <v>20730</v>
      </c>
      <c r="H26" s="486">
        <v>20730</v>
      </c>
      <c r="I26" s="485">
        <v>20730</v>
      </c>
      <c r="J26" s="485">
        <v>20730</v>
      </c>
      <c r="K26" s="485">
        <v>20730</v>
      </c>
      <c r="L26" s="485">
        <v>20730</v>
      </c>
      <c r="M26" s="485">
        <v>20730</v>
      </c>
      <c r="N26" s="485">
        <v>20730</v>
      </c>
      <c r="O26" s="486">
        <v>20730</v>
      </c>
      <c r="P26" s="485">
        <v>20730</v>
      </c>
      <c r="Q26" s="485">
        <v>20730</v>
      </c>
      <c r="R26" s="485">
        <v>0</v>
      </c>
      <c r="S26" s="485">
        <v>0</v>
      </c>
      <c r="T26" s="486">
        <v>0</v>
      </c>
      <c r="U26" s="485">
        <v>13371</v>
      </c>
      <c r="V26" s="485">
        <v>13371</v>
      </c>
      <c r="W26" s="485">
        <v>13371</v>
      </c>
      <c r="X26" s="485">
        <v>13371</v>
      </c>
      <c r="Y26" s="485">
        <v>13371</v>
      </c>
      <c r="Z26" s="485">
        <v>13371</v>
      </c>
      <c r="AA26" s="485">
        <v>13371</v>
      </c>
      <c r="AB26" s="485">
        <v>13371</v>
      </c>
      <c r="AC26" s="485">
        <v>13371</v>
      </c>
      <c r="AD26" s="485">
        <v>13371</v>
      </c>
      <c r="AE26" s="485">
        <v>15003</v>
      </c>
      <c r="AF26" s="485">
        <v>15004</v>
      </c>
      <c r="AG26" s="488">
        <v>9272</v>
      </c>
      <c r="AH26" s="488">
        <v>1907</v>
      </c>
      <c r="AI26" s="485">
        <v>6240</v>
      </c>
      <c r="AJ26" s="485">
        <v>6206</v>
      </c>
      <c r="AK26" s="485">
        <v>6857</v>
      </c>
      <c r="AL26" s="485">
        <v>6670</v>
      </c>
      <c r="AM26" s="485">
        <v>6694</v>
      </c>
      <c r="AN26" s="485">
        <v>7165</v>
      </c>
      <c r="AO26" s="488">
        <v>1814</v>
      </c>
      <c r="AP26" s="485">
        <v>1832</v>
      </c>
      <c r="AQ26" s="485">
        <v>1850</v>
      </c>
      <c r="AR26" s="485">
        <v>1866</v>
      </c>
      <c r="AS26" s="485">
        <v>2290</v>
      </c>
      <c r="AT26" s="485">
        <v>2314</v>
      </c>
      <c r="AU26" s="485">
        <v>2344</v>
      </c>
      <c r="AV26" s="485">
        <v>1972</v>
      </c>
      <c r="AW26" s="485">
        <v>2002</v>
      </c>
      <c r="AX26" s="485">
        <v>1461</v>
      </c>
      <c r="AY26" s="485">
        <v>1461</v>
      </c>
      <c r="AZ26" s="485">
        <v>1462</v>
      </c>
      <c r="BA26" s="485">
        <v>1461</v>
      </c>
      <c r="BB26" s="485">
        <v>1485</v>
      </c>
      <c r="BC26" s="485">
        <v>1487</v>
      </c>
      <c r="BD26" s="485">
        <v>1018</v>
      </c>
      <c r="BE26" s="485">
        <v>1510</v>
      </c>
      <c r="BF26" s="485">
        <v>1628</v>
      </c>
      <c r="BG26" s="485">
        <v>1628</v>
      </c>
      <c r="BH26" s="485">
        <v>1628</v>
      </c>
      <c r="BI26" s="485">
        <v>1628</v>
      </c>
      <c r="BJ26" s="485">
        <v>1698</v>
      </c>
      <c r="BK26" s="485">
        <v>1698</v>
      </c>
      <c r="BL26" s="485">
        <v>1698</v>
      </c>
      <c r="BM26" s="485">
        <v>1698</v>
      </c>
      <c r="BN26" s="485">
        <v>1698</v>
      </c>
      <c r="BO26" s="485">
        <v>1698</v>
      </c>
    </row>
    <row r="27" spans="1:67" ht="14.1" customHeight="1" x14ac:dyDescent="0.2">
      <c r="A27" s="267" t="s">
        <v>720</v>
      </c>
      <c r="B27" s="700" t="s">
        <v>720</v>
      </c>
      <c r="C27" s="485">
        <v>6602</v>
      </c>
      <c r="D27" s="485">
        <v>29719</v>
      </c>
      <c r="E27" s="485">
        <v>26934</v>
      </c>
      <c r="F27" s="485">
        <v>24122</v>
      </c>
      <c r="G27" s="485">
        <v>18405</v>
      </c>
      <c r="H27" s="486">
        <v>31302</v>
      </c>
      <c r="I27" s="485">
        <v>25902</v>
      </c>
      <c r="J27" s="485">
        <v>20035</v>
      </c>
      <c r="K27" s="485">
        <v>18742</v>
      </c>
      <c r="L27" s="485">
        <v>11292</v>
      </c>
      <c r="M27" s="485">
        <v>6950</v>
      </c>
      <c r="N27" s="485">
        <v>3835</v>
      </c>
      <c r="O27" s="486">
        <v>9639</v>
      </c>
      <c r="P27" s="485">
        <v>2670</v>
      </c>
      <c r="Q27" s="485">
        <v>29210</v>
      </c>
      <c r="R27" s="485">
        <v>61989</v>
      </c>
      <c r="S27" s="485">
        <v>69595</v>
      </c>
      <c r="T27" s="486">
        <v>21114</v>
      </c>
      <c r="U27" s="485">
        <v>23630</v>
      </c>
      <c r="V27" s="485">
        <v>13165</v>
      </c>
      <c r="W27" s="485">
        <v>14057</v>
      </c>
      <c r="X27" s="485">
        <v>17220</v>
      </c>
      <c r="Y27" s="485">
        <v>17954</v>
      </c>
      <c r="Z27" s="485">
        <v>18814</v>
      </c>
      <c r="AA27" s="485">
        <v>20296</v>
      </c>
      <c r="AB27" s="485">
        <v>21720</v>
      </c>
      <c r="AC27" s="485">
        <v>23296</v>
      </c>
      <c r="AD27" s="485">
        <v>23287</v>
      </c>
      <c r="AE27" s="485">
        <v>23288</v>
      </c>
      <c r="AF27" s="485">
        <v>23295</v>
      </c>
      <c r="AG27" s="485">
        <v>26097</v>
      </c>
      <c r="AH27" s="488">
        <v>36560</v>
      </c>
      <c r="AI27" s="485">
        <v>14120</v>
      </c>
      <c r="AJ27" s="485">
        <v>13687</v>
      </c>
      <c r="AK27" s="485">
        <v>14543</v>
      </c>
      <c r="AL27" s="485">
        <v>16129</v>
      </c>
      <c r="AM27" s="485">
        <v>15696</v>
      </c>
      <c r="AN27" s="485">
        <v>15712</v>
      </c>
      <c r="AO27" s="485">
        <v>13994</v>
      </c>
      <c r="AP27" s="485">
        <v>16910</v>
      </c>
      <c r="AQ27" s="485">
        <v>15538</v>
      </c>
      <c r="AR27" s="485">
        <v>17029</v>
      </c>
      <c r="AS27" s="485">
        <v>14293</v>
      </c>
      <c r="AT27" s="485">
        <v>14675</v>
      </c>
      <c r="AU27" s="485">
        <v>13569</v>
      </c>
      <c r="AV27" s="485">
        <v>10051</v>
      </c>
      <c r="AW27" s="485">
        <v>10694</v>
      </c>
      <c r="AX27" s="485">
        <v>9259</v>
      </c>
      <c r="AY27" s="485">
        <v>8185</v>
      </c>
      <c r="AZ27" s="485">
        <v>8091</v>
      </c>
      <c r="BA27" s="485">
        <v>7371</v>
      </c>
      <c r="BB27" s="485">
        <v>5654</v>
      </c>
      <c r="BC27" s="485">
        <v>6428</v>
      </c>
      <c r="BD27" s="485">
        <v>5137</v>
      </c>
      <c r="BE27" s="485">
        <v>5648</v>
      </c>
      <c r="BF27" s="485">
        <v>4708</v>
      </c>
      <c r="BG27" s="485">
        <v>3712</v>
      </c>
      <c r="BH27" s="485">
        <v>2477</v>
      </c>
      <c r="BI27" s="485">
        <v>3218</v>
      </c>
      <c r="BJ27" s="485">
        <v>3269</v>
      </c>
      <c r="BK27" s="485">
        <v>1970</v>
      </c>
      <c r="BL27" s="485">
        <v>1892</v>
      </c>
      <c r="BM27" s="485">
        <v>1857</v>
      </c>
      <c r="BN27" s="485">
        <v>953</v>
      </c>
      <c r="BO27" s="485">
        <v>947</v>
      </c>
    </row>
    <row r="28" spans="1:67" ht="14.1" customHeight="1" x14ac:dyDescent="0.2">
      <c r="B28" s="700" t="s">
        <v>866</v>
      </c>
      <c r="C28" s="485">
        <v>0</v>
      </c>
      <c r="D28" s="485">
        <v>0</v>
      </c>
      <c r="E28" s="485">
        <v>0</v>
      </c>
      <c r="F28" s="485">
        <v>0</v>
      </c>
      <c r="G28" s="485">
        <v>0</v>
      </c>
      <c r="H28" s="486">
        <v>0</v>
      </c>
      <c r="I28" s="485">
        <v>0</v>
      </c>
      <c r="J28" s="485">
        <v>0</v>
      </c>
      <c r="K28" s="485">
        <v>0</v>
      </c>
      <c r="L28" s="485">
        <v>0</v>
      </c>
      <c r="M28" s="485">
        <v>0</v>
      </c>
      <c r="N28" s="485">
        <v>0</v>
      </c>
      <c r="O28" s="486">
        <v>0</v>
      </c>
      <c r="P28" s="485">
        <v>0</v>
      </c>
      <c r="Q28" s="485">
        <v>0</v>
      </c>
      <c r="R28" s="485">
        <v>0</v>
      </c>
      <c r="S28" s="485">
        <v>0</v>
      </c>
      <c r="T28" s="486">
        <v>0</v>
      </c>
      <c r="U28" s="485">
        <v>0</v>
      </c>
      <c r="V28" s="485">
        <v>0</v>
      </c>
      <c r="W28" s="485">
        <v>0</v>
      </c>
      <c r="X28" s="485">
        <v>0</v>
      </c>
      <c r="Y28" s="485">
        <v>0</v>
      </c>
      <c r="Z28" s="485">
        <v>0</v>
      </c>
      <c r="AA28" s="485">
        <v>0</v>
      </c>
      <c r="AB28" s="485">
        <v>0</v>
      </c>
      <c r="AC28" s="485">
        <v>0</v>
      </c>
      <c r="AD28" s="485">
        <v>0</v>
      </c>
      <c r="AE28" s="485">
        <v>0</v>
      </c>
      <c r="AF28" s="485">
        <v>0</v>
      </c>
      <c r="AG28" s="485">
        <v>0</v>
      </c>
      <c r="AH28" s="488">
        <v>0</v>
      </c>
      <c r="AI28" s="485">
        <v>0</v>
      </c>
      <c r="AJ28" s="485">
        <v>0</v>
      </c>
      <c r="AK28" s="485">
        <v>0</v>
      </c>
      <c r="AL28" s="485">
        <v>0</v>
      </c>
      <c r="AM28" s="485">
        <v>0</v>
      </c>
      <c r="AN28" s="485">
        <v>0</v>
      </c>
      <c r="AO28" s="485">
        <v>2350</v>
      </c>
      <c r="AP28" s="485">
        <v>2600</v>
      </c>
      <c r="AQ28" s="485">
        <v>3600</v>
      </c>
      <c r="AR28" s="485">
        <v>4600</v>
      </c>
      <c r="AS28" s="485">
        <v>4600</v>
      </c>
      <c r="AT28" s="485">
        <v>3956</v>
      </c>
      <c r="AU28" s="485">
        <v>3965</v>
      </c>
      <c r="AV28" s="485">
        <v>4253</v>
      </c>
      <c r="AW28" s="485">
        <v>3823</v>
      </c>
      <c r="AX28" s="485">
        <v>3636</v>
      </c>
      <c r="AY28" s="485">
        <v>3753</v>
      </c>
      <c r="AZ28" s="485">
        <v>0</v>
      </c>
      <c r="BA28" s="485">
        <v>0</v>
      </c>
      <c r="BB28" s="485">
        <v>0</v>
      </c>
      <c r="BC28" s="485">
        <v>0</v>
      </c>
      <c r="BD28" s="485">
        <v>0</v>
      </c>
      <c r="BE28" s="485">
        <v>0</v>
      </c>
      <c r="BF28" s="485">
        <v>0</v>
      </c>
      <c r="BG28" s="485">
        <v>0</v>
      </c>
      <c r="BH28" s="485">
        <v>0</v>
      </c>
      <c r="BI28" s="485">
        <v>0</v>
      </c>
      <c r="BJ28" s="485">
        <v>0</v>
      </c>
      <c r="BK28" s="485">
        <v>0</v>
      </c>
      <c r="BL28" s="485">
        <v>0</v>
      </c>
      <c r="BM28" s="485">
        <v>0</v>
      </c>
      <c r="BN28" s="485">
        <v>0</v>
      </c>
      <c r="BO28" s="485">
        <v>0</v>
      </c>
    </row>
    <row r="29" spans="1:67" ht="14.1" customHeight="1" x14ac:dyDescent="0.2">
      <c r="A29" s="267" t="s">
        <v>25</v>
      </c>
      <c r="B29" s="484" t="s">
        <v>25</v>
      </c>
      <c r="C29" s="485">
        <v>1447</v>
      </c>
      <c r="D29" s="485">
        <v>1653</v>
      </c>
      <c r="E29" s="485">
        <v>890</v>
      </c>
      <c r="F29" s="485">
        <v>859</v>
      </c>
      <c r="G29" s="485">
        <v>846</v>
      </c>
      <c r="H29" s="486">
        <v>822</v>
      </c>
      <c r="I29" s="485">
        <v>944</v>
      </c>
      <c r="J29" s="485">
        <v>1870</v>
      </c>
      <c r="K29" s="485">
        <v>933</v>
      </c>
      <c r="L29" s="485">
        <v>1021</v>
      </c>
      <c r="M29" s="485">
        <v>1011</v>
      </c>
      <c r="N29" s="485">
        <v>108</v>
      </c>
      <c r="O29" s="486">
        <v>105</v>
      </c>
      <c r="P29" s="485">
        <v>140</v>
      </c>
      <c r="Q29" s="485">
        <v>361</v>
      </c>
      <c r="R29" s="485">
        <v>402</v>
      </c>
      <c r="S29" s="485">
        <v>407</v>
      </c>
      <c r="T29" s="486">
        <v>439</v>
      </c>
      <c r="U29" s="485">
        <v>436</v>
      </c>
      <c r="V29" s="485">
        <v>436</v>
      </c>
      <c r="W29" s="485">
        <v>358</v>
      </c>
      <c r="X29" s="485">
        <v>124</v>
      </c>
      <c r="Y29" s="485">
        <v>124</v>
      </c>
      <c r="Z29" s="485">
        <v>124</v>
      </c>
      <c r="AA29" s="485">
        <v>124</v>
      </c>
      <c r="AB29" s="485">
        <v>0</v>
      </c>
      <c r="AC29" s="485">
        <v>0</v>
      </c>
      <c r="AD29" s="485">
        <v>0</v>
      </c>
      <c r="AE29" s="485">
        <v>0</v>
      </c>
      <c r="AF29" s="485">
        <v>0</v>
      </c>
      <c r="AG29" s="485">
        <v>0</v>
      </c>
      <c r="AH29" s="485">
        <v>0</v>
      </c>
      <c r="AI29" s="485">
        <v>16440</v>
      </c>
      <c r="AJ29" s="485">
        <v>17163</v>
      </c>
      <c r="AK29" s="485">
        <v>17713</v>
      </c>
      <c r="AL29" s="485">
        <v>15626</v>
      </c>
      <c r="AM29" s="485">
        <v>15964</v>
      </c>
      <c r="AN29" s="485">
        <v>3371</v>
      </c>
      <c r="AO29" s="485">
        <v>3676</v>
      </c>
      <c r="AP29" s="485">
        <v>1115</v>
      </c>
      <c r="AQ29" s="485">
        <v>1115</v>
      </c>
      <c r="AR29" s="485">
        <v>1115</v>
      </c>
      <c r="AS29" s="485">
        <v>1115</v>
      </c>
      <c r="AT29" s="485">
        <v>1115</v>
      </c>
      <c r="AU29" s="485">
        <v>1115</v>
      </c>
      <c r="AV29" s="485">
        <v>1115</v>
      </c>
      <c r="AW29" s="485">
        <v>1115</v>
      </c>
      <c r="AX29" s="485">
        <v>1115</v>
      </c>
      <c r="AY29" s="485">
        <v>1115</v>
      </c>
      <c r="AZ29" s="485">
        <v>1115</v>
      </c>
      <c r="BA29" s="485">
        <v>1115</v>
      </c>
      <c r="BB29" s="485">
        <v>1115</v>
      </c>
      <c r="BC29" s="485">
        <v>1115</v>
      </c>
      <c r="BD29" s="485">
        <v>1115</v>
      </c>
      <c r="BE29" s="485">
        <v>1115</v>
      </c>
      <c r="BF29" s="485">
        <v>1115</v>
      </c>
      <c r="BG29" s="485">
        <v>1115</v>
      </c>
      <c r="BH29" s="485">
        <v>1115</v>
      </c>
      <c r="BI29" s="485">
        <v>1115</v>
      </c>
      <c r="BJ29" s="485">
        <v>1115</v>
      </c>
      <c r="BK29" s="485">
        <v>1115</v>
      </c>
      <c r="BL29" s="485">
        <v>1115</v>
      </c>
      <c r="BM29" s="485">
        <v>1115</v>
      </c>
      <c r="BN29" s="485">
        <v>1115</v>
      </c>
      <c r="BO29" s="485">
        <v>1115</v>
      </c>
    </row>
    <row r="30" spans="1:67" ht="14.1" customHeight="1" x14ac:dyDescent="0.2">
      <c r="A30" s="2"/>
      <c r="B30" s="484" t="s">
        <v>773</v>
      </c>
      <c r="C30" s="485">
        <v>0</v>
      </c>
      <c r="D30" s="485"/>
      <c r="E30" s="485">
        <v>0</v>
      </c>
      <c r="F30" s="485"/>
      <c r="G30" s="485">
        <v>0</v>
      </c>
      <c r="H30" s="485">
        <v>0</v>
      </c>
      <c r="I30" s="485">
        <v>32316</v>
      </c>
      <c r="J30" s="485">
        <v>30461</v>
      </c>
      <c r="K30" s="485">
        <v>27447</v>
      </c>
      <c r="L30" s="485">
        <v>15195</v>
      </c>
      <c r="M30" s="485">
        <v>15839</v>
      </c>
      <c r="N30" s="485">
        <v>15683</v>
      </c>
      <c r="O30" s="486">
        <v>14131</v>
      </c>
      <c r="P30" s="485">
        <v>31622</v>
      </c>
      <c r="Q30" s="485">
        <v>30023</v>
      </c>
      <c r="R30" s="485">
        <v>35462</v>
      </c>
      <c r="S30" s="485">
        <v>17079</v>
      </c>
      <c r="T30" s="486">
        <v>0</v>
      </c>
      <c r="U30" s="485">
        <v>8205</v>
      </c>
      <c r="V30" s="485">
        <v>15095</v>
      </c>
      <c r="W30" s="485">
        <v>22003</v>
      </c>
      <c r="X30" s="485">
        <v>0</v>
      </c>
      <c r="Y30" s="485">
        <v>0</v>
      </c>
      <c r="Z30" s="485">
        <v>0</v>
      </c>
      <c r="AA30" s="485">
        <v>0</v>
      </c>
      <c r="AB30" s="485">
        <v>0</v>
      </c>
      <c r="AC30" s="485">
        <v>0</v>
      </c>
      <c r="AD30" s="485">
        <v>0</v>
      </c>
      <c r="AE30" s="485">
        <v>0</v>
      </c>
      <c r="AF30" s="485">
        <v>0</v>
      </c>
      <c r="AG30" s="485">
        <v>0</v>
      </c>
      <c r="AH30" s="485">
        <v>0</v>
      </c>
      <c r="AI30" s="485">
        <v>0</v>
      </c>
      <c r="AJ30" s="485">
        <v>0</v>
      </c>
      <c r="AK30" s="488">
        <v>3945</v>
      </c>
      <c r="AL30" s="485">
        <v>1614</v>
      </c>
      <c r="AM30" s="485">
        <v>2661</v>
      </c>
      <c r="AN30" s="485">
        <v>1942</v>
      </c>
      <c r="AO30" s="485">
        <v>0</v>
      </c>
      <c r="AP30" s="485">
        <v>0</v>
      </c>
      <c r="AQ30" s="485">
        <v>0</v>
      </c>
      <c r="AR30" s="485">
        <v>0</v>
      </c>
      <c r="AS30" s="485">
        <v>0</v>
      </c>
      <c r="AT30" s="485">
        <v>0</v>
      </c>
      <c r="AU30" s="485">
        <v>0</v>
      </c>
      <c r="AV30" s="485">
        <v>0</v>
      </c>
      <c r="AW30" s="485">
        <v>0</v>
      </c>
      <c r="AX30" s="485">
        <v>0</v>
      </c>
      <c r="AY30" s="485">
        <v>0</v>
      </c>
      <c r="AZ30" s="485">
        <v>0</v>
      </c>
      <c r="BA30" s="485">
        <v>0</v>
      </c>
      <c r="BB30" s="485">
        <v>0</v>
      </c>
      <c r="BC30" s="485">
        <v>0</v>
      </c>
      <c r="BD30" s="485">
        <v>0</v>
      </c>
      <c r="BE30" s="485">
        <v>0</v>
      </c>
      <c r="BF30" s="485">
        <v>0</v>
      </c>
      <c r="BG30" s="485">
        <v>0</v>
      </c>
      <c r="BH30" s="485">
        <v>0</v>
      </c>
      <c r="BI30" s="485">
        <v>0</v>
      </c>
      <c r="BJ30" s="485">
        <v>0</v>
      </c>
      <c r="BK30" s="485">
        <v>0</v>
      </c>
      <c r="BL30" s="485">
        <v>0</v>
      </c>
      <c r="BM30" s="485">
        <v>0</v>
      </c>
      <c r="BN30" s="485">
        <v>0</v>
      </c>
      <c r="BO30" s="485">
        <v>0</v>
      </c>
    </row>
    <row r="31" spans="1:67" ht="14.1" customHeight="1" x14ac:dyDescent="0.2">
      <c r="A31" s="267" t="s">
        <v>27</v>
      </c>
      <c r="B31" s="484" t="s">
        <v>27</v>
      </c>
      <c r="C31" s="485">
        <v>1291</v>
      </c>
      <c r="D31" s="485">
        <v>1488</v>
      </c>
      <c r="E31" s="485">
        <v>2213</v>
      </c>
      <c r="F31" s="485">
        <v>2942.7057844999999</v>
      </c>
      <c r="G31" s="485">
        <v>3961</v>
      </c>
      <c r="H31" s="486">
        <v>5068</v>
      </c>
      <c r="I31" s="485">
        <v>6091</v>
      </c>
      <c r="J31" s="485">
        <v>7011</v>
      </c>
      <c r="K31" s="485">
        <v>8296</v>
      </c>
      <c r="L31" s="485">
        <v>10114</v>
      </c>
      <c r="M31" s="485">
        <v>11535</v>
      </c>
      <c r="N31" s="485">
        <v>13005</v>
      </c>
      <c r="O31" s="486">
        <v>14871</v>
      </c>
      <c r="P31" s="485">
        <v>16281</v>
      </c>
      <c r="Q31" s="485">
        <v>17560</v>
      </c>
      <c r="R31" s="485">
        <v>18913</v>
      </c>
      <c r="S31" s="485">
        <v>21642</v>
      </c>
      <c r="T31" s="486">
        <v>20100</v>
      </c>
      <c r="U31" s="485">
        <v>25006</v>
      </c>
      <c r="V31" s="485">
        <v>25703</v>
      </c>
      <c r="W31" s="485">
        <v>26597</v>
      </c>
      <c r="X31" s="485">
        <v>27142</v>
      </c>
      <c r="Y31" s="485">
        <v>27486</v>
      </c>
      <c r="Z31" s="485">
        <v>21869</v>
      </c>
      <c r="AA31" s="485">
        <v>22198</v>
      </c>
      <c r="AB31" s="485">
        <v>22139</v>
      </c>
      <c r="AC31" s="485">
        <v>21589</v>
      </c>
      <c r="AD31" s="485">
        <v>21527</v>
      </c>
      <c r="AE31" s="485">
        <v>20533</v>
      </c>
      <c r="AF31" s="485">
        <v>17939</v>
      </c>
      <c r="AG31" s="485">
        <v>17637</v>
      </c>
      <c r="AH31" s="485">
        <v>13571</v>
      </c>
      <c r="AI31" s="485">
        <v>12405</v>
      </c>
      <c r="AJ31" s="485">
        <v>12549</v>
      </c>
      <c r="AK31" s="485">
        <v>12359</v>
      </c>
      <c r="AL31" s="485">
        <v>11902</v>
      </c>
      <c r="AM31" s="485">
        <v>11580</v>
      </c>
      <c r="AN31" s="485">
        <v>11950</v>
      </c>
      <c r="AO31" s="485">
        <v>14463</v>
      </c>
      <c r="AP31" s="485">
        <v>14452</v>
      </c>
      <c r="AQ31" s="485">
        <v>14661</v>
      </c>
      <c r="AR31" s="485">
        <v>14092</v>
      </c>
      <c r="AS31" s="485">
        <v>14082</v>
      </c>
      <c r="AT31" s="485">
        <v>15140</v>
      </c>
      <c r="AU31" s="485">
        <v>15236</v>
      </c>
      <c r="AV31" s="485">
        <v>15032</v>
      </c>
      <c r="AW31" s="485">
        <v>14846</v>
      </c>
      <c r="AX31" s="485">
        <v>18172</v>
      </c>
      <c r="AY31" s="485">
        <v>19849</v>
      </c>
      <c r="AZ31" s="485">
        <v>19909</v>
      </c>
      <c r="BA31" s="485">
        <v>18981</v>
      </c>
      <c r="BB31" s="485">
        <v>18781</v>
      </c>
      <c r="BC31" s="485">
        <v>19119</v>
      </c>
      <c r="BD31" s="485">
        <v>19039</v>
      </c>
      <c r="BE31" s="485">
        <v>19155</v>
      </c>
      <c r="BF31" s="485">
        <v>20256</v>
      </c>
      <c r="BG31" s="485">
        <v>20621</v>
      </c>
      <c r="BH31" s="485">
        <v>22649</v>
      </c>
      <c r="BI31" s="485">
        <v>22945</v>
      </c>
      <c r="BJ31" s="485">
        <v>23178</v>
      </c>
      <c r="BK31" s="485">
        <v>23566</v>
      </c>
      <c r="BL31" s="485">
        <v>23872</v>
      </c>
      <c r="BM31" s="485">
        <v>24109</v>
      </c>
      <c r="BN31" s="485">
        <v>24578</v>
      </c>
      <c r="BO31" s="485">
        <v>25073</v>
      </c>
    </row>
    <row r="32" spans="1:67" ht="6.75" customHeight="1" x14ac:dyDescent="0.2">
      <c r="B32" s="502"/>
      <c r="C32" s="715"/>
      <c r="D32" s="715"/>
      <c r="E32" s="715"/>
      <c r="F32" s="715"/>
      <c r="G32" s="715"/>
      <c r="H32" s="714"/>
      <c r="I32" s="715"/>
      <c r="J32" s="715"/>
      <c r="K32" s="715"/>
      <c r="L32" s="715"/>
      <c r="M32" s="715"/>
      <c r="N32" s="715"/>
      <c r="O32" s="716"/>
      <c r="P32" s="715"/>
      <c r="Q32" s="715"/>
      <c r="R32" s="715"/>
      <c r="S32" s="715"/>
      <c r="T32" s="716"/>
      <c r="U32" s="715"/>
      <c r="V32" s="717"/>
      <c r="W32" s="717"/>
      <c r="X32" s="717"/>
      <c r="Y32" s="717"/>
      <c r="Z32" s="717"/>
      <c r="AA32" s="717"/>
      <c r="AB32" s="717"/>
      <c r="AC32" s="717"/>
      <c r="AD32" s="717"/>
      <c r="AE32" s="717"/>
      <c r="AF32" s="717"/>
      <c r="AG32" s="718"/>
      <c r="AH32" s="718"/>
      <c r="AI32" s="718"/>
      <c r="AJ32" s="718"/>
      <c r="AK32" s="718"/>
      <c r="AL32" s="718"/>
      <c r="AM32" s="718"/>
      <c r="AN32" s="718"/>
      <c r="AO32" s="718"/>
      <c r="AP32" s="718"/>
      <c r="AQ32" s="718"/>
      <c r="AR32" s="718"/>
      <c r="AS32" s="718"/>
      <c r="AT32" s="718"/>
      <c r="AU32" s="718"/>
      <c r="AV32" s="718"/>
      <c r="AW32" s="718"/>
      <c r="AX32" s="718"/>
      <c r="AY32" s="718"/>
      <c r="AZ32" s="718"/>
      <c r="BA32" s="718"/>
      <c r="BB32" s="718"/>
      <c r="BC32" s="718"/>
      <c r="BD32" s="718"/>
      <c r="BE32" s="718"/>
      <c r="BF32" s="718"/>
      <c r="BG32" s="718"/>
      <c r="BH32" s="718"/>
      <c r="BI32" s="718"/>
      <c r="BJ32" s="718"/>
      <c r="BK32" s="718"/>
      <c r="BL32" s="718"/>
      <c r="BM32" s="718"/>
      <c r="BN32" s="718"/>
      <c r="BO32" s="718"/>
    </row>
    <row r="33" spans="1:67" ht="14.1" customHeight="1" x14ac:dyDescent="0.2">
      <c r="B33" s="481" t="s">
        <v>877</v>
      </c>
      <c r="C33" s="482">
        <f t="shared" ref="C33:AP33" si="8">+SUM(C34:C37)</f>
        <v>119460</v>
      </c>
      <c r="D33" s="482">
        <f t="shared" si="8"/>
        <v>325112</v>
      </c>
      <c r="E33" s="482">
        <f t="shared" si="8"/>
        <v>315548</v>
      </c>
      <c r="F33" s="482">
        <f t="shared" si="8"/>
        <v>309553</v>
      </c>
      <c r="G33" s="482">
        <f t="shared" si="8"/>
        <v>406660</v>
      </c>
      <c r="H33" s="483">
        <f t="shared" si="8"/>
        <v>398948</v>
      </c>
      <c r="I33" s="482">
        <f t="shared" si="8"/>
        <v>428675</v>
      </c>
      <c r="J33" s="482">
        <f t="shared" si="8"/>
        <v>442048</v>
      </c>
      <c r="K33" s="482">
        <f t="shared" si="8"/>
        <v>482078</v>
      </c>
      <c r="L33" s="482">
        <f t="shared" si="8"/>
        <v>479870</v>
      </c>
      <c r="M33" s="482">
        <f t="shared" si="8"/>
        <v>476694</v>
      </c>
      <c r="N33" s="482">
        <f t="shared" si="8"/>
        <v>470562</v>
      </c>
      <c r="O33" s="483">
        <f t="shared" si="8"/>
        <v>470018</v>
      </c>
      <c r="P33" s="482">
        <f t="shared" si="8"/>
        <v>464530</v>
      </c>
      <c r="Q33" s="482">
        <f t="shared" si="8"/>
        <v>473057</v>
      </c>
      <c r="R33" s="482">
        <f t="shared" si="8"/>
        <v>473771</v>
      </c>
      <c r="S33" s="482">
        <f t="shared" si="8"/>
        <v>470242</v>
      </c>
      <c r="T33" s="483">
        <f t="shared" si="8"/>
        <v>343863</v>
      </c>
      <c r="U33" s="482">
        <f t="shared" si="8"/>
        <v>345140</v>
      </c>
      <c r="V33" s="482">
        <f t="shared" si="8"/>
        <v>365266</v>
      </c>
      <c r="W33" s="482">
        <f t="shared" si="8"/>
        <v>370321</v>
      </c>
      <c r="X33" s="482">
        <f t="shared" si="8"/>
        <v>381022</v>
      </c>
      <c r="Y33" s="482">
        <f t="shared" si="8"/>
        <v>398397</v>
      </c>
      <c r="Z33" s="482">
        <f t="shared" si="8"/>
        <v>405516</v>
      </c>
      <c r="AA33" s="482">
        <f t="shared" si="8"/>
        <v>406886</v>
      </c>
      <c r="AB33" s="482">
        <f t="shared" si="8"/>
        <v>407028</v>
      </c>
      <c r="AC33" s="482">
        <f t="shared" si="8"/>
        <v>403310</v>
      </c>
      <c r="AD33" s="482">
        <f t="shared" si="8"/>
        <v>393960</v>
      </c>
      <c r="AE33" s="482">
        <f t="shared" si="8"/>
        <v>394038</v>
      </c>
      <c r="AF33" s="482">
        <f t="shared" si="8"/>
        <v>392597</v>
      </c>
      <c r="AG33" s="482">
        <f t="shared" si="8"/>
        <v>390707</v>
      </c>
      <c r="AH33" s="482">
        <f t="shared" si="8"/>
        <v>387205</v>
      </c>
      <c r="AI33" s="482">
        <f t="shared" si="8"/>
        <v>401027</v>
      </c>
      <c r="AJ33" s="482">
        <f t="shared" si="8"/>
        <v>396110</v>
      </c>
      <c r="AK33" s="482">
        <f t="shared" si="8"/>
        <v>404094</v>
      </c>
      <c r="AL33" s="482">
        <f t="shared" si="8"/>
        <v>410564</v>
      </c>
      <c r="AM33" s="482">
        <f t="shared" si="8"/>
        <v>475476.45750000002</v>
      </c>
      <c r="AN33" s="482">
        <f t="shared" si="8"/>
        <v>499477</v>
      </c>
      <c r="AO33" s="482">
        <f t="shared" si="8"/>
        <v>496904</v>
      </c>
      <c r="AP33" s="482">
        <f t="shared" si="8"/>
        <v>489751</v>
      </c>
      <c r="AQ33" s="482">
        <f t="shared" ref="AQ33:AZ33" si="9">+SUM(AQ34:AQ37)</f>
        <v>497502</v>
      </c>
      <c r="AR33" s="482">
        <f t="shared" si="9"/>
        <v>485587</v>
      </c>
      <c r="AS33" s="482">
        <f t="shared" si="9"/>
        <v>473973</v>
      </c>
      <c r="AT33" s="482">
        <f t="shared" si="9"/>
        <v>462481</v>
      </c>
      <c r="AU33" s="482">
        <f t="shared" si="9"/>
        <v>493380</v>
      </c>
      <c r="AV33" s="482">
        <f t="shared" si="9"/>
        <v>487384</v>
      </c>
      <c r="AW33" s="482">
        <f t="shared" si="9"/>
        <v>485266</v>
      </c>
      <c r="AX33" s="482">
        <f t="shared" si="9"/>
        <v>481332</v>
      </c>
      <c r="AY33" s="482">
        <f t="shared" si="9"/>
        <v>478566</v>
      </c>
      <c r="AZ33" s="482">
        <f t="shared" si="9"/>
        <v>488602</v>
      </c>
      <c r="BA33" s="482">
        <f t="shared" ref="BA33:BM33" si="10">+SUM(BA34:BA37)</f>
        <v>490263</v>
      </c>
      <c r="BB33" s="482">
        <f t="shared" si="10"/>
        <v>497674</v>
      </c>
      <c r="BC33" s="482">
        <f t="shared" si="10"/>
        <v>519125</v>
      </c>
      <c r="BD33" s="482">
        <f t="shared" si="10"/>
        <v>523045</v>
      </c>
      <c r="BE33" s="482">
        <f t="shared" si="10"/>
        <v>523326</v>
      </c>
      <c r="BF33" s="482">
        <f t="shared" si="10"/>
        <v>521776</v>
      </c>
      <c r="BG33" s="482">
        <f t="shared" si="10"/>
        <v>532517</v>
      </c>
      <c r="BH33" s="482">
        <f t="shared" si="10"/>
        <v>545125</v>
      </c>
      <c r="BI33" s="482">
        <f t="shared" si="10"/>
        <v>542856</v>
      </c>
      <c r="BJ33" s="482">
        <f t="shared" si="10"/>
        <v>563031</v>
      </c>
      <c r="BK33" s="482">
        <f t="shared" si="10"/>
        <v>587894</v>
      </c>
      <c r="BL33" s="482">
        <f>+SUM(BL34:BL37)</f>
        <v>591818</v>
      </c>
      <c r="BM33" s="482">
        <f t="shared" si="10"/>
        <v>616918</v>
      </c>
      <c r="BN33" s="482">
        <f>+SUM(BN34:BN37)</f>
        <v>665230</v>
      </c>
      <c r="BO33" s="482">
        <f>+SUM(BO34:BO37)</f>
        <v>661076</v>
      </c>
    </row>
    <row r="34" spans="1:67" ht="14.1" customHeight="1" x14ac:dyDescent="0.2">
      <c r="A34" s="267" t="s">
        <v>28</v>
      </c>
      <c r="B34" s="700" t="s">
        <v>28</v>
      </c>
      <c r="C34" s="485">
        <v>47625</v>
      </c>
      <c r="D34" s="485">
        <v>0</v>
      </c>
      <c r="E34" s="485">
        <v>0</v>
      </c>
      <c r="F34" s="485"/>
      <c r="G34" s="485">
        <v>0</v>
      </c>
      <c r="H34" s="486">
        <v>0</v>
      </c>
      <c r="I34" s="485">
        <v>0</v>
      </c>
      <c r="J34" s="485">
        <v>4017</v>
      </c>
      <c r="K34" s="485">
        <v>0</v>
      </c>
      <c r="L34" s="485">
        <v>0</v>
      </c>
      <c r="M34" s="485">
        <v>0</v>
      </c>
      <c r="N34" s="485">
        <v>3769</v>
      </c>
      <c r="O34" s="486">
        <v>2580</v>
      </c>
      <c r="P34" s="485">
        <v>1808</v>
      </c>
      <c r="Q34" s="485">
        <v>1914</v>
      </c>
      <c r="R34" s="485">
        <v>2263</v>
      </c>
      <c r="S34" s="485">
        <v>2058</v>
      </c>
      <c r="T34" s="486">
        <v>2107</v>
      </c>
      <c r="U34" s="485">
        <v>2566</v>
      </c>
      <c r="V34" s="485">
        <v>4705</v>
      </c>
      <c r="W34" s="485">
        <v>5201</v>
      </c>
      <c r="X34" s="485">
        <v>5429</v>
      </c>
      <c r="Y34" s="485">
        <v>5361</v>
      </c>
      <c r="Z34" s="485">
        <v>5777</v>
      </c>
      <c r="AA34" s="485">
        <v>4302</v>
      </c>
      <c r="AB34" s="485">
        <v>3398</v>
      </c>
      <c r="AC34" s="485">
        <v>3379</v>
      </c>
      <c r="AD34" s="485">
        <v>2999</v>
      </c>
      <c r="AE34" s="485">
        <v>2984</v>
      </c>
      <c r="AF34" s="485">
        <v>1339</v>
      </c>
      <c r="AG34" s="485">
        <v>1382</v>
      </c>
      <c r="AH34" s="485">
        <v>1978</v>
      </c>
      <c r="AI34" s="485">
        <v>19190</v>
      </c>
      <c r="AJ34" s="485">
        <v>18720</v>
      </c>
      <c r="AK34" s="485">
        <v>18571</v>
      </c>
      <c r="AL34" s="485">
        <v>35944</v>
      </c>
      <c r="AM34" s="485">
        <v>18637</v>
      </c>
      <c r="AN34" s="485">
        <v>18777</v>
      </c>
      <c r="AO34" s="485">
        <v>19301</v>
      </c>
      <c r="AP34" s="485">
        <v>38343</v>
      </c>
      <c r="AQ34" s="485">
        <v>39737</v>
      </c>
      <c r="AR34" s="485">
        <v>40582</v>
      </c>
      <c r="AS34" s="485">
        <v>39439</v>
      </c>
      <c r="AT34" s="485">
        <v>38092</v>
      </c>
      <c r="AU34" s="485">
        <v>38902</v>
      </c>
      <c r="AV34" s="485">
        <v>39493</v>
      </c>
      <c r="AW34" s="485">
        <v>39174</v>
      </c>
      <c r="AX34" s="485">
        <v>40073</v>
      </c>
      <c r="AY34" s="485">
        <v>41942</v>
      </c>
      <c r="AZ34" s="485">
        <v>49953</v>
      </c>
      <c r="BA34" s="485">
        <v>47132</v>
      </c>
      <c r="BB34" s="485">
        <v>47950</v>
      </c>
      <c r="BC34" s="485">
        <v>49532</v>
      </c>
      <c r="BD34" s="485">
        <v>49313</v>
      </c>
      <c r="BE34" s="485">
        <v>50407</v>
      </c>
      <c r="BF34" s="485">
        <v>49347</v>
      </c>
      <c r="BG34" s="485">
        <v>55951</v>
      </c>
      <c r="BH34" s="485">
        <v>62131</v>
      </c>
      <c r="BI34" s="485">
        <v>62091</v>
      </c>
      <c r="BJ34" s="485">
        <v>61456</v>
      </c>
      <c r="BK34" s="485">
        <v>67764</v>
      </c>
      <c r="BL34" s="485">
        <v>71180</v>
      </c>
      <c r="BM34" s="485">
        <v>73805</v>
      </c>
      <c r="BN34" s="485">
        <v>63642</v>
      </c>
      <c r="BO34" s="485">
        <v>65073</v>
      </c>
    </row>
    <row r="35" spans="1:67" ht="14.1" customHeight="1" x14ac:dyDescent="0.2">
      <c r="A35" s="267" t="s">
        <v>29</v>
      </c>
      <c r="B35" s="484" t="s">
        <v>29</v>
      </c>
      <c r="C35" s="485">
        <v>67151</v>
      </c>
      <c r="D35" s="485">
        <v>159217</v>
      </c>
      <c r="E35" s="485">
        <v>151187</v>
      </c>
      <c r="F35" s="485">
        <v>144864</v>
      </c>
      <c r="G35" s="485">
        <v>150696</v>
      </c>
      <c r="H35" s="486">
        <v>155892</v>
      </c>
      <c r="I35" s="485">
        <v>184487</v>
      </c>
      <c r="J35" s="485">
        <v>186506</v>
      </c>
      <c r="K35" s="485">
        <v>200043</v>
      </c>
      <c r="L35" s="485">
        <v>196631</v>
      </c>
      <c r="M35" s="485">
        <v>193071</v>
      </c>
      <c r="N35" s="485">
        <v>190153</v>
      </c>
      <c r="O35" s="486">
        <v>190547</v>
      </c>
      <c r="P35" s="485">
        <v>186373</v>
      </c>
      <c r="Q35" s="485">
        <v>194933</v>
      </c>
      <c r="R35" s="485">
        <v>194129</v>
      </c>
      <c r="S35" s="485">
        <v>191623</v>
      </c>
      <c r="T35" s="486">
        <v>170224</v>
      </c>
      <c r="U35" s="485">
        <v>171610</v>
      </c>
      <c r="V35" s="485">
        <v>189323</v>
      </c>
      <c r="W35" s="485">
        <v>187366</v>
      </c>
      <c r="X35" s="485">
        <v>197105</v>
      </c>
      <c r="Y35" s="485">
        <v>214192</v>
      </c>
      <c r="Z35" s="485">
        <v>221112</v>
      </c>
      <c r="AA35" s="485">
        <v>224998</v>
      </c>
      <c r="AB35" s="485">
        <v>224347</v>
      </c>
      <c r="AC35" s="485">
        <v>222245</v>
      </c>
      <c r="AD35" s="485">
        <v>214140</v>
      </c>
      <c r="AE35" s="485">
        <v>214161</v>
      </c>
      <c r="AF35" s="485">
        <v>216033</v>
      </c>
      <c r="AG35" s="485">
        <v>214285</v>
      </c>
      <c r="AH35" s="485">
        <v>210100</v>
      </c>
      <c r="AI35" s="485">
        <v>193695</v>
      </c>
      <c r="AJ35" s="485">
        <v>189509</v>
      </c>
      <c r="AK35" s="485">
        <v>197392</v>
      </c>
      <c r="AL35" s="485">
        <v>202166</v>
      </c>
      <c r="AM35" s="485">
        <v>201707</v>
      </c>
      <c r="AN35" s="485">
        <v>210345</v>
      </c>
      <c r="AO35" s="485">
        <v>208236</v>
      </c>
      <c r="AP35" s="485">
        <v>209033</v>
      </c>
      <c r="AQ35" s="485">
        <v>207833</v>
      </c>
      <c r="AR35" s="485">
        <v>204713</v>
      </c>
      <c r="AS35" s="485">
        <v>203615</v>
      </c>
      <c r="AT35" s="485">
        <v>202117</v>
      </c>
      <c r="AU35" s="485">
        <v>202115</v>
      </c>
      <c r="AV35" s="485">
        <v>202083</v>
      </c>
      <c r="AW35" s="485">
        <v>206653</v>
      </c>
      <c r="AX35" s="485">
        <v>206881</v>
      </c>
      <c r="AY35" s="485">
        <v>204701</v>
      </c>
      <c r="AZ35" s="485">
        <v>211132</v>
      </c>
      <c r="BA35" s="485">
        <v>212482</v>
      </c>
      <c r="BB35" s="485">
        <v>225154</v>
      </c>
      <c r="BC35" s="485">
        <v>223208</v>
      </c>
      <c r="BD35" s="485">
        <v>222276</v>
      </c>
      <c r="BE35" s="485">
        <v>228001</v>
      </c>
      <c r="BF35" s="485">
        <v>230500</v>
      </c>
      <c r="BG35" s="485">
        <v>234199</v>
      </c>
      <c r="BH35" s="485">
        <v>238171</v>
      </c>
      <c r="BI35" s="485">
        <v>239710</v>
      </c>
      <c r="BJ35" s="485">
        <v>245613</v>
      </c>
      <c r="BK35" s="485">
        <v>243995</v>
      </c>
      <c r="BL35" s="485">
        <v>247325</v>
      </c>
      <c r="BM35" s="485">
        <v>258572</v>
      </c>
      <c r="BN35" s="485">
        <v>321041</v>
      </c>
      <c r="BO35" s="485">
        <v>323121</v>
      </c>
    </row>
    <row r="36" spans="1:67" ht="14.1" customHeight="1" x14ac:dyDescent="0.2">
      <c r="A36" s="267" t="s">
        <v>30</v>
      </c>
      <c r="B36" s="484" t="s">
        <v>30</v>
      </c>
      <c r="C36" s="485">
        <v>4684</v>
      </c>
      <c r="D36" s="485">
        <v>165895</v>
      </c>
      <c r="E36" s="485">
        <v>164361</v>
      </c>
      <c r="F36" s="485">
        <v>164689</v>
      </c>
      <c r="G36" s="485">
        <v>255964</v>
      </c>
      <c r="H36" s="486">
        <v>243056</v>
      </c>
      <c r="I36" s="485">
        <v>244188</v>
      </c>
      <c r="J36" s="485">
        <v>251525</v>
      </c>
      <c r="K36" s="485">
        <v>282035</v>
      </c>
      <c r="L36" s="485">
        <v>283239</v>
      </c>
      <c r="M36" s="485">
        <v>283623</v>
      </c>
      <c r="N36" s="485">
        <v>276640</v>
      </c>
      <c r="O36" s="486">
        <v>276891</v>
      </c>
      <c r="P36" s="485">
        <v>276349</v>
      </c>
      <c r="Q36" s="485">
        <v>276210</v>
      </c>
      <c r="R36" s="485">
        <v>277379</v>
      </c>
      <c r="S36" s="485">
        <v>276561</v>
      </c>
      <c r="T36" s="486">
        <v>171532</v>
      </c>
      <c r="U36" s="485">
        <v>170964</v>
      </c>
      <c r="V36" s="485">
        <v>171238</v>
      </c>
      <c r="W36" s="485">
        <v>177754</v>
      </c>
      <c r="X36" s="485">
        <v>178488</v>
      </c>
      <c r="Y36" s="485">
        <v>178844</v>
      </c>
      <c r="Z36" s="485">
        <v>178627</v>
      </c>
      <c r="AA36" s="485">
        <v>177586</v>
      </c>
      <c r="AB36" s="485">
        <v>179283</v>
      </c>
      <c r="AC36" s="485">
        <v>177686</v>
      </c>
      <c r="AD36" s="485">
        <v>176821</v>
      </c>
      <c r="AE36" s="485">
        <v>176893</v>
      </c>
      <c r="AF36" s="485">
        <v>175225</v>
      </c>
      <c r="AG36" s="485">
        <v>175040</v>
      </c>
      <c r="AH36" s="485">
        <v>175127</v>
      </c>
      <c r="AI36" s="485">
        <v>188142</v>
      </c>
      <c r="AJ36" s="485">
        <v>187881</v>
      </c>
      <c r="AK36" s="485">
        <v>188131</v>
      </c>
      <c r="AL36" s="485">
        <v>172454</v>
      </c>
      <c r="AM36" s="485">
        <v>189339</v>
      </c>
      <c r="AN36" s="485">
        <v>188727</v>
      </c>
      <c r="AO36" s="485">
        <v>188282</v>
      </c>
      <c r="AP36" s="485">
        <v>171446</v>
      </c>
      <c r="AQ36" s="485">
        <v>171772</v>
      </c>
      <c r="AR36" s="485">
        <v>171692</v>
      </c>
      <c r="AS36" s="485">
        <v>171274</v>
      </c>
      <c r="AT36" s="485">
        <v>170769</v>
      </c>
      <c r="AU36" s="485">
        <v>171575</v>
      </c>
      <c r="AV36" s="485">
        <v>171745</v>
      </c>
      <c r="AW36" s="485">
        <v>171898</v>
      </c>
      <c r="AX36" s="485">
        <v>172553</v>
      </c>
      <c r="AY36" s="485">
        <v>173531</v>
      </c>
      <c r="AZ36" s="485">
        <v>173196</v>
      </c>
      <c r="BA36" s="485">
        <v>174278</v>
      </c>
      <c r="BB36" s="485">
        <v>176104</v>
      </c>
      <c r="BC36" s="485">
        <v>177314</v>
      </c>
      <c r="BD36" s="485">
        <v>177385</v>
      </c>
      <c r="BE36" s="485">
        <v>177219</v>
      </c>
      <c r="BF36" s="485">
        <v>176780</v>
      </c>
      <c r="BG36" s="485">
        <v>182300</v>
      </c>
      <c r="BH36" s="485">
        <v>183893</v>
      </c>
      <c r="BI36" s="485">
        <v>187852</v>
      </c>
      <c r="BJ36" s="485">
        <v>190943</v>
      </c>
      <c r="BK36" s="485">
        <v>194329</v>
      </c>
      <c r="BL36" s="485">
        <v>194667</v>
      </c>
      <c r="BM36" s="485">
        <v>211346</v>
      </c>
      <c r="BN36" s="485">
        <v>212297</v>
      </c>
      <c r="BO36" s="485">
        <v>213544</v>
      </c>
    </row>
    <row r="37" spans="1:67" ht="14.1" customHeight="1" x14ac:dyDescent="0.2">
      <c r="B37" s="699" t="s">
        <v>811</v>
      </c>
      <c r="C37" s="510">
        <v>0</v>
      </c>
      <c r="D37" s="510">
        <v>0</v>
      </c>
      <c r="E37" s="510">
        <v>0</v>
      </c>
      <c r="F37" s="510">
        <v>0</v>
      </c>
      <c r="G37" s="510">
        <v>0</v>
      </c>
      <c r="H37" s="510">
        <v>0</v>
      </c>
      <c r="I37" s="510">
        <v>0</v>
      </c>
      <c r="J37" s="510">
        <v>0</v>
      </c>
      <c r="K37" s="510">
        <v>0</v>
      </c>
      <c r="L37" s="510">
        <v>0</v>
      </c>
      <c r="M37" s="510">
        <v>0</v>
      </c>
      <c r="N37" s="510">
        <v>0</v>
      </c>
      <c r="O37" s="489">
        <v>0</v>
      </c>
      <c r="P37" s="510">
        <v>0</v>
      </c>
      <c r="Q37" s="510">
        <v>0</v>
      </c>
      <c r="R37" s="510">
        <v>0</v>
      </c>
      <c r="S37" s="510">
        <v>0</v>
      </c>
      <c r="T37" s="510">
        <v>0</v>
      </c>
      <c r="U37" s="510">
        <v>0</v>
      </c>
      <c r="V37" s="510">
        <v>0</v>
      </c>
      <c r="W37" s="510">
        <v>0</v>
      </c>
      <c r="X37" s="510">
        <v>0</v>
      </c>
      <c r="Y37" s="510">
        <v>0</v>
      </c>
      <c r="Z37" s="510">
        <v>0</v>
      </c>
      <c r="AA37" s="510">
        <v>0</v>
      </c>
      <c r="AB37" s="510">
        <v>0</v>
      </c>
      <c r="AC37" s="510">
        <v>0</v>
      </c>
      <c r="AD37" s="510">
        <v>0</v>
      </c>
      <c r="AE37" s="510">
        <v>0</v>
      </c>
      <c r="AF37" s="510">
        <v>0</v>
      </c>
      <c r="AG37" s="510">
        <v>0</v>
      </c>
      <c r="AH37" s="510">
        <v>0</v>
      </c>
      <c r="AI37" s="510">
        <v>0</v>
      </c>
      <c r="AJ37" s="510">
        <v>0</v>
      </c>
      <c r="AK37" s="510">
        <v>0</v>
      </c>
      <c r="AL37" s="510">
        <v>0</v>
      </c>
      <c r="AM37" s="510">
        <v>65793.457500000004</v>
      </c>
      <c r="AN37" s="510">
        <v>81628</v>
      </c>
      <c r="AO37" s="510">
        <v>81085</v>
      </c>
      <c r="AP37" s="510">
        <v>70929</v>
      </c>
      <c r="AQ37" s="510">
        <v>78160</v>
      </c>
      <c r="AR37" s="510">
        <v>68600</v>
      </c>
      <c r="AS37" s="510">
        <v>59645</v>
      </c>
      <c r="AT37" s="510">
        <v>51503</v>
      </c>
      <c r="AU37" s="510">
        <v>80788</v>
      </c>
      <c r="AV37" s="510">
        <v>74063</v>
      </c>
      <c r="AW37" s="510">
        <v>67541</v>
      </c>
      <c r="AX37" s="510">
        <v>61825</v>
      </c>
      <c r="AY37" s="510">
        <v>58392</v>
      </c>
      <c r="AZ37" s="510">
        <v>54321</v>
      </c>
      <c r="BA37" s="510">
        <v>56371</v>
      </c>
      <c r="BB37" s="510">
        <v>48466</v>
      </c>
      <c r="BC37" s="510">
        <v>69071</v>
      </c>
      <c r="BD37" s="510">
        <v>74071</v>
      </c>
      <c r="BE37" s="510">
        <v>67699</v>
      </c>
      <c r="BF37" s="510">
        <v>65149</v>
      </c>
      <c r="BG37" s="510">
        <v>60067</v>
      </c>
      <c r="BH37" s="510">
        <v>60930</v>
      </c>
      <c r="BI37" s="510">
        <v>53203</v>
      </c>
      <c r="BJ37" s="510">
        <v>65019</v>
      </c>
      <c r="BK37" s="510">
        <v>81806</v>
      </c>
      <c r="BL37" s="510">
        <v>78646</v>
      </c>
      <c r="BM37" s="510">
        <v>73195</v>
      </c>
      <c r="BN37" s="510">
        <v>68250</v>
      </c>
      <c r="BO37" s="510">
        <v>59338</v>
      </c>
    </row>
    <row r="38" spans="1:67" ht="6.75" customHeight="1" x14ac:dyDescent="0.2">
      <c r="B38" s="497"/>
      <c r="C38" s="714"/>
      <c r="D38" s="714"/>
      <c r="E38" s="714"/>
      <c r="F38" s="714"/>
      <c r="G38" s="714"/>
      <c r="H38" s="714"/>
      <c r="I38" s="714"/>
      <c r="J38" s="714"/>
      <c r="K38" s="714"/>
      <c r="L38" s="714"/>
      <c r="M38" s="714"/>
      <c r="N38" s="714"/>
      <c r="O38" s="713"/>
      <c r="P38" s="714"/>
      <c r="Q38" s="714"/>
      <c r="R38" s="714"/>
      <c r="S38" s="714"/>
      <c r="T38" s="711">
        <f t="shared" ref="T38:AC38" si="11">+T36-163924</f>
        <v>7608</v>
      </c>
      <c r="U38" s="711">
        <f t="shared" si="11"/>
        <v>7040</v>
      </c>
      <c r="V38" s="711">
        <f t="shared" si="11"/>
        <v>7314</v>
      </c>
      <c r="W38" s="711">
        <f t="shared" si="11"/>
        <v>13830</v>
      </c>
      <c r="X38" s="711">
        <f t="shared" si="11"/>
        <v>14564</v>
      </c>
      <c r="Y38" s="711">
        <f t="shared" si="11"/>
        <v>14920</v>
      </c>
      <c r="Z38" s="711">
        <f t="shared" si="11"/>
        <v>14703</v>
      </c>
      <c r="AA38" s="711">
        <f t="shared" si="11"/>
        <v>13662</v>
      </c>
      <c r="AB38" s="711">
        <f t="shared" si="11"/>
        <v>15359</v>
      </c>
      <c r="AC38" s="711">
        <f t="shared" si="11"/>
        <v>13762</v>
      </c>
      <c r="AD38" s="711">
        <v>12897</v>
      </c>
      <c r="AE38" s="711">
        <v>12969</v>
      </c>
      <c r="AF38" s="711">
        <v>11301</v>
      </c>
      <c r="AG38" s="719" t="s">
        <v>89</v>
      </c>
      <c r="AH38" s="719" t="s">
        <v>89</v>
      </c>
      <c r="AI38" s="720" t="s">
        <v>89</v>
      </c>
      <c r="AJ38" s="720" t="s">
        <v>89</v>
      </c>
      <c r="AK38" s="720" t="s">
        <v>89</v>
      </c>
      <c r="AL38" s="720" t="s">
        <v>89</v>
      </c>
      <c r="AM38" s="720" t="s">
        <v>89</v>
      </c>
      <c r="AN38" s="720" t="s">
        <v>89</v>
      </c>
      <c r="AO38" s="720" t="s">
        <v>89</v>
      </c>
      <c r="AP38" s="720" t="s">
        <v>89</v>
      </c>
      <c r="AQ38" s="720" t="s">
        <v>89</v>
      </c>
      <c r="AR38" s="720" t="s">
        <v>89</v>
      </c>
      <c r="AS38" s="720" t="s">
        <v>89</v>
      </c>
      <c r="AT38" s="720" t="s">
        <v>89</v>
      </c>
      <c r="AU38" s="720" t="s">
        <v>89</v>
      </c>
      <c r="AV38" s="720" t="s">
        <v>89</v>
      </c>
      <c r="AW38" s="720" t="s">
        <v>89</v>
      </c>
      <c r="AX38" s="720"/>
      <c r="AY38" s="720"/>
      <c r="AZ38" s="720" t="s">
        <v>89</v>
      </c>
      <c r="BA38" s="720" t="s">
        <v>89</v>
      </c>
      <c r="BB38" s="720" t="s">
        <v>89</v>
      </c>
      <c r="BC38" s="720" t="s">
        <v>89</v>
      </c>
      <c r="BD38" s="720" t="s">
        <v>89</v>
      </c>
      <c r="BE38" s="720" t="s">
        <v>89</v>
      </c>
      <c r="BF38" s="720" t="s">
        <v>89</v>
      </c>
      <c r="BG38" s="720"/>
      <c r="BH38" s="720"/>
      <c r="BI38" s="720"/>
      <c r="BJ38" s="720" t="s">
        <v>89</v>
      </c>
      <c r="BK38" s="720"/>
      <c r="BL38" s="720" t="s">
        <v>89</v>
      </c>
      <c r="BM38" s="720" t="s">
        <v>89</v>
      </c>
      <c r="BN38" s="720" t="s">
        <v>89</v>
      </c>
      <c r="BO38" s="1224" t="s">
        <v>89</v>
      </c>
    </row>
    <row r="39" spans="1:67" ht="14.1" customHeight="1" x14ac:dyDescent="0.2">
      <c r="B39" s="481" t="s">
        <v>38</v>
      </c>
      <c r="C39" s="482">
        <f t="shared" ref="C39:AP39" si="12">SUM(C6,C21,C23,C33)</f>
        <v>515057</v>
      </c>
      <c r="D39" s="482">
        <f t="shared" si="12"/>
        <v>589491</v>
      </c>
      <c r="E39" s="482">
        <f t="shared" si="12"/>
        <v>581921</v>
      </c>
      <c r="F39" s="482">
        <f t="shared" si="12"/>
        <v>600947.54894824373</v>
      </c>
      <c r="G39" s="482">
        <f t="shared" si="12"/>
        <v>737083</v>
      </c>
      <c r="H39" s="483">
        <f t="shared" si="12"/>
        <v>760015</v>
      </c>
      <c r="I39" s="482">
        <f t="shared" si="12"/>
        <v>910136</v>
      </c>
      <c r="J39" s="482">
        <f t="shared" si="12"/>
        <v>922687</v>
      </c>
      <c r="K39" s="482">
        <f t="shared" si="12"/>
        <v>975517</v>
      </c>
      <c r="L39" s="482">
        <f t="shared" si="12"/>
        <v>1019407</v>
      </c>
      <c r="M39" s="482">
        <f t="shared" si="12"/>
        <v>1071960</v>
      </c>
      <c r="N39" s="482">
        <f t="shared" si="12"/>
        <v>1056660</v>
      </c>
      <c r="O39" s="483">
        <f t="shared" si="12"/>
        <v>1291224</v>
      </c>
      <c r="P39" s="482">
        <f t="shared" si="12"/>
        <v>1363118</v>
      </c>
      <c r="Q39" s="482">
        <f t="shared" si="12"/>
        <v>1193809</v>
      </c>
      <c r="R39" s="482">
        <f t="shared" si="12"/>
        <v>1200483</v>
      </c>
      <c r="S39" s="482">
        <f t="shared" si="12"/>
        <v>1162183</v>
      </c>
      <c r="T39" s="483">
        <f t="shared" si="12"/>
        <v>1096268</v>
      </c>
      <c r="U39" s="482">
        <f t="shared" si="12"/>
        <v>1011372</v>
      </c>
      <c r="V39" s="482">
        <f t="shared" si="12"/>
        <v>1054376</v>
      </c>
      <c r="W39" s="482">
        <f t="shared" si="12"/>
        <v>1075934</v>
      </c>
      <c r="X39" s="482">
        <f t="shared" si="12"/>
        <v>893842</v>
      </c>
      <c r="Y39" s="482">
        <f t="shared" si="12"/>
        <v>897042</v>
      </c>
      <c r="Z39" s="482">
        <f t="shared" si="12"/>
        <v>909304</v>
      </c>
      <c r="AA39" s="482">
        <f t="shared" si="12"/>
        <v>870381</v>
      </c>
      <c r="AB39" s="482">
        <f t="shared" si="12"/>
        <v>857571</v>
      </c>
      <c r="AC39" s="482">
        <f t="shared" si="12"/>
        <v>860516</v>
      </c>
      <c r="AD39" s="482">
        <f t="shared" si="12"/>
        <v>828122</v>
      </c>
      <c r="AE39" s="482">
        <f t="shared" si="12"/>
        <v>728667</v>
      </c>
      <c r="AF39" s="482">
        <f t="shared" si="12"/>
        <v>810638</v>
      </c>
      <c r="AG39" s="482">
        <f t="shared" si="12"/>
        <v>764181</v>
      </c>
      <c r="AH39" s="482">
        <f t="shared" si="12"/>
        <v>837851</v>
      </c>
      <c r="AI39" s="482">
        <f t="shared" si="12"/>
        <v>760505</v>
      </c>
      <c r="AJ39" s="482">
        <f t="shared" si="12"/>
        <v>737154</v>
      </c>
      <c r="AK39" s="482">
        <f t="shared" si="12"/>
        <v>773129</v>
      </c>
      <c r="AL39" s="482">
        <f t="shared" si="12"/>
        <v>809433</v>
      </c>
      <c r="AM39" s="482">
        <f>SUM(AM6,AL21,AM23,AM33)</f>
        <v>875982.45750000002</v>
      </c>
      <c r="AN39" s="482">
        <f t="shared" si="12"/>
        <v>899895</v>
      </c>
      <c r="AO39" s="482">
        <f t="shared" si="12"/>
        <v>1000216</v>
      </c>
      <c r="AP39" s="482">
        <f t="shared" si="12"/>
        <v>985421</v>
      </c>
      <c r="AQ39" s="482">
        <f t="shared" ref="AQ39:AZ39" si="13">SUM(AQ6,AQ21,AQ23,AQ33)</f>
        <v>969368</v>
      </c>
      <c r="AR39" s="482">
        <f t="shared" si="13"/>
        <v>1043911</v>
      </c>
      <c r="AS39" s="482">
        <f t="shared" si="13"/>
        <v>1031401</v>
      </c>
      <c r="AT39" s="482">
        <f t="shared" si="13"/>
        <v>1026932</v>
      </c>
      <c r="AU39" s="482">
        <f t="shared" si="13"/>
        <v>1059456</v>
      </c>
      <c r="AV39" s="482">
        <f t="shared" si="13"/>
        <v>1028435</v>
      </c>
      <c r="AW39" s="482">
        <f t="shared" si="13"/>
        <v>1014024</v>
      </c>
      <c r="AX39" s="482">
        <f t="shared" si="13"/>
        <v>1044778</v>
      </c>
      <c r="AY39" s="482">
        <f t="shared" si="13"/>
        <v>1028865</v>
      </c>
      <c r="AZ39" s="482">
        <f t="shared" si="13"/>
        <v>985942</v>
      </c>
      <c r="BA39" s="482">
        <f t="shared" ref="BA39:BG39" si="14">SUM(BA6,BA21,BA23,BA33)</f>
        <v>1035433</v>
      </c>
      <c r="BB39" s="482">
        <f t="shared" si="14"/>
        <v>1111080</v>
      </c>
      <c r="BC39" s="482">
        <f t="shared" si="14"/>
        <v>1130840</v>
      </c>
      <c r="BD39" s="482">
        <f t="shared" si="14"/>
        <v>1129596</v>
      </c>
      <c r="BE39" s="482">
        <f t="shared" si="14"/>
        <v>1166098</v>
      </c>
      <c r="BF39" s="482">
        <f t="shared" si="14"/>
        <v>1199711</v>
      </c>
      <c r="BG39" s="482">
        <f t="shared" si="14"/>
        <v>1221936</v>
      </c>
      <c r="BH39" s="482">
        <f t="shared" ref="BH39:BM39" si="15">SUM(BH6,BH21,BH23,BH33)</f>
        <v>1268379</v>
      </c>
      <c r="BI39" s="482">
        <f t="shared" si="15"/>
        <v>1287540</v>
      </c>
      <c r="BJ39" s="482">
        <f t="shared" si="15"/>
        <v>1329394</v>
      </c>
      <c r="BK39" s="482">
        <f t="shared" si="15"/>
        <v>1349304</v>
      </c>
      <c r="BL39" s="482">
        <f t="shared" si="15"/>
        <v>1397078</v>
      </c>
      <c r="BM39" s="482">
        <f t="shared" si="15"/>
        <v>1392114</v>
      </c>
      <c r="BN39" s="482">
        <f>SUM(BN6,BN21,BN23,BN33)</f>
        <v>1336745</v>
      </c>
      <c r="BO39" s="482">
        <f>SUM(BO6,BO21,BO23,BO33)</f>
        <v>1366388</v>
      </c>
    </row>
    <row r="40" spans="1:67" ht="14.1" customHeight="1" x14ac:dyDescent="0.2">
      <c r="C40" s="721"/>
      <c r="D40" s="721"/>
      <c r="E40" s="721"/>
      <c r="F40" s="721"/>
      <c r="G40" s="721">
        <f t="shared" ref="G40:AE40" si="16">G43+G44+G62+G64+G57-G16-G30</f>
        <v>114814</v>
      </c>
      <c r="H40" s="721">
        <f t="shared" si="16"/>
        <v>175386</v>
      </c>
      <c r="I40" s="721">
        <f t="shared" si="16"/>
        <v>261128</v>
      </c>
      <c r="J40" s="721">
        <f t="shared" si="16"/>
        <v>263030</v>
      </c>
      <c r="K40" s="721">
        <f t="shared" si="16"/>
        <v>264571</v>
      </c>
      <c r="L40" s="721">
        <f t="shared" si="16"/>
        <v>280597</v>
      </c>
      <c r="M40" s="721">
        <f t="shared" si="16"/>
        <v>293629</v>
      </c>
      <c r="N40" s="721">
        <f t="shared" si="16"/>
        <v>302392</v>
      </c>
      <c r="O40" s="721">
        <f t="shared" si="16"/>
        <v>536637</v>
      </c>
      <c r="P40" s="721">
        <f t="shared" si="16"/>
        <v>566387</v>
      </c>
      <c r="Q40" s="721">
        <f t="shared" si="16"/>
        <v>461495</v>
      </c>
      <c r="R40" s="721">
        <f t="shared" si="16"/>
        <v>484647</v>
      </c>
      <c r="S40" s="721">
        <f t="shared" si="16"/>
        <v>495083</v>
      </c>
      <c r="T40" s="721">
        <f t="shared" si="16"/>
        <v>414446</v>
      </c>
      <c r="U40" s="721">
        <f t="shared" si="16"/>
        <v>489051</v>
      </c>
      <c r="V40" s="721">
        <f t="shared" si="16"/>
        <v>493332</v>
      </c>
      <c r="W40" s="721">
        <f t="shared" si="16"/>
        <v>490649</v>
      </c>
      <c r="X40" s="721">
        <f t="shared" si="16"/>
        <v>364474</v>
      </c>
      <c r="Y40" s="721">
        <f t="shared" si="16"/>
        <v>363556</v>
      </c>
      <c r="Z40" s="721">
        <f t="shared" si="16"/>
        <v>364297</v>
      </c>
      <c r="AA40" s="721">
        <f t="shared" si="16"/>
        <v>341865</v>
      </c>
      <c r="AB40" s="721">
        <f t="shared" si="16"/>
        <v>342593</v>
      </c>
      <c r="AC40" s="721">
        <f t="shared" si="16"/>
        <v>341733</v>
      </c>
      <c r="AD40" s="721">
        <f t="shared" si="16"/>
        <v>291577</v>
      </c>
      <c r="AE40" s="721">
        <f t="shared" si="16"/>
        <v>221452</v>
      </c>
      <c r="AF40" s="721">
        <v>273851</v>
      </c>
      <c r="AG40" s="721">
        <f t="shared" ref="AG40:AL40" si="17">AG43+AG44+AG62+AG64+AG57-AG16-AG30</f>
        <v>219975</v>
      </c>
      <c r="AH40" s="721">
        <f t="shared" si="17"/>
        <v>222874</v>
      </c>
      <c r="AI40" s="721">
        <f t="shared" si="17"/>
        <v>154169</v>
      </c>
      <c r="AJ40" s="721">
        <f t="shared" si="17"/>
        <v>148113</v>
      </c>
      <c r="AK40" s="721">
        <f t="shared" si="17"/>
        <v>158913</v>
      </c>
      <c r="AL40" s="721">
        <f t="shared" si="17"/>
        <v>158586</v>
      </c>
      <c r="AM40" s="721">
        <v>142726</v>
      </c>
      <c r="AN40" s="721">
        <v>138647</v>
      </c>
      <c r="AO40" s="721">
        <v>140100</v>
      </c>
      <c r="AP40" s="721">
        <v>137418</v>
      </c>
      <c r="AQ40" s="721">
        <f>AQ43+AQ44+AQ62+AQ64+AQ57-AQ16-AQ30</f>
        <v>133519</v>
      </c>
      <c r="AR40" s="721">
        <f>AR43+AR44+AR62+AR64+AR57-AR16-AR30</f>
        <v>223997</v>
      </c>
      <c r="AS40" s="721">
        <f>AS43+AS44+AS62+AS64+AS57-AS16-AS30</f>
        <v>193443</v>
      </c>
      <c r="AT40" s="721">
        <f t="shared" ref="AT40:AY40" si="18">AT43+AT44+AT62+AT64+AT57-AT16-AT30</f>
        <v>193811</v>
      </c>
      <c r="AU40" s="721">
        <f t="shared" si="18"/>
        <v>194589</v>
      </c>
      <c r="AV40" s="721">
        <f t="shared" si="18"/>
        <v>152313</v>
      </c>
      <c r="AW40" s="721">
        <f t="shared" si="18"/>
        <v>127676</v>
      </c>
      <c r="AX40" s="721">
        <f t="shared" si="18"/>
        <v>128886</v>
      </c>
      <c r="AY40" s="721">
        <f t="shared" si="18"/>
        <v>119250</v>
      </c>
      <c r="AZ40" s="721">
        <v>68411</v>
      </c>
      <c r="BA40" s="721">
        <f t="shared" ref="BA40:BM40" si="19">BA43+BA44+BA62+BA64+BA57-BA16-BA30</f>
        <v>66432</v>
      </c>
      <c r="BB40" s="721">
        <f t="shared" si="19"/>
        <v>101740</v>
      </c>
      <c r="BC40" s="721">
        <f t="shared" si="19"/>
        <v>90366</v>
      </c>
      <c r="BD40" s="721">
        <f t="shared" si="19"/>
        <v>91267</v>
      </c>
      <c r="BE40" s="721">
        <f t="shared" si="19"/>
        <v>95806</v>
      </c>
      <c r="BF40" s="721">
        <f t="shared" si="19"/>
        <v>101599</v>
      </c>
      <c r="BG40" s="721">
        <f t="shared" si="19"/>
        <v>107217</v>
      </c>
      <c r="BH40" s="721">
        <f t="shared" si="19"/>
        <v>105966</v>
      </c>
      <c r="BI40" s="721">
        <f>BI43+BI44+BI62+BI64+BI57-BI16-BI30</f>
        <v>105679</v>
      </c>
      <c r="BJ40" s="721">
        <f t="shared" si="19"/>
        <v>105996</v>
      </c>
      <c r="BK40" s="721">
        <f t="shared" si="19"/>
        <v>110285</v>
      </c>
      <c r="BL40" s="721">
        <f>BL43+BL44+BL62+BL64+BL57-BL16-BL30</f>
        <v>111205</v>
      </c>
      <c r="BM40" s="721">
        <f t="shared" si="19"/>
        <v>85819</v>
      </c>
      <c r="BN40" s="721">
        <f>BN43+BN44+BN62+BN64+BN57-BN16-BN30</f>
        <v>125950</v>
      </c>
      <c r="BO40" s="721">
        <f>BO43+BO44+BO62+BO64+BO57-BO16-BO30</f>
        <v>125204</v>
      </c>
    </row>
    <row r="41" spans="1:67" ht="14.1" customHeight="1" x14ac:dyDescent="0.2">
      <c r="B41" s="478" t="s">
        <v>450</v>
      </c>
      <c r="C41" s="532" t="str">
        <f t="shared" ref="C41:AE41" si="20">C5</f>
        <v>2007</v>
      </c>
      <c r="D41" s="532" t="str">
        <f t="shared" si="20"/>
        <v>2008</v>
      </c>
      <c r="E41" s="532" t="str">
        <f t="shared" si="20"/>
        <v>2009</v>
      </c>
      <c r="F41" s="532" t="str">
        <f t="shared" si="20"/>
        <v>2010</v>
      </c>
      <c r="G41" s="532" t="str">
        <f t="shared" si="20"/>
        <v>1T11</v>
      </c>
      <c r="H41" s="480" t="str">
        <f t="shared" si="20"/>
        <v>2T11</v>
      </c>
      <c r="I41" s="479" t="str">
        <f t="shared" si="20"/>
        <v>3T11</v>
      </c>
      <c r="J41" s="479" t="str">
        <f t="shared" si="20"/>
        <v>4T11</v>
      </c>
      <c r="K41" s="479" t="str">
        <f t="shared" si="20"/>
        <v>1T12</v>
      </c>
      <c r="L41" s="479" t="str">
        <f t="shared" si="20"/>
        <v>2T12</v>
      </c>
      <c r="M41" s="479" t="str">
        <f t="shared" si="20"/>
        <v>3T12</v>
      </c>
      <c r="N41" s="479" t="str">
        <f t="shared" si="20"/>
        <v>4T12</v>
      </c>
      <c r="O41" s="479" t="str">
        <f t="shared" si="20"/>
        <v>1T13</v>
      </c>
      <c r="P41" s="479" t="str">
        <f t="shared" si="20"/>
        <v>2T13</v>
      </c>
      <c r="Q41" s="479" t="str">
        <f t="shared" si="20"/>
        <v>3T13</v>
      </c>
      <c r="R41" s="479" t="str">
        <f t="shared" si="20"/>
        <v>4T13</v>
      </c>
      <c r="S41" s="479" t="str">
        <f t="shared" si="20"/>
        <v>1T14</v>
      </c>
      <c r="T41" s="480" t="str">
        <f t="shared" si="20"/>
        <v>2T14</v>
      </c>
      <c r="U41" s="479" t="str">
        <f t="shared" si="20"/>
        <v>3T14</v>
      </c>
      <c r="V41" s="479" t="str">
        <f t="shared" si="20"/>
        <v>4T14</v>
      </c>
      <c r="W41" s="479" t="str">
        <f t="shared" si="20"/>
        <v>1T15</v>
      </c>
      <c r="X41" s="479" t="str">
        <f t="shared" si="20"/>
        <v>2T15</v>
      </c>
      <c r="Y41" s="479" t="str">
        <f t="shared" si="20"/>
        <v>3T15</v>
      </c>
      <c r="Z41" s="479" t="str">
        <f t="shared" si="20"/>
        <v>4T15</v>
      </c>
      <c r="AA41" s="479" t="str">
        <f t="shared" si="20"/>
        <v>1T16</v>
      </c>
      <c r="AB41" s="479" t="str">
        <f t="shared" si="20"/>
        <v>2T16</v>
      </c>
      <c r="AC41" s="479" t="str">
        <f t="shared" si="20"/>
        <v>3T16</v>
      </c>
      <c r="AD41" s="479" t="str">
        <f t="shared" si="20"/>
        <v>4T16</v>
      </c>
      <c r="AE41" s="479" t="str">
        <f t="shared" si="20"/>
        <v>1T17</v>
      </c>
      <c r="AF41" s="479" t="s">
        <v>575</v>
      </c>
      <c r="AG41" s="479" t="str">
        <f t="shared" ref="AG41:AQ41" si="21">AG5</f>
        <v>3T17</v>
      </c>
      <c r="AH41" s="479" t="str">
        <f t="shared" si="21"/>
        <v>4T17</v>
      </c>
      <c r="AI41" s="479" t="str">
        <f t="shared" si="21"/>
        <v>1T18</v>
      </c>
      <c r="AJ41" s="479" t="str">
        <f t="shared" si="21"/>
        <v>2T18</v>
      </c>
      <c r="AK41" s="479" t="str">
        <f t="shared" si="21"/>
        <v>3T18</v>
      </c>
      <c r="AL41" s="479" t="str">
        <f t="shared" si="21"/>
        <v>4T18</v>
      </c>
      <c r="AM41" s="479" t="str">
        <f t="shared" si="21"/>
        <v>1T19</v>
      </c>
      <c r="AN41" s="479" t="str">
        <f t="shared" si="21"/>
        <v>2T19</v>
      </c>
      <c r="AO41" s="479" t="str">
        <f t="shared" si="21"/>
        <v>3T19</v>
      </c>
      <c r="AP41" s="479" t="str">
        <f t="shared" si="21"/>
        <v>4T19</v>
      </c>
      <c r="AQ41" s="479" t="str">
        <f t="shared" si="21"/>
        <v>1T20</v>
      </c>
      <c r="AR41" s="479" t="str">
        <f>AR5</f>
        <v>2T20</v>
      </c>
      <c r="AS41" s="479" t="str">
        <f>AS5</f>
        <v>3T20</v>
      </c>
      <c r="AT41" s="479" t="str">
        <f>AT5</f>
        <v>4T20</v>
      </c>
      <c r="AU41" s="479" t="str">
        <f>AU5</f>
        <v>1T21</v>
      </c>
      <c r="AV41" s="479" t="str">
        <f>AV5</f>
        <v>2T21</v>
      </c>
      <c r="AW41" s="479" t="str">
        <f t="shared" ref="AW41:BB41" si="22">AW5</f>
        <v>3T21</v>
      </c>
      <c r="AX41" s="479" t="str">
        <f t="shared" si="22"/>
        <v>4T21</v>
      </c>
      <c r="AY41" s="479" t="str">
        <f t="shared" si="22"/>
        <v>1T22</v>
      </c>
      <c r="AZ41" s="479" t="str">
        <f t="shared" si="22"/>
        <v>2T22</v>
      </c>
      <c r="BA41" s="479" t="str">
        <f t="shared" si="22"/>
        <v>3T22</v>
      </c>
      <c r="BB41" s="479" t="str">
        <f t="shared" si="22"/>
        <v>4T22</v>
      </c>
      <c r="BC41" s="479" t="str">
        <f t="shared" ref="BC41:BM41" si="23">BC5</f>
        <v>1T23</v>
      </c>
      <c r="BD41" s="479" t="str">
        <f t="shared" si="23"/>
        <v>2T23</v>
      </c>
      <c r="BE41" s="479" t="str">
        <f t="shared" si="23"/>
        <v>3T23</v>
      </c>
      <c r="BF41" s="479" t="str">
        <f t="shared" si="23"/>
        <v>4T23</v>
      </c>
      <c r="BG41" s="479" t="str">
        <f t="shared" si="23"/>
        <v>1T24</v>
      </c>
      <c r="BH41" s="479" t="str">
        <f t="shared" si="23"/>
        <v>2T24</v>
      </c>
      <c r="BI41" s="479" t="str">
        <f t="shared" si="23"/>
        <v>3T24</v>
      </c>
      <c r="BJ41" s="479" t="str">
        <f>BJ5</f>
        <v>4T24</v>
      </c>
      <c r="BK41" s="479" t="str">
        <f>BK5</f>
        <v>1T25</v>
      </c>
      <c r="BL41" s="479" t="str">
        <f>BL5</f>
        <v>2T25</v>
      </c>
      <c r="BM41" s="479" t="str">
        <f t="shared" si="23"/>
        <v>3T25</v>
      </c>
      <c r="BN41" s="479" t="str">
        <f>BN5</f>
        <v>4T25</v>
      </c>
      <c r="BO41" s="479" t="str">
        <f>BO5</f>
        <v>1T26</v>
      </c>
    </row>
    <row r="42" spans="1:67" ht="14.1" customHeight="1" x14ac:dyDescent="0.2">
      <c r="B42" s="481" t="s">
        <v>39</v>
      </c>
      <c r="C42" s="482">
        <f t="shared" ref="C42:AE42" si="24">SUM(C43:C59)</f>
        <v>123214</v>
      </c>
      <c r="D42" s="482">
        <f t="shared" si="24"/>
        <v>172956</v>
      </c>
      <c r="E42" s="482">
        <f t="shared" si="24"/>
        <v>189702</v>
      </c>
      <c r="F42" s="482">
        <f t="shared" si="24"/>
        <v>142004</v>
      </c>
      <c r="G42" s="482">
        <f t="shared" si="24"/>
        <v>232269</v>
      </c>
      <c r="H42" s="483">
        <f t="shared" si="24"/>
        <v>267591</v>
      </c>
      <c r="I42" s="482">
        <f t="shared" si="24"/>
        <v>158434</v>
      </c>
      <c r="J42" s="482">
        <f t="shared" si="24"/>
        <v>150595</v>
      </c>
      <c r="K42" s="482">
        <f t="shared" si="24"/>
        <v>183699</v>
      </c>
      <c r="L42" s="482">
        <f t="shared" si="24"/>
        <v>410131</v>
      </c>
      <c r="M42" s="482">
        <f t="shared" si="24"/>
        <v>402365</v>
      </c>
      <c r="N42" s="482">
        <f t="shared" si="24"/>
        <v>398631</v>
      </c>
      <c r="O42" s="483">
        <f t="shared" si="24"/>
        <v>427782</v>
      </c>
      <c r="P42" s="482">
        <f t="shared" si="24"/>
        <v>492462</v>
      </c>
      <c r="Q42" s="482">
        <f t="shared" si="24"/>
        <v>379017</v>
      </c>
      <c r="R42" s="482">
        <f t="shared" si="24"/>
        <v>266364</v>
      </c>
      <c r="S42" s="482">
        <f t="shared" si="24"/>
        <v>241230</v>
      </c>
      <c r="T42" s="483">
        <f t="shared" si="24"/>
        <v>280021</v>
      </c>
      <c r="U42" s="482">
        <f t="shared" si="24"/>
        <v>161560</v>
      </c>
      <c r="V42" s="482">
        <f t="shared" si="24"/>
        <v>174059</v>
      </c>
      <c r="W42" s="482">
        <f t="shared" si="24"/>
        <v>249546</v>
      </c>
      <c r="X42" s="482">
        <f t="shared" si="24"/>
        <v>144036</v>
      </c>
      <c r="Y42" s="482">
        <f t="shared" si="24"/>
        <v>143964</v>
      </c>
      <c r="Z42" s="482">
        <f t="shared" si="24"/>
        <v>209648</v>
      </c>
      <c r="AA42" s="482">
        <f t="shared" si="24"/>
        <v>252074</v>
      </c>
      <c r="AB42" s="482">
        <f t="shared" si="24"/>
        <v>242992</v>
      </c>
      <c r="AC42" s="482">
        <f t="shared" si="24"/>
        <v>240793</v>
      </c>
      <c r="AD42" s="482">
        <f t="shared" si="24"/>
        <v>250848</v>
      </c>
      <c r="AE42" s="482">
        <f t="shared" si="24"/>
        <v>212116</v>
      </c>
      <c r="AF42" s="482">
        <v>206079</v>
      </c>
      <c r="AG42" s="482">
        <f t="shared" ref="AG42:AP42" si="25">+SUM(AG43:AG53)</f>
        <v>161436</v>
      </c>
      <c r="AH42" s="482">
        <f t="shared" si="25"/>
        <v>187078</v>
      </c>
      <c r="AI42" s="482">
        <f t="shared" si="25"/>
        <v>145360</v>
      </c>
      <c r="AJ42" s="482">
        <f t="shared" si="25"/>
        <v>176820</v>
      </c>
      <c r="AK42" s="482">
        <f t="shared" si="25"/>
        <v>151868</v>
      </c>
      <c r="AL42" s="482">
        <f t="shared" si="25"/>
        <v>170642</v>
      </c>
      <c r="AM42" s="482">
        <f t="shared" si="25"/>
        <v>134655.97785573493</v>
      </c>
      <c r="AN42" s="482">
        <f t="shared" si="25"/>
        <v>143636</v>
      </c>
      <c r="AO42" s="482">
        <f t="shared" si="25"/>
        <v>269599</v>
      </c>
      <c r="AP42" s="482">
        <f t="shared" si="25"/>
        <v>268715</v>
      </c>
      <c r="AQ42" s="482">
        <f t="shared" ref="AQ42:AZ42" si="26">+SUM(AQ43:AQ53)</f>
        <v>224242</v>
      </c>
      <c r="AR42" s="482">
        <f t="shared" si="26"/>
        <v>268711</v>
      </c>
      <c r="AS42" s="482">
        <f t="shared" si="26"/>
        <v>211203</v>
      </c>
      <c r="AT42" s="482">
        <f t="shared" si="26"/>
        <v>205845</v>
      </c>
      <c r="AU42" s="482">
        <f t="shared" si="26"/>
        <v>201928</v>
      </c>
      <c r="AV42" s="482">
        <f t="shared" si="26"/>
        <v>216388</v>
      </c>
      <c r="AW42" s="482">
        <f t="shared" si="26"/>
        <v>197909</v>
      </c>
      <c r="AX42" s="482">
        <f t="shared" si="26"/>
        <v>219730</v>
      </c>
      <c r="AY42" s="482">
        <f t="shared" si="26"/>
        <v>196907</v>
      </c>
      <c r="AZ42" s="482">
        <f t="shared" si="26"/>
        <v>155290</v>
      </c>
      <c r="BA42" s="482">
        <f t="shared" ref="BA42:BG42" si="27">+SUM(BA43:BA53)</f>
        <v>219791</v>
      </c>
      <c r="BB42" s="482">
        <f t="shared" si="27"/>
        <v>240365</v>
      </c>
      <c r="BC42" s="482">
        <f t="shared" si="27"/>
        <v>205045</v>
      </c>
      <c r="BD42" s="482">
        <f t="shared" si="27"/>
        <v>207866</v>
      </c>
      <c r="BE42" s="482">
        <f t="shared" si="27"/>
        <v>180813</v>
      </c>
      <c r="BF42" s="482">
        <f t="shared" si="27"/>
        <v>198094</v>
      </c>
      <c r="BG42" s="482">
        <f t="shared" si="27"/>
        <v>176361</v>
      </c>
      <c r="BH42" s="482">
        <f t="shared" ref="BH42:BM42" si="28">+SUM(BH43:BH53)</f>
        <v>201830</v>
      </c>
      <c r="BI42" s="482">
        <f t="shared" si="28"/>
        <v>246889</v>
      </c>
      <c r="BJ42" s="482">
        <f t="shared" si="28"/>
        <v>262914</v>
      </c>
      <c r="BK42" s="482">
        <f t="shared" si="28"/>
        <v>221378</v>
      </c>
      <c r="BL42" s="482">
        <f t="shared" si="28"/>
        <v>248340</v>
      </c>
      <c r="BM42" s="482">
        <f t="shared" si="28"/>
        <v>275750</v>
      </c>
      <c r="BN42" s="482">
        <f>+SUM(BN43:BN53)</f>
        <v>293890</v>
      </c>
      <c r="BO42" s="482">
        <f>+SUM(BO43:BO53)</f>
        <v>292320</v>
      </c>
    </row>
    <row r="43" spans="1:67" ht="14.1" customHeight="1" x14ac:dyDescent="0.2">
      <c r="A43" s="267" t="s">
        <v>16</v>
      </c>
      <c r="B43" s="484" t="s">
        <v>16</v>
      </c>
      <c r="C43" s="485">
        <v>7903</v>
      </c>
      <c r="D43" s="485">
        <v>34438</v>
      </c>
      <c r="E43" s="485">
        <v>39064</v>
      </c>
      <c r="F43" s="485">
        <v>18576</v>
      </c>
      <c r="G43" s="485">
        <v>78355</v>
      </c>
      <c r="H43" s="486">
        <v>138245</v>
      </c>
      <c r="I43" s="485">
        <v>12997</v>
      </c>
      <c r="J43" s="485">
        <v>18967</v>
      </c>
      <c r="K43" s="485">
        <v>20348</v>
      </c>
      <c r="L43" s="485">
        <v>235092</v>
      </c>
      <c r="M43" s="485">
        <v>214905</v>
      </c>
      <c r="N43" s="485">
        <v>225287</v>
      </c>
      <c r="O43" s="486">
        <v>251932</v>
      </c>
      <c r="P43" s="485">
        <v>303395</v>
      </c>
      <c r="Q43" s="485">
        <v>143918</v>
      </c>
      <c r="R43" s="485">
        <v>83235</v>
      </c>
      <c r="S43" s="485">
        <v>80949</v>
      </c>
      <c r="T43" s="486">
        <v>3909</v>
      </c>
      <c r="U43" s="485">
        <v>24323</v>
      </c>
      <c r="V43" s="485">
        <v>25980</v>
      </c>
      <c r="W43" s="485">
        <v>100937</v>
      </c>
      <c r="X43" s="485">
        <v>1949</v>
      </c>
      <c r="Y43" s="485">
        <v>1694</v>
      </c>
      <c r="Z43" s="485">
        <v>1295</v>
      </c>
      <c r="AA43" s="485">
        <v>1132</v>
      </c>
      <c r="AB43" s="485">
        <v>1087</v>
      </c>
      <c r="AC43" s="485">
        <v>1049</v>
      </c>
      <c r="AD43" s="485">
        <v>1048</v>
      </c>
      <c r="AE43" s="485">
        <v>921</v>
      </c>
      <c r="AF43" s="485">
        <v>953</v>
      </c>
      <c r="AG43" s="485">
        <v>1348</v>
      </c>
      <c r="AH43" s="485">
        <v>1112</v>
      </c>
      <c r="AI43" s="485">
        <v>1507</v>
      </c>
      <c r="AJ43" s="485">
        <v>43353</v>
      </c>
      <c r="AK43" s="485">
        <v>3990</v>
      </c>
      <c r="AL43" s="485">
        <v>6703</v>
      </c>
      <c r="AM43" s="485">
        <v>7558</v>
      </c>
      <c r="AN43" s="485">
        <v>8511</v>
      </c>
      <c r="AO43" s="485">
        <v>64820</v>
      </c>
      <c r="AP43" s="485">
        <v>61022</v>
      </c>
      <c r="AQ43" s="485">
        <v>73286</v>
      </c>
      <c r="AR43" s="485">
        <v>116354</v>
      </c>
      <c r="AS43" s="485">
        <v>43276</v>
      </c>
      <c r="AT43" s="485">
        <v>43764</v>
      </c>
      <c r="AU43" s="485">
        <v>54300</v>
      </c>
      <c r="AV43" s="485">
        <v>62243</v>
      </c>
      <c r="AW43" s="485">
        <v>62676</v>
      </c>
      <c r="AX43" s="485">
        <v>63886</v>
      </c>
      <c r="AY43" s="485">
        <v>64250</v>
      </c>
      <c r="AZ43" s="485">
        <v>13411</v>
      </c>
      <c r="BA43" s="485">
        <v>56432</v>
      </c>
      <c r="BB43" s="485">
        <v>59172</v>
      </c>
      <c r="BC43" s="485">
        <v>47798</v>
      </c>
      <c r="BD43" s="485">
        <v>58699</v>
      </c>
      <c r="BE43" s="485">
        <v>11972</v>
      </c>
      <c r="BF43" s="485">
        <v>12759</v>
      </c>
      <c r="BG43" s="485">
        <v>13485</v>
      </c>
      <c r="BH43" s="485">
        <v>4523</v>
      </c>
      <c r="BI43" s="485">
        <v>27754</v>
      </c>
      <c r="BJ43" s="485">
        <v>29089</v>
      </c>
      <c r="BK43" s="485">
        <v>27874</v>
      </c>
      <c r="BL43" s="485">
        <v>29996</v>
      </c>
      <c r="BM43" s="485">
        <v>28280</v>
      </c>
      <c r="BN43" s="485">
        <v>29767</v>
      </c>
      <c r="BO43" s="485">
        <v>30440</v>
      </c>
    </row>
    <row r="44" spans="1:67" ht="14.1" customHeight="1" x14ac:dyDescent="0.2">
      <c r="A44" s="267" t="s">
        <v>23</v>
      </c>
      <c r="B44" s="484" t="s">
        <v>23</v>
      </c>
      <c r="C44" s="485">
        <v>0</v>
      </c>
      <c r="D44" s="485">
        <v>0</v>
      </c>
      <c r="E44" s="485">
        <v>0</v>
      </c>
      <c r="F44" s="485">
        <v>0</v>
      </c>
      <c r="G44" s="485">
        <v>0</v>
      </c>
      <c r="H44" s="486">
        <v>0</v>
      </c>
      <c r="I44" s="485">
        <v>0</v>
      </c>
      <c r="J44" s="485">
        <v>0</v>
      </c>
      <c r="K44" s="485">
        <v>0</v>
      </c>
      <c r="L44" s="485">
        <v>0</v>
      </c>
      <c r="M44" s="485">
        <v>0</v>
      </c>
      <c r="N44" s="485">
        <v>0</v>
      </c>
      <c r="O44" s="486">
        <v>0</v>
      </c>
      <c r="P44" s="485">
        <v>0</v>
      </c>
      <c r="Q44" s="485">
        <v>0</v>
      </c>
      <c r="R44" s="485">
        <v>0</v>
      </c>
      <c r="S44" s="485">
        <v>0</v>
      </c>
      <c r="T44" s="486">
        <v>8630</v>
      </c>
      <c r="U44" s="485">
        <v>8318</v>
      </c>
      <c r="V44" s="485">
        <v>9798</v>
      </c>
      <c r="W44" s="485">
        <v>28643</v>
      </c>
      <c r="X44" s="485">
        <v>30485</v>
      </c>
      <c r="Y44" s="485">
        <v>30338</v>
      </c>
      <c r="Z44" s="485">
        <v>81814</v>
      </c>
      <c r="AA44" s="485">
        <v>126467</v>
      </c>
      <c r="AB44" s="485">
        <v>127502</v>
      </c>
      <c r="AC44" s="485">
        <v>126941</v>
      </c>
      <c r="AD44" s="485">
        <v>127043</v>
      </c>
      <c r="AE44" s="485">
        <v>122503</v>
      </c>
      <c r="AF44" s="485">
        <v>122017</v>
      </c>
      <c r="AG44" s="485">
        <v>68026</v>
      </c>
      <c r="AH44" s="485">
        <v>71441</v>
      </c>
      <c r="AI44" s="485">
        <v>49296</v>
      </c>
      <c r="AJ44" s="485">
        <v>48083</v>
      </c>
      <c r="AK44" s="485">
        <v>48304</v>
      </c>
      <c r="AL44" s="485">
        <v>48073</v>
      </c>
      <c r="AM44" s="485">
        <v>1150</v>
      </c>
      <c r="AN44" s="485">
        <v>130</v>
      </c>
      <c r="AO44" s="485">
        <v>26174</v>
      </c>
      <c r="AP44" s="485">
        <v>25130</v>
      </c>
      <c r="AQ44" s="485">
        <v>25886</v>
      </c>
      <c r="AR44" s="485">
        <v>26509</v>
      </c>
      <c r="AS44" s="485">
        <v>25167</v>
      </c>
      <c r="AT44" s="485">
        <v>25047</v>
      </c>
      <c r="AU44" s="485">
        <v>25289</v>
      </c>
      <c r="AV44" s="485">
        <v>25070</v>
      </c>
      <c r="AW44" s="485">
        <v>0</v>
      </c>
      <c r="AX44" s="485">
        <v>0</v>
      </c>
      <c r="AY44" s="485">
        <v>0</v>
      </c>
      <c r="AZ44" s="485">
        <v>0</v>
      </c>
      <c r="BA44" s="485">
        <v>0</v>
      </c>
      <c r="BB44" s="485">
        <v>0</v>
      </c>
      <c r="BC44" s="485">
        <v>0</v>
      </c>
      <c r="BD44" s="485">
        <v>0</v>
      </c>
      <c r="BE44" s="485">
        <v>0</v>
      </c>
      <c r="BF44" s="485">
        <v>0</v>
      </c>
      <c r="BG44" s="485">
        <v>0</v>
      </c>
      <c r="BH44" s="485">
        <v>0</v>
      </c>
      <c r="BI44" s="485">
        <v>0</v>
      </c>
      <c r="BJ44" s="485">
        <v>0</v>
      </c>
      <c r="BK44" s="485">
        <v>0</v>
      </c>
      <c r="BL44" s="485">
        <v>0</v>
      </c>
      <c r="BM44" s="485">
        <v>0</v>
      </c>
      <c r="BN44" s="485">
        <v>0</v>
      </c>
      <c r="BO44" s="485">
        <v>0</v>
      </c>
    </row>
    <row r="45" spans="1:67" ht="14.1" customHeight="1" x14ac:dyDescent="0.2">
      <c r="B45" s="484" t="s">
        <v>1019</v>
      </c>
      <c r="C45" s="485" t="s">
        <v>160</v>
      </c>
      <c r="D45" s="485" t="s">
        <v>160</v>
      </c>
      <c r="E45" s="485" t="s">
        <v>160</v>
      </c>
      <c r="F45" s="485" t="s">
        <v>160</v>
      </c>
      <c r="G45" s="485" t="s">
        <v>160</v>
      </c>
      <c r="H45" s="486" t="s">
        <v>160</v>
      </c>
      <c r="I45" s="485" t="s">
        <v>160</v>
      </c>
      <c r="J45" s="485" t="s">
        <v>160</v>
      </c>
      <c r="K45" s="485" t="s">
        <v>160</v>
      </c>
      <c r="L45" s="485" t="s">
        <v>160</v>
      </c>
      <c r="M45" s="485" t="s">
        <v>160</v>
      </c>
      <c r="N45" s="485" t="s">
        <v>160</v>
      </c>
      <c r="O45" s="486" t="s">
        <v>160</v>
      </c>
      <c r="P45" s="485" t="s">
        <v>160</v>
      </c>
      <c r="Q45" s="485" t="s">
        <v>160</v>
      </c>
      <c r="R45" s="485" t="s">
        <v>160</v>
      </c>
      <c r="S45" s="485" t="s">
        <v>160</v>
      </c>
      <c r="T45" s="486" t="s">
        <v>160</v>
      </c>
      <c r="U45" s="485" t="s">
        <v>160</v>
      </c>
      <c r="V45" s="485" t="s">
        <v>160</v>
      </c>
      <c r="W45" s="485" t="s">
        <v>160</v>
      </c>
      <c r="X45" s="485" t="s">
        <v>160</v>
      </c>
      <c r="Y45" s="485" t="s">
        <v>160</v>
      </c>
      <c r="Z45" s="485" t="s">
        <v>160</v>
      </c>
      <c r="AA45" s="485" t="s">
        <v>160</v>
      </c>
      <c r="AB45" s="485" t="s">
        <v>160</v>
      </c>
      <c r="AC45" s="485" t="s">
        <v>160</v>
      </c>
      <c r="AD45" s="485" t="s">
        <v>160</v>
      </c>
      <c r="AE45" s="485" t="s">
        <v>160</v>
      </c>
      <c r="AF45" s="485" t="s">
        <v>160</v>
      </c>
      <c r="AG45" s="485" t="s">
        <v>160</v>
      </c>
      <c r="AH45" s="485" t="s">
        <v>160</v>
      </c>
      <c r="AI45" s="485">
        <v>0</v>
      </c>
      <c r="AJ45" s="485" t="s">
        <v>160</v>
      </c>
      <c r="AK45" s="485" t="s">
        <v>160</v>
      </c>
      <c r="AL45" s="485">
        <v>0</v>
      </c>
      <c r="AM45" s="485">
        <v>27189.977855734931</v>
      </c>
      <c r="AN45" s="485">
        <v>29052</v>
      </c>
      <c r="AO45" s="485">
        <v>30545</v>
      </c>
      <c r="AP45" s="485">
        <v>28867</v>
      </c>
      <c r="AQ45" s="485">
        <v>33535</v>
      </c>
      <c r="AR45" s="485">
        <v>31676</v>
      </c>
      <c r="AS45" s="485">
        <v>29614</v>
      </c>
      <c r="AT45" s="485">
        <v>26980</v>
      </c>
      <c r="AU45" s="485">
        <v>32082</v>
      </c>
      <c r="AV45" s="485">
        <v>31287</v>
      </c>
      <c r="AW45" s="485">
        <v>28458</v>
      </c>
      <c r="AX45" s="485">
        <v>30845</v>
      </c>
      <c r="AY45" s="485">
        <v>29942</v>
      </c>
      <c r="AZ45" s="485">
        <v>32743</v>
      </c>
      <c r="BA45" s="485">
        <v>33765</v>
      </c>
      <c r="BB45" s="485">
        <v>33050</v>
      </c>
      <c r="BC45" s="485">
        <v>29874</v>
      </c>
      <c r="BD45" s="485">
        <v>27382</v>
      </c>
      <c r="BE45" s="485">
        <v>26895</v>
      </c>
      <c r="BF45" s="485">
        <v>29340</v>
      </c>
      <c r="BG45" s="485">
        <v>26366</v>
      </c>
      <c r="BH45" s="485">
        <v>26338</v>
      </c>
      <c r="BI45" s="485">
        <v>23134</v>
      </c>
      <c r="BJ45" s="485">
        <v>28680</v>
      </c>
      <c r="BK45" s="485">
        <v>37103</v>
      </c>
      <c r="BL45" s="485">
        <v>39288</v>
      </c>
      <c r="BM45" s="485">
        <v>39779</v>
      </c>
      <c r="BN45" s="485">
        <v>40031</v>
      </c>
      <c r="BO45" s="485">
        <v>35940</v>
      </c>
    </row>
    <row r="46" spans="1:67" ht="14.1" customHeight="1" x14ac:dyDescent="0.2">
      <c r="B46" s="487" t="s">
        <v>481</v>
      </c>
      <c r="C46" s="485">
        <v>36798</v>
      </c>
      <c r="D46" s="485">
        <v>18271</v>
      </c>
      <c r="E46" s="485">
        <v>29616</v>
      </c>
      <c r="F46" s="485">
        <v>42767</v>
      </c>
      <c r="G46" s="485">
        <v>40787</v>
      </c>
      <c r="H46" s="486">
        <v>35904</v>
      </c>
      <c r="I46" s="485">
        <v>46080</v>
      </c>
      <c r="J46" s="485">
        <v>36752</v>
      </c>
      <c r="K46" s="485">
        <v>45173</v>
      </c>
      <c r="L46" s="485">
        <v>47474</v>
      </c>
      <c r="M46" s="485">
        <v>43965</v>
      </c>
      <c r="N46" s="485">
        <v>32532</v>
      </c>
      <c r="O46" s="486">
        <v>42104</v>
      </c>
      <c r="P46" s="485">
        <v>54771</v>
      </c>
      <c r="Q46" s="485">
        <v>65269</v>
      </c>
      <c r="R46" s="485">
        <v>56817</v>
      </c>
      <c r="S46" s="485">
        <v>53213</v>
      </c>
      <c r="T46" s="486">
        <v>46278</v>
      </c>
      <c r="U46" s="485">
        <v>53006</v>
      </c>
      <c r="V46" s="485">
        <v>51894</v>
      </c>
      <c r="W46" s="485">
        <v>48471</v>
      </c>
      <c r="X46" s="485">
        <v>39196</v>
      </c>
      <c r="Y46" s="485">
        <f>11981+27508</f>
        <v>39489</v>
      </c>
      <c r="Z46" s="485">
        <v>45404</v>
      </c>
      <c r="AA46" s="485">
        <v>33904</v>
      </c>
      <c r="AB46" s="485">
        <v>30891</v>
      </c>
      <c r="AC46" s="485">
        <v>32399</v>
      </c>
      <c r="AD46" s="485">
        <v>43164</v>
      </c>
      <c r="AE46" s="485">
        <v>23189</v>
      </c>
      <c r="AF46" s="485">
        <v>23235</v>
      </c>
      <c r="AG46" s="485">
        <v>26706</v>
      </c>
      <c r="AH46" s="485">
        <v>32237</v>
      </c>
      <c r="AI46" s="485">
        <v>28016</v>
      </c>
      <c r="AJ46" s="485">
        <v>24553</v>
      </c>
      <c r="AK46" s="485">
        <v>27786</v>
      </c>
      <c r="AL46" s="485">
        <v>36898</v>
      </c>
      <c r="AM46" s="485">
        <v>32147</v>
      </c>
      <c r="AN46" s="485">
        <v>30700</v>
      </c>
      <c r="AO46" s="485">
        <v>30325</v>
      </c>
      <c r="AP46" s="485">
        <v>36312</v>
      </c>
      <c r="AQ46" s="485">
        <v>21287</v>
      </c>
      <c r="AR46" s="485">
        <v>17169</v>
      </c>
      <c r="AS46" s="485">
        <v>28173</v>
      </c>
      <c r="AT46" s="485">
        <v>31268</v>
      </c>
      <c r="AU46" s="485">
        <v>27426</v>
      </c>
      <c r="AV46" s="485">
        <v>29673</v>
      </c>
      <c r="AW46" s="485">
        <v>37709</v>
      </c>
      <c r="AX46" s="485">
        <v>47838</v>
      </c>
      <c r="AY46" s="485">
        <v>39307</v>
      </c>
      <c r="AZ46" s="485">
        <v>34064</v>
      </c>
      <c r="BA46" s="485">
        <v>30411</v>
      </c>
      <c r="BB46" s="485">
        <v>49406</v>
      </c>
      <c r="BC46" s="485">
        <v>36895</v>
      </c>
      <c r="BD46" s="485">
        <v>36160</v>
      </c>
      <c r="BE46" s="485">
        <v>43470</v>
      </c>
      <c r="BF46" s="485">
        <v>49620</v>
      </c>
      <c r="BG46" s="485">
        <v>45666</v>
      </c>
      <c r="BH46" s="485">
        <v>54715</v>
      </c>
      <c r="BI46" s="485">
        <v>56527</v>
      </c>
      <c r="BJ46" s="485">
        <v>62418</v>
      </c>
      <c r="BK46" s="485">
        <v>48147</v>
      </c>
      <c r="BL46" s="485">
        <v>52246</v>
      </c>
      <c r="BM46" s="485">
        <v>59589</v>
      </c>
      <c r="BN46" s="485">
        <v>62248</v>
      </c>
      <c r="BO46" s="485">
        <v>68197</v>
      </c>
    </row>
    <row r="47" spans="1:67" ht="14.1" customHeight="1" x14ac:dyDescent="0.2">
      <c r="B47" s="487" t="s">
        <v>40</v>
      </c>
      <c r="C47" s="485">
        <v>5584</v>
      </c>
      <c r="D47" s="485">
        <v>7901</v>
      </c>
      <c r="E47" s="485">
        <v>10773</v>
      </c>
      <c r="F47" s="485">
        <v>12140</v>
      </c>
      <c r="G47" s="485">
        <v>18916</v>
      </c>
      <c r="H47" s="486">
        <v>12417</v>
      </c>
      <c r="I47" s="485">
        <v>14697</v>
      </c>
      <c r="J47" s="485">
        <v>18046</v>
      </c>
      <c r="K47" s="485">
        <v>0</v>
      </c>
      <c r="L47" s="485">
        <v>21094</v>
      </c>
      <c r="M47" s="485">
        <v>23153</v>
      </c>
      <c r="N47" s="485">
        <v>22971</v>
      </c>
      <c r="O47" s="486">
        <v>25396</v>
      </c>
      <c r="P47" s="485">
        <v>24955</v>
      </c>
      <c r="Q47" s="485">
        <v>22550</v>
      </c>
      <c r="R47" s="485">
        <v>23505</v>
      </c>
      <c r="S47" s="485">
        <v>21064</v>
      </c>
      <c r="T47" s="486">
        <v>14116</v>
      </c>
      <c r="U47" s="485">
        <v>16455</v>
      </c>
      <c r="V47" s="485">
        <v>17545</v>
      </c>
      <c r="W47" s="485">
        <v>15426</v>
      </c>
      <c r="X47" s="485">
        <v>14354</v>
      </c>
      <c r="Y47" s="485">
        <v>14333</v>
      </c>
      <c r="Z47" s="485">
        <v>13423</v>
      </c>
      <c r="AA47" s="485">
        <v>13233</v>
      </c>
      <c r="AB47" s="485">
        <v>12968</v>
      </c>
      <c r="AC47" s="485">
        <v>11593</v>
      </c>
      <c r="AD47" s="485">
        <v>13120</v>
      </c>
      <c r="AE47" s="485">
        <v>13442</v>
      </c>
      <c r="AF47" s="485">
        <v>11791</v>
      </c>
      <c r="AG47" s="485">
        <v>12059</v>
      </c>
      <c r="AH47" s="485">
        <v>15453</v>
      </c>
      <c r="AI47" s="485">
        <v>13367</v>
      </c>
      <c r="AJ47" s="485">
        <v>14799</v>
      </c>
      <c r="AK47" s="485">
        <v>13372</v>
      </c>
      <c r="AL47" s="485">
        <v>15095</v>
      </c>
      <c r="AM47" s="485">
        <v>15905</v>
      </c>
      <c r="AN47" s="485">
        <v>14780</v>
      </c>
      <c r="AO47" s="485">
        <v>16497</v>
      </c>
      <c r="AP47" s="485">
        <v>19414</v>
      </c>
      <c r="AQ47" s="485">
        <v>14872</v>
      </c>
      <c r="AR47" s="485">
        <v>16832</v>
      </c>
      <c r="AS47" s="485">
        <v>17593</v>
      </c>
      <c r="AT47" s="485">
        <v>16433</v>
      </c>
      <c r="AU47" s="485">
        <v>14132</v>
      </c>
      <c r="AV47" s="485">
        <v>13633</v>
      </c>
      <c r="AW47" s="485">
        <v>14177</v>
      </c>
      <c r="AX47" s="485">
        <v>16183</v>
      </c>
      <c r="AY47" s="485">
        <v>14387</v>
      </c>
      <c r="AZ47" s="485">
        <v>16746</v>
      </c>
      <c r="BA47" s="485">
        <v>19305</v>
      </c>
      <c r="BB47" s="485">
        <v>21043</v>
      </c>
      <c r="BC47" s="485">
        <v>21178</v>
      </c>
      <c r="BD47" s="485">
        <v>19485</v>
      </c>
      <c r="BE47" s="485">
        <v>21893</v>
      </c>
      <c r="BF47" s="485">
        <v>25863</v>
      </c>
      <c r="BG47" s="485">
        <v>23591</v>
      </c>
      <c r="BH47" s="485">
        <v>28894</v>
      </c>
      <c r="BI47" s="485">
        <v>30330</v>
      </c>
      <c r="BJ47" s="485">
        <v>31470</v>
      </c>
      <c r="BK47" s="485">
        <v>23517</v>
      </c>
      <c r="BL47" s="485">
        <v>25322</v>
      </c>
      <c r="BM47" s="485">
        <v>30141</v>
      </c>
      <c r="BN47" s="485">
        <v>33235</v>
      </c>
      <c r="BO47" s="485">
        <v>35548</v>
      </c>
    </row>
    <row r="48" spans="1:67" ht="14.1" customHeight="1" x14ac:dyDescent="0.2">
      <c r="B48" s="487" t="s">
        <v>18</v>
      </c>
      <c r="C48" s="485"/>
      <c r="D48" s="485"/>
      <c r="E48" s="485"/>
      <c r="F48" s="485"/>
      <c r="G48" s="485"/>
      <c r="H48" s="486"/>
      <c r="I48" s="485"/>
      <c r="J48" s="485"/>
      <c r="K48" s="485"/>
      <c r="L48" s="485"/>
      <c r="M48" s="485"/>
      <c r="N48" s="485"/>
      <c r="O48" s="486"/>
      <c r="P48" s="485"/>
      <c r="Q48" s="485"/>
      <c r="R48" s="485"/>
      <c r="S48" s="485"/>
      <c r="T48" s="486"/>
      <c r="U48" s="485"/>
      <c r="V48" s="485"/>
      <c r="W48" s="485"/>
      <c r="X48" s="485"/>
      <c r="Y48" s="485"/>
      <c r="Z48" s="485"/>
      <c r="AA48" s="485"/>
      <c r="AB48" s="485"/>
      <c r="AC48" s="485"/>
      <c r="AD48" s="485"/>
      <c r="AE48" s="485"/>
      <c r="AF48" s="485"/>
      <c r="AG48" s="485"/>
      <c r="AH48" s="485"/>
      <c r="AI48" s="485"/>
      <c r="AJ48" s="485"/>
      <c r="AK48" s="485"/>
      <c r="AL48" s="485"/>
      <c r="AM48" s="485"/>
      <c r="AN48" s="485"/>
      <c r="AO48" s="485"/>
      <c r="AP48" s="485"/>
      <c r="AQ48" s="485"/>
      <c r="AR48" s="485"/>
      <c r="AS48" s="485"/>
      <c r="AT48" s="485"/>
      <c r="AU48" s="485"/>
      <c r="AV48" s="485"/>
      <c r="AW48" s="485"/>
      <c r="AX48" s="485"/>
      <c r="AY48" s="485"/>
      <c r="AZ48" s="485"/>
      <c r="BA48" s="485"/>
      <c r="BB48" s="485"/>
      <c r="BC48" s="485"/>
      <c r="BD48" s="485"/>
      <c r="BE48" s="485"/>
      <c r="BF48" s="485"/>
      <c r="BG48" s="485"/>
      <c r="BH48" s="485"/>
      <c r="BI48" s="485"/>
      <c r="BJ48" s="485"/>
      <c r="BK48" s="485"/>
      <c r="BL48" s="485"/>
      <c r="BM48" s="485">
        <v>40</v>
      </c>
      <c r="BN48" s="485">
        <v>17</v>
      </c>
      <c r="BO48" s="485">
        <v>86</v>
      </c>
    </row>
    <row r="49" spans="1:70" ht="14.1" customHeight="1" x14ac:dyDescent="0.2">
      <c r="A49" s="267" t="s">
        <v>20</v>
      </c>
      <c r="B49" s="484" t="s">
        <v>20</v>
      </c>
      <c r="C49" s="485">
        <v>11493</v>
      </c>
      <c r="D49" s="485">
        <v>17331</v>
      </c>
      <c r="E49" s="485">
        <v>18994</v>
      </c>
      <c r="F49" s="485">
        <v>24622</v>
      </c>
      <c r="G49" s="485">
        <v>27418</v>
      </c>
      <c r="H49" s="486">
        <v>32320</v>
      </c>
      <c r="I49" s="485">
        <v>35501</v>
      </c>
      <c r="J49" s="485">
        <v>31111</v>
      </c>
      <c r="K49" s="485">
        <v>1825</v>
      </c>
      <c r="L49" s="485">
        <v>41949</v>
      </c>
      <c r="M49" s="485">
        <v>49767</v>
      </c>
      <c r="N49" s="485">
        <v>40201</v>
      </c>
      <c r="O49" s="486">
        <v>38591</v>
      </c>
      <c r="P49" s="485">
        <v>42879</v>
      </c>
      <c r="Q49" s="485">
        <v>48548</v>
      </c>
      <c r="R49" s="485">
        <v>42636</v>
      </c>
      <c r="S49" s="485">
        <v>30217</v>
      </c>
      <c r="T49" s="486">
        <v>26005</v>
      </c>
      <c r="U49" s="485">
        <v>32384.999999999996</v>
      </c>
      <c r="V49" s="485">
        <v>31728</v>
      </c>
      <c r="W49" s="485">
        <v>30293</v>
      </c>
      <c r="X49" s="485">
        <v>27767</v>
      </c>
      <c r="Y49" s="485">
        <v>31042</v>
      </c>
      <c r="Z49" s="485">
        <v>29908</v>
      </c>
      <c r="AA49" s="485">
        <v>27283</v>
      </c>
      <c r="AB49" s="485">
        <v>28528</v>
      </c>
      <c r="AC49" s="485">
        <v>31823</v>
      </c>
      <c r="AD49" s="485">
        <v>27489</v>
      </c>
      <c r="AE49" s="485">
        <v>27662</v>
      </c>
      <c r="AF49" s="488">
        <v>22533</v>
      </c>
      <c r="AG49" s="485">
        <v>26587</v>
      </c>
      <c r="AH49" s="485">
        <v>24644</v>
      </c>
      <c r="AI49" s="485">
        <v>20662</v>
      </c>
      <c r="AJ49" s="485">
        <v>22290</v>
      </c>
      <c r="AK49" s="485">
        <v>26340</v>
      </c>
      <c r="AL49" s="485">
        <v>24261</v>
      </c>
      <c r="AM49" s="485">
        <v>20598</v>
      </c>
      <c r="AN49" s="485">
        <v>24268</v>
      </c>
      <c r="AO49" s="485">
        <v>28162</v>
      </c>
      <c r="AP49" s="485">
        <v>26263</v>
      </c>
      <c r="AQ49" s="485">
        <v>22000</v>
      </c>
      <c r="AR49" s="485">
        <v>24867</v>
      </c>
      <c r="AS49" s="485">
        <v>26129</v>
      </c>
      <c r="AT49" s="485">
        <v>20741</v>
      </c>
      <c r="AU49" s="485">
        <v>18015</v>
      </c>
      <c r="AV49" s="485">
        <v>21742</v>
      </c>
      <c r="AW49" s="485">
        <v>25599</v>
      </c>
      <c r="AX49" s="485">
        <v>24456</v>
      </c>
      <c r="AY49" s="485">
        <v>20259</v>
      </c>
      <c r="AZ49" s="485">
        <v>22848</v>
      </c>
      <c r="BA49" s="485">
        <v>26993</v>
      </c>
      <c r="BB49" s="485">
        <v>26361</v>
      </c>
      <c r="BC49" s="485">
        <v>22583</v>
      </c>
      <c r="BD49" s="485">
        <v>27637</v>
      </c>
      <c r="BE49" s="485">
        <v>32381</v>
      </c>
      <c r="BF49" s="485">
        <v>30229</v>
      </c>
      <c r="BG49" s="485">
        <v>25225</v>
      </c>
      <c r="BH49" s="485">
        <v>30130</v>
      </c>
      <c r="BI49" s="485">
        <v>35859</v>
      </c>
      <c r="BJ49" s="485">
        <v>33430</v>
      </c>
      <c r="BK49" s="485">
        <v>29483</v>
      </c>
      <c r="BL49" s="485">
        <v>37558</v>
      </c>
      <c r="BM49" s="485">
        <v>44342</v>
      </c>
      <c r="BN49" s="485">
        <v>42682</v>
      </c>
      <c r="BO49" s="485">
        <v>37527</v>
      </c>
    </row>
    <row r="50" spans="1:70" ht="14.1" customHeight="1" x14ac:dyDescent="0.2">
      <c r="A50" s="267" t="s">
        <v>24</v>
      </c>
      <c r="B50" s="484" t="s">
        <v>24</v>
      </c>
      <c r="C50" s="485">
        <f>23763+27062</f>
        <v>50825</v>
      </c>
      <c r="D50" s="485">
        <f>24314+51634</f>
        <v>75948</v>
      </c>
      <c r="E50" s="485">
        <f>18205+19555+30000</f>
        <v>67760</v>
      </c>
      <c r="F50" s="485">
        <v>23430</v>
      </c>
      <c r="G50" s="485">
        <f>27134+18539</f>
        <v>45673</v>
      </c>
      <c r="H50" s="486">
        <v>28402</v>
      </c>
      <c r="I50" s="485">
        <v>32053</v>
      </c>
      <c r="J50" s="485">
        <v>31594</v>
      </c>
      <c r="K50" s="485">
        <v>31458</v>
      </c>
      <c r="L50" s="485">
        <v>34774</v>
      </c>
      <c r="M50" s="485">
        <v>48111</v>
      </c>
      <c r="N50" s="485">
        <v>69203</v>
      </c>
      <c r="O50" s="486">
        <v>55856</v>
      </c>
      <c r="P50" s="485">
        <v>57399</v>
      </c>
      <c r="Q50" s="485">
        <v>38783</v>
      </c>
      <c r="R50" s="485">
        <v>47352</v>
      </c>
      <c r="S50" s="485">
        <v>45861</v>
      </c>
      <c r="T50" s="486">
        <v>21772</v>
      </c>
      <c r="U50" s="485">
        <v>20672</v>
      </c>
      <c r="V50" s="485">
        <v>31656</v>
      </c>
      <c r="W50" s="485">
        <v>22014</v>
      </c>
      <c r="X50" s="485">
        <v>25575</v>
      </c>
      <c r="Y50" s="485">
        <v>17307</v>
      </c>
      <c r="Z50" s="485">
        <v>30643</v>
      </c>
      <c r="AA50" s="485">
        <v>31994</v>
      </c>
      <c r="AB50" s="485">
        <v>24228</v>
      </c>
      <c r="AC50" s="485">
        <v>22518</v>
      </c>
      <c r="AD50" s="485">
        <v>18011</v>
      </c>
      <c r="AE50" s="485">
        <v>19131</v>
      </c>
      <c r="AF50" s="485">
        <v>18806</v>
      </c>
      <c r="AG50" s="485">
        <v>20787</v>
      </c>
      <c r="AH50" s="485">
        <v>26067</v>
      </c>
      <c r="AI50" s="485">
        <v>22736</v>
      </c>
      <c r="AJ50" s="485">
        <v>22510</v>
      </c>
      <c r="AK50" s="485">
        <v>26432</v>
      </c>
      <c r="AL50" s="485">
        <v>30863</v>
      </c>
      <c r="AM50" s="485">
        <v>22572</v>
      </c>
      <c r="AN50" s="485">
        <v>25260</v>
      </c>
      <c r="AO50" s="485">
        <v>31858</v>
      </c>
      <c r="AP50" s="485">
        <v>29637</v>
      </c>
      <c r="AQ50" s="485">
        <v>28825</v>
      </c>
      <c r="AR50" s="485">
        <v>29862</v>
      </c>
      <c r="AS50" s="485">
        <v>30252</v>
      </c>
      <c r="AT50" s="485">
        <v>30588</v>
      </c>
      <c r="AU50" s="485">
        <v>25480</v>
      </c>
      <c r="AV50" s="485">
        <v>26483</v>
      </c>
      <c r="AW50" s="485">
        <v>23986</v>
      </c>
      <c r="AX50" s="485">
        <v>27057</v>
      </c>
      <c r="AY50" s="485">
        <v>23261</v>
      </c>
      <c r="AZ50" s="485">
        <v>26414</v>
      </c>
      <c r="BA50" s="485">
        <v>31363</v>
      </c>
      <c r="BB50" s="485">
        <v>39126</v>
      </c>
      <c r="BC50" s="485">
        <v>32255</v>
      </c>
      <c r="BD50" s="485">
        <v>30478</v>
      </c>
      <c r="BE50" s="485">
        <v>29824</v>
      </c>
      <c r="BF50" s="485">
        <v>36632</v>
      </c>
      <c r="BG50" s="485">
        <v>30730</v>
      </c>
      <c r="BH50" s="485">
        <v>34519</v>
      </c>
      <c r="BI50" s="485">
        <v>38033</v>
      </c>
      <c r="BJ50" s="485">
        <v>45780</v>
      </c>
      <c r="BK50" s="485">
        <v>41642</v>
      </c>
      <c r="BL50" s="485">
        <v>39066</v>
      </c>
      <c r="BM50" s="485">
        <v>42920</v>
      </c>
      <c r="BN50" s="485">
        <v>71554</v>
      </c>
      <c r="BO50" s="485">
        <v>65281</v>
      </c>
    </row>
    <row r="51" spans="1:70" ht="12.75" x14ac:dyDescent="0.2">
      <c r="A51" s="267" t="s">
        <v>25</v>
      </c>
      <c r="B51" s="484" t="s">
        <v>25</v>
      </c>
      <c r="C51" s="485">
        <v>680</v>
      </c>
      <c r="D51" s="485">
        <v>13716</v>
      </c>
      <c r="E51" s="485">
        <v>11687</v>
      </c>
      <c r="F51" s="485">
        <v>6537</v>
      </c>
      <c r="G51" s="485">
        <v>6871</v>
      </c>
      <c r="H51" s="486">
        <v>2054</v>
      </c>
      <c r="I51" s="485">
        <v>2306</v>
      </c>
      <c r="J51" s="485">
        <v>2191</v>
      </c>
      <c r="K51" s="485">
        <v>2295</v>
      </c>
      <c r="L51" s="485">
        <v>2458</v>
      </c>
      <c r="M51" s="485">
        <v>2572</v>
      </c>
      <c r="N51" s="485">
        <v>641</v>
      </c>
      <c r="O51" s="486">
        <v>641</v>
      </c>
      <c r="P51" s="485">
        <v>641</v>
      </c>
      <c r="Q51" s="485">
        <v>641</v>
      </c>
      <c r="R51" s="485">
        <v>7480</v>
      </c>
      <c r="S51" s="485">
        <v>756</v>
      </c>
      <c r="T51" s="486">
        <v>1420</v>
      </c>
      <c r="U51" s="485">
        <v>0</v>
      </c>
      <c r="V51" s="485">
        <v>757</v>
      </c>
      <c r="W51" s="485">
        <v>0</v>
      </c>
      <c r="X51" s="485">
        <v>785</v>
      </c>
      <c r="Y51" s="485">
        <v>6139</v>
      </c>
      <c r="Z51" s="485">
        <v>6139</v>
      </c>
      <c r="AA51" s="485">
        <v>6081</v>
      </c>
      <c r="AB51" s="485">
        <v>5822</v>
      </c>
      <c r="AC51" s="485">
        <v>903</v>
      </c>
      <c r="AD51" s="485">
        <v>1128</v>
      </c>
      <c r="AE51" s="485">
        <v>1158</v>
      </c>
      <c r="AF51" s="485">
        <v>882</v>
      </c>
      <c r="AG51" s="485">
        <v>826</v>
      </c>
      <c r="AH51" s="485">
        <v>826</v>
      </c>
      <c r="AI51" s="485">
        <v>812</v>
      </c>
      <c r="AJ51" s="485">
        <v>784</v>
      </c>
      <c r="AK51" s="485">
        <v>1588</v>
      </c>
      <c r="AL51" s="485">
        <v>2311</v>
      </c>
      <c r="AM51" s="485">
        <v>98</v>
      </c>
      <c r="AN51" s="485">
        <v>1025</v>
      </c>
      <c r="AO51" s="485">
        <v>32</v>
      </c>
      <c r="AP51" s="485">
        <v>72</v>
      </c>
      <c r="AQ51" s="485">
        <v>28</v>
      </c>
      <c r="AR51" s="485">
        <v>37</v>
      </c>
      <c r="AS51" s="485">
        <v>35</v>
      </c>
      <c r="AT51" s="485">
        <v>73</v>
      </c>
      <c r="AU51" s="485">
        <v>54</v>
      </c>
      <c r="AV51" s="485">
        <v>25</v>
      </c>
      <c r="AW51" s="485">
        <v>421</v>
      </c>
      <c r="AX51" s="485">
        <v>141</v>
      </c>
      <c r="AY51" s="485">
        <v>69</v>
      </c>
      <c r="AZ51" s="485">
        <v>137</v>
      </c>
      <c r="BA51" s="485">
        <v>169</v>
      </c>
      <c r="BB51" s="485">
        <v>806</v>
      </c>
      <c r="BC51" s="485">
        <v>749</v>
      </c>
      <c r="BD51" s="485">
        <v>684</v>
      </c>
      <c r="BE51" s="485">
        <v>656</v>
      </c>
      <c r="BF51" s="485">
        <v>731</v>
      </c>
      <c r="BG51" s="485">
        <v>1155</v>
      </c>
      <c r="BH51" s="485">
        <v>894</v>
      </c>
      <c r="BI51" s="485">
        <v>869</v>
      </c>
      <c r="BJ51" s="485">
        <v>661</v>
      </c>
      <c r="BK51" s="485">
        <v>1120</v>
      </c>
      <c r="BL51" s="485">
        <v>1021</v>
      </c>
      <c r="BM51" s="485">
        <v>885</v>
      </c>
      <c r="BN51" s="485">
        <v>950</v>
      </c>
      <c r="BO51" s="485">
        <v>952</v>
      </c>
      <c r="BP51" s="1187"/>
      <c r="BQ51" s="1187"/>
      <c r="BR51" s="1187"/>
    </row>
    <row r="52" spans="1:70" ht="14.1" customHeight="1" x14ac:dyDescent="0.2">
      <c r="A52" s="267" t="s">
        <v>15</v>
      </c>
      <c r="B52" s="484" t="s">
        <v>15</v>
      </c>
      <c r="C52" s="485">
        <v>2941</v>
      </c>
      <c r="D52" s="485">
        <v>168</v>
      </c>
      <c r="E52" s="485">
        <v>2240</v>
      </c>
      <c r="F52" s="485">
        <v>2416</v>
      </c>
      <c r="G52" s="485">
        <v>975</v>
      </c>
      <c r="H52" s="486">
        <v>2695</v>
      </c>
      <c r="I52" s="485">
        <v>2763</v>
      </c>
      <c r="J52" s="485">
        <v>110</v>
      </c>
      <c r="K52" s="485">
        <v>8068</v>
      </c>
      <c r="L52" s="485">
        <v>1358</v>
      </c>
      <c r="M52" s="485">
        <v>3323</v>
      </c>
      <c r="N52" s="485">
        <v>1676</v>
      </c>
      <c r="O52" s="486">
        <v>4054</v>
      </c>
      <c r="P52" s="485">
        <v>0</v>
      </c>
      <c r="Q52" s="485">
        <v>0</v>
      </c>
      <c r="R52" s="485">
        <v>0</v>
      </c>
      <c r="S52" s="485">
        <v>4016</v>
      </c>
      <c r="T52" s="486">
        <v>2286</v>
      </c>
      <c r="U52" s="485">
        <v>0</v>
      </c>
      <c r="V52" s="485">
        <v>0</v>
      </c>
      <c r="W52" s="485">
        <v>0</v>
      </c>
      <c r="X52" s="485">
        <v>422</v>
      </c>
      <c r="Y52" s="485">
        <v>69</v>
      </c>
      <c r="Z52" s="485">
        <v>993</v>
      </c>
      <c r="AA52" s="485">
        <v>585</v>
      </c>
      <c r="AB52" s="485">
        <v>188</v>
      </c>
      <c r="AC52" s="485">
        <v>1384</v>
      </c>
      <c r="AD52" s="485">
        <v>4001</v>
      </c>
      <c r="AE52" s="485">
        <v>826</v>
      </c>
      <c r="AF52" s="488">
        <v>5862</v>
      </c>
      <c r="AG52" s="485">
        <v>5097</v>
      </c>
      <c r="AH52" s="488">
        <v>12170</v>
      </c>
      <c r="AI52" s="485">
        <v>5836</v>
      </c>
      <c r="AJ52" s="485">
        <v>448</v>
      </c>
      <c r="AK52" s="485">
        <v>4056</v>
      </c>
      <c r="AL52" s="485">
        <v>6438</v>
      </c>
      <c r="AM52" s="485">
        <v>7438</v>
      </c>
      <c r="AN52" s="485">
        <v>9910</v>
      </c>
      <c r="AO52" s="488">
        <v>41186</v>
      </c>
      <c r="AP52" s="485">
        <v>41998</v>
      </c>
      <c r="AQ52" s="485">
        <v>4523</v>
      </c>
      <c r="AR52" s="485">
        <v>5405</v>
      </c>
      <c r="AS52" s="485">
        <v>10964</v>
      </c>
      <c r="AT52" s="485">
        <v>10951</v>
      </c>
      <c r="AU52" s="485">
        <v>5150</v>
      </c>
      <c r="AV52" s="485">
        <v>6232</v>
      </c>
      <c r="AW52" s="485">
        <v>4883</v>
      </c>
      <c r="AX52" s="485">
        <v>9324</v>
      </c>
      <c r="AY52" s="485">
        <v>5432</v>
      </c>
      <c r="AZ52" s="485">
        <v>8927</v>
      </c>
      <c r="BA52" s="485">
        <v>21353</v>
      </c>
      <c r="BB52" s="485">
        <v>11401</v>
      </c>
      <c r="BC52" s="485">
        <v>13713</v>
      </c>
      <c r="BD52" s="485">
        <v>7341</v>
      </c>
      <c r="BE52" s="485">
        <v>13722</v>
      </c>
      <c r="BF52" s="485">
        <v>12920</v>
      </c>
      <c r="BG52" s="485">
        <v>10143</v>
      </c>
      <c r="BH52" s="485">
        <v>21817</v>
      </c>
      <c r="BI52" s="485">
        <v>34383</v>
      </c>
      <c r="BJ52" s="485">
        <v>31386</v>
      </c>
      <c r="BK52" s="485">
        <v>12492</v>
      </c>
      <c r="BL52" s="485">
        <v>23843</v>
      </c>
      <c r="BM52" s="485">
        <v>29774</v>
      </c>
      <c r="BN52" s="485">
        <v>13406</v>
      </c>
      <c r="BO52" s="485">
        <v>18349</v>
      </c>
    </row>
    <row r="53" spans="1:70" ht="14.1" customHeight="1" collapsed="1" x14ac:dyDescent="0.2">
      <c r="B53" s="509" t="s">
        <v>566</v>
      </c>
      <c r="C53" s="510">
        <v>0</v>
      </c>
      <c r="D53" s="510">
        <v>0</v>
      </c>
      <c r="E53" s="510">
        <v>0</v>
      </c>
      <c r="F53" s="510">
        <v>0</v>
      </c>
      <c r="G53" s="510">
        <v>0</v>
      </c>
      <c r="H53" s="489">
        <v>0</v>
      </c>
      <c r="I53" s="510">
        <v>0</v>
      </c>
      <c r="J53" s="510">
        <v>0</v>
      </c>
      <c r="K53" s="510">
        <v>0</v>
      </c>
      <c r="L53" s="510">
        <v>0</v>
      </c>
      <c r="M53" s="510">
        <v>0</v>
      </c>
      <c r="N53" s="510">
        <v>0</v>
      </c>
      <c r="O53" s="489">
        <v>0</v>
      </c>
      <c r="P53" s="510">
        <v>0</v>
      </c>
      <c r="Q53" s="510">
        <v>0</v>
      </c>
      <c r="R53" s="510">
        <v>0</v>
      </c>
      <c r="S53" s="510">
        <v>0</v>
      </c>
      <c r="T53" s="489">
        <v>0</v>
      </c>
      <c r="U53" s="510">
        <v>0</v>
      </c>
      <c r="V53" s="510">
        <v>0</v>
      </c>
      <c r="W53" s="510">
        <v>0</v>
      </c>
      <c r="X53" s="510">
        <v>0</v>
      </c>
      <c r="Y53" s="510">
        <v>0</v>
      </c>
      <c r="Z53" s="510">
        <v>0</v>
      </c>
      <c r="AA53" s="510">
        <v>0</v>
      </c>
      <c r="AB53" s="510">
        <v>0</v>
      </c>
      <c r="AC53" s="510">
        <v>0</v>
      </c>
      <c r="AD53" s="510">
        <v>3284</v>
      </c>
      <c r="AE53" s="510">
        <v>3284</v>
      </c>
      <c r="AF53" s="510">
        <v>0</v>
      </c>
      <c r="AG53" s="510">
        <v>0</v>
      </c>
      <c r="AH53" s="510">
        <v>3128</v>
      </c>
      <c r="AI53" s="510">
        <v>3128</v>
      </c>
      <c r="AJ53" s="510">
        <v>0</v>
      </c>
      <c r="AK53" s="510">
        <v>0</v>
      </c>
      <c r="AL53" s="510">
        <v>0</v>
      </c>
      <c r="AM53" s="510">
        <v>0</v>
      </c>
      <c r="AN53" s="510">
        <v>0</v>
      </c>
      <c r="AO53" s="510">
        <v>0</v>
      </c>
      <c r="AP53" s="510">
        <v>0</v>
      </c>
      <c r="AQ53" s="510">
        <v>0</v>
      </c>
      <c r="AR53" s="510">
        <v>0</v>
      </c>
      <c r="AS53" s="510">
        <v>0</v>
      </c>
      <c r="AT53" s="510">
        <v>0</v>
      </c>
      <c r="AU53" s="510">
        <v>0</v>
      </c>
      <c r="AV53" s="510">
        <v>0</v>
      </c>
      <c r="AW53" s="510">
        <v>0</v>
      </c>
      <c r="AX53" s="510">
        <v>0</v>
      </c>
      <c r="AY53" s="510">
        <v>0</v>
      </c>
      <c r="AZ53" s="510">
        <v>0</v>
      </c>
      <c r="BA53" s="510">
        <v>0</v>
      </c>
      <c r="BB53" s="510">
        <v>0</v>
      </c>
      <c r="BC53" s="510">
        <v>0</v>
      </c>
      <c r="BD53" s="510">
        <v>0</v>
      </c>
      <c r="BE53" s="510">
        <v>0</v>
      </c>
      <c r="BF53" s="510">
        <v>0</v>
      </c>
      <c r="BG53" s="510">
        <v>0</v>
      </c>
      <c r="BH53" s="510">
        <v>0</v>
      </c>
      <c r="BI53" s="510">
        <v>0</v>
      </c>
      <c r="BJ53" s="510">
        <v>0</v>
      </c>
      <c r="BK53" s="510">
        <v>0</v>
      </c>
      <c r="BL53" s="510">
        <v>0</v>
      </c>
      <c r="BM53" s="510">
        <v>0</v>
      </c>
      <c r="BN53" s="510">
        <v>0</v>
      </c>
      <c r="BO53" s="510">
        <v>0</v>
      </c>
    </row>
    <row r="54" spans="1:70" ht="14.1" hidden="1" customHeight="1" outlineLevel="1" x14ac:dyDescent="0.2">
      <c r="A54" s="267" t="s">
        <v>371</v>
      </c>
      <c r="B54" s="490" t="s">
        <v>371</v>
      </c>
      <c r="C54" s="491">
        <v>0</v>
      </c>
      <c r="D54" s="491">
        <v>0</v>
      </c>
      <c r="E54" s="491">
        <v>0</v>
      </c>
      <c r="F54" s="491">
        <v>0</v>
      </c>
      <c r="G54" s="491">
        <v>0</v>
      </c>
      <c r="H54" s="491">
        <v>0</v>
      </c>
      <c r="I54" s="491">
        <v>0</v>
      </c>
      <c r="J54" s="491">
        <v>0</v>
      </c>
      <c r="K54" s="491">
        <v>19830</v>
      </c>
      <c r="L54" s="491">
        <v>15978</v>
      </c>
      <c r="M54" s="491">
        <v>6127</v>
      </c>
      <c r="N54" s="491">
        <v>0</v>
      </c>
      <c r="O54" s="492">
        <v>0</v>
      </c>
      <c r="P54" s="491">
        <v>0</v>
      </c>
      <c r="Q54" s="491">
        <v>0</v>
      </c>
      <c r="R54" s="491">
        <v>0</v>
      </c>
      <c r="S54" s="491">
        <v>0</v>
      </c>
      <c r="T54" s="492">
        <v>0</v>
      </c>
      <c r="U54" s="491">
        <v>0</v>
      </c>
      <c r="V54" s="491">
        <v>0</v>
      </c>
      <c r="W54" s="491">
        <v>0</v>
      </c>
      <c r="X54" s="491">
        <v>0</v>
      </c>
      <c r="Y54" s="491">
        <v>0</v>
      </c>
      <c r="Z54" s="491">
        <v>0</v>
      </c>
      <c r="AA54" s="491">
        <v>11366</v>
      </c>
      <c r="AB54" s="491">
        <v>11749</v>
      </c>
      <c r="AC54" s="491">
        <v>12157</v>
      </c>
      <c r="AD54" s="491">
        <v>12541</v>
      </c>
      <c r="AE54" s="491">
        <v>0</v>
      </c>
      <c r="AF54" s="491">
        <v>0</v>
      </c>
      <c r="AG54" s="491">
        <v>0</v>
      </c>
      <c r="AH54" s="491">
        <v>0</v>
      </c>
      <c r="AI54" s="485">
        <v>0</v>
      </c>
      <c r="AJ54" s="485">
        <v>0</v>
      </c>
      <c r="AK54" s="485">
        <v>0</v>
      </c>
      <c r="AL54" s="485">
        <v>0</v>
      </c>
      <c r="AM54" s="485">
        <v>0</v>
      </c>
      <c r="AN54" s="485">
        <v>0</v>
      </c>
      <c r="AO54" s="485">
        <v>0</v>
      </c>
      <c r="AP54" s="485">
        <v>0</v>
      </c>
      <c r="AQ54" s="485">
        <v>0</v>
      </c>
      <c r="AR54" s="485">
        <v>0</v>
      </c>
      <c r="AS54" s="485">
        <v>0</v>
      </c>
      <c r="AT54" s="485">
        <v>0</v>
      </c>
      <c r="AU54" s="485">
        <v>0</v>
      </c>
      <c r="AV54" s="485">
        <v>0</v>
      </c>
      <c r="AW54" s="485">
        <v>0</v>
      </c>
      <c r="AX54" s="485"/>
      <c r="AY54" s="485">
        <v>0</v>
      </c>
      <c r="AZ54" s="485">
        <v>0</v>
      </c>
      <c r="BA54" s="485">
        <v>0</v>
      </c>
      <c r="BB54" s="485">
        <v>0</v>
      </c>
      <c r="BC54" s="485">
        <v>0</v>
      </c>
      <c r="BD54" s="485">
        <v>0</v>
      </c>
      <c r="BE54" s="485">
        <v>0</v>
      </c>
      <c r="BF54" s="485">
        <v>0</v>
      </c>
      <c r="BG54" s="485"/>
      <c r="BH54" s="485"/>
      <c r="BI54" s="485"/>
      <c r="BJ54" s="485">
        <v>0</v>
      </c>
      <c r="BK54" s="485"/>
      <c r="BL54" s="485">
        <v>0</v>
      </c>
      <c r="BM54" s="485">
        <v>0</v>
      </c>
      <c r="BN54" s="485">
        <v>0</v>
      </c>
      <c r="BO54" s="485">
        <v>0</v>
      </c>
    </row>
    <row r="55" spans="1:70" ht="14.1" hidden="1" customHeight="1" outlineLevel="1" x14ac:dyDescent="0.2">
      <c r="B55" s="490" t="s">
        <v>18</v>
      </c>
      <c r="C55" s="491">
        <v>2165</v>
      </c>
      <c r="D55" s="491">
        <v>1812</v>
      </c>
      <c r="E55" s="491">
        <v>1736</v>
      </c>
      <c r="F55" s="491">
        <v>2639</v>
      </c>
      <c r="G55" s="491">
        <v>3376</v>
      </c>
      <c r="H55" s="491">
        <v>2871</v>
      </c>
      <c r="I55" s="491">
        <v>2441</v>
      </c>
      <c r="J55" s="491">
        <v>1343</v>
      </c>
      <c r="K55" s="491">
        <v>18022</v>
      </c>
      <c r="L55" s="491">
        <v>1983</v>
      </c>
      <c r="M55" s="491">
        <v>1692</v>
      </c>
      <c r="N55" s="491">
        <v>2230</v>
      </c>
      <c r="O55" s="492">
        <v>1854</v>
      </c>
      <c r="P55" s="491">
        <v>1164</v>
      </c>
      <c r="Q55" s="491">
        <v>814</v>
      </c>
      <c r="R55" s="491">
        <v>1060</v>
      </c>
      <c r="S55" s="491">
        <v>1048</v>
      </c>
      <c r="T55" s="492">
        <v>104</v>
      </c>
      <c r="U55" s="491">
        <v>409</v>
      </c>
      <c r="V55" s="491">
        <v>28</v>
      </c>
      <c r="W55" s="491">
        <v>9</v>
      </c>
      <c r="X55" s="491">
        <v>29</v>
      </c>
      <c r="Y55" s="491">
        <v>26</v>
      </c>
      <c r="Z55" s="491">
        <v>29</v>
      </c>
      <c r="AA55" s="491">
        <v>29</v>
      </c>
      <c r="AB55" s="491">
        <v>29</v>
      </c>
      <c r="AC55" s="491">
        <v>26</v>
      </c>
      <c r="AD55" s="491">
        <v>19</v>
      </c>
      <c r="AE55" s="491">
        <v>0</v>
      </c>
      <c r="AF55" s="491">
        <v>0</v>
      </c>
      <c r="AG55" s="491">
        <v>386</v>
      </c>
      <c r="AH55" s="491">
        <v>6034</v>
      </c>
      <c r="AI55" s="485">
        <v>0</v>
      </c>
      <c r="AJ55" s="485">
        <v>0</v>
      </c>
      <c r="AK55" s="485">
        <v>0</v>
      </c>
      <c r="AL55" s="485">
        <v>0</v>
      </c>
      <c r="AM55" s="485">
        <v>0</v>
      </c>
      <c r="AN55" s="485">
        <v>0</v>
      </c>
      <c r="AO55" s="485">
        <v>0</v>
      </c>
      <c r="AP55" s="485">
        <v>0</v>
      </c>
      <c r="AQ55" s="485">
        <v>0</v>
      </c>
      <c r="AR55" s="485">
        <v>0</v>
      </c>
      <c r="AS55" s="485">
        <v>0</v>
      </c>
      <c r="AT55" s="485">
        <v>0</v>
      </c>
      <c r="AU55" s="485">
        <v>0</v>
      </c>
      <c r="AV55" s="485">
        <v>0</v>
      </c>
      <c r="AW55" s="485">
        <v>0</v>
      </c>
      <c r="AX55" s="485"/>
      <c r="AY55" s="485">
        <v>0</v>
      </c>
      <c r="AZ55" s="485">
        <v>0</v>
      </c>
      <c r="BA55" s="485">
        <v>86</v>
      </c>
      <c r="BB55" s="485">
        <v>86</v>
      </c>
      <c r="BC55" s="485">
        <v>86</v>
      </c>
      <c r="BD55" s="485">
        <v>86</v>
      </c>
      <c r="BE55" s="485">
        <v>86</v>
      </c>
      <c r="BF55" s="485">
        <v>86</v>
      </c>
      <c r="BG55" s="485"/>
      <c r="BH55" s="485"/>
      <c r="BI55" s="485"/>
      <c r="BJ55" s="485">
        <v>0</v>
      </c>
      <c r="BK55" s="485"/>
      <c r="BL55" s="485">
        <v>0</v>
      </c>
      <c r="BM55" s="485">
        <v>0</v>
      </c>
      <c r="BN55" s="485">
        <v>0</v>
      </c>
      <c r="BO55" s="485">
        <v>0</v>
      </c>
    </row>
    <row r="56" spans="1:70" ht="14.1" hidden="1" customHeight="1" outlineLevel="1" x14ac:dyDescent="0.2">
      <c r="B56" s="490" t="s">
        <v>81</v>
      </c>
      <c r="C56" s="491">
        <v>4825</v>
      </c>
      <c r="D56" s="491">
        <v>3371</v>
      </c>
      <c r="E56" s="491">
        <v>7832</v>
      </c>
      <c r="F56" s="491">
        <v>8877</v>
      </c>
      <c r="G56" s="491">
        <v>8637</v>
      </c>
      <c r="H56" s="491">
        <v>8246</v>
      </c>
      <c r="I56" s="491">
        <v>9596</v>
      </c>
      <c r="J56" s="491">
        <v>5422</v>
      </c>
      <c r="K56" s="491">
        <v>35680</v>
      </c>
      <c r="L56" s="491">
        <v>7971</v>
      </c>
      <c r="M56" s="491">
        <v>8750</v>
      </c>
      <c r="N56" s="491">
        <v>3890</v>
      </c>
      <c r="O56" s="492">
        <v>5580</v>
      </c>
      <c r="P56" s="491">
        <v>7258</v>
      </c>
      <c r="Q56" s="491">
        <v>6254</v>
      </c>
      <c r="R56" s="491">
        <v>4279</v>
      </c>
      <c r="S56" s="491">
        <v>4106</v>
      </c>
      <c r="T56" s="492">
        <v>6459</v>
      </c>
      <c r="U56" s="491">
        <v>5992</v>
      </c>
      <c r="V56" s="491">
        <v>4673</v>
      </c>
      <c r="W56" s="491">
        <v>3753</v>
      </c>
      <c r="X56" s="491">
        <v>3474</v>
      </c>
      <c r="Y56" s="491">
        <v>3527</v>
      </c>
      <c r="Z56" s="491">
        <v>0</v>
      </c>
      <c r="AA56" s="491">
        <v>0</v>
      </c>
      <c r="AB56" s="491">
        <v>0</v>
      </c>
      <c r="AC56" s="491">
        <v>0</v>
      </c>
      <c r="AD56" s="491">
        <v>0</v>
      </c>
      <c r="AE56" s="491">
        <v>0</v>
      </c>
      <c r="AF56" s="491">
        <v>0</v>
      </c>
      <c r="AG56" s="491">
        <v>0</v>
      </c>
      <c r="AH56" s="491">
        <v>0</v>
      </c>
      <c r="AI56" s="485">
        <v>0</v>
      </c>
      <c r="AJ56" s="485">
        <v>0</v>
      </c>
      <c r="AK56" s="485">
        <v>0</v>
      </c>
      <c r="AL56" s="485">
        <v>0</v>
      </c>
      <c r="AM56" s="485">
        <v>0</v>
      </c>
      <c r="AN56" s="485">
        <v>0</v>
      </c>
      <c r="AO56" s="485">
        <v>0</v>
      </c>
      <c r="AP56" s="485">
        <v>0</v>
      </c>
      <c r="AQ56" s="485">
        <v>0</v>
      </c>
      <c r="AR56" s="485">
        <v>0</v>
      </c>
      <c r="AS56" s="485">
        <v>0</v>
      </c>
      <c r="AT56" s="485">
        <v>0</v>
      </c>
      <c r="AU56" s="485">
        <v>0</v>
      </c>
      <c r="AV56" s="485">
        <v>0</v>
      </c>
      <c r="AW56" s="485">
        <v>0</v>
      </c>
      <c r="AX56" s="485"/>
      <c r="AY56" s="485">
        <v>0</v>
      </c>
      <c r="AZ56" s="485">
        <v>0</v>
      </c>
      <c r="BA56" s="485">
        <v>0</v>
      </c>
      <c r="BB56" s="485">
        <v>0</v>
      </c>
      <c r="BC56" s="485">
        <v>0</v>
      </c>
      <c r="BD56" s="485">
        <v>0</v>
      </c>
      <c r="BE56" s="485">
        <v>0</v>
      </c>
      <c r="BF56" s="485">
        <v>0</v>
      </c>
      <c r="BG56" s="485"/>
      <c r="BH56" s="485"/>
      <c r="BI56" s="485"/>
      <c r="BJ56" s="485">
        <v>0</v>
      </c>
      <c r="BK56" s="485"/>
      <c r="BL56" s="485">
        <v>0</v>
      </c>
      <c r="BM56" s="485">
        <v>0</v>
      </c>
      <c r="BN56" s="485">
        <v>0</v>
      </c>
      <c r="BO56" s="485">
        <v>0</v>
      </c>
    </row>
    <row r="57" spans="1:70" ht="14.1" hidden="1" customHeight="1" outlineLevel="1" x14ac:dyDescent="0.2">
      <c r="B57" s="490" t="s">
        <v>21</v>
      </c>
      <c r="C57" s="491">
        <v>0</v>
      </c>
      <c r="D57" s="491">
        <v>0</v>
      </c>
      <c r="E57" s="491">
        <v>0</v>
      </c>
      <c r="F57" s="491">
        <v>0</v>
      </c>
      <c r="G57" s="491">
        <v>1261</v>
      </c>
      <c r="H57" s="491">
        <v>4437</v>
      </c>
      <c r="I57" s="491">
        <v>0</v>
      </c>
      <c r="J57" s="491">
        <v>0</v>
      </c>
      <c r="K57" s="491">
        <v>1000</v>
      </c>
      <c r="L57" s="491">
        <v>0</v>
      </c>
      <c r="M57" s="491">
        <v>0</v>
      </c>
      <c r="N57" s="491">
        <v>0</v>
      </c>
      <c r="O57" s="492">
        <v>1774</v>
      </c>
      <c r="P57" s="491">
        <v>0</v>
      </c>
      <c r="Q57" s="491">
        <v>0</v>
      </c>
      <c r="R57" s="491">
        <v>0</v>
      </c>
      <c r="S57" s="491">
        <v>0</v>
      </c>
      <c r="T57" s="492">
        <v>0</v>
      </c>
      <c r="U57" s="491">
        <v>0</v>
      </c>
      <c r="V57" s="491">
        <v>0</v>
      </c>
      <c r="W57" s="491">
        <v>0</v>
      </c>
      <c r="X57" s="491">
        <v>0</v>
      </c>
      <c r="Y57" s="491">
        <v>0</v>
      </c>
      <c r="Z57" s="491">
        <v>0</v>
      </c>
      <c r="AA57" s="491">
        <v>0</v>
      </c>
      <c r="AB57" s="491">
        <v>0</v>
      </c>
      <c r="AC57" s="491">
        <v>0</v>
      </c>
      <c r="AD57" s="491">
        <v>0</v>
      </c>
      <c r="AE57" s="491">
        <v>0</v>
      </c>
      <c r="AF57" s="491">
        <v>0</v>
      </c>
      <c r="AG57" s="491">
        <v>0</v>
      </c>
      <c r="AH57" s="491">
        <v>0</v>
      </c>
      <c r="AI57" s="485">
        <v>0</v>
      </c>
      <c r="AJ57" s="485">
        <v>0</v>
      </c>
      <c r="AK57" s="485">
        <v>0</v>
      </c>
      <c r="AL57" s="485">
        <v>0</v>
      </c>
      <c r="AM57" s="485">
        <v>0</v>
      </c>
      <c r="AN57" s="485">
        <v>0</v>
      </c>
      <c r="AO57" s="485">
        <v>0</v>
      </c>
      <c r="AP57" s="485">
        <v>0</v>
      </c>
      <c r="AQ57" s="485">
        <v>0</v>
      </c>
      <c r="AR57" s="485">
        <v>0</v>
      </c>
      <c r="AS57" s="485">
        <v>0</v>
      </c>
      <c r="AT57" s="485">
        <v>0</v>
      </c>
      <c r="AU57" s="485">
        <v>0</v>
      </c>
      <c r="AV57" s="485">
        <v>0</v>
      </c>
      <c r="AW57" s="485">
        <v>0</v>
      </c>
      <c r="AX57" s="485"/>
      <c r="AY57" s="485">
        <v>0</v>
      </c>
      <c r="AZ57" s="485">
        <v>0</v>
      </c>
      <c r="BA57" s="485">
        <v>0</v>
      </c>
      <c r="BB57" s="485">
        <v>0</v>
      </c>
      <c r="BC57" s="485">
        <v>0</v>
      </c>
      <c r="BD57" s="485">
        <v>0</v>
      </c>
      <c r="BE57" s="485">
        <v>0</v>
      </c>
      <c r="BF57" s="485">
        <v>0</v>
      </c>
      <c r="BG57" s="485"/>
      <c r="BH57" s="485"/>
      <c r="BI57" s="485"/>
      <c r="BJ57" s="485">
        <v>0</v>
      </c>
      <c r="BK57" s="485"/>
      <c r="BL57" s="485">
        <v>0</v>
      </c>
      <c r="BM57" s="485">
        <v>0</v>
      </c>
      <c r="BN57" s="485">
        <v>0</v>
      </c>
      <c r="BO57" s="485">
        <v>0</v>
      </c>
    </row>
    <row r="58" spans="1:70" ht="14.1" hidden="1" customHeight="1" outlineLevel="1" x14ac:dyDescent="0.2">
      <c r="B58" s="490" t="s">
        <v>41</v>
      </c>
      <c r="C58" s="491">
        <v>0</v>
      </c>
      <c r="D58" s="491">
        <v>0</v>
      </c>
      <c r="E58" s="491">
        <v>0</v>
      </c>
      <c r="F58" s="491">
        <v>0</v>
      </c>
      <c r="G58" s="491">
        <v>0</v>
      </c>
      <c r="H58" s="491">
        <v>0</v>
      </c>
      <c r="I58" s="491">
        <v>0</v>
      </c>
      <c r="J58" s="491">
        <v>5059</v>
      </c>
      <c r="K58" s="491">
        <v>0</v>
      </c>
      <c r="L58" s="491">
        <v>0</v>
      </c>
      <c r="M58" s="491">
        <v>0</v>
      </c>
      <c r="N58" s="491">
        <v>0</v>
      </c>
      <c r="O58" s="492">
        <v>0</v>
      </c>
      <c r="P58" s="491">
        <v>0</v>
      </c>
      <c r="Q58" s="491">
        <v>52240</v>
      </c>
      <c r="R58" s="491">
        <v>0</v>
      </c>
      <c r="S58" s="491">
        <v>0</v>
      </c>
      <c r="T58" s="492">
        <v>0</v>
      </c>
      <c r="U58" s="491">
        <v>0</v>
      </c>
      <c r="V58" s="491">
        <v>0</v>
      </c>
      <c r="W58" s="491">
        <v>0</v>
      </c>
      <c r="X58" s="491">
        <v>0</v>
      </c>
      <c r="Y58" s="491">
        <v>0</v>
      </c>
      <c r="Z58" s="491">
        <v>0</v>
      </c>
      <c r="AA58" s="491">
        <v>0</v>
      </c>
      <c r="AB58" s="491">
        <v>0</v>
      </c>
      <c r="AC58" s="491">
        <v>0</v>
      </c>
      <c r="AD58" s="491">
        <v>0</v>
      </c>
      <c r="AE58" s="491">
        <v>0</v>
      </c>
      <c r="AF58" s="491">
        <v>0</v>
      </c>
      <c r="AG58" s="491">
        <v>0</v>
      </c>
      <c r="AH58" s="491">
        <v>0</v>
      </c>
      <c r="AI58" s="485">
        <v>0</v>
      </c>
      <c r="AJ58" s="485">
        <v>0</v>
      </c>
      <c r="AK58" s="485">
        <v>0</v>
      </c>
      <c r="AL58" s="485">
        <v>0</v>
      </c>
      <c r="AM58" s="485">
        <v>0</v>
      </c>
      <c r="AN58" s="485">
        <v>0</v>
      </c>
      <c r="AO58" s="485">
        <v>0</v>
      </c>
      <c r="AP58" s="485">
        <v>0</v>
      </c>
      <c r="AQ58" s="485">
        <v>0</v>
      </c>
      <c r="AR58" s="485">
        <v>0</v>
      </c>
      <c r="AS58" s="485">
        <v>0</v>
      </c>
      <c r="AT58" s="485">
        <v>0</v>
      </c>
      <c r="AU58" s="485">
        <v>0</v>
      </c>
      <c r="AV58" s="485">
        <v>0</v>
      </c>
      <c r="AW58" s="485">
        <v>0</v>
      </c>
      <c r="AX58" s="485"/>
      <c r="AY58" s="485">
        <v>0</v>
      </c>
      <c r="AZ58" s="485">
        <v>0</v>
      </c>
      <c r="BA58" s="485">
        <v>0</v>
      </c>
      <c r="BB58" s="485">
        <v>0</v>
      </c>
      <c r="BC58" s="485">
        <v>0</v>
      </c>
      <c r="BD58" s="485">
        <v>0</v>
      </c>
      <c r="BE58" s="485">
        <v>0</v>
      </c>
      <c r="BF58" s="485">
        <v>0</v>
      </c>
      <c r="BG58" s="485"/>
      <c r="BH58" s="485"/>
      <c r="BI58" s="485"/>
      <c r="BJ58" s="485">
        <v>0</v>
      </c>
      <c r="BK58" s="485"/>
      <c r="BL58" s="485">
        <v>0</v>
      </c>
      <c r="BM58" s="485">
        <v>0</v>
      </c>
      <c r="BN58" s="485">
        <v>0</v>
      </c>
      <c r="BO58" s="485">
        <v>0</v>
      </c>
    </row>
    <row r="59" spans="1:70" ht="14.1" hidden="1" customHeight="1" outlineLevel="1" x14ac:dyDescent="0.2">
      <c r="B59" s="504" t="s">
        <v>59</v>
      </c>
      <c r="C59" s="495">
        <v>0</v>
      </c>
      <c r="D59" s="495">
        <v>0</v>
      </c>
      <c r="E59" s="495">
        <v>0</v>
      </c>
      <c r="F59" s="495">
        <v>0</v>
      </c>
      <c r="G59" s="495">
        <v>0</v>
      </c>
      <c r="H59" s="495">
        <v>0</v>
      </c>
      <c r="I59" s="495">
        <v>0</v>
      </c>
      <c r="J59" s="495">
        <v>0</v>
      </c>
      <c r="K59" s="495">
        <v>0</v>
      </c>
      <c r="L59" s="495">
        <v>0</v>
      </c>
      <c r="M59" s="495">
        <v>0</v>
      </c>
      <c r="N59" s="495">
        <v>0</v>
      </c>
      <c r="O59" s="496">
        <v>0</v>
      </c>
      <c r="P59" s="495">
        <v>0</v>
      </c>
      <c r="Q59" s="495">
        <v>0</v>
      </c>
      <c r="R59" s="495">
        <v>0</v>
      </c>
      <c r="S59" s="495">
        <v>0</v>
      </c>
      <c r="T59" s="496">
        <v>149042</v>
      </c>
      <c r="U59" s="495">
        <v>0</v>
      </c>
      <c r="V59" s="495">
        <v>0</v>
      </c>
      <c r="W59" s="495">
        <v>0</v>
      </c>
      <c r="X59" s="495">
        <v>0</v>
      </c>
      <c r="Y59" s="495">
        <v>0</v>
      </c>
      <c r="Z59" s="495">
        <v>0</v>
      </c>
      <c r="AA59" s="495">
        <v>0</v>
      </c>
      <c r="AB59" s="495">
        <v>0</v>
      </c>
      <c r="AC59" s="495">
        <v>0</v>
      </c>
      <c r="AD59" s="495">
        <v>0</v>
      </c>
      <c r="AE59" s="495">
        <v>0</v>
      </c>
      <c r="AF59" s="495">
        <v>0</v>
      </c>
      <c r="AG59" s="495">
        <v>0</v>
      </c>
      <c r="AH59" s="495">
        <v>0</v>
      </c>
      <c r="AI59" s="510">
        <v>0</v>
      </c>
      <c r="AJ59" s="510">
        <v>0</v>
      </c>
      <c r="AK59" s="510">
        <v>0</v>
      </c>
      <c r="AL59" s="510">
        <v>0</v>
      </c>
      <c r="AM59" s="510">
        <v>0</v>
      </c>
      <c r="AN59" s="510">
        <v>0</v>
      </c>
      <c r="AO59" s="510">
        <v>0</v>
      </c>
      <c r="AP59" s="510">
        <v>0</v>
      </c>
      <c r="AQ59" s="510">
        <v>0</v>
      </c>
      <c r="AR59" s="510">
        <v>0</v>
      </c>
      <c r="AS59" s="510">
        <v>0</v>
      </c>
      <c r="AT59" s="510">
        <v>0</v>
      </c>
      <c r="AU59" s="510">
        <v>0</v>
      </c>
      <c r="AV59" s="510">
        <v>0</v>
      </c>
      <c r="AW59" s="510">
        <v>0</v>
      </c>
      <c r="AX59" s="510"/>
      <c r="AY59" s="510">
        <v>0</v>
      </c>
      <c r="AZ59" s="510">
        <v>0</v>
      </c>
      <c r="BA59" s="510">
        <v>0</v>
      </c>
      <c r="BB59" s="510">
        <v>0</v>
      </c>
      <c r="BC59" s="510">
        <v>0</v>
      </c>
      <c r="BD59" s="510">
        <v>0</v>
      </c>
      <c r="BE59" s="510">
        <v>0</v>
      </c>
      <c r="BF59" s="510">
        <v>0</v>
      </c>
      <c r="BG59" s="510"/>
      <c r="BH59" s="510"/>
      <c r="BI59" s="510"/>
      <c r="BJ59" s="510">
        <v>0</v>
      </c>
      <c r="BK59" s="510"/>
      <c r="BL59" s="510">
        <v>0</v>
      </c>
      <c r="BM59" s="510">
        <v>0</v>
      </c>
      <c r="BN59" s="510">
        <v>0</v>
      </c>
      <c r="BO59" s="510">
        <v>0</v>
      </c>
    </row>
    <row r="60" spans="1:70" ht="6.75" customHeight="1" x14ac:dyDescent="0.2">
      <c r="B60" s="497"/>
      <c r="C60" s="714"/>
      <c r="D60" s="714"/>
      <c r="E60" s="714"/>
      <c r="F60" s="714"/>
      <c r="G60" s="714"/>
      <c r="H60" s="714"/>
      <c r="I60" s="714"/>
      <c r="J60" s="714"/>
      <c r="K60" s="714"/>
      <c r="L60" s="714"/>
      <c r="M60" s="714"/>
      <c r="N60" s="714"/>
      <c r="O60" s="713"/>
      <c r="P60" s="714"/>
      <c r="Q60" s="714"/>
      <c r="R60" s="714"/>
      <c r="S60" s="714"/>
      <c r="T60" s="722">
        <f t="shared" ref="T60:AC60" si="29">+T44+T43</f>
        <v>12539</v>
      </c>
      <c r="U60" s="723">
        <f t="shared" si="29"/>
        <v>32641</v>
      </c>
      <c r="V60" s="704">
        <f t="shared" si="29"/>
        <v>35778</v>
      </c>
      <c r="W60" s="704">
        <f t="shared" si="29"/>
        <v>129580</v>
      </c>
      <c r="X60" s="704">
        <f t="shared" si="29"/>
        <v>32434</v>
      </c>
      <c r="Y60" s="704">
        <f t="shared" si="29"/>
        <v>32032</v>
      </c>
      <c r="Z60" s="704">
        <f t="shared" si="29"/>
        <v>83109</v>
      </c>
      <c r="AA60" s="704">
        <f t="shared" si="29"/>
        <v>127599</v>
      </c>
      <c r="AB60" s="704">
        <f t="shared" si="29"/>
        <v>128589</v>
      </c>
      <c r="AC60" s="704">
        <f t="shared" si="29"/>
        <v>127990</v>
      </c>
      <c r="AD60" s="704">
        <v>128091</v>
      </c>
      <c r="AE60" s="704">
        <v>123424</v>
      </c>
      <c r="AF60" s="704">
        <v>122970</v>
      </c>
      <c r="AG60" s="724" t="s">
        <v>89</v>
      </c>
      <c r="AH60" s="724"/>
      <c r="AI60" s="725"/>
      <c r="AJ60" s="725"/>
      <c r="AK60" s="725"/>
      <c r="AL60" s="725"/>
      <c r="AM60" s="725"/>
      <c r="AN60" s="725"/>
      <c r="AO60" s="725"/>
      <c r="AP60" s="725"/>
      <c r="AQ60" s="725"/>
      <c r="AR60" s="725"/>
      <c r="AS60" s="725"/>
      <c r="AT60" s="725"/>
      <c r="AU60" s="725"/>
      <c r="AV60" s="725"/>
      <c r="AW60" s="725"/>
      <c r="AX60" s="725"/>
      <c r="AY60" s="725"/>
      <c r="AZ60" s="725"/>
      <c r="BA60" s="725"/>
      <c r="BB60" s="725"/>
      <c r="BC60" s="725"/>
      <c r="BD60" s="725"/>
      <c r="BE60" s="725"/>
      <c r="BF60" s="725"/>
      <c r="BG60" s="725"/>
      <c r="BH60" s="725"/>
      <c r="BI60" s="725"/>
      <c r="BJ60" s="725"/>
      <c r="BK60" s="725"/>
      <c r="BL60" s="725"/>
      <c r="BM60" s="725"/>
      <c r="BN60" s="725"/>
      <c r="BO60" s="725"/>
    </row>
    <row r="61" spans="1:70" ht="14.1" customHeight="1" x14ac:dyDescent="0.2">
      <c r="B61" s="481" t="s">
        <v>42</v>
      </c>
      <c r="C61" s="482">
        <f t="shared" ref="C61:AE61" si="30">SUM(C62:C76)</f>
        <v>38284</v>
      </c>
      <c r="D61" s="482">
        <f t="shared" si="30"/>
        <v>92934</v>
      </c>
      <c r="E61" s="482">
        <f t="shared" si="30"/>
        <v>52326</v>
      </c>
      <c r="F61" s="482">
        <f t="shared" si="30"/>
        <v>39042</v>
      </c>
      <c r="G61" s="482">
        <f t="shared" si="30"/>
        <v>93499</v>
      </c>
      <c r="H61" s="483">
        <f t="shared" si="30"/>
        <v>90899</v>
      </c>
      <c r="I61" s="482">
        <f t="shared" si="30"/>
        <v>339243</v>
      </c>
      <c r="J61" s="482">
        <f t="shared" si="30"/>
        <v>374004</v>
      </c>
      <c r="K61" s="482">
        <f t="shared" si="30"/>
        <v>379179</v>
      </c>
      <c r="L61" s="482">
        <f t="shared" si="30"/>
        <v>207596</v>
      </c>
      <c r="M61" s="482">
        <f t="shared" si="30"/>
        <v>254583</v>
      </c>
      <c r="N61" s="482">
        <f t="shared" si="30"/>
        <v>242854</v>
      </c>
      <c r="O61" s="483">
        <f t="shared" si="30"/>
        <v>447282</v>
      </c>
      <c r="P61" s="482">
        <f t="shared" si="30"/>
        <v>469050</v>
      </c>
      <c r="Q61" s="482">
        <f t="shared" si="30"/>
        <v>409663</v>
      </c>
      <c r="R61" s="482">
        <f t="shared" si="30"/>
        <v>532521</v>
      </c>
      <c r="S61" s="482">
        <f t="shared" si="30"/>
        <v>517913</v>
      </c>
      <c r="T61" s="483">
        <f t="shared" si="30"/>
        <v>439801</v>
      </c>
      <c r="U61" s="482">
        <f t="shared" si="30"/>
        <v>501191</v>
      </c>
      <c r="V61" s="482">
        <f t="shared" si="30"/>
        <v>518145</v>
      </c>
      <c r="W61" s="482">
        <f t="shared" si="30"/>
        <v>456558</v>
      </c>
      <c r="X61" s="482">
        <f t="shared" si="30"/>
        <v>378711</v>
      </c>
      <c r="Y61" s="482">
        <f t="shared" si="30"/>
        <v>382094</v>
      </c>
      <c r="Z61" s="482">
        <f t="shared" si="30"/>
        <v>334293</v>
      </c>
      <c r="AA61" s="482">
        <f t="shared" si="30"/>
        <v>255525</v>
      </c>
      <c r="AB61" s="482">
        <f t="shared" si="30"/>
        <v>252525</v>
      </c>
      <c r="AC61" s="482">
        <f t="shared" si="30"/>
        <v>253828</v>
      </c>
      <c r="AD61" s="482">
        <f t="shared" si="30"/>
        <v>202197</v>
      </c>
      <c r="AE61" s="482">
        <f t="shared" si="30"/>
        <v>136023</v>
      </c>
      <c r="AF61" s="482">
        <v>204486</v>
      </c>
      <c r="AG61" s="482">
        <f t="shared" ref="AG61:BB61" si="31">SUM(AG62:AG76)</f>
        <v>201750</v>
      </c>
      <c r="AH61" s="482">
        <f t="shared" si="31"/>
        <v>195933</v>
      </c>
      <c r="AI61" s="482">
        <f t="shared" si="31"/>
        <v>152343</v>
      </c>
      <c r="AJ61" s="482">
        <f t="shared" si="31"/>
        <v>105075</v>
      </c>
      <c r="AK61" s="482">
        <f t="shared" si="31"/>
        <v>155846</v>
      </c>
      <c r="AL61" s="482">
        <f t="shared" si="31"/>
        <v>154419</v>
      </c>
      <c r="AM61" s="482">
        <f t="shared" si="31"/>
        <v>230321.47964426508</v>
      </c>
      <c r="AN61" s="482">
        <f t="shared" si="31"/>
        <v>240419</v>
      </c>
      <c r="AO61" s="482">
        <f t="shared" si="31"/>
        <v>152882</v>
      </c>
      <c r="AP61" s="482">
        <f t="shared" si="31"/>
        <v>141627</v>
      </c>
      <c r="AQ61" s="482">
        <f t="shared" si="31"/>
        <v>149995</v>
      </c>
      <c r="AR61" s="482">
        <f t="shared" si="31"/>
        <v>185112</v>
      </c>
      <c r="AS61" s="482">
        <f t="shared" si="31"/>
        <v>200251</v>
      </c>
      <c r="AT61" s="482">
        <f t="shared" si="31"/>
        <v>195448</v>
      </c>
      <c r="AU61" s="482">
        <f t="shared" si="31"/>
        <v>211731</v>
      </c>
      <c r="AV61" s="482">
        <f t="shared" si="31"/>
        <v>154635</v>
      </c>
      <c r="AW61" s="482">
        <f t="shared" si="31"/>
        <v>146667</v>
      </c>
      <c r="AX61" s="482">
        <f t="shared" si="31"/>
        <v>143747</v>
      </c>
      <c r="AY61" s="482">
        <f t="shared" si="31"/>
        <v>131876</v>
      </c>
      <c r="AZ61" s="482">
        <f t="shared" si="31"/>
        <v>122325</v>
      </c>
      <c r="BA61" s="482">
        <f t="shared" si="31"/>
        <v>78435</v>
      </c>
      <c r="BB61" s="482">
        <f t="shared" si="31"/>
        <v>103588</v>
      </c>
      <c r="BC61" s="482">
        <f t="shared" ref="BC61:BM61" si="32">SUM(BC62:BC76)</f>
        <v>123789</v>
      </c>
      <c r="BD61" s="482">
        <f t="shared" si="32"/>
        <v>119430</v>
      </c>
      <c r="BE61" s="482">
        <f t="shared" si="32"/>
        <v>164321</v>
      </c>
      <c r="BF61" s="482">
        <f t="shared" si="32"/>
        <v>165072</v>
      </c>
      <c r="BG61" s="482">
        <f t="shared" si="32"/>
        <v>171515</v>
      </c>
      <c r="BH61" s="482">
        <f t="shared" si="32"/>
        <v>176687</v>
      </c>
      <c r="BI61" s="482">
        <f t="shared" si="32"/>
        <v>146788</v>
      </c>
      <c r="BJ61" s="482">
        <f t="shared" si="32"/>
        <v>145071</v>
      </c>
      <c r="BK61" s="482">
        <f t="shared" si="32"/>
        <v>162783</v>
      </c>
      <c r="BL61" s="482">
        <f>SUM(BL62:BL76)</f>
        <v>155379</v>
      </c>
      <c r="BM61" s="482">
        <f t="shared" si="32"/>
        <v>132130</v>
      </c>
      <c r="BN61" s="482">
        <f>SUM(BN62:BN76)</f>
        <v>170622</v>
      </c>
      <c r="BO61" s="482">
        <f>SUM(BO62:BO76)</f>
        <v>163050</v>
      </c>
    </row>
    <row r="62" spans="1:70" ht="14.1" customHeight="1" x14ac:dyDescent="0.2">
      <c r="A62" s="267" t="s">
        <v>16</v>
      </c>
      <c r="B62" s="484" t="s">
        <v>16</v>
      </c>
      <c r="C62" s="485">
        <v>20251</v>
      </c>
      <c r="D62" s="485">
        <v>59503</v>
      </c>
      <c r="E62" s="485">
        <v>40791</v>
      </c>
      <c r="F62" s="485">
        <v>33013</v>
      </c>
      <c r="G62" s="485">
        <v>35198</v>
      </c>
      <c r="H62" s="486">
        <v>32704</v>
      </c>
      <c r="I62" s="485">
        <v>280447</v>
      </c>
      <c r="J62" s="485">
        <v>274524</v>
      </c>
      <c r="K62" s="485">
        <v>270670</v>
      </c>
      <c r="L62" s="485">
        <v>95867</v>
      </c>
      <c r="M62" s="485">
        <v>139032</v>
      </c>
      <c r="N62" s="485">
        <v>134942</v>
      </c>
      <c r="O62" s="486">
        <v>137205</v>
      </c>
      <c r="P62" s="485">
        <v>151935</v>
      </c>
      <c r="Q62" s="485">
        <v>150794</v>
      </c>
      <c r="R62" s="485">
        <v>156960</v>
      </c>
      <c r="S62" s="485">
        <v>149965</v>
      </c>
      <c r="T62" s="486">
        <v>51907</v>
      </c>
      <c r="U62" s="485">
        <v>114769</v>
      </c>
      <c r="V62" s="485">
        <v>123577</v>
      </c>
      <c r="W62" s="485">
        <v>79827</v>
      </c>
      <c r="X62" s="485">
        <v>2037.9999999999998</v>
      </c>
      <c r="Y62" s="485">
        <v>1522</v>
      </c>
      <c r="Z62" s="485">
        <v>1181</v>
      </c>
      <c r="AA62" s="485">
        <v>919</v>
      </c>
      <c r="AB62" s="485">
        <v>657</v>
      </c>
      <c r="AC62" s="485">
        <v>396</v>
      </c>
      <c r="AD62" s="485">
        <v>134</v>
      </c>
      <c r="AE62" s="485">
        <v>1342</v>
      </c>
      <c r="AF62" s="488">
        <v>54195</v>
      </c>
      <c r="AG62" s="505">
        <v>53915</v>
      </c>
      <c r="AH62" s="505">
        <v>53635</v>
      </c>
      <c r="AI62" s="485">
        <v>53356</v>
      </c>
      <c r="AJ62" s="485">
        <v>6667</v>
      </c>
      <c r="AK62" s="485">
        <v>60554</v>
      </c>
      <c r="AL62" s="485">
        <v>55414</v>
      </c>
      <c r="AM62" s="485">
        <v>86669</v>
      </c>
      <c r="AN62" s="485">
        <v>81938</v>
      </c>
      <c r="AO62" s="485">
        <v>30000</v>
      </c>
      <c r="AP62" s="485">
        <v>30000</v>
      </c>
      <c r="AQ62" s="485">
        <v>30000</v>
      </c>
      <c r="AR62" s="485">
        <v>80000</v>
      </c>
      <c r="AS62" s="485">
        <v>125000</v>
      </c>
      <c r="AT62" s="485">
        <v>125000</v>
      </c>
      <c r="AU62" s="485">
        <v>115000</v>
      </c>
      <c r="AV62" s="485">
        <v>65000</v>
      </c>
      <c r="AW62" s="485">
        <v>65000</v>
      </c>
      <c r="AX62" s="485">
        <v>65000</v>
      </c>
      <c r="AY62" s="485">
        <v>55000</v>
      </c>
      <c r="AZ62" s="485">
        <v>55000</v>
      </c>
      <c r="BA62" s="485">
        <v>10000</v>
      </c>
      <c r="BB62" s="485">
        <v>42568</v>
      </c>
      <c r="BC62" s="485">
        <v>42568</v>
      </c>
      <c r="BD62" s="485">
        <v>32568</v>
      </c>
      <c r="BE62" s="485">
        <v>83834</v>
      </c>
      <c r="BF62" s="485">
        <v>88840</v>
      </c>
      <c r="BG62" s="485">
        <v>93732</v>
      </c>
      <c r="BH62" s="485">
        <v>101443</v>
      </c>
      <c r="BI62" s="485">
        <v>77925</v>
      </c>
      <c r="BJ62" s="485">
        <v>76907</v>
      </c>
      <c r="BK62" s="485">
        <v>82411</v>
      </c>
      <c r="BL62" s="485">
        <v>81209</v>
      </c>
      <c r="BM62" s="485">
        <v>57539</v>
      </c>
      <c r="BN62" s="485">
        <v>96183</v>
      </c>
      <c r="BO62" s="485">
        <v>94764</v>
      </c>
    </row>
    <row r="63" spans="1:70" ht="14.1" customHeight="1" x14ac:dyDescent="0.2">
      <c r="A63" s="267" t="s">
        <v>25</v>
      </c>
      <c r="B63" s="484" t="s">
        <v>25</v>
      </c>
      <c r="C63" s="485" t="s">
        <v>160</v>
      </c>
      <c r="D63" s="485" t="s">
        <v>160</v>
      </c>
      <c r="E63" s="485" t="s">
        <v>160</v>
      </c>
      <c r="F63" s="485" t="s">
        <v>160</v>
      </c>
      <c r="G63" s="485" t="s">
        <v>160</v>
      </c>
      <c r="H63" s="486" t="s">
        <v>160</v>
      </c>
      <c r="I63" s="485" t="s">
        <v>160</v>
      </c>
      <c r="J63" s="485" t="s">
        <v>160</v>
      </c>
      <c r="K63" s="485" t="s">
        <v>160</v>
      </c>
      <c r="L63" s="485" t="s">
        <v>160</v>
      </c>
      <c r="M63" s="485" t="s">
        <v>160</v>
      </c>
      <c r="N63" s="485" t="s">
        <v>160</v>
      </c>
      <c r="O63" s="486" t="s">
        <v>160</v>
      </c>
      <c r="P63" s="485" t="s">
        <v>160</v>
      </c>
      <c r="Q63" s="485" t="s">
        <v>160</v>
      </c>
      <c r="R63" s="485" t="s">
        <v>160</v>
      </c>
      <c r="S63" s="485" t="s">
        <v>160</v>
      </c>
      <c r="T63" s="486" t="s">
        <v>160</v>
      </c>
      <c r="U63" s="485" t="s">
        <v>160</v>
      </c>
      <c r="V63" s="485" t="s">
        <v>160</v>
      </c>
      <c r="W63" s="485" t="s">
        <v>160</v>
      </c>
      <c r="X63" s="485" t="s">
        <v>160</v>
      </c>
      <c r="Y63" s="485" t="s">
        <v>160</v>
      </c>
      <c r="Z63" s="485" t="s">
        <v>160</v>
      </c>
      <c r="AA63" s="485" t="s">
        <v>160</v>
      </c>
      <c r="AB63" s="485" t="s">
        <v>160</v>
      </c>
      <c r="AC63" s="485" t="s">
        <v>160</v>
      </c>
      <c r="AD63" s="485" t="s">
        <v>160</v>
      </c>
      <c r="AE63" s="485" t="s">
        <v>160</v>
      </c>
      <c r="AF63" s="485" t="s">
        <v>160</v>
      </c>
      <c r="AG63" s="485" t="s">
        <v>160</v>
      </c>
      <c r="AH63" s="485" t="s">
        <v>160</v>
      </c>
      <c r="AI63" s="485">
        <v>0</v>
      </c>
      <c r="AJ63" s="485">
        <v>1042</v>
      </c>
      <c r="AK63" s="485">
        <v>1503</v>
      </c>
      <c r="AL63" s="485">
        <v>1958</v>
      </c>
      <c r="AM63" s="485">
        <v>2087</v>
      </c>
      <c r="AN63" s="485">
        <v>2445</v>
      </c>
      <c r="AO63" s="485">
        <v>2829</v>
      </c>
      <c r="AP63" s="485">
        <v>542</v>
      </c>
      <c r="AQ63" s="485">
        <v>663</v>
      </c>
      <c r="AR63" s="485">
        <v>700</v>
      </c>
      <c r="AS63" s="485">
        <v>592</v>
      </c>
      <c r="AT63" s="485">
        <v>559</v>
      </c>
      <c r="AU63" s="485">
        <v>559</v>
      </c>
      <c r="AV63" s="485">
        <v>553</v>
      </c>
      <c r="AW63" s="485">
        <v>553</v>
      </c>
      <c r="AX63" s="485">
        <v>551</v>
      </c>
      <c r="AY63" s="485">
        <v>528</v>
      </c>
      <c r="AZ63" s="485">
        <v>524</v>
      </c>
      <c r="BA63" s="485">
        <v>524</v>
      </c>
      <c r="BB63" s="485">
        <v>524</v>
      </c>
      <c r="BC63" s="485">
        <v>524</v>
      </c>
      <c r="BD63" s="485">
        <v>524</v>
      </c>
      <c r="BE63" s="485">
        <v>524</v>
      </c>
      <c r="BF63" s="485">
        <v>524</v>
      </c>
      <c r="BG63" s="485">
        <v>524</v>
      </c>
      <c r="BH63" s="485">
        <v>524</v>
      </c>
      <c r="BI63" s="485">
        <v>524</v>
      </c>
      <c r="BJ63" s="485">
        <v>524</v>
      </c>
      <c r="BK63" s="485">
        <v>524</v>
      </c>
      <c r="BL63" s="485">
        <v>524</v>
      </c>
      <c r="BM63" s="485">
        <v>7379</v>
      </c>
      <c r="BN63" s="485">
        <v>7379</v>
      </c>
      <c r="BO63" s="485">
        <v>7379</v>
      </c>
    </row>
    <row r="64" spans="1:70" ht="14.1" customHeight="1" x14ac:dyDescent="0.2">
      <c r="A64" s="267" t="s">
        <v>23</v>
      </c>
      <c r="B64" s="484" t="s">
        <v>23</v>
      </c>
      <c r="C64" s="485">
        <v>0</v>
      </c>
      <c r="D64" s="485">
        <v>0</v>
      </c>
      <c r="E64" s="485">
        <v>0</v>
      </c>
      <c r="F64" s="485">
        <v>0</v>
      </c>
      <c r="G64" s="485">
        <v>0</v>
      </c>
      <c r="H64" s="486">
        <v>0</v>
      </c>
      <c r="I64" s="485">
        <v>0</v>
      </c>
      <c r="J64" s="485">
        <v>0</v>
      </c>
      <c r="K64" s="485">
        <v>0</v>
      </c>
      <c r="L64" s="485">
        <v>0</v>
      </c>
      <c r="M64" s="485">
        <v>0</v>
      </c>
      <c r="N64" s="485">
        <v>0</v>
      </c>
      <c r="O64" s="486">
        <v>200000</v>
      </c>
      <c r="P64" s="485">
        <v>205853</v>
      </c>
      <c r="Q64" s="485">
        <v>202336</v>
      </c>
      <c r="R64" s="485">
        <v>287845</v>
      </c>
      <c r="S64" s="485">
        <v>285063</v>
      </c>
      <c r="T64" s="486">
        <v>350000</v>
      </c>
      <c r="U64" s="485">
        <v>350000</v>
      </c>
      <c r="V64" s="485">
        <v>350000</v>
      </c>
      <c r="W64" s="485">
        <v>330002</v>
      </c>
      <c r="X64" s="485">
        <v>330002</v>
      </c>
      <c r="Y64" s="485">
        <v>330002</v>
      </c>
      <c r="Z64" s="485">
        <v>280007</v>
      </c>
      <c r="AA64" s="485">
        <v>213347</v>
      </c>
      <c r="AB64" s="485">
        <v>213347</v>
      </c>
      <c r="AC64" s="485">
        <v>213347</v>
      </c>
      <c r="AD64" s="485">
        <v>163352</v>
      </c>
      <c r="AE64" s="485">
        <v>96686</v>
      </c>
      <c r="AF64" s="485">
        <v>96686</v>
      </c>
      <c r="AG64" s="505">
        <v>96686</v>
      </c>
      <c r="AH64" s="505">
        <v>96686</v>
      </c>
      <c r="AI64" s="485">
        <v>50010</v>
      </c>
      <c r="AJ64" s="485">
        <v>50010</v>
      </c>
      <c r="AK64" s="485">
        <v>50010</v>
      </c>
      <c r="AL64" s="485">
        <v>50010</v>
      </c>
      <c r="AM64" s="485">
        <v>50010</v>
      </c>
      <c r="AN64" s="485">
        <v>50010</v>
      </c>
      <c r="AO64" s="485">
        <v>25005</v>
      </c>
      <c r="AP64" s="485">
        <v>25005</v>
      </c>
      <c r="AQ64" s="485">
        <v>25005</v>
      </c>
      <c r="AR64" s="485">
        <v>25005</v>
      </c>
      <c r="AS64" s="485">
        <v>0</v>
      </c>
      <c r="AT64" s="485">
        <v>0</v>
      </c>
      <c r="AU64" s="485">
        <v>0</v>
      </c>
      <c r="AV64" s="485">
        <v>0</v>
      </c>
      <c r="AW64" s="485">
        <v>0</v>
      </c>
      <c r="AX64" s="485">
        <v>0</v>
      </c>
      <c r="AY64" s="485">
        <v>0</v>
      </c>
      <c r="AZ64" s="485">
        <v>0</v>
      </c>
      <c r="BA64" s="485">
        <v>0</v>
      </c>
      <c r="BB64" s="485">
        <v>0</v>
      </c>
      <c r="BC64" s="485">
        <v>0</v>
      </c>
      <c r="BD64" s="485">
        <v>0</v>
      </c>
      <c r="BE64" s="485">
        <v>0</v>
      </c>
      <c r="BF64" s="485">
        <v>0</v>
      </c>
      <c r="BG64" s="485">
        <v>0</v>
      </c>
      <c r="BH64" s="485">
        <v>0</v>
      </c>
      <c r="BI64" s="485">
        <v>0</v>
      </c>
      <c r="BJ64" s="485">
        <v>0</v>
      </c>
      <c r="BK64" s="485">
        <v>0</v>
      </c>
      <c r="BL64" s="485">
        <v>0</v>
      </c>
      <c r="BM64" s="485">
        <v>0</v>
      </c>
      <c r="BN64" s="485">
        <v>0</v>
      </c>
      <c r="BO64" s="485">
        <v>0</v>
      </c>
    </row>
    <row r="65" spans="1:67" ht="14.1" customHeight="1" x14ac:dyDescent="0.2">
      <c r="B65" s="484" t="s">
        <v>1019</v>
      </c>
      <c r="C65" s="485" t="s">
        <v>160</v>
      </c>
      <c r="D65" s="485" t="s">
        <v>160</v>
      </c>
      <c r="E65" s="485" t="s">
        <v>160</v>
      </c>
      <c r="F65" s="485" t="s">
        <v>160</v>
      </c>
      <c r="G65" s="485" t="s">
        <v>160</v>
      </c>
      <c r="H65" s="486" t="s">
        <v>160</v>
      </c>
      <c r="I65" s="485" t="s">
        <v>160</v>
      </c>
      <c r="J65" s="485" t="s">
        <v>160</v>
      </c>
      <c r="K65" s="485" t="s">
        <v>160</v>
      </c>
      <c r="L65" s="485" t="s">
        <v>160</v>
      </c>
      <c r="M65" s="485" t="s">
        <v>160</v>
      </c>
      <c r="N65" s="485" t="s">
        <v>160</v>
      </c>
      <c r="O65" s="486" t="s">
        <v>160</v>
      </c>
      <c r="P65" s="485" t="s">
        <v>160</v>
      </c>
      <c r="Q65" s="485" t="s">
        <v>160</v>
      </c>
      <c r="R65" s="485" t="s">
        <v>160</v>
      </c>
      <c r="S65" s="485" t="s">
        <v>160</v>
      </c>
      <c r="T65" s="486" t="s">
        <v>160</v>
      </c>
      <c r="U65" s="485" t="s">
        <v>160</v>
      </c>
      <c r="V65" s="485" t="s">
        <v>160</v>
      </c>
      <c r="W65" s="485" t="s">
        <v>160</v>
      </c>
      <c r="X65" s="485" t="s">
        <v>160</v>
      </c>
      <c r="Y65" s="485" t="s">
        <v>160</v>
      </c>
      <c r="Z65" s="485" t="s">
        <v>160</v>
      </c>
      <c r="AA65" s="485" t="s">
        <v>160</v>
      </c>
      <c r="AB65" s="485" t="s">
        <v>160</v>
      </c>
      <c r="AC65" s="485" t="s">
        <v>160</v>
      </c>
      <c r="AD65" s="485" t="s">
        <v>160</v>
      </c>
      <c r="AE65" s="485" t="s">
        <v>160</v>
      </c>
      <c r="AF65" s="485" t="s">
        <v>160</v>
      </c>
      <c r="AG65" s="485" t="s">
        <v>160</v>
      </c>
      <c r="AH65" s="485" t="s">
        <v>160</v>
      </c>
      <c r="AI65" s="485">
        <v>0</v>
      </c>
      <c r="AJ65" s="485" t="s">
        <v>160</v>
      </c>
      <c r="AK65" s="485" t="s">
        <v>160</v>
      </c>
      <c r="AL65" s="485">
        <v>0</v>
      </c>
      <c r="AM65" s="485">
        <v>42561.47964426507</v>
      </c>
      <c r="AN65" s="485">
        <v>57143</v>
      </c>
      <c r="AO65" s="485">
        <v>55769</v>
      </c>
      <c r="AP65" s="485">
        <v>48055</v>
      </c>
      <c r="AQ65" s="485">
        <v>50983</v>
      </c>
      <c r="AR65" s="485">
        <v>45194</v>
      </c>
      <c r="AS65" s="485">
        <v>39107</v>
      </c>
      <c r="AT65" s="485">
        <v>33561</v>
      </c>
      <c r="AU65" s="485">
        <v>57188</v>
      </c>
      <c r="AV65" s="485">
        <v>50884</v>
      </c>
      <c r="AW65" s="485">
        <v>47150</v>
      </c>
      <c r="AX65" s="485">
        <v>38882</v>
      </c>
      <c r="AY65" s="485">
        <v>37376</v>
      </c>
      <c r="AZ65" s="485">
        <v>31181</v>
      </c>
      <c r="BA65" s="485">
        <v>28026</v>
      </c>
      <c r="BB65" s="485">
        <v>20513</v>
      </c>
      <c r="BC65" s="485">
        <v>44279</v>
      </c>
      <c r="BD65" s="485">
        <v>51997</v>
      </c>
      <c r="BE65" s="485">
        <v>46263</v>
      </c>
      <c r="BF65" s="485">
        <v>41330</v>
      </c>
      <c r="BG65" s="485">
        <v>39809</v>
      </c>
      <c r="BH65" s="485">
        <v>41139</v>
      </c>
      <c r="BI65" s="485">
        <v>36482</v>
      </c>
      <c r="BJ65" s="485">
        <v>42397</v>
      </c>
      <c r="BK65" s="485">
        <v>51320</v>
      </c>
      <c r="BL65" s="485">
        <v>46570</v>
      </c>
      <c r="BM65" s="485">
        <v>41210</v>
      </c>
      <c r="BN65" s="485">
        <v>36036</v>
      </c>
      <c r="BO65" s="485">
        <v>31251</v>
      </c>
    </row>
    <row r="66" spans="1:67" ht="14.1" customHeight="1" x14ac:dyDescent="0.2">
      <c r="A66" s="267" t="s">
        <v>721</v>
      </c>
      <c r="B66" s="487" t="s">
        <v>721</v>
      </c>
      <c r="C66" s="485">
        <v>2600</v>
      </c>
      <c r="D66" s="485">
        <v>1896</v>
      </c>
      <c r="E66" s="485">
        <v>4450</v>
      </c>
      <c r="F66" s="485">
        <v>0</v>
      </c>
      <c r="G66" s="485">
        <v>0</v>
      </c>
      <c r="H66" s="486">
        <v>0</v>
      </c>
      <c r="I66" s="485">
        <v>0</v>
      </c>
      <c r="J66" s="485">
        <v>0</v>
      </c>
      <c r="K66" s="485">
        <v>0</v>
      </c>
      <c r="L66" s="485">
        <v>0</v>
      </c>
      <c r="M66" s="485">
        <v>0</v>
      </c>
      <c r="N66" s="485">
        <v>0</v>
      </c>
      <c r="O66" s="486">
        <v>0</v>
      </c>
      <c r="P66" s="485">
        <v>0</v>
      </c>
      <c r="Q66" s="485">
        <v>0</v>
      </c>
      <c r="R66" s="485">
        <v>34569</v>
      </c>
      <c r="S66" s="485">
        <v>34139</v>
      </c>
      <c r="T66" s="486">
        <v>15181</v>
      </c>
      <c r="U66" s="485">
        <v>16526</v>
      </c>
      <c r="V66" s="485">
        <v>23325</v>
      </c>
      <c r="W66" s="485">
        <v>27065</v>
      </c>
      <c r="X66" s="485">
        <v>26494</v>
      </c>
      <c r="Y66" s="485">
        <v>29884</v>
      </c>
      <c r="Z66" s="485">
        <v>19327</v>
      </c>
      <c r="AA66" s="485">
        <v>19452</v>
      </c>
      <c r="AB66" s="485">
        <v>21499</v>
      </c>
      <c r="AC66" s="485">
        <v>24455</v>
      </c>
      <c r="AD66" s="485">
        <v>23577</v>
      </c>
      <c r="AE66" s="485">
        <v>22782</v>
      </c>
      <c r="AF66" s="488">
        <v>17002</v>
      </c>
      <c r="AG66" s="505">
        <v>16195</v>
      </c>
      <c r="AH66" s="505">
        <v>6629</v>
      </c>
      <c r="AI66" s="485">
        <v>5207</v>
      </c>
      <c r="AJ66" s="485">
        <v>6264</v>
      </c>
      <c r="AK66" s="485">
        <v>6945</v>
      </c>
      <c r="AL66" s="485">
        <v>2593</v>
      </c>
      <c r="AM66" s="485">
        <v>5792</v>
      </c>
      <c r="AN66" s="485">
        <v>6133</v>
      </c>
      <c r="AO66" s="485">
        <v>2668</v>
      </c>
      <c r="AP66" s="485">
        <v>2759</v>
      </c>
      <c r="AQ66" s="485">
        <v>6512</v>
      </c>
      <c r="AR66" s="485">
        <v>0</v>
      </c>
      <c r="AS66" s="485">
        <v>0</v>
      </c>
      <c r="AT66" s="485">
        <v>0</v>
      </c>
      <c r="AU66" s="485">
        <v>3428</v>
      </c>
      <c r="AV66" s="485">
        <v>3787</v>
      </c>
      <c r="AW66" s="485">
        <v>4866</v>
      </c>
      <c r="AX66" s="485">
        <v>5572</v>
      </c>
      <c r="AY66" s="485">
        <v>6422</v>
      </c>
      <c r="AZ66" s="485">
        <v>6314</v>
      </c>
      <c r="BA66" s="485">
        <v>4643</v>
      </c>
      <c r="BB66" s="485">
        <v>8875</v>
      </c>
      <c r="BC66" s="485">
        <v>5037</v>
      </c>
      <c r="BD66" s="485">
        <v>5137</v>
      </c>
      <c r="BE66" s="485">
        <v>4326</v>
      </c>
      <c r="BF66" s="485">
        <v>3888</v>
      </c>
      <c r="BG66" s="485">
        <v>6238</v>
      </c>
      <c r="BH66" s="485">
        <v>1777</v>
      </c>
      <c r="BI66" s="485">
        <v>1249</v>
      </c>
      <c r="BJ66" s="485">
        <v>1695</v>
      </c>
      <c r="BK66" s="485">
        <v>4581</v>
      </c>
      <c r="BL66" s="485">
        <v>2967</v>
      </c>
      <c r="BM66" s="485">
        <v>2404</v>
      </c>
      <c r="BN66" s="485">
        <v>8117</v>
      </c>
      <c r="BO66" s="485">
        <v>7387</v>
      </c>
    </row>
    <row r="67" spans="1:67" ht="14.1" customHeight="1" x14ac:dyDescent="0.2">
      <c r="A67" s="267" t="s">
        <v>82</v>
      </c>
      <c r="B67" s="484" t="s">
        <v>82</v>
      </c>
      <c r="C67" s="485">
        <v>2153</v>
      </c>
      <c r="D67" s="485">
        <v>1978</v>
      </c>
      <c r="E67" s="485">
        <v>1942</v>
      </c>
      <c r="F67" s="485">
        <v>3469</v>
      </c>
      <c r="G67" s="485">
        <v>24198</v>
      </c>
      <c r="H67" s="486">
        <v>24198</v>
      </c>
      <c r="I67" s="485">
        <v>24971</v>
      </c>
      <c r="J67" s="485">
        <v>24579</v>
      </c>
      <c r="K67" s="485">
        <v>25181</v>
      </c>
      <c r="L67" s="485">
        <v>25479</v>
      </c>
      <c r="M67" s="485">
        <v>25872</v>
      </c>
      <c r="N67" s="485">
        <v>26538</v>
      </c>
      <c r="O67" s="486">
        <v>27095</v>
      </c>
      <c r="P67" s="485">
        <v>26368</v>
      </c>
      <c r="Q67" s="485">
        <v>39871</v>
      </c>
      <c r="R67" s="485">
        <v>37197</v>
      </c>
      <c r="S67" s="485">
        <v>32167</v>
      </c>
      <c r="T67" s="486">
        <v>11047</v>
      </c>
      <c r="U67" s="485">
        <v>9656</v>
      </c>
      <c r="V67" s="485">
        <v>11486</v>
      </c>
      <c r="W67" s="485">
        <v>9645</v>
      </c>
      <c r="X67" s="485">
        <v>9861</v>
      </c>
      <c r="Y67" s="485">
        <v>10007</v>
      </c>
      <c r="Z67" s="485">
        <v>22751</v>
      </c>
      <c r="AA67" s="485">
        <v>21795</v>
      </c>
      <c r="AB67" s="485">
        <v>17017</v>
      </c>
      <c r="AC67" s="485">
        <v>15630</v>
      </c>
      <c r="AD67" s="485">
        <v>14938</v>
      </c>
      <c r="AE67" s="485">
        <v>14709</v>
      </c>
      <c r="AF67" s="488">
        <v>36603</v>
      </c>
      <c r="AG67" s="505">
        <v>34954</v>
      </c>
      <c r="AH67" s="505">
        <v>38983</v>
      </c>
      <c r="AI67" s="485">
        <v>43770</v>
      </c>
      <c r="AJ67" s="485">
        <v>41092</v>
      </c>
      <c r="AK67" s="485">
        <v>36834</v>
      </c>
      <c r="AL67" s="488">
        <v>44444</v>
      </c>
      <c r="AM67" s="485">
        <v>43202</v>
      </c>
      <c r="AN67" s="485">
        <v>42750</v>
      </c>
      <c r="AO67" s="488">
        <v>36611</v>
      </c>
      <c r="AP67" s="485">
        <v>35266</v>
      </c>
      <c r="AQ67" s="485">
        <v>36832</v>
      </c>
      <c r="AR67" s="485">
        <v>34213</v>
      </c>
      <c r="AS67" s="485">
        <v>35552</v>
      </c>
      <c r="AT67" s="485">
        <v>33878</v>
      </c>
      <c r="AU67" s="485">
        <v>33106</v>
      </c>
      <c r="AV67" s="485">
        <v>31961</v>
      </c>
      <c r="AW67" s="485">
        <v>26648</v>
      </c>
      <c r="AX67" s="485">
        <v>30830</v>
      </c>
      <c r="AY67" s="485">
        <v>29638</v>
      </c>
      <c r="AZ67" s="485">
        <v>26394</v>
      </c>
      <c r="BA67" s="485">
        <v>32330</v>
      </c>
      <c r="BB67" s="485">
        <v>28382</v>
      </c>
      <c r="BC67" s="485">
        <v>28655</v>
      </c>
      <c r="BD67" s="485">
        <v>26478</v>
      </c>
      <c r="BE67" s="485">
        <v>26648</v>
      </c>
      <c r="BF67" s="485">
        <v>28015</v>
      </c>
      <c r="BG67" s="485">
        <v>28737</v>
      </c>
      <c r="BH67" s="485">
        <v>29329</v>
      </c>
      <c r="BI67" s="485">
        <v>28133</v>
      </c>
      <c r="BJ67" s="485">
        <v>21692</v>
      </c>
      <c r="BK67" s="485">
        <v>22091</v>
      </c>
      <c r="BL67" s="485">
        <v>22253</v>
      </c>
      <c r="BM67" s="485">
        <v>21408</v>
      </c>
      <c r="BN67" s="485">
        <v>20664</v>
      </c>
      <c r="BO67" s="485">
        <v>20125</v>
      </c>
    </row>
    <row r="68" spans="1:67" ht="14.1" customHeight="1" x14ac:dyDescent="0.2">
      <c r="B68" s="487" t="s">
        <v>24</v>
      </c>
      <c r="C68" s="485">
        <v>0</v>
      </c>
      <c r="D68" s="485">
        <v>0</v>
      </c>
      <c r="E68" s="485">
        <v>0</v>
      </c>
      <c r="F68" s="485">
        <v>0</v>
      </c>
      <c r="G68" s="485">
        <v>0</v>
      </c>
      <c r="H68" s="486">
        <v>0</v>
      </c>
      <c r="I68" s="485">
        <v>0</v>
      </c>
      <c r="J68" s="485">
        <v>0</v>
      </c>
      <c r="K68" s="485">
        <v>0</v>
      </c>
      <c r="L68" s="485">
        <v>0</v>
      </c>
      <c r="M68" s="485">
        <v>0</v>
      </c>
      <c r="N68" s="485">
        <v>0</v>
      </c>
      <c r="O68" s="486">
        <v>0</v>
      </c>
      <c r="P68" s="485">
        <v>0</v>
      </c>
      <c r="Q68" s="485">
        <v>0</v>
      </c>
      <c r="R68" s="485">
        <v>0</v>
      </c>
      <c r="S68" s="485">
        <v>0</v>
      </c>
      <c r="T68" s="486">
        <v>0</v>
      </c>
      <c r="U68" s="485">
        <v>0</v>
      </c>
      <c r="V68" s="485">
        <v>0</v>
      </c>
      <c r="W68" s="485">
        <v>0</v>
      </c>
      <c r="X68" s="485">
        <v>0</v>
      </c>
      <c r="Y68" s="485">
        <v>0</v>
      </c>
      <c r="Z68" s="485">
        <v>0</v>
      </c>
      <c r="AA68" s="485">
        <v>0</v>
      </c>
      <c r="AB68" s="485">
        <v>0</v>
      </c>
      <c r="AC68" s="485">
        <v>0</v>
      </c>
      <c r="AD68" s="485">
        <v>0</v>
      </c>
      <c r="AE68" s="485">
        <v>0</v>
      </c>
      <c r="AF68" s="488">
        <v>0</v>
      </c>
      <c r="AG68" s="505">
        <v>0</v>
      </c>
      <c r="AH68" s="505">
        <v>0</v>
      </c>
      <c r="AI68" s="485">
        <v>0</v>
      </c>
      <c r="AJ68" s="485">
        <v>0</v>
      </c>
      <c r="AK68" s="485">
        <v>0</v>
      </c>
      <c r="AL68" s="488">
        <v>0</v>
      </c>
      <c r="AM68" s="485">
        <v>0</v>
      </c>
      <c r="AN68" s="485">
        <v>0</v>
      </c>
      <c r="AO68" s="488">
        <v>0</v>
      </c>
      <c r="AP68" s="485">
        <v>0</v>
      </c>
      <c r="AQ68" s="485">
        <v>0</v>
      </c>
      <c r="AR68" s="485">
        <v>0</v>
      </c>
      <c r="AS68" s="485">
        <v>0</v>
      </c>
      <c r="AT68" s="485">
        <v>0</v>
      </c>
      <c r="AU68" s="485">
        <v>0</v>
      </c>
      <c r="AV68" s="485">
        <v>0</v>
      </c>
      <c r="AW68" s="485">
        <v>0</v>
      </c>
      <c r="AX68" s="485">
        <v>0</v>
      </c>
      <c r="AY68" s="485">
        <v>0</v>
      </c>
      <c r="AZ68" s="485">
        <v>0</v>
      </c>
      <c r="BA68" s="485">
        <v>0</v>
      </c>
      <c r="BB68" s="485">
        <v>0</v>
      </c>
      <c r="BC68" s="485">
        <v>0</v>
      </c>
      <c r="BD68" s="485">
        <v>0</v>
      </c>
      <c r="BE68" s="485">
        <v>0</v>
      </c>
      <c r="BF68" s="485">
        <v>0</v>
      </c>
      <c r="BG68" s="485">
        <v>0</v>
      </c>
      <c r="BH68" s="485">
        <v>0</v>
      </c>
      <c r="BI68" s="485">
        <v>0</v>
      </c>
      <c r="BJ68" s="485">
        <v>0</v>
      </c>
      <c r="BK68" s="485">
        <v>0</v>
      </c>
      <c r="BL68" s="485">
        <v>0</v>
      </c>
      <c r="BM68" s="485">
        <v>0</v>
      </c>
      <c r="BN68" s="485">
        <v>0</v>
      </c>
      <c r="BO68" s="485">
        <v>0</v>
      </c>
    </row>
    <row r="69" spans="1:67" ht="14.1" customHeight="1" x14ac:dyDescent="0.2">
      <c r="B69" s="487" t="s">
        <v>18</v>
      </c>
      <c r="C69" s="485">
        <v>0</v>
      </c>
      <c r="D69" s="485">
        <v>0</v>
      </c>
      <c r="E69" s="485">
        <v>0</v>
      </c>
      <c r="F69" s="485">
        <v>0</v>
      </c>
      <c r="G69" s="485">
        <v>0</v>
      </c>
      <c r="H69" s="486">
        <v>0</v>
      </c>
      <c r="I69" s="485">
        <v>0</v>
      </c>
      <c r="J69" s="485">
        <v>0</v>
      </c>
      <c r="K69" s="485">
        <v>0</v>
      </c>
      <c r="L69" s="485">
        <v>0</v>
      </c>
      <c r="M69" s="485">
        <v>0</v>
      </c>
      <c r="N69" s="485">
        <v>0</v>
      </c>
      <c r="O69" s="486">
        <v>0</v>
      </c>
      <c r="P69" s="485">
        <v>0</v>
      </c>
      <c r="Q69" s="485">
        <v>0</v>
      </c>
      <c r="R69" s="485">
        <v>0</v>
      </c>
      <c r="S69" s="485">
        <v>0</v>
      </c>
      <c r="T69" s="486">
        <v>0</v>
      </c>
      <c r="U69" s="485">
        <v>0</v>
      </c>
      <c r="V69" s="485">
        <v>0</v>
      </c>
      <c r="W69" s="485">
        <v>0</v>
      </c>
      <c r="X69" s="485">
        <v>0</v>
      </c>
      <c r="Y69" s="485">
        <v>0</v>
      </c>
      <c r="Z69" s="485">
        <v>0</v>
      </c>
      <c r="AA69" s="485">
        <v>0</v>
      </c>
      <c r="AB69" s="485">
        <v>0</v>
      </c>
      <c r="AC69" s="485">
        <v>0</v>
      </c>
      <c r="AD69" s="485">
        <v>0</v>
      </c>
      <c r="AE69" s="485">
        <v>0</v>
      </c>
      <c r="AF69" s="488">
        <v>0</v>
      </c>
      <c r="AG69" s="505">
        <v>0</v>
      </c>
      <c r="AH69" s="505">
        <v>0</v>
      </c>
      <c r="AI69" s="485">
        <v>0</v>
      </c>
      <c r="AJ69" s="485">
        <v>0</v>
      </c>
      <c r="AK69" s="485">
        <v>0</v>
      </c>
      <c r="AL69" s="488">
        <v>0</v>
      </c>
      <c r="AM69" s="485">
        <v>0</v>
      </c>
      <c r="AN69" s="485">
        <v>0</v>
      </c>
      <c r="AO69" s="488">
        <v>0</v>
      </c>
      <c r="AP69" s="485">
        <v>0</v>
      </c>
      <c r="AQ69" s="485">
        <v>0</v>
      </c>
      <c r="AR69" s="485">
        <v>0</v>
      </c>
      <c r="AS69" s="485">
        <v>0</v>
      </c>
      <c r="AT69" s="485">
        <v>0</v>
      </c>
      <c r="AU69" s="485">
        <v>0</v>
      </c>
      <c r="AV69" s="485">
        <v>0</v>
      </c>
      <c r="AW69" s="485">
        <v>0</v>
      </c>
      <c r="AX69" s="485">
        <v>0</v>
      </c>
      <c r="AY69" s="485">
        <v>0</v>
      </c>
      <c r="AZ69" s="485">
        <v>0</v>
      </c>
      <c r="BA69" s="485">
        <v>0</v>
      </c>
      <c r="BB69" s="485">
        <v>0</v>
      </c>
      <c r="BC69" s="485">
        <v>0</v>
      </c>
      <c r="BD69" s="485">
        <v>0</v>
      </c>
      <c r="BE69" s="485">
        <v>0</v>
      </c>
      <c r="BF69" s="485">
        <v>0</v>
      </c>
      <c r="BG69" s="485">
        <v>0</v>
      </c>
      <c r="BH69" s="485">
        <v>0</v>
      </c>
      <c r="BI69" s="485">
        <v>0</v>
      </c>
      <c r="BJ69" s="485">
        <v>0</v>
      </c>
      <c r="BK69" s="485">
        <v>0</v>
      </c>
      <c r="BL69" s="485">
        <v>0</v>
      </c>
      <c r="BM69" s="485">
        <v>334</v>
      </c>
      <c r="BN69" s="485">
        <v>334</v>
      </c>
      <c r="BO69" s="485">
        <v>235</v>
      </c>
    </row>
    <row r="70" spans="1:67" ht="14.1" customHeight="1" collapsed="1" x14ac:dyDescent="0.2">
      <c r="A70" s="267" t="s">
        <v>1062</v>
      </c>
      <c r="B70" s="487" t="s">
        <v>1062</v>
      </c>
      <c r="C70" s="485">
        <v>0</v>
      </c>
      <c r="D70" s="485">
        <v>0</v>
      </c>
      <c r="E70" s="485">
        <v>0</v>
      </c>
      <c r="F70" s="485">
        <v>0</v>
      </c>
      <c r="G70" s="485">
        <v>0</v>
      </c>
      <c r="H70" s="486">
        <v>0</v>
      </c>
      <c r="I70" s="485">
        <v>0</v>
      </c>
      <c r="J70" s="485">
        <v>0</v>
      </c>
      <c r="K70" s="485">
        <v>0</v>
      </c>
      <c r="L70" s="485">
        <v>0</v>
      </c>
      <c r="M70" s="485">
        <v>0</v>
      </c>
      <c r="N70" s="485">
        <v>0</v>
      </c>
      <c r="O70" s="486" t="s">
        <v>160</v>
      </c>
      <c r="P70" s="485" t="s">
        <v>160</v>
      </c>
      <c r="Q70" s="485" t="s">
        <v>160</v>
      </c>
      <c r="R70" s="485" t="s">
        <v>160</v>
      </c>
      <c r="S70" s="485" t="s">
        <v>160</v>
      </c>
      <c r="T70" s="486" t="s">
        <v>160</v>
      </c>
      <c r="U70" s="485" t="s">
        <v>160</v>
      </c>
      <c r="V70" s="485" t="s">
        <v>160</v>
      </c>
      <c r="W70" s="485" t="s">
        <v>160</v>
      </c>
      <c r="X70" s="485" t="s">
        <v>160</v>
      </c>
      <c r="Y70" s="485" t="s">
        <v>160</v>
      </c>
      <c r="Z70" s="485" t="s">
        <v>160</v>
      </c>
      <c r="AA70" s="485" t="s">
        <v>160</v>
      </c>
      <c r="AB70" s="485" t="s">
        <v>160</v>
      </c>
      <c r="AC70" s="485" t="s">
        <v>160</v>
      </c>
      <c r="AD70" s="485" t="s">
        <v>160</v>
      </c>
      <c r="AE70" s="485" t="s">
        <v>160</v>
      </c>
      <c r="AF70" s="485" t="s">
        <v>160</v>
      </c>
      <c r="AG70" s="485" t="s">
        <v>160</v>
      </c>
      <c r="AH70" s="485" t="s">
        <v>160</v>
      </c>
      <c r="AI70" s="485">
        <v>0</v>
      </c>
      <c r="AJ70" s="485" t="s">
        <v>160</v>
      </c>
      <c r="AK70" s="485">
        <v>0</v>
      </c>
      <c r="AL70" s="485">
        <v>0</v>
      </c>
      <c r="AM70" s="485">
        <v>0</v>
      </c>
      <c r="AN70" s="485">
        <v>0</v>
      </c>
      <c r="AO70" s="485">
        <v>0</v>
      </c>
      <c r="AP70" s="485">
        <v>0</v>
      </c>
      <c r="AQ70" s="485">
        <v>0</v>
      </c>
      <c r="AR70" s="485">
        <v>0</v>
      </c>
      <c r="AS70" s="485">
        <v>0</v>
      </c>
      <c r="AT70" s="485">
        <v>2450</v>
      </c>
      <c r="AU70" s="485">
        <v>2450</v>
      </c>
      <c r="AV70" s="485">
        <v>2450</v>
      </c>
      <c r="AW70" s="485">
        <v>2450</v>
      </c>
      <c r="AX70" s="485">
        <v>2912</v>
      </c>
      <c r="AY70" s="485">
        <v>2912</v>
      </c>
      <c r="AZ70" s="485">
        <v>2912</v>
      </c>
      <c r="BA70" s="485">
        <v>2912</v>
      </c>
      <c r="BB70" s="485">
        <v>2726</v>
      </c>
      <c r="BC70" s="485">
        <v>2726</v>
      </c>
      <c r="BD70" s="485">
        <v>2726</v>
      </c>
      <c r="BE70" s="485">
        <v>2726</v>
      </c>
      <c r="BF70" s="485">
        <v>2475</v>
      </c>
      <c r="BG70" s="485">
        <v>2475</v>
      </c>
      <c r="BH70" s="485">
        <v>2475</v>
      </c>
      <c r="BI70" s="485">
        <v>2475</v>
      </c>
      <c r="BJ70" s="485">
        <v>1856</v>
      </c>
      <c r="BK70" s="485">
        <v>1856</v>
      </c>
      <c r="BL70" s="485">
        <v>1856</v>
      </c>
      <c r="BM70" s="485">
        <v>1856</v>
      </c>
      <c r="BN70" s="485">
        <v>1909</v>
      </c>
      <c r="BO70" s="485">
        <v>1909</v>
      </c>
    </row>
    <row r="71" spans="1:67" ht="14.1" hidden="1" customHeight="1" outlineLevel="1" x14ac:dyDescent="0.2">
      <c r="B71" s="493" t="s">
        <v>18</v>
      </c>
      <c r="C71" s="491">
        <v>13280</v>
      </c>
      <c r="D71" s="491">
        <v>10206</v>
      </c>
      <c r="E71" s="491">
        <v>5143</v>
      </c>
      <c r="F71" s="491">
        <v>2560</v>
      </c>
      <c r="G71" s="491">
        <v>10403</v>
      </c>
      <c r="H71" s="491">
        <v>10297</v>
      </c>
      <c r="I71" s="491">
        <v>9325</v>
      </c>
      <c r="J71" s="491">
        <v>10845</v>
      </c>
      <c r="K71" s="491">
        <v>9415</v>
      </c>
      <c r="L71" s="491">
        <v>8604</v>
      </c>
      <c r="M71" s="491">
        <v>8604</v>
      </c>
      <c r="N71" s="491">
        <v>8246</v>
      </c>
      <c r="O71" s="492">
        <v>8139</v>
      </c>
      <c r="P71" s="491">
        <v>8207</v>
      </c>
      <c r="Q71" s="491">
        <v>8098</v>
      </c>
      <c r="R71" s="491">
        <v>7188</v>
      </c>
      <c r="S71" s="491">
        <v>7083</v>
      </c>
      <c r="T71" s="492">
        <v>268</v>
      </c>
      <c r="U71" s="491">
        <v>586</v>
      </c>
      <c r="V71" s="491">
        <v>48</v>
      </c>
      <c r="W71" s="491">
        <v>38</v>
      </c>
      <c r="X71" s="491">
        <v>33</v>
      </c>
      <c r="Y71" s="491">
        <v>29</v>
      </c>
      <c r="Z71" s="491">
        <v>19</v>
      </c>
      <c r="AA71" s="491">
        <v>12</v>
      </c>
      <c r="AB71" s="491">
        <v>5</v>
      </c>
      <c r="AC71" s="491">
        <v>0</v>
      </c>
      <c r="AD71" s="491">
        <v>0</v>
      </c>
      <c r="AE71" s="491">
        <v>0</v>
      </c>
      <c r="AF71" s="491">
        <v>0</v>
      </c>
      <c r="AG71" s="491">
        <v>0</v>
      </c>
      <c r="AH71" s="491">
        <v>0</v>
      </c>
      <c r="AI71" s="491">
        <v>0</v>
      </c>
      <c r="AJ71" s="491">
        <v>0</v>
      </c>
      <c r="AK71" s="491">
        <v>0</v>
      </c>
      <c r="AL71" s="491">
        <v>0</v>
      </c>
      <c r="AM71" s="491">
        <v>0</v>
      </c>
      <c r="AN71" s="491">
        <v>0</v>
      </c>
      <c r="AO71" s="491">
        <v>0</v>
      </c>
      <c r="AP71" s="491">
        <v>0</v>
      </c>
      <c r="AQ71" s="491">
        <v>0</v>
      </c>
      <c r="AR71" s="491">
        <v>0</v>
      </c>
      <c r="AS71" s="491">
        <v>0</v>
      </c>
      <c r="AT71" s="491">
        <v>0</v>
      </c>
      <c r="AU71" s="491">
        <v>0</v>
      </c>
      <c r="AV71" s="491">
        <v>0</v>
      </c>
      <c r="AW71" s="491">
        <v>0</v>
      </c>
      <c r="AX71" s="491"/>
      <c r="AY71" s="491">
        <v>0</v>
      </c>
      <c r="AZ71" s="491">
        <v>0</v>
      </c>
      <c r="BA71" s="491">
        <v>0</v>
      </c>
      <c r="BB71" s="491">
        <v>0</v>
      </c>
      <c r="BC71" s="491">
        <v>0</v>
      </c>
      <c r="BD71" s="491">
        <v>0</v>
      </c>
      <c r="BE71" s="491">
        <v>0</v>
      </c>
      <c r="BF71" s="491">
        <v>0</v>
      </c>
      <c r="BG71" s="491"/>
      <c r="BH71" s="491"/>
      <c r="BI71" s="491"/>
      <c r="BJ71" s="491">
        <v>0</v>
      </c>
      <c r="BK71" s="491"/>
      <c r="BL71" s="491">
        <v>0</v>
      </c>
      <c r="BM71" s="491">
        <v>0</v>
      </c>
      <c r="BN71" s="491">
        <v>0</v>
      </c>
      <c r="BO71" s="491">
        <v>0</v>
      </c>
    </row>
    <row r="72" spans="1:67" ht="14.1" hidden="1" customHeight="1" outlineLevel="1" x14ac:dyDescent="0.2">
      <c r="B72" s="493" t="s">
        <v>226</v>
      </c>
      <c r="C72" s="491">
        <v>0</v>
      </c>
      <c r="D72" s="491">
        <v>0</v>
      </c>
      <c r="E72" s="491">
        <v>0</v>
      </c>
      <c r="F72" s="491">
        <v>0</v>
      </c>
      <c r="G72" s="491">
        <v>0</v>
      </c>
      <c r="H72" s="491">
        <v>0</v>
      </c>
      <c r="I72" s="491">
        <v>0</v>
      </c>
      <c r="J72" s="491">
        <v>0</v>
      </c>
      <c r="K72" s="491">
        <v>0</v>
      </c>
      <c r="L72" s="491">
        <v>0</v>
      </c>
      <c r="M72" s="491">
        <v>0</v>
      </c>
      <c r="N72" s="491">
        <v>0</v>
      </c>
      <c r="O72" s="492">
        <v>0</v>
      </c>
      <c r="P72" s="491">
        <v>0</v>
      </c>
      <c r="Q72" s="491">
        <v>0</v>
      </c>
      <c r="R72" s="491">
        <v>0</v>
      </c>
      <c r="S72" s="491">
        <v>0</v>
      </c>
      <c r="T72" s="492">
        <v>0</v>
      </c>
      <c r="U72" s="491">
        <v>0</v>
      </c>
      <c r="V72" s="491">
        <v>0</v>
      </c>
      <c r="W72" s="491">
        <v>0</v>
      </c>
      <c r="X72" s="491">
        <v>0</v>
      </c>
      <c r="Y72" s="491">
        <v>0</v>
      </c>
      <c r="Z72" s="491">
        <v>0</v>
      </c>
      <c r="AA72" s="491">
        <v>0</v>
      </c>
      <c r="AB72" s="491">
        <v>0</v>
      </c>
      <c r="AC72" s="491">
        <v>0</v>
      </c>
      <c r="AD72" s="491">
        <v>196</v>
      </c>
      <c r="AE72" s="491">
        <v>504</v>
      </c>
      <c r="AF72" s="491">
        <v>0</v>
      </c>
      <c r="AG72" s="491">
        <v>0</v>
      </c>
      <c r="AH72" s="491">
        <v>0</v>
      </c>
      <c r="AI72" s="491">
        <v>0</v>
      </c>
      <c r="AJ72" s="491">
        <v>0</v>
      </c>
      <c r="AK72" s="491">
        <v>0</v>
      </c>
      <c r="AL72" s="491">
        <v>0</v>
      </c>
      <c r="AM72" s="491">
        <v>0</v>
      </c>
      <c r="AN72" s="491">
        <v>0</v>
      </c>
      <c r="AO72" s="491">
        <v>0</v>
      </c>
      <c r="AP72" s="491">
        <v>0</v>
      </c>
      <c r="AQ72" s="491">
        <v>0</v>
      </c>
      <c r="AR72" s="491">
        <v>0</v>
      </c>
      <c r="AS72" s="491">
        <v>0</v>
      </c>
      <c r="AT72" s="491">
        <v>0</v>
      </c>
      <c r="AU72" s="491">
        <v>0</v>
      </c>
      <c r="AV72" s="491">
        <v>0</v>
      </c>
      <c r="AW72" s="491">
        <v>0</v>
      </c>
      <c r="AX72" s="491"/>
      <c r="AY72" s="491">
        <v>0</v>
      </c>
      <c r="AZ72" s="491">
        <v>0</v>
      </c>
      <c r="BA72" s="491">
        <v>0</v>
      </c>
      <c r="BB72" s="491">
        <v>0</v>
      </c>
      <c r="BC72" s="491">
        <v>0</v>
      </c>
      <c r="BD72" s="491">
        <v>0</v>
      </c>
      <c r="BE72" s="491">
        <v>0</v>
      </c>
      <c r="BF72" s="491">
        <v>0</v>
      </c>
      <c r="BG72" s="491"/>
      <c r="BH72" s="491"/>
      <c r="BI72" s="491"/>
      <c r="BJ72" s="491">
        <v>0</v>
      </c>
      <c r="BK72" s="491"/>
      <c r="BL72" s="491">
        <v>0</v>
      </c>
      <c r="BM72" s="491">
        <v>0</v>
      </c>
      <c r="BN72" s="491">
        <v>0</v>
      </c>
      <c r="BO72" s="491">
        <v>0</v>
      </c>
    </row>
    <row r="73" spans="1:67" ht="14.1" hidden="1" customHeight="1" outlineLevel="1" x14ac:dyDescent="0.2">
      <c r="B73" s="493" t="s">
        <v>371</v>
      </c>
      <c r="C73" s="491">
        <v>0</v>
      </c>
      <c r="D73" s="491">
        <v>0</v>
      </c>
      <c r="E73" s="491">
        <v>0</v>
      </c>
      <c r="F73" s="491">
        <v>0</v>
      </c>
      <c r="G73" s="491">
        <v>2600</v>
      </c>
      <c r="H73" s="491">
        <v>0</v>
      </c>
      <c r="I73" s="491">
        <v>0</v>
      </c>
      <c r="J73" s="491">
        <v>13056</v>
      </c>
      <c r="K73" s="491">
        <v>21589</v>
      </c>
      <c r="L73" s="491">
        <v>24000</v>
      </c>
      <c r="M73" s="491">
        <v>14062</v>
      </c>
      <c r="N73" s="491">
        <v>16552</v>
      </c>
      <c r="O73" s="492">
        <v>16955</v>
      </c>
      <c r="P73" s="491">
        <v>17387</v>
      </c>
      <c r="Q73" s="491">
        <v>8564</v>
      </c>
      <c r="R73" s="491">
        <v>8762</v>
      </c>
      <c r="S73" s="491">
        <v>8972</v>
      </c>
      <c r="T73" s="492">
        <v>9197</v>
      </c>
      <c r="U73" s="491">
        <v>9448</v>
      </c>
      <c r="V73" s="491">
        <v>9709</v>
      </c>
      <c r="W73" s="491">
        <v>9981</v>
      </c>
      <c r="X73" s="491">
        <v>10283</v>
      </c>
      <c r="Y73" s="491">
        <v>10650</v>
      </c>
      <c r="Z73" s="491">
        <v>11008</v>
      </c>
      <c r="AA73" s="491">
        <v>0</v>
      </c>
      <c r="AB73" s="491">
        <v>0</v>
      </c>
      <c r="AC73" s="491">
        <v>0</v>
      </c>
      <c r="AD73" s="491">
        <v>0</v>
      </c>
      <c r="AE73" s="491">
        <v>0</v>
      </c>
      <c r="AF73" s="491">
        <v>0</v>
      </c>
      <c r="AG73" s="491">
        <v>0</v>
      </c>
      <c r="AH73" s="491">
        <v>0</v>
      </c>
      <c r="AI73" s="491">
        <v>0</v>
      </c>
      <c r="AJ73" s="491">
        <v>0</v>
      </c>
      <c r="AK73" s="491">
        <v>0</v>
      </c>
      <c r="AL73" s="491">
        <v>0</v>
      </c>
      <c r="AM73" s="491">
        <v>0</v>
      </c>
      <c r="AN73" s="491">
        <v>0</v>
      </c>
      <c r="AO73" s="491">
        <v>0</v>
      </c>
      <c r="AP73" s="491">
        <v>0</v>
      </c>
      <c r="AQ73" s="491">
        <v>0</v>
      </c>
      <c r="AR73" s="491">
        <v>0</v>
      </c>
      <c r="AS73" s="491">
        <v>0</v>
      </c>
      <c r="AT73" s="491">
        <v>0</v>
      </c>
      <c r="AU73" s="491">
        <v>0</v>
      </c>
      <c r="AV73" s="491">
        <v>0</v>
      </c>
      <c r="AW73" s="491">
        <v>0</v>
      </c>
      <c r="AX73" s="491"/>
      <c r="AY73" s="491">
        <v>0</v>
      </c>
      <c r="AZ73" s="491">
        <v>0</v>
      </c>
      <c r="BA73" s="491">
        <v>0</v>
      </c>
      <c r="BB73" s="491">
        <v>0</v>
      </c>
      <c r="BC73" s="491">
        <v>0</v>
      </c>
      <c r="BD73" s="491">
        <v>0</v>
      </c>
      <c r="BE73" s="491">
        <v>0</v>
      </c>
      <c r="BF73" s="491">
        <v>0</v>
      </c>
      <c r="BG73" s="491"/>
      <c r="BH73" s="491"/>
      <c r="BI73" s="491"/>
      <c r="BJ73" s="491">
        <v>0</v>
      </c>
      <c r="BK73" s="491"/>
      <c r="BL73" s="491">
        <v>0</v>
      </c>
      <c r="BM73" s="491">
        <v>0</v>
      </c>
      <c r="BN73" s="491">
        <v>0</v>
      </c>
      <c r="BO73" s="491">
        <v>0</v>
      </c>
    </row>
    <row r="74" spans="1:67" ht="14.1" hidden="1" customHeight="1" outlineLevel="1" x14ac:dyDescent="0.2">
      <c r="B74" s="490" t="s">
        <v>83</v>
      </c>
      <c r="C74" s="491">
        <v>0</v>
      </c>
      <c r="D74" s="491">
        <v>19351</v>
      </c>
      <c r="E74" s="491">
        <v>0</v>
      </c>
      <c r="F74" s="491">
        <v>0</v>
      </c>
      <c r="G74" s="491">
        <v>0</v>
      </c>
      <c r="H74" s="491">
        <v>0</v>
      </c>
      <c r="I74" s="491">
        <v>0</v>
      </c>
      <c r="J74" s="491">
        <v>0</v>
      </c>
      <c r="K74" s="491">
        <v>0</v>
      </c>
      <c r="L74" s="491">
        <v>0</v>
      </c>
      <c r="M74" s="491">
        <v>0</v>
      </c>
      <c r="N74" s="491">
        <v>0</v>
      </c>
      <c r="O74" s="492">
        <v>0</v>
      </c>
      <c r="P74" s="491">
        <v>0</v>
      </c>
      <c r="Q74" s="491">
        <v>0</v>
      </c>
      <c r="R74" s="491">
        <v>0</v>
      </c>
      <c r="S74" s="491">
        <v>206</v>
      </c>
      <c r="T74" s="492">
        <v>206</v>
      </c>
      <c r="U74" s="491">
        <v>206</v>
      </c>
      <c r="V74" s="491">
        <v>0</v>
      </c>
      <c r="W74" s="491">
        <v>0</v>
      </c>
      <c r="X74" s="491">
        <v>0</v>
      </c>
      <c r="Y74" s="491">
        <v>0</v>
      </c>
      <c r="Z74" s="491">
        <v>0</v>
      </c>
      <c r="AA74" s="491">
        <v>0</v>
      </c>
      <c r="AB74" s="491">
        <v>0</v>
      </c>
      <c r="AC74" s="491">
        <v>0</v>
      </c>
      <c r="AD74" s="491">
        <v>0</v>
      </c>
      <c r="AE74" s="491">
        <v>0</v>
      </c>
      <c r="AF74" s="491">
        <v>0</v>
      </c>
      <c r="AG74" s="491">
        <v>0</v>
      </c>
      <c r="AH74" s="491">
        <v>0</v>
      </c>
      <c r="AI74" s="491">
        <v>0</v>
      </c>
      <c r="AJ74" s="491">
        <v>0</v>
      </c>
      <c r="AK74" s="491">
        <v>0</v>
      </c>
      <c r="AL74" s="491">
        <v>0</v>
      </c>
      <c r="AM74" s="491">
        <v>0</v>
      </c>
      <c r="AN74" s="491">
        <v>0</v>
      </c>
      <c r="AO74" s="491">
        <v>0</v>
      </c>
      <c r="AP74" s="491">
        <v>0</v>
      </c>
      <c r="AQ74" s="491">
        <v>0</v>
      </c>
      <c r="AR74" s="491">
        <v>0</v>
      </c>
      <c r="AS74" s="491">
        <v>0</v>
      </c>
      <c r="AT74" s="491">
        <v>0</v>
      </c>
      <c r="AU74" s="491">
        <v>0</v>
      </c>
      <c r="AV74" s="491">
        <v>0</v>
      </c>
      <c r="AW74" s="491">
        <v>0</v>
      </c>
      <c r="AX74" s="491"/>
      <c r="AY74" s="491">
        <v>0</v>
      </c>
      <c r="AZ74" s="491">
        <v>0</v>
      </c>
      <c r="BA74" s="491">
        <v>0</v>
      </c>
      <c r="BB74" s="491">
        <v>0</v>
      </c>
      <c r="BC74" s="491">
        <v>0</v>
      </c>
      <c r="BD74" s="491">
        <v>0</v>
      </c>
      <c r="BE74" s="491">
        <v>0</v>
      </c>
      <c r="BF74" s="491">
        <v>0</v>
      </c>
      <c r="BG74" s="491"/>
      <c r="BH74" s="491"/>
      <c r="BI74" s="491"/>
      <c r="BJ74" s="491">
        <v>0</v>
      </c>
      <c r="BK74" s="491"/>
      <c r="BL74" s="491">
        <v>0</v>
      </c>
      <c r="BM74" s="491">
        <v>0</v>
      </c>
      <c r="BN74" s="491">
        <v>0</v>
      </c>
      <c r="BO74" s="491">
        <v>0</v>
      </c>
    </row>
    <row r="75" spans="1:67" ht="14.1" hidden="1" customHeight="1" outlineLevel="1" x14ac:dyDescent="0.2">
      <c r="B75" s="490" t="s">
        <v>21</v>
      </c>
      <c r="C75" s="491">
        <v>0</v>
      </c>
      <c r="D75" s="491">
        <v>0</v>
      </c>
      <c r="E75" s="491">
        <v>0</v>
      </c>
      <c r="F75" s="491">
        <v>0</v>
      </c>
      <c r="G75" s="491">
        <v>0</v>
      </c>
      <c r="H75" s="491">
        <v>0</v>
      </c>
      <c r="I75" s="491">
        <v>0</v>
      </c>
      <c r="J75" s="491">
        <v>0</v>
      </c>
      <c r="K75" s="491">
        <v>0</v>
      </c>
      <c r="L75" s="491">
        <v>0</v>
      </c>
      <c r="M75" s="491">
        <v>0</v>
      </c>
      <c r="N75" s="491">
        <v>0</v>
      </c>
      <c r="O75" s="492">
        <v>0</v>
      </c>
      <c r="P75" s="491">
        <v>0</v>
      </c>
      <c r="Q75" s="491">
        <v>0</v>
      </c>
      <c r="R75" s="491">
        <v>0</v>
      </c>
      <c r="S75" s="491">
        <v>318</v>
      </c>
      <c r="T75" s="492">
        <v>1995</v>
      </c>
      <c r="U75" s="491">
        <v>0</v>
      </c>
      <c r="V75" s="491">
        <v>0</v>
      </c>
      <c r="W75" s="491">
        <v>0</v>
      </c>
      <c r="X75" s="491">
        <v>0</v>
      </c>
      <c r="Y75" s="491">
        <v>0</v>
      </c>
      <c r="Z75" s="491">
        <v>0</v>
      </c>
      <c r="AA75" s="491">
        <v>0</v>
      </c>
      <c r="AB75" s="491">
        <v>0</v>
      </c>
      <c r="AC75" s="491">
        <v>0</v>
      </c>
      <c r="AD75" s="491">
        <v>0</v>
      </c>
      <c r="AE75" s="491">
        <v>0</v>
      </c>
      <c r="AF75" s="491">
        <v>0</v>
      </c>
      <c r="AG75" s="491">
        <v>0</v>
      </c>
      <c r="AH75" s="491">
        <v>0</v>
      </c>
      <c r="AI75" s="491">
        <v>0</v>
      </c>
      <c r="AJ75" s="491">
        <v>0</v>
      </c>
      <c r="AK75" s="491">
        <v>0</v>
      </c>
      <c r="AL75" s="491">
        <v>0</v>
      </c>
      <c r="AM75" s="491">
        <v>0</v>
      </c>
      <c r="AN75" s="491">
        <v>0</v>
      </c>
      <c r="AO75" s="491">
        <v>0</v>
      </c>
      <c r="AP75" s="491">
        <v>0</v>
      </c>
      <c r="AQ75" s="491">
        <v>0</v>
      </c>
      <c r="AR75" s="491">
        <v>0</v>
      </c>
      <c r="AS75" s="491">
        <v>0</v>
      </c>
      <c r="AT75" s="491">
        <v>0</v>
      </c>
      <c r="AU75" s="491">
        <v>0</v>
      </c>
      <c r="AV75" s="491">
        <v>0</v>
      </c>
      <c r="AW75" s="491">
        <v>0</v>
      </c>
      <c r="AX75" s="491"/>
      <c r="AY75" s="491">
        <v>0</v>
      </c>
      <c r="AZ75" s="491">
        <v>0</v>
      </c>
      <c r="BA75" s="491">
        <v>0</v>
      </c>
      <c r="BB75" s="491">
        <v>0</v>
      </c>
      <c r="BC75" s="491">
        <v>0</v>
      </c>
      <c r="BD75" s="491">
        <v>0</v>
      </c>
      <c r="BE75" s="491">
        <v>0</v>
      </c>
      <c r="BF75" s="491">
        <v>0</v>
      </c>
      <c r="BG75" s="491"/>
      <c r="BH75" s="491"/>
      <c r="BI75" s="491"/>
      <c r="BJ75" s="491">
        <v>0</v>
      </c>
      <c r="BK75" s="491"/>
      <c r="BL75" s="491">
        <v>0</v>
      </c>
      <c r="BM75" s="491">
        <v>0</v>
      </c>
      <c r="BN75" s="491">
        <v>0</v>
      </c>
      <c r="BO75" s="491">
        <v>0</v>
      </c>
    </row>
    <row r="76" spans="1:67" ht="14.1" hidden="1" customHeight="1" outlineLevel="1" x14ac:dyDescent="0.2">
      <c r="B76" s="504" t="s">
        <v>41</v>
      </c>
      <c r="C76" s="495">
        <v>0</v>
      </c>
      <c r="D76" s="495">
        <v>0</v>
      </c>
      <c r="E76" s="495">
        <v>0</v>
      </c>
      <c r="F76" s="495">
        <v>0</v>
      </c>
      <c r="G76" s="495">
        <v>21100</v>
      </c>
      <c r="H76" s="495">
        <v>23700</v>
      </c>
      <c r="I76" s="495">
        <v>24500</v>
      </c>
      <c r="J76" s="495">
        <v>51000</v>
      </c>
      <c r="K76" s="495">
        <v>52324</v>
      </c>
      <c r="L76" s="495">
        <v>53646</v>
      </c>
      <c r="M76" s="495">
        <v>67013</v>
      </c>
      <c r="N76" s="495">
        <v>56576</v>
      </c>
      <c r="O76" s="496">
        <v>57888</v>
      </c>
      <c r="P76" s="495">
        <v>59300</v>
      </c>
      <c r="Q76" s="495">
        <v>0</v>
      </c>
      <c r="R76" s="495">
        <v>0</v>
      </c>
      <c r="S76" s="495">
        <v>0</v>
      </c>
      <c r="T76" s="496">
        <v>0</v>
      </c>
      <c r="U76" s="495">
        <v>0</v>
      </c>
      <c r="V76" s="495">
        <v>0</v>
      </c>
      <c r="W76" s="495">
        <v>0</v>
      </c>
      <c r="X76" s="495">
        <v>0</v>
      </c>
      <c r="Y76" s="495">
        <v>0</v>
      </c>
      <c r="Z76" s="495">
        <v>0</v>
      </c>
      <c r="AA76" s="495">
        <v>0</v>
      </c>
      <c r="AB76" s="495">
        <v>0</v>
      </c>
      <c r="AC76" s="495">
        <v>0</v>
      </c>
      <c r="AD76" s="495">
        <v>0</v>
      </c>
      <c r="AE76" s="495">
        <v>0</v>
      </c>
      <c r="AF76" s="495">
        <v>0</v>
      </c>
      <c r="AG76" s="495">
        <v>0</v>
      </c>
      <c r="AH76" s="495">
        <v>0</v>
      </c>
      <c r="AI76" s="495">
        <v>0</v>
      </c>
      <c r="AJ76" s="495">
        <v>0</v>
      </c>
      <c r="AK76" s="495">
        <v>0</v>
      </c>
      <c r="AL76" s="495">
        <v>0</v>
      </c>
      <c r="AM76" s="495">
        <v>0</v>
      </c>
      <c r="AN76" s="495">
        <v>0</v>
      </c>
      <c r="AO76" s="495">
        <v>0</v>
      </c>
      <c r="AP76" s="495">
        <v>0</v>
      </c>
      <c r="AQ76" s="495">
        <v>0</v>
      </c>
      <c r="AR76" s="495">
        <v>0</v>
      </c>
      <c r="AS76" s="495">
        <v>0</v>
      </c>
      <c r="AT76" s="495">
        <v>0</v>
      </c>
      <c r="AU76" s="495">
        <v>0</v>
      </c>
      <c r="AV76" s="495">
        <v>0</v>
      </c>
      <c r="AW76" s="495">
        <v>0</v>
      </c>
      <c r="AX76" s="495"/>
      <c r="AY76" s="495">
        <v>0</v>
      </c>
      <c r="AZ76" s="495">
        <v>0</v>
      </c>
      <c r="BA76" s="495">
        <v>0</v>
      </c>
      <c r="BB76" s="495">
        <v>0</v>
      </c>
      <c r="BC76" s="495">
        <v>0</v>
      </c>
      <c r="BD76" s="495">
        <v>0</v>
      </c>
      <c r="BE76" s="495">
        <v>0</v>
      </c>
      <c r="BF76" s="495">
        <v>0</v>
      </c>
      <c r="BG76" s="495"/>
      <c r="BH76" s="495"/>
      <c r="BI76" s="495"/>
      <c r="BJ76" s="495">
        <v>0</v>
      </c>
      <c r="BK76" s="495"/>
      <c r="BL76" s="495">
        <v>0</v>
      </c>
      <c r="BM76" s="495">
        <v>0</v>
      </c>
      <c r="BN76" s="495">
        <v>0</v>
      </c>
      <c r="BO76" s="495">
        <v>0</v>
      </c>
    </row>
    <row r="77" spans="1:67" ht="18" customHeight="1" x14ac:dyDescent="0.2">
      <c r="B77" s="503"/>
      <c r="C77" s="715"/>
      <c r="D77" s="715"/>
      <c r="E77" s="715"/>
      <c r="F77" s="715"/>
      <c r="G77" s="715"/>
      <c r="H77" s="715"/>
      <c r="I77" s="715"/>
      <c r="J77" s="715"/>
      <c r="K77" s="715"/>
      <c r="L77" s="715"/>
      <c r="M77" s="715"/>
      <c r="N77" s="715"/>
      <c r="O77" s="716"/>
      <c r="P77" s="715"/>
      <c r="Q77" s="715"/>
      <c r="R77" s="715"/>
      <c r="S77" s="715"/>
      <c r="T77" s="716"/>
      <c r="U77" s="715"/>
      <c r="V77" s="717"/>
      <c r="W77" s="717"/>
      <c r="X77" s="717"/>
      <c r="Y77" s="962"/>
      <c r="Z77" s="962"/>
      <c r="AA77" s="962"/>
      <c r="AB77" s="962"/>
      <c r="AC77" s="962"/>
      <c r="AD77" s="962"/>
      <c r="AE77" s="962"/>
      <c r="AF77" s="962"/>
      <c r="AG77" s="962"/>
      <c r="AH77" s="962"/>
      <c r="AI77" s="962"/>
      <c r="AJ77" s="962"/>
      <c r="AK77" s="962"/>
      <c r="AL77" s="962"/>
      <c r="AM77" s="962"/>
      <c r="AN77" s="962"/>
      <c r="AO77" s="962"/>
      <c r="AP77" s="962"/>
      <c r="AQ77" s="962"/>
      <c r="AR77" s="962"/>
      <c r="AS77" s="962"/>
      <c r="AT77" s="962"/>
      <c r="AU77" s="962"/>
      <c r="AV77" s="962"/>
      <c r="AW77" s="962"/>
      <c r="AX77" s="962"/>
      <c r="AY77" s="962"/>
      <c r="AZ77" s="962"/>
      <c r="BA77" s="962"/>
      <c r="BB77" s="962"/>
      <c r="BC77" s="962"/>
      <c r="BD77" s="962"/>
      <c r="BE77" s="962"/>
      <c r="BF77" s="962"/>
      <c r="BG77" s="962"/>
      <c r="BH77" s="962"/>
      <c r="BI77" s="962"/>
      <c r="BJ77" s="1218"/>
      <c r="BK77" s="1218"/>
      <c r="BL77" s="1218"/>
      <c r="BM77" s="1218"/>
      <c r="BN77" s="962"/>
      <c r="BO77" s="962"/>
    </row>
    <row r="78" spans="1:67" ht="14.1" customHeight="1" thickBot="1" x14ac:dyDescent="0.25">
      <c r="B78" s="481" t="s">
        <v>43</v>
      </c>
      <c r="C78" s="482">
        <f t="shared" ref="C78:AE78" si="33">SUM(C79:C86)</f>
        <v>353544</v>
      </c>
      <c r="D78" s="482">
        <f t="shared" si="33"/>
        <v>323597</v>
      </c>
      <c r="E78" s="482">
        <f t="shared" si="33"/>
        <v>339862</v>
      </c>
      <c r="F78" s="482">
        <f t="shared" si="33"/>
        <v>419862</v>
      </c>
      <c r="G78" s="482">
        <f t="shared" si="33"/>
        <v>418810</v>
      </c>
      <c r="H78" s="483">
        <f t="shared" si="33"/>
        <v>408402</v>
      </c>
      <c r="I78" s="482">
        <f t="shared" si="33"/>
        <v>419218</v>
      </c>
      <c r="J78" s="482">
        <f t="shared" si="33"/>
        <v>404086</v>
      </c>
      <c r="K78" s="482">
        <f t="shared" si="33"/>
        <v>418220</v>
      </c>
      <c r="L78" s="482">
        <f t="shared" si="33"/>
        <v>407478</v>
      </c>
      <c r="M78" s="482">
        <f t="shared" si="33"/>
        <v>423468</v>
      </c>
      <c r="N78" s="482">
        <f t="shared" si="33"/>
        <v>424064</v>
      </c>
      <c r="O78" s="483">
        <f t="shared" si="33"/>
        <v>428272</v>
      </c>
      <c r="P78" s="482">
        <f t="shared" si="33"/>
        <v>416422</v>
      </c>
      <c r="Q78" s="482">
        <f t="shared" si="33"/>
        <v>422689</v>
      </c>
      <c r="R78" s="482">
        <f t="shared" si="33"/>
        <v>401540</v>
      </c>
      <c r="S78" s="482">
        <f t="shared" si="33"/>
        <v>402978</v>
      </c>
      <c r="T78" s="483">
        <f t="shared" si="33"/>
        <v>376377</v>
      </c>
      <c r="U78" s="482">
        <f t="shared" si="33"/>
        <v>348548</v>
      </c>
      <c r="V78" s="482">
        <f t="shared" si="33"/>
        <v>362097</v>
      </c>
      <c r="W78" s="482">
        <f t="shared" si="33"/>
        <v>369830</v>
      </c>
      <c r="X78" s="482">
        <f t="shared" si="33"/>
        <v>371095</v>
      </c>
      <c r="Y78" s="482">
        <f t="shared" si="33"/>
        <v>370984</v>
      </c>
      <c r="Z78" s="482">
        <f t="shared" si="33"/>
        <v>365363</v>
      </c>
      <c r="AA78" s="482">
        <f t="shared" si="33"/>
        <v>362782</v>
      </c>
      <c r="AB78" s="482">
        <f t="shared" si="33"/>
        <v>362054</v>
      </c>
      <c r="AC78" s="482">
        <f t="shared" si="33"/>
        <v>365895</v>
      </c>
      <c r="AD78" s="482">
        <f t="shared" si="33"/>
        <v>375077</v>
      </c>
      <c r="AE78" s="482">
        <f t="shared" si="33"/>
        <v>380528</v>
      </c>
      <c r="AF78" s="482">
        <v>400073</v>
      </c>
      <c r="AG78" s="482">
        <f t="shared" ref="AG78:AP78" si="34">SUM(AG79:AG86)</f>
        <v>400609</v>
      </c>
      <c r="AH78" s="482">
        <f t="shared" si="34"/>
        <v>448806</v>
      </c>
      <c r="AI78" s="482">
        <f t="shared" si="34"/>
        <v>462802</v>
      </c>
      <c r="AJ78" s="482">
        <f t="shared" si="34"/>
        <v>455259</v>
      </c>
      <c r="AK78" s="482">
        <f t="shared" si="34"/>
        <v>465415</v>
      </c>
      <c r="AL78" s="482">
        <f t="shared" si="34"/>
        <v>484372</v>
      </c>
      <c r="AM78" s="482">
        <f t="shared" si="34"/>
        <v>511005</v>
      </c>
      <c r="AN78" s="482">
        <f t="shared" si="34"/>
        <v>515840</v>
      </c>
      <c r="AO78" s="482">
        <f t="shared" si="34"/>
        <v>577735</v>
      </c>
      <c r="AP78" s="482">
        <f t="shared" si="34"/>
        <v>575079</v>
      </c>
      <c r="AQ78" s="482">
        <f t="shared" ref="AQ78:AZ78" si="35">SUM(AQ79:AQ86)</f>
        <v>595131</v>
      </c>
      <c r="AR78" s="482">
        <f t="shared" si="35"/>
        <v>590088</v>
      </c>
      <c r="AS78" s="482">
        <f t="shared" si="35"/>
        <v>619947</v>
      </c>
      <c r="AT78" s="482">
        <f t="shared" si="35"/>
        <v>624663</v>
      </c>
      <c r="AU78" s="482">
        <f t="shared" si="35"/>
        <v>644911</v>
      </c>
      <c r="AV78" s="482">
        <f t="shared" si="35"/>
        <v>656554</v>
      </c>
      <c r="AW78" s="482">
        <f t="shared" si="35"/>
        <v>668634</v>
      </c>
      <c r="AX78" s="482">
        <f t="shared" si="35"/>
        <v>680734</v>
      </c>
      <c r="AY78" s="482">
        <f t="shared" si="35"/>
        <v>699442</v>
      </c>
      <c r="AZ78" s="482">
        <f t="shared" si="35"/>
        <v>707573</v>
      </c>
      <c r="BA78" s="482">
        <f t="shared" ref="BA78:BM78" si="36">SUM(BA79:BA86)</f>
        <v>736379</v>
      </c>
      <c r="BB78" s="482">
        <f t="shared" si="36"/>
        <v>766189</v>
      </c>
      <c r="BC78" s="482">
        <f t="shared" si="36"/>
        <v>800844</v>
      </c>
      <c r="BD78" s="482">
        <f t="shared" si="36"/>
        <v>800942</v>
      </c>
      <c r="BE78" s="482">
        <f t="shared" si="36"/>
        <v>819533</v>
      </c>
      <c r="BF78" s="482">
        <f t="shared" si="36"/>
        <v>835170</v>
      </c>
      <c r="BG78" s="482">
        <f t="shared" si="36"/>
        <v>872453</v>
      </c>
      <c r="BH78" s="482">
        <f t="shared" si="36"/>
        <v>888230</v>
      </c>
      <c r="BI78" s="482">
        <f t="shared" si="36"/>
        <v>892007</v>
      </c>
      <c r="BJ78" s="482">
        <f t="shared" si="36"/>
        <v>921409</v>
      </c>
      <c r="BK78" s="482">
        <f t="shared" si="36"/>
        <v>965143</v>
      </c>
      <c r="BL78" s="482">
        <f>SUM(BL79:BL86)</f>
        <v>993359</v>
      </c>
      <c r="BM78" s="482">
        <f t="shared" si="36"/>
        <v>984234</v>
      </c>
      <c r="BN78" s="482">
        <f>SUM(BN79:BN86)</f>
        <v>872233</v>
      </c>
      <c r="BO78" s="482">
        <f>SUM(BO79:BO86)</f>
        <v>911018</v>
      </c>
    </row>
    <row r="79" spans="1:67" ht="14.1" customHeight="1" x14ac:dyDescent="0.2">
      <c r="B79" s="506" t="s">
        <v>31</v>
      </c>
      <c r="C79" s="507">
        <v>144469</v>
      </c>
      <c r="D79" s="507">
        <v>144469</v>
      </c>
      <c r="E79" s="507">
        <v>144469</v>
      </c>
      <c r="F79" s="507">
        <v>144469</v>
      </c>
      <c r="G79" s="507">
        <v>144469</v>
      </c>
      <c r="H79" s="508">
        <v>144469</v>
      </c>
      <c r="I79" s="507">
        <v>144469</v>
      </c>
      <c r="J79" s="507">
        <v>144469</v>
      </c>
      <c r="K79" s="507">
        <v>144469</v>
      </c>
      <c r="L79" s="507">
        <v>144469</v>
      </c>
      <c r="M79" s="507">
        <v>144469</v>
      </c>
      <c r="N79" s="507">
        <v>144469</v>
      </c>
      <c r="O79" s="508">
        <v>144469</v>
      </c>
      <c r="P79" s="507">
        <v>144469</v>
      </c>
      <c r="Q79" s="507">
        <v>144469</v>
      </c>
      <c r="R79" s="507">
        <v>144469</v>
      </c>
      <c r="S79" s="507">
        <v>144469</v>
      </c>
      <c r="T79" s="508">
        <v>144469</v>
      </c>
      <c r="U79" s="507">
        <v>144469</v>
      </c>
      <c r="V79" s="507">
        <v>144469</v>
      </c>
      <c r="W79" s="507">
        <v>144469</v>
      </c>
      <c r="X79" s="507">
        <v>144469</v>
      </c>
      <c r="Y79" s="507">
        <v>144469</v>
      </c>
      <c r="Z79" s="507">
        <v>144469</v>
      </c>
      <c r="AA79" s="507">
        <v>144469</v>
      </c>
      <c r="AB79" s="507">
        <v>144469</v>
      </c>
      <c r="AC79" s="507">
        <v>144469</v>
      </c>
      <c r="AD79" s="507">
        <v>144469</v>
      </c>
      <c r="AE79" s="507">
        <v>144469</v>
      </c>
      <c r="AF79" s="507">
        <v>144469</v>
      </c>
      <c r="AG79" s="507">
        <v>144469</v>
      </c>
      <c r="AH79" s="507">
        <v>144469</v>
      </c>
      <c r="AI79" s="507">
        <v>144469</v>
      </c>
      <c r="AJ79" s="507">
        <v>144469</v>
      </c>
      <c r="AK79" s="507">
        <v>144469</v>
      </c>
      <c r="AL79" s="507">
        <v>144469</v>
      </c>
      <c r="AM79" s="507">
        <v>144469</v>
      </c>
      <c r="AN79" s="507">
        <v>144469</v>
      </c>
      <c r="AO79" s="507">
        <v>144469</v>
      </c>
      <c r="AP79" s="507">
        <v>144469</v>
      </c>
      <c r="AQ79" s="507">
        <v>144469</v>
      </c>
      <c r="AR79" s="507">
        <v>318524</v>
      </c>
      <c r="AS79" s="507">
        <v>318524</v>
      </c>
      <c r="AT79" s="507">
        <v>318524</v>
      </c>
      <c r="AU79" s="507">
        <v>318524</v>
      </c>
      <c r="AV79" s="507">
        <v>318524</v>
      </c>
      <c r="AW79" s="507">
        <v>318524</v>
      </c>
      <c r="AX79" s="507">
        <v>318524</v>
      </c>
      <c r="AY79" s="507">
        <v>318524</v>
      </c>
      <c r="AZ79" s="507">
        <v>318524</v>
      </c>
      <c r="BA79" s="507">
        <v>318524</v>
      </c>
      <c r="BB79" s="507">
        <v>318524</v>
      </c>
      <c r="BC79" s="507">
        <v>318524</v>
      </c>
      <c r="BD79" s="507">
        <v>318524</v>
      </c>
      <c r="BE79" s="507">
        <v>318524</v>
      </c>
      <c r="BF79" s="507">
        <v>318524</v>
      </c>
      <c r="BG79" s="507">
        <v>438839</v>
      </c>
      <c r="BH79" s="507">
        <v>438839</v>
      </c>
      <c r="BI79" s="507">
        <v>438839</v>
      </c>
      <c r="BJ79" s="507">
        <v>438839</v>
      </c>
      <c r="BK79" s="507">
        <v>438839</v>
      </c>
      <c r="BL79" s="507">
        <v>438839</v>
      </c>
      <c r="BM79" s="507">
        <v>438839</v>
      </c>
      <c r="BN79" s="507">
        <v>460000</v>
      </c>
      <c r="BO79" s="507">
        <v>460000</v>
      </c>
    </row>
    <row r="80" spans="1:67" ht="14.1" customHeight="1" x14ac:dyDescent="0.2">
      <c r="B80" s="487" t="s">
        <v>84</v>
      </c>
      <c r="C80" s="485">
        <v>206861</v>
      </c>
      <c r="D80" s="485">
        <v>174055</v>
      </c>
      <c r="E80" s="485">
        <v>174055</v>
      </c>
      <c r="F80" s="485">
        <v>174055</v>
      </c>
      <c r="G80" s="485">
        <v>174055</v>
      </c>
      <c r="H80" s="486">
        <v>174055</v>
      </c>
      <c r="I80" s="485">
        <v>174055</v>
      </c>
      <c r="J80" s="485">
        <v>174090</v>
      </c>
      <c r="K80" s="485">
        <v>174332</v>
      </c>
      <c r="L80" s="485">
        <v>174400</v>
      </c>
      <c r="M80" s="485">
        <v>174468</v>
      </c>
      <c r="N80" s="485">
        <v>174815</v>
      </c>
      <c r="O80" s="486">
        <v>175262</v>
      </c>
      <c r="P80" s="485">
        <v>175431</v>
      </c>
      <c r="Q80" s="485">
        <v>175605</v>
      </c>
      <c r="R80" s="485">
        <v>175780</v>
      </c>
      <c r="S80" s="485">
        <v>175921</v>
      </c>
      <c r="T80" s="486">
        <v>176288</v>
      </c>
      <c r="U80" s="485">
        <v>176097</v>
      </c>
      <c r="V80" s="485">
        <v>176212</v>
      </c>
      <c r="W80" s="485">
        <v>176322</v>
      </c>
      <c r="X80" s="485">
        <v>176432</v>
      </c>
      <c r="Y80" s="485">
        <v>175829</v>
      </c>
      <c r="Z80" s="485">
        <v>174099</v>
      </c>
      <c r="AA80" s="485">
        <v>174099</v>
      </c>
      <c r="AB80" s="485">
        <v>174055</v>
      </c>
      <c r="AC80" s="485">
        <v>174055</v>
      </c>
      <c r="AD80" s="485">
        <v>174055</v>
      </c>
      <c r="AE80" s="485">
        <v>174055</v>
      </c>
      <c r="AF80" s="485">
        <v>174055</v>
      </c>
      <c r="AG80" s="485">
        <v>174055</v>
      </c>
      <c r="AH80" s="485">
        <v>174055</v>
      </c>
      <c r="AI80" s="485">
        <v>174055</v>
      </c>
      <c r="AJ80" s="485">
        <v>174055</v>
      </c>
      <c r="AK80" s="485">
        <v>174055</v>
      </c>
      <c r="AL80" s="485">
        <v>174055</v>
      </c>
      <c r="AM80" s="485">
        <v>174055</v>
      </c>
      <c r="AN80" s="485">
        <v>174055</v>
      </c>
      <c r="AO80" s="485">
        <v>174055</v>
      </c>
      <c r="AP80" s="485">
        <v>174055</v>
      </c>
      <c r="AQ80" s="485">
        <v>174055</v>
      </c>
      <c r="AR80" s="485">
        <v>0</v>
      </c>
      <c r="AS80" s="485">
        <v>0</v>
      </c>
      <c r="AT80" s="485">
        <v>0</v>
      </c>
      <c r="AU80" s="485">
        <v>0</v>
      </c>
      <c r="AV80" s="485">
        <v>0</v>
      </c>
      <c r="AW80" s="485">
        <v>0</v>
      </c>
      <c r="AX80" s="485">
        <v>0</v>
      </c>
      <c r="AY80" s="485">
        <v>0</v>
      </c>
      <c r="AZ80" s="485">
        <v>0</v>
      </c>
      <c r="BA80" s="485">
        <v>0</v>
      </c>
      <c r="BB80" s="485">
        <v>0</v>
      </c>
      <c r="BC80" s="485">
        <v>0</v>
      </c>
      <c r="BD80" s="485">
        <v>0</v>
      </c>
      <c r="BE80" s="485">
        <v>0</v>
      </c>
      <c r="BF80" s="485">
        <v>0</v>
      </c>
      <c r="BG80" s="485">
        <v>0</v>
      </c>
      <c r="BH80" s="485">
        <v>0</v>
      </c>
      <c r="BI80" s="485">
        <v>0</v>
      </c>
      <c r="BJ80" s="485">
        <v>0</v>
      </c>
      <c r="BK80" s="485">
        <v>0</v>
      </c>
      <c r="BL80" s="485">
        <v>0</v>
      </c>
      <c r="BM80" s="485">
        <v>0</v>
      </c>
      <c r="BN80" s="485">
        <v>0</v>
      </c>
      <c r="BO80" s="485">
        <v>0</v>
      </c>
    </row>
    <row r="81" spans="1:67" ht="14.1" customHeight="1" x14ac:dyDescent="0.2">
      <c r="B81" s="487" t="s">
        <v>85</v>
      </c>
      <c r="C81" s="485">
        <v>2214</v>
      </c>
      <c r="D81" s="485">
        <v>5073</v>
      </c>
      <c r="E81" s="485">
        <v>21553</v>
      </c>
      <c r="F81" s="485">
        <v>101346</v>
      </c>
      <c r="G81" s="485">
        <v>121244</v>
      </c>
      <c r="H81" s="486">
        <v>110848</v>
      </c>
      <c r="I81" s="485">
        <v>121592</v>
      </c>
      <c r="J81" s="485">
        <v>132725</v>
      </c>
      <c r="K81" s="485">
        <v>132725</v>
      </c>
      <c r="L81" s="485">
        <v>102725</v>
      </c>
      <c r="M81" s="485">
        <v>102728</v>
      </c>
      <c r="N81" s="485">
        <v>152093</v>
      </c>
      <c r="O81" s="486">
        <v>152093</v>
      </c>
      <c r="P81" s="485">
        <v>122094</v>
      </c>
      <c r="Q81" s="485">
        <v>107093</v>
      </c>
      <c r="R81" s="485">
        <v>81570</v>
      </c>
      <c r="S81" s="485">
        <v>81570</v>
      </c>
      <c r="T81" s="486">
        <v>64588</v>
      </c>
      <c r="U81" s="485">
        <v>64587.999999999993</v>
      </c>
      <c r="V81" s="485">
        <v>41626</v>
      </c>
      <c r="W81" s="485">
        <v>41626</v>
      </c>
      <c r="X81" s="485">
        <v>41626</v>
      </c>
      <c r="Y81" s="485">
        <v>36626</v>
      </c>
      <c r="Z81" s="485">
        <v>46556</v>
      </c>
      <c r="AA81" s="485">
        <v>46556</v>
      </c>
      <c r="AB81" s="485">
        <v>46556</v>
      </c>
      <c r="AC81" s="485">
        <v>46556</v>
      </c>
      <c r="AD81" s="485">
        <v>52382</v>
      </c>
      <c r="AE81" s="485">
        <v>52382</v>
      </c>
      <c r="AF81" s="485">
        <v>52382</v>
      </c>
      <c r="AG81" s="485">
        <v>52382</v>
      </c>
      <c r="AH81" s="485">
        <v>94896</v>
      </c>
      <c r="AI81" s="485">
        <v>94896</v>
      </c>
      <c r="AJ81" s="485">
        <v>94896</v>
      </c>
      <c r="AK81" s="485">
        <v>94896</v>
      </c>
      <c r="AL81" s="485">
        <v>138195</v>
      </c>
      <c r="AM81" s="485">
        <v>138195</v>
      </c>
      <c r="AN81" s="485">
        <v>138195</v>
      </c>
      <c r="AO81" s="485">
        <v>138195</v>
      </c>
      <c r="AP81" s="485">
        <v>256903</v>
      </c>
      <c r="AQ81" s="485">
        <v>260946</v>
      </c>
      <c r="AR81" s="485">
        <v>262553</v>
      </c>
      <c r="AS81" s="485">
        <v>266821</v>
      </c>
      <c r="AT81" s="485">
        <v>295557</v>
      </c>
      <c r="AU81" s="485">
        <v>299149</v>
      </c>
      <c r="AV81" s="485">
        <v>302512</v>
      </c>
      <c r="AW81" s="485">
        <v>306111</v>
      </c>
      <c r="AX81" s="485">
        <v>342489</v>
      </c>
      <c r="AY81" s="485">
        <v>345960</v>
      </c>
      <c r="AZ81" s="485">
        <v>350661</v>
      </c>
      <c r="BA81" s="485">
        <v>357326</v>
      </c>
      <c r="BB81" s="485">
        <v>410601</v>
      </c>
      <c r="BC81" s="485">
        <v>415438</v>
      </c>
      <c r="BD81" s="485">
        <v>421332</v>
      </c>
      <c r="BE81" s="485">
        <v>428335</v>
      </c>
      <c r="BF81" s="485">
        <v>471347</v>
      </c>
      <c r="BG81" s="485">
        <v>351032</v>
      </c>
      <c r="BH81" s="485">
        <v>351032</v>
      </c>
      <c r="BI81" s="485">
        <v>270588</v>
      </c>
      <c r="BJ81" s="485">
        <v>450730</v>
      </c>
      <c r="BK81" s="485">
        <v>450730</v>
      </c>
      <c r="BL81" s="485">
        <v>450730</v>
      </c>
      <c r="BM81" s="485">
        <v>450730</v>
      </c>
      <c r="BN81" s="485">
        <v>419331</v>
      </c>
      <c r="BO81" s="485">
        <v>419331</v>
      </c>
    </row>
    <row r="82" spans="1:67" ht="14.1" customHeight="1" x14ac:dyDescent="0.2">
      <c r="B82" s="487" t="s">
        <v>1319</v>
      </c>
      <c r="C82" s="485" t="s">
        <v>160</v>
      </c>
      <c r="D82" s="485" t="s">
        <v>160</v>
      </c>
      <c r="E82" s="485" t="s">
        <v>160</v>
      </c>
      <c r="F82" s="485" t="s">
        <v>160</v>
      </c>
      <c r="G82" s="485" t="s">
        <v>160</v>
      </c>
      <c r="H82" s="486" t="s">
        <v>160</v>
      </c>
      <c r="I82" s="485" t="s">
        <v>160</v>
      </c>
      <c r="J82" s="485" t="s">
        <v>160</v>
      </c>
      <c r="K82" s="485" t="s">
        <v>160</v>
      </c>
      <c r="L82" s="485" t="s">
        <v>160</v>
      </c>
      <c r="M82" s="485" t="s">
        <v>160</v>
      </c>
      <c r="N82" s="485" t="s">
        <v>160</v>
      </c>
      <c r="O82" s="486" t="s">
        <v>160</v>
      </c>
      <c r="P82" s="485" t="s">
        <v>160</v>
      </c>
      <c r="Q82" s="485" t="s">
        <v>160</v>
      </c>
      <c r="R82" s="485" t="s">
        <v>160</v>
      </c>
      <c r="S82" s="485" t="s">
        <v>160</v>
      </c>
      <c r="T82" s="486" t="s">
        <v>160</v>
      </c>
      <c r="U82" s="485" t="s">
        <v>160</v>
      </c>
      <c r="V82" s="485" t="s">
        <v>160</v>
      </c>
      <c r="W82" s="485" t="s">
        <v>160</v>
      </c>
      <c r="X82" s="485" t="s">
        <v>160</v>
      </c>
      <c r="Y82" s="485" t="s">
        <v>160</v>
      </c>
      <c r="Z82" s="485" t="s">
        <v>160</v>
      </c>
      <c r="AA82" s="485" t="s">
        <v>160</v>
      </c>
      <c r="AB82" s="485" t="s">
        <v>160</v>
      </c>
      <c r="AC82" s="485" t="s">
        <v>160</v>
      </c>
      <c r="AD82" s="485" t="s">
        <v>160</v>
      </c>
      <c r="AE82" s="485" t="s">
        <v>160</v>
      </c>
      <c r="AF82" s="485" t="s">
        <v>160</v>
      </c>
      <c r="AG82" s="485" t="s">
        <v>160</v>
      </c>
      <c r="AH82" s="485" t="s">
        <v>160</v>
      </c>
      <c r="AI82" s="485" t="s">
        <v>160</v>
      </c>
      <c r="AJ82" s="485" t="s">
        <v>160</v>
      </c>
      <c r="AK82" s="485" t="s">
        <v>160</v>
      </c>
      <c r="AL82" s="485" t="s">
        <v>160</v>
      </c>
      <c r="AM82" s="485" t="s">
        <v>160</v>
      </c>
      <c r="AN82" s="485" t="s">
        <v>160</v>
      </c>
      <c r="AO82" s="485" t="s">
        <v>160</v>
      </c>
      <c r="AP82" s="485" t="s">
        <v>160</v>
      </c>
      <c r="AQ82" s="485" t="s">
        <v>160</v>
      </c>
      <c r="AR82" s="485" t="s">
        <v>160</v>
      </c>
      <c r="AS82" s="485" t="s">
        <v>160</v>
      </c>
      <c r="AT82" s="485" t="s">
        <v>160</v>
      </c>
      <c r="AU82" s="485" t="s">
        <v>160</v>
      </c>
      <c r="AV82" s="485" t="s">
        <v>160</v>
      </c>
      <c r="AW82" s="485" t="s">
        <v>160</v>
      </c>
      <c r="AX82" s="485" t="s">
        <v>160</v>
      </c>
      <c r="AY82" s="485" t="s">
        <v>160</v>
      </c>
      <c r="AZ82" s="485" t="s">
        <v>160</v>
      </c>
      <c r="BA82" s="485" t="s">
        <v>160</v>
      </c>
      <c r="BB82" s="485" t="s">
        <v>160</v>
      </c>
      <c r="BC82" s="485" t="s">
        <v>160</v>
      </c>
      <c r="BD82" s="485" t="s">
        <v>160</v>
      </c>
      <c r="BE82" s="485" t="s">
        <v>160</v>
      </c>
      <c r="BF82" s="485" t="s">
        <v>160</v>
      </c>
      <c r="BG82" s="485" t="s">
        <v>160</v>
      </c>
      <c r="BH82" s="485" t="s">
        <v>160</v>
      </c>
      <c r="BI82" s="485" t="s">
        <v>160</v>
      </c>
      <c r="BJ82" s="485">
        <v>-5296</v>
      </c>
      <c r="BK82" s="485">
        <v>-5296</v>
      </c>
      <c r="BL82" s="485">
        <v>-5296</v>
      </c>
      <c r="BM82" s="485">
        <v>-5296</v>
      </c>
      <c r="BN82" s="485">
        <v>-5296</v>
      </c>
      <c r="BO82" s="485">
        <v>-5296</v>
      </c>
    </row>
    <row r="83" spans="1:67" ht="14.1" customHeight="1" x14ac:dyDescent="0.2">
      <c r="B83" s="487" t="s">
        <v>747</v>
      </c>
      <c r="C83" s="485">
        <v>0</v>
      </c>
      <c r="D83" s="485">
        <v>0</v>
      </c>
      <c r="E83" s="485">
        <v>-342</v>
      </c>
      <c r="F83" s="485">
        <v>0</v>
      </c>
      <c r="G83" s="485">
        <v>0</v>
      </c>
      <c r="H83" s="486">
        <v>0</v>
      </c>
      <c r="I83" s="485">
        <v>0</v>
      </c>
      <c r="J83" s="485">
        <v>0</v>
      </c>
      <c r="K83" s="485">
        <v>13897</v>
      </c>
      <c r="L83" s="485">
        <v>33035</v>
      </c>
      <c r="M83" s="485">
        <v>48956</v>
      </c>
      <c r="N83" s="485">
        <v>0</v>
      </c>
      <c r="O83" s="486">
        <v>4222</v>
      </c>
      <c r="P83" s="485">
        <v>22135</v>
      </c>
      <c r="Q83" s="485">
        <v>43227</v>
      </c>
      <c r="R83" s="485">
        <v>0</v>
      </c>
      <c r="S83" s="485">
        <v>1299</v>
      </c>
      <c r="T83" s="486">
        <v>-8669</v>
      </c>
      <c r="U83" s="485">
        <v>-36357</v>
      </c>
      <c r="V83" s="485">
        <v>0</v>
      </c>
      <c r="W83" s="485">
        <v>7500</v>
      </c>
      <c r="X83" s="485">
        <v>8683</v>
      </c>
      <c r="Y83" s="485">
        <v>13784</v>
      </c>
      <c r="Z83" s="485">
        <v>0</v>
      </c>
      <c r="AA83" s="485">
        <v>-1903</v>
      </c>
      <c r="AB83" s="485">
        <v>-2591</v>
      </c>
      <c r="AC83" s="485">
        <v>1250</v>
      </c>
      <c r="AD83" s="485">
        <v>0</v>
      </c>
      <c r="AE83" s="485">
        <v>5452</v>
      </c>
      <c r="AF83" s="485">
        <v>29509</v>
      </c>
      <c r="AG83" s="485">
        <v>30045</v>
      </c>
      <c r="AH83" s="485">
        <v>0</v>
      </c>
      <c r="AI83" s="485">
        <v>13996</v>
      </c>
      <c r="AJ83" s="485">
        <v>42181</v>
      </c>
      <c r="AK83" s="485">
        <v>52198</v>
      </c>
      <c r="AL83" s="485">
        <v>0</v>
      </c>
      <c r="AM83" s="485">
        <v>26621</v>
      </c>
      <c r="AN83" s="485">
        <v>59135</v>
      </c>
      <c r="AO83" s="485">
        <v>120959</v>
      </c>
      <c r="AP83" s="485">
        <v>0</v>
      </c>
      <c r="AQ83" s="485">
        <v>15243</v>
      </c>
      <c r="AR83" s="485">
        <v>9273</v>
      </c>
      <c r="AS83" s="485">
        <v>34944</v>
      </c>
      <c r="AT83" s="485">
        <v>0</v>
      </c>
      <c r="AU83" s="485">
        <v>16656</v>
      </c>
      <c r="AV83" s="485">
        <v>37477</v>
      </c>
      <c r="AW83" s="485">
        <v>45958</v>
      </c>
      <c r="AX83" s="485">
        <v>0</v>
      </c>
      <c r="AY83" s="485">
        <v>15237</v>
      </c>
      <c r="AZ83" s="485">
        <v>41010</v>
      </c>
      <c r="BA83" s="485">
        <v>63151</v>
      </c>
      <c r="BB83" s="485">
        <v>0</v>
      </c>
      <c r="BC83" s="485">
        <v>29662</v>
      </c>
      <c r="BD83" s="485">
        <v>63428</v>
      </c>
      <c r="BE83" s="485">
        <v>75016</v>
      </c>
      <c r="BF83" s="485">
        <v>0</v>
      </c>
      <c r="BG83" s="485">
        <v>37283</v>
      </c>
      <c r="BH83" s="485">
        <v>100535</v>
      </c>
      <c r="BI83" s="485">
        <v>184756</v>
      </c>
      <c r="BJ83" s="485">
        <v>0</v>
      </c>
      <c r="BK83" s="485">
        <v>43734</v>
      </c>
      <c r="BL83" s="485">
        <v>110853</v>
      </c>
      <c r="BM83" s="485">
        <v>101728</v>
      </c>
      <c r="BN83" s="485">
        <v>0</v>
      </c>
      <c r="BO83" s="485">
        <v>38785</v>
      </c>
    </row>
    <row r="84" spans="1:67" ht="14.1" customHeight="1" x14ac:dyDescent="0.2">
      <c r="B84" s="487" t="s">
        <v>32</v>
      </c>
      <c r="C84" s="485">
        <v>0</v>
      </c>
      <c r="D84" s="485">
        <v>0</v>
      </c>
      <c r="E84" s="485">
        <v>0</v>
      </c>
      <c r="F84" s="485">
        <v>-342</v>
      </c>
      <c r="G84" s="485">
        <v>-342</v>
      </c>
      <c r="H84" s="486">
        <v>-342</v>
      </c>
      <c r="I84" s="485">
        <v>-342</v>
      </c>
      <c r="J84" s="485">
        <v>-342</v>
      </c>
      <c r="K84" s="485">
        <v>-342</v>
      </c>
      <c r="L84" s="485">
        <v>-342</v>
      </c>
      <c r="M84" s="485">
        <v>-343</v>
      </c>
      <c r="N84" s="485">
        <v>-342</v>
      </c>
      <c r="O84" s="486">
        <v>-342</v>
      </c>
      <c r="P84" s="485">
        <v>-342</v>
      </c>
      <c r="Q84" s="485">
        <v>-342</v>
      </c>
      <c r="R84" s="485">
        <v>-342</v>
      </c>
      <c r="S84" s="485">
        <v>-342</v>
      </c>
      <c r="T84" s="486">
        <v>-342</v>
      </c>
      <c r="U84" s="485">
        <v>-342</v>
      </c>
      <c r="V84" s="485">
        <v>-342</v>
      </c>
      <c r="W84" s="485">
        <v>-342</v>
      </c>
      <c r="X84" s="485">
        <v>-342</v>
      </c>
      <c r="Y84" s="485">
        <v>-342</v>
      </c>
      <c r="Z84" s="485">
        <v>-342</v>
      </c>
      <c r="AA84" s="485">
        <v>-342</v>
      </c>
      <c r="AB84" s="485">
        <v>-342</v>
      </c>
      <c r="AC84" s="485">
        <v>-342</v>
      </c>
      <c r="AD84" s="485">
        <v>-342</v>
      </c>
      <c r="AE84" s="485">
        <v>-342</v>
      </c>
      <c r="AF84" s="485">
        <v>-342</v>
      </c>
      <c r="AG84" s="485">
        <v>-342</v>
      </c>
      <c r="AH84" s="485">
        <v>-342</v>
      </c>
      <c r="AI84" s="485">
        <v>-342</v>
      </c>
      <c r="AJ84" s="485">
        <v>-342</v>
      </c>
      <c r="AK84" s="485">
        <v>-342</v>
      </c>
      <c r="AL84" s="485">
        <v>-342</v>
      </c>
      <c r="AM84" s="485">
        <v>-342</v>
      </c>
      <c r="AN84" s="485">
        <v>-342</v>
      </c>
      <c r="AO84" s="485">
        <v>-342</v>
      </c>
      <c r="AP84" s="485">
        <v>-342</v>
      </c>
      <c r="AQ84" s="485">
        <v>-342</v>
      </c>
      <c r="AR84" s="485">
        <v>-342</v>
      </c>
      <c r="AS84" s="485">
        <v>-342</v>
      </c>
      <c r="AT84" s="485">
        <v>-342</v>
      </c>
      <c r="AU84" s="485">
        <v>-342</v>
      </c>
      <c r="AV84" s="485">
        <v>-342</v>
      </c>
      <c r="AW84" s="485">
        <v>-342</v>
      </c>
      <c r="AX84" s="485">
        <v>-342</v>
      </c>
      <c r="AY84" s="485">
        <v>-342</v>
      </c>
      <c r="AZ84" s="485">
        <v>-343</v>
      </c>
      <c r="BA84" s="485">
        <v>-343</v>
      </c>
      <c r="BB84" s="485">
        <v>-343</v>
      </c>
      <c r="BC84" s="485">
        <v>-343</v>
      </c>
      <c r="BD84" s="485">
        <v>-343</v>
      </c>
      <c r="BE84" s="485">
        <v>-343</v>
      </c>
      <c r="BF84" s="485">
        <v>-343</v>
      </c>
      <c r="BG84" s="485">
        <v>-343</v>
      </c>
      <c r="BH84" s="485">
        <v>-343</v>
      </c>
      <c r="BI84" s="485">
        <v>-343</v>
      </c>
      <c r="BJ84" s="485">
        <v>-343</v>
      </c>
      <c r="BK84" s="485">
        <v>-343</v>
      </c>
      <c r="BL84" s="485">
        <v>-343</v>
      </c>
      <c r="BM84" s="485">
        <v>-343</v>
      </c>
      <c r="BN84" s="485">
        <v>-343</v>
      </c>
      <c r="BO84" s="485">
        <v>-343</v>
      </c>
    </row>
    <row r="85" spans="1:67" ht="14.1" customHeight="1" x14ac:dyDescent="0.2">
      <c r="B85" s="487" t="s">
        <v>774</v>
      </c>
      <c r="C85" s="485">
        <v>0</v>
      </c>
      <c r="D85" s="485">
        <v>0</v>
      </c>
      <c r="E85" s="485">
        <v>127</v>
      </c>
      <c r="F85" s="485">
        <v>334</v>
      </c>
      <c r="G85" s="485">
        <v>-20616</v>
      </c>
      <c r="H85" s="486">
        <v>-20628</v>
      </c>
      <c r="I85" s="485">
        <v>-20556</v>
      </c>
      <c r="J85" s="485">
        <v>-46856</v>
      </c>
      <c r="K85" s="485">
        <v>-46861</v>
      </c>
      <c r="L85" s="485">
        <v>-46809</v>
      </c>
      <c r="M85" s="485">
        <v>-46810</v>
      </c>
      <c r="N85" s="485">
        <v>-46971</v>
      </c>
      <c r="O85" s="486">
        <v>-47432</v>
      </c>
      <c r="P85" s="485">
        <v>-47365</v>
      </c>
      <c r="Q85" s="485">
        <v>-47363</v>
      </c>
      <c r="R85" s="485">
        <v>63</v>
      </c>
      <c r="S85" s="485">
        <v>61</v>
      </c>
      <c r="T85" s="486">
        <v>43</v>
      </c>
      <c r="U85" s="485">
        <v>93</v>
      </c>
      <c r="V85" s="485">
        <v>132</v>
      </c>
      <c r="W85" s="485">
        <v>255</v>
      </c>
      <c r="X85" s="485">
        <v>227</v>
      </c>
      <c r="Y85" s="485">
        <v>618</v>
      </c>
      <c r="Z85" s="485">
        <v>581</v>
      </c>
      <c r="AA85" s="485">
        <v>-97</v>
      </c>
      <c r="AB85" s="485">
        <v>-93</v>
      </c>
      <c r="AC85" s="485">
        <v>-93</v>
      </c>
      <c r="AD85" s="485">
        <v>-203</v>
      </c>
      <c r="AE85" s="485">
        <v>-204</v>
      </c>
      <c r="AF85" s="485">
        <v>0</v>
      </c>
      <c r="AG85" s="485">
        <v>0</v>
      </c>
      <c r="AH85" s="485">
        <v>0</v>
      </c>
      <c r="AI85" s="485">
        <v>0</v>
      </c>
      <c r="AJ85" s="485" t="s">
        <v>160</v>
      </c>
      <c r="AK85" s="485">
        <v>139</v>
      </c>
      <c r="AL85" s="485">
        <v>-311</v>
      </c>
      <c r="AM85" s="485">
        <v>-299</v>
      </c>
      <c r="AN85" s="485">
        <v>328</v>
      </c>
      <c r="AO85" s="485">
        <v>399</v>
      </c>
      <c r="AP85" s="485">
        <v>-6</v>
      </c>
      <c r="AQ85" s="485">
        <v>760</v>
      </c>
      <c r="AR85" s="485">
        <v>80</v>
      </c>
      <c r="AS85" s="485">
        <v>0</v>
      </c>
      <c r="AT85" s="485">
        <v>-1617</v>
      </c>
      <c r="AU85" s="485">
        <v>-1617</v>
      </c>
      <c r="AV85" s="485">
        <v>-1617</v>
      </c>
      <c r="AW85" s="485">
        <v>-1617</v>
      </c>
      <c r="AX85" s="485">
        <v>-2276</v>
      </c>
      <c r="AY85" s="485">
        <v>-2276</v>
      </c>
      <c r="AZ85" s="485">
        <v>-2279</v>
      </c>
      <c r="BA85" s="485">
        <v>-2279</v>
      </c>
      <c r="BB85" s="485">
        <v>-2156</v>
      </c>
      <c r="BC85" s="485">
        <v>-2000</v>
      </c>
      <c r="BD85" s="485">
        <v>-1999</v>
      </c>
      <c r="BE85" s="485">
        <v>-1999</v>
      </c>
      <c r="BF85" s="485">
        <v>-1833</v>
      </c>
      <c r="BG85" s="485">
        <v>-1833</v>
      </c>
      <c r="BH85" s="485">
        <v>-1833</v>
      </c>
      <c r="BI85" s="485">
        <v>-1833</v>
      </c>
      <c r="BJ85" s="485">
        <v>-1424</v>
      </c>
      <c r="BK85" s="485">
        <v>-1424</v>
      </c>
      <c r="BL85" s="485">
        <v>-1424</v>
      </c>
      <c r="BM85" s="485">
        <v>-1424</v>
      </c>
      <c r="BN85" s="485">
        <v>-1459</v>
      </c>
      <c r="BO85" s="485">
        <v>-1459</v>
      </c>
    </row>
    <row r="86" spans="1:67" ht="14.1" customHeight="1" x14ac:dyDescent="0.2">
      <c r="B86" s="509" t="s">
        <v>722</v>
      </c>
      <c r="C86" s="510">
        <v>0</v>
      </c>
      <c r="D86" s="510">
        <v>0</v>
      </c>
      <c r="E86" s="510">
        <v>0</v>
      </c>
      <c r="F86" s="510">
        <v>0</v>
      </c>
      <c r="G86" s="510">
        <v>0</v>
      </c>
      <c r="H86" s="489">
        <v>0</v>
      </c>
      <c r="I86" s="510">
        <v>0</v>
      </c>
      <c r="J86" s="510">
        <v>0</v>
      </c>
      <c r="K86" s="510">
        <v>0</v>
      </c>
      <c r="L86" s="510">
        <v>0</v>
      </c>
      <c r="M86" s="510">
        <v>0</v>
      </c>
      <c r="N86" s="510">
        <v>0</v>
      </c>
      <c r="O86" s="489">
        <v>0</v>
      </c>
      <c r="P86" s="510">
        <v>0</v>
      </c>
      <c r="Q86" s="510">
        <v>0</v>
      </c>
      <c r="R86" s="510">
        <v>0</v>
      </c>
      <c r="S86" s="510">
        <v>0</v>
      </c>
      <c r="T86" s="489">
        <v>0</v>
      </c>
      <c r="U86" s="510">
        <v>0</v>
      </c>
      <c r="V86" s="510">
        <v>0</v>
      </c>
      <c r="W86" s="510">
        <v>0</v>
      </c>
      <c r="X86" s="510">
        <v>0</v>
      </c>
      <c r="Y86" s="510">
        <v>0</v>
      </c>
      <c r="Z86" s="510">
        <v>0</v>
      </c>
      <c r="AA86" s="510">
        <v>0</v>
      </c>
      <c r="AB86" s="510">
        <v>0</v>
      </c>
      <c r="AC86" s="510">
        <v>0</v>
      </c>
      <c r="AD86" s="510">
        <v>4716</v>
      </c>
      <c r="AE86" s="510">
        <v>4716</v>
      </c>
      <c r="AF86" s="510">
        <v>0</v>
      </c>
      <c r="AG86" s="510">
        <v>0</v>
      </c>
      <c r="AH86" s="510">
        <v>35728</v>
      </c>
      <c r="AI86" s="510">
        <v>35728</v>
      </c>
      <c r="AJ86" s="510">
        <v>0</v>
      </c>
      <c r="AK86" s="510">
        <v>0</v>
      </c>
      <c r="AL86" s="510">
        <v>28306</v>
      </c>
      <c r="AM86" s="510">
        <v>28306</v>
      </c>
      <c r="AN86" s="510">
        <v>0</v>
      </c>
      <c r="AO86" s="510">
        <v>0</v>
      </c>
      <c r="AP86" s="510">
        <v>0</v>
      </c>
      <c r="AQ86" s="510">
        <v>0</v>
      </c>
      <c r="AR86" s="510">
        <v>0</v>
      </c>
      <c r="AS86" s="510">
        <v>0</v>
      </c>
      <c r="AT86" s="510">
        <v>12541</v>
      </c>
      <c r="AU86" s="510">
        <v>12541</v>
      </c>
      <c r="AV86" s="510">
        <v>0</v>
      </c>
      <c r="AW86" s="510">
        <v>0</v>
      </c>
      <c r="AX86" s="510">
        <v>22339</v>
      </c>
      <c r="AY86" s="510">
        <v>22339</v>
      </c>
      <c r="AZ86" s="510">
        <v>0</v>
      </c>
      <c r="BA86" s="510">
        <v>0</v>
      </c>
      <c r="BB86" s="510">
        <v>39563</v>
      </c>
      <c r="BC86" s="510">
        <v>39563</v>
      </c>
      <c r="BD86" s="510">
        <v>0</v>
      </c>
      <c r="BE86" s="510">
        <v>0</v>
      </c>
      <c r="BF86" s="510">
        <v>47475</v>
      </c>
      <c r="BG86" s="510">
        <v>47475</v>
      </c>
      <c r="BH86" s="510">
        <v>0</v>
      </c>
      <c r="BI86" s="510">
        <v>0</v>
      </c>
      <c r="BJ86" s="510">
        <v>38903</v>
      </c>
      <c r="BK86" s="510">
        <v>38903</v>
      </c>
      <c r="BL86" s="510">
        <v>0</v>
      </c>
      <c r="BM86" s="510">
        <v>0</v>
      </c>
      <c r="BN86" s="510">
        <v>0</v>
      </c>
      <c r="BO86" s="510">
        <v>0</v>
      </c>
    </row>
    <row r="87" spans="1:67" ht="6.75" customHeight="1" x14ac:dyDescent="0.2">
      <c r="B87" s="497"/>
      <c r="C87" s="714"/>
      <c r="D87" s="714"/>
      <c r="E87" s="714"/>
      <c r="F87" s="714"/>
      <c r="G87" s="714"/>
      <c r="H87" s="714"/>
      <c r="I87" s="714"/>
      <c r="J87" s="714"/>
      <c r="K87" s="714"/>
      <c r="L87" s="714"/>
      <c r="M87" s="714"/>
      <c r="N87" s="714"/>
      <c r="O87" s="713"/>
      <c r="P87" s="714"/>
      <c r="Q87" s="714"/>
      <c r="R87" s="714"/>
      <c r="S87" s="714"/>
      <c r="T87" s="713"/>
      <c r="U87" s="714"/>
    </row>
    <row r="88" spans="1:67" ht="14.1" customHeight="1" x14ac:dyDescent="0.2">
      <c r="A88" s="2"/>
      <c r="B88" s="938" t="s">
        <v>86</v>
      </c>
      <c r="C88" s="939">
        <v>15</v>
      </c>
      <c r="D88" s="939">
        <v>4</v>
      </c>
      <c r="E88" s="939">
        <v>31</v>
      </c>
      <c r="F88" s="939">
        <v>40</v>
      </c>
      <c r="G88" s="939">
        <v>-7495</v>
      </c>
      <c r="H88" s="939">
        <v>-6877</v>
      </c>
      <c r="I88" s="939">
        <v>-6759</v>
      </c>
      <c r="J88" s="939">
        <v>-5998</v>
      </c>
      <c r="K88" s="939">
        <v>-5581</v>
      </c>
      <c r="L88" s="939">
        <v>-5798</v>
      </c>
      <c r="M88" s="939">
        <v>-8456</v>
      </c>
      <c r="N88" s="939">
        <v>-8889</v>
      </c>
      <c r="O88" s="940">
        <v>-12112</v>
      </c>
      <c r="P88" s="939">
        <v>-14816</v>
      </c>
      <c r="Q88" s="939">
        <v>-17560</v>
      </c>
      <c r="R88" s="939">
        <v>58</v>
      </c>
      <c r="S88" s="939">
        <v>62</v>
      </c>
      <c r="T88" s="940">
        <v>69</v>
      </c>
      <c r="U88" s="939">
        <v>73</v>
      </c>
      <c r="V88" s="939">
        <v>75</v>
      </c>
      <c r="W88" s="939">
        <v>0</v>
      </c>
      <c r="X88" s="939">
        <v>0</v>
      </c>
      <c r="Y88" s="939">
        <v>0</v>
      </c>
      <c r="Z88" s="939">
        <v>0</v>
      </c>
      <c r="AA88" s="939">
        <v>0</v>
      </c>
      <c r="AB88" s="939">
        <v>0</v>
      </c>
      <c r="AC88" s="939">
        <v>0</v>
      </c>
      <c r="AD88" s="939">
        <v>0</v>
      </c>
      <c r="AE88" s="939">
        <v>0</v>
      </c>
      <c r="AF88" s="939">
        <v>0</v>
      </c>
      <c r="AG88" s="939">
        <v>0</v>
      </c>
      <c r="AH88" s="939">
        <v>0</v>
      </c>
      <c r="AI88" s="939">
        <v>0</v>
      </c>
      <c r="AJ88" s="939">
        <v>0</v>
      </c>
      <c r="AK88" s="939">
        <v>0</v>
      </c>
      <c r="AL88" s="939">
        <v>0</v>
      </c>
      <c r="AM88" s="939">
        <v>0</v>
      </c>
      <c r="AN88" s="939">
        <v>0</v>
      </c>
      <c r="AO88" s="939">
        <v>0</v>
      </c>
      <c r="AP88" s="939">
        <v>0</v>
      </c>
      <c r="AQ88" s="939">
        <v>0</v>
      </c>
      <c r="AR88" s="939">
        <v>0</v>
      </c>
      <c r="AS88" s="939">
        <v>0</v>
      </c>
      <c r="AT88" s="939">
        <v>976</v>
      </c>
      <c r="AU88" s="939">
        <v>886</v>
      </c>
      <c r="AV88" s="939">
        <v>858</v>
      </c>
      <c r="AW88" s="939">
        <v>814</v>
      </c>
      <c r="AX88" s="939">
        <v>567</v>
      </c>
      <c r="AY88" s="939">
        <v>640</v>
      </c>
      <c r="AZ88" s="939">
        <v>754</v>
      </c>
      <c r="BA88" s="939">
        <v>828</v>
      </c>
      <c r="BB88" s="939">
        <v>938</v>
      </c>
      <c r="BC88" s="939">
        <v>1162</v>
      </c>
      <c r="BD88" s="939">
        <v>1358</v>
      </c>
      <c r="BE88" s="939">
        <v>1431</v>
      </c>
      <c r="BF88" s="939">
        <v>1375</v>
      </c>
      <c r="BG88" s="939">
        <v>1607</v>
      </c>
      <c r="BH88" s="939">
        <v>1632</v>
      </c>
      <c r="BI88" s="939">
        <v>1856</v>
      </c>
      <c r="BJ88" s="939">
        <v>0</v>
      </c>
      <c r="BK88" s="939">
        <v>0</v>
      </c>
      <c r="BL88" s="939">
        <v>0</v>
      </c>
      <c r="BM88" s="939">
        <v>0</v>
      </c>
      <c r="BN88" s="939">
        <v>0</v>
      </c>
      <c r="BO88" s="939">
        <v>0</v>
      </c>
    </row>
    <row r="89" spans="1:67" ht="6.75" customHeight="1" x14ac:dyDescent="0.2">
      <c r="B89" s="477"/>
      <c r="C89" s="714"/>
      <c r="D89" s="714"/>
      <c r="E89" s="714"/>
      <c r="F89" s="714"/>
      <c r="G89" s="714"/>
      <c r="H89" s="714"/>
      <c r="I89" s="714"/>
      <c r="J89" s="714"/>
      <c r="K89" s="714"/>
      <c r="L89" s="714"/>
      <c r="M89" s="714"/>
      <c r="N89" s="714"/>
      <c r="O89" s="713"/>
      <c r="P89" s="714"/>
      <c r="Q89" s="714"/>
      <c r="R89" s="714"/>
      <c r="S89" s="714"/>
      <c r="T89" s="713"/>
      <c r="U89" s="714"/>
      <c r="AG89" s="725"/>
      <c r="AH89" s="725"/>
      <c r="AI89" s="725"/>
      <c r="AJ89" s="725"/>
      <c r="AK89" s="725"/>
      <c r="AL89" s="725"/>
      <c r="AM89" s="725"/>
      <c r="AN89" s="725"/>
      <c r="AO89" s="725"/>
      <c r="AP89" s="725"/>
      <c r="AQ89" s="725"/>
      <c r="AR89" s="725"/>
      <c r="AS89" s="725"/>
      <c r="AT89" s="725"/>
      <c r="AU89" s="725"/>
      <c r="AV89" s="725"/>
      <c r="AW89" s="725"/>
      <c r="AX89" s="725"/>
      <c r="AY89" s="725"/>
      <c r="AZ89" s="725"/>
      <c r="BA89" s="725"/>
      <c r="BB89" s="725"/>
      <c r="BC89" s="725"/>
      <c r="BD89" s="725"/>
      <c r="BE89" s="725"/>
      <c r="BF89" s="725"/>
      <c r="BG89" s="725"/>
      <c r="BH89" s="725"/>
      <c r="BI89" s="725"/>
      <c r="BJ89" s="725"/>
      <c r="BK89" s="725"/>
      <c r="BL89" s="725"/>
      <c r="BM89" s="725"/>
      <c r="BN89" s="725"/>
      <c r="BO89" s="725"/>
    </row>
    <row r="90" spans="1:67" ht="14.1" customHeight="1" x14ac:dyDescent="0.2">
      <c r="B90" s="481" t="s">
        <v>44</v>
      </c>
      <c r="C90" s="482">
        <f t="shared" ref="C90:AE90" si="37">C42+C61+C78+C88</f>
        <v>515057</v>
      </c>
      <c r="D90" s="482">
        <f t="shared" si="37"/>
        <v>589491</v>
      </c>
      <c r="E90" s="482">
        <f t="shared" si="37"/>
        <v>581921</v>
      </c>
      <c r="F90" s="482">
        <f t="shared" si="37"/>
        <v>600948</v>
      </c>
      <c r="G90" s="482">
        <f t="shared" si="37"/>
        <v>737083</v>
      </c>
      <c r="H90" s="483">
        <f t="shared" si="37"/>
        <v>760015</v>
      </c>
      <c r="I90" s="482">
        <f t="shared" si="37"/>
        <v>910136</v>
      </c>
      <c r="J90" s="482">
        <f t="shared" si="37"/>
        <v>922687</v>
      </c>
      <c r="K90" s="482">
        <f t="shared" si="37"/>
        <v>975517</v>
      </c>
      <c r="L90" s="482">
        <f t="shared" si="37"/>
        <v>1019407</v>
      </c>
      <c r="M90" s="482">
        <f t="shared" si="37"/>
        <v>1071960</v>
      </c>
      <c r="N90" s="482">
        <f t="shared" si="37"/>
        <v>1056660</v>
      </c>
      <c r="O90" s="483">
        <f t="shared" si="37"/>
        <v>1291224</v>
      </c>
      <c r="P90" s="482">
        <f t="shared" si="37"/>
        <v>1363118</v>
      </c>
      <c r="Q90" s="482">
        <f t="shared" si="37"/>
        <v>1193809</v>
      </c>
      <c r="R90" s="482">
        <f t="shared" si="37"/>
        <v>1200483</v>
      </c>
      <c r="S90" s="482">
        <f t="shared" si="37"/>
        <v>1162183</v>
      </c>
      <c r="T90" s="483">
        <f t="shared" si="37"/>
        <v>1096268</v>
      </c>
      <c r="U90" s="482">
        <f t="shared" si="37"/>
        <v>1011372</v>
      </c>
      <c r="V90" s="482">
        <f t="shared" si="37"/>
        <v>1054376</v>
      </c>
      <c r="W90" s="482">
        <f t="shared" si="37"/>
        <v>1075934</v>
      </c>
      <c r="X90" s="482">
        <f t="shared" si="37"/>
        <v>893842</v>
      </c>
      <c r="Y90" s="482">
        <f t="shared" si="37"/>
        <v>897042</v>
      </c>
      <c r="Z90" s="482">
        <f t="shared" si="37"/>
        <v>909304</v>
      </c>
      <c r="AA90" s="482">
        <f t="shared" si="37"/>
        <v>870381</v>
      </c>
      <c r="AB90" s="482">
        <f t="shared" si="37"/>
        <v>857571</v>
      </c>
      <c r="AC90" s="482">
        <f t="shared" si="37"/>
        <v>860516</v>
      </c>
      <c r="AD90" s="482">
        <f t="shared" si="37"/>
        <v>828122</v>
      </c>
      <c r="AE90" s="482">
        <f t="shared" si="37"/>
        <v>728667</v>
      </c>
      <c r="AF90" s="482">
        <v>810638</v>
      </c>
      <c r="AG90" s="482">
        <f>AG42+AG61+AG78+AG88+AG55</f>
        <v>764181</v>
      </c>
      <c r="AH90" s="482">
        <f>AH42+AH61+AH78+AH88+AH55</f>
        <v>837851</v>
      </c>
      <c r="AI90" s="482">
        <f t="shared" ref="AI90:BB90" si="38">AI42+AI61+AI78+AI88</f>
        <v>760505</v>
      </c>
      <c r="AJ90" s="482">
        <f t="shared" si="38"/>
        <v>737154</v>
      </c>
      <c r="AK90" s="482">
        <f t="shared" si="38"/>
        <v>773129</v>
      </c>
      <c r="AL90" s="482">
        <f t="shared" si="38"/>
        <v>809433</v>
      </c>
      <c r="AM90" s="482">
        <f t="shared" si="38"/>
        <v>875982.45750000002</v>
      </c>
      <c r="AN90" s="482">
        <f t="shared" si="38"/>
        <v>899895</v>
      </c>
      <c r="AO90" s="482">
        <f t="shared" si="38"/>
        <v>1000216</v>
      </c>
      <c r="AP90" s="482">
        <f t="shared" si="38"/>
        <v>985421</v>
      </c>
      <c r="AQ90" s="482">
        <f t="shared" si="38"/>
        <v>969368</v>
      </c>
      <c r="AR90" s="482">
        <f t="shared" si="38"/>
        <v>1043911</v>
      </c>
      <c r="AS90" s="482">
        <f t="shared" si="38"/>
        <v>1031401</v>
      </c>
      <c r="AT90" s="482">
        <f t="shared" si="38"/>
        <v>1026932</v>
      </c>
      <c r="AU90" s="482">
        <f t="shared" si="38"/>
        <v>1059456</v>
      </c>
      <c r="AV90" s="482">
        <f t="shared" si="38"/>
        <v>1028435</v>
      </c>
      <c r="AW90" s="482">
        <f t="shared" si="38"/>
        <v>1014024</v>
      </c>
      <c r="AX90" s="482">
        <f t="shared" si="38"/>
        <v>1044778</v>
      </c>
      <c r="AY90" s="482">
        <f t="shared" si="38"/>
        <v>1028865</v>
      </c>
      <c r="AZ90" s="482">
        <f t="shared" si="38"/>
        <v>985942</v>
      </c>
      <c r="BA90" s="482">
        <f t="shared" si="38"/>
        <v>1035433</v>
      </c>
      <c r="BB90" s="482">
        <f t="shared" si="38"/>
        <v>1111080</v>
      </c>
      <c r="BC90" s="482">
        <f t="shared" ref="BC90:BM90" si="39">BC42+BC61+BC78+BC88</f>
        <v>1130840</v>
      </c>
      <c r="BD90" s="482">
        <f t="shared" si="39"/>
        <v>1129596</v>
      </c>
      <c r="BE90" s="482">
        <f t="shared" si="39"/>
        <v>1166098</v>
      </c>
      <c r="BF90" s="482">
        <f t="shared" si="39"/>
        <v>1199711</v>
      </c>
      <c r="BG90" s="482">
        <f t="shared" si="39"/>
        <v>1221936</v>
      </c>
      <c r="BH90" s="482">
        <f>BH42+BH61+BH78+BH88</f>
        <v>1268379</v>
      </c>
      <c r="BI90" s="482">
        <f>BI42+BI61+BI78+BI88</f>
        <v>1287540</v>
      </c>
      <c r="BJ90" s="482">
        <f>BJ42+BJ61+BJ78+BJ88</f>
        <v>1329394</v>
      </c>
      <c r="BK90" s="482">
        <f>BK42+BK61+BK78+BK88</f>
        <v>1349304</v>
      </c>
      <c r="BL90" s="482">
        <f>BL42+BL61+BL78+BL88</f>
        <v>1397078</v>
      </c>
      <c r="BM90" s="482">
        <f t="shared" si="39"/>
        <v>1392114</v>
      </c>
      <c r="BN90" s="482">
        <f>BN42+BN61+BN78+BN88</f>
        <v>1336745</v>
      </c>
      <c r="BO90" s="482">
        <f>BO42+BO61+BO78+BO88</f>
        <v>1366388</v>
      </c>
    </row>
    <row r="91" spans="1:67" s="511" customFormat="1" ht="14.1" customHeight="1" x14ac:dyDescent="0.2">
      <c r="A91" s="547"/>
      <c r="B91" s="512"/>
      <c r="C91" s="513">
        <f t="shared" ref="C91:AE91" si="40">C90-C39</f>
        <v>0</v>
      </c>
      <c r="D91" s="513">
        <f t="shared" si="40"/>
        <v>0</v>
      </c>
      <c r="E91" s="513">
        <f t="shared" si="40"/>
        <v>0</v>
      </c>
      <c r="F91" s="513">
        <f t="shared" si="40"/>
        <v>0.45105175627395511</v>
      </c>
      <c r="G91" s="513">
        <f t="shared" si="40"/>
        <v>0</v>
      </c>
      <c r="H91" s="513">
        <f t="shared" si="40"/>
        <v>0</v>
      </c>
      <c r="I91" s="513">
        <f t="shared" si="40"/>
        <v>0</v>
      </c>
      <c r="J91" s="513">
        <f t="shared" si="40"/>
        <v>0</v>
      </c>
      <c r="K91" s="513">
        <f t="shared" si="40"/>
        <v>0</v>
      </c>
      <c r="L91" s="513">
        <f t="shared" si="40"/>
        <v>0</v>
      </c>
      <c r="M91" s="513">
        <f t="shared" si="40"/>
        <v>0</v>
      </c>
      <c r="N91" s="513">
        <f t="shared" si="40"/>
        <v>0</v>
      </c>
      <c r="O91" s="513">
        <f t="shared" si="40"/>
        <v>0</v>
      </c>
      <c r="P91" s="513">
        <f t="shared" si="40"/>
        <v>0</v>
      </c>
      <c r="Q91" s="513">
        <f t="shared" si="40"/>
        <v>0</v>
      </c>
      <c r="R91" s="513">
        <f t="shared" si="40"/>
        <v>0</v>
      </c>
      <c r="S91" s="513">
        <f t="shared" si="40"/>
        <v>0</v>
      </c>
      <c r="T91" s="513">
        <f t="shared" si="40"/>
        <v>0</v>
      </c>
      <c r="U91" s="513">
        <f t="shared" si="40"/>
        <v>0</v>
      </c>
      <c r="V91" s="513">
        <f t="shared" si="40"/>
        <v>0</v>
      </c>
      <c r="W91" s="513">
        <f t="shared" si="40"/>
        <v>0</v>
      </c>
      <c r="X91" s="513">
        <f t="shared" si="40"/>
        <v>0</v>
      </c>
      <c r="Y91" s="513">
        <f t="shared" si="40"/>
        <v>0</v>
      </c>
      <c r="Z91" s="513">
        <f t="shared" si="40"/>
        <v>0</v>
      </c>
      <c r="AA91" s="513">
        <f t="shared" si="40"/>
        <v>0</v>
      </c>
      <c r="AB91" s="513">
        <f t="shared" si="40"/>
        <v>0</v>
      </c>
      <c r="AC91" s="513">
        <f t="shared" si="40"/>
        <v>0</v>
      </c>
      <c r="AD91" s="513">
        <f t="shared" si="40"/>
        <v>0</v>
      </c>
      <c r="AE91" s="513">
        <f t="shared" si="40"/>
        <v>0</v>
      </c>
      <c r="AF91" s="513">
        <v>0</v>
      </c>
      <c r="AG91" s="513">
        <f t="shared" ref="AG91:AO91" si="41">AG90-AG39</f>
        <v>0</v>
      </c>
      <c r="AH91" s="513">
        <f t="shared" si="41"/>
        <v>0</v>
      </c>
      <c r="AI91" s="513">
        <f t="shared" si="41"/>
        <v>0</v>
      </c>
      <c r="AJ91" s="513">
        <f t="shared" si="41"/>
        <v>0</v>
      </c>
      <c r="AK91" s="513">
        <f t="shared" si="41"/>
        <v>0</v>
      </c>
      <c r="AL91" s="513">
        <f t="shared" si="41"/>
        <v>0</v>
      </c>
      <c r="AM91" s="513">
        <f t="shared" si="41"/>
        <v>0</v>
      </c>
      <c r="AN91" s="513">
        <f t="shared" si="41"/>
        <v>0</v>
      </c>
      <c r="AO91" s="513">
        <f t="shared" si="41"/>
        <v>0</v>
      </c>
      <c r="AP91" s="513">
        <v>0</v>
      </c>
      <c r="AQ91" s="513">
        <f t="shared" ref="AQ91:BB91" si="42">AQ90-AQ39</f>
        <v>0</v>
      </c>
      <c r="AR91" s="513">
        <f t="shared" si="42"/>
        <v>0</v>
      </c>
      <c r="AS91" s="513">
        <f t="shared" si="42"/>
        <v>0</v>
      </c>
      <c r="AT91" s="513">
        <f t="shared" si="42"/>
        <v>0</v>
      </c>
      <c r="AU91" s="513">
        <f t="shared" si="42"/>
        <v>0</v>
      </c>
      <c r="AV91" s="513">
        <f t="shared" si="42"/>
        <v>0</v>
      </c>
      <c r="AW91" s="513">
        <f t="shared" si="42"/>
        <v>0</v>
      </c>
      <c r="AX91" s="513">
        <f t="shared" si="42"/>
        <v>0</v>
      </c>
      <c r="AY91" s="513">
        <f t="shared" si="42"/>
        <v>0</v>
      </c>
      <c r="AZ91" s="513">
        <f t="shared" si="42"/>
        <v>0</v>
      </c>
      <c r="BA91" s="513">
        <f t="shared" si="42"/>
        <v>0</v>
      </c>
      <c r="BB91" s="513">
        <f t="shared" si="42"/>
        <v>0</v>
      </c>
      <c r="BC91" s="513">
        <f t="shared" ref="BC91:BM91" si="43">BC90-BC39</f>
        <v>0</v>
      </c>
      <c r="BD91" s="513">
        <f t="shared" si="43"/>
        <v>0</v>
      </c>
      <c r="BE91" s="513">
        <f t="shared" si="43"/>
        <v>0</v>
      </c>
      <c r="BF91" s="513">
        <f t="shared" si="43"/>
        <v>0</v>
      </c>
      <c r="BG91" s="513">
        <f t="shared" si="43"/>
        <v>0</v>
      </c>
      <c r="BH91" s="513">
        <f t="shared" si="43"/>
        <v>0</v>
      </c>
      <c r="BI91" s="513">
        <f t="shared" si="43"/>
        <v>0</v>
      </c>
      <c r="BJ91" s="513">
        <f t="shared" si="43"/>
        <v>0</v>
      </c>
      <c r="BK91" s="513">
        <f t="shared" si="43"/>
        <v>0</v>
      </c>
      <c r="BL91" s="513">
        <f>BL90-BL39</f>
        <v>0</v>
      </c>
      <c r="BM91" s="513">
        <f t="shared" si="43"/>
        <v>0</v>
      </c>
      <c r="BN91" s="513">
        <f>BN90-BN39</f>
        <v>0</v>
      </c>
      <c r="BO91" s="513">
        <f>BO90-BO39</f>
        <v>0</v>
      </c>
    </row>
    <row r="92" spans="1:67" ht="14.1" customHeight="1" x14ac:dyDescent="0.2">
      <c r="B92" s="477"/>
      <c r="AI92" s="726"/>
      <c r="AJ92" s="726"/>
      <c r="AK92" s="726"/>
      <c r="AL92" s="513"/>
      <c r="AM92" s="513"/>
      <c r="AN92" s="726"/>
      <c r="AO92" s="726"/>
      <c r="AP92" s="726"/>
      <c r="AQ92" s="726"/>
      <c r="AR92" s="726"/>
      <c r="AS92" s="726"/>
      <c r="AT92" s="726"/>
      <c r="AU92" s="726"/>
      <c r="AV92" s="726"/>
      <c r="AW92" s="726"/>
      <c r="AX92" s="726"/>
      <c r="AY92" s="726"/>
      <c r="AZ92" s="726"/>
      <c r="BA92" s="726"/>
      <c r="BB92" s="726"/>
      <c r="BC92" s="726"/>
      <c r="BD92" s="726"/>
      <c r="BE92" s="726"/>
      <c r="BF92" s="726"/>
      <c r="BG92" s="726"/>
      <c r="BH92" s="726"/>
      <c r="BI92" s="726"/>
      <c r="BJ92" s="726"/>
      <c r="BK92" s="726"/>
      <c r="BL92" s="726"/>
      <c r="BM92" s="726"/>
      <c r="BN92" s="726"/>
      <c r="BO92" s="726"/>
    </row>
    <row r="93" spans="1:67" ht="14.1" customHeight="1" x14ac:dyDescent="0.2">
      <c r="N93" s="727"/>
      <c r="O93" s="727"/>
      <c r="P93" s="727"/>
      <c r="Q93" s="727"/>
      <c r="R93" s="727"/>
      <c r="S93" s="727"/>
      <c r="T93" s="728"/>
      <c r="U93" s="728"/>
      <c r="V93" s="728"/>
      <c r="W93" s="728"/>
      <c r="X93" s="728"/>
      <c r="Y93" s="728"/>
      <c r="Z93" s="728"/>
      <c r="AA93" s="728"/>
      <c r="AB93" s="728"/>
      <c r="AC93" s="728"/>
      <c r="AD93" s="728"/>
      <c r="AE93" s="728"/>
      <c r="AF93" s="728"/>
      <c r="AG93" s="728"/>
      <c r="AH93" s="728"/>
      <c r="AI93" s="728"/>
      <c r="AJ93" s="728"/>
      <c r="AK93" s="728"/>
      <c r="AL93" s="728"/>
      <c r="AM93" s="728"/>
      <c r="AN93" s="728"/>
      <c r="AO93" s="728"/>
      <c r="AP93" s="728"/>
      <c r="AQ93" s="728"/>
      <c r="AR93" s="728"/>
      <c r="AS93" s="728"/>
      <c r="AT93" s="728"/>
      <c r="AU93" s="728"/>
      <c r="AV93" s="728"/>
      <c r="AW93" s="728"/>
      <c r="AX93" s="728"/>
      <c r="AY93" s="728"/>
      <c r="AZ93" s="728"/>
      <c r="BA93" s="728"/>
      <c r="BB93" s="728"/>
      <c r="BC93" s="728"/>
      <c r="BD93" s="728"/>
      <c r="BE93" s="728"/>
      <c r="BF93" s="728"/>
      <c r="BG93" s="728"/>
      <c r="BH93" s="728"/>
      <c r="BI93" s="728"/>
      <c r="BJ93" s="728"/>
      <c r="BK93" s="728"/>
      <c r="BL93" s="728"/>
      <c r="BM93" s="728"/>
      <c r="BN93" s="728"/>
      <c r="BO93" s="728"/>
    </row>
    <row r="94" spans="1:67" ht="14.1" customHeight="1" x14ac:dyDescent="0.2">
      <c r="T94" s="728"/>
      <c r="U94" s="728"/>
      <c r="V94" s="728"/>
      <c r="W94" s="728"/>
      <c r="X94" s="728"/>
      <c r="Y94" s="728"/>
      <c r="Z94" s="728"/>
      <c r="AA94" s="728"/>
      <c r="AB94" s="728"/>
      <c r="AC94" s="728"/>
      <c r="AD94" s="728"/>
      <c r="AE94" s="728"/>
      <c r="AF94" s="728"/>
      <c r="AG94" s="728"/>
      <c r="AH94" s="728"/>
      <c r="AI94" s="728"/>
      <c r="AJ94" s="728"/>
      <c r="AK94" s="728"/>
      <c r="AL94" s="728"/>
      <c r="AM94" s="728"/>
      <c r="AN94" s="728"/>
      <c r="AO94" s="728"/>
      <c r="AP94" s="728"/>
      <c r="AQ94" s="728"/>
      <c r="AR94" s="728"/>
      <c r="AS94" s="728"/>
      <c r="AT94" s="728"/>
      <c r="AU94" s="728"/>
      <c r="AV94" s="728"/>
      <c r="AW94" s="728"/>
      <c r="AX94" s="728"/>
      <c r="AY94" s="728"/>
      <c r="AZ94" s="728"/>
      <c r="BA94" s="728"/>
      <c r="BB94" s="728"/>
      <c r="BC94" s="728"/>
      <c r="BD94" s="728"/>
      <c r="BE94" s="728"/>
      <c r="BF94" s="728"/>
      <c r="BG94" s="728"/>
      <c r="BH94" s="728"/>
      <c r="BI94" s="728"/>
      <c r="BJ94" s="728"/>
      <c r="BK94" s="728"/>
      <c r="BL94" s="728"/>
      <c r="BM94" s="728"/>
      <c r="BN94" s="728"/>
      <c r="BO94" s="728"/>
    </row>
    <row r="95" spans="1:67" ht="14.1" customHeight="1" x14ac:dyDescent="0.2">
      <c r="T95" s="728"/>
      <c r="U95" s="728"/>
      <c r="V95" s="728">
        <f>V8-V46</f>
        <v>201710</v>
      </c>
      <c r="W95" s="728"/>
      <c r="X95" s="728"/>
      <c r="Y95" s="728"/>
      <c r="Z95" s="726">
        <f>Z8-Z46</f>
        <v>142196</v>
      </c>
      <c r="AA95" s="728"/>
      <c r="AB95" s="728"/>
      <c r="AC95" s="729"/>
      <c r="AD95" s="726"/>
      <c r="AE95" s="729"/>
      <c r="AF95" s="729"/>
      <c r="AG95" s="729"/>
      <c r="AH95" s="726"/>
      <c r="AI95" s="729"/>
      <c r="AJ95" s="729"/>
      <c r="AK95" s="729"/>
      <c r="AL95" s="726"/>
      <c r="AM95" s="729"/>
      <c r="AN95" s="729"/>
      <c r="AO95" s="729"/>
      <c r="AP95" s="726"/>
      <c r="AQ95" s="729"/>
      <c r="AR95" s="729"/>
      <c r="AS95" s="729"/>
      <c r="AT95" s="729"/>
      <c r="AU95" s="729"/>
      <c r="AV95" s="729"/>
      <c r="AW95" s="729"/>
      <c r="AX95" s="729"/>
      <c r="AY95" s="729"/>
      <c r="AZ95" s="729"/>
      <c r="BA95" s="729"/>
      <c r="BB95" s="729"/>
      <c r="BC95" s="729"/>
      <c r="BD95" s="729"/>
      <c r="BE95" s="729"/>
      <c r="BF95" s="729"/>
      <c r="BG95" s="729"/>
      <c r="BH95" s="729"/>
      <c r="BI95" s="729"/>
      <c r="BJ95" s="729"/>
      <c r="BK95" s="729"/>
      <c r="BL95" s="729"/>
      <c r="BM95" s="729"/>
      <c r="BN95" s="729"/>
      <c r="BO95" s="729"/>
    </row>
    <row r="96" spans="1:67" ht="14.1" customHeight="1" x14ac:dyDescent="0.2">
      <c r="T96" s="728"/>
      <c r="U96" s="728"/>
      <c r="V96" s="728">
        <f>V95-R95</f>
        <v>201710</v>
      </c>
      <c r="W96" s="728"/>
      <c r="X96" s="728"/>
      <c r="Y96" s="728"/>
      <c r="Z96" s="726">
        <f>Z95-V95</f>
        <v>-59514</v>
      </c>
      <c r="AA96" s="728"/>
      <c r="AB96" s="728"/>
      <c r="AC96" s="729"/>
      <c r="AD96" s="726"/>
      <c r="AE96" s="729"/>
      <c r="AF96" s="729"/>
      <c r="AG96" s="729"/>
      <c r="AH96" s="726"/>
      <c r="AI96" s="729"/>
      <c r="AJ96" s="729"/>
      <c r="AK96" s="729"/>
      <c r="AL96" s="726"/>
      <c r="AM96" s="729"/>
      <c r="AN96" s="729"/>
      <c r="AO96" s="729"/>
      <c r="AP96" s="726"/>
      <c r="AQ96" s="729"/>
      <c r="AR96" s="729"/>
      <c r="AS96" s="729"/>
      <c r="AT96" s="729"/>
      <c r="AU96" s="729"/>
      <c r="AV96" s="729"/>
      <c r="AW96" s="729"/>
      <c r="AX96" s="729"/>
      <c r="AY96" s="729"/>
      <c r="AZ96" s="729"/>
      <c r="BA96" s="729"/>
      <c r="BB96" s="729"/>
      <c r="BC96" s="729"/>
      <c r="BD96" s="729"/>
      <c r="BE96" s="729"/>
      <c r="BF96" s="729"/>
      <c r="BG96" s="729"/>
      <c r="BH96" s="729"/>
      <c r="BI96" s="729"/>
      <c r="BJ96" s="729"/>
      <c r="BK96" s="729"/>
      <c r="BL96" s="729"/>
      <c r="BM96" s="729"/>
      <c r="BN96" s="729"/>
      <c r="BO96" s="729"/>
    </row>
  </sheetData>
  <mergeCells count="2">
    <mergeCell ref="R4:S4"/>
    <mergeCell ref="L4:N4"/>
  </mergeCells>
  <hyperlinks>
    <hyperlink ref="B73" location="'Investimentos A'!A1" display="Investimentos" xr:uid="{00000000-0004-0000-0300-000000000000}"/>
    <hyperlink ref="B18" location="'Impostos a Recuperar'!A1" display="Imposto de renda e contribuição social a recuperar" xr:uid="{00000000-0004-0000-0300-000001000000}"/>
    <hyperlink ref="B19" location="'Caixa e Equivalente de Caixa'!A1" display="Aplicações financeiras" xr:uid="{00000000-0004-0000-0300-000002000000}"/>
    <hyperlink ref="B45" location="'Arrendamento Mercantil'!A1" display="'Arrendamento Mercantil'!A1" xr:uid="{00000000-0004-0000-0300-000003000000}"/>
    <hyperlink ref="B65" location="'Arrendamento Mercantil'!A1" display="'Arrendamento Mercantil'!A1" xr:uid="{00000000-0004-0000-0300-000004000000}"/>
    <hyperlink ref="B7" location="'Caixa e Equivalente de Caixa'!A1" display="'Caixa e Equivalente de Caixa'!A1" xr:uid="{00000000-0004-0000-0300-000005000000}"/>
    <hyperlink ref="B8" location="'Contas a Receber'!A1" display="'Contas a Receber'!A1" xr:uid="{00000000-0004-0000-0300-000006000000}"/>
    <hyperlink ref="B9" location="'Partes Relacionadas'!A1" display="'Partes Relacionadas'!A1" xr:uid="{00000000-0004-0000-0300-000007000000}"/>
    <hyperlink ref="B12" location="'Impostos a Recuperar'!A1" display="'Impostos a Recuperar'!A1" xr:uid="{00000000-0004-0000-0300-000008000000}"/>
    <hyperlink ref="B13" location="'Demais Contas a Receber'!A1" display="'Demais Contas a Receber'!A1" xr:uid="{00000000-0004-0000-0300-000009000000}"/>
    <hyperlink ref="B24" location="'Impostos a Recuperar'!A1" display="'Impostos a Recuperar'!A1" xr:uid="{00000000-0004-0000-0300-00000A000000}"/>
    <hyperlink ref="B26" location="'Demais Contas a Receber'!A1" display="'Demais Contas a Receber'!A1" xr:uid="{00000000-0004-0000-0300-00000B000000}"/>
    <hyperlink ref="B29" location="'Partes Relacionadas'!A1" display="'Partes Relacionadas'!A1" xr:uid="{00000000-0004-0000-0300-00000C000000}"/>
    <hyperlink ref="B51" location="'Partes Relacionadas'!A1" display="'Partes Relacionadas'!A1" xr:uid="{00000000-0004-0000-0300-00000D000000}"/>
    <hyperlink ref="B30" location="'Empréstimos e Financiamentos'!A1" display="'Empréstimos e Financiamentos'!A1" xr:uid="{00000000-0004-0000-0300-00000E000000}"/>
    <hyperlink ref="B31" location="'Riscos Judiciais'!A1" display="'Riscos Judiciais'!A1" xr:uid="{00000000-0004-0000-0300-00000F000000}"/>
    <hyperlink ref="B34" location="'Investimentos A'!A1" display="'Investimentos A'!A1" xr:uid="{00000000-0004-0000-0300-000010000000}"/>
    <hyperlink ref="B35" location="'Imobilizado '!A1" display="'Imobilizado '!A1" xr:uid="{00000000-0004-0000-0300-000011000000}"/>
    <hyperlink ref="B36" location="Intangível!A1" display="Intangível!A1" xr:uid="{00000000-0004-0000-0300-000012000000}"/>
    <hyperlink ref="B37" location="'Direito de Uso'!A1" display="'Direito de Uso'!A1" xr:uid="{00000000-0004-0000-0300-000013000000}"/>
    <hyperlink ref="B43" location="'Empréstimos e Financiamentos'!A1" display="'Empréstimos e Financiamentos'!A1" xr:uid="{00000000-0004-0000-0300-000014000000}"/>
    <hyperlink ref="B62" location="'Empréstimos e Financiamentos'!A1" display="'Empréstimos e Financiamentos'!A1" xr:uid="{00000000-0004-0000-0300-000015000000}"/>
    <hyperlink ref="B44" location="'Empréstimos e Financiamentos'!A1" display="'Empréstimos e Financiamentos'!A1" xr:uid="{00000000-0004-0000-0300-000016000000}"/>
    <hyperlink ref="B64" location="'Empréstimos e Financiamentos'!A1" display="'Empréstimos e Financiamentos'!A1" xr:uid="{00000000-0004-0000-0300-000017000000}"/>
    <hyperlink ref="B49" location="'Salários e Encargos Sociais'!A1" display="'Salários e Encargos Sociais'!A1" xr:uid="{00000000-0004-0000-0300-000018000000}"/>
    <hyperlink ref="B50" location="'Demais Contas a Pagar'!A1" display="'Demais Contas a Pagar'!A1" xr:uid="{00000000-0004-0000-0300-000019000000}"/>
    <hyperlink ref="B52" location="'IR e CS Diferidos'!A1" display="'IR e CS Diferidos'!A1" xr:uid="{00000000-0004-0000-0300-00001A000000}"/>
    <hyperlink ref="B63" location="'Partes Relacionadas'!A1" display="'Partes Relacionadas'!A1" xr:uid="{00000000-0004-0000-0300-00001B000000}"/>
    <hyperlink ref="B67" location="'Riscos Judiciais'!A1" display="Depósitos judiciais" xr:uid="{00000000-0004-0000-0300-00001C000000}"/>
  </hyperlinks>
  <pageMargins left="0.23622047244094491" right="0.23622047244094491" top="0.74803149606299213" bottom="0.74803149606299213" header="0.31496062992125984" footer="0.31496062992125984"/>
  <pageSetup paperSize="9" scale="80"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14">
    <pageSetUpPr autoPageBreaks="0"/>
  </sheetPr>
  <dimension ref="A1:FX255"/>
  <sheetViews>
    <sheetView showGridLines="0" zoomScaleNormal="10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ColWidth="9.140625" defaultRowHeight="14.25" outlineLevelRow="1" x14ac:dyDescent="0.2"/>
  <cols>
    <col min="1" max="1" width="1.42578125" customWidth="1"/>
    <col min="2" max="2" width="68.85546875" style="25" bestFit="1" customWidth="1"/>
    <col min="3" max="28" width="10.85546875" style="25" customWidth="1"/>
    <col min="29" max="29" width="11.140625" style="25" bestFit="1" customWidth="1"/>
    <col min="30" max="33" width="12.140625" style="25" bestFit="1" customWidth="1"/>
    <col min="34" max="35" width="12.140625" style="25" customWidth="1"/>
    <col min="36" max="43" width="12.140625" style="25" bestFit="1" customWidth="1"/>
    <col min="44" max="51" width="12.140625" style="25" customWidth="1"/>
    <col min="52" max="53" width="10.5703125" style="25" customWidth="1"/>
    <col min="54" max="54" width="11.5703125" style="25" bestFit="1" customWidth="1"/>
    <col min="55" max="104" width="10.5703125" style="25" customWidth="1"/>
    <col min="105" max="105" width="5" style="25" customWidth="1"/>
    <col min="106" max="107" width="7" style="25" customWidth="1"/>
    <col min="108" max="108" width="6.42578125" style="25" customWidth="1"/>
    <col min="109" max="109" width="6.5703125" style="25" customWidth="1"/>
    <col min="110" max="110" width="8.140625" style="25" customWidth="1"/>
    <col min="111" max="111" width="8.42578125" style="25" customWidth="1"/>
    <col min="112" max="112" width="7" style="25" customWidth="1"/>
    <col min="113" max="113" width="6.85546875" style="25" customWidth="1"/>
    <col min="114" max="114" width="7.42578125" style="25" customWidth="1"/>
    <col min="115" max="116" width="6.85546875" style="25" customWidth="1"/>
    <col min="117" max="117" width="7.140625" style="25" customWidth="1"/>
    <col min="118" max="118" width="8" style="25" customWidth="1"/>
    <col min="119" max="119" width="8.140625" style="25" customWidth="1"/>
    <col min="120" max="120" width="7.140625" style="25" customWidth="1"/>
    <col min="121" max="121" width="7.85546875" style="25" customWidth="1"/>
    <col min="122" max="124" width="9.140625" style="25" customWidth="1"/>
    <col min="125" max="125" width="32.42578125" customWidth="1"/>
    <col min="126" max="127" width="11.85546875" customWidth="1"/>
    <col min="128" max="128" width="8.85546875" customWidth="1"/>
    <col min="129" max="129" width="9" customWidth="1"/>
    <col min="130" max="131" width="8.85546875" customWidth="1"/>
    <col min="132" max="132" width="9.140625" customWidth="1"/>
    <col min="133" max="133" width="32.42578125" customWidth="1"/>
    <col min="134" max="135" width="11.85546875" customWidth="1"/>
    <col min="136" max="136" width="9.140625" customWidth="1"/>
    <col min="137" max="137" width="32.42578125" customWidth="1"/>
    <col min="138" max="139" width="11.85546875" customWidth="1"/>
    <col min="140" max="140" width="39.5703125" customWidth="1"/>
    <col min="141" max="141" width="1.85546875" customWidth="1"/>
    <col min="142" max="142" width="10" customWidth="1"/>
    <col min="143" max="143" width="10.5703125" customWidth="1"/>
    <col min="144" max="144" width="1" customWidth="1"/>
    <col min="145" max="146" width="9.85546875" customWidth="1"/>
    <col min="147" max="147" width="1" customWidth="1"/>
    <col min="148" max="149" width="10.5703125" customWidth="1"/>
    <col min="150" max="150" width="2.85546875" customWidth="1"/>
    <col min="151" max="151" width="8.85546875" customWidth="1"/>
    <col min="152" max="152" width="9.140625" customWidth="1"/>
    <col min="153" max="153" width="1.85546875" customWidth="1"/>
    <col min="154" max="155" width="8.140625" customWidth="1"/>
    <col min="156" max="156" width="1.140625" customWidth="1"/>
    <col min="157" max="158" width="8.85546875" customWidth="1"/>
    <col min="159" max="159" width="2.85546875" customWidth="1"/>
    <col min="160" max="160" width="8.85546875" customWidth="1"/>
    <col min="161" max="161" width="9.140625" customWidth="1"/>
    <col min="162" max="162" width="1.85546875" customWidth="1"/>
    <col min="163" max="164" width="8.140625" customWidth="1"/>
    <col min="165" max="165" width="1.140625" customWidth="1"/>
    <col min="166" max="167" width="8.85546875" customWidth="1"/>
    <col min="168" max="168" width="9.140625" style="25" customWidth="1"/>
    <col min="169" max="169" width="11.42578125" style="25" customWidth="1"/>
    <col min="170" max="170" width="11" style="25" customWidth="1"/>
    <col min="171" max="171" width="12.140625" style="25" customWidth="1"/>
    <col min="172" max="172" width="10.140625" style="25" customWidth="1"/>
    <col min="173" max="173" width="9.140625" style="25"/>
    <col min="174" max="174" width="13.140625" style="25" customWidth="1"/>
    <col min="175" max="175" width="14.5703125" style="25" customWidth="1"/>
    <col min="176" max="176" width="11.42578125" style="25" customWidth="1"/>
    <col min="177" max="177" width="12.42578125" style="25" customWidth="1"/>
    <col min="178" max="178" width="11.85546875" style="25" customWidth="1"/>
    <col min="179" max="179" width="10.85546875" style="25" customWidth="1"/>
    <col min="180" max="16384" width="9.140625" style="25"/>
  </cols>
  <sheetData>
    <row r="1" spans="1:167" s="549" customFormat="1" ht="7.5" customHeight="1" x14ac:dyDescent="0.2">
      <c r="A1" s="544"/>
      <c r="D1" s="544"/>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row>
    <row r="2" spans="1:167" s="549" customFormat="1" ht="12.75" customHeight="1" x14ac:dyDescent="0.25">
      <c r="A2" s="544"/>
      <c r="D2" s="554"/>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row>
    <row r="3" spans="1:167" ht="12.75" customHeight="1" x14ac:dyDescent="0.2">
      <c r="V3" s="751"/>
      <c r="W3" s="751"/>
      <c r="X3" s="751"/>
      <c r="Y3" s="751"/>
      <c r="Z3" s="751"/>
      <c r="AA3" s="751"/>
      <c r="AB3" s="751"/>
      <c r="AC3" s="751"/>
      <c r="AD3" s="751"/>
      <c r="AE3" s="751"/>
      <c r="AF3" s="751"/>
      <c r="AG3" s="751"/>
      <c r="AH3" s="751"/>
      <c r="AI3" s="751"/>
      <c r="AJ3" s="751"/>
      <c r="AK3" s="751"/>
      <c r="AL3" s="751"/>
      <c r="AM3" s="751"/>
      <c r="AN3" s="751"/>
      <c r="AO3" s="751"/>
      <c r="AP3" s="751"/>
      <c r="AQ3" s="751"/>
      <c r="AR3" s="751"/>
      <c r="AS3" s="751"/>
      <c r="AT3" s="751"/>
      <c r="AU3" s="751"/>
      <c r="AV3" s="751"/>
      <c r="AW3" s="751"/>
      <c r="AX3" s="751"/>
      <c r="AY3" s="751"/>
    </row>
    <row r="4" spans="1:167" ht="12.75" customHeight="1" x14ac:dyDescent="0.2">
      <c r="V4" s="751"/>
      <c r="W4" s="751"/>
      <c r="X4" s="751"/>
      <c r="Y4" s="751"/>
      <c r="Z4" s="751"/>
      <c r="AA4" s="751"/>
      <c r="AB4" s="751"/>
      <c r="AC4" s="751"/>
      <c r="AD4" s="751"/>
      <c r="AE4" s="751"/>
      <c r="AF4" s="751"/>
      <c r="AG4" s="751"/>
      <c r="AH4" s="751"/>
      <c r="AI4" s="751"/>
      <c r="AJ4" s="751"/>
      <c r="AK4" s="751"/>
      <c r="AL4" s="751"/>
      <c r="AM4" s="751"/>
      <c r="AN4" s="751"/>
      <c r="AO4" s="751"/>
      <c r="AP4" s="751"/>
      <c r="AQ4" s="751"/>
      <c r="AR4" s="751"/>
      <c r="AS4" s="751"/>
      <c r="AT4" s="751"/>
      <c r="AU4" s="751"/>
      <c r="AV4" s="751"/>
      <c r="AW4" s="751"/>
      <c r="AX4" s="751"/>
      <c r="AY4" s="751"/>
    </row>
    <row r="5" spans="1:167" ht="14.25" customHeight="1" x14ac:dyDescent="0.2">
      <c r="B5" s="115" t="s">
        <v>96</v>
      </c>
      <c r="C5" s="115" t="s">
        <v>45</v>
      </c>
      <c r="D5" s="115" t="s">
        <v>55</v>
      </c>
      <c r="E5" s="115" t="s">
        <v>71</v>
      </c>
      <c r="F5" s="115" t="s">
        <v>77</v>
      </c>
      <c r="G5" s="115" t="s">
        <v>87</v>
      </c>
      <c r="H5" s="115" t="s">
        <v>88</v>
      </c>
      <c r="I5" s="115" t="s">
        <v>378</v>
      </c>
      <c r="J5" s="115" t="s">
        <v>406</v>
      </c>
      <c r="K5" s="115" t="s">
        <v>467</v>
      </c>
      <c r="L5" s="115" t="s">
        <v>501</v>
      </c>
      <c r="M5" s="115" t="s">
        <v>511</v>
      </c>
      <c r="N5" s="115" t="s">
        <v>538</v>
      </c>
      <c r="O5" s="115" t="s">
        <v>567</v>
      </c>
      <c r="P5" s="115" t="s">
        <v>575</v>
      </c>
      <c r="Q5" s="115" t="s">
        <v>595</v>
      </c>
      <c r="R5" s="115" t="s">
        <v>596</v>
      </c>
      <c r="S5" s="115" t="s">
        <v>623</v>
      </c>
      <c r="T5" s="115" t="s">
        <v>624</v>
      </c>
      <c r="U5" s="115" t="s">
        <v>625</v>
      </c>
      <c r="V5" s="115" t="s">
        <v>626</v>
      </c>
      <c r="W5" s="115" t="s">
        <v>798</v>
      </c>
      <c r="X5" s="115" t="s">
        <v>799</v>
      </c>
      <c r="Y5" s="115" t="s">
        <v>800</v>
      </c>
      <c r="Z5" s="115" t="s">
        <v>801</v>
      </c>
      <c r="AA5" s="115" t="s">
        <v>913</v>
      </c>
      <c r="AB5" s="115" t="s">
        <v>914</v>
      </c>
      <c r="AC5" s="115" t="s">
        <v>923</v>
      </c>
      <c r="AD5" s="115" t="s">
        <v>924</v>
      </c>
      <c r="AE5" s="115" t="s">
        <v>1049</v>
      </c>
      <c r="AF5" s="115" t="s">
        <v>1023</v>
      </c>
      <c r="AG5" s="115" t="s">
        <v>1024</v>
      </c>
      <c r="AH5" s="115" t="s">
        <v>1050</v>
      </c>
      <c r="AI5" s="115" t="s">
        <v>1114</v>
      </c>
      <c r="AJ5" s="115" t="s">
        <v>1119</v>
      </c>
      <c r="AK5" s="115" t="s">
        <v>1121</v>
      </c>
      <c r="AL5" s="115" t="s">
        <v>1123</v>
      </c>
      <c r="AM5" s="115" t="s">
        <v>1176</v>
      </c>
      <c r="AN5" s="115" t="s">
        <v>1177</v>
      </c>
      <c r="AO5" s="115" t="s">
        <v>1179</v>
      </c>
      <c r="AP5" s="115" t="s">
        <v>1181</v>
      </c>
      <c r="AQ5" s="115" t="s">
        <v>1243</v>
      </c>
      <c r="AR5" s="115" t="s">
        <v>1250</v>
      </c>
      <c r="AS5" s="115" t="s">
        <v>1251</v>
      </c>
      <c r="AT5" s="115" t="s">
        <v>1252</v>
      </c>
      <c r="AU5" s="115" t="s">
        <v>1311</v>
      </c>
      <c r="AV5" s="115" t="s">
        <v>1313</v>
      </c>
      <c r="AW5" s="115" t="s">
        <v>1315</v>
      </c>
      <c r="AX5" s="115" t="s">
        <v>1317</v>
      </c>
      <c r="AY5" s="115" t="s">
        <v>1344</v>
      </c>
    </row>
    <row r="6" spans="1:167" ht="15.75" customHeight="1" x14ac:dyDescent="0.2">
      <c r="B6" s="129" t="s">
        <v>131</v>
      </c>
      <c r="C6" s="118">
        <v>219972.64579000001</v>
      </c>
      <c r="D6" s="118">
        <v>238075.80076999997</v>
      </c>
      <c r="E6" s="118">
        <v>234520.22706999976</v>
      </c>
      <c r="F6" s="118">
        <v>263516.13549259986</v>
      </c>
      <c r="G6" s="118">
        <v>188965.77850394999</v>
      </c>
      <c r="H6" s="118">
        <v>179038.31499675001</v>
      </c>
      <c r="I6" s="118">
        <v>176261.33144795001</v>
      </c>
      <c r="J6" s="118">
        <v>181952.70041999995</v>
      </c>
      <c r="K6" s="118">
        <v>123969.08409</v>
      </c>
      <c r="L6" s="118">
        <v>143511.27353000001</v>
      </c>
      <c r="M6" s="118">
        <v>148285.64237999998</v>
      </c>
      <c r="N6" s="118">
        <v>158012</v>
      </c>
      <c r="O6" s="118">
        <v>130649</v>
      </c>
      <c r="P6" s="118">
        <v>160726</v>
      </c>
      <c r="Q6" s="118">
        <v>181957</v>
      </c>
      <c r="R6" s="118">
        <v>200710</v>
      </c>
      <c r="S6" s="118">
        <v>165475</v>
      </c>
      <c r="T6" s="118">
        <v>188254</v>
      </c>
      <c r="U6" s="118">
        <v>218675</v>
      </c>
      <c r="V6" s="118">
        <v>230675</v>
      </c>
      <c r="W6" s="118">
        <v>186762</v>
      </c>
      <c r="X6" s="118">
        <v>211127</v>
      </c>
      <c r="Y6" s="118">
        <v>213636</v>
      </c>
      <c r="Z6" s="118">
        <v>240467</v>
      </c>
      <c r="AA6" s="118">
        <v>174723</v>
      </c>
      <c r="AB6" s="118">
        <v>71320</v>
      </c>
      <c r="AC6" s="118">
        <v>186852</v>
      </c>
      <c r="AD6" s="118">
        <v>207652</v>
      </c>
      <c r="AE6" s="118">
        <v>153174</v>
      </c>
      <c r="AF6" s="118">
        <v>153629</v>
      </c>
      <c r="AG6" s="118">
        <v>149145</v>
      </c>
      <c r="AH6" s="118">
        <v>201801</v>
      </c>
      <c r="AI6" s="118">
        <v>155796</v>
      </c>
      <c r="AJ6" s="118">
        <v>198794</v>
      </c>
      <c r="AK6" s="118">
        <v>277940</v>
      </c>
      <c r="AL6" s="118">
        <v>275592</v>
      </c>
      <c r="AM6" s="118">
        <v>222955</v>
      </c>
      <c r="AN6" s="118">
        <v>245738</v>
      </c>
      <c r="AO6" s="118">
        <v>286980</v>
      </c>
      <c r="AP6" s="118">
        <v>309847</v>
      </c>
      <c r="AQ6" s="118">
        <v>262322</v>
      </c>
      <c r="AR6" s="118">
        <v>318744</v>
      </c>
      <c r="AS6" s="118">
        <v>398356</v>
      </c>
      <c r="AT6" s="118">
        <v>415515</v>
      </c>
      <c r="AU6" s="118">
        <v>289243</v>
      </c>
      <c r="AV6" s="118">
        <v>357841</v>
      </c>
      <c r="AW6" s="118">
        <v>429070</v>
      </c>
      <c r="AX6" s="118">
        <v>428391</v>
      </c>
      <c r="AY6" s="118">
        <v>365548</v>
      </c>
      <c r="AZ6" s="208"/>
      <c r="BA6" s="1219"/>
      <c r="BB6" s="208"/>
    </row>
    <row r="7" spans="1:167" ht="15" customHeight="1" x14ac:dyDescent="0.2">
      <c r="B7" s="129" t="s">
        <v>132</v>
      </c>
      <c r="C7" s="118">
        <v>24629.335180000005</v>
      </c>
      <c r="D7" s="118">
        <v>25731.700290000001</v>
      </c>
      <c r="E7" s="118">
        <v>22584.912319999999</v>
      </c>
      <c r="F7" s="118">
        <v>24091.047999999984</v>
      </c>
      <c r="G7" s="118">
        <v>23270.066790000004</v>
      </c>
      <c r="H7" s="118">
        <v>22349.851030000005</v>
      </c>
      <c r="I7" s="118">
        <v>21957.549399999993</v>
      </c>
      <c r="J7" s="118">
        <v>18366.648769999982</v>
      </c>
      <c r="K7" s="118">
        <v>18674.519969999998</v>
      </c>
      <c r="L7" s="118">
        <v>19089.057920000017</v>
      </c>
      <c r="M7" s="118">
        <v>19190.422109999985</v>
      </c>
      <c r="N7" s="118">
        <v>17099</v>
      </c>
      <c r="O7" s="118">
        <v>18193</v>
      </c>
      <c r="P7" s="118">
        <v>18861</v>
      </c>
      <c r="Q7" s="118">
        <v>19988</v>
      </c>
      <c r="R7" s="118">
        <v>20826</v>
      </c>
      <c r="S7" s="118">
        <v>18919</v>
      </c>
      <c r="T7" s="118">
        <v>19924</v>
      </c>
      <c r="U7" s="118">
        <v>20616</v>
      </c>
      <c r="V7" s="118">
        <v>21464</v>
      </c>
      <c r="W7" s="118">
        <v>18773</v>
      </c>
      <c r="X7" s="118">
        <v>22854</v>
      </c>
      <c r="Y7" s="118">
        <v>22195</v>
      </c>
      <c r="Z7" s="118">
        <v>22694</v>
      </c>
      <c r="AA7" s="118">
        <v>21962</v>
      </c>
      <c r="AB7" s="118">
        <v>15105</v>
      </c>
      <c r="AC7" s="118">
        <v>17356</v>
      </c>
      <c r="AD7" s="118">
        <v>17865</v>
      </c>
      <c r="AE7" s="118">
        <v>17195</v>
      </c>
      <c r="AF7" s="118">
        <v>18317</v>
      </c>
      <c r="AG7" s="118">
        <v>17242</v>
      </c>
      <c r="AH7" s="118">
        <v>20266</v>
      </c>
      <c r="AI7" s="118">
        <v>17971</v>
      </c>
      <c r="AJ7" s="118">
        <v>20824</v>
      </c>
      <c r="AK7" s="118">
        <v>21342</v>
      </c>
      <c r="AL7" s="118">
        <v>23370</v>
      </c>
      <c r="AM7" s="118">
        <v>21834</v>
      </c>
      <c r="AN7" s="118">
        <v>24826</v>
      </c>
      <c r="AO7" s="118">
        <v>25667</v>
      </c>
      <c r="AP7" s="118">
        <v>25615</v>
      </c>
      <c r="AQ7" s="118">
        <v>24149</v>
      </c>
      <c r="AR7" s="118">
        <v>26213</v>
      </c>
      <c r="AS7" s="118">
        <v>29375</v>
      </c>
      <c r="AT7" s="118">
        <v>29899</v>
      </c>
      <c r="AU7" s="118">
        <v>29229</v>
      </c>
      <c r="AV7" s="118">
        <v>32763</v>
      </c>
      <c r="AW7" s="118">
        <v>34974</v>
      </c>
      <c r="AX7" s="118">
        <v>34534</v>
      </c>
      <c r="AY7" s="118">
        <v>31579</v>
      </c>
      <c r="AZ7" s="208"/>
      <c r="BA7" s="1219"/>
      <c r="BB7" s="208"/>
    </row>
    <row r="8" spans="1:167" x14ac:dyDescent="0.2">
      <c r="B8" s="129" t="s">
        <v>133</v>
      </c>
      <c r="C8" s="118">
        <v>13764.654889999998</v>
      </c>
      <c r="D8" s="118">
        <v>11885.311709999998</v>
      </c>
      <c r="E8" s="118">
        <v>16474.009280000006</v>
      </c>
      <c r="F8" s="118">
        <v>14666.963380000003</v>
      </c>
      <c r="G8" s="118">
        <v>12642.272660000004</v>
      </c>
      <c r="H8" s="118">
        <v>11889.752059999999</v>
      </c>
      <c r="I8" s="118">
        <v>11983.86913999999</v>
      </c>
      <c r="J8" s="118">
        <v>12041.014480000003</v>
      </c>
      <c r="K8" s="118">
        <v>8494.8004100000016</v>
      </c>
      <c r="L8" s="118">
        <v>11250.145099999996</v>
      </c>
      <c r="M8" s="118">
        <v>10300.054490000002</v>
      </c>
      <c r="N8" s="118">
        <v>11255</v>
      </c>
      <c r="O8" s="118">
        <v>9046</v>
      </c>
      <c r="P8" s="118">
        <v>8779</v>
      </c>
      <c r="Q8" s="118">
        <v>9537</v>
      </c>
      <c r="R8" s="118">
        <v>16717</v>
      </c>
      <c r="S8" s="118">
        <v>12375</v>
      </c>
      <c r="T8" s="118">
        <v>10001</v>
      </c>
      <c r="U8" s="118">
        <v>9447</v>
      </c>
      <c r="V8" s="118">
        <v>10342</v>
      </c>
      <c r="W8" s="118">
        <v>11728</v>
      </c>
      <c r="X8" s="118">
        <v>10726</v>
      </c>
      <c r="Y8" s="261">
        <v>17842</v>
      </c>
      <c r="Z8" s="118">
        <v>15960</v>
      </c>
      <c r="AA8" s="118">
        <v>17180</v>
      </c>
      <c r="AB8" s="118">
        <v>12139</v>
      </c>
      <c r="AC8" s="118">
        <v>11099</v>
      </c>
      <c r="AD8" s="118">
        <v>14338</v>
      </c>
      <c r="AE8" s="118">
        <v>10610</v>
      </c>
      <c r="AF8" s="118">
        <v>11381</v>
      </c>
      <c r="AG8" s="118">
        <v>12412</v>
      </c>
      <c r="AH8" s="118">
        <v>13071</v>
      </c>
      <c r="AI8" s="118">
        <v>10884</v>
      </c>
      <c r="AJ8" s="118">
        <v>14199</v>
      </c>
      <c r="AK8" s="118">
        <v>13388</v>
      </c>
      <c r="AL8" s="118">
        <v>14906</v>
      </c>
      <c r="AM8" s="118">
        <v>14137</v>
      </c>
      <c r="AN8" s="118">
        <v>13738</v>
      </c>
      <c r="AO8" s="118">
        <v>14749</v>
      </c>
      <c r="AP8" s="118">
        <v>16117</v>
      </c>
      <c r="AQ8" s="118">
        <v>18797</v>
      </c>
      <c r="AR8" s="118">
        <v>18901</v>
      </c>
      <c r="AS8" s="118">
        <v>19596</v>
      </c>
      <c r="AT8" s="118">
        <v>20826</v>
      </c>
      <c r="AU8" s="118">
        <v>17991</v>
      </c>
      <c r="AV8" s="118">
        <v>20505</v>
      </c>
      <c r="AW8" s="118">
        <v>19112</v>
      </c>
      <c r="AX8" s="118">
        <v>24932</v>
      </c>
      <c r="AY8" s="118">
        <v>18635</v>
      </c>
      <c r="AZ8" s="208"/>
      <c r="BA8" s="1219"/>
      <c r="BB8" s="208"/>
    </row>
    <row r="9" spans="1:167" ht="15.75" customHeight="1" x14ac:dyDescent="0.2">
      <c r="B9" s="129" t="s">
        <v>487</v>
      </c>
      <c r="C9" s="118">
        <v>8406.4103500000001</v>
      </c>
      <c r="D9" s="118">
        <v>10047.453239999997</v>
      </c>
      <c r="E9" s="118">
        <v>11611.386460000005</v>
      </c>
      <c r="F9" s="118">
        <v>11174.205180000003</v>
      </c>
      <c r="G9" s="118">
        <v>8953.6659299999992</v>
      </c>
      <c r="H9" s="118">
        <v>9747.0041299999993</v>
      </c>
      <c r="I9" s="118">
        <v>9602.1969200000058</v>
      </c>
      <c r="J9" s="118">
        <v>8253.6500199999955</v>
      </c>
      <c r="K9" s="118">
        <v>10084.30875</v>
      </c>
      <c r="L9" s="118">
        <v>11588.345619999996</v>
      </c>
      <c r="M9" s="118">
        <v>10605.345630000003</v>
      </c>
      <c r="N9" s="118">
        <v>7709</v>
      </c>
      <c r="O9" s="118">
        <v>9908</v>
      </c>
      <c r="P9" s="118">
        <v>11756</v>
      </c>
      <c r="Q9" s="118">
        <v>10082</v>
      </c>
      <c r="R9" s="118">
        <v>9660</v>
      </c>
      <c r="S9" s="118">
        <v>10820</v>
      </c>
      <c r="T9" s="118">
        <v>11434</v>
      </c>
      <c r="U9" s="118">
        <v>11373</v>
      </c>
      <c r="V9" s="118">
        <v>11692</v>
      </c>
      <c r="W9" s="118">
        <v>10950</v>
      </c>
      <c r="X9" s="118">
        <v>12402</v>
      </c>
      <c r="Y9" s="118">
        <v>12134</v>
      </c>
      <c r="Z9" s="118">
        <v>12398</v>
      </c>
      <c r="AA9" s="118">
        <v>11806</v>
      </c>
      <c r="AB9" s="118">
        <v>8814</v>
      </c>
      <c r="AC9" s="118">
        <v>9980</v>
      </c>
      <c r="AD9" s="118">
        <v>10177</v>
      </c>
      <c r="AE9" s="118">
        <v>9627</v>
      </c>
      <c r="AF9" s="118">
        <v>9815</v>
      </c>
      <c r="AG9" s="118">
        <v>9628</v>
      </c>
      <c r="AH9" s="118">
        <v>11450</v>
      </c>
      <c r="AI9" s="118">
        <v>10827</v>
      </c>
      <c r="AJ9" s="118">
        <v>11731</v>
      </c>
      <c r="AK9" s="118">
        <v>11854</v>
      </c>
      <c r="AL9" s="118">
        <v>14067</v>
      </c>
      <c r="AM9" s="118">
        <v>12298</v>
      </c>
      <c r="AN9" s="118">
        <v>13870</v>
      </c>
      <c r="AO9" s="118">
        <v>13975</v>
      </c>
      <c r="AP9" s="118">
        <v>14407</v>
      </c>
      <c r="AQ9" s="118">
        <v>13480</v>
      </c>
      <c r="AR9" s="118">
        <v>14071</v>
      </c>
      <c r="AS9" s="118">
        <v>16478</v>
      </c>
      <c r="AT9" s="118">
        <v>16672</v>
      </c>
      <c r="AU9" s="118">
        <v>15990</v>
      </c>
      <c r="AV9" s="118">
        <v>18847</v>
      </c>
      <c r="AW9" s="118">
        <v>19190</v>
      </c>
      <c r="AX9" s="118">
        <v>19660</v>
      </c>
      <c r="AY9" s="118">
        <v>18446</v>
      </c>
      <c r="AZ9" s="208"/>
      <c r="BA9" s="1219"/>
      <c r="BB9" s="208"/>
    </row>
    <row r="10" spans="1:167" x14ac:dyDescent="0.2">
      <c r="B10" s="129" t="s">
        <v>136</v>
      </c>
      <c r="C10" s="118">
        <v>8019.5790399999987</v>
      </c>
      <c r="D10" s="118">
        <v>7808.1078900000002</v>
      </c>
      <c r="E10" s="118">
        <v>7877.1016799999998</v>
      </c>
      <c r="F10" s="118">
        <v>8287.4084500000026</v>
      </c>
      <c r="G10" s="118">
        <v>7575.9581799999996</v>
      </c>
      <c r="H10" s="118">
        <v>8054.4870500000006</v>
      </c>
      <c r="I10" s="118">
        <v>7510.5948899999967</v>
      </c>
      <c r="J10" s="118">
        <v>6937.8355700000075</v>
      </c>
      <c r="K10" s="118">
        <v>6310.2540499999986</v>
      </c>
      <c r="L10" s="118">
        <v>6502.6463399999984</v>
      </c>
      <c r="M10" s="118">
        <v>5975.0996100000029</v>
      </c>
      <c r="N10" s="118">
        <v>5841</v>
      </c>
      <c r="O10" s="118">
        <v>5788</v>
      </c>
      <c r="P10" s="118">
        <v>6245</v>
      </c>
      <c r="Q10" s="118">
        <v>6370</v>
      </c>
      <c r="R10" s="118">
        <v>6684</v>
      </c>
      <c r="S10" s="118">
        <v>5880</v>
      </c>
      <c r="T10" s="118">
        <v>6129</v>
      </c>
      <c r="U10" s="118">
        <v>6576</v>
      </c>
      <c r="V10" s="118">
        <v>7075</v>
      </c>
      <c r="W10" s="118">
        <v>6636</v>
      </c>
      <c r="X10" s="118">
        <v>7158</v>
      </c>
      <c r="Y10" s="118">
        <v>7515</v>
      </c>
      <c r="Z10" s="118">
        <v>7489</v>
      </c>
      <c r="AA10" s="118">
        <v>6930</v>
      </c>
      <c r="AB10" s="118">
        <v>5711</v>
      </c>
      <c r="AC10" s="118">
        <v>5548</v>
      </c>
      <c r="AD10" s="118">
        <v>5874</v>
      </c>
      <c r="AE10" s="118">
        <v>5838</v>
      </c>
      <c r="AF10" s="118">
        <v>5494</v>
      </c>
      <c r="AG10" s="118">
        <v>5588</v>
      </c>
      <c r="AH10" s="118">
        <v>5954</v>
      </c>
      <c r="AI10" s="118">
        <v>5823</v>
      </c>
      <c r="AJ10" s="118">
        <v>6256</v>
      </c>
      <c r="AK10" s="118">
        <v>6508</v>
      </c>
      <c r="AL10" s="118">
        <v>6641</v>
      </c>
      <c r="AM10" s="118">
        <v>6922</v>
      </c>
      <c r="AN10" s="118">
        <v>7276</v>
      </c>
      <c r="AO10" s="118">
        <v>7807</v>
      </c>
      <c r="AP10" s="118">
        <v>8284</v>
      </c>
      <c r="AQ10" s="118">
        <v>8163</v>
      </c>
      <c r="AR10" s="118">
        <v>8778</v>
      </c>
      <c r="AS10" s="118">
        <v>9833</v>
      </c>
      <c r="AT10" s="118">
        <v>10873</v>
      </c>
      <c r="AU10" s="118">
        <v>9894</v>
      </c>
      <c r="AV10" s="118">
        <v>11083</v>
      </c>
      <c r="AW10" s="118">
        <v>11119</v>
      </c>
      <c r="AX10" s="118">
        <v>12228</v>
      </c>
      <c r="AY10" s="118">
        <v>12663</v>
      </c>
      <c r="AZ10" s="208"/>
      <c r="BA10" s="1219"/>
      <c r="BB10" s="208"/>
    </row>
    <row r="11" spans="1:167" x14ac:dyDescent="0.2">
      <c r="B11" s="129" t="s">
        <v>135</v>
      </c>
      <c r="C11" s="118">
        <v>17994.320699999997</v>
      </c>
      <c r="D11" s="118">
        <v>16730.1921</v>
      </c>
      <c r="E11" s="118">
        <v>16106.995290000006</v>
      </c>
      <c r="F11" s="118">
        <v>18456.078129999994</v>
      </c>
      <c r="G11" s="118">
        <v>17933.762449999998</v>
      </c>
      <c r="H11" s="118">
        <v>18889.328360000003</v>
      </c>
      <c r="I11" s="118">
        <v>14685.909440000005</v>
      </c>
      <c r="J11" s="118">
        <v>13848.783079999997</v>
      </c>
      <c r="K11" s="118">
        <v>13217.207059999999</v>
      </c>
      <c r="L11" s="118">
        <v>10972.339930000004</v>
      </c>
      <c r="M11" s="118">
        <v>10406.453009999997</v>
      </c>
      <c r="N11" s="118">
        <v>10215</v>
      </c>
      <c r="O11" s="118">
        <v>10295</v>
      </c>
      <c r="P11" s="118">
        <v>10058</v>
      </c>
      <c r="Q11" s="118">
        <v>9899</v>
      </c>
      <c r="R11" s="118">
        <v>10851</v>
      </c>
      <c r="S11" s="118">
        <v>9472</v>
      </c>
      <c r="T11" s="118">
        <v>9110</v>
      </c>
      <c r="U11" s="118">
        <v>9032</v>
      </c>
      <c r="V11" s="118">
        <v>10858</v>
      </c>
      <c r="W11" s="118">
        <v>1858</v>
      </c>
      <c r="X11" s="118">
        <v>2648</v>
      </c>
      <c r="Y11" s="261">
        <v>1741</v>
      </c>
      <c r="Z11" s="118">
        <v>2410</v>
      </c>
      <c r="AA11" s="118">
        <v>2122</v>
      </c>
      <c r="AB11" s="118">
        <v>1139</v>
      </c>
      <c r="AC11" s="118">
        <v>1360</v>
      </c>
      <c r="AD11" s="118">
        <v>1306</v>
      </c>
      <c r="AE11" s="118">
        <v>176</v>
      </c>
      <c r="AF11" s="118">
        <v>634</v>
      </c>
      <c r="AG11" s="118">
        <v>825</v>
      </c>
      <c r="AH11" s="118">
        <v>851</v>
      </c>
      <c r="AI11" s="118">
        <v>927</v>
      </c>
      <c r="AJ11" s="118">
        <v>1760</v>
      </c>
      <c r="AK11" s="118">
        <v>1728</v>
      </c>
      <c r="AL11" s="118">
        <v>1317</v>
      </c>
      <c r="AM11" s="118">
        <v>1418</v>
      </c>
      <c r="AN11" s="118">
        <v>1695</v>
      </c>
      <c r="AO11" s="118">
        <v>1078</v>
      </c>
      <c r="AP11" s="118">
        <v>3289</v>
      </c>
      <c r="AQ11" s="118">
        <v>2228</v>
      </c>
      <c r="AR11" s="118">
        <v>5170</v>
      </c>
      <c r="AS11" s="118">
        <v>10892</v>
      </c>
      <c r="AT11" s="118">
        <v>9109</v>
      </c>
      <c r="AU11" s="118">
        <v>6525</v>
      </c>
      <c r="AV11" s="118">
        <v>8008</v>
      </c>
      <c r="AW11" s="118">
        <v>7105</v>
      </c>
      <c r="AX11" s="118">
        <v>7563</v>
      </c>
      <c r="AY11" s="118">
        <v>6073</v>
      </c>
      <c r="AZ11" s="208"/>
      <c r="BA11" s="1219"/>
      <c r="BB11" s="208"/>
    </row>
    <row r="12" spans="1:167" x14ac:dyDescent="0.2">
      <c r="B12" s="129" t="s">
        <v>815</v>
      </c>
      <c r="C12" s="118" t="s">
        <v>160</v>
      </c>
      <c r="D12" s="118" t="s">
        <v>160</v>
      </c>
      <c r="E12" s="118" t="s">
        <v>160</v>
      </c>
      <c r="F12" s="118" t="s">
        <v>160</v>
      </c>
      <c r="G12" s="118" t="s">
        <v>160</v>
      </c>
      <c r="H12" s="118" t="s">
        <v>160</v>
      </c>
      <c r="I12" s="118" t="s">
        <v>160</v>
      </c>
      <c r="J12" s="118" t="s">
        <v>160</v>
      </c>
      <c r="K12" s="118" t="s">
        <v>160</v>
      </c>
      <c r="L12" s="118" t="s">
        <v>160</v>
      </c>
      <c r="M12" s="118" t="s">
        <v>160</v>
      </c>
      <c r="N12" s="118" t="s">
        <v>160</v>
      </c>
      <c r="O12" s="118" t="s">
        <v>160</v>
      </c>
      <c r="P12" s="118" t="s">
        <v>160</v>
      </c>
      <c r="Q12" s="118" t="s">
        <v>160</v>
      </c>
      <c r="R12" s="118" t="s">
        <v>160</v>
      </c>
      <c r="S12" s="118" t="s">
        <v>160</v>
      </c>
      <c r="T12" s="118" t="s">
        <v>160</v>
      </c>
      <c r="U12" s="118" t="s">
        <v>160</v>
      </c>
      <c r="V12" s="118" t="s">
        <v>160</v>
      </c>
      <c r="W12" s="118">
        <v>8930</v>
      </c>
      <c r="X12" s="118">
        <v>7143</v>
      </c>
      <c r="Y12" s="118">
        <v>8275</v>
      </c>
      <c r="Z12" s="118">
        <v>8446</v>
      </c>
      <c r="AA12" s="118">
        <v>7881</v>
      </c>
      <c r="AB12" s="118">
        <v>7886</v>
      </c>
      <c r="AC12" s="118">
        <v>7525</v>
      </c>
      <c r="AD12" s="118">
        <v>7333</v>
      </c>
      <c r="AE12" s="118">
        <v>7513</v>
      </c>
      <c r="AF12" s="118">
        <v>7300</v>
      </c>
      <c r="AG12" s="118">
        <v>7107</v>
      </c>
      <c r="AH12" s="118">
        <v>6930</v>
      </c>
      <c r="AI12" s="118">
        <v>7970</v>
      </c>
      <c r="AJ12" s="118">
        <v>8240</v>
      </c>
      <c r="AK12" s="118">
        <v>7033</v>
      </c>
      <c r="AL12" s="118">
        <v>7727</v>
      </c>
      <c r="AM12" s="118">
        <v>7410</v>
      </c>
      <c r="AN12" s="118">
        <v>7342</v>
      </c>
      <c r="AO12" s="118">
        <v>7638</v>
      </c>
      <c r="AP12" s="118">
        <v>8032</v>
      </c>
      <c r="AQ12" s="118">
        <v>7514</v>
      </c>
      <c r="AR12" s="118">
        <v>7573</v>
      </c>
      <c r="AS12" s="118">
        <v>7278</v>
      </c>
      <c r="AT12" s="118">
        <v>7124</v>
      </c>
      <c r="AU12" s="118">
        <v>7457</v>
      </c>
      <c r="AV12" s="118">
        <v>7462</v>
      </c>
      <c r="AW12" s="118">
        <v>7747</v>
      </c>
      <c r="AX12" s="118">
        <v>7795</v>
      </c>
      <c r="AY12" s="118">
        <v>7845</v>
      </c>
      <c r="AZ12" s="208"/>
      <c r="BA12" s="1219"/>
      <c r="BB12" s="208"/>
    </row>
    <row r="13" spans="1:167" x14ac:dyDescent="0.2">
      <c r="B13" s="129" t="s">
        <v>137</v>
      </c>
      <c r="C13" s="118">
        <v>7154.8625599999996</v>
      </c>
      <c r="D13" s="118">
        <v>6897.525990000001</v>
      </c>
      <c r="E13" s="118">
        <v>6124.7668199999962</v>
      </c>
      <c r="F13" s="118">
        <v>3222.9851200000048</v>
      </c>
      <c r="G13" s="118">
        <v>6412.0719600000002</v>
      </c>
      <c r="H13" s="118">
        <v>7111.6555700000008</v>
      </c>
      <c r="I13" s="118">
        <v>6673.1270499999973</v>
      </c>
      <c r="J13" s="118">
        <v>7718.4255899999998</v>
      </c>
      <c r="K13" s="118">
        <v>7204.9047399999999</v>
      </c>
      <c r="L13" s="118">
        <v>9298.9809200000018</v>
      </c>
      <c r="M13" s="118">
        <v>6737.1143400000001</v>
      </c>
      <c r="N13" s="118">
        <v>6859</v>
      </c>
      <c r="O13" s="118">
        <v>6572</v>
      </c>
      <c r="P13" s="118">
        <v>6832</v>
      </c>
      <c r="Q13" s="118">
        <v>7305</v>
      </c>
      <c r="R13" s="118">
        <v>7435</v>
      </c>
      <c r="S13" s="118">
        <v>6910</v>
      </c>
      <c r="T13" s="118">
        <v>8910</v>
      </c>
      <c r="U13" s="118">
        <v>6854</v>
      </c>
      <c r="V13" s="118">
        <v>6616</v>
      </c>
      <c r="W13" s="118">
        <v>6470</v>
      </c>
      <c r="X13" s="118">
        <v>6502</v>
      </c>
      <c r="Y13" s="118">
        <v>6554</v>
      </c>
      <c r="Z13" s="118">
        <v>6284</v>
      </c>
      <c r="AA13" s="118">
        <v>6272</v>
      </c>
      <c r="AB13" s="118">
        <v>5955</v>
      </c>
      <c r="AC13" s="118">
        <v>5671</v>
      </c>
      <c r="AD13" s="118">
        <v>5527</v>
      </c>
      <c r="AE13" s="118">
        <v>5447</v>
      </c>
      <c r="AF13" s="118">
        <v>5539</v>
      </c>
      <c r="AG13" s="118">
        <v>5488</v>
      </c>
      <c r="AH13" s="118">
        <v>5541</v>
      </c>
      <c r="AI13" s="118">
        <v>5518</v>
      </c>
      <c r="AJ13" s="118">
        <v>5451</v>
      </c>
      <c r="AK13" s="118">
        <v>5513</v>
      </c>
      <c r="AL13" s="118">
        <v>5643</v>
      </c>
      <c r="AM13" s="118">
        <v>6003</v>
      </c>
      <c r="AN13" s="118">
        <v>6051</v>
      </c>
      <c r="AO13" s="118">
        <v>6147</v>
      </c>
      <c r="AP13" s="118">
        <v>6141</v>
      </c>
      <c r="AQ13" s="118">
        <v>6324</v>
      </c>
      <c r="AR13" s="118">
        <v>6355</v>
      </c>
      <c r="AS13" s="118">
        <v>6566</v>
      </c>
      <c r="AT13" s="118">
        <v>6901</v>
      </c>
      <c r="AU13" s="118">
        <v>7591</v>
      </c>
      <c r="AV13" s="118">
        <v>7605</v>
      </c>
      <c r="AW13" s="118">
        <v>7838</v>
      </c>
      <c r="AX13" s="118">
        <v>8225</v>
      </c>
      <c r="AY13" s="118">
        <v>8868</v>
      </c>
      <c r="AZ13" s="208"/>
      <c r="BA13" s="1219"/>
      <c r="BB13" s="208"/>
    </row>
    <row r="14" spans="1:167" x14ac:dyDescent="0.2">
      <c r="B14" s="129" t="s">
        <v>139</v>
      </c>
      <c r="C14" s="118">
        <v>4441.8317699999998</v>
      </c>
      <c r="D14" s="118">
        <v>4397.4193100000002</v>
      </c>
      <c r="E14" s="118">
        <v>3780.3311999999992</v>
      </c>
      <c r="F14" s="118">
        <v>3499.9170599999989</v>
      </c>
      <c r="G14" s="118">
        <v>4391.3087999999989</v>
      </c>
      <c r="H14" s="118">
        <v>3894.0592200000015</v>
      </c>
      <c r="I14" s="118">
        <v>4370.3429899999992</v>
      </c>
      <c r="J14" s="118">
        <v>4655.3890399999973</v>
      </c>
      <c r="K14" s="118">
        <v>2199.0982599999998</v>
      </c>
      <c r="L14" s="118">
        <v>2584.1980400000011</v>
      </c>
      <c r="M14" s="118">
        <v>3400.7036999999991</v>
      </c>
      <c r="N14" s="118">
        <v>4542</v>
      </c>
      <c r="O14" s="118">
        <v>3544</v>
      </c>
      <c r="P14" s="118">
        <v>3985</v>
      </c>
      <c r="Q14" s="118">
        <v>3923</v>
      </c>
      <c r="R14" s="118">
        <v>4044</v>
      </c>
      <c r="S14" s="118">
        <v>3939</v>
      </c>
      <c r="T14" s="118">
        <v>4058</v>
      </c>
      <c r="U14" s="118">
        <v>4376</v>
      </c>
      <c r="V14" s="118">
        <v>5372</v>
      </c>
      <c r="W14" s="118">
        <v>4102</v>
      </c>
      <c r="X14" s="118">
        <v>4514</v>
      </c>
      <c r="Y14" s="118">
        <v>5048</v>
      </c>
      <c r="Z14" s="118">
        <v>5263</v>
      </c>
      <c r="AA14" s="118">
        <v>4259</v>
      </c>
      <c r="AB14" s="118">
        <v>3472</v>
      </c>
      <c r="AC14" s="118">
        <v>3811</v>
      </c>
      <c r="AD14" s="118">
        <v>4423</v>
      </c>
      <c r="AE14" s="118">
        <v>4448</v>
      </c>
      <c r="AF14" s="118">
        <v>4818</v>
      </c>
      <c r="AG14" s="118">
        <v>4543</v>
      </c>
      <c r="AH14" s="118">
        <v>5551</v>
      </c>
      <c r="AI14" s="118">
        <v>5381</v>
      </c>
      <c r="AJ14" s="118">
        <v>5414</v>
      </c>
      <c r="AK14" s="118">
        <v>5816</v>
      </c>
      <c r="AL14" s="118">
        <v>7087</v>
      </c>
      <c r="AM14" s="118">
        <v>5855</v>
      </c>
      <c r="AN14" s="118">
        <v>6149</v>
      </c>
      <c r="AO14" s="118">
        <v>6601</v>
      </c>
      <c r="AP14" s="118">
        <v>6964</v>
      </c>
      <c r="AQ14" s="118">
        <v>6983</v>
      </c>
      <c r="AR14" s="118">
        <v>6331</v>
      </c>
      <c r="AS14" s="118">
        <v>7163</v>
      </c>
      <c r="AT14" s="118">
        <v>7532</v>
      </c>
      <c r="AU14" s="118">
        <v>7136</v>
      </c>
      <c r="AV14" s="118">
        <v>7392</v>
      </c>
      <c r="AW14" s="118">
        <v>7974</v>
      </c>
      <c r="AX14" s="118">
        <v>9447</v>
      </c>
      <c r="AY14" s="118">
        <v>7777</v>
      </c>
      <c r="AZ14" s="208"/>
      <c r="BA14" s="1219"/>
      <c r="BB14" s="208"/>
    </row>
    <row r="15" spans="1:167" x14ac:dyDescent="0.2">
      <c r="B15" s="129" t="s">
        <v>143</v>
      </c>
      <c r="C15" s="118">
        <v>1485.6723</v>
      </c>
      <c r="D15" s="118">
        <v>1449.3223399999997</v>
      </c>
      <c r="E15" s="118">
        <v>1339.3184799999995</v>
      </c>
      <c r="F15" s="118">
        <v>1727.1257400000011</v>
      </c>
      <c r="G15" s="118">
        <v>1764.1131700000001</v>
      </c>
      <c r="H15" s="118">
        <v>2070.0976000000001</v>
      </c>
      <c r="I15" s="118">
        <v>2447.8681499999989</v>
      </c>
      <c r="J15" s="118">
        <v>2143.7765400000021</v>
      </c>
      <c r="K15" s="118">
        <v>2001.9327200000002</v>
      </c>
      <c r="L15" s="118">
        <v>1672.8700000000006</v>
      </c>
      <c r="M15" s="118">
        <v>1613.1972799999994</v>
      </c>
      <c r="N15" s="118">
        <v>1410</v>
      </c>
      <c r="O15" s="118">
        <v>1401</v>
      </c>
      <c r="P15" s="118">
        <v>1572</v>
      </c>
      <c r="Q15" s="118">
        <v>1562</v>
      </c>
      <c r="R15" s="118">
        <v>1629</v>
      </c>
      <c r="S15" s="118">
        <v>1345</v>
      </c>
      <c r="T15" s="118">
        <v>1230</v>
      </c>
      <c r="U15" s="118">
        <v>1373</v>
      </c>
      <c r="V15" s="118">
        <v>1463</v>
      </c>
      <c r="W15" s="118">
        <v>1440</v>
      </c>
      <c r="X15" s="118">
        <v>1429</v>
      </c>
      <c r="Y15" s="118">
        <v>1504</v>
      </c>
      <c r="Z15" s="118">
        <v>1296</v>
      </c>
      <c r="AA15" s="118">
        <v>1253</v>
      </c>
      <c r="AB15" s="118">
        <v>1009</v>
      </c>
      <c r="AC15" s="118">
        <v>1109</v>
      </c>
      <c r="AD15" s="118">
        <v>1140</v>
      </c>
      <c r="AE15" s="118">
        <v>728</v>
      </c>
      <c r="AF15" s="118">
        <v>849</v>
      </c>
      <c r="AG15" s="118">
        <v>853</v>
      </c>
      <c r="AH15" s="118">
        <v>981</v>
      </c>
      <c r="AI15" s="118">
        <v>868</v>
      </c>
      <c r="AJ15" s="118">
        <v>849</v>
      </c>
      <c r="AK15" s="118">
        <v>887</v>
      </c>
      <c r="AL15" s="118">
        <v>897</v>
      </c>
      <c r="AM15" s="118">
        <v>924</v>
      </c>
      <c r="AN15" s="118">
        <v>1025</v>
      </c>
      <c r="AO15" s="118">
        <v>968</v>
      </c>
      <c r="AP15" s="118">
        <v>977</v>
      </c>
      <c r="AQ15" s="118">
        <v>981</v>
      </c>
      <c r="AR15" s="118">
        <v>1013</v>
      </c>
      <c r="AS15" s="118">
        <v>1106</v>
      </c>
      <c r="AT15" s="118">
        <v>896</v>
      </c>
      <c r="AU15" s="118">
        <v>972</v>
      </c>
      <c r="AV15" s="118">
        <v>966</v>
      </c>
      <c r="AW15" s="118">
        <v>961</v>
      </c>
      <c r="AX15" s="118">
        <v>1083</v>
      </c>
      <c r="AY15" s="118">
        <v>1086</v>
      </c>
      <c r="AZ15" s="208"/>
      <c r="BA15" s="1219"/>
      <c r="BB15" s="208"/>
    </row>
    <row r="16" spans="1:167" x14ac:dyDescent="0.2">
      <c r="B16" s="129" t="s">
        <v>141</v>
      </c>
      <c r="C16" s="118">
        <v>1433.7835400000001</v>
      </c>
      <c r="D16" s="118">
        <v>1704.7880799999996</v>
      </c>
      <c r="E16" s="118">
        <v>1956.3934200000003</v>
      </c>
      <c r="F16" s="118">
        <v>1806.5298799999998</v>
      </c>
      <c r="G16" s="118">
        <v>1515.0327400000001</v>
      </c>
      <c r="H16" s="118">
        <v>1518.9235000000003</v>
      </c>
      <c r="I16" s="118">
        <v>1414.0476500000004</v>
      </c>
      <c r="J16" s="118">
        <v>1225.5736200000001</v>
      </c>
      <c r="K16" s="118">
        <v>1311.77061</v>
      </c>
      <c r="L16" s="118">
        <v>1126.4129799999998</v>
      </c>
      <c r="M16" s="118">
        <v>1112.8164100000004</v>
      </c>
      <c r="N16" s="118">
        <v>1048</v>
      </c>
      <c r="O16" s="118">
        <v>806</v>
      </c>
      <c r="P16" s="118">
        <v>751</v>
      </c>
      <c r="Q16" s="118">
        <v>843</v>
      </c>
      <c r="R16" s="118">
        <v>790</v>
      </c>
      <c r="S16" s="118">
        <v>794</v>
      </c>
      <c r="T16" s="118">
        <v>605</v>
      </c>
      <c r="U16" s="118">
        <v>719</v>
      </c>
      <c r="V16" s="118">
        <v>801</v>
      </c>
      <c r="W16" s="118">
        <v>718</v>
      </c>
      <c r="X16" s="118">
        <v>718</v>
      </c>
      <c r="Y16" s="118">
        <v>700</v>
      </c>
      <c r="Z16" s="118">
        <v>762</v>
      </c>
      <c r="AA16" s="118">
        <v>766</v>
      </c>
      <c r="AB16" s="118">
        <v>692</v>
      </c>
      <c r="AC16" s="118">
        <v>730</v>
      </c>
      <c r="AD16" s="118">
        <v>705</v>
      </c>
      <c r="AE16" s="118">
        <v>710</v>
      </c>
      <c r="AF16" s="118">
        <v>668</v>
      </c>
      <c r="AG16" s="118">
        <v>595</v>
      </c>
      <c r="AH16" s="118">
        <v>657</v>
      </c>
      <c r="AI16" s="118">
        <v>629</v>
      </c>
      <c r="AJ16" s="118">
        <v>632</v>
      </c>
      <c r="AK16" s="118">
        <v>654</v>
      </c>
      <c r="AL16" s="118">
        <v>624</v>
      </c>
      <c r="AM16" s="118">
        <v>577</v>
      </c>
      <c r="AN16" s="118">
        <v>580</v>
      </c>
      <c r="AO16" s="118">
        <v>616</v>
      </c>
      <c r="AP16" s="118">
        <v>623</v>
      </c>
      <c r="AQ16" s="118">
        <v>565</v>
      </c>
      <c r="AR16" s="118">
        <v>568</v>
      </c>
      <c r="AS16" s="118">
        <v>643</v>
      </c>
      <c r="AT16" s="118">
        <v>879</v>
      </c>
      <c r="AU16" s="118">
        <v>459</v>
      </c>
      <c r="AV16" s="118">
        <v>521</v>
      </c>
      <c r="AW16" s="118">
        <v>716</v>
      </c>
      <c r="AX16" s="118">
        <v>864</v>
      </c>
      <c r="AY16" s="118">
        <v>656</v>
      </c>
      <c r="AZ16" s="208"/>
      <c r="BA16" s="1219"/>
      <c r="BB16" s="208"/>
    </row>
    <row r="17" spans="1:167" x14ac:dyDescent="0.2">
      <c r="B17" s="129" t="s">
        <v>142</v>
      </c>
      <c r="C17" s="118">
        <v>1713.3107700000005</v>
      </c>
      <c r="D17" s="118">
        <v>1998.037709999998</v>
      </c>
      <c r="E17" s="118">
        <v>2063.8792200000016</v>
      </c>
      <c r="F17" s="118">
        <v>2012.7690800000018</v>
      </c>
      <c r="G17" s="118">
        <v>1930.2467300000003</v>
      </c>
      <c r="H17" s="118">
        <v>2044.8726399999998</v>
      </c>
      <c r="I17" s="118">
        <v>2653.611129999998</v>
      </c>
      <c r="J17" s="118">
        <v>2306.6630800000039</v>
      </c>
      <c r="K17" s="118">
        <v>1146.99278</v>
      </c>
      <c r="L17" s="118">
        <v>1688.1570700000004</v>
      </c>
      <c r="M17" s="118">
        <v>1721.8501499999993</v>
      </c>
      <c r="N17" s="118">
        <v>1748</v>
      </c>
      <c r="O17" s="118">
        <v>1773</v>
      </c>
      <c r="P17" s="118">
        <v>2266</v>
      </c>
      <c r="Q17" s="118">
        <v>2247</v>
      </c>
      <c r="R17" s="118">
        <v>2488</v>
      </c>
      <c r="S17" s="118">
        <v>2241</v>
      </c>
      <c r="T17" s="118">
        <v>2243</v>
      </c>
      <c r="U17" s="118">
        <v>2304</v>
      </c>
      <c r="V17" s="118">
        <v>2587</v>
      </c>
      <c r="W17" s="118">
        <v>1992</v>
      </c>
      <c r="X17" s="118">
        <v>2388</v>
      </c>
      <c r="Y17" s="118">
        <v>2520</v>
      </c>
      <c r="Z17" s="118">
        <v>2508</v>
      </c>
      <c r="AA17" s="118">
        <v>1967</v>
      </c>
      <c r="AB17" s="118">
        <v>642</v>
      </c>
      <c r="AC17" s="118">
        <v>1661</v>
      </c>
      <c r="AD17" s="118">
        <v>2108</v>
      </c>
      <c r="AE17" s="118">
        <v>2391</v>
      </c>
      <c r="AF17" s="118">
        <v>2957</v>
      </c>
      <c r="AG17" s="118">
        <v>3344</v>
      </c>
      <c r="AH17" s="118">
        <v>5368</v>
      </c>
      <c r="AI17" s="118">
        <v>4962</v>
      </c>
      <c r="AJ17" s="118">
        <v>4993</v>
      </c>
      <c r="AK17" s="118">
        <v>4693</v>
      </c>
      <c r="AL17" s="118">
        <v>4597</v>
      </c>
      <c r="AM17" s="118">
        <v>4031</v>
      </c>
      <c r="AN17" s="118">
        <v>3717</v>
      </c>
      <c r="AO17" s="118">
        <v>3968</v>
      </c>
      <c r="AP17" s="118">
        <v>4048</v>
      </c>
      <c r="AQ17" s="118">
        <v>3605</v>
      </c>
      <c r="AR17" s="118">
        <v>3888</v>
      </c>
      <c r="AS17" s="118">
        <v>4270</v>
      </c>
      <c r="AT17" s="118">
        <v>5599</v>
      </c>
      <c r="AU17" s="118">
        <v>4348</v>
      </c>
      <c r="AV17" s="118">
        <v>5163</v>
      </c>
      <c r="AW17" s="118">
        <v>5861</v>
      </c>
      <c r="AX17" s="118">
        <v>5364</v>
      </c>
      <c r="AY17" s="118">
        <v>3796</v>
      </c>
      <c r="AZ17" s="208"/>
      <c r="BA17" s="1219"/>
      <c r="BB17" s="208"/>
    </row>
    <row r="18" spans="1:167" x14ac:dyDescent="0.2">
      <c r="B18" s="129" t="s">
        <v>138</v>
      </c>
      <c r="C18" s="118">
        <v>4488.3000700000011</v>
      </c>
      <c r="D18" s="118">
        <v>2413.4180899999969</v>
      </c>
      <c r="E18" s="118">
        <v>1761.9879000000042</v>
      </c>
      <c r="F18" s="118">
        <v>2378.5555299999992</v>
      </c>
      <c r="G18" s="118">
        <v>1764.6830300000006</v>
      </c>
      <c r="H18" s="118">
        <v>908.63245999999879</v>
      </c>
      <c r="I18" s="118">
        <v>1954.9535300000011</v>
      </c>
      <c r="J18" s="118">
        <v>2082.5380099999998</v>
      </c>
      <c r="K18" s="118">
        <v>805.42575999999985</v>
      </c>
      <c r="L18" s="118">
        <v>1064.3671899999999</v>
      </c>
      <c r="M18" s="118">
        <v>872.20705000000021</v>
      </c>
      <c r="N18" s="118">
        <v>1380</v>
      </c>
      <c r="O18" s="118">
        <v>826</v>
      </c>
      <c r="P18" s="118">
        <v>1171</v>
      </c>
      <c r="Q18" s="118">
        <v>1731</v>
      </c>
      <c r="R18" s="118">
        <v>2524</v>
      </c>
      <c r="S18" s="118">
        <v>1629</v>
      </c>
      <c r="T18" s="118">
        <v>-628</v>
      </c>
      <c r="U18" s="118">
        <v>1617</v>
      </c>
      <c r="V18" s="118">
        <v>2590</v>
      </c>
      <c r="W18" s="118">
        <v>1091</v>
      </c>
      <c r="X18" s="118">
        <v>2308</v>
      </c>
      <c r="Y18" s="118">
        <v>2103</v>
      </c>
      <c r="Z18" s="118">
        <v>3945</v>
      </c>
      <c r="AA18" s="118">
        <v>1775</v>
      </c>
      <c r="AB18" s="118">
        <v>2387</v>
      </c>
      <c r="AC18" s="118">
        <v>1069</v>
      </c>
      <c r="AD18" s="118">
        <v>1469</v>
      </c>
      <c r="AE18" s="118">
        <v>1024</v>
      </c>
      <c r="AF18" s="118">
        <v>1248</v>
      </c>
      <c r="AG18" s="118">
        <v>794</v>
      </c>
      <c r="AH18" s="118">
        <v>1564</v>
      </c>
      <c r="AI18" s="118">
        <v>1584</v>
      </c>
      <c r="AJ18" s="118">
        <v>2038</v>
      </c>
      <c r="AK18" s="118">
        <v>2329</v>
      </c>
      <c r="AL18" s="118">
        <v>2778</v>
      </c>
      <c r="AM18" s="118">
        <v>1642</v>
      </c>
      <c r="AN18" s="118">
        <v>1874</v>
      </c>
      <c r="AO18" s="118">
        <v>2390</v>
      </c>
      <c r="AP18" s="118">
        <v>4729</v>
      </c>
      <c r="AQ18" s="118">
        <v>2399</v>
      </c>
      <c r="AR18" s="118">
        <v>2029</v>
      </c>
      <c r="AS18" s="118">
        <v>3358</v>
      </c>
      <c r="AT18" s="118">
        <v>5232</v>
      </c>
      <c r="AU18" s="118">
        <v>2995</v>
      </c>
      <c r="AV18" s="118">
        <v>3137</v>
      </c>
      <c r="AW18" s="118">
        <v>3797</v>
      </c>
      <c r="AX18" s="118">
        <v>7733</v>
      </c>
      <c r="AY18" s="118">
        <v>2890</v>
      </c>
      <c r="AZ18" s="208"/>
      <c r="BA18" s="1219"/>
      <c r="BB18" s="208"/>
    </row>
    <row r="19" spans="1:167" x14ac:dyDescent="0.2">
      <c r="B19" s="129" t="s">
        <v>140</v>
      </c>
      <c r="C19" s="118">
        <v>5051.3664800000006</v>
      </c>
      <c r="D19" s="118">
        <v>4188.80908</v>
      </c>
      <c r="E19" s="118">
        <v>4045.5231799999997</v>
      </c>
      <c r="F19" s="118">
        <v>5205.1325099999995</v>
      </c>
      <c r="G19" s="118">
        <v>4976.8299400000005</v>
      </c>
      <c r="H19" s="118">
        <v>5306.57762</v>
      </c>
      <c r="I19" s="118">
        <v>4653.2963800000007</v>
      </c>
      <c r="J19" s="118">
        <v>6035.1572899999956</v>
      </c>
      <c r="K19" s="118">
        <v>4141.9612200000001</v>
      </c>
      <c r="L19" s="118">
        <v>4341.065160000001</v>
      </c>
      <c r="M19" s="118">
        <v>4226.9736199999988</v>
      </c>
      <c r="N19" s="118">
        <v>3359</v>
      </c>
      <c r="O19" s="118">
        <v>3565</v>
      </c>
      <c r="P19" s="118">
        <v>3505</v>
      </c>
      <c r="Q19" s="118">
        <v>3678</v>
      </c>
      <c r="R19" s="118">
        <v>4712</v>
      </c>
      <c r="S19" s="118">
        <v>3281</v>
      </c>
      <c r="T19" s="118">
        <v>2757</v>
      </c>
      <c r="U19" s="118">
        <v>2875</v>
      </c>
      <c r="V19" s="118">
        <v>3076</v>
      </c>
      <c r="W19" s="118">
        <v>2936</v>
      </c>
      <c r="X19" s="118">
        <v>3225</v>
      </c>
      <c r="Y19" s="118">
        <v>2988</v>
      </c>
      <c r="Z19" s="118">
        <v>3762</v>
      </c>
      <c r="AA19" s="118">
        <v>3094</v>
      </c>
      <c r="AB19" s="118">
        <v>2915</v>
      </c>
      <c r="AC19" s="118">
        <v>2838</v>
      </c>
      <c r="AD19" s="118">
        <v>3291</v>
      </c>
      <c r="AE19" s="118">
        <v>2748</v>
      </c>
      <c r="AF19" s="118">
        <v>2851</v>
      </c>
      <c r="AG19" s="118">
        <v>2874</v>
      </c>
      <c r="AH19" s="118">
        <v>3140</v>
      </c>
      <c r="AI19" s="118">
        <v>3530</v>
      </c>
      <c r="AJ19" s="118">
        <v>3617</v>
      </c>
      <c r="AK19" s="118">
        <v>3571</v>
      </c>
      <c r="AL19" s="118">
        <v>4487</v>
      </c>
      <c r="AM19" s="118">
        <v>4291</v>
      </c>
      <c r="AN19" s="118">
        <v>5074</v>
      </c>
      <c r="AO19" s="118">
        <v>4610</v>
      </c>
      <c r="AP19" s="118">
        <v>5979</v>
      </c>
      <c r="AQ19" s="118">
        <v>6295</v>
      </c>
      <c r="AR19" s="118">
        <v>5699</v>
      </c>
      <c r="AS19" s="118">
        <v>6293</v>
      </c>
      <c r="AT19" s="118">
        <v>5678</v>
      </c>
      <c r="AU19" s="118">
        <v>7705</v>
      </c>
      <c r="AV19" s="118">
        <v>7446</v>
      </c>
      <c r="AW19" s="118">
        <v>9648</v>
      </c>
      <c r="AX19" s="118">
        <v>7695</v>
      </c>
      <c r="AY19" s="118">
        <v>9104</v>
      </c>
      <c r="AZ19" s="208"/>
      <c r="BA19" s="1219"/>
      <c r="BB19" s="208"/>
    </row>
    <row r="20" spans="1:167" x14ac:dyDescent="0.2">
      <c r="B20" s="129" t="s">
        <v>144</v>
      </c>
      <c r="C20" s="118">
        <v>1771.0302300000003</v>
      </c>
      <c r="D20" s="118">
        <v>1176.0810399999998</v>
      </c>
      <c r="E20" s="118">
        <v>1030.67338</v>
      </c>
      <c r="F20" s="118">
        <v>1231.7764199999995</v>
      </c>
      <c r="G20" s="118">
        <v>1028.61913</v>
      </c>
      <c r="H20" s="118">
        <v>1465.5929899999996</v>
      </c>
      <c r="I20" s="118">
        <v>1212.6311200000005</v>
      </c>
      <c r="J20" s="118">
        <v>2326.013460000001</v>
      </c>
      <c r="K20" s="118">
        <v>1527.3307799999998</v>
      </c>
      <c r="L20" s="118">
        <v>790.72699000000023</v>
      </c>
      <c r="M20" s="118">
        <v>1056.9422300000001</v>
      </c>
      <c r="N20" s="118">
        <v>936</v>
      </c>
      <c r="O20" s="118">
        <v>785</v>
      </c>
      <c r="P20" s="118">
        <v>988</v>
      </c>
      <c r="Q20" s="118">
        <v>1142</v>
      </c>
      <c r="R20" s="118">
        <v>1135</v>
      </c>
      <c r="S20" s="118">
        <v>732</v>
      </c>
      <c r="T20" s="118">
        <v>933</v>
      </c>
      <c r="U20" s="118">
        <v>808</v>
      </c>
      <c r="V20" s="118">
        <v>916</v>
      </c>
      <c r="W20" s="118">
        <v>752</v>
      </c>
      <c r="X20" s="118">
        <v>1134</v>
      </c>
      <c r="Y20" s="118">
        <v>955</v>
      </c>
      <c r="Z20" s="118">
        <v>1323</v>
      </c>
      <c r="AA20" s="118">
        <v>838</v>
      </c>
      <c r="AB20" s="118">
        <v>597</v>
      </c>
      <c r="AC20" s="118">
        <v>810</v>
      </c>
      <c r="AD20" s="118">
        <v>839</v>
      </c>
      <c r="AE20" s="118">
        <v>439</v>
      </c>
      <c r="AF20" s="118">
        <v>447</v>
      </c>
      <c r="AG20" s="118">
        <v>558</v>
      </c>
      <c r="AH20" s="118">
        <v>776</v>
      </c>
      <c r="AI20" s="118">
        <v>679</v>
      </c>
      <c r="AJ20" s="118">
        <v>748</v>
      </c>
      <c r="AK20" s="118">
        <v>1057</v>
      </c>
      <c r="AL20" s="118">
        <v>1132</v>
      </c>
      <c r="AM20" s="118">
        <v>889</v>
      </c>
      <c r="AN20" s="118">
        <v>872</v>
      </c>
      <c r="AO20" s="118">
        <v>897</v>
      </c>
      <c r="AP20" s="118">
        <v>1016</v>
      </c>
      <c r="AQ20" s="118">
        <v>883</v>
      </c>
      <c r="AR20" s="118">
        <v>957</v>
      </c>
      <c r="AS20" s="118">
        <v>1176</v>
      </c>
      <c r="AT20" s="118">
        <v>1075</v>
      </c>
      <c r="AU20" s="118">
        <v>892</v>
      </c>
      <c r="AV20" s="118">
        <v>856</v>
      </c>
      <c r="AW20" s="118">
        <v>973</v>
      </c>
      <c r="AX20" s="118">
        <v>1050</v>
      </c>
      <c r="AY20" s="118">
        <v>781</v>
      </c>
      <c r="AZ20" s="208"/>
      <c r="BA20" s="1219"/>
      <c r="BB20" s="208"/>
    </row>
    <row r="21" spans="1:167" x14ac:dyDescent="0.2">
      <c r="B21" s="129" t="s">
        <v>145</v>
      </c>
      <c r="C21" s="118">
        <v>402.66467000000006</v>
      </c>
      <c r="D21" s="118">
        <v>410.33528999999993</v>
      </c>
      <c r="E21" s="118">
        <v>99.997269999999901</v>
      </c>
      <c r="F21" s="118">
        <v>155.30785999999998</v>
      </c>
      <c r="G21" s="118">
        <v>345.10859999999997</v>
      </c>
      <c r="H21" s="118">
        <v>208.09656999999996</v>
      </c>
      <c r="I21" s="118">
        <v>96.027200000000065</v>
      </c>
      <c r="J21" s="118">
        <v>133.608</v>
      </c>
      <c r="K21" s="118">
        <v>61.965000000000003</v>
      </c>
      <c r="L21" s="118">
        <v>412.7</v>
      </c>
      <c r="M21" s="118">
        <v>31.335000000000036</v>
      </c>
      <c r="N21" s="118">
        <v>40</v>
      </c>
      <c r="O21" s="118">
        <v>33</v>
      </c>
      <c r="P21" s="118">
        <v>423</v>
      </c>
      <c r="Q21" s="118">
        <v>59</v>
      </c>
      <c r="R21" s="118">
        <v>83</v>
      </c>
      <c r="S21" s="118">
        <v>259</v>
      </c>
      <c r="T21" s="118">
        <v>337</v>
      </c>
      <c r="U21" s="118">
        <v>68</v>
      </c>
      <c r="V21" s="118">
        <v>200</v>
      </c>
      <c r="W21" s="118">
        <v>377</v>
      </c>
      <c r="X21" s="118">
        <v>8</v>
      </c>
      <c r="Y21" s="118">
        <v>71</v>
      </c>
      <c r="Z21" s="118">
        <v>217</v>
      </c>
      <c r="AA21" s="118">
        <v>27</v>
      </c>
      <c r="AB21" s="118">
        <v>5</v>
      </c>
      <c r="AC21" s="118">
        <v>234</v>
      </c>
      <c r="AD21" s="118">
        <v>49</v>
      </c>
      <c r="AE21" s="118">
        <v>200</v>
      </c>
      <c r="AF21" s="118">
        <v>28</v>
      </c>
      <c r="AG21" s="118">
        <v>52</v>
      </c>
      <c r="AH21" s="118">
        <v>41</v>
      </c>
      <c r="AI21" s="118">
        <v>150</v>
      </c>
      <c r="AJ21" s="118">
        <v>192</v>
      </c>
      <c r="AK21" s="118">
        <v>82</v>
      </c>
      <c r="AL21" s="118">
        <v>316</v>
      </c>
      <c r="AM21" s="118">
        <v>1841</v>
      </c>
      <c r="AN21" s="118">
        <v>302</v>
      </c>
      <c r="AO21" s="118">
        <v>306</v>
      </c>
      <c r="AP21" s="118">
        <v>767</v>
      </c>
      <c r="AQ21" s="118">
        <v>305</v>
      </c>
      <c r="AR21" s="118">
        <v>273</v>
      </c>
      <c r="AS21" s="118">
        <v>798</v>
      </c>
      <c r="AT21" s="118">
        <v>429</v>
      </c>
      <c r="AU21" s="118">
        <v>255</v>
      </c>
      <c r="AV21" s="118">
        <v>416</v>
      </c>
      <c r="AW21" s="118">
        <v>298</v>
      </c>
      <c r="AX21" s="118">
        <v>543</v>
      </c>
      <c r="AY21" s="118">
        <v>168</v>
      </c>
      <c r="AZ21" s="208"/>
      <c r="BA21" s="1219"/>
      <c r="BB21" s="208"/>
    </row>
    <row r="22" spans="1:167" x14ac:dyDescent="0.2">
      <c r="B22" s="129" t="s">
        <v>743</v>
      </c>
      <c r="C22" s="118">
        <v>-22840.281340000005</v>
      </c>
      <c r="D22" s="118">
        <v>-25086.469049999996</v>
      </c>
      <c r="E22" s="118">
        <v>-24655.95524000001</v>
      </c>
      <c r="F22" s="118">
        <v>-27425.092579999982</v>
      </c>
      <c r="G22" s="118">
        <v>-21239.63622</v>
      </c>
      <c r="H22" s="118">
        <v>-19311.210699999996</v>
      </c>
      <c r="I22" s="118">
        <v>-18633.624920000002</v>
      </c>
      <c r="J22" s="118">
        <v>-22762.800049999991</v>
      </c>
      <c r="K22" s="118">
        <v>-13647.342570000001</v>
      </c>
      <c r="L22" s="118">
        <v>-15094.007380000003</v>
      </c>
      <c r="M22" s="118">
        <v>-15856.650049999997</v>
      </c>
      <c r="N22" s="118">
        <v>-15486</v>
      </c>
      <c r="O22" s="118">
        <v>-13907</v>
      </c>
      <c r="P22" s="118">
        <v>-16711</v>
      </c>
      <c r="Q22" s="118">
        <v>-18384</v>
      </c>
      <c r="R22" s="118">
        <v>-49997</v>
      </c>
      <c r="S22" s="118">
        <v>-18055</v>
      </c>
      <c r="T22" s="118">
        <v>-20537</v>
      </c>
      <c r="U22" s="118">
        <v>-23305</v>
      </c>
      <c r="V22" s="118">
        <v>-24321</v>
      </c>
      <c r="W22" s="118">
        <v>-20313</v>
      </c>
      <c r="X22" s="118">
        <v>-22898</v>
      </c>
      <c r="Y22" s="261">
        <v>-20873</v>
      </c>
      <c r="Z22" s="118">
        <v>-24827</v>
      </c>
      <c r="AA22" s="118">
        <v>-18559</v>
      </c>
      <c r="AB22" s="118">
        <v>-7762</v>
      </c>
      <c r="AC22" s="118">
        <v>-19280</v>
      </c>
      <c r="AD22" s="118">
        <v>-21012</v>
      </c>
      <c r="AE22" s="118">
        <v>-16107</v>
      </c>
      <c r="AF22" s="118">
        <v>-17891</v>
      </c>
      <c r="AG22" s="118">
        <v>-15563</v>
      </c>
      <c r="AH22" s="118">
        <v>-20984</v>
      </c>
      <c r="AI22" s="118">
        <v>-16764</v>
      </c>
      <c r="AJ22" s="118">
        <v>-20966</v>
      </c>
      <c r="AK22" s="118">
        <v>-28504</v>
      </c>
      <c r="AL22" s="118">
        <v>-28365</v>
      </c>
      <c r="AM22" s="118">
        <v>-23034</v>
      </c>
      <c r="AN22" s="118">
        <v>-24535</v>
      </c>
      <c r="AO22" s="118">
        <v>-28505</v>
      </c>
      <c r="AP22" s="118">
        <v>-31021</v>
      </c>
      <c r="AQ22" s="118">
        <v>-25902</v>
      </c>
      <c r="AR22" s="118">
        <v>-30621</v>
      </c>
      <c r="AS22" s="118">
        <v>-39518</v>
      </c>
      <c r="AT22" s="118">
        <v>-37950</v>
      </c>
      <c r="AU22" s="118">
        <v>-27436</v>
      </c>
      <c r="AV22" s="118">
        <v>-34076</v>
      </c>
      <c r="AW22" s="118">
        <v>-38779</v>
      </c>
      <c r="AX22" s="118">
        <v>-39501</v>
      </c>
      <c r="AY22" s="118">
        <v>-33500</v>
      </c>
      <c r="AZ22" s="208"/>
      <c r="BA22" s="1219"/>
      <c r="BB22" s="208"/>
    </row>
    <row r="23" spans="1:167" x14ac:dyDescent="0.2">
      <c r="B23" s="129" t="s">
        <v>147</v>
      </c>
      <c r="C23" s="118">
        <v>6801.9984100000001</v>
      </c>
      <c r="D23" s="118">
        <v>-1177.4006600000002</v>
      </c>
      <c r="E23" s="118">
        <v>8916.8337900000006</v>
      </c>
      <c r="F23" s="118">
        <v>-2480.3906800000013</v>
      </c>
      <c r="G23" s="118">
        <v>119.25583</v>
      </c>
      <c r="H23" s="118">
        <v>154.04098999999999</v>
      </c>
      <c r="I23" s="118">
        <v>141.52992000000003</v>
      </c>
      <c r="J23" s="118">
        <v>110.61921999999991</v>
      </c>
      <c r="K23" s="118">
        <v>73.986080000000001</v>
      </c>
      <c r="L23" s="118">
        <v>401.41779999999994</v>
      </c>
      <c r="M23" s="118">
        <v>77.596120000000042</v>
      </c>
      <c r="N23" s="118">
        <v>443</v>
      </c>
      <c r="O23" s="118">
        <v>302</v>
      </c>
      <c r="P23" s="118">
        <v>338</v>
      </c>
      <c r="Q23" s="118">
        <v>34</v>
      </c>
      <c r="R23" s="118">
        <v>141</v>
      </c>
      <c r="S23" s="118">
        <v>312</v>
      </c>
      <c r="T23" s="118">
        <v>164</v>
      </c>
      <c r="U23" s="118">
        <v>197</v>
      </c>
      <c r="V23" s="118">
        <v>128</v>
      </c>
      <c r="W23" s="118">
        <v>97</v>
      </c>
      <c r="X23" s="118">
        <v>54</v>
      </c>
      <c r="Y23" s="118">
        <v>182</v>
      </c>
      <c r="Z23" s="118">
        <v>309</v>
      </c>
      <c r="AA23" s="118">
        <v>38</v>
      </c>
      <c r="AB23" s="118">
        <v>43</v>
      </c>
      <c r="AC23" s="118">
        <v>104</v>
      </c>
      <c r="AD23" s="118">
        <v>128</v>
      </c>
      <c r="AE23" s="118">
        <v>78</v>
      </c>
      <c r="AF23" s="118">
        <v>125</v>
      </c>
      <c r="AG23" s="118">
        <v>94</v>
      </c>
      <c r="AH23" s="118">
        <v>1349</v>
      </c>
      <c r="AI23" s="118">
        <v>120</v>
      </c>
      <c r="AJ23" s="118">
        <v>175</v>
      </c>
      <c r="AK23" s="118">
        <v>29</v>
      </c>
      <c r="AL23" s="118">
        <v>135</v>
      </c>
      <c r="AM23" s="118">
        <v>99</v>
      </c>
      <c r="AN23" s="118">
        <v>320</v>
      </c>
      <c r="AO23" s="118">
        <v>249</v>
      </c>
      <c r="AP23" s="118">
        <v>227</v>
      </c>
      <c r="AQ23" s="118">
        <v>259</v>
      </c>
      <c r="AR23" s="118">
        <v>316</v>
      </c>
      <c r="AS23" s="118">
        <v>313</v>
      </c>
      <c r="AT23" s="118">
        <v>168</v>
      </c>
      <c r="AU23" s="118">
        <v>24</v>
      </c>
      <c r="AV23" s="118">
        <v>116</v>
      </c>
      <c r="AW23" s="118">
        <v>634</v>
      </c>
      <c r="AX23" s="118">
        <v>661</v>
      </c>
      <c r="AY23" s="118">
        <v>647</v>
      </c>
      <c r="AZ23" s="208"/>
      <c r="BA23" s="1219"/>
      <c r="BB23" s="208"/>
    </row>
    <row r="24" spans="1:167" x14ac:dyDescent="0.2">
      <c r="B24" s="129" t="s">
        <v>146</v>
      </c>
      <c r="C24" s="118">
        <v>229.10757999999996</v>
      </c>
      <c r="D24" s="118">
        <v>200.58646000000002</v>
      </c>
      <c r="E24" s="118">
        <v>373.91203999999999</v>
      </c>
      <c r="F24" s="118">
        <v>365.15260999999998</v>
      </c>
      <c r="G24" s="118">
        <v>257.82058999999998</v>
      </c>
      <c r="H24" s="118">
        <v>278.69153</v>
      </c>
      <c r="I24" s="118">
        <v>413.53582999999998</v>
      </c>
      <c r="J24" s="118">
        <v>369.68269999999995</v>
      </c>
      <c r="K24" s="118">
        <v>137.34269</v>
      </c>
      <c r="L24" s="118">
        <v>208.16752999999997</v>
      </c>
      <c r="M24" s="118">
        <v>195.48978</v>
      </c>
      <c r="N24" s="118">
        <v>260</v>
      </c>
      <c r="O24" s="118">
        <v>348</v>
      </c>
      <c r="P24" s="118">
        <v>447</v>
      </c>
      <c r="Q24" s="118">
        <v>614</v>
      </c>
      <c r="R24" s="118">
        <v>553</v>
      </c>
      <c r="S24" s="118">
        <v>399</v>
      </c>
      <c r="T24" s="118">
        <v>515</v>
      </c>
      <c r="U24" s="118">
        <v>438</v>
      </c>
      <c r="V24" s="118">
        <v>515</v>
      </c>
      <c r="W24" s="118">
        <v>412</v>
      </c>
      <c r="X24" s="118">
        <v>441</v>
      </c>
      <c r="Y24" s="118">
        <v>557</v>
      </c>
      <c r="Z24" s="118">
        <v>452</v>
      </c>
      <c r="AA24" s="118">
        <v>377</v>
      </c>
      <c r="AB24" s="118">
        <v>247</v>
      </c>
      <c r="AC24" s="118">
        <v>408</v>
      </c>
      <c r="AD24" s="118">
        <v>187</v>
      </c>
      <c r="AE24" s="118">
        <v>170</v>
      </c>
      <c r="AF24" s="118">
        <v>246</v>
      </c>
      <c r="AG24" s="118">
        <v>202</v>
      </c>
      <c r="AH24" s="118">
        <v>577</v>
      </c>
      <c r="AI24" s="118">
        <v>735</v>
      </c>
      <c r="AJ24" s="118">
        <v>804</v>
      </c>
      <c r="AK24" s="118">
        <v>717</v>
      </c>
      <c r="AL24" s="118">
        <v>763</v>
      </c>
      <c r="AM24" s="118">
        <v>686</v>
      </c>
      <c r="AN24" s="118">
        <v>882</v>
      </c>
      <c r="AO24" s="118">
        <v>838</v>
      </c>
      <c r="AP24" s="118">
        <v>846</v>
      </c>
      <c r="AQ24" s="118">
        <v>644</v>
      </c>
      <c r="AR24" s="118">
        <v>836</v>
      </c>
      <c r="AS24" s="118">
        <v>1039</v>
      </c>
      <c r="AT24" s="118">
        <v>1436</v>
      </c>
      <c r="AU24" s="118">
        <v>1061</v>
      </c>
      <c r="AV24" s="118">
        <v>1097</v>
      </c>
      <c r="AW24" s="118">
        <v>1224</v>
      </c>
      <c r="AX24" s="118">
        <v>1422</v>
      </c>
      <c r="AY24" s="118">
        <v>923</v>
      </c>
      <c r="AZ24" s="208"/>
      <c r="BA24" s="1219"/>
      <c r="BB24" s="208"/>
    </row>
    <row r="25" spans="1:167" x14ac:dyDescent="0.2">
      <c r="B25" s="129" t="s">
        <v>486</v>
      </c>
      <c r="C25" s="118">
        <v>3233.8511200000003</v>
      </c>
      <c r="D25" s="118">
        <v>1483.9427100000009</v>
      </c>
      <c r="E25" s="118">
        <v>1097.2361299999989</v>
      </c>
      <c r="F25" s="118">
        <v>942.77207000000033</v>
      </c>
      <c r="G25" s="118">
        <v>982.46704</v>
      </c>
      <c r="H25" s="118">
        <v>2289.0396499999997</v>
      </c>
      <c r="I25" s="118">
        <v>1801.3470099999993</v>
      </c>
      <c r="J25" s="118">
        <v>1824.7581800000016</v>
      </c>
      <c r="K25" s="118">
        <v>2486.1750000000002</v>
      </c>
      <c r="L25" s="118">
        <v>1126.1742200000006</v>
      </c>
      <c r="M25" s="118">
        <v>1074.650779999999</v>
      </c>
      <c r="N25" s="118">
        <v>1788</v>
      </c>
      <c r="O25" s="118">
        <v>768</v>
      </c>
      <c r="P25" s="118">
        <v>115</v>
      </c>
      <c r="Q25" s="118">
        <v>518</v>
      </c>
      <c r="R25" s="118">
        <v>2628</v>
      </c>
      <c r="S25" s="118">
        <v>477</v>
      </c>
      <c r="T25" s="118">
        <v>768</v>
      </c>
      <c r="U25" s="118">
        <v>504</v>
      </c>
      <c r="V25" s="118">
        <v>1140</v>
      </c>
      <c r="W25" s="118">
        <v>916</v>
      </c>
      <c r="X25" s="118">
        <v>928</v>
      </c>
      <c r="Y25" s="118">
        <v>695</v>
      </c>
      <c r="Z25" s="118">
        <v>840</v>
      </c>
      <c r="AA25" s="118">
        <v>997</v>
      </c>
      <c r="AB25" s="118">
        <v>3844</v>
      </c>
      <c r="AC25" s="118">
        <v>565</v>
      </c>
      <c r="AD25" s="118">
        <v>348</v>
      </c>
      <c r="AE25" s="118">
        <v>703</v>
      </c>
      <c r="AF25" s="118">
        <v>893</v>
      </c>
      <c r="AG25" s="118">
        <v>152</v>
      </c>
      <c r="AH25" s="118">
        <v>754</v>
      </c>
      <c r="AI25" s="118">
        <v>454</v>
      </c>
      <c r="AJ25" s="118">
        <v>498</v>
      </c>
      <c r="AK25" s="118">
        <v>472</v>
      </c>
      <c r="AL25" s="118">
        <v>608</v>
      </c>
      <c r="AM25" s="118">
        <v>364</v>
      </c>
      <c r="AN25" s="118">
        <v>411</v>
      </c>
      <c r="AO25" s="118">
        <v>929</v>
      </c>
      <c r="AP25" s="118">
        <v>304</v>
      </c>
      <c r="AQ25" s="118">
        <v>741</v>
      </c>
      <c r="AR25" s="118">
        <v>611</v>
      </c>
      <c r="AS25" s="118">
        <v>606</v>
      </c>
      <c r="AT25" s="118">
        <v>545</v>
      </c>
      <c r="AU25" s="118">
        <v>912</v>
      </c>
      <c r="AV25" s="118">
        <v>820</v>
      </c>
      <c r="AW25" s="118">
        <v>655</v>
      </c>
      <c r="AX25" s="118">
        <v>1379</v>
      </c>
      <c r="AY25" s="118">
        <v>679</v>
      </c>
      <c r="AZ25" s="208"/>
      <c r="BA25" s="1219"/>
      <c r="BB25" s="208"/>
    </row>
    <row r="26" spans="1:167" x14ac:dyDescent="0.2">
      <c r="B26" s="129" t="s">
        <v>479</v>
      </c>
      <c r="C26" s="118">
        <v>7966.6856600000001</v>
      </c>
      <c r="D26" s="118">
        <v>7217.319379999999</v>
      </c>
      <c r="E26" s="118">
        <v>8967.4434599999968</v>
      </c>
      <c r="F26" s="118">
        <v>8081.9650899999997</v>
      </c>
      <c r="G26" s="118">
        <v>5718.9843900000005</v>
      </c>
      <c r="H26" s="118">
        <v>6927.5202499999996</v>
      </c>
      <c r="I26" s="118">
        <v>5962.0587899999991</v>
      </c>
      <c r="J26" s="118">
        <v>6815.13609</v>
      </c>
      <c r="K26" s="118">
        <v>6236.6529800000008</v>
      </c>
      <c r="L26" s="118">
        <v>5642.118239999998</v>
      </c>
      <c r="M26" s="118">
        <v>6406.2287800000013</v>
      </c>
      <c r="N26" s="118">
        <v>6230</v>
      </c>
      <c r="O26" s="118">
        <v>6236</v>
      </c>
      <c r="P26" s="118">
        <v>5626</v>
      </c>
      <c r="Q26" s="118">
        <v>6652</v>
      </c>
      <c r="R26" s="118">
        <v>6812</v>
      </c>
      <c r="S26" s="118">
        <v>6626</v>
      </c>
      <c r="T26" s="118">
        <v>7558</v>
      </c>
      <c r="U26" s="118">
        <v>7718</v>
      </c>
      <c r="V26" s="118">
        <v>6793</v>
      </c>
      <c r="W26" s="118">
        <v>6334</v>
      </c>
      <c r="X26" s="118">
        <v>7757</v>
      </c>
      <c r="Y26" s="118">
        <v>5612</v>
      </c>
      <c r="Z26" s="118">
        <v>6189</v>
      </c>
      <c r="AA26" s="118">
        <v>2118</v>
      </c>
      <c r="AB26" s="118">
        <v>1181</v>
      </c>
      <c r="AC26" s="118">
        <v>2032</v>
      </c>
      <c r="AD26" s="118">
        <v>2732</v>
      </c>
      <c r="AE26" s="118">
        <v>2295</v>
      </c>
      <c r="AF26" s="118">
        <v>2375</v>
      </c>
      <c r="AG26" s="118">
        <v>2010</v>
      </c>
      <c r="AH26" s="118">
        <v>2443</v>
      </c>
      <c r="AI26" s="118">
        <v>2005</v>
      </c>
      <c r="AJ26" s="118">
        <v>2672</v>
      </c>
      <c r="AK26" s="118">
        <v>3545</v>
      </c>
      <c r="AL26" s="118">
        <v>6163</v>
      </c>
      <c r="AM26" s="118">
        <v>5495</v>
      </c>
      <c r="AN26" s="118">
        <v>4095</v>
      </c>
      <c r="AO26" s="118">
        <v>3629</v>
      </c>
      <c r="AP26" s="118">
        <v>4268</v>
      </c>
      <c r="AQ26" s="118">
        <v>3380</v>
      </c>
      <c r="AR26" s="118">
        <v>4115</v>
      </c>
      <c r="AS26" s="118">
        <v>5554</v>
      </c>
      <c r="AT26" s="118">
        <v>3948</v>
      </c>
      <c r="AU26" s="118">
        <v>3061</v>
      </c>
      <c r="AV26" s="118">
        <v>3398</v>
      </c>
      <c r="AW26" s="118">
        <v>3986</v>
      </c>
      <c r="AX26" s="118">
        <v>3255</v>
      </c>
      <c r="AY26" s="118">
        <v>2477</v>
      </c>
      <c r="AZ26" s="208"/>
      <c r="BA26" s="1219"/>
      <c r="BB26" s="208"/>
    </row>
    <row r="27" spans="1:167" x14ac:dyDescent="0.2">
      <c r="B27" s="129" t="s">
        <v>411</v>
      </c>
      <c r="C27" s="118">
        <v>0</v>
      </c>
      <c r="D27" s="118">
        <v>0</v>
      </c>
      <c r="E27" s="118">
        <v>0</v>
      </c>
      <c r="F27" s="118">
        <v>0</v>
      </c>
      <c r="G27" s="118">
        <v>0</v>
      </c>
      <c r="H27" s="118">
        <v>3704.1926200000003</v>
      </c>
      <c r="I27" s="118">
        <v>-1E-3</v>
      </c>
      <c r="J27" s="118">
        <v>4054.16858</v>
      </c>
      <c r="K27" s="118">
        <v>15.85765</v>
      </c>
      <c r="L27" s="118">
        <v>235.36089999999999</v>
      </c>
      <c r="M27" s="118">
        <v>-0.21854999999999336</v>
      </c>
      <c r="N27" s="118">
        <v>15</v>
      </c>
      <c r="O27" s="118">
        <v>5</v>
      </c>
      <c r="P27" s="118">
        <v>0</v>
      </c>
      <c r="Q27" s="118">
        <v>0</v>
      </c>
      <c r="R27" s="118">
        <v>0</v>
      </c>
      <c r="S27" s="118">
        <v>0</v>
      </c>
      <c r="T27" s="118">
        <v>473</v>
      </c>
      <c r="U27" s="118">
        <v>0</v>
      </c>
      <c r="V27" s="118">
        <v>3</v>
      </c>
      <c r="W27" s="118">
        <v>0</v>
      </c>
      <c r="X27" s="118">
        <v>2</v>
      </c>
      <c r="Y27" s="118">
        <v>0</v>
      </c>
      <c r="Z27" s="118">
        <v>242</v>
      </c>
      <c r="AA27" s="118">
        <v>0</v>
      </c>
      <c r="AB27" s="118">
        <v>0</v>
      </c>
      <c r="AC27" s="118">
        <v>118</v>
      </c>
      <c r="AD27" s="118">
        <v>-81</v>
      </c>
      <c r="AE27" s="118">
        <v>0</v>
      </c>
      <c r="AF27" s="118">
        <v>0</v>
      </c>
      <c r="AG27" s="118">
        <v>0</v>
      </c>
      <c r="AH27" s="118">
        <v>0</v>
      </c>
      <c r="AI27" s="118">
        <v>0</v>
      </c>
      <c r="AJ27" s="118">
        <v>0</v>
      </c>
      <c r="AK27" s="118">
        <v>0</v>
      </c>
      <c r="AL27" s="118">
        <v>0</v>
      </c>
      <c r="AM27" s="118">
        <v>0</v>
      </c>
      <c r="AN27" s="118">
        <v>0</v>
      </c>
      <c r="AO27" s="118">
        <v>0</v>
      </c>
      <c r="AP27" s="118">
        <v>0</v>
      </c>
      <c r="AQ27" s="118">
        <v>2</v>
      </c>
      <c r="AR27" s="118">
        <v>0</v>
      </c>
      <c r="AS27" s="118">
        <v>0</v>
      </c>
      <c r="AT27" s="118">
        <v>-2</v>
      </c>
      <c r="AU27" s="118">
        <v>0</v>
      </c>
      <c r="AV27" s="118">
        <v>0</v>
      </c>
      <c r="AW27" s="118">
        <v>0</v>
      </c>
      <c r="AX27" s="118">
        <v>0</v>
      </c>
      <c r="AY27" s="118">
        <v>0</v>
      </c>
      <c r="AZ27" s="208"/>
      <c r="BA27" s="1219"/>
      <c r="BB27" s="208"/>
    </row>
    <row r="28" spans="1:167" ht="25.5" x14ac:dyDescent="0.2">
      <c r="B28" s="129" t="s">
        <v>1232</v>
      </c>
      <c r="C28" s="118">
        <v>0</v>
      </c>
      <c r="D28" s="118">
        <v>0</v>
      </c>
      <c r="E28" s="118">
        <v>0</v>
      </c>
      <c r="F28" s="118">
        <v>0</v>
      </c>
      <c r="G28" s="118">
        <v>0</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18">
        <v>0</v>
      </c>
      <c r="Y28" s="118">
        <v>0</v>
      </c>
      <c r="Z28" s="118">
        <v>0</v>
      </c>
      <c r="AA28" s="118">
        <v>0</v>
      </c>
      <c r="AB28" s="118">
        <v>0</v>
      </c>
      <c r="AC28" s="118">
        <v>0</v>
      </c>
      <c r="AD28" s="118">
        <v>0</v>
      </c>
      <c r="AE28" s="118">
        <v>0</v>
      </c>
      <c r="AF28" s="118">
        <v>0</v>
      </c>
      <c r="AG28" s="118">
        <v>0</v>
      </c>
      <c r="AH28" s="118">
        <v>0</v>
      </c>
      <c r="AI28" s="118">
        <v>116</v>
      </c>
      <c r="AJ28" s="118">
        <f>449-AI28</f>
        <v>333</v>
      </c>
      <c r="AK28" s="118">
        <f>395-SUM(AI28:AJ28)</f>
        <v>-54</v>
      </c>
      <c r="AL28" s="118">
        <f>407-SUM(AI28:AK28)</f>
        <v>12</v>
      </c>
      <c r="AM28" s="118">
        <v>385</v>
      </c>
      <c r="AN28" s="118">
        <v>464</v>
      </c>
      <c r="AO28" s="118">
        <v>249</v>
      </c>
      <c r="AP28" s="118">
        <v>36</v>
      </c>
      <c r="AQ28" s="118">
        <v>19</v>
      </c>
      <c r="AR28" s="118">
        <v>195</v>
      </c>
      <c r="AS28" s="118">
        <v>825</v>
      </c>
      <c r="AT28" s="118">
        <v>-2078</v>
      </c>
      <c r="AU28" s="118">
        <v>725</v>
      </c>
      <c r="AV28" s="118">
        <v>-648</v>
      </c>
      <c r="AW28" s="118">
        <v>-674</v>
      </c>
      <c r="AX28" s="118">
        <v>-267</v>
      </c>
      <c r="AY28" s="118">
        <v>962</v>
      </c>
      <c r="AZ28" s="208"/>
      <c r="BA28" s="1219"/>
      <c r="BB28" s="208"/>
    </row>
    <row r="29" spans="1:167" x14ac:dyDescent="0.2">
      <c r="B29" s="129" t="s">
        <v>795</v>
      </c>
      <c r="C29" s="118">
        <v>0</v>
      </c>
      <c r="D29" s="118">
        <v>0</v>
      </c>
      <c r="E29" s="118">
        <v>0</v>
      </c>
      <c r="F29" s="118">
        <v>0</v>
      </c>
      <c r="G29" s="118">
        <v>0</v>
      </c>
      <c r="H29" s="118">
        <v>0</v>
      </c>
      <c r="I29" s="118">
        <v>0</v>
      </c>
      <c r="J29" s="118">
        <v>0</v>
      </c>
      <c r="K29" s="118">
        <v>0</v>
      </c>
      <c r="L29" s="118">
        <v>0</v>
      </c>
      <c r="M29" s="118">
        <v>0</v>
      </c>
      <c r="N29" s="118">
        <v>0</v>
      </c>
      <c r="O29" s="118">
        <v>0</v>
      </c>
      <c r="P29" s="118">
        <v>0</v>
      </c>
      <c r="Q29" s="118">
        <v>5733</v>
      </c>
      <c r="R29" s="118">
        <v>5731</v>
      </c>
      <c r="S29" s="118">
        <v>0</v>
      </c>
      <c r="T29" s="118">
        <v>0</v>
      </c>
      <c r="U29" s="118">
        <v>0</v>
      </c>
      <c r="V29" s="118">
        <v>1907</v>
      </c>
      <c r="W29" s="118">
        <v>0</v>
      </c>
      <c r="X29" s="118">
        <v>0</v>
      </c>
      <c r="Y29" s="118">
        <v>0</v>
      </c>
      <c r="Z29" s="118">
        <v>0</v>
      </c>
      <c r="AA29" s="118">
        <v>0</v>
      </c>
      <c r="AB29" s="118">
        <v>0</v>
      </c>
      <c r="AC29" s="118">
        <v>0</v>
      </c>
      <c r="AD29" s="118">
        <v>0</v>
      </c>
      <c r="AE29" s="118">
        <v>0</v>
      </c>
      <c r="AF29" s="118">
        <v>0</v>
      </c>
      <c r="AG29" s="118">
        <v>0</v>
      </c>
      <c r="AH29" s="118">
        <v>0</v>
      </c>
      <c r="AI29" s="118">
        <v>0</v>
      </c>
      <c r="AJ29" s="118">
        <v>0</v>
      </c>
      <c r="AK29" s="118">
        <v>0</v>
      </c>
      <c r="AL29" s="118">
        <v>0</v>
      </c>
      <c r="AM29" s="118">
        <v>0</v>
      </c>
      <c r="AN29" s="118">
        <v>0</v>
      </c>
      <c r="AO29" s="118">
        <v>0</v>
      </c>
      <c r="AP29" s="118">
        <v>0</v>
      </c>
      <c r="AQ29" s="118">
        <v>0</v>
      </c>
      <c r="AR29" s="118">
        <v>0</v>
      </c>
      <c r="AS29" s="118">
        <v>0</v>
      </c>
      <c r="AT29" s="118">
        <v>0</v>
      </c>
      <c r="AU29" s="118">
        <v>0</v>
      </c>
      <c r="AV29" s="118">
        <v>0</v>
      </c>
      <c r="AW29" s="118">
        <v>0</v>
      </c>
      <c r="AX29" s="118">
        <v>0</v>
      </c>
      <c r="AY29" s="118">
        <v>0</v>
      </c>
      <c r="AZ29" s="208"/>
      <c r="BA29" s="1219"/>
      <c r="BB29" s="208"/>
    </row>
    <row r="30" spans="1:167" x14ac:dyDescent="0.2">
      <c r="B30" s="129" t="s">
        <v>489</v>
      </c>
      <c r="C30" s="118">
        <v>0</v>
      </c>
      <c r="D30" s="118">
        <v>0</v>
      </c>
      <c r="E30" s="118">
        <v>0</v>
      </c>
      <c r="F30" s="118">
        <v>0</v>
      </c>
      <c r="G30" s="118">
        <v>0</v>
      </c>
      <c r="H30" s="118">
        <v>0</v>
      </c>
      <c r="I30" s="118">
        <v>0</v>
      </c>
      <c r="J30" s="118">
        <v>2643</v>
      </c>
      <c r="K30" s="118">
        <v>0</v>
      </c>
      <c r="L30" s="118">
        <v>0</v>
      </c>
      <c r="M30" s="118">
        <v>0</v>
      </c>
      <c r="N30" s="118">
        <v>0</v>
      </c>
      <c r="O30" s="118">
        <v>0</v>
      </c>
      <c r="P30" s="118">
        <v>0</v>
      </c>
      <c r="Q30" s="118">
        <v>0</v>
      </c>
      <c r="R30" s="118">
        <v>0</v>
      </c>
      <c r="S30" s="118">
        <v>0</v>
      </c>
      <c r="T30" s="118">
        <v>0</v>
      </c>
      <c r="U30" s="118">
        <v>0</v>
      </c>
      <c r="V30" s="118">
        <v>0</v>
      </c>
      <c r="W30" s="118">
        <v>0</v>
      </c>
      <c r="X30" s="118"/>
      <c r="Y30" s="118">
        <v>0</v>
      </c>
      <c r="Z30" s="118">
        <v>0</v>
      </c>
      <c r="AA30" s="118">
        <v>0</v>
      </c>
      <c r="AB30" s="118">
        <v>0</v>
      </c>
      <c r="AC30" s="118">
        <v>0</v>
      </c>
      <c r="AD30" s="118">
        <v>2875</v>
      </c>
      <c r="AE30" s="118">
        <v>0</v>
      </c>
      <c r="AF30" s="118">
        <v>0</v>
      </c>
      <c r="AG30" s="118">
        <v>0</v>
      </c>
      <c r="AH30" s="118">
        <v>0</v>
      </c>
      <c r="AI30" s="118">
        <v>0</v>
      </c>
      <c r="AJ30" s="118">
        <v>0</v>
      </c>
      <c r="AK30" s="118">
        <v>0</v>
      </c>
      <c r="AL30" s="118">
        <v>0</v>
      </c>
      <c r="AM30" s="118">
        <v>0</v>
      </c>
      <c r="AN30" s="118">
        <v>0</v>
      </c>
      <c r="AO30" s="118">
        <v>0</v>
      </c>
      <c r="AP30" s="118">
        <v>0</v>
      </c>
      <c r="AQ30" s="118">
        <v>0</v>
      </c>
      <c r="AR30" s="118">
        <v>0</v>
      </c>
      <c r="AS30" s="118">
        <v>0</v>
      </c>
      <c r="AT30" s="118">
        <v>0</v>
      </c>
      <c r="AU30" s="118">
        <v>0</v>
      </c>
      <c r="AV30" s="118">
        <v>0</v>
      </c>
      <c r="AW30" s="118">
        <v>0</v>
      </c>
      <c r="AX30" s="118">
        <v>0</v>
      </c>
      <c r="AY30" s="118">
        <v>0</v>
      </c>
      <c r="AZ30" s="208"/>
      <c r="BA30" s="1219"/>
      <c r="BB30" s="208"/>
    </row>
    <row r="31" spans="1:167" s="248" customFormat="1" hidden="1" outlineLevel="1" x14ac:dyDescent="0.2">
      <c r="A31" s="232"/>
      <c r="B31" s="249" t="s">
        <v>490</v>
      </c>
      <c r="C31" s="218">
        <v>0</v>
      </c>
      <c r="D31" s="218">
        <v>0</v>
      </c>
      <c r="E31" s="218">
        <v>0</v>
      </c>
      <c r="F31" s="218">
        <v>2829.3992499999999</v>
      </c>
      <c r="G31" s="218">
        <v>0</v>
      </c>
      <c r="H31" s="218">
        <v>0</v>
      </c>
      <c r="I31" s="218">
        <v>0</v>
      </c>
      <c r="J31" s="218">
        <v>0</v>
      </c>
      <c r="K31" s="218">
        <v>0</v>
      </c>
      <c r="L31" s="218">
        <v>0</v>
      </c>
      <c r="M31" s="218">
        <v>0</v>
      </c>
      <c r="N31" s="218">
        <v>0</v>
      </c>
      <c r="O31" s="218">
        <v>0</v>
      </c>
      <c r="P31" s="218">
        <v>0</v>
      </c>
      <c r="Q31" s="218">
        <v>0</v>
      </c>
      <c r="R31" s="218">
        <v>0</v>
      </c>
      <c r="S31" s="218">
        <v>0</v>
      </c>
      <c r="T31" s="218" t="s">
        <v>160</v>
      </c>
      <c r="U31" s="218" t="s">
        <v>160</v>
      </c>
      <c r="V31" s="218" t="s">
        <v>160</v>
      </c>
      <c r="W31" s="218" t="s">
        <v>160</v>
      </c>
      <c r="X31" s="218"/>
      <c r="Y31" s="218" t="s">
        <v>160</v>
      </c>
      <c r="Z31" s="218" t="s">
        <v>160</v>
      </c>
      <c r="AA31" s="218" t="s">
        <v>160</v>
      </c>
      <c r="AB31" s="218" t="s">
        <v>160</v>
      </c>
      <c r="AC31" s="218" t="s">
        <v>160</v>
      </c>
      <c r="AD31" s="218" t="s">
        <v>160</v>
      </c>
      <c r="AE31" s="118">
        <v>0</v>
      </c>
      <c r="AF31" s="118">
        <v>0</v>
      </c>
      <c r="AG31" s="118">
        <v>0</v>
      </c>
      <c r="AH31" s="118">
        <v>0</v>
      </c>
      <c r="AI31" s="118" t="s">
        <v>160</v>
      </c>
      <c r="AJ31" s="118" t="s">
        <v>160</v>
      </c>
      <c r="AK31" s="118">
        <v>0</v>
      </c>
      <c r="AL31" s="118">
        <v>0</v>
      </c>
      <c r="AM31" s="118">
        <v>0</v>
      </c>
      <c r="AN31" s="118">
        <v>0</v>
      </c>
      <c r="AO31" s="118">
        <v>0</v>
      </c>
      <c r="AP31" s="118">
        <v>0</v>
      </c>
      <c r="AQ31" s="118">
        <v>0</v>
      </c>
      <c r="AR31" s="118"/>
      <c r="AS31" s="118"/>
      <c r="AT31" s="118"/>
      <c r="AU31" s="118"/>
      <c r="AV31" s="118">
        <v>0</v>
      </c>
      <c r="AW31" s="118">
        <v>0</v>
      </c>
      <c r="AX31" s="118">
        <v>0</v>
      </c>
      <c r="AY31" s="118">
        <v>0</v>
      </c>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row>
    <row r="32" spans="1:167" collapsed="1" x14ac:dyDescent="0.2">
      <c r="B32" s="126" t="s">
        <v>148</v>
      </c>
      <c r="C32" s="120">
        <f t="shared" ref="C32:Z32" si="0">SUM(C6:C7,C8:C31)</f>
        <v>316121.12976999994</v>
      </c>
      <c r="D32" s="120">
        <f t="shared" si="0"/>
        <v>317552.28177</v>
      </c>
      <c r="E32" s="120">
        <f t="shared" si="0"/>
        <v>326076.97314999986</v>
      </c>
      <c r="F32" s="120">
        <f t="shared" si="0"/>
        <v>343745.74359259993</v>
      </c>
      <c r="G32" s="120">
        <f t="shared" si="0"/>
        <v>269308.41024395009</v>
      </c>
      <c r="H32" s="120">
        <f t="shared" si="0"/>
        <v>268539.52013674995</v>
      </c>
      <c r="I32" s="120">
        <f t="shared" si="0"/>
        <v>257162.20206795007</v>
      </c>
      <c r="J32" s="120">
        <f t="shared" si="0"/>
        <v>263082.34168999991</v>
      </c>
      <c r="K32" s="120">
        <f t="shared" si="0"/>
        <v>196454.22802999997</v>
      </c>
      <c r="L32" s="120">
        <f t="shared" si="0"/>
        <v>218412.51810000002</v>
      </c>
      <c r="M32" s="120">
        <f t="shared" si="0"/>
        <v>217433.25386999999</v>
      </c>
      <c r="N32" s="120">
        <f t="shared" si="0"/>
        <v>224703</v>
      </c>
      <c r="O32" s="120">
        <f t="shared" si="0"/>
        <v>196936</v>
      </c>
      <c r="P32" s="120">
        <f t="shared" si="0"/>
        <v>227733</v>
      </c>
      <c r="Q32" s="120">
        <f t="shared" si="0"/>
        <v>255490</v>
      </c>
      <c r="R32" s="120">
        <f t="shared" si="0"/>
        <v>256156</v>
      </c>
      <c r="S32" s="120">
        <f t="shared" si="0"/>
        <v>233830</v>
      </c>
      <c r="T32" s="120">
        <f t="shared" si="0"/>
        <v>254238</v>
      </c>
      <c r="U32" s="120">
        <f t="shared" si="0"/>
        <v>282265</v>
      </c>
      <c r="V32" s="120">
        <f t="shared" si="0"/>
        <v>301892</v>
      </c>
      <c r="W32" s="120">
        <f t="shared" si="0"/>
        <v>252961</v>
      </c>
      <c r="X32" s="120">
        <f t="shared" si="0"/>
        <v>282568</v>
      </c>
      <c r="Y32" s="120">
        <f t="shared" si="0"/>
        <v>291954</v>
      </c>
      <c r="Z32" s="120">
        <f t="shared" si="0"/>
        <v>318429</v>
      </c>
      <c r="AA32" s="120">
        <f t="shared" ref="AA32:AJ32" si="1">SUM(AA6:AA7,AA8:AA31)</f>
        <v>247826</v>
      </c>
      <c r="AB32" s="120">
        <f t="shared" si="1"/>
        <v>137341</v>
      </c>
      <c r="AC32" s="120">
        <f t="shared" si="1"/>
        <v>241600</v>
      </c>
      <c r="AD32" s="120">
        <f t="shared" si="1"/>
        <v>269273</v>
      </c>
      <c r="AE32" s="120">
        <f t="shared" si="1"/>
        <v>209407</v>
      </c>
      <c r="AF32" s="120">
        <f t="shared" si="1"/>
        <v>211723</v>
      </c>
      <c r="AG32" s="120">
        <f t="shared" si="1"/>
        <v>207943</v>
      </c>
      <c r="AH32" s="120">
        <f t="shared" si="1"/>
        <v>268081</v>
      </c>
      <c r="AI32" s="120">
        <f t="shared" si="1"/>
        <v>220165</v>
      </c>
      <c r="AJ32" s="120">
        <f t="shared" si="1"/>
        <v>269254</v>
      </c>
      <c r="AK32" s="120">
        <f t="shared" ref="AK32:AQ32" si="2">SUM(AK6:AK7,AK8:AK31)</f>
        <v>340600</v>
      </c>
      <c r="AL32" s="120">
        <f t="shared" si="2"/>
        <v>350497</v>
      </c>
      <c r="AM32" s="120">
        <f t="shared" si="2"/>
        <v>297022</v>
      </c>
      <c r="AN32" s="120">
        <f t="shared" si="2"/>
        <v>321766</v>
      </c>
      <c r="AO32" s="120">
        <f t="shared" si="2"/>
        <v>361786</v>
      </c>
      <c r="AP32" s="120">
        <f t="shared" si="2"/>
        <v>391495</v>
      </c>
      <c r="AQ32" s="120">
        <f t="shared" si="2"/>
        <v>344136</v>
      </c>
      <c r="AR32" s="120">
        <f t="shared" ref="AR32:AY32" si="3">SUM(AR6:AR7,AR8:AR31)</f>
        <v>402015</v>
      </c>
      <c r="AS32" s="120">
        <f t="shared" si="3"/>
        <v>492000</v>
      </c>
      <c r="AT32" s="120">
        <f t="shared" si="3"/>
        <v>510306</v>
      </c>
      <c r="AU32" s="120">
        <f t="shared" si="3"/>
        <v>387029</v>
      </c>
      <c r="AV32" s="120">
        <f t="shared" si="3"/>
        <v>460718</v>
      </c>
      <c r="AW32" s="120">
        <f t="shared" si="3"/>
        <v>533429</v>
      </c>
      <c r="AX32" s="120">
        <f t="shared" si="3"/>
        <v>544056</v>
      </c>
      <c r="AY32" s="120">
        <f t="shared" si="3"/>
        <v>468103</v>
      </c>
    </row>
    <row r="33" spans="2:51" customFormat="1" ht="12.75" x14ac:dyDescent="0.2"/>
    <row r="34" spans="2:51" x14ac:dyDescent="0.2">
      <c r="B34" s="115" t="s">
        <v>97</v>
      </c>
      <c r="C34" s="115" t="str">
        <f t="shared" ref="C34:Z34" si="4">C5</f>
        <v>1T14</v>
      </c>
      <c r="D34" s="115" t="str">
        <f t="shared" si="4"/>
        <v>2T14</v>
      </c>
      <c r="E34" s="115" t="str">
        <f t="shared" si="4"/>
        <v>3T14</v>
      </c>
      <c r="F34" s="115" t="str">
        <f t="shared" si="4"/>
        <v>4T14</v>
      </c>
      <c r="G34" s="115" t="str">
        <f t="shared" si="4"/>
        <v>1T15</v>
      </c>
      <c r="H34" s="115" t="str">
        <f t="shared" si="4"/>
        <v>2T15</v>
      </c>
      <c r="I34" s="115" t="str">
        <f t="shared" si="4"/>
        <v>3T15</v>
      </c>
      <c r="J34" s="115" t="str">
        <f t="shared" si="4"/>
        <v>4T15</v>
      </c>
      <c r="K34" s="115" t="str">
        <f t="shared" si="4"/>
        <v>1T16</v>
      </c>
      <c r="L34" s="115" t="str">
        <f t="shared" si="4"/>
        <v>2T16</v>
      </c>
      <c r="M34" s="115" t="str">
        <f t="shared" si="4"/>
        <v>3T16</v>
      </c>
      <c r="N34" s="115" t="str">
        <f t="shared" si="4"/>
        <v>4T16</v>
      </c>
      <c r="O34" s="115" t="str">
        <f t="shared" si="4"/>
        <v>1T17</v>
      </c>
      <c r="P34" s="115" t="str">
        <f t="shared" si="4"/>
        <v>2T17</v>
      </c>
      <c r="Q34" s="115" t="str">
        <f t="shared" si="4"/>
        <v>3T17</v>
      </c>
      <c r="R34" s="115" t="str">
        <f t="shared" si="4"/>
        <v>4T17</v>
      </c>
      <c r="S34" s="115" t="str">
        <f t="shared" si="4"/>
        <v>1T18</v>
      </c>
      <c r="T34" s="115" t="str">
        <f t="shared" si="4"/>
        <v>2T18</v>
      </c>
      <c r="U34" s="115" t="str">
        <f t="shared" si="4"/>
        <v>3T18</v>
      </c>
      <c r="V34" s="115" t="str">
        <f t="shared" si="4"/>
        <v>4T18</v>
      </c>
      <c r="W34" s="115" t="str">
        <f t="shared" si="4"/>
        <v>1T19</v>
      </c>
      <c r="X34" s="115" t="str">
        <f t="shared" si="4"/>
        <v>2T19</v>
      </c>
      <c r="Y34" s="115" t="str">
        <f t="shared" si="4"/>
        <v>3T19</v>
      </c>
      <c r="Z34" s="115" t="str">
        <f t="shared" si="4"/>
        <v>4T19</v>
      </c>
      <c r="AA34" s="115" t="str">
        <f t="shared" ref="AA34:AJ34" si="5">AA5</f>
        <v>1T20</v>
      </c>
      <c r="AB34" s="115" t="str">
        <f t="shared" si="5"/>
        <v>2T20</v>
      </c>
      <c r="AC34" s="115" t="str">
        <f t="shared" si="5"/>
        <v>3T20</v>
      </c>
      <c r="AD34" s="115" t="str">
        <f t="shared" si="5"/>
        <v>4T20</v>
      </c>
      <c r="AE34" s="115" t="str">
        <f t="shared" si="5"/>
        <v>1T21</v>
      </c>
      <c r="AF34" s="115" t="str">
        <f t="shared" si="5"/>
        <v>2T21</v>
      </c>
      <c r="AG34" s="115" t="str">
        <f t="shared" si="5"/>
        <v>3T21</v>
      </c>
      <c r="AH34" s="115" t="str">
        <f t="shared" si="5"/>
        <v>4T21</v>
      </c>
      <c r="AI34" s="115" t="str">
        <f t="shared" si="5"/>
        <v>1T22</v>
      </c>
      <c r="AJ34" s="115" t="str">
        <f t="shared" si="5"/>
        <v>2T22</v>
      </c>
      <c r="AK34" s="115" t="str">
        <f t="shared" ref="AK34:AQ34" si="6">AK5</f>
        <v>3T22</v>
      </c>
      <c r="AL34" s="115" t="str">
        <f t="shared" si="6"/>
        <v>4T22</v>
      </c>
      <c r="AM34" s="115" t="str">
        <f t="shared" si="6"/>
        <v>1T23</v>
      </c>
      <c r="AN34" s="115" t="str">
        <f t="shared" si="6"/>
        <v>2T23</v>
      </c>
      <c r="AO34" s="115" t="str">
        <f t="shared" si="6"/>
        <v>3T23</v>
      </c>
      <c r="AP34" s="115" t="str">
        <f t="shared" si="6"/>
        <v>4T23</v>
      </c>
      <c r="AQ34" s="115" t="str">
        <f t="shared" si="6"/>
        <v>1T24</v>
      </c>
      <c r="AR34" s="115" t="str">
        <f t="shared" ref="AR34:AW34" si="7">AR5</f>
        <v>2T24</v>
      </c>
      <c r="AS34" s="115" t="str">
        <f t="shared" si="7"/>
        <v>3T24</v>
      </c>
      <c r="AT34" s="115" t="str">
        <f t="shared" si="7"/>
        <v>4T24</v>
      </c>
      <c r="AU34" s="115" t="str">
        <f t="shared" si="7"/>
        <v>1T25</v>
      </c>
      <c r="AV34" s="115" t="str">
        <f t="shared" si="7"/>
        <v>2T25</v>
      </c>
      <c r="AW34" s="115" t="str">
        <f t="shared" si="7"/>
        <v>3T25</v>
      </c>
      <c r="AX34" s="115" t="str">
        <f>AX5</f>
        <v>4T25</v>
      </c>
      <c r="AY34" s="115" t="str">
        <f>AY5</f>
        <v>1T26</v>
      </c>
    </row>
    <row r="35" spans="2:51" x14ac:dyDescent="0.2">
      <c r="B35" s="129" t="s">
        <v>131</v>
      </c>
      <c r="C35" s="118">
        <v>203810.90716</v>
      </c>
      <c r="D35" s="118">
        <v>224066.89475999997</v>
      </c>
      <c r="E35" s="118">
        <v>220958.96782999992</v>
      </c>
      <c r="F35" s="118">
        <v>251671.30114999987</v>
      </c>
      <c r="G35" s="118">
        <v>176002.85947999996</v>
      </c>
      <c r="H35" s="118">
        <v>165118.30492000008</v>
      </c>
      <c r="I35" s="118">
        <v>162726.10900999993</v>
      </c>
      <c r="J35" s="118">
        <v>170476.14973999988</v>
      </c>
      <c r="K35" s="118">
        <v>117238.53425000001</v>
      </c>
      <c r="L35" s="118">
        <v>135531.91791999998</v>
      </c>
      <c r="M35" s="118">
        <v>141132.54783</v>
      </c>
      <c r="N35" s="118">
        <v>150302</v>
      </c>
      <c r="O35" s="118">
        <v>123871</v>
      </c>
      <c r="P35" s="118">
        <v>153668</v>
      </c>
      <c r="Q35" s="118">
        <v>175375</v>
      </c>
      <c r="R35" s="118">
        <v>193469</v>
      </c>
      <c r="S35" s="118">
        <v>158018</v>
      </c>
      <c r="T35" s="118">
        <v>182108</v>
      </c>
      <c r="U35" s="118">
        <v>210715</v>
      </c>
      <c r="V35" s="118">
        <v>222254</v>
      </c>
      <c r="W35" s="118">
        <v>177391</v>
      </c>
      <c r="X35" s="118">
        <v>193139</v>
      </c>
      <c r="Y35" s="118">
        <v>195143</v>
      </c>
      <c r="Z35" s="118">
        <v>221133</v>
      </c>
      <c r="AA35" s="118">
        <v>155969</v>
      </c>
      <c r="AB35" s="118">
        <v>56255</v>
      </c>
      <c r="AC35" s="118">
        <v>166031</v>
      </c>
      <c r="AD35" s="118">
        <v>184098</v>
      </c>
      <c r="AE35" s="118">
        <v>130528</v>
      </c>
      <c r="AF35" s="118">
        <v>126119</v>
      </c>
      <c r="AG35" s="118">
        <v>122826</v>
      </c>
      <c r="AH35" s="118">
        <v>175788</v>
      </c>
      <c r="AI35" s="118">
        <v>127793</v>
      </c>
      <c r="AJ35" s="118">
        <v>165514</v>
      </c>
      <c r="AK35" s="118">
        <v>240397</v>
      </c>
      <c r="AL35" s="118">
        <v>234605</v>
      </c>
      <c r="AM35" s="118">
        <v>181605</v>
      </c>
      <c r="AN35" s="118">
        <v>206432</v>
      </c>
      <c r="AO35" s="118">
        <v>241602</v>
      </c>
      <c r="AP35" s="118">
        <v>264168</v>
      </c>
      <c r="AQ35" s="118">
        <v>218673</v>
      </c>
      <c r="AR35" s="118">
        <v>284656</v>
      </c>
      <c r="AS35" s="118">
        <v>374046</v>
      </c>
      <c r="AT35" s="118">
        <v>391754</v>
      </c>
      <c r="AU35" s="118">
        <v>263283</v>
      </c>
      <c r="AV35" s="118">
        <v>330797</v>
      </c>
      <c r="AW35" s="118">
        <v>407578</v>
      </c>
      <c r="AX35" s="118">
        <v>402164</v>
      </c>
      <c r="AY35" s="118">
        <v>337783</v>
      </c>
    </row>
    <row r="36" spans="2:51" x14ac:dyDescent="0.2">
      <c r="B36" s="129" t="s">
        <v>132</v>
      </c>
      <c r="C36" s="118">
        <v>19394.425930000005</v>
      </c>
      <c r="D36" s="118">
        <v>21452.921050000001</v>
      </c>
      <c r="E36" s="118">
        <v>18247.908780000002</v>
      </c>
      <c r="F36" s="118">
        <v>19335.767069999976</v>
      </c>
      <c r="G36" s="118">
        <v>18908.462460000002</v>
      </c>
      <c r="H36" s="118">
        <v>18135.921430000006</v>
      </c>
      <c r="I36" s="118">
        <v>17571.38726</v>
      </c>
      <c r="J36" s="118">
        <v>14153.428450000018</v>
      </c>
      <c r="K36" s="118">
        <v>14804.225400000001</v>
      </c>
      <c r="L36" s="118">
        <v>15254.600420000004</v>
      </c>
      <c r="M36" s="118">
        <v>15216.174179999995</v>
      </c>
      <c r="N36" s="118">
        <v>13842</v>
      </c>
      <c r="O36" s="118">
        <v>14452</v>
      </c>
      <c r="P36" s="118">
        <v>14828</v>
      </c>
      <c r="Q36" s="118">
        <v>15835</v>
      </c>
      <c r="R36" s="118">
        <v>16288</v>
      </c>
      <c r="S36" s="118">
        <v>15569</v>
      </c>
      <c r="T36" s="118">
        <v>17099</v>
      </c>
      <c r="U36" s="118">
        <v>17696</v>
      </c>
      <c r="V36" s="118">
        <v>18462</v>
      </c>
      <c r="W36" s="118">
        <v>16425</v>
      </c>
      <c r="X36" s="118">
        <v>20019</v>
      </c>
      <c r="Y36" s="118">
        <v>19348</v>
      </c>
      <c r="Z36" s="118">
        <v>19632</v>
      </c>
      <c r="AA36" s="118">
        <v>19066</v>
      </c>
      <c r="AB36" s="118">
        <v>11847</v>
      </c>
      <c r="AC36" s="118">
        <v>14079</v>
      </c>
      <c r="AD36" s="118">
        <v>15188</v>
      </c>
      <c r="AE36" s="118">
        <v>14098</v>
      </c>
      <c r="AF36" s="118">
        <v>15476</v>
      </c>
      <c r="AG36" s="118">
        <v>14540</v>
      </c>
      <c r="AH36" s="118">
        <v>16858</v>
      </c>
      <c r="AI36" s="118">
        <v>14830</v>
      </c>
      <c r="AJ36" s="118">
        <v>16961</v>
      </c>
      <c r="AK36" s="118">
        <v>17319</v>
      </c>
      <c r="AL36" s="118">
        <v>20357</v>
      </c>
      <c r="AM36" s="118">
        <v>19238</v>
      </c>
      <c r="AN36" s="118">
        <v>21940</v>
      </c>
      <c r="AO36" s="118">
        <v>22668</v>
      </c>
      <c r="AP36" s="118">
        <v>22622</v>
      </c>
      <c r="AQ36" s="118">
        <v>20496</v>
      </c>
      <c r="AR36" s="118">
        <v>22105</v>
      </c>
      <c r="AS36" s="118">
        <v>25248</v>
      </c>
      <c r="AT36" s="118">
        <v>25488</v>
      </c>
      <c r="AU36" s="118">
        <v>24817</v>
      </c>
      <c r="AV36" s="118">
        <v>28036</v>
      </c>
      <c r="AW36" s="118">
        <v>30069</v>
      </c>
      <c r="AX36" s="118">
        <v>29470</v>
      </c>
      <c r="AY36" s="118">
        <v>26572</v>
      </c>
    </row>
    <row r="37" spans="2:51" x14ac:dyDescent="0.2">
      <c r="B37" s="129" t="s">
        <v>134</v>
      </c>
      <c r="C37" s="118">
        <v>5940.4492399999999</v>
      </c>
      <c r="D37" s="118">
        <v>7260.490920000002</v>
      </c>
      <c r="E37" s="118">
        <v>8617.3942000000006</v>
      </c>
      <c r="F37" s="118">
        <v>8341.4307499999959</v>
      </c>
      <c r="G37" s="118">
        <v>6663.7679699999999</v>
      </c>
      <c r="H37" s="118">
        <v>7346.0120200000001</v>
      </c>
      <c r="I37" s="118">
        <v>7050.7794300000014</v>
      </c>
      <c r="J37" s="118">
        <v>6190.1585399999994</v>
      </c>
      <c r="K37" s="118">
        <v>7885.8564200000001</v>
      </c>
      <c r="L37" s="118">
        <v>9113.440849999999</v>
      </c>
      <c r="M37" s="118">
        <v>8249.7027300000009</v>
      </c>
      <c r="N37" s="118">
        <v>6565</v>
      </c>
      <c r="O37" s="118">
        <v>7642</v>
      </c>
      <c r="P37" s="118">
        <v>9076</v>
      </c>
      <c r="Q37" s="118">
        <v>7972</v>
      </c>
      <c r="R37" s="118">
        <v>7346</v>
      </c>
      <c r="S37" s="118">
        <v>8791</v>
      </c>
      <c r="T37" s="118">
        <v>9583</v>
      </c>
      <c r="U37" s="118">
        <v>9599</v>
      </c>
      <c r="V37" s="118">
        <v>9896</v>
      </c>
      <c r="W37" s="118">
        <v>9366</v>
      </c>
      <c r="X37" s="118">
        <v>10545</v>
      </c>
      <c r="Y37" s="118">
        <v>10313</v>
      </c>
      <c r="Z37" s="118">
        <v>10576</v>
      </c>
      <c r="AA37" s="118">
        <v>10048</v>
      </c>
      <c r="AB37" s="118">
        <v>6813</v>
      </c>
      <c r="AC37" s="118">
        <v>8029</v>
      </c>
      <c r="AD37" s="118">
        <v>8412</v>
      </c>
      <c r="AE37" s="118">
        <v>7351</v>
      </c>
      <c r="AF37" s="118">
        <v>8204</v>
      </c>
      <c r="AG37" s="118">
        <v>8008</v>
      </c>
      <c r="AH37" s="118">
        <v>9406</v>
      </c>
      <c r="AI37" s="118">
        <v>8857</v>
      </c>
      <c r="AJ37" s="118">
        <v>9415</v>
      </c>
      <c r="AK37" s="118">
        <v>9561</v>
      </c>
      <c r="AL37" s="118">
        <v>13015</v>
      </c>
      <c r="AM37" s="118">
        <v>10794</v>
      </c>
      <c r="AN37" s="118">
        <v>12132</v>
      </c>
      <c r="AO37" s="118">
        <v>12237</v>
      </c>
      <c r="AP37" s="118">
        <v>12651</v>
      </c>
      <c r="AQ37" s="118">
        <v>10969</v>
      </c>
      <c r="AR37" s="118">
        <v>11573</v>
      </c>
      <c r="AS37" s="118">
        <v>13988</v>
      </c>
      <c r="AT37" s="118">
        <v>14181</v>
      </c>
      <c r="AU37" s="118">
        <v>13376</v>
      </c>
      <c r="AV37" s="118">
        <v>15914</v>
      </c>
      <c r="AW37" s="118">
        <v>16324</v>
      </c>
      <c r="AX37" s="118">
        <v>16617</v>
      </c>
      <c r="AY37" s="118">
        <v>15357</v>
      </c>
    </row>
    <row r="38" spans="2:51" x14ac:dyDescent="0.2">
      <c r="B38" s="129" t="s">
        <v>133</v>
      </c>
      <c r="C38" s="118">
        <v>9761.9872600000017</v>
      </c>
      <c r="D38" s="118">
        <v>8552.2545699999973</v>
      </c>
      <c r="E38" s="118">
        <v>13197.362769999996</v>
      </c>
      <c r="F38" s="118">
        <v>10977.39209000001</v>
      </c>
      <c r="G38" s="118">
        <v>9793.7105500000016</v>
      </c>
      <c r="H38" s="118">
        <v>8843.817219999999</v>
      </c>
      <c r="I38" s="118">
        <v>8055.2924700000021</v>
      </c>
      <c r="J38" s="118">
        <v>9144.5956800000004</v>
      </c>
      <c r="K38" s="118">
        <v>5911.3485900000014</v>
      </c>
      <c r="L38" s="118">
        <v>8790.7907699999996</v>
      </c>
      <c r="M38" s="118">
        <v>7919.860639999999</v>
      </c>
      <c r="N38" s="118">
        <v>8906</v>
      </c>
      <c r="O38" s="118">
        <v>7179</v>
      </c>
      <c r="P38" s="118">
        <v>6789</v>
      </c>
      <c r="Q38" s="118">
        <v>7756</v>
      </c>
      <c r="R38" s="118">
        <v>12855</v>
      </c>
      <c r="S38" s="118">
        <v>10773</v>
      </c>
      <c r="T38" s="118">
        <v>8245</v>
      </c>
      <c r="U38" s="118">
        <v>8301</v>
      </c>
      <c r="V38" s="118">
        <v>8787</v>
      </c>
      <c r="W38" s="118">
        <v>10441</v>
      </c>
      <c r="X38" s="118">
        <v>8866</v>
      </c>
      <c r="Y38" s="118">
        <v>16113</v>
      </c>
      <c r="Z38" s="118">
        <v>14068</v>
      </c>
      <c r="AA38" s="118">
        <v>15413</v>
      </c>
      <c r="AB38" s="118">
        <v>10449</v>
      </c>
      <c r="AC38" s="118">
        <v>9609</v>
      </c>
      <c r="AD38" s="118">
        <v>12771</v>
      </c>
      <c r="AE38" s="118">
        <v>9646</v>
      </c>
      <c r="AF38" s="118">
        <v>9600</v>
      </c>
      <c r="AG38" s="118">
        <v>11111</v>
      </c>
      <c r="AH38" s="118">
        <v>11809</v>
      </c>
      <c r="AI38" s="118">
        <v>9770</v>
      </c>
      <c r="AJ38" s="118">
        <v>12847</v>
      </c>
      <c r="AK38" s="118">
        <v>12039</v>
      </c>
      <c r="AL38" s="118">
        <v>12606</v>
      </c>
      <c r="AM38" s="118">
        <v>11501</v>
      </c>
      <c r="AN38" s="118">
        <v>12741</v>
      </c>
      <c r="AO38" s="118">
        <v>13829</v>
      </c>
      <c r="AP38" s="118">
        <v>14231</v>
      </c>
      <c r="AQ38" s="118">
        <v>17011</v>
      </c>
      <c r="AR38" s="118">
        <v>16988</v>
      </c>
      <c r="AS38" s="118">
        <v>17703</v>
      </c>
      <c r="AT38" s="118">
        <v>19596</v>
      </c>
      <c r="AU38" s="118">
        <v>16328</v>
      </c>
      <c r="AV38" s="118">
        <v>18771</v>
      </c>
      <c r="AW38" s="118">
        <v>17808</v>
      </c>
      <c r="AX38" s="118">
        <v>22942</v>
      </c>
      <c r="AY38" s="118">
        <v>16256</v>
      </c>
    </row>
    <row r="39" spans="2:51" ht="15.75" customHeight="1" x14ac:dyDescent="0.2">
      <c r="B39" s="129" t="s">
        <v>135</v>
      </c>
      <c r="C39" s="118">
        <v>7342.00983</v>
      </c>
      <c r="D39" s="118">
        <v>7503.2690000000002</v>
      </c>
      <c r="E39" s="118">
        <v>7722.6893800000007</v>
      </c>
      <c r="F39" s="118">
        <v>8152.9014800000004</v>
      </c>
      <c r="G39" s="118">
        <v>8096.1806199999992</v>
      </c>
      <c r="H39" s="118">
        <v>8009.9007000000011</v>
      </c>
      <c r="I39" s="118">
        <v>6085.6192099999971</v>
      </c>
      <c r="J39" s="118">
        <v>5290.9067399999985</v>
      </c>
      <c r="K39" s="118">
        <v>4921.2807300000004</v>
      </c>
      <c r="L39" s="118">
        <v>4979.1328999999969</v>
      </c>
      <c r="M39" s="118">
        <v>5243.5863700000027</v>
      </c>
      <c r="N39" s="118">
        <v>5158</v>
      </c>
      <c r="O39" s="118">
        <v>5146</v>
      </c>
      <c r="P39" s="118">
        <v>5786</v>
      </c>
      <c r="Q39" s="118">
        <v>4920</v>
      </c>
      <c r="R39" s="118">
        <v>5681</v>
      </c>
      <c r="S39" s="118">
        <v>5473</v>
      </c>
      <c r="T39" s="118">
        <v>5105</v>
      </c>
      <c r="U39" s="118">
        <v>5536</v>
      </c>
      <c r="V39" s="118">
        <v>7216</v>
      </c>
      <c r="W39" s="118">
        <v>1335</v>
      </c>
      <c r="X39" s="118">
        <v>2578</v>
      </c>
      <c r="Y39" s="118">
        <v>1037</v>
      </c>
      <c r="Z39" s="118">
        <v>2138</v>
      </c>
      <c r="AA39" s="118">
        <v>1890</v>
      </c>
      <c r="AB39" s="118">
        <v>909</v>
      </c>
      <c r="AC39" s="118">
        <v>1164</v>
      </c>
      <c r="AD39" s="118">
        <v>1066</v>
      </c>
      <c r="AE39" s="118">
        <v>286</v>
      </c>
      <c r="AF39" s="118">
        <v>522</v>
      </c>
      <c r="AG39" s="118">
        <v>746</v>
      </c>
      <c r="AH39" s="118">
        <v>683</v>
      </c>
      <c r="AI39" s="118">
        <v>854</v>
      </c>
      <c r="AJ39" s="118">
        <v>1609</v>
      </c>
      <c r="AK39" s="118">
        <v>1594</v>
      </c>
      <c r="AL39" s="118">
        <v>1166</v>
      </c>
      <c r="AM39" s="118">
        <v>1119</v>
      </c>
      <c r="AN39" s="118">
        <v>1551</v>
      </c>
      <c r="AO39" s="118">
        <v>854</v>
      </c>
      <c r="AP39" s="118">
        <v>2913</v>
      </c>
      <c r="AQ39" s="118">
        <v>1698</v>
      </c>
      <c r="AR39" s="118">
        <v>4465</v>
      </c>
      <c r="AS39" s="118">
        <v>10303</v>
      </c>
      <c r="AT39" s="118">
        <v>8351</v>
      </c>
      <c r="AU39" s="118">
        <v>5986</v>
      </c>
      <c r="AV39" s="118">
        <v>7366</v>
      </c>
      <c r="AW39" s="118">
        <v>6236</v>
      </c>
      <c r="AX39" s="118">
        <v>6462</v>
      </c>
      <c r="AY39" s="118">
        <v>5230</v>
      </c>
    </row>
    <row r="40" spans="2:51" x14ac:dyDescent="0.2">
      <c r="B40" s="129" t="s">
        <v>815</v>
      </c>
      <c r="C40" s="118" t="s">
        <v>160</v>
      </c>
      <c r="D40" s="118" t="s">
        <v>160</v>
      </c>
      <c r="E40" s="118" t="s">
        <v>160</v>
      </c>
      <c r="F40" s="118" t="s">
        <v>160</v>
      </c>
      <c r="G40" s="118" t="s">
        <v>160</v>
      </c>
      <c r="H40" s="118" t="s">
        <v>160</v>
      </c>
      <c r="I40" s="118" t="s">
        <v>160</v>
      </c>
      <c r="J40" s="118" t="s">
        <v>160</v>
      </c>
      <c r="K40" s="118" t="s">
        <v>160</v>
      </c>
      <c r="L40" s="118" t="s">
        <v>160</v>
      </c>
      <c r="M40" s="118" t="s">
        <v>160</v>
      </c>
      <c r="N40" s="118" t="s">
        <v>160</v>
      </c>
      <c r="O40" s="118" t="s">
        <v>160</v>
      </c>
      <c r="P40" s="118" t="s">
        <v>160</v>
      </c>
      <c r="Q40" s="118" t="s">
        <v>160</v>
      </c>
      <c r="R40" s="118" t="s">
        <v>160</v>
      </c>
      <c r="S40" s="118" t="s">
        <v>160</v>
      </c>
      <c r="T40" s="118" t="s">
        <v>160</v>
      </c>
      <c r="U40" s="118" t="s">
        <v>160</v>
      </c>
      <c r="V40" s="118" t="s">
        <v>160</v>
      </c>
      <c r="W40" s="118">
        <v>5510</v>
      </c>
      <c r="X40" s="118">
        <v>4584</v>
      </c>
      <c r="Y40" s="118">
        <v>4887</v>
      </c>
      <c r="Z40" s="118">
        <v>5026</v>
      </c>
      <c r="AA40" s="118">
        <v>4674</v>
      </c>
      <c r="AB40" s="118">
        <v>4946</v>
      </c>
      <c r="AC40" s="118">
        <v>4801</v>
      </c>
      <c r="AD40" s="118">
        <v>5291</v>
      </c>
      <c r="AE40" s="118">
        <v>6090</v>
      </c>
      <c r="AF40" s="118">
        <v>6420</v>
      </c>
      <c r="AG40" s="118">
        <v>6219</v>
      </c>
      <c r="AH40" s="118">
        <v>6079</v>
      </c>
      <c r="AI40" s="118">
        <v>6994</v>
      </c>
      <c r="AJ40" s="118">
        <v>7147</v>
      </c>
      <c r="AK40" s="118">
        <v>5804</v>
      </c>
      <c r="AL40" s="118">
        <v>6487</v>
      </c>
      <c r="AM40" s="118">
        <v>6359</v>
      </c>
      <c r="AN40" s="118">
        <v>6073</v>
      </c>
      <c r="AO40" s="118">
        <v>6304</v>
      </c>
      <c r="AP40" s="118">
        <v>6731</v>
      </c>
      <c r="AQ40" s="118">
        <v>6229</v>
      </c>
      <c r="AR40" s="118">
        <v>6449</v>
      </c>
      <c r="AS40" s="118">
        <v>6239</v>
      </c>
      <c r="AT40" s="118">
        <v>6125</v>
      </c>
      <c r="AU40" s="118">
        <v>6139</v>
      </c>
      <c r="AV40" s="118">
        <v>6267</v>
      </c>
      <c r="AW40" s="118">
        <v>6343</v>
      </c>
      <c r="AX40" s="118">
        <v>6403</v>
      </c>
      <c r="AY40" s="118">
        <v>6605</v>
      </c>
    </row>
    <row r="41" spans="2:51" x14ac:dyDescent="0.2">
      <c r="B41" s="129" t="s">
        <v>137</v>
      </c>
      <c r="C41" s="118">
        <v>4259.6480000000001</v>
      </c>
      <c r="D41" s="118">
        <v>3978.1727600000008</v>
      </c>
      <c r="E41" s="118">
        <v>3264.5549500000002</v>
      </c>
      <c r="F41" s="118">
        <v>-2086.2933399999997</v>
      </c>
      <c r="G41" s="118">
        <v>3242.7618000000002</v>
      </c>
      <c r="H41" s="118">
        <v>3781.2955600000018</v>
      </c>
      <c r="I41" s="118">
        <v>3911.9864700000016</v>
      </c>
      <c r="J41" s="118">
        <v>4463.8404799999953</v>
      </c>
      <c r="K41" s="118">
        <v>5253.42461</v>
      </c>
      <c r="L41" s="118">
        <v>5009.0518800000009</v>
      </c>
      <c r="M41" s="118">
        <v>4425.5235099999991</v>
      </c>
      <c r="N41" s="118">
        <v>4342</v>
      </c>
      <c r="O41" s="118">
        <v>4328</v>
      </c>
      <c r="P41" s="118">
        <v>4463</v>
      </c>
      <c r="Q41" s="118">
        <v>4820</v>
      </c>
      <c r="R41" s="118">
        <v>4867</v>
      </c>
      <c r="S41" s="118">
        <v>4940</v>
      </c>
      <c r="T41" s="118">
        <v>7259</v>
      </c>
      <c r="U41" s="118">
        <v>5173</v>
      </c>
      <c r="V41" s="118">
        <v>4976</v>
      </c>
      <c r="W41" s="118">
        <v>4796</v>
      </c>
      <c r="X41" s="118">
        <v>4653</v>
      </c>
      <c r="Y41" s="118">
        <v>4603</v>
      </c>
      <c r="Z41" s="118">
        <v>4455</v>
      </c>
      <c r="AA41" s="118">
        <v>4453</v>
      </c>
      <c r="AB41" s="118">
        <v>4152</v>
      </c>
      <c r="AC41" s="118">
        <v>3896</v>
      </c>
      <c r="AD41" s="118">
        <v>3847</v>
      </c>
      <c r="AE41" s="118">
        <v>3969</v>
      </c>
      <c r="AF41" s="118">
        <v>4194</v>
      </c>
      <c r="AG41" s="118">
        <v>4228</v>
      </c>
      <c r="AH41" s="118">
        <v>4308</v>
      </c>
      <c r="AI41" s="118">
        <v>4279</v>
      </c>
      <c r="AJ41" s="118">
        <v>4199</v>
      </c>
      <c r="AK41" s="118">
        <v>4241</v>
      </c>
      <c r="AL41" s="118">
        <v>4362</v>
      </c>
      <c r="AM41" s="118">
        <v>4339</v>
      </c>
      <c r="AN41" s="118">
        <v>4460</v>
      </c>
      <c r="AO41" s="118">
        <v>4493</v>
      </c>
      <c r="AP41" s="118">
        <v>3394</v>
      </c>
      <c r="AQ41" s="118">
        <v>3492</v>
      </c>
      <c r="AR41" s="118">
        <v>3442</v>
      </c>
      <c r="AS41" s="118">
        <v>3607</v>
      </c>
      <c r="AT41" s="118">
        <v>4259</v>
      </c>
      <c r="AU41" s="118">
        <v>5023</v>
      </c>
      <c r="AV41" s="118">
        <v>5015</v>
      </c>
      <c r="AW41" s="118">
        <v>5258</v>
      </c>
      <c r="AX41" s="118">
        <v>5519</v>
      </c>
      <c r="AY41" s="118">
        <v>5958</v>
      </c>
    </row>
    <row r="42" spans="2:51" ht="15" customHeight="1" x14ac:dyDescent="0.2">
      <c r="B42" s="129" t="s">
        <v>136</v>
      </c>
      <c r="C42" s="118">
        <v>5616.9422999999997</v>
      </c>
      <c r="D42" s="118">
        <v>5627.8223600000001</v>
      </c>
      <c r="E42" s="118">
        <v>5894.0893600000036</v>
      </c>
      <c r="F42" s="118">
        <v>6128.5428700000011</v>
      </c>
      <c r="G42" s="118">
        <v>5785.486789999999</v>
      </c>
      <c r="H42" s="118">
        <v>6179.0319400000017</v>
      </c>
      <c r="I42" s="118">
        <v>5644.0609399999976</v>
      </c>
      <c r="J42" s="118">
        <v>5060.8977500000037</v>
      </c>
      <c r="K42" s="118">
        <v>4566.6898400000009</v>
      </c>
      <c r="L42" s="118">
        <v>4720.3072599999996</v>
      </c>
      <c r="M42" s="118">
        <v>4139.0028999999995</v>
      </c>
      <c r="N42" s="118">
        <v>4124</v>
      </c>
      <c r="O42" s="118">
        <v>4024</v>
      </c>
      <c r="P42" s="118">
        <v>4319</v>
      </c>
      <c r="Q42" s="118">
        <v>4387</v>
      </c>
      <c r="R42" s="118">
        <v>4485</v>
      </c>
      <c r="S42" s="118">
        <v>4402</v>
      </c>
      <c r="T42" s="118">
        <v>4846</v>
      </c>
      <c r="U42" s="118">
        <v>5312</v>
      </c>
      <c r="V42" s="118">
        <v>5736</v>
      </c>
      <c r="W42" s="118">
        <v>5430</v>
      </c>
      <c r="X42" s="118">
        <v>5983</v>
      </c>
      <c r="Y42" s="118">
        <v>6278</v>
      </c>
      <c r="Z42" s="118">
        <v>6012</v>
      </c>
      <c r="AA42" s="118">
        <v>5699</v>
      </c>
      <c r="AB42" s="118">
        <v>4436</v>
      </c>
      <c r="AC42" s="118">
        <v>4293</v>
      </c>
      <c r="AD42" s="118">
        <v>4665</v>
      </c>
      <c r="AE42" s="118">
        <v>4368</v>
      </c>
      <c r="AF42" s="118">
        <v>4336</v>
      </c>
      <c r="AG42" s="118">
        <v>4516</v>
      </c>
      <c r="AH42" s="118">
        <v>4595</v>
      </c>
      <c r="AI42" s="118">
        <v>4523</v>
      </c>
      <c r="AJ42" s="118">
        <v>4867</v>
      </c>
      <c r="AK42" s="118">
        <v>5095</v>
      </c>
      <c r="AL42" s="118">
        <v>5655</v>
      </c>
      <c r="AM42" s="118">
        <v>6025</v>
      </c>
      <c r="AN42" s="118">
        <v>6349</v>
      </c>
      <c r="AO42" s="118">
        <v>6828</v>
      </c>
      <c r="AP42" s="118">
        <v>7245</v>
      </c>
      <c r="AQ42" s="118">
        <v>6509</v>
      </c>
      <c r="AR42" s="118">
        <v>7013</v>
      </c>
      <c r="AS42" s="118">
        <v>7999</v>
      </c>
      <c r="AT42" s="118">
        <v>8896</v>
      </c>
      <c r="AU42" s="118">
        <v>7847</v>
      </c>
      <c r="AV42" s="118">
        <v>8956</v>
      </c>
      <c r="AW42" s="118">
        <v>8941</v>
      </c>
      <c r="AX42" s="118">
        <v>9911</v>
      </c>
      <c r="AY42" s="118">
        <v>10400</v>
      </c>
    </row>
    <row r="43" spans="2:51" x14ac:dyDescent="0.2">
      <c r="B43" s="129" t="s">
        <v>479</v>
      </c>
      <c r="C43" s="118">
        <v>3287.6562699999999</v>
      </c>
      <c r="D43" s="118">
        <v>3495.3658799999994</v>
      </c>
      <c r="E43" s="118">
        <v>3611.0200100000006</v>
      </c>
      <c r="F43" s="118">
        <v>3869.495919999998</v>
      </c>
      <c r="G43" s="118">
        <v>1411.7091300000002</v>
      </c>
      <c r="H43" s="118">
        <v>2917.2415599999995</v>
      </c>
      <c r="I43" s="118">
        <v>1263.7146200000002</v>
      </c>
      <c r="J43" s="118">
        <v>1544.36346</v>
      </c>
      <c r="K43" s="118">
        <v>1608.1772100000001</v>
      </c>
      <c r="L43" s="118">
        <v>1831.9693999999997</v>
      </c>
      <c r="M43" s="118">
        <v>1923.8533900000002</v>
      </c>
      <c r="N43" s="118">
        <v>2519</v>
      </c>
      <c r="O43" s="118">
        <v>2377</v>
      </c>
      <c r="P43" s="118">
        <v>2647</v>
      </c>
      <c r="Q43" s="118">
        <v>2721</v>
      </c>
      <c r="R43" s="118">
        <v>3265</v>
      </c>
      <c r="S43" s="118">
        <v>3040</v>
      </c>
      <c r="T43" s="118">
        <v>3296</v>
      </c>
      <c r="U43" s="118">
        <v>3334</v>
      </c>
      <c r="V43" s="118">
        <v>3123</v>
      </c>
      <c r="W43" s="118">
        <v>2337</v>
      </c>
      <c r="X43" s="118">
        <v>1840</v>
      </c>
      <c r="Y43" s="118">
        <v>1755</v>
      </c>
      <c r="Z43" s="118">
        <v>1750</v>
      </c>
      <c r="AA43" s="118">
        <v>1271</v>
      </c>
      <c r="AB43" s="118">
        <v>631</v>
      </c>
      <c r="AC43" s="118">
        <v>1139</v>
      </c>
      <c r="AD43" s="118">
        <v>1747</v>
      </c>
      <c r="AE43" s="118">
        <v>1309</v>
      </c>
      <c r="AF43" s="118">
        <v>1304</v>
      </c>
      <c r="AG43" s="118">
        <v>1052</v>
      </c>
      <c r="AH43" s="118">
        <v>1410</v>
      </c>
      <c r="AI43" s="118">
        <v>1192</v>
      </c>
      <c r="AJ43" s="118">
        <v>1620</v>
      </c>
      <c r="AK43" s="118">
        <v>1649</v>
      </c>
      <c r="AL43" s="118">
        <v>1687</v>
      </c>
      <c r="AM43" s="118">
        <v>1407</v>
      </c>
      <c r="AN43" s="118">
        <v>1493</v>
      </c>
      <c r="AO43" s="118">
        <v>1278</v>
      </c>
      <c r="AP43" s="118">
        <v>1309</v>
      </c>
      <c r="AQ43" s="118">
        <v>1506</v>
      </c>
      <c r="AR43" s="118">
        <v>3305</v>
      </c>
      <c r="AS43" s="118">
        <v>5561</v>
      </c>
      <c r="AT43" s="118">
        <v>4049</v>
      </c>
      <c r="AU43" s="118">
        <v>3061</v>
      </c>
      <c r="AV43" s="118">
        <v>3783</v>
      </c>
      <c r="AW43" s="118">
        <v>3986</v>
      </c>
      <c r="AX43" s="118">
        <v>3256</v>
      </c>
      <c r="AY43" s="118">
        <v>2477</v>
      </c>
    </row>
    <row r="44" spans="2:51" x14ac:dyDescent="0.2">
      <c r="B44" s="129" t="s">
        <v>140</v>
      </c>
      <c r="C44" s="118">
        <v>3026.5122299999994</v>
      </c>
      <c r="D44" s="118">
        <v>2298.0974400000014</v>
      </c>
      <c r="E44" s="118">
        <v>2466.0063099999998</v>
      </c>
      <c r="F44" s="118">
        <v>3032.7954900000004</v>
      </c>
      <c r="G44" s="118">
        <v>2796.7863899999998</v>
      </c>
      <c r="H44" s="118">
        <v>2698.6783499999997</v>
      </c>
      <c r="I44" s="118">
        <v>2325.3250300000004</v>
      </c>
      <c r="J44" s="118">
        <v>2407.1421499999983</v>
      </c>
      <c r="K44" s="118">
        <v>2105.5183999999999</v>
      </c>
      <c r="L44" s="118">
        <v>2505.9725200000003</v>
      </c>
      <c r="M44" s="118">
        <v>2504.5090799999998</v>
      </c>
      <c r="N44" s="118">
        <v>2156</v>
      </c>
      <c r="O44" s="118">
        <v>2302</v>
      </c>
      <c r="P44" s="118">
        <v>1956</v>
      </c>
      <c r="Q44" s="118">
        <v>2207</v>
      </c>
      <c r="R44" s="118">
        <v>2081</v>
      </c>
      <c r="S44" s="118">
        <v>2046</v>
      </c>
      <c r="T44" s="118">
        <v>1998</v>
      </c>
      <c r="U44" s="118">
        <v>1975</v>
      </c>
      <c r="V44" s="118">
        <v>2431</v>
      </c>
      <c r="W44" s="118">
        <v>2203</v>
      </c>
      <c r="X44" s="118">
        <v>2415</v>
      </c>
      <c r="Y44" s="118">
        <v>2272</v>
      </c>
      <c r="Z44" s="118">
        <v>3045</v>
      </c>
      <c r="AA44" s="118">
        <v>2435</v>
      </c>
      <c r="AB44" s="118">
        <v>1530</v>
      </c>
      <c r="AC44" s="118">
        <v>1662</v>
      </c>
      <c r="AD44" s="118">
        <v>2375</v>
      </c>
      <c r="AE44" s="118">
        <v>1890</v>
      </c>
      <c r="AF44" s="118">
        <v>2064</v>
      </c>
      <c r="AG44" s="118">
        <v>2202</v>
      </c>
      <c r="AH44" s="118">
        <v>2386</v>
      </c>
      <c r="AI44" s="118">
        <v>2750</v>
      </c>
      <c r="AJ44" s="118">
        <v>2857</v>
      </c>
      <c r="AK44" s="118">
        <v>2819</v>
      </c>
      <c r="AL44" s="118">
        <v>3616</v>
      </c>
      <c r="AM44" s="118">
        <v>3397</v>
      </c>
      <c r="AN44" s="118">
        <v>4192</v>
      </c>
      <c r="AO44" s="118">
        <v>3682</v>
      </c>
      <c r="AP44" s="118">
        <v>5018</v>
      </c>
      <c r="AQ44" s="118">
        <v>1121</v>
      </c>
      <c r="AR44" s="118">
        <v>951</v>
      </c>
      <c r="AS44" s="118">
        <v>1493</v>
      </c>
      <c r="AT44" s="118">
        <v>640</v>
      </c>
      <c r="AU44" s="118">
        <v>2424</v>
      </c>
      <c r="AV44" s="118">
        <v>2187</v>
      </c>
      <c r="AW44" s="118">
        <v>4079</v>
      </c>
      <c r="AX44" s="118">
        <v>1650</v>
      </c>
      <c r="AY44" s="118">
        <v>4622</v>
      </c>
    </row>
    <row r="45" spans="2:51" x14ac:dyDescent="0.2">
      <c r="B45" s="129" t="s">
        <v>139</v>
      </c>
      <c r="C45" s="118">
        <v>2483.9986799999997</v>
      </c>
      <c r="D45" s="118">
        <v>2063.7177900000002</v>
      </c>
      <c r="E45" s="118">
        <v>2370.7343300000002</v>
      </c>
      <c r="F45" s="118">
        <v>1978.0762400000012</v>
      </c>
      <c r="G45" s="118">
        <v>2553.6438400000002</v>
      </c>
      <c r="H45" s="118">
        <v>2281.1662999999994</v>
      </c>
      <c r="I45" s="118">
        <v>2253.6146799999997</v>
      </c>
      <c r="J45" s="118">
        <v>2882.755700000002</v>
      </c>
      <c r="K45" s="118">
        <v>1371.9125100000001</v>
      </c>
      <c r="L45" s="118">
        <v>1437.3666599999997</v>
      </c>
      <c r="M45" s="118">
        <v>1553.7208300000002</v>
      </c>
      <c r="N45" s="118">
        <v>2010</v>
      </c>
      <c r="O45" s="118">
        <v>1940</v>
      </c>
      <c r="P45" s="118">
        <v>2014</v>
      </c>
      <c r="Q45" s="118">
        <v>2562</v>
      </c>
      <c r="R45" s="118">
        <v>2209</v>
      </c>
      <c r="S45" s="118">
        <v>2575</v>
      </c>
      <c r="T45" s="118">
        <v>3038</v>
      </c>
      <c r="U45" s="118">
        <v>3249</v>
      </c>
      <c r="V45" s="118">
        <v>4012</v>
      </c>
      <c r="W45" s="118">
        <v>3001</v>
      </c>
      <c r="X45" s="118">
        <v>3181</v>
      </c>
      <c r="Y45" s="118">
        <v>3773</v>
      </c>
      <c r="Z45" s="118">
        <v>3837</v>
      </c>
      <c r="AA45" s="118">
        <v>3130</v>
      </c>
      <c r="AB45" s="118">
        <v>2135</v>
      </c>
      <c r="AC45" s="118">
        <v>2630</v>
      </c>
      <c r="AD45" s="118">
        <v>3270</v>
      </c>
      <c r="AE45" s="118">
        <v>2877</v>
      </c>
      <c r="AF45" s="118">
        <v>3448</v>
      </c>
      <c r="AG45" s="118">
        <v>3110</v>
      </c>
      <c r="AH45" s="118">
        <v>4228</v>
      </c>
      <c r="AI45" s="118">
        <v>3833</v>
      </c>
      <c r="AJ45" s="118">
        <v>3837</v>
      </c>
      <c r="AK45" s="118">
        <v>3902</v>
      </c>
      <c r="AL45" s="118">
        <v>4855</v>
      </c>
      <c r="AM45" s="118">
        <v>4052</v>
      </c>
      <c r="AN45" s="118">
        <v>4457</v>
      </c>
      <c r="AO45" s="118">
        <v>4496</v>
      </c>
      <c r="AP45" s="118">
        <v>4797</v>
      </c>
      <c r="AQ45" s="118">
        <v>4173</v>
      </c>
      <c r="AR45" s="118">
        <v>4183</v>
      </c>
      <c r="AS45" s="118">
        <v>5091</v>
      </c>
      <c r="AT45" s="118">
        <v>5178</v>
      </c>
      <c r="AU45" s="118">
        <v>4634</v>
      </c>
      <c r="AV45" s="118">
        <v>5347</v>
      </c>
      <c r="AW45" s="118">
        <v>5677</v>
      </c>
      <c r="AX45" s="118">
        <v>6560</v>
      </c>
      <c r="AY45" s="118">
        <v>5435</v>
      </c>
    </row>
    <row r="46" spans="2:51" x14ac:dyDescent="0.2">
      <c r="B46" s="129" t="s">
        <v>142</v>
      </c>
      <c r="C46" s="118">
        <v>1406.39744</v>
      </c>
      <c r="D46" s="118">
        <v>1509.8123699999996</v>
      </c>
      <c r="E46" s="118">
        <v>1635.9322700000005</v>
      </c>
      <c r="F46" s="118">
        <v>1800.33717</v>
      </c>
      <c r="G46" s="118">
        <v>1548.17254</v>
      </c>
      <c r="H46" s="118">
        <v>1702.36625</v>
      </c>
      <c r="I46" s="118">
        <v>2272.7229000000002</v>
      </c>
      <c r="J46" s="118">
        <v>2186.6380699999995</v>
      </c>
      <c r="K46" s="118">
        <v>840.3926100000001</v>
      </c>
      <c r="L46" s="118">
        <v>1487.9115099999997</v>
      </c>
      <c r="M46" s="118">
        <v>1496.6958800000002</v>
      </c>
      <c r="N46" s="118">
        <v>1443</v>
      </c>
      <c r="O46" s="118">
        <v>1521</v>
      </c>
      <c r="P46" s="118">
        <v>1928</v>
      </c>
      <c r="Q46" s="118">
        <v>2035</v>
      </c>
      <c r="R46" s="118">
        <v>2147</v>
      </c>
      <c r="S46" s="118">
        <v>2118</v>
      </c>
      <c r="T46" s="118">
        <v>2070</v>
      </c>
      <c r="U46" s="118">
        <v>2119</v>
      </c>
      <c r="V46" s="118">
        <v>2248</v>
      </c>
      <c r="W46" s="118">
        <v>1977</v>
      </c>
      <c r="X46" s="118">
        <v>2180</v>
      </c>
      <c r="Y46" s="118">
        <v>2295</v>
      </c>
      <c r="Z46" s="118">
        <v>2205</v>
      </c>
      <c r="AA46" s="118">
        <v>1798</v>
      </c>
      <c r="AB46" s="118">
        <v>486</v>
      </c>
      <c r="AC46" s="118">
        <v>1470</v>
      </c>
      <c r="AD46" s="118">
        <v>1803</v>
      </c>
      <c r="AE46" s="118">
        <v>1917</v>
      </c>
      <c r="AF46" s="118">
        <v>2126</v>
      </c>
      <c r="AG46" s="118">
        <v>2077</v>
      </c>
      <c r="AH46" s="118">
        <v>3684</v>
      </c>
      <c r="AI46" s="118">
        <v>3937</v>
      </c>
      <c r="AJ46" s="118">
        <v>4495</v>
      </c>
      <c r="AK46" s="118">
        <v>3536</v>
      </c>
      <c r="AL46" s="118">
        <v>3654</v>
      </c>
      <c r="AM46" s="118">
        <v>3528</v>
      </c>
      <c r="AN46" s="118">
        <v>3308</v>
      </c>
      <c r="AO46" s="118">
        <v>3301</v>
      </c>
      <c r="AP46" s="118">
        <v>3346</v>
      </c>
      <c r="AQ46" s="118">
        <v>2932</v>
      </c>
      <c r="AR46" s="118">
        <v>3235</v>
      </c>
      <c r="AS46" s="118">
        <v>3611</v>
      </c>
      <c r="AT46" s="118">
        <v>4862</v>
      </c>
      <c r="AU46" s="118">
        <v>3530</v>
      </c>
      <c r="AV46" s="118">
        <v>4297</v>
      </c>
      <c r="AW46" s="118">
        <v>5128</v>
      </c>
      <c r="AX46" s="118">
        <v>4302</v>
      </c>
      <c r="AY46" s="118">
        <v>2790</v>
      </c>
    </row>
    <row r="47" spans="2:51" x14ac:dyDescent="0.2">
      <c r="B47" s="129" t="s">
        <v>143</v>
      </c>
      <c r="C47" s="118">
        <v>566.99546999999995</v>
      </c>
      <c r="D47" s="118">
        <v>560.71153000000004</v>
      </c>
      <c r="E47" s="118">
        <v>632.84602000000007</v>
      </c>
      <c r="F47" s="118">
        <v>662.74866000000065</v>
      </c>
      <c r="G47" s="118">
        <v>730.37437999999986</v>
      </c>
      <c r="H47" s="118">
        <v>774.55581000000006</v>
      </c>
      <c r="I47" s="118">
        <v>1103.0202300000001</v>
      </c>
      <c r="J47" s="118">
        <v>726.1550600000005</v>
      </c>
      <c r="K47" s="118">
        <v>715.53955999999994</v>
      </c>
      <c r="L47" s="118">
        <v>692.78949000000034</v>
      </c>
      <c r="M47" s="118">
        <v>748.67094999999972</v>
      </c>
      <c r="N47" s="118">
        <v>720</v>
      </c>
      <c r="O47" s="118">
        <v>694</v>
      </c>
      <c r="P47" s="118">
        <v>770</v>
      </c>
      <c r="Q47" s="118">
        <v>822</v>
      </c>
      <c r="R47" s="118">
        <v>821</v>
      </c>
      <c r="S47" s="118">
        <v>794</v>
      </c>
      <c r="T47" s="118">
        <v>792</v>
      </c>
      <c r="U47" s="118">
        <v>896</v>
      </c>
      <c r="V47" s="118">
        <v>994</v>
      </c>
      <c r="W47" s="118">
        <v>955</v>
      </c>
      <c r="X47" s="118">
        <v>1025</v>
      </c>
      <c r="Y47" s="118">
        <v>1073</v>
      </c>
      <c r="Z47" s="118">
        <v>865</v>
      </c>
      <c r="AA47" s="118">
        <v>861</v>
      </c>
      <c r="AB47" s="118">
        <v>658</v>
      </c>
      <c r="AC47" s="118">
        <v>734</v>
      </c>
      <c r="AD47" s="118">
        <v>759</v>
      </c>
      <c r="AE47" s="118">
        <v>670</v>
      </c>
      <c r="AF47" s="118">
        <v>736</v>
      </c>
      <c r="AG47" s="118">
        <v>756</v>
      </c>
      <c r="AH47" s="118">
        <v>878</v>
      </c>
      <c r="AI47" s="118">
        <v>800</v>
      </c>
      <c r="AJ47" s="118">
        <v>759</v>
      </c>
      <c r="AK47" s="118">
        <v>789</v>
      </c>
      <c r="AL47" s="118">
        <v>802</v>
      </c>
      <c r="AM47" s="118">
        <v>834</v>
      </c>
      <c r="AN47" s="118">
        <v>890</v>
      </c>
      <c r="AO47" s="118">
        <v>849</v>
      </c>
      <c r="AP47" s="118">
        <v>872</v>
      </c>
      <c r="AQ47" s="118">
        <v>816</v>
      </c>
      <c r="AR47" s="118">
        <v>870</v>
      </c>
      <c r="AS47" s="118">
        <v>914</v>
      </c>
      <c r="AT47" s="118">
        <v>735</v>
      </c>
      <c r="AU47" s="118">
        <v>806</v>
      </c>
      <c r="AV47" s="118">
        <v>817</v>
      </c>
      <c r="AW47" s="118">
        <v>802</v>
      </c>
      <c r="AX47" s="118">
        <v>897</v>
      </c>
      <c r="AY47" s="118">
        <v>921</v>
      </c>
    </row>
    <row r="48" spans="2:51" x14ac:dyDescent="0.2">
      <c r="B48" s="129" t="s">
        <v>141</v>
      </c>
      <c r="C48" s="118">
        <v>1485.6488900000002</v>
      </c>
      <c r="D48" s="118">
        <v>1430.7032399999998</v>
      </c>
      <c r="E48" s="118">
        <v>1594.0023899999997</v>
      </c>
      <c r="F48" s="118">
        <v>1432.1880700000004</v>
      </c>
      <c r="G48" s="118">
        <v>1190.0833700000001</v>
      </c>
      <c r="H48" s="118">
        <v>1205.2655699999998</v>
      </c>
      <c r="I48" s="118">
        <v>998.53452000000004</v>
      </c>
      <c r="J48" s="118">
        <v>813.86812999999984</v>
      </c>
      <c r="K48" s="118">
        <v>928.38947999999982</v>
      </c>
      <c r="L48" s="118">
        <v>811.47313000000008</v>
      </c>
      <c r="M48" s="118">
        <v>771.1373900000001</v>
      </c>
      <c r="N48" s="118">
        <v>850</v>
      </c>
      <c r="O48" s="118">
        <v>593</v>
      </c>
      <c r="P48" s="118">
        <v>596</v>
      </c>
      <c r="Q48" s="118">
        <v>624</v>
      </c>
      <c r="R48" s="118">
        <v>625</v>
      </c>
      <c r="S48" s="118">
        <v>600</v>
      </c>
      <c r="T48" s="118">
        <v>545</v>
      </c>
      <c r="U48" s="118">
        <v>556</v>
      </c>
      <c r="V48" s="118">
        <v>701</v>
      </c>
      <c r="W48" s="118">
        <v>598</v>
      </c>
      <c r="X48" s="118">
        <v>623</v>
      </c>
      <c r="Y48" s="118">
        <v>618</v>
      </c>
      <c r="Z48" s="118">
        <v>625</v>
      </c>
      <c r="AA48" s="118">
        <v>673</v>
      </c>
      <c r="AB48" s="118">
        <v>593</v>
      </c>
      <c r="AC48" s="118">
        <v>642</v>
      </c>
      <c r="AD48" s="118">
        <v>600</v>
      </c>
      <c r="AE48" s="118">
        <v>631</v>
      </c>
      <c r="AF48" s="118">
        <v>604</v>
      </c>
      <c r="AG48" s="118">
        <v>531</v>
      </c>
      <c r="AH48" s="118">
        <v>599</v>
      </c>
      <c r="AI48" s="118">
        <v>583</v>
      </c>
      <c r="AJ48" s="118">
        <v>585</v>
      </c>
      <c r="AK48" s="118">
        <v>611</v>
      </c>
      <c r="AL48" s="118">
        <v>579</v>
      </c>
      <c r="AM48" s="118">
        <v>536</v>
      </c>
      <c r="AN48" s="118">
        <v>537</v>
      </c>
      <c r="AO48" s="118">
        <v>564</v>
      </c>
      <c r="AP48" s="118">
        <v>580</v>
      </c>
      <c r="AQ48" s="118">
        <v>518</v>
      </c>
      <c r="AR48" s="118">
        <v>501</v>
      </c>
      <c r="AS48" s="118">
        <v>591</v>
      </c>
      <c r="AT48" s="118">
        <v>822</v>
      </c>
      <c r="AU48" s="118">
        <v>408</v>
      </c>
      <c r="AV48" s="118">
        <v>490</v>
      </c>
      <c r="AW48" s="118">
        <v>679</v>
      </c>
      <c r="AX48" s="118">
        <v>821</v>
      </c>
      <c r="AY48" s="118">
        <v>608</v>
      </c>
    </row>
    <row r="49" spans="1:167" x14ac:dyDescent="0.2">
      <c r="B49" s="129" t="s">
        <v>138</v>
      </c>
      <c r="C49" s="118">
        <v>3652.5719900000004</v>
      </c>
      <c r="D49" s="118">
        <v>2068.3599099999992</v>
      </c>
      <c r="E49" s="118">
        <v>1371.1523200000022</v>
      </c>
      <c r="F49" s="118">
        <v>2781.0730999999987</v>
      </c>
      <c r="G49" s="118">
        <v>1421.1016999999997</v>
      </c>
      <c r="H49" s="118">
        <v>678.52998000000002</v>
      </c>
      <c r="I49" s="118">
        <v>1557.9535300000002</v>
      </c>
      <c r="J49" s="118">
        <v>1852.9910899999998</v>
      </c>
      <c r="K49" s="118">
        <v>498.25901999999996</v>
      </c>
      <c r="L49" s="118">
        <v>907.21459000000004</v>
      </c>
      <c r="M49" s="118">
        <v>591.52638999999999</v>
      </c>
      <c r="N49" s="118">
        <v>890</v>
      </c>
      <c r="O49" s="118">
        <v>526</v>
      </c>
      <c r="P49" s="118">
        <v>863</v>
      </c>
      <c r="Q49" s="118">
        <v>1488</v>
      </c>
      <c r="R49" s="118">
        <v>2142</v>
      </c>
      <c r="S49" s="118">
        <v>1396</v>
      </c>
      <c r="T49" s="118">
        <v>-873</v>
      </c>
      <c r="U49" s="118">
        <v>1409</v>
      </c>
      <c r="V49" s="118">
        <v>1710</v>
      </c>
      <c r="W49" s="118">
        <v>968</v>
      </c>
      <c r="X49" s="118">
        <v>2001</v>
      </c>
      <c r="Y49" s="118">
        <v>1825</v>
      </c>
      <c r="Z49" s="118">
        <v>2761</v>
      </c>
      <c r="AA49" s="118">
        <v>1578</v>
      </c>
      <c r="AB49" s="118">
        <v>1601</v>
      </c>
      <c r="AC49" s="118">
        <v>480</v>
      </c>
      <c r="AD49" s="118">
        <v>1002</v>
      </c>
      <c r="AE49" s="118">
        <v>933</v>
      </c>
      <c r="AF49" s="118">
        <v>1123</v>
      </c>
      <c r="AG49" s="118">
        <v>710</v>
      </c>
      <c r="AH49" s="118">
        <v>1375</v>
      </c>
      <c r="AI49" s="118">
        <v>1360</v>
      </c>
      <c r="AJ49" s="118">
        <v>1708</v>
      </c>
      <c r="AK49" s="118">
        <v>1873</v>
      </c>
      <c r="AL49" s="118">
        <v>2500</v>
      </c>
      <c r="AM49" s="118">
        <v>1435</v>
      </c>
      <c r="AN49" s="118">
        <v>1653</v>
      </c>
      <c r="AO49" s="118">
        <v>2101</v>
      </c>
      <c r="AP49" s="118">
        <v>4433</v>
      </c>
      <c r="AQ49" s="118">
        <v>2019</v>
      </c>
      <c r="AR49" s="118">
        <v>1786</v>
      </c>
      <c r="AS49" s="118">
        <v>3068</v>
      </c>
      <c r="AT49" s="118">
        <v>4870</v>
      </c>
      <c r="AU49" s="118">
        <v>2511</v>
      </c>
      <c r="AV49" s="118">
        <v>2774</v>
      </c>
      <c r="AW49" s="118">
        <v>3608</v>
      </c>
      <c r="AX49" s="118">
        <v>7359</v>
      </c>
      <c r="AY49" s="118">
        <v>2705</v>
      </c>
    </row>
    <row r="50" spans="1:167" x14ac:dyDescent="0.2">
      <c r="B50" s="129" t="s">
        <v>486</v>
      </c>
      <c r="C50" s="118">
        <v>2193.1668200000004</v>
      </c>
      <c r="D50" s="118">
        <v>978.0475899999999</v>
      </c>
      <c r="E50" s="118">
        <v>922.21433999999988</v>
      </c>
      <c r="F50" s="118">
        <v>801.0224199999999</v>
      </c>
      <c r="G50" s="118">
        <v>661.42089999999996</v>
      </c>
      <c r="H50" s="118">
        <v>1867.6492000000003</v>
      </c>
      <c r="I50" s="118">
        <v>1613.9045799999997</v>
      </c>
      <c r="J50" s="118">
        <v>1517.7839900000001</v>
      </c>
      <c r="K50" s="118">
        <v>2120.5656600000002</v>
      </c>
      <c r="L50" s="118">
        <v>654.67809999999963</v>
      </c>
      <c r="M50" s="118">
        <v>782.75624000000016</v>
      </c>
      <c r="N50" s="118">
        <v>1421</v>
      </c>
      <c r="O50" s="118">
        <v>516</v>
      </c>
      <c r="P50" s="118">
        <v>-78</v>
      </c>
      <c r="Q50" s="118">
        <v>242</v>
      </c>
      <c r="R50" s="118">
        <v>2509</v>
      </c>
      <c r="S50" s="118">
        <v>390</v>
      </c>
      <c r="T50" s="118">
        <v>650</v>
      </c>
      <c r="U50" s="118">
        <v>386</v>
      </c>
      <c r="V50" s="118">
        <v>992</v>
      </c>
      <c r="W50" s="118">
        <v>594</v>
      </c>
      <c r="X50" s="118">
        <v>736</v>
      </c>
      <c r="Y50" s="118">
        <v>605</v>
      </c>
      <c r="Z50" s="118">
        <v>568</v>
      </c>
      <c r="AA50" s="118">
        <v>910</v>
      </c>
      <c r="AB50" s="118">
        <v>3726</v>
      </c>
      <c r="AC50" s="118">
        <v>222</v>
      </c>
      <c r="AD50" s="118">
        <v>316</v>
      </c>
      <c r="AE50" s="118">
        <v>507</v>
      </c>
      <c r="AF50" s="118">
        <v>326</v>
      </c>
      <c r="AG50" s="118">
        <v>272</v>
      </c>
      <c r="AH50" s="118">
        <v>712</v>
      </c>
      <c r="AI50" s="118">
        <v>238</v>
      </c>
      <c r="AJ50" s="118">
        <v>472</v>
      </c>
      <c r="AK50" s="118">
        <v>401</v>
      </c>
      <c r="AL50" s="118">
        <v>509</v>
      </c>
      <c r="AM50" s="118">
        <v>321</v>
      </c>
      <c r="AN50" s="118">
        <v>376</v>
      </c>
      <c r="AO50" s="118">
        <v>894</v>
      </c>
      <c r="AP50" s="118">
        <v>202</v>
      </c>
      <c r="AQ50" s="118">
        <v>720</v>
      </c>
      <c r="AR50" s="118">
        <v>526</v>
      </c>
      <c r="AS50" s="118">
        <v>467</v>
      </c>
      <c r="AT50" s="118">
        <v>472</v>
      </c>
      <c r="AU50" s="118">
        <v>834</v>
      </c>
      <c r="AV50" s="118">
        <v>603</v>
      </c>
      <c r="AW50" s="118">
        <v>529</v>
      </c>
      <c r="AX50" s="118">
        <v>981</v>
      </c>
      <c r="AY50" s="118">
        <v>616</v>
      </c>
    </row>
    <row r="51" spans="1:167" x14ac:dyDescent="0.2">
      <c r="B51" s="129" t="s">
        <v>144</v>
      </c>
      <c r="C51" s="118">
        <v>516.19083000000012</v>
      </c>
      <c r="D51" s="118">
        <v>462.70261999999985</v>
      </c>
      <c r="E51" s="118">
        <v>466.46182000000005</v>
      </c>
      <c r="F51" s="118">
        <v>482.41881999999981</v>
      </c>
      <c r="G51" s="118">
        <v>438.00299999999993</v>
      </c>
      <c r="H51" s="118">
        <v>1027.1091700000002</v>
      </c>
      <c r="I51" s="118">
        <v>804.19311000000005</v>
      </c>
      <c r="J51" s="118">
        <v>1156.4695499999993</v>
      </c>
      <c r="K51" s="118">
        <v>1186.3935800000002</v>
      </c>
      <c r="L51" s="118">
        <v>489.26584999999955</v>
      </c>
      <c r="M51" s="118">
        <v>640.3405700000003</v>
      </c>
      <c r="N51" s="118">
        <v>475</v>
      </c>
      <c r="O51" s="118">
        <v>449</v>
      </c>
      <c r="P51" s="118">
        <v>464</v>
      </c>
      <c r="Q51" s="118">
        <v>540</v>
      </c>
      <c r="R51" s="118">
        <v>540</v>
      </c>
      <c r="S51" s="118">
        <v>411</v>
      </c>
      <c r="T51" s="118">
        <v>545</v>
      </c>
      <c r="U51" s="118">
        <v>516</v>
      </c>
      <c r="V51" s="118">
        <v>535</v>
      </c>
      <c r="W51" s="118">
        <v>451</v>
      </c>
      <c r="X51" s="118">
        <v>801</v>
      </c>
      <c r="Y51" s="118">
        <v>632</v>
      </c>
      <c r="Z51" s="118">
        <v>883</v>
      </c>
      <c r="AA51" s="118">
        <v>555</v>
      </c>
      <c r="AB51" s="118">
        <v>191</v>
      </c>
      <c r="AC51" s="118">
        <v>421</v>
      </c>
      <c r="AD51" s="118">
        <v>655</v>
      </c>
      <c r="AE51" s="118">
        <v>358</v>
      </c>
      <c r="AF51" s="118">
        <v>406</v>
      </c>
      <c r="AG51" s="118">
        <v>521</v>
      </c>
      <c r="AH51" s="118">
        <v>739</v>
      </c>
      <c r="AI51" s="118">
        <v>647</v>
      </c>
      <c r="AJ51" s="118">
        <v>694</v>
      </c>
      <c r="AK51" s="118">
        <v>987</v>
      </c>
      <c r="AL51" s="118">
        <v>1055</v>
      </c>
      <c r="AM51" s="118">
        <v>842</v>
      </c>
      <c r="AN51" s="118">
        <v>821</v>
      </c>
      <c r="AO51" s="118">
        <v>839</v>
      </c>
      <c r="AP51" s="118">
        <v>945</v>
      </c>
      <c r="AQ51" s="118">
        <v>818</v>
      </c>
      <c r="AR51" s="118">
        <v>830</v>
      </c>
      <c r="AS51" s="118">
        <v>975</v>
      </c>
      <c r="AT51" s="118">
        <v>755</v>
      </c>
      <c r="AU51" s="118">
        <v>619</v>
      </c>
      <c r="AV51" s="118">
        <v>627</v>
      </c>
      <c r="AW51" s="118">
        <v>704</v>
      </c>
      <c r="AX51" s="118">
        <v>816</v>
      </c>
      <c r="AY51" s="118">
        <v>586</v>
      </c>
    </row>
    <row r="52" spans="1:167" x14ac:dyDescent="0.2">
      <c r="B52" s="129" t="s">
        <v>146</v>
      </c>
      <c r="C52" s="118">
        <v>231.84638000000001</v>
      </c>
      <c r="D52" s="118">
        <v>185.14165999999997</v>
      </c>
      <c r="E52" s="118">
        <v>365.46507000000003</v>
      </c>
      <c r="F52" s="118">
        <v>362.06391000000002</v>
      </c>
      <c r="G52" s="118">
        <v>256.09258999999997</v>
      </c>
      <c r="H52" s="118">
        <v>275.36003000000005</v>
      </c>
      <c r="I52" s="118">
        <v>409.93263000000002</v>
      </c>
      <c r="J52" s="118">
        <v>366.35415999999992</v>
      </c>
      <c r="K52" s="118">
        <v>134.99349000000001</v>
      </c>
      <c r="L52" s="118">
        <v>204.69192999999996</v>
      </c>
      <c r="M52" s="118">
        <v>190.31458000000003</v>
      </c>
      <c r="N52" s="118">
        <v>253</v>
      </c>
      <c r="O52" s="118">
        <v>328</v>
      </c>
      <c r="P52" s="118">
        <v>435</v>
      </c>
      <c r="Q52" s="118">
        <v>590</v>
      </c>
      <c r="R52" s="118">
        <v>536</v>
      </c>
      <c r="S52" s="118">
        <v>395</v>
      </c>
      <c r="T52" s="118">
        <v>516</v>
      </c>
      <c r="U52" s="118">
        <v>437</v>
      </c>
      <c r="V52" s="118">
        <v>516</v>
      </c>
      <c r="W52" s="118">
        <v>412</v>
      </c>
      <c r="X52" s="118">
        <v>441</v>
      </c>
      <c r="Y52" s="118">
        <v>548</v>
      </c>
      <c r="Z52" s="118">
        <v>452</v>
      </c>
      <c r="AA52" s="118">
        <v>377</v>
      </c>
      <c r="AB52" s="118">
        <v>241</v>
      </c>
      <c r="AC52" s="118">
        <v>408</v>
      </c>
      <c r="AD52" s="118">
        <v>187</v>
      </c>
      <c r="AE52" s="118">
        <v>169</v>
      </c>
      <c r="AF52" s="118">
        <v>227</v>
      </c>
      <c r="AG52" s="118">
        <v>196</v>
      </c>
      <c r="AH52" s="118">
        <v>558</v>
      </c>
      <c r="AI52" s="118">
        <v>628</v>
      </c>
      <c r="AJ52" s="118">
        <v>769</v>
      </c>
      <c r="AK52" s="118">
        <v>650</v>
      </c>
      <c r="AL52" s="118">
        <v>719</v>
      </c>
      <c r="AM52" s="118">
        <v>647</v>
      </c>
      <c r="AN52" s="118">
        <v>796</v>
      </c>
      <c r="AO52" s="118">
        <v>798</v>
      </c>
      <c r="AP52" s="118">
        <v>805</v>
      </c>
      <c r="AQ52" s="118">
        <v>601</v>
      </c>
      <c r="AR52" s="118">
        <v>786</v>
      </c>
      <c r="AS52" s="118">
        <v>982</v>
      </c>
      <c r="AT52" s="118">
        <v>1396</v>
      </c>
      <c r="AU52" s="118">
        <v>1061</v>
      </c>
      <c r="AV52" s="118">
        <v>1056</v>
      </c>
      <c r="AW52" s="118">
        <v>1150</v>
      </c>
      <c r="AX52" s="118">
        <v>1349</v>
      </c>
      <c r="AY52" s="118">
        <v>817</v>
      </c>
    </row>
    <row r="53" spans="1:167" x14ac:dyDescent="0.2">
      <c r="B53" s="129" t="s">
        <v>147</v>
      </c>
      <c r="C53" s="118">
        <v>29.600710000000007</v>
      </c>
      <c r="D53" s="118">
        <v>125.34341999999997</v>
      </c>
      <c r="E53" s="118">
        <v>137.31851000000003</v>
      </c>
      <c r="F53" s="118">
        <v>34.009970000000031</v>
      </c>
      <c r="G53" s="118">
        <v>74.650120000000001</v>
      </c>
      <c r="H53" s="118">
        <v>152.62701000000001</v>
      </c>
      <c r="I53" s="118">
        <v>78.771660000000026</v>
      </c>
      <c r="J53" s="118">
        <v>56.562139999999957</v>
      </c>
      <c r="K53" s="118">
        <v>62.890190000000004</v>
      </c>
      <c r="L53" s="118">
        <v>254.18207000000001</v>
      </c>
      <c r="M53" s="118">
        <v>60.927739999999972</v>
      </c>
      <c r="N53" s="118">
        <v>394</v>
      </c>
      <c r="O53" s="118">
        <v>287</v>
      </c>
      <c r="P53" s="118">
        <v>321</v>
      </c>
      <c r="Q53" s="118">
        <v>16</v>
      </c>
      <c r="R53" s="118">
        <v>-28</v>
      </c>
      <c r="S53" s="118">
        <v>277</v>
      </c>
      <c r="T53" s="118">
        <v>137</v>
      </c>
      <c r="U53" s="118">
        <v>142</v>
      </c>
      <c r="V53" s="118">
        <v>87</v>
      </c>
      <c r="W53" s="118">
        <v>97</v>
      </c>
      <c r="X53" s="118">
        <v>49</v>
      </c>
      <c r="Y53" s="118">
        <v>186</v>
      </c>
      <c r="Z53" s="118">
        <v>52</v>
      </c>
      <c r="AA53" s="118">
        <v>201</v>
      </c>
      <c r="AB53" s="118">
        <v>41</v>
      </c>
      <c r="AC53" s="118">
        <v>104</v>
      </c>
      <c r="AD53" s="118">
        <v>128</v>
      </c>
      <c r="AE53" s="118">
        <v>78</v>
      </c>
      <c r="AF53" s="118">
        <v>126</v>
      </c>
      <c r="AG53" s="118">
        <v>92</v>
      </c>
      <c r="AH53" s="118">
        <v>1351</v>
      </c>
      <c r="AI53" s="118">
        <v>120</v>
      </c>
      <c r="AJ53" s="118">
        <v>175</v>
      </c>
      <c r="AK53" s="118">
        <v>29</v>
      </c>
      <c r="AL53" s="118">
        <v>135</v>
      </c>
      <c r="AM53" s="118">
        <v>99</v>
      </c>
      <c r="AN53" s="118">
        <v>319</v>
      </c>
      <c r="AO53" s="118">
        <v>126</v>
      </c>
      <c r="AP53" s="118">
        <v>226</v>
      </c>
      <c r="AQ53" s="118">
        <v>258</v>
      </c>
      <c r="AR53" s="118">
        <v>315</v>
      </c>
      <c r="AS53" s="118">
        <v>308</v>
      </c>
      <c r="AT53" s="118">
        <v>154</v>
      </c>
      <c r="AU53" s="118">
        <v>24</v>
      </c>
      <c r="AV53" s="118">
        <v>111</v>
      </c>
      <c r="AW53" s="118">
        <v>614</v>
      </c>
      <c r="AX53" s="118">
        <v>619</v>
      </c>
      <c r="AY53" s="118">
        <v>628</v>
      </c>
    </row>
    <row r="54" spans="1:167" x14ac:dyDescent="0.2">
      <c r="B54" s="129" t="s">
        <v>145</v>
      </c>
      <c r="C54" s="118">
        <v>390.85480000000007</v>
      </c>
      <c r="D54" s="118">
        <v>416.04982999999982</v>
      </c>
      <c r="E54" s="118">
        <v>97.59880000000004</v>
      </c>
      <c r="F54" s="118">
        <v>79.333199999999948</v>
      </c>
      <c r="G54" s="118">
        <v>344.01079999999996</v>
      </c>
      <c r="H54" s="118">
        <v>208.09657000000001</v>
      </c>
      <c r="I54" s="118">
        <v>96.027200000000065</v>
      </c>
      <c r="J54" s="118">
        <v>116.40803999999991</v>
      </c>
      <c r="K54" s="118">
        <v>61.965000000000003</v>
      </c>
      <c r="L54" s="118">
        <v>412.70000000000005</v>
      </c>
      <c r="M54" s="118">
        <v>31.334999999999923</v>
      </c>
      <c r="N54" s="118">
        <v>35</v>
      </c>
      <c r="O54" s="118">
        <v>29</v>
      </c>
      <c r="P54" s="118">
        <v>423</v>
      </c>
      <c r="Q54" s="118">
        <v>58</v>
      </c>
      <c r="R54" s="118">
        <v>71</v>
      </c>
      <c r="S54" s="118">
        <v>258</v>
      </c>
      <c r="T54" s="118">
        <v>336</v>
      </c>
      <c r="U54" s="118">
        <v>67</v>
      </c>
      <c r="V54" s="118">
        <v>200</v>
      </c>
      <c r="W54" s="118">
        <v>360</v>
      </c>
      <c r="X54" s="118">
        <v>-5</v>
      </c>
      <c r="Y54" s="118">
        <v>41</v>
      </c>
      <c r="Z54" s="118">
        <v>187</v>
      </c>
      <c r="AA54" s="118">
        <v>17</v>
      </c>
      <c r="AB54" s="118">
        <v>4</v>
      </c>
      <c r="AC54" s="118">
        <v>70</v>
      </c>
      <c r="AD54" s="118">
        <v>49</v>
      </c>
      <c r="AE54" s="118">
        <v>194</v>
      </c>
      <c r="AF54" s="118">
        <v>28</v>
      </c>
      <c r="AG54" s="118">
        <v>52</v>
      </c>
      <c r="AH54" s="118">
        <v>40</v>
      </c>
      <c r="AI54" s="118">
        <v>148</v>
      </c>
      <c r="AJ54" s="118">
        <v>192</v>
      </c>
      <c r="AK54" s="118">
        <v>82</v>
      </c>
      <c r="AL54" s="118">
        <v>303</v>
      </c>
      <c r="AM54" s="118">
        <v>1833</v>
      </c>
      <c r="AN54" s="118">
        <v>297</v>
      </c>
      <c r="AO54" s="118">
        <v>300</v>
      </c>
      <c r="AP54" s="118">
        <v>747</v>
      </c>
      <c r="AQ54" s="118">
        <v>305</v>
      </c>
      <c r="AR54" s="118">
        <v>269</v>
      </c>
      <c r="AS54" s="118">
        <v>786</v>
      </c>
      <c r="AT54" s="118">
        <v>427</v>
      </c>
      <c r="AU54" s="118">
        <v>252</v>
      </c>
      <c r="AV54" s="118">
        <v>415</v>
      </c>
      <c r="AW54" s="118">
        <v>296</v>
      </c>
      <c r="AX54" s="118">
        <v>497</v>
      </c>
      <c r="AY54" s="118">
        <v>147</v>
      </c>
    </row>
    <row r="55" spans="1:167" x14ac:dyDescent="0.2">
      <c r="B55" s="129" t="s">
        <v>411</v>
      </c>
      <c r="C55" s="118">
        <v>0</v>
      </c>
      <c r="D55" s="118">
        <v>0</v>
      </c>
      <c r="E55" s="118">
        <v>0</v>
      </c>
      <c r="F55" s="118">
        <v>0</v>
      </c>
      <c r="G55" s="118">
        <v>0</v>
      </c>
      <c r="H55" s="118">
        <v>0</v>
      </c>
      <c r="I55" s="118">
        <v>0</v>
      </c>
      <c r="J55" s="118">
        <v>48.125</v>
      </c>
      <c r="K55" s="118">
        <v>15.85765</v>
      </c>
      <c r="L55" s="118">
        <v>0</v>
      </c>
      <c r="M55" s="118">
        <v>0.14235000000000042</v>
      </c>
      <c r="N55" s="118">
        <v>0</v>
      </c>
      <c r="O55" s="118">
        <v>0</v>
      </c>
      <c r="P55" s="118">
        <v>0</v>
      </c>
      <c r="Q55" s="118">
        <v>0</v>
      </c>
      <c r="R55" s="118">
        <v>0</v>
      </c>
      <c r="S55" s="118">
        <v>0</v>
      </c>
      <c r="T55" s="118">
        <v>473</v>
      </c>
      <c r="U55" s="118">
        <v>0</v>
      </c>
      <c r="V55" s="118">
        <v>3</v>
      </c>
      <c r="W55" s="118">
        <v>0</v>
      </c>
      <c r="X55" s="118">
        <v>2</v>
      </c>
      <c r="Y55" s="118">
        <v>0</v>
      </c>
      <c r="Z55" s="118">
        <v>0</v>
      </c>
      <c r="AA55" s="118">
        <v>0</v>
      </c>
      <c r="AB55" s="118">
        <v>0</v>
      </c>
      <c r="AC55" s="118">
        <v>118</v>
      </c>
      <c r="AD55" s="118">
        <v>0</v>
      </c>
      <c r="AE55" s="118">
        <v>0</v>
      </c>
      <c r="AF55" s="118">
        <v>0</v>
      </c>
      <c r="AG55" s="118">
        <v>0</v>
      </c>
      <c r="AH55" s="118">
        <v>0</v>
      </c>
      <c r="AI55" s="118">
        <v>0</v>
      </c>
      <c r="AJ55" s="118">
        <v>0</v>
      </c>
      <c r="AK55" s="118">
        <v>0</v>
      </c>
      <c r="AL55" s="118">
        <v>0</v>
      </c>
      <c r="AM55" s="118">
        <v>0</v>
      </c>
      <c r="AN55" s="118">
        <v>0</v>
      </c>
      <c r="AO55" s="118">
        <v>0</v>
      </c>
      <c r="AP55" s="118">
        <v>0</v>
      </c>
      <c r="AQ55" s="118">
        <v>2</v>
      </c>
      <c r="AR55" s="118">
        <v>0</v>
      </c>
      <c r="AS55" s="118">
        <v>0</v>
      </c>
      <c r="AT55" s="118">
        <v>-2</v>
      </c>
      <c r="AU55" s="118">
        <v>0</v>
      </c>
      <c r="AV55" s="118">
        <v>0</v>
      </c>
      <c r="AW55" s="118">
        <v>0</v>
      </c>
      <c r="AX55" s="118">
        <v>0</v>
      </c>
      <c r="AY55" s="118">
        <v>0</v>
      </c>
    </row>
    <row r="56" spans="1:167" ht="25.5" x14ac:dyDescent="0.2">
      <c r="B56" s="129" t="s">
        <v>1232</v>
      </c>
      <c r="C56" s="118">
        <v>0</v>
      </c>
      <c r="D56" s="118">
        <v>0</v>
      </c>
      <c r="E56" s="118">
        <v>0</v>
      </c>
      <c r="F56" s="118">
        <v>0</v>
      </c>
      <c r="G56" s="118">
        <v>0</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8">
        <v>0</v>
      </c>
      <c r="Y56" s="118">
        <v>0</v>
      </c>
      <c r="Z56" s="118">
        <v>0</v>
      </c>
      <c r="AA56" s="118">
        <v>0</v>
      </c>
      <c r="AB56" s="118">
        <v>0</v>
      </c>
      <c r="AC56" s="118">
        <v>0</v>
      </c>
      <c r="AD56" s="118">
        <v>0</v>
      </c>
      <c r="AE56" s="118">
        <v>0</v>
      </c>
      <c r="AF56" s="118">
        <v>0</v>
      </c>
      <c r="AG56" s="118">
        <v>0</v>
      </c>
      <c r="AH56" s="118">
        <v>0</v>
      </c>
      <c r="AI56" s="118">
        <v>90</v>
      </c>
      <c r="AJ56" s="118">
        <f>346-AI56</f>
        <v>256</v>
      </c>
      <c r="AK56" s="118">
        <f>275-SUM(AI56:AJ56)</f>
        <v>-71</v>
      </c>
      <c r="AL56" s="118">
        <f>215-SUM(AI56:AK56)</f>
        <v>-60</v>
      </c>
      <c r="AM56" s="118">
        <v>3</v>
      </c>
      <c r="AN56" s="118">
        <v>492</v>
      </c>
      <c r="AO56" s="118">
        <v>66</v>
      </c>
      <c r="AP56" s="118">
        <v>-12</v>
      </c>
      <c r="AQ56" s="118">
        <v>77</v>
      </c>
      <c r="AR56" s="118">
        <v>122</v>
      </c>
      <c r="AS56" s="118">
        <v>640</v>
      </c>
      <c r="AT56" s="118">
        <v>2053</v>
      </c>
      <c r="AU56" s="118">
        <v>677</v>
      </c>
      <c r="AV56" s="118">
        <v>-851</v>
      </c>
      <c r="AW56" s="118">
        <v>-314</v>
      </c>
      <c r="AX56" s="118">
        <v>-468</v>
      </c>
      <c r="AY56" s="118">
        <v>485</v>
      </c>
    </row>
    <row r="57" spans="1:167" x14ac:dyDescent="0.2">
      <c r="B57" s="129" t="s">
        <v>743</v>
      </c>
      <c r="C57" s="118">
        <v>-20373.24884</v>
      </c>
      <c r="D57" s="118">
        <v>-22382.802220000001</v>
      </c>
      <c r="E57" s="118">
        <v>-22131.035759999999</v>
      </c>
      <c r="F57" s="118">
        <v>-24978.858369999998</v>
      </c>
      <c r="G57" s="118">
        <v>-18794.474120000003</v>
      </c>
      <c r="H57" s="118">
        <v>-16819.068389999997</v>
      </c>
      <c r="I57" s="118">
        <v>-16014.576429999999</v>
      </c>
      <c r="J57" s="118">
        <v>-16634.477840000003</v>
      </c>
      <c r="K57" s="118">
        <v>-11783.641019999999</v>
      </c>
      <c r="L57" s="118">
        <v>-13022.94212</v>
      </c>
      <c r="M57" s="118">
        <v>-13936.416860000001</v>
      </c>
      <c r="N57" s="118">
        <v>-14307</v>
      </c>
      <c r="O57" s="118">
        <v>-12303</v>
      </c>
      <c r="P57" s="118">
        <v>-15058</v>
      </c>
      <c r="Q57" s="118">
        <v>-16871</v>
      </c>
      <c r="R57" s="118">
        <v>-44332</v>
      </c>
      <c r="S57" s="118">
        <v>-16779</v>
      </c>
      <c r="T57" s="118">
        <v>-19345</v>
      </c>
      <c r="U57" s="118">
        <v>-21646</v>
      </c>
      <c r="V57" s="118">
        <v>-22825</v>
      </c>
      <c r="W57" s="118">
        <v>-18565</v>
      </c>
      <c r="X57" s="118">
        <v>-20114</v>
      </c>
      <c r="Y57" s="118">
        <v>-18988</v>
      </c>
      <c r="Z57" s="118">
        <v>-22264</v>
      </c>
      <c r="AA57" s="118">
        <v>-16337</v>
      </c>
      <c r="AB57" s="118">
        <v>-6028</v>
      </c>
      <c r="AC57" s="118">
        <v>-16895</v>
      </c>
      <c r="AD57" s="118">
        <v>-18402</v>
      </c>
      <c r="AE57" s="118">
        <v>-13540</v>
      </c>
      <c r="AF57" s="118">
        <v>-14467</v>
      </c>
      <c r="AG57" s="118">
        <v>-12735</v>
      </c>
      <c r="AH57" s="118">
        <v>-17937</v>
      </c>
      <c r="AI57" s="118">
        <v>-13629</v>
      </c>
      <c r="AJ57" s="118">
        <v>-17473</v>
      </c>
      <c r="AK57" s="118">
        <v>-24449</v>
      </c>
      <c r="AL57" s="118">
        <v>-23624</v>
      </c>
      <c r="AM57" s="118">
        <v>-18459</v>
      </c>
      <c r="AN57" s="118">
        <v>-20444</v>
      </c>
      <c r="AO57" s="118">
        <v>-23636</v>
      </c>
      <c r="AP57" s="118">
        <v>-25578</v>
      </c>
      <c r="AQ57" s="118">
        <v>-21204</v>
      </c>
      <c r="AR57" s="118">
        <v>-26952</v>
      </c>
      <c r="AS57" s="118">
        <v>-36876</v>
      </c>
      <c r="AT57" s="118">
        <v>-35740</v>
      </c>
      <c r="AU57" s="118">
        <v>-24636</v>
      </c>
      <c r="AV57" s="118">
        <v>-30847</v>
      </c>
      <c r="AW57" s="118">
        <v>-36640</v>
      </c>
      <c r="AX57" s="118">
        <v>-36974</v>
      </c>
      <c r="AY57" s="118">
        <v>-30317</v>
      </c>
    </row>
    <row r="58" spans="1:167" s="248" customFormat="1" ht="14.25" hidden="1" customHeight="1" outlineLevel="1" x14ac:dyDescent="0.2">
      <c r="A58" s="232"/>
      <c r="B58" s="249" t="s">
        <v>489</v>
      </c>
      <c r="C58" s="218">
        <v>0</v>
      </c>
      <c r="D58" s="218">
        <v>0</v>
      </c>
      <c r="E58" s="218">
        <v>0</v>
      </c>
      <c r="F58" s="218">
        <v>0</v>
      </c>
      <c r="G58" s="218">
        <v>0</v>
      </c>
      <c r="H58" s="218">
        <v>0</v>
      </c>
      <c r="I58" s="218">
        <v>0</v>
      </c>
      <c r="J58" s="218">
        <v>0</v>
      </c>
      <c r="K58" s="218">
        <v>0</v>
      </c>
      <c r="L58" s="218">
        <v>0</v>
      </c>
      <c r="M58" s="218">
        <v>0</v>
      </c>
      <c r="N58" s="218">
        <v>0</v>
      </c>
      <c r="O58" s="218">
        <v>0</v>
      </c>
      <c r="P58" s="218">
        <v>0</v>
      </c>
      <c r="Q58" s="218">
        <v>0</v>
      </c>
      <c r="R58" s="218">
        <v>0</v>
      </c>
      <c r="S58" s="218">
        <v>0</v>
      </c>
      <c r="T58" s="218">
        <v>0</v>
      </c>
      <c r="U58" s="218">
        <v>0</v>
      </c>
      <c r="V58" s="218">
        <v>0</v>
      </c>
      <c r="W58" s="218">
        <v>0</v>
      </c>
      <c r="X58" s="218"/>
      <c r="Y58" s="218">
        <v>0</v>
      </c>
      <c r="Z58" s="218">
        <v>0</v>
      </c>
      <c r="AA58" s="218">
        <v>0</v>
      </c>
      <c r="AB58" s="218">
        <v>0</v>
      </c>
      <c r="AC58" s="218">
        <v>0</v>
      </c>
      <c r="AD58" s="218">
        <v>0</v>
      </c>
      <c r="AE58" s="218">
        <v>0</v>
      </c>
      <c r="AF58" s="218">
        <v>0</v>
      </c>
      <c r="AG58" s="218">
        <v>0</v>
      </c>
      <c r="AH58" s="218"/>
      <c r="AI58" s="218">
        <v>0</v>
      </c>
      <c r="AJ58" s="218">
        <v>0</v>
      </c>
      <c r="AK58" s="218">
        <v>0</v>
      </c>
      <c r="AL58" s="218">
        <v>0</v>
      </c>
      <c r="AM58" s="218">
        <v>0</v>
      </c>
      <c r="AN58" s="218">
        <v>0</v>
      </c>
      <c r="AO58" s="218">
        <v>0</v>
      </c>
      <c r="AP58" s="218">
        <v>0</v>
      </c>
      <c r="AQ58" s="218">
        <v>0</v>
      </c>
      <c r="AR58" s="218"/>
      <c r="AS58" s="218"/>
      <c r="AT58" s="218">
        <v>0</v>
      </c>
      <c r="AU58" s="218"/>
      <c r="AV58" s="218">
        <v>0</v>
      </c>
      <c r="AW58" s="218">
        <v>0</v>
      </c>
      <c r="AX58" s="218">
        <v>0</v>
      </c>
      <c r="AY58" s="118" t="e">
        <v>#N/A</v>
      </c>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row>
    <row r="59" spans="1:167" s="248" customFormat="1" ht="26.25" hidden="1" customHeight="1" outlineLevel="1" x14ac:dyDescent="0.2">
      <c r="A59" s="232"/>
      <c r="B59" s="249" t="s">
        <v>795</v>
      </c>
      <c r="C59" s="218">
        <v>0</v>
      </c>
      <c r="D59" s="218">
        <v>0</v>
      </c>
      <c r="E59" s="218">
        <v>0</v>
      </c>
      <c r="F59" s="218">
        <v>0</v>
      </c>
      <c r="G59" s="218">
        <v>0</v>
      </c>
      <c r="H59" s="218">
        <v>0</v>
      </c>
      <c r="I59" s="218">
        <v>0</v>
      </c>
      <c r="J59" s="218">
        <v>0</v>
      </c>
      <c r="K59" s="218">
        <v>0</v>
      </c>
      <c r="L59" s="218">
        <v>0</v>
      </c>
      <c r="M59" s="218">
        <v>0</v>
      </c>
      <c r="N59" s="218">
        <v>0</v>
      </c>
      <c r="O59" s="218">
        <v>0</v>
      </c>
      <c r="P59" s="218">
        <v>0</v>
      </c>
      <c r="Q59" s="218">
        <v>5733</v>
      </c>
      <c r="R59" s="218">
        <v>5731</v>
      </c>
      <c r="S59" s="218">
        <v>0</v>
      </c>
      <c r="T59" s="218">
        <v>0</v>
      </c>
      <c r="U59" s="218">
        <v>0</v>
      </c>
      <c r="V59" s="218">
        <v>0</v>
      </c>
      <c r="W59" s="218">
        <v>0</v>
      </c>
      <c r="X59" s="218"/>
      <c r="Y59" s="218">
        <v>0</v>
      </c>
      <c r="Z59" s="218">
        <v>0</v>
      </c>
      <c r="AA59" s="218">
        <v>0</v>
      </c>
      <c r="AB59" s="218">
        <v>0</v>
      </c>
      <c r="AC59" s="218">
        <v>0</v>
      </c>
      <c r="AD59" s="218">
        <v>0</v>
      </c>
      <c r="AE59" s="218">
        <v>0</v>
      </c>
      <c r="AF59" s="218">
        <v>0</v>
      </c>
      <c r="AG59" s="218">
        <v>0</v>
      </c>
      <c r="AH59" s="218"/>
      <c r="AI59" s="218">
        <v>0</v>
      </c>
      <c r="AJ59" s="218">
        <v>0</v>
      </c>
      <c r="AK59" s="218">
        <v>0</v>
      </c>
      <c r="AL59" s="218">
        <v>0</v>
      </c>
      <c r="AM59" s="218">
        <v>0</v>
      </c>
      <c r="AN59" s="218">
        <v>0</v>
      </c>
      <c r="AO59" s="218">
        <v>0</v>
      </c>
      <c r="AP59" s="218">
        <v>0</v>
      </c>
      <c r="AQ59" s="218">
        <v>0</v>
      </c>
      <c r="AR59" s="218"/>
      <c r="AS59" s="218"/>
      <c r="AT59" s="218">
        <v>0</v>
      </c>
      <c r="AU59" s="218"/>
      <c r="AV59" s="218">
        <v>0</v>
      </c>
      <c r="AW59" s="218">
        <v>0</v>
      </c>
      <c r="AX59" s="218">
        <v>0</v>
      </c>
      <c r="AY59" s="118" t="e">
        <v>#N/A</v>
      </c>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s="248" customFormat="1" ht="14.25" hidden="1" customHeight="1" outlineLevel="1" x14ac:dyDescent="0.2">
      <c r="A60" s="232"/>
      <c r="B60" s="249" t="s">
        <v>490</v>
      </c>
      <c r="C60" s="218">
        <v>0</v>
      </c>
      <c r="D60" s="218">
        <v>0</v>
      </c>
      <c r="E60" s="218">
        <v>0</v>
      </c>
      <c r="F60" s="218">
        <v>-808.30926999999997</v>
      </c>
      <c r="G60" s="218">
        <v>0</v>
      </c>
      <c r="H60" s="218">
        <v>0</v>
      </c>
      <c r="I60" s="218">
        <v>0</v>
      </c>
      <c r="J60" s="218">
        <v>0</v>
      </c>
      <c r="K60" s="218">
        <v>0</v>
      </c>
      <c r="L60" s="218">
        <v>0</v>
      </c>
      <c r="M60" s="218">
        <v>0</v>
      </c>
      <c r="N60" s="218">
        <v>0</v>
      </c>
      <c r="O60" s="218">
        <v>0</v>
      </c>
      <c r="P60" s="218">
        <v>0</v>
      </c>
      <c r="Q60" s="218">
        <v>0</v>
      </c>
      <c r="R60" s="218">
        <v>0</v>
      </c>
      <c r="S60" s="218">
        <v>0</v>
      </c>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collapsed="1" x14ac:dyDescent="0.2">
      <c r="B61" s="126" t="s">
        <v>148</v>
      </c>
      <c r="C61" s="120">
        <f>SUM(C35:C36,C37:C57)</f>
        <v>255024.56138999999</v>
      </c>
      <c r="D61" s="120">
        <f>SUM(D35:D36,D37:D57)</f>
        <v>271653.07647999987</v>
      </c>
      <c r="E61" s="120">
        <f>SUM(E35:E36,E37:E57)</f>
        <v>271442.68369999994</v>
      </c>
      <c r="F61" s="120">
        <f>SUM(F35:F36,F37:F60)</f>
        <v>294049.43739999994</v>
      </c>
      <c r="G61" s="120">
        <f t="shared" ref="G61:Z61" si="8">SUM(G35:G36,G37:G57)</f>
        <v>223124.80430999992</v>
      </c>
      <c r="H61" s="120">
        <f t="shared" si="8"/>
        <v>216383.8612000001</v>
      </c>
      <c r="I61" s="120">
        <f t="shared" si="8"/>
        <v>209808.37304999994</v>
      </c>
      <c r="J61" s="120">
        <f t="shared" si="8"/>
        <v>213821.11607999983</v>
      </c>
      <c r="K61" s="120">
        <f t="shared" si="8"/>
        <v>160448.57318000001</v>
      </c>
      <c r="L61" s="120">
        <f t="shared" si="8"/>
        <v>182066.51512999999</v>
      </c>
      <c r="M61" s="120">
        <f t="shared" si="8"/>
        <v>183685.91169000001</v>
      </c>
      <c r="N61" s="120">
        <f t="shared" si="8"/>
        <v>192098</v>
      </c>
      <c r="O61" s="120">
        <f t="shared" si="8"/>
        <v>165901</v>
      </c>
      <c r="P61" s="120">
        <f t="shared" si="8"/>
        <v>196210</v>
      </c>
      <c r="Q61" s="120">
        <f t="shared" si="8"/>
        <v>218099</v>
      </c>
      <c r="R61" s="120">
        <f t="shared" si="8"/>
        <v>217577</v>
      </c>
      <c r="S61" s="120">
        <f t="shared" si="8"/>
        <v>205487</v>
      </c>
      <c r="T61" s="120">
        <f t="shared" si="8"/>
        <v>228423</v>
      </c>
      <c r="U61" s="120">
        <f t="shared" si="8"/>
        <v>255772</v>
      </c>
      <c r="V61" s="120">
        <f t="shared" si="8"/>
        <v>272054</v>
      </c>
      <c r="W61" s="120">
        <f t="shared" si="8"/>
        <v>226082</v>
      </c>
      <c r="X61" s="120">
        <f t="shared" si="8"/>
        <v>245542</v>
      </c>
      <c r="Y61" s="120">
        <f t="shared" si="8"/>
        <v>254357</v>
      </c>
      <c r="Z61" s="120">
        <f t="shared" si="8"/>
        <v>278006</v>
      </c>
      <c r="AA61" s="120">
        <f t="shared" ref="AA61:AJ61" si="9">SUM(AA35:AA36,AA37:AA57)</f>
        <v>214681</v>
      </c>
      <c r="AB61" s="120">
        <f t="shared" si="9"/>
        <v>105616</v>
      </c>
      <c r="AC61" s="120">
        <f t="shared" si="9"/>
        <v>205107</v>
      </c>
      <c r="AD61" s="120">
        <f t="shared" si="9"/>
        <v>229827</v>
      </c>
      <c r="AE61" s="120">
        <f t="shared" si="9"/>
        <v>174329</v>
      </c>
      <c r="AF61" s="120">
        <f t="shared" si="9"/>
        <v>172922</v>
      </c>
      <c r="AG61" s="120">
        <f t="shared" si="9"/>
        <v>171030</v>
      </c>
      <c r="AH61" s="120">
        <f t="shared" si="9"/>
        <v>229549</v>
      </c>
      <c r="AI61" s="120">
        <f t="shared" si="9"/>
        <v>180597</v>
      </c>
      <c r="AJ61" s="120">
        <f t="shared" si="9"/>
        <v>223505</v>
      </c>
      <c r="AK61" s="120">
        <f t="shared" ref="AK61:AR61" si="10">SUM(AK35:AK36,AK37:AK57)</f>
        <v>288858</v>
      </c>
      <c r="AL61" s="120">
        <f t="shared" si="10"/>
        <v>294983</v>
      </c>
      <c r="AM61" s="120">
        <f t="shared" si="10"/>
        <v>241455</v>
      </c>
      <c r="AN61" s="120">
        <f t="shared" si="10"/>
        <v>270865</v>
      </c>
      <c r="AO61" s="120">
        <f t="shared" si="10"/>
        <v>304473</v>
      </c>
      <c r="AP61" s="120">
        <f t="shared" si="10"/>
        <v>331645</v>
      </c>
      <c r="AQ61" s="120">
        <f t="shared" si="10"/>
        <v>279739</v>
      </c>
      <c r="AR61" s="120">
        <f t="shared" si="10"/>
        <v>347418</v>
      </c>
      <c r="AS61" s="120">
        <f t="shared" ref="AS61:AX61" si="11">SUM(AS35:AS36,AS37:AS57)</f>
        <v>446744</v>
      </c>
      <c r="AT61" s="120">
        <f t="shared" si="11"/>
        <v>469321</v>
      </c>
      <c r="AU61" s="120">
        <f t="shared" si="11"/>
        <v>339004</v>
      </c>
      <c r="AV61" s="120">
        <f t="shared" si="11"/>
        <v>411931</v>
      </c>
      <c r="AW61" s="120">
        <f t="shared" si="11"/>
        <v>488855</v>
      </c>
      <c r="AX61" s="120">
        <f t="shared" si="11"/>
        <v>491153</v>
      </c>
      <c r="AY61" s="120">
        <f>SUM(AY35:AY36,AY37:AY57)</f>
        <v>416681</v>
      </c>
    </row>
    <row r="62" spans="1:167" x14ac:dyDescent="0.2">
      <c r="B62" s="31"/>
      <c r="C62" s="31"/>
      <c r="D62" s="31"/>
      <c r="E62" s="30"/>
      <c r="F62" s="30"/>
      <c r="G62" s="30"/>
      <c r="H62" s="30"/>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row>
    <row r="63" spans="1:167" x14ac:dyDescent="0.2">
      <c r="B63" s="115" t="s">
        <v>98</v>
      </c>
      <c r="C63" s="115" t="str">
        <f t="shared" ref="C63:W63" si="12">C5</f>
        <v>1T14</v>
      </c>
      <c r="D63" s="115" t="str">
        <f t="shared" si="12"/>
        <v>2T14</v>
      </c>
      <c r="E63" s="115" t="str">
        <f t="shared" si="12"/>
        <v>3T14</v>
      </c>
      <c r="F63" s="115" t="str">
        <f t="shared" si="12"/>
        <v>4T14</v>
      </c>
      <c r="G63" s="115" t="str">
        <f t="shared" si="12"/>
        <v>1T15</v>
      </c>
      <c r="H63" s="115" t="str">
        <f t="shared" si="12"/>
        <v>2T15</v>
      </c>
      <c r="I63" s="115" t="str">
        <f t="shared" si="12"/>
        <v>3T15</v>
      </c>
      <c r="J63" s="115" t="str">
        <f t="shared" si="12"/>
        <v>4T15</v>
      </c>
      <c r="K63" s="115" t="str">
        <f t="shared" si="12"/>
        <v>1T16</v>
      </c>
      <c r="L63" s="115" t="str">
        <f t="shared" si="12"/>
        <v>2T16</v>
      </c>
      <c r="M63" s="115" t="str">
        <f t="shared" si="12"/>
        <v>3T16</v>
      </c>
      <c r="N63" s="115" t="str">
        <f t="shared" si="12"/>
        <v>4T16</v>
      </c>
      <c r="O63" s="115" t="str">
        <f t="shared" si="12"/>
        <v>1T17</v>
      </c>
      <c r="P63" s="115" t="str">
        <f t="shared" si="12"/>
        <v>2T17</v>
      </c>
      <c r="Q63" s="115" t="str">
        <f t="shared" si="12"/>
        <v>3T17</v>
      </c>
      <c r="R63" s="115" t="str">
        <f t="shared" si="12"/>
        <v>4T17</v>
      </c>
      <c r="S63" s="115" t="str">
        <f t="shared" si="12"/>
        <v>1T18</v>
      </c>
      <c r="T63" s="115" t="str">
        <f t="shared" si="12"/>
        <v>2T18</v>
      </c>
      <c r="U63" s="115" t="str">
        <f t="shared" si="12"/>
        <v>3T18</v>
      </c>
      <c r="V63" s="115" t="str">
        <f t="shared" si="12"/>
        <v>4T18</v>
      </c>
      <c r="W63" s="115" t="str">
        <f t="shared" si="12"/>
        <v>1T19</v>
      </c>
      <c r="X63" s="115" t="str">
        <f t="shared" ref="X63:AC63" si="13">X5</f>
        <v>2T19</v>
      </c>
      <c r="Y63" s="115" t="str">
        <f t="shared" si="13"/>
        <v>3T19</v>
      </c>
      <c r="Z63" s="115" t="str">
        <f t="shared" si="13"/>
        <v>4T19</v>
      </c>
      <c r="AA63" s="115" t="str">
        <f t="shared" si="13"/>
        <v>1T20</v>
      </c>
      <c r="AB63" s="115" t="str">
        <f t="shared" si="13"/>
        <v>2T20</v>
      </c>
      <c r="AC63" s="115" t="str">
        <f t="shared" si="13"/>
        <v>3T20</v>
      </c>
      <c r="AD63" s="115" t="str">
        <f t="shared" ref="AD63:AJ63" si="14">AD5</f>
        <v>4T20</v>
      </c>
      <c r="AE63" s="115" t="str">
        <f t="shared" si="14"/>
        <v>1T21</v>
      </c>
      <c r="AF63" s="115" t="str">
        <f t="shared" si="14"/>
        <v>2T21</v>
      </c>
      <c r="AG63" s="115" t="str">
        <f t="shared" si="14"/>
        <v>3T21</v>
      </c>
      <c r="AH63" s="115" t="str">
        <f t="shared" si="14"/>
        <v>4T21</v>
      </c>
      <c r="AI63" s="115" t="str">
        <f>AI5</f>
        <v>1T22</v>
      </c>
      <c r="AJ63" s="115" t="str">
        <f t="shared" si="14"/>
        <v>2T22</v>
      </c>
      <c r="AK63" s="115" t="str">
        <f t="shared" ref="AK63:AQ63" si="15">AK5</f>
        <v>3T22</v>
      </c>
      <c r="AL63" s="115" t="str">
        <f t="shared" si="15"/>
        <v>4T22</v>
      </c>
      <c r="AM63" s="115" t="str">
        <f t="shared" si="15"/>
        <v>1T23</v>
      </c>
      <c r="AN63" s="115" t="str">
        <f t="shared" si="15"/>
        <v>2T23</v>
      </c>
      <c r="AO63" s="115" t="str">
        <f t="shared" si="15"/>
        <v>3T23</v>
      </c>
      <c r="AP63" s="115" t="str">
        <f t="shared" si="15"/>
        <v>4T23</v>
      </c>
      <c r="AQ63" s="115" t="str">
        <f t="shared" si="15"/>
        <v>1T24</v>
      </c>
      <c r="AR63" s="115" t="str">
        <f t="shared" ref="AR63:AY63" si="16">AR5</f>
        <v>2T24</v>
      </c>
      <c r="AS63" s="115" t="str">
        <f t="shared" si="16"/>
        <v>3T24</v>
      </c>
      <c r="AT63" s="115" t="str">
        <f t="shared" si="16"/>
        <v>4T24</v>
      </c>
      <c r="AU63" s="115" t="str">
        <f t="shared" si="16"/>
        <v>1T25</v>
      </c>
      <c r="AV63" s="115" t="str">
        <f t="shared" si="16"/>
        <v>2T25</v>
      </c>
      <c r="AW63" s="115" t="str">
        <f t="shared" si="16"/>
        <v>3T25</v>
      </c>
      <c r="AX63" s="115" t="str">
        <f t="shared" si="16"/>
        <v>4T25</v>
      </c>
      <c r="AY63" s="115" t="str">
        <f t="shared" si="16"/>
        <v>1T26</v>
      </c>
    </row>
    <row r="64" spans="1:167" x14ac:dyDescent="0.2">
      <c r="B64" s="129" t="s">
        <v>131</v>
      </c>
      <c r="C64" s="118">
        <f t="shared" ref="C64:M64" si="17">+C6-C35</f>
        <v>16161.738630000007</v>
      </c>
      <c r="D64" s="118">
        <f t="shared" si="17"/>
        <v>14008.906010000006</v>
      </c>
      <c r="E64" s="118">
        <f t="shared" si="17"/>
        <v>13561.259239999839</v>
      </c>
      <c r="F64" s="118">
        <f t="shared" si="17"/>
        <v>11844.834342599992</v>
      </c>
      <c r="G64" s="118">
        <f t="shared" si="17"/>
        <v>12962.919023950031</v>
      </c>
      <c r="H64" s="118">
        <f t="shared" si="17"/>
        <v>13920.010076749924</v>
      </c>
      <c r="I64" s="118">
        <f t="shared" si="17"/>
        <v>13535.222437950084</v>
      </c>
      <c r="J64" s="118">
        <f t="shared" si="17"/>
        <v>11476.550680000073</v>
      </c>
      <c r="K64" s="118">
        <f t="shared" si="17"/>
        <v>6730.5498399999924</v>
      </c>
      <c r="L64" s="118">
        <f t="shared" si="17"/>
        <v>7979.3556100000278</v>
      </c>
      <c r="M64" s="118">
        <f t="shared" si="17"/>
        <v>7153.0945499999798</v>
      </c>
      <c r="N64" s="118">
        <v>7710</v>
      </c>
      <c r="O64" s="118">
        <v>6778</v>
      </c>
      <c r="P64" s="118">
        <v>7058</v>
      </c>
      <c r="Q64" s="118">
        <f t="shared" ref="Q64:AJ64" si="18">+Q6-Q35</f>
        <v>6582</v>
      </c>
      <c r="R64" s="118">
        <f t="shared" si="18"/>
        <v>7241</v>
      </c>
      <c r="S64" s="118">
        <f t="shared" si="18"/>
        <v>7457</v>
      </c>
      <c r="T64" s="118">
        <f t="shared" si="18"/>
        <v>6146</v>
      </c>
      <c r="U64" s="118">
        <f t="shared" si="18"/>
        <v>7960</v>
      </c>
      <c r="V64" s="118">
        <f t="shared" si="18"/>
        <v>8421</v>
      </c>
      <c r="W64" s="118">
        <f t="shared" si="18"/>
        <v>9371</v>
      </c>
      <c r="X64" s="118">
        <f t="shared" si="18"/>
        <v>17988</v>
      </c>
      <c r="Y64" s="118">
        <f t="shared" si="18"/>
        <v>18493</v>
      </c>
      <c r="Z64" s="118">
        <f t="shared" si="18"/>
        <v>19334</v>
      </c>
      <c r="AA64" s="118">
        <f t="shared" si="18"/>
        <v>18754</v>
      </c>
      <c r="AB64" s="118">
        <f t="shared" si="18"/>
        <v>15065</v>
      </c>
      <c r="AC64" s="118">
        <f t="shared" si="18"/>
        <v>20821</v>
      </c>
      <c r="AD64" s="118">
        <f t="shared" si="18"/>
        <v>23554</v>
      </c>
      <c r="AE64" s="118">
        <f t="shared" si="18"/>
        <v>22646</v>
      </c>
      <c r="AF64" s="118">
        <f t="shared" si="18"/>
        <v>27510</v>
      </c>
      <c r="AG64" s="118">
        <f t="shared" si="18"/>
        <v>26319</v>
      </c>
      <c r="AH64" s="118">
        <f t="shared" si="18"/>
        <v>26013</v>
      </c>
      <c r="AI64" s="118">
        <f t="shared" si="18"/>
        <v>28003</v>
      </c>
      <c r="AJ64" s="118">
        <f t="shared" si="18"/>
        <v>33280</v>
      </c>
      <c r="AK64" s="118">
        <f t="shared" ref="AK64:AQ65" si="19">+AK6-AK35</f>
        <v>37543</v>
      </c>
      <c r="AL64" s="118">
        <f t="shared" si="19"/>
        <v>40987</v>
      </c>
      <c r="AM64" s="118">
        <f t="shared" si="19"/>
        <v>41350</v>
      </c>
      <c r="AN64" s="118">
        <f t="shared" si="19"/>
        <v>39306</v>
      </c>
      <c r="AO64" s="118">
        <f t="shared" si="19"/>
        <v>45378</v>
      </c>
      <c r="AP64" s="118">
        <f t="shared" si="19"/>
        <v>45679</v>
      </c>
      <c r="AQ64" s="118">
        <f t="shared" si="19"/>
        <v>43649</v>
      </c>
      <c r="AR64" s="118">
        <f t="shared" ref="AR64:AT65" si="20">+AR6-AR35</f>
        <v>34088</v>
      </c>
      <c r="AS64" s="118">
        <f t="shared" si="20"/>
        <v>24310</v>
      </c>
      <c r="AT64" s="118">
        <f t="shared" si="20"/>
        <v>23761</v>
      </c>
      <c r="AU64" s="118">
        <v>25960</v>
      </c>
      <c r="AV64" s="118">
        <v>27044</v>
      </c>
      <c r="AW64" s="118">
        <v>21492</v>
      </c>
      <c r="AX64" s="118">
        <f>+AX6-AX35</f>
        <v>26227</v>
      </c>
      <c r="AY64" s="118">
        <f>+AY6-AY35</f>
        <v>27765</v>
      </c>
    </row>
    <row r="65" spans="2:121" x14ac:dyDescent="0.2">
      <c r="B65" s="129" t="s">
        <v>132</v>
      </c>
      <c r="C65" s="118">
        <f t="shared" ref="C65:M65" si="21">+C7-C36</f>
        <v>5234.9092500000006</v>
      </c>
      <c r="D65" s="118">
        <f t="shared" si="21"/>
        <v>4278.7792399999998</v>
      </c>
      <c r="E65" s="118">
        <f t="shared" si="21"/>
        <v>4337.0035399999979</v>
      </c>
      <c r="F65" s="118">
        <f t="shared" si="21"/>
        <v>4755.2809300000081</v>
      </c>
      <c r="G65" s="118">
        <f t="shared" si="21"/>
        <v>4361.6043300000019</v>
      </c>
      <c r="H65" s="118">
        <f t="shared" si="21"/>
        <v>4213.9295999999995</v>
      </c>
      <c r="I65" s="118">
        <f t="shared" si="21"/>
        <v>4386.1621399999931</v>
      </c>
      <c r="J65" s="118">
        <f t="shared" si="21"/>
        <v>4213.220319999964</v>
      </c>
      <c r="K65" s="118">
        <f t="shared" si="21"/>
        <v>3870.2945699999964</v>
      </c>
      <c r="L65" s="118">
        <f t="shared" si="21"/>
        <v>3834.4575000000132</v>
      </c>
      <c r="M65" s="118">
        <f t="shared" si="21"/>
        <v>3974.2479299999904</v>
      </c>
      <c r="N65" s="118">
        <v>3257</v>
      </c>
      <c r="O65" s="118">
        <v>3741</v>
      </c>
      <c r="P65" s="118">
        <v>4033</v>
      </c>
      <c r="Q65" s="118">
        <f t="shared" ref="Q65:AJ65" si="22">+Q7-Q36</f>
        <v>4153</v>
      </c>
      <c r="R65" s="118">
        <f t="shared" si="22"/>
        <v>4538</v>
      </c>
      <c r="S65" s="118">
        <f t="shared" si="22"/>
        <v>3350</v>
      </c>
      <c r="T65" s="118">
        <f t="shared" si="22"/>
        <v>2825</v>
      </c>
      <c r="U65" s="118">
        <f t="shared" si="22"/>
        <v>2920</v>
      </c>
      <c r="V65" s="118">
        <f t="shared" si="22"/>
        <v>3002</v>
      </c>
      <c r="W65" s="118">
        <f t="shared" si="22"/>
        <v>2348</v>
      </c>
      <c r="X65" s="118">
        <f t="shared" si="22"/>
        <v>2835</v>
      </c>
      <c r="Y65" s="118">
        <f t="shared" si="22"/>
        <v>2847</v>
      </c>
      <c r="Z65" s="118">
        <f t="shared" si="22"/>
        <v>3062</v>
      </c>
      <c r="AA65" s="118">
        <f t="shared" si="22"/>
        <v>2896</v>
      </c>
      <c r="AB65" s="118">
        <f t="shared" si="22"/>
        <v>3258</v>
      </c>
      <c r="AC65" s="118">
        <f t="shared" si="22"/>
        <v>3277</v>
      </c>
      <c r="AD65" s="118">
        <f t="shared" si="22"/>
        <v>2677</v>
      </c>
      <c r="AE65" s="118">
        <f t="shared" si="22"/>
        <v>3097</v>
      </c>
      <c r="AF65" s="118">
        <f t="shared" si="22"/>
        <v>2841</v>
      </c>
      <c r="AG65" s="118">
        <f t="shared" si="22"/>
        <v>2702</v>
      </c>
      <c r="AH65" s="118">
        <f t="shared" si="22"/>
        <v>3408</v>
      </c>
      <c r="AI65" s="118">
        <f t="shared" si="22"/>
        <v>3141</v>
      </c>
      <c r="AJ65" s="118">
        <f t="shared" si="22"/>
        <v>3863</v>
      </c>
      <c r="AK65" s="118">
        <f t="shared" si="19"/>
        <v>4023</v>
      </c>
      <c r="AL65" s="118">
        <f t="shared" si="19"/>
        <v>3013</v>
      </c>
      <c r="AM65" s="118">
        <f t="shared" si="19"/>
        <v>2596</v>
      </c>
      <c r="AN65" s="118">
        <f t="shared" si="19"/>
        <v>2886</v>
      </c>
      <c r="AO65" s="118">
        <f t="shared" si="19"/>
        <v>2999</v>
      </c>
      <c r="AP65" s="118">
        <f t="shared" si="19"/>
        <v>2993</v>
      </c>
      <c r="AQ65" s="118">
        <f t="shared" si="19"/>
        <v>3653</v>
      </c>
      <c r="AR65" s="118">
        <f t="shared" si="20"/>
        <v>4108</v>
      </c>
      <c r="AS65" s="118">
        <f t="shared" si="20"/>
        <v>4127</v>
      </c>
      <c r="AT65" s="118">
        <f t="shared" si="20"/>
        <v>4411</v>
      </c>
      <c r="AU65" s="118">
        <v>4412</v>
      </c>
      <c r="AV65" s="118">
        <v>4727</v>
      </c>
      <c r="AW65" s="118">
        <v>4905</v>
      </c>
      <c r="AX65" s="118">
        <f>+AX7-AX36</f>
        <v>5064</v>
      </c>
      <c r="AY65" s="118">
        <f>+AY7-AY36</f>
        <v>5007</v>
      </c>
    </row>
    <row r="66" spans="2:121" x14ac:dyDescent="0.2">
      <c r="B66" s="129" t="s">
        <v>134</v>
      </c>
      <c r="C66" s="118">
        <f t="shared" ref="C66:M66" si="23">+C9-C37</f>
        <v>2465.9611100000002</v>
      </c>
      <c r="D66" s="118">
        <f t="shared" si="23"/>
        <v>2786.9623199999951</v>
      </c>
      <c r="E66" s="118">
        <f t="shared" si="23"/>
        <v>2993.9922600000045</v>
      </c>
      <c r="F66" s="118">
        <f t="shared" si="23"/>
        <v>2832.7744300000068</v>
      </c>
      <c r="G66" s="118">
        <f t="shared" si="23"/>
        <v>2289.8979599999993</v>
      </c>
      <c r="H66" s="118">
        <f t="shared" si="23"/>
        <v>2400.9921099999992</v>
      </c>
      <c r="I66" s="118">
        <f t="shared" si="23"/>
        <v>2551.4174900000044</v>
      </c>
      <c r="J66" s="118">
        <f t="shared" si="23"/>
        <v>2063.491479999996</v>
      </c>
      <c r="K66" s="118">
        <f t="shared" si="23"/>
        <v>2198.4523300000001</v>
      </c>
      <c r="L66" s="118">
        <f t="shared" si="23"/>
        <v>2474.9047699999974</v>
      </c>
      <c r="M66" s="118">
        <f t="shared" si="23"/>
        <v>2355.6429000000026</v>
      </c>
      <c r="N66" s="118">
        <v>1144</v>
      </c>
      <c r="O66" s="118">
        <v>2266</v>
      </c>
      <c r="P66" s="118">
        <v>2680</v>
      </c>
      <c r="Q66" s="118">
        <f t="shared" ref="Q66:W66" si="24">+Q9-Q37</f>
        <v>2110</v>
      </c>
      <c r="R66" s="118">
        <f t="shared" si="24"/>
        <v>2314</v>
      </c>
      <c r="S66" s="118">
        <f t="shared" si="24"/>
        <v>2029</v>
      </c>
      <c r="T66" s="118">
        <f t="shared" si="24"/>
        <v>1851</v>
      </c>
      <c r="U66" s="118">
        <f t="shared" si="24"/>
        <v>1774</v>
      </c>
      <c r="V66" s="118">
        <f t="shared" si="24"/>
        <v>1796</v>
      </c>
      <c r="W66" s="118">
        <f t="shared" si="24"/>
        <v>1584</v>
      </c>
      <c r="X66" s="118">
        <f t="shared" ref="X66:AC66" si="25">+X9-X37</f>
        <v>1857</v>
      </c>
      <c r="Y66" s="118">
        <f t="shared" si="25"/>
        <v>1821</v>
      </c>
      <c r="Z66" s="118">
        <f t="shared" si="25"/>
        <v>1822</v>
      </c>
      <c r="AA66" s="118">
        <f t="shared" si="25"/>
        <v>1758</v>
      </c>
      <c r="AB66" s="118">
        <f t="shared" si="25"/>
        <v>2001</v>
      </c>
      <c r="AC66" s="118">
        <f t="shared" si="25"/>
        <v>1951</v>
      </c>
      <c r="AD66" s="118">
        <f t="shared" ref="AD66:AJ66" si="26">+AD9-AD37</f>
        <v>1765</v>
      </c>
      <c r="AE66" s="118">
        <f t="shared" si="26"/>
        <v>2276</v>
      </c>
      <c r="AF66" s="118">
        <f t="shared" si="26"/>
        <v>1611</v>
      </c>
      <c r="AG66" s="118">
        <f t="shared" si="26"/>
        <v>1620</v>
      </c>
      <c r="AH66" s="118">
        <f t="shared" si="26"/>
        <v>2044</v>
      </c>
      <c r="AI66" s="118">
        <f>+AI9-AI37</f>
        <v>1970</v>
      </c>
      <c r="AJ66" s="118">
        <f t="shared" si="26"/>
        <v>2316</v>
      </c>
      <c r="AK66" s="118">
        <f t="shared" ref="AK66:AQ66" si="27">+AK9-AK37</f>
        <v>2293</v>
      </c>
      <c r="AL66" s="118">
        <f t="shared" si="27"/>
        <v>1052</v>
      </c>
      <c r="AM66" s="118">
        <f t="shared" si="27"/>
        <v>1504</v>
      </c>
      <c r="AN66" s="118">
        <f t="shared" si="27"/>
        <v>1738</v>
      </c>
      <c r="AO66" s="118">
        <f t="shared" si="27"/>
        <v>1738</v>
      </c>
      <c r="AP66" s="118">
        <f t="shared" si="27"/>
        <v>1756</v>
      </c>
      <c r="AQ66" s="118">
        <f t="shared" si="27"/>
        <v>2511</v>
      </c>
      <c r="AR66" s="118">
        <f>+AR9-AR37</f>
        <v>2498</v>
      </c>
      <c r="AS66" s="118">
        <f>+AS9-AS37</f>
        <v>2490</v>
      </c>
      <c r="AT66" s="118">
        <f>+AT9-AT37</f>
        <v>2491</v>
      </c>
      <c r="AU66" s="118">
        <v>2614</v>
      </c>
      <c r="AV66" s="118">
        <v>2933</v>
      </c>
      <c r="AW66" s="118">
        <v>2866</v>
      </c>
      <c r="AX66" s="118">
        <f>+AX9-AX37</f>
        <v>3043</v>
      </c>
      <c r="AY66" s="118">
        <f>+AY9-AY37</f>
        <v>3089</v>
      </c>
    </row>
    <row r="67" spans="2:121" x14ac:dyDescent="0.2">
      <c r="B67" s="129" t="s">
        <v>133</v>
      </c>
      <c r="C67" s="118">
        <f t="shared" ref="C67:M67" si="28">+C8-C38</f>
        <v>4002.6676299999963</v>
      </c>
      <c r="D67" s="118">
        <f t="shared" si="28"/>
        <v>3333.0571400000008</v>
      </c>
      <c r="E67" s="118">
        <f t="shared" si="28"/>
        <v>3276.6465100000096</v>
      </c>
      <c r="F67" s="118">
        <f t="shared" si="28"/>
        <v>3689.5712899999926</v>
      </c>
      <c r="G67" s="118">
        <f t="shared" si="28"/>
        <v>2848.5621100000026</v>
      </c>
      <c r="H67" s="118">
        <f t="shared" si="28"/>
        <v>3045.9348399999999</v>
      </c>
      <c r="I67" s="118">
        <f t="shared" si="28"/>
        <v>3928.5766699999876</v>
      </c>
      <c r="J67" s="118">
        <f t="shared" si="28"/>
        <v>2896.4188000000031</v>
      </c>
      <c r="K67" s="118">
        <f t="shared" si="28"/>
        <v>2583.4518200000002</v>
      </c>
      <c r="L67" s="118">
        <f t="shared" si="28"/>
        <v>2459.3543299999965</v>
      </c>
      <c r="M67" s="118">
        <f t="shared" si="28"/>
        <v>2380.1938500000033</v>
      </c>
      <c r="N67" s="118">
        <v>2349</v>
      </c>
      <c r="O67" s="118">
        <v>1867</v>
      </c>
      <c r="P67" s="118">
        <v>1990</v>
      </c>
      <c r="Q67" s="118">
        <f t="shared" ref="Q67:W67" si="29">+Q8-Q38</f>
        <v>1781</v>
      </c>
      <c r="R67" s="118">
        <f t="shared" si="29"/>
        <v>3862</v>
      </c>
      <c r="S67" s="118">
        <f t="shared" si="29"/>
        <v>1602</v>
      </c>
      <c r="T67" s="118">
        <f t="shared" si="29"/>
        <v>1756</v>
      </c>
      <c r="U67" s="118">
        <f t="shared" si="29"/>
        <v>1146</v>
      </c>
      <c r="V67" s="118">
        <f t="shared" si="29"/>
        <v>1555</v>
      </c>
      <c r="W67" s="118">
        <f t="shared" si="29"/>
        <v>1287</v>
      </c>
      <c r="X67" s="118">
        <f t="shared" ref="X67:AC67" si="30">+X8-X38</f>
        <v>1860</v>
      </c>
      <c r="Y67" s="118">
        <f t="shared" si="30"/>
        <v>1729</v>
      </c>
      <c r="Z67" s="118">
        <f t="shared" si="30"/>
        <v>1892</v>
      </c>
      <c r="AA67" s="118">
        <f t="shared" si="30"/>
        <v>1767</v>
      </c>
      <c r="AB67" s="118">
        <f t="shared" si="30"/>
        <v>1690</v>
      </c>
      <c r="AC67" s="118">
        <f t="shared" si="30"/>
        <v>1490</v>
      </c>
      <c r="AD67" s="118">
        <f t="shared" ref="AD67:AJ67" si="31">+AD8-AD38</f>
        <v>1567</v>
      </c>
      <c r="AE67" s="118">
        <f t="shared" si="31"/>
        <v>964</v>
      </c>
      <c r="AF67" s="118">
        <f t="shared" si="31"/>
        <v>1781</v>
      </c>
      <c r="AG67" s="118">
        <f t="shared" si="31"/>
        <v>1301</v>
      </c>
      <c r="AH67" s="118">
        <f t="shared" si="31"/>
        <v>1262</v>
      </c>
      <c r="AI67" s="118">
        <f>+AI8-AI38</f>
        <v>1114</v>
      </c>
      <c r="AJ67" s="118">
        <f t="shared" si="31"/>
        <v>1352</v>
      </c>
      <c r="AK67" s="118">
        <f t="shared" ref="AK67:AQ67" si="32">+AK8-AK38</f>
        <v>1349</v>
      </c>
      <c r="AL67" s="118">
        <f t="shared" si="32"/>
        <v>2300</v>
      </c>
      <c r="AM67" s="118">
        <f t="shared" si="32"/>
        <v>2636</v>
      </c>
      <c r="AN67" s="118">
        <f t="shared" si="32"/>
        <v>997</v>
      </c>
      <c r="AO67" s="118">
        <f t="shared" si="32"/>
        <v>920</v>
      </c>
      <c r="AP67" s="118">
        <f t="shared" si="32"/>
        <v>1886</v>
      </c>
      <c r="AQ67" s="118">
        <f t="shared" si="32"/>
        <v>1786</v>
      </c>
      <c r="AR67" s="118">
        <f>+AR8-AR38</f>
        <v>1913</v>
      </c>
      <c r="AS67" s="118">
        <f>+AS8-AS38</f>
        <v>1893</v>
      </c>
      <c r="AT67" s="118">
        <f>+AT8-AT38</f>
        <v>1230</v>
      </c>
      <c r="AU67" s="118">
        <v>1663</v>
      </c>
      <c r="AV67" s="118">
        <v>1734</v>
      </c>
      <c r="AW67" s="118">
        <v>1304</v>
      </c>
      <c r="AX67" s="118">
        <f>+AX8-AX38</f>
        <v>1990</v>
      </c>
      <c r="AY67" s="118">
        <f>+AY8-AY38</f>
        <v>2379</v>
      </c>
    </row>
    <row r="68" spans="2:121" ht="15.75" customHeight="1" x14ac:dyDescent="0.2">
      <c r="B68" s="129" t="s">
        <v>135</v>
      </c>
      <c r="C68" s="118">
        <f t="shared" ref="C68:M68" si="33">+C11-C39</f>
        <v>10652.310869999998</v>
      </c>
      <c r="D68" s="118">
        <f t="shared" si="33"/>
        <v>9226.9231</v>
      </c>
      <c r="E68" s="118">
        <f t="shared" si="33"/>
        <v>8384.3059100000064</v>
      </c>
      <c r="F68" s="118">
        <f t="shared" si="33"/>
        <v>10303.176649999994</v>
      </c>
      <c r="G68" s="118">
        <f t="shared" si="33"/>
        <v>9837.5818299999992</v>
      </c>
      <c r="H68" s="118">
        <f t="shared" si="33"/>
        <v>10879.427660000001</v>
      </c>
      <c r="I68" s="118">
        <f t="shared" si="33"/>
        <v>8600.2902300000078</v>
      </c>
      <c r="J68" s="118">
        <f t="shared" si="33"/>
        <v>8557.8763399999989</v>
      </c>
      <c r="K68" s="118">
        <f t="shared" si="33"/>
        <v>8295.9263299999984</v>
      </c>
      <c r="L68" s="118">
        <f t="shared" si="33"/>
        <v>5993.2070300000069</v>
      </c>
      <c r="M68" s="118">
        <f t="shared" si="33"/>
        <v>5162.8666399999947</v>
      </c>
      <c r="N68" s="118">
        <v>5057</v>
      </c>
      <c r="O68" s="118">
        <v>5149</v>
      </c>
      <c r="P68" s="118">
        <v>4272</v>
      </c>
      <c r="Q68" s="118">
        <f t="shared" ref="Q68:W68" si="34">+Q11-Q39</f>
        <v>4979</v>
      </c>
      <c r="R68" s="118">
        <f t="shared" si="34"/>
        <v>5170</v>
      </c>
      <c r="S68" s="118">
        <f t="shared" si="34"/>
        <v>3999</v>
      </c>
      <c r="T68" s="118">
        <f t="shared" si="34"/>
        <v>4005</v>
      </c>
      <c r="U68" s="118">
        <f t="shared" si="34"/>
        <v>3496</v>
      </c>
      <c r="V68" s="118">
        <f t="shared" si="34"/>
        <v>3642</v>
      </c>
      <c r="W68" s="118">
        <f t="shared" si="34"/>
        <v>523</v>
      </c>
      <c r="X68" s="118">
        <f t="shared" ref="X68:AJ68" si="35">+X11-X39</f>
        <v>70</v>
      </c>
      <c r="Y68" s="118">
        <f t="shared" si="35"/>
        <v>704</v>
      </c>
      <c r="Z68" s="118">
        <f t="shared" si="35"/>
        <v>272</v>
      </c>
      <c r="AA68" s="118">
        <f t="shared" si="35"/>
        <v>232</v>
      </c>
      <c r="AB68" s="118">
        <f t="shared" si="35"/>
        <v>230</v>
      </c>
      <c r="AC68" s="118">
        <f t="shared" si="35"/>
        <v>196</v>
      </c>
      <c r="AD68" s="118">
        <f t="shared" si="35"/>
        <v>240</v>
      </c>
      <c r="AE68" s="118">
        <f t="shared" si="35"/>
        <v>-110</v>
      </c>
      <c r="AF68" s="118">
        <f t="shared" si="35"/>
        <v>112</v>
      </c>
      <c r="AG68" s="118">
        <f t="shared" si="35"/>
        <v>79</v>
      </c>
      <c r="AH68" s="118">
        <f t="shared" si="35"/>
        <v>168</v>
      </c>
      <c r="AI68" s="118">
        <f t="shared" si="35"/>
        <v>73</v>
      </c>
      <c r="AJ68" s="118">
        <f t="shared" si="35"/>
        <v>151</v>
      </c>
      <c r="AK68" s="118">
        <f t="shared" ref="AK68:AQ70" si="36">+AK11-AK39</f>
        <v>134</v>
      </c>
      <c r="AL68" s="118">
        <f t="shared" si="36"/>
        <v>151</v>
      </c>
      <c r="AM68" s="118">
        <f t="shared" si="36"/>
        <v>299</v>
      </c>
      <c r="AN68" s="118">
        <f t="shared" si="36"/>
        <v>144</v>
      </c>
      <c r="AO68" s="118">
        <f t="shared" si="36"/>
        <v>224</v>
      </c>
      <c r="AP68" s="118">
        <f t="shared" si="36"/>
        <v>376</v>
      </c>
      <c r="AQ68" s="118">
        <f t="shared" si="36"/>
        <v>530</v>
      </c>
      <c r="AR68" s="118">
        <f t="shared" ref="AR68:AT70" si="37">+AR11-AR39</f>
        <v>705</v>
      </c>
      <c r="AS68" s="118">
        <f t="shared" si="37"/>
        <v>589</v>
      </c>
      <c r="AT68" s="118">
        <f t="shared" si="37"/>
        <v>758</v>
      </c>
      <c r="AU68" s="118">
        <v>539</v>
      </c>
      <c r="AV68" s="118">
        <v>642</v>
      </c>
      <c r="AW68" s="118">
        <v>869</v>
      </c>
      <c r="AX68" s="118">
        <f t="shared" ref="AX68:AY70" si="38">+AX11-AX39</f>
        <v>1101</v>
      </c>
      <c r="AY68" s="118">
        <f t="shared" si="38"/>
        <v>843</v>
      </c>
      <c r="DA68"/>
      <c r="DB68"/>
      <c r="DC68"/>
      <c r="DD68"/>
      <c r="DE68"/>
      <c r="DF68"/>
      <c r="DG68"/>
      <c r="DH68"/>
      <c r="DI68"/>
      <c r="DJ68"/>
      <c r="DK68"/>
      <c r="DL68"/>
      <c r="DM68"/>
      <c r="DN68"/>
      <c r="DO68"/>
      <c r="DP68"/>
      <c r="DQ68"/>
    </row>
    <row r="69" spans="2:121" x14ac:dyDescent="0.2">
      <c r="B69" s="129" t="s">
        <v>815</v>
      </c>
      <c r="C69" s="118" t="s">
        <v>160</v>
      </c>
      <c r="D69" s="118" t="s">
        <v>160</v>
      </c>
      <c r="E69" s="118" t="s">
        <v>160</v>
      </c>
      <c r="F69" s="118" t="s">
        <v>160</v>
      </c>
      <c r="G69" s="118" t="s">
        <v>160</v>
      </c>
      <c r="H69" s="118" t="s">
        <v>160</v>
      </c>
      <c r="I69" s="118" t="s">
        <v>160</v>
      </c>
      <c r="J69" s="118" t="s">
        <v>160</v>
      </c>
      <c r="K69" s="118" t="s">
        <v>160</v>
      </c>
      <c r="L69" s="118" t="s">
        <v>160</v>
      </c>
      <c r="M69" s="118" t="s">
        <v>160</v>
      </c>
      <c r="N69" s="118" t="s">
        <v>160</v>
      </c>
      <c r="O69" s="118" t="s">
        <v>160</v>
      </c>
      <c r="P69" s="118" t="s">
        <v>160</v>
      </c>
      <c r="Q69" s="118" t="s">
        <v>160</v>
      </c>
      <c r="R69" s="118" t="s">
        <v>160</v>
      </c>
      <c r="S69" s="118" t="s">
        <v>160</v>
      </c>
      <c r="T69" s="118" t="s">
        <v>160</v>
      </c>
      <c r="U69" s="118" t="s">
        <v>160</v>
      </c>
      <c r="V69" s="118" t="s">
        <v>160</v>
      </c>
      <c r="W69" s="118">
        <f>+W12-W40</f>
        <v>3420</v>
      </c>
      <c r="X69" s="118">
        <f t="shared" ref="X69:AJ69" si="39">+X12-X40</f>
        <v>2559</v>
      </c>
      <c r="Y69" s="118">
        <f t="shared" si="39"/>
        <v>3388</v>
      </c>
      <c r="Z69" s="118">
        <f t="shared" si="39"/>
        <v>3420</v>
      </c>
      <c r="AA69" s="118">
        <f t="shared" si="39"/>
        <v>3207</v>
      </c>
      <c r="AB69" s="118">
        <f t="shared" si="39"/>
        <v>2940</v>
      </c>
      <c r="AC69" s="118">
        <f t="shared" si="39"/>
        <v>2724</v>
      </c>
      <c r="AD69" s="118">
        <f t="shared" si="39"/>
        <v>2042</v>
      </c>
      <c r="AE69" s="118">
        <f t="shared" si="39"/>
        <v>1423</v>
      </c>
      <c r="AF69" s="118">
        <f t="shared" si="39"/>
        <v>880</v>
      </c>
      <c r="AG69" s="118">
        <f t="shared" si="39"/>
        <v>888</v>
      </c>
      <c r="AH69" s="118">
        <f t="shared" si="39"/>
        <v>851</v>
      </c>
      <c r="AI69" s="118">
        <f t="shared" si="39"/>
        <v>976</v>
      </c>
      <c r="AJ69" s="118">
        <f t="shared" si="39"/>
        <v>1093</v>
      </c>
      <c r="AK69" s="118">
        <f t="shared" si="36"/>
        <v>1229</v>
      </c>
      <c r="AL69" s="118">
        <f t="shared" si="36"/>
        <v>1240</v>
      </c>
      <c r="AM69" s="118">
        <f t="shared" si="36"/>
        <v>1051</v>
      </c>
      <c r="AN69" s="118">
        <f t="shared" si="36"/>
        <v>1269</v>
      </c>
      <c r="AO69" s="118">
        <f t="shared" si="36"/>
        <v>1334</v>
      </c>
      <c r="AP69" s="118">
        <f t="shared" si="36"/>
        <v>1301</v>
      </c>
      <c r="AQ69" s="118">
        <f t="shared" si="36"/>
        <v>1285</v>
      </c>
      <c r="AR69" s="118">
        <f t="shared" si="37"/>
        <v>1124</v>
      </c>
      <c r="AS69" s="118">
        <f t="shared" si="37"/>
        <v>1039</v>
      </c>
      <c r="AT69" s="118">
        <f t="shared" si="37"/>
        <v>999</v>
      </c>
      <c r="AU69" s="118">
        <v>1318</v>
      </c>
      <c r="AV69" s="118">
        <v>1195</v>
      </c>
      <c r="AW69" s="118">
        <v>1404</v>
      </c>
      <c r="AX69" s="118">
        <f t="shared" si="38"/>
        <v>1392</v>
      </c>
      <c r="AY69" s="118">
        <f t="shared" si="38"/>
        <v>1240</v>
      </c>
    </row>
    <row r="70" spans="2:121" ht="15.75" customHeight="1" x14ac:dyDescent="0.2">
      <c r="B70" s="129" t="s">
        <v>137</v>
      </c>
      <c r="C70" s="118">
        <f t="shared" ref="C70:M70" si="40">+C13-C41</f>
        <v>2895.2145599999994</v>
      </c>
      <c r="D70" s="118">
        <f t="shared" si="40"/>
        <v>2919.3532300000002</v>
      </c>
      <c r="E70" s="118">
        <f t="shared" si="40"/>
        <v>2860.211869999996</v>
      </c>
      <c r="F70" s="118">
        <f t="shared" si="40"/>
        <v>5309.278460000005</v>
      </c>
      <c r="G70" s="118">
        <f t="shared" si="40"/>
        <v>3169.31016</v>
      </c>
      <c r="H70" s="118">
        <f t="shared" si="40"/>
        <v>3330.360009999999</v>
      </c>
      <c r="I70" s="118">
        <f t="shared" si="40"/>
        <v>2761.1405799999957</v>
      </c>
      <c r="J70" s="118">
        <f t="shared" si="40"/>
        <v>3254.5851100000045</v>
      </c>
      <c r="K70" s="118">
        <f t="shared" si="40"/>
        <v>1951.4801299999999</v>
      </c>
      <c r="L70" s="118">
        <f t="shared" si="40"/>
        <v>4289.9290400000009</v>
      </c>
      <c r="M70" s="118">
        <f t="shared" si="40"/>
        <v>2311.590830000001</v>
      </c>
      <c r="N70" s="118">
        <v>2517</v>
      </c>
      <c r="O70" s="118">
        <v>2244</v>
      </c>
      <c r="P70" s="118">
        <v>2369</v>
      </c>
      <c r="Q70" s="118">
        <f t="shared" ref="Q70:V70" si="41">+Q13-Q41</f>
        <v>2485</v>
      </c>
      <c r="R70" s="118">
        <f t="shared" si="41"/>
        <v>2568</v>
      </c>
      <c r="S70" s="118">
        <f t="shared" si="41"/>
        <v>1970</v>
      </c>
      <c r="T70" s="118">
        <f t="shared" si="41"/>
        <v>1651</v>
      </c>
      <c r="U70" s="118">
        <f t="shared" si="41"/>
        <v>1681</v>
      </c>
      <c r="V70" s="118">
        <f t="shared" si="41"/>
        <v>1640</v>
      </c>
      <c r="W70" s="118">
        <f>+W13-W41</f>
        <v>1674</v>
      </c>
      <c r="X70" s="118">
        <f t="shared" ref="X70:AJ70" si="42">+X13-X41</f>
        <v>1849</v>
      </c>
      <c r="Y70" s="118">
        <f t="shared" si="42"/>
        <v>1951</v>
      </c>
      <c r="Z70" s="118">
        <f t="shared" si="42"/>
        <v>1829</v>
      </c>
      <c r="AA70" s="118">
        <f t="shared" si="42"/>
        <v>1819</v>
      </c>
      <c r="AB70" s="118">
        <f t="shared" si="42"/>
        <v>1803</v>
      </c>
      <c r="AC70" s="118">
        <f t="shared" si="42"/>
        <v>1775</v>
      </c>
      <c r="AD70" s="118">
        <f t="shared" si="42"/>
        <v>1680</v>
      </c>
      <c r="AE70" s="118">
        <f t="shared" si="42"/>
        <v>1478</v>
      </c>
      <c r="AF70" s="118">
        <f t="shared" si="42"/>
        <v>1345</v>
      </c>
      <c r="AG70" s="118">
        <f t="shared" si="42"/>
        <v>1260</v>
      </c>
      <c r="AH70" s="118">
        <f t="shared" si="42"/>
        <v>1233</v>
      </c>
      <c r="AI70" s="118">
        <f t="shared" si="42"/>
        <v>1239</v>
      </c>
      <c r="AJ70" s="118">
        <f t="shared" si="42"/>
        <v>1252</v>
      </c>
      <c r="AK70" s="118">
        <f t="shared" si="36"/>
        <v>1272</v>
      </c>
      <c r="AL70" s="118">
        <f t="shared" si="36"/>
        <v>1281</v>
      </c>
      <c r="AM70" s="118">
        <f t="shared" si="36"/>
        <v>1664</v>
      </c>
      <c r="AN70" s="118">
        <f t="shared" si="36"/>
        <v>1591</v>
      </c>
      <c r="AO70" s="118">
        <f t="shared" si="36"/>
        <v>1654</v>
      </c>
      <c r="AP70" s="118">
        <f t="shared" si="36"/>
        <v>2747</v>
      </c>
      <c r="AQ70" s="118">
        <f t="shared" si="36"/>
        <v>2832</v>
      </c>
      <c r="AR70" s="118">
        <f t="shared" si="37"/>
        <v>2913</v>
      </c>
      <c r="AS70" s="118">
        <f t="shared" si="37"/>
        <v>2959</v>
      </c>
      <c r="AT70" s="118">
        <f t="shared" si="37"/>
        <v>2642</v>
      </c>
      <c r="AU70" s="118">
        <v>2568</v>
      </c>
      <c r="AV70" s="118">
        <v>2590</v>
      </c>
      <c r="AW70" s="118">
        <v>2580</v>
      </c>
      <c r="AX70" s="118">
        <f t="shared" si="38"/>
        <v>2706</v>
      </c>
      <c r="AY70" s="118">
        <f t="shared" si="38"/>
        <v>2910</v>
      </c>
      <c r="DA70"/>
      <c r="DB70"/>
      <c r="DC70"/>
      <c r="DD70"/>
      <c r="DE70"/>
      <c r="DF70"/>
      <c r="DG70"/>
      <c r="DH70"/>
      <c r="DI70"/>
      <c r="DJ70"/>
      <c r="DK70"/>
      <c r="DL70"/>
      <c r="DM70"/>
      <c r="DN70"/>
      <c r="DO70"/>
      <c r="DP70"/>
      <c r="DQ70"/>
    </row>
    <row r="71" spans="2:121" x14ac:dyDescent="0.2">
      <c r="B71" s="129" t="s">
        <v>136</v>
      </c>
      <c r="C71" s="118">
        <f t="shared" ref="C71:M71" si="43">+C10-C42</f>
        <v>2402.636739999999</v>
      </c>
      <c r="D71" s="118">
        <f t="shared" si="43"/>
        <v>2180.2855300000001</v>
      </c>
      <c r="E71" s="118">
        <f t="shared" si="43"/>
        <v>1983.0123199999962</v>
      </c>
      <c r="F71" s="118">
        <f t="shared" si="43"/>
        <v>2158.8655800000015</v>
      </c>
      <c r="G71" s="118">
        <f t="shared" si="43"/>
        <v>1790.4713900000006</v>
      </c>
      <c r="H71" s="118">
        <f t="shared" si="43"/>
        <v>1875.455109999999</v>
      </c>
      <c r="I71" s="118">
        <f t="shared" si="43"/>
        <v>1866.5339499999991</v>
      </c>
      <c r="J71" s="118">
        <f t="shared" si="43"/>
        <v>1876.9378200000037</v>
      </c>
      <c r="K71" s="118">
        <f t="shared" si="43"/>
        <v>1743.5642099999977</v>
      </c>
      <c r="L71" s="118">
        <f t="shared" si="43"/>
        <v>1782.3390799999988</v>
      </c>
      <c r="M71" s="118">
        <f t="shared" si="43"/>
        <v>1836.0967100000034</v>
      </c>
      <c r="N71" s="118">
        <v>1717</v>
      </c>
      <c r="O71" s="118">
        <v>1764</v>
      </c>
      <c r="P71" s="118">
        <v>1926</v>
      </c>
      <c r="Q71" s="118">
        <f t="shared" ref="Q71:W71" si="44">+Q10-Q42</f>
        <v>1983</v>
      </c>
      <c r="R71" s="118">
        <f t="shared" si="44"/>
        <v>2199</v>
      </c>
      <c r="S71" s="118">
        <f t="shared" si="44"/>
        <v>1478</v>
      </c>
      <c r="T71" s="118">
        <f t="shared" si="44"/>
        <v>1283</v>
      </c>
      <c r="U71" s="118">
        <f t="shared" si="44"/>
        <v>1264</v>
      </c>
      <c r="V71" s="118">
        <f t="shared" si="44"/>
        <v>1339</v>
      </c>
      <c r="W71" s="118">
        <f t="shared" si="44"/>
        <v>1206</v>
      </c>
      <c r="X71" s="118">
        <f t="shared" ref="X71:AC71" si="45">+X10-X42</f>
        <v>1175</v>
      </c>
      <c r="Y71" s="118">
        <f t="shared" si="45"/>
        <v>1237</v>
      </c>
      <c r="Z71" s="118">
        <f t="shared" si="45"/>
        <v>1477</v>
      </c>
      <c r="AA71" s="118">
        <f t="shared" si="45"/>
        <v>1231</v>
      </c>
      <c r="AB71" s="118">
        <f t="shared" si="45"/>
        <v>1275</v>
      </c>
      <c r="AC71" s="118">
        <f t="shared" si="45"/>
        <v>1255</v>
      </c>
      <c r="AD71" s="118">
        <f t="shared" ref="AD71:AJ71" si="46">+AD10-AD42</f>
        <v>1209</v>
      </c>
      <c r="AE71" s="118">
        <f t="shared" si="46"/>
        <v>1470</v>
      </c>
      <c r="AF71" s="118">
        <f t="shared" si="46"/>
        <v>1158</v>
      </c>
      <c r="AG71" s="118">
        <f t="shared" si="46"/>
        <v>1072</v>
      </c>
      <c r="AH71" s="118">
        <f t="shared" si="46"/>
        <v>1359</v>
      </c>
      <c r="AI71" s="118">
        <f>+AI10-AI42</f>
        <v>1300</v>
      </c>
      <c r="AJ71" s="118">
        <f t="shared" si="46"/>
        <v>1389</v>
      </c>
      <c r="AK71" s="118">
        <f t="shared" ref="AK71:AQ71" si="47">+AK10-AK42</f>
        <v>1413</v>
      </c>
      <c r="AL71" s="118">
        <f t="shared" si="47"/>
        <v>986</v>
      </c>
      <c r="AM71" s="118">
        <f t="shared" si="47"/>
        <v>897</v>
      </c>
      <c r="AN71" s="118">
        <f t="shared" si="47"/>
        <v>927</v>
      </c>
      <c r="AO71" s="118">
        <f t="shared" si="47"/>
        <v>979</v>
      </c>
      <c r="AP71" s="118">
        <f t="shared" si="47"/>
        <v>1039</v>
      </c>
      <c r="AQ71" s="118">
        <f t="shared" si="47"/>
        <v>1654</v>
      </c>
      <c r="AR71" s="118">
        <f>+AR10-AR42</f>
        <v>1765</v>
      </c>
      <c r="AS71" s="118">
        <f>+AS10-AS42</f>
        <v>1834</v>
      </c>
      <c r="AT71" s="118">
        <f>+AT10-AT42</f>
        <v>1977</v>
      </c>
      <c r="AU71" s="118">
        <v>2047</v>
      </c>
      <c r="AV71" s="118">
        <v>2127</v>
      </c>
      <c r="AW71" s="118">
        <v>2178</v>
      </c>
      <c r="AX71" s="118">
        <f>+AX10-AX42</f>
        <v>2317</v>
      </c>
      <c r="AY71" s="118">
        <f>+AY10-AY42</f>
        <v>2263</v>
      </c>
      <c r="DA71"/>
      <c r="DB71"/>
      <c r="DC71"/>
      <c r="DD71"/>
      <c r="DE71"/>
      <c r="DF71"/>
      <c r="DG71"/>
      <c r="DH71"/>
      <c r="DI71"/>
      <c r="DJ71"/>
      <c r="DK71"/>
      <c r="DL71"/>
      <c r="DM71"/>
      <c r="DN71"/>
      <c r="DO71"/>
      <c r="DP71"/>
      <c r="DQ71"/>
    </row>
    <row r="72" spans="2:121" x14ac:dyDescent="0.2">
      <c r="B72" s="129" t="s">
        <v>479</v>
      </c>
      <c r="C72" s="118">
        <f t="shared" ref="C72:M72" si="48">+C26-C43</f>
        <v>4679.0293899999997</v>
      </c>
      <c r="D72" s="118">
        <f t="shared" si="48"/>
        <v>3721.9534999999996</v>
      </c>
      <c r="E72" s="118">
        <f t="shared" si="48"/>
        <v>5356.4234499999966</v>
      </c>
      <c r="F72" s="118">
        <f t="shared" si="48"/>
        <v>4212.4691700000021</v>
      </c>
      <c r="G72" s="118">
        <f t="shared" si="48"/>
        <v>4307.2752600000003</v>
      </c>
      <c r="H72" s="118">
        <f t="shared" si="48"/>
        <v>4010.2786900000001</v>
      </c>
      <c r="I72" s="118">
        <f t="shared" si="48"/>
        <v>4698.3441699999985</v>
      </c>
      <c r="J72" s="118">
        <f t="shared" si="48"/>
        <v>5270.7726299999995</v>
      </c>
      <c r="K72" s="118">
        <f t="shared" si="48"/>
        <v>4628.4757700000009</v>
      </c>
      <c r="L72" s="118">
        <f t="shared" si="48"/>
        <v>3810.148839999998</v>
      </c>
      <c r="M72" s="118">
        <f t="shared" si="48"/>
        <v>4482.3753900000011</v>
      </c>
      <c r="N72" s="118">
        <v>3711</v>
      </c>
      <c r="O72" s="118">
        <v>3859</v>
      </c>
      <c r="P72" s="118">
        <v>2979</v>
      </c>
      <c r="Q72" s="118">
        <f t="shared" ref="Q72:W72" si="49">+Q26-Q43</f>
        <v>3931</v>
      </c>
      <c r="R72" s="118">
        <f t="shared" si="49"/>
        <v>3547</v>
      </c>
      <c r="S72" s="118">
        <f t="shared" si="49"/>
        <v>3586</v>
      </c>
      <c r="T72" s="118">
        <f t="shared" si="49"/>
        <v>4262</v>
      </c>
      <c r="U72" s="118">
        <f t="shared" si="49"/>
        <v>4384</v>
      </c>
      <c r="V72" s="118">
        <f t="shared" si="49"/>
        <v>3670</v>
      </c>
      <c r="W72" s="118">
        <f t="shared" si="49"/>
        <v>3997</v>
      </c>
      <c r="X72" s="118">
        <f t="shared" ref="X72:AC72" si="50">+X26-X43</f>
        <v>5917</v>
      </c>
      <c r="Y72" s="118">
        <f t="shared" si="50"/>
        <v>3857</v>
      </c>
      <c r="Z72" s="118">
        <f t="shared" si="50"/>
        <v>4439</v>
      </c>
      <c r="AA72" s="118">
        <f t="shared" si="50"/>
        <v>847</v>
      </c>
      <c r="AB72" s="118">
        <f t="shared" si="50"/>
        <v>550</v>
      </c>
      <c r="AC72" s="118">
        <f t="shared" si="50"/>
        <v>893</v>
      </c>
      <c r="AD72" s="118">
        <f t="shared" ref="AD72:AJ72" si="51">+AD26-AD43</f>
        <v>985</v>
      </c>
      <c r="AE72" s="118">
        <f t="shared" si="51"/>
        <v>986</v>
      </c>
      <c r="AF72" s="118">
        <f t="shared" si="51"/>
        <v>1071</v>
      </c>
      <c r="AG72" s="118">
        <f t="shared" si="51"/>
        <v>958</v>
      </c>
      <c r="AH72" s="118">
        <f t="shared" si="51"/>
        <v>1033</v>
      </c>
      <c r="AI72" s="118">
        <f>+AI26-AI43</f>
        <v>813</v>
      </c>
      <c r="AJ72" s="118">
        <f t="shared" si="51"/>
        <v>1052</v>
      </c>
      <c r="AK72" s="118">
        <f t="shared" ref="AK72:AQ72" si="52">+AK26-AK43</f>
        <v>1896</v>
      </c>
      <c r="AL72" s="118">
        <f t="shared" si="52"/>
        <v>4476</v>
      </c>
      <c r="AM72" s="118">
        <f t="shared" si="52"/>
        <v>4088</v>
      </c>
      <c r="AN72" s="118">
        <f t="shared" si="52"/>
        <v>2602</v>
      </c>
      <c r="AO72" s="118">
        <f t="shared" si="52"/>
        <v>2351</v>
      </c>
      <c r="AP72" s="118">
        <f t="shared" si="52"/>
        <v>2959</v>
      </c>
      <c r="AQ72" s="118">
        <f t="shared" si="52"/>
        <v>1874</v>
      </c>
      <c r="AR72" s="118">
        <f>+AR26-AR43</f>
        <v>810</v>
      </c>
      <c r="AS72" s="118">
        <f>+AS26-AS43</f>
        <v>-7</v>
      </c>
      <c r="AT72" s="118">
        <f>+AT26-AT43</f>
        <v>-101</v>
      </c>
      <c r="AU72" s="118">
        <v>0</v>
      </c>
      <c r="AV72" s="118">
        <v>-385</v>
      </c>
      <c r="AW72" s="118">
        <v>0</v>
      </c>
      <c r="AX72" s="118">
        <f>+AX26-AX43</f>
        <v>-1</v>
      </c>
      <c r="AY72" s="118">
        <f>+AY26-AY43</f>
        <v>0</v>
      </c>
      <c r="DA72"/>
      <c r="DB72"/>
      <c r="DC72"/>
      <c r="DD72"/>
      <c r="DE72"/>
      <c r="DF72"/>
      <c r="DG72"/>
      <c r="DH72"/>
      <c r="DI72"/>
      <c r="DJ72"/>
      <c r="DK72"/>
      <c r="DL72"/>
      <c r="DM72"/>
      <c r="DN72"/>
      <c r="DO72"/>
      <c r="DP72"/>
      <c r="DQ72"/>
    </row>
    <row r="73" spans="2:121" x14ac:dyDescent="0.2">
      <c r="B73" s="129" t="s">
        <v>140</v>
      </c>
      <c r="C73" s="118">
        <f t="shared" ref="C73:M73" si="53">+C19-C44</f>
        <v>2024.8542500000012</v>
      </c>
      <c r="D73" s="118">
        <f t="shared" si="53"/>
        <v>1890.7116399999986</v>
      </c>
      <c r="E73" s="118">
        <f t="shared" si="53"/>
        <v>1579.5168699999999</v>
      </c>
      <c r="F73" s="118">
        <f t="shared" si="53"/>
        <v>2172.337019999999</v>
      </c>
      <c r="G73" s="118">
        <f t="shared" si="53"/>
        <v>2180.0435500000008</v>
      </c>
      <c r="H73" s="118">
        <f t="shared" si="53"/>
        <v>2607.8992700000003</v>
      </c>
      <c r="I73" s="118">
        <f t="shared" si="53"/>
        <v>2327.9713500000003</v>
      </c>
      <c r="J73" s="118">
        <f t="shared" si="53"/>
        <v>3628.0151399999972</v>
      </c>
      <c r="K73" s="118">
        <f t="shared" si="53"/>
        <v>2036.4428200000002</v>
      </c>
      <c r="L73" s="118">
        <f t="shared" si="53"/>
        <v>1835.0926400000008</v>
      </c>
      <c r="M73" s="118">
        <f t="shared" si="53"/>
        <v>1722.464539999999</v>
      </c>
      <c r="N73" s="118">
        <v>1203</v>
      </c>
      <c r="O73" s="118">
        <v>1263</v>
      </c>
      <c r="P73" s="118">
        <v>1549</v>
      </c>
      <c r="Q73" s="118">
        <f t="shared" ref="Q73:W73" si="54">+Q19-Q44</f>
        <v>1471</v>
      </c>
      <c r="R73" s="118">
        <f t="shared" si="54"/>
        <v>2631</v>
      </c>
      <c r="S73" s="118">
        <f t="shared" si="54"/>
        <v>1235</v>
      </c>
      <c r="T73" s="118">
        <f t="shared" si="54"/>
        <v>759</v>
      </c>
      <c r="U73" s="118">
        <f t="shared" si="54"/>
        <v>900</v>
      </c>
      <c r="V73" s="118">
        <f t="shared" si="54"/>
        <v>645</v>
      </c>
      <c r="W73" s="118">
        <f t="shared" si="54"/>
        <v>733</v>
      </c>
      <c r="X73" s="118">
        <f t="shared" ref="X73:AC73" si="55">+X19-X44</f>
        <v>810</v>
      </c>
      <c r="Y73" s="118">
        <f t="shared" si="55"/>
        <v>716</v>
      </c>
      <c r="Z73" s="118">
        <f t="shared" si="55"/>
        <v>717</v>
      </c>
      <c r="AA73" s="118">
        <f t="shared" si="55"/>
        <v>659</v>
      </c>
      <c r="AB73" s="118">
        <f t="shared" si="55"/>
        <v>1385</v>
      </c>
      <c r="AC73" s="118">
        <f t="shared" si="55"/>
        <v>1176</v>
      </c>
      <c r="AD73" s="118">
        <f t="shared" ref="AD73:AJ73" si="56">+AD19-AD44</f>
        <v>916</v>
      </c>
      <c r="AE73" s="118">
        <f t="shared" si="56"/>
        <v>858</v>
      </c>
      <c r="AF73" s="118">
        <f t="shared" si="56"/>
        <v>787</v>
      </c>
      <c r="AG73" s="118">
        <f t="shared" si="56"/>
        <v>672</v>
      </c>
      <c r="AH73" s="118">
        <f t="shared" si="56"/>
        <v>754</v>
      </c>
      <c r="AI73" s="118">
        <f>+AI19-AI44</f>
        <v>780</v>
      </c>
      <c r="AJ73" s="118">
        <f t="shared" si="56"/>
        <v>760</v>
      </c>
      <c r="AK73" s="118">
        <f t="shared" ref="AK73:AQ73" si="57">+AK19-AK44</f>
        <v>752</v>
      </c>
      <c r="AL73" s="118">
        <f t="shared" si="57"/>
        <v>871</v>
      </c>
      <c r="AM73" s="118">
        <f t="shared" si="57"/>
        <v>894</v>
      </c>
      <c r="AN73" s="118">
        <f t="shared" si="57"/>
        <v>882</v>
      </c>
      <c r="AO73" s="118">
        <f t="shared" si="57"/>
        <v>928</v>
      </c>
      <c r="AP73" s="118">
        <f t="shared" si="57"/>
        <v>961</v>
      </c>
      <c r="AQ73" s="118">
        <f t="shared" si="57"/>
        <v>5174</v>
      </c>
      <c r="AR73" s="118">
        <f>+AR19-AR44</f>
        <v>4748</v>
      </c>
      <c r="AS73" s="118">
        <f>+AS19-AS44</f>
        <v>4800</v>
      </c>
      <c r="AT73" s="118">
        <f>+AT19-AT44</f>
        <v>5038</v>
      </c>
      <c r="AU73" s="118">
        <v>5281</v>
      </c>
      <c r="AV73" s="118">
        <v>5259</v>
      </c>
      <c r="AW73" s="118">
        <v>5569</v>
      </c>
      <c r="AX73" s="118">
        <f>+AX19-AX44</f>
        <v>6045</v>
      </c>
      <c r="AY73" s="118">
        <f>+AY19-AY44</f>
        <v>4482</v>
      </c>
      <c r="DA73"/>
      <c r="DB73"/>
      <c r="DC73"/>
      <c r="DD73"/>
      <c r="DE73"/>
      <c r="DF73"/>
      <c r="DG73"/>
      <c r="DH73"/>
      <c r="DI73"/>
      <c r="DJ73"/>
      <c r="DK73"/>
      <c r="DL73"/>
      <c r="DM73"/>
      <c r="DN73"/>
      <c r="DO73"/>
      <c r="DP73"/>
      <c r="DQ73"/>
    </row>
    <row r="74" spans="2:121" ht="15" customHeight="1" x14ac:dyDescent="0.2">
      <c r="B74" s="129" t="s">
        <v>139</v>
      </c>
      <c r="C74" s="118">
        <f t="shared" ref="C74:M74" si="58">+C14-C45</f>
        <v>1957.8330900000001</v>
      </c>
      <c r="D74" s="118">
        <f t="shared" si="58"/>
        <v>2333.7015200000001</v>
      </c>
      <c r="E74" s="118">
        <f t="shared" si="58"/>
        <v>1409.5968699999989</v>
      </c>
      <c r="F74" s="118">
        <f t="shared" si="58"/>
        <v>1521.8408199999976</v>
      </c>
      <c r="G74" s="118">
        <f t="shared" si="58"/>
        <v>1837.6649599999987</v>
      </c>
      <c r="H74" s="118">
        <f t="shared" si="58"/>
        <v>1612.8929200000021</v>
      </c>
      <c r="I74" s="118">
        <f t="shared" si="58"/>
        <v>2116.7283099999995</v>
      </c>
      <c r="J74" s="118">
        <f t="shared" si="58"/>
        <v>1772.6333399999953</v>
      </c>
      <c r="K74" s="118">
        <f t="shared" si="58"/>
        <v>827.18574999999964</v>
      </c>
      <c r="L74" s="118">
        <f t="shared" si="58"/>
        <v>1146.8313800000014</v>
      </c>
      <c r="M74" s="118">
        <f t="shared" si="58"/>
        <v>1846.9828699999989</v>
      </c>
      <c r="N74" s="118">
        <v>2532</v>
      </c>
      <c r="O74" s="118">
        <v>1604</v>
      </c>
      <c r="P74" s="118">
        <v>1971</v>
      </c>
      <c r="Q74" s="118">
        <f t="shared" ref="Q74:W74" si="59">+Q14-Q45</f>
        <v>1361</v>
      </c>
      <c r="R74" s="118">
        <f t="shared" si="59"/>
        <v>1835</v>
      </c>
      <c r="S74" s="118">
        <f t="shared" si="59"/>
        <v>1364</v>
      </c>
      <c r="T74" s="118">
        <f t="shared" si="59"/>
        <v>1020</v>
      </c>
      <c r="U74" s="118">
        <f t="shared" si="59"/>
        <v>1127</v>
      </c>
      <c r="V74" s="118">
        <f t="shared" si="59"/>
        <v>1360</v>
      </c>
      <c r="W74" s="118">
        <f t="shared" si="59"/>
        <v>1101</v>
      </c>
      <c r="X74" s="118">
        <f t="shared" ref="X74:AC74" si="60">+X14-X45</f>
        <v>1333</v>
      </c>
      <c r="Y74" s="118">
        <f t="shared" si="60"/>
        <v>1275</v>
      </c>
      <c r="Z74" s="118">
        <f t="shared" si="60"/>
        <v>1426</v>
      </c>
      <c r="AA74" s="118">
        <f t="shared" si="60"/>
        <v>1129</v>
      </c>
      <c r="AB74" s="118">
        <f t="shared" si="60"/>
        <v>1337</v>
      </c>
      <c r="AC74" s="118">
        <f t="shared" si="60"/>
        <v>1181</v>
      </c>
      <c r="AD74" s="118">
        <f t="shared" ref="AD74:AJ74" si="61">+AD14-AD45</f>
        <v>1153</v>
      </c>
      <c r="AE74" s="118">
        <f t="shared" si="61"/>
        <v>1571</v>
      </c>
      <c r="AF74" s="118">
        <f t="shared" si="61"/>
        <v>1370</v>
      </c>
      <c r="AG74" s="118">
        <f t="shared" si="61"/>
        <v>1433</v>
      </c>
      <c r="AH74" s="118">
        <f t="shared" si="61"/>
        <v>1323</v>
      </c>
      <c r="AI74" s="118">
        <f>+AI14-AI45</f>
        <v>1548</v>
      </c>
      <c r="AJ74" s="118">
        <f t="shared" si="61"/>
        <v>1577</v>
      </c>
      <c r="AK74" s="118">
        <f t="shared" ref="AK74:AQ74" si="62">+AK14-AK45</f>
        <v>1914</v>
      </c>
      <c r="AL74" s="118">
        <f t="shared" si="62"/>
        <v>2232</v>
      </c>
      <c r="AM74" s="118">
        <f t="shared" si="62"/>
        <v>1803</v>
      </c>
      <c r="AN74" s="118">
        <f t="shared" si="62"/>
        <v>1692</v>
      </c>
      <c r="AO74" s="118">
        <f t="shared" si="62"/>
        <v>2105</v>
      </c>
      <c r="AP74" s="118">
        <f t="shared" si="62"/>
        <v>2167</v>
      </c>
      <c r="AQ74" s="118">
        <f t="shared" si="62"/>
        <v>2810</v>
      </c>
      <c r="AR74" s="118">
        <f>+AR14-AR45</f>
        <v>2148</v>
      </c>
      <c r="AS74" s="118">
        <f>+AS14-AS45</f>
        <v>2072</v>
      </c>
      <c r="AT74" s="118">
        <f>+AT14-AT45</f>
        <v>2354</v>
      </c>
      <c r="AU74" s="118">
        <v>2502</v>
      </c>
      <c r="AV74" s="118">
        <v>2045</v>
      </c>
      <c r="AW74" s="118">
        <v>2297</v>
      </c>
      <c r="AX74" s="118">
        <f>+AX14-AX45</f>
        <v>2887</v>
      </c>
      <c r="AY74" s="118">
        <f>+AY14-AY45</f>
        <v>2342</v>
      </c>
      <c r="DA74"/>
      <c r="DB74"/>
      <c r="DC74"/>
      <c r="DD74"/>
      <c r="DE74"/>
      <c r="DF74"/>
      <c r="DG74"/>
      <c r="DH74"/>
      <c r="DI74"/>
      <c r="DJ74"/>
      <c r="DK74"/>
      <c r="DL74"/>
      <c r="DM74"/>
      <c r="DN74"/>
      <c r="DO74"/>
      <c r="DP74"/>
      <c r="DQ74"/>
    </row>
    <row r="75" spans="2:121" x14ac:dyDescent="0.2">
      <c r="B75" s="129" t="s">
        <v>142</v>
      </c>
      <c r="C75" s="118">
        <f t="shared" ref="C75:M75" si="63">+C17-C46</f>
        <v>306.91333000000054</v>
      </c>
      <c r="D75" s="118">
        <f t="shared" si="63"/>
        <v>488.22533999999837</v>
      </c>
      <c r="E75" s="118">
        <f t="shared" si="63"/>
        <v>427.94695000000115</v>
      </c>
      <c r="F75" s="118">
        <f t="shared" si="63"/>
        <v>212.43191000000184</v>
      </c>
      <c r="G75" s="118">
        <f t="shared" si="63"/>
        <v>382.07419000000027</v>
      </c>
      <c r="H75" s="118">
        <f t="shared" si="63"/>
        <v>342.50638999999978</v>
      </c>
      <c r="I75" s="118">
        <f t="shared" si="63"/>
        <v>380.88822999999775</v>
      </c>
      <c r="J75" s="118">
        <f t="shared" si="63"/>
        <v>120.02501000000439</v>
      </c>
      <c r="K75" s="118">
        <f t="shared" si="63"/>
        <v>306.60016999999993</v>
      </c>
      <c r="L75" s="118">
        <f t="shared" si="63"/>
        <v>200.24556000000075</v>
      </c>
      <c r="M75" s="118">
        <f t="shared" si="63"/>
        <v>225.15426999999909</v>
      </c>
      <c r="N75" s="118">
        <v>305</v>
      </c>
      <c r="O75" s="118">
        <v>252</v>
      </c>
      <c r="P75" s="118">
        <v>338</v>
      </c>
      <c r="Q75" s="118">
        <f t="shared" ref="Q75:W75" si="64">+Q17-Q46</f>
        <v>212</v>
      </c>
      <c r="R75" s="118">
        <f t="shared" si="64"/>
        <v>341</v>
      </c>
      <c r="S75" s="118">
        <f t="shared" si="64"/>
        <v>123</v>
      </c>
      <c r="T75" s="118">
        <f t="shared" si="64"/>
        <v>173</v>
      </c>
      <c r="U75" s="118">
        <f t="shared" si="64"/>
        <v>185</v>
      </c>
      <c r="V75" s="118">
        <f t="shared" si="64"/>
        <v>339</v>
      </c>
      <c r="W75" s="118">
        <f t="shared" si="64"/>
        <v>15</v>
      </c>
      <c r="X75" s="118">
        <f t="shared" ref="X75:AC75" si="65">+X17-X46</f>
        <v>208</v>
      </c>
      <c r="Y75" s="118">
        <f t="shared" si="65"/>
        <v>225</v>
      </c>
      <c r="Z75" s="118">
        <f t="shared" si="65"/>
        <v>303</v>
      </c>
      <c r="AA75" s="118">
        <f t="shared" si="65"/>
        <v>169</v>
      </c>
      <c r="AB75" s="118">
        <f t="shared" si="65"/>
        <v>156</v>
      </c>
      <c r="AC75" s="118">
        <f t="shared" si="65"/>
        <v>191</v>
      </c>
      <c r="AD75" s="118">
        <f t="shared" ref="AD75:AJ75" si="66">+AD17-AD46</f>
        <v>305</v>
      </c>
      <c r="AE75" s="118">
        <f t="shared" si="66"/>
        <v>474</v>
      </c>
      <c r="AF75" s="118">
        <f t="shared" si="66"/>
        <v>831</v>
      </c>
      <c r="AG75" s="118">
        <f t="shared" si="66"/>
        <v>1267</v>
      </c>
      <c r="AH75" s="118">
        <f t="shared" si="66"/>
        <v>1684</v>
      </c>
      <c r="AI75" s="118">
        <f>+AI17-AI46</f>
        <v>1025</v>
      </c>
      <c r="AJ75" s="118">
        <f t="shared" si="66"/>
        <v>498</v>
      </c>
      <c r="AK75" s="118">
        <f t="shared" ref="AK75:AQ75" si="67">+AK17-AK46</f>
        <v>1157</v>
      </c>
      <c r="AL75" s="118">
        <f t="shared" si="67"/>
        <v>943</v>
      </c>
      <c r="AM75" s="118">
        <f t="shared" si="67"/>
        <v>503</v>
      </c>
      <c r="AN75" s="118">
        <f t="shared" si="67"/>
        <v>409</v>
      </c>
      <c r="AO75" s="118">
        <f t="shared" si="67"/>
        <v>667</v>
      </c>
      <c r="AP75" s="118">
        <f t="shared" si="67"/>
        <v>702</v>
      </c>
      <c r="AQ75" s="118">
        <f t="shared" si="67"/>
        <v>673</v>
      </c>
      <c r="AR75" s="118">
        <f>+AR17-AR46</f>
        <v>653</v>
      </c>
      <c r="AS75" s="118">
        <f>+AS17-AS46</f>
        <v>659</v>
      </c>
      <c r="AT75" s="118">
        <f>+AT17-AT46</f>
        <v>737</v>
      </c>
      <c r="AU75" s="118">
        <v>818</v>
      </c>
      <c r="AV75" s="118">
        <v>866</v>
      </c>
      <c r="AW75" s="118">
        <v>733</v>
      </c>
      <c r="AX75" s="118">
        <f>+AX17-AX46</f>
        <v>1062</v>
      </c>
      <c r="AY75" s="118">
        <f>+AY17-AY46</f>
        <v>1006</v>
      </c>
      <c r="DA75"/>
      <c r="DB75"/>
      <c r="DC75"/>
      <c r="DD75"/>
      <c r="DE75"/>
      <c r="DF75"/>
      <c r="DG75"/>
      <c r="DH75"/>
      <c r="DI75"/>
      <c r="DJ75"/>
      <c r="DK75"/>
      <c r="DL75"/>
      <c r="DM75"/>
      <c r="DN75"/>
      <c r="DO75"/>
      <c r="DP75"/>
      <c r="DQ75"/>
    </row>
    <row r="76" spans="2:121" x14ac:dyDescent="0.2">
      <c r="B76" s="129" t="s">
        <v>143</v>
      </c>
      <c r="C76" s="118">
        <f t="shared" ref="C76:M76" si="68">+C15-C47</f>
        <v>918.67683</v>
      </c>
      <c r="D76" s="118">
        <f t="shared" si="68"/>
        <v>888.61080999999967</v>
      </c>
      <c r="E76" s="118">
        <f t="shared" si="68"/>
        <v>706.47245999999939</v>
      </c>
      <c r="F76" s="118">
        <f t="shared" si="68"/>
        <v>1064.3770800000004</v>
      </c>
      <c r="G76" s="118">
        <f t="shared" si="68"/>
        <v>1033.7387900000003</v>
      </c>
      <c r="H76" s="118">
        <f t="shared" si="68"/>
        <v>1295.54179</v>
      </c>
      <c r="I76" s="118">
        <f t="shared" si="68"/>
        <v>1344.8479199999988</v>
      </c>
      <c r="J76" s="118">
        <f t="shared" si="68"/>
        <v>1417.6214800000016</v>
      </c>
      <c r="K76" s="118">
        <f t="shared" si="68"/>
        <v>1286.3931600000003</v>
      </c>
      <c r="L76" s="118">
        <f t="shared" si="68"/>
        <v>980.08051000000023</v>
      </c>
      <c r="M76" s="118">
        <f t="shared" si="68"/>
        <v>864.52632999999969</v>
      </c>
      <c r="N76" s="118">
        <v>690</v>
      </c>
      <c r="O76" s="118">
        <v>707</v>
      </c>
      <c r="P76" s="118">
        <v>802</v>
      </c>
      <c r="Q76" s="118">
        <f t="shared" ref="Q76:AJ76" si="69">+Q15-Q47</f>
        <v>740</v>
      </c>
      <c r="R76" s="118">
        <f t="shared" si="69"/>
        <v>808</v>
      </c>
      <c r="S76" s="118">
        <f t="shared" si="69"/>
        <v>551</v>
      </c>
      <c r="T76" s="118">
        <f t="shared" si="69"/>
        <v>438</v>
      </c>
      <c r="U76" s="118">
        <f t="shared" si="69"/>
        <v>477</v>
      </c>
      <c r="V76" s="118">
        <f t="shared" si="69"/>
        <v>469</v>
      </c>
      <c r="W76" s="118">
        <f t="shared" si="69"/>
        <v>485</v>
      </c>
      <c r="X76" s="118">
        <f t="shared" si="69"/>
        <v>404</v>
      </c>
      <c r="Y76" s="118">
        <f t="shared" si="69"/>
        <v>431</v>
      </c>
      <c r="Z76" s="118">
        <f t="shared" si="69"/>
        <v>431</v>
      </c>
      <c r="AA76" s="118">
        <f t="shared" si="69"/>
        <v>392</v>
      </c>
      <c r="AB76" s="118">
        <f t="shared" si="69"/>
        <v>351</v>
      </c>
      <c r="AC76" s="118">
        <f t="shared" si="69"/>
        <v>375</v>
      </c>
      <c r="AD76" s="118">
        <f t="shared" si="69"/>
        <v>381</v>
      </c>
      <c r="AE76" s="118">
        <f t="shared" si="69"/>
        <v>58</v>
      </c>
      <c r="AF76" s="118">
        <f t="shared" si="69"/>
        <v>113</v>
      </c>
      <c r="AG76" s="118">
        <f t="shared" si="69"/>
        <v>97</v>
      </c>
      <c r="AH76" s="118">
        <f t="shared" si="69"/>
        <v>103</v>
      </c>
      <c r="AI76" s="118">
        <f t="shared" si="69"/>
        <v>68</v>
      </c>
      <c r="AJ76" s="118">
        <f t="shared" si="69"/>
        <v>90</v>
      </c>
      <c r="AK76" s="118">
        <f t="shared" ref="AK76:AQ77" si="70">+AK15-AK47</f>
        <v>98</v>
      </c>
      <c r="AL76" s="118">
        <f t="shared" si="70"/>
        <v>95</v>
      </c>
      <c r="AM76" s="118">
        <f t="shared" si="70"/>
        <v>90</v>
      </c>
      <c r="AN76" s="118">
        <f t="shared" si="70"/>
        <v>135</v>
      </c>
      <c r="AO76" s="118">
        <f t="shared" si="70"/>
        <v>119</v>
      </c>
      <c r="AP76" s="118">
        <f t="shared" si="70"/>
        <v>105</v>
      </c>
      <c r="AQ76" s="118">
        <f t="shared" si="70"/>
        <v>165</v>
      </c>
      <c r="AR76" s="118">
        <f t="shared" ref="AR76:AT77" si="71">+AR15-AR47</f>
        <v>143</v>
      </c>
      <c r="AS76" s="118">
        <f t="shared" si="71"/>
        <v>192</v>
      </c>
      <c r="AT76" s="118">
        <f t="shared" si="71"/>
        <v>161</v>
      </c>
      <c r="AU76" s="118">
        <v>166</v>
      </c>
      <c r="AV76" s="118">
        <v>149</v>
      </c>
      <c r="AW76" s="118">
        <v>159</v>
      </c>
      <c r="AX76" s="118">
        <f>+AX15-AX47</f>
        <v>186</v>
      </c>
      <c r="AY76" s="118">
        <f>+AY15-AY47</f>
        <v>165</v>
      </c>
      <c r="DA76"/>
      <c r="DB76"/>
      <c r="DC76"/>
      <c r="DD76"/>
      <c r="DE76"/>
      <c r="DF76"/>
      <c r="DG76"/>
      <c r="DH76"/>
      <c r="DI76"/>
      <c r="DJ76"/>
      <c r="DK76"/>
      <c r="DL76"/>
      <c r="DM76"/>
      <c r="DN76"/>
      <c r="DO76"/>
      <c r="DP76"/>
      <c r="DQ76"/>
    </row>
    <row r="77" spans="2:121" x14ac:dyDescent="0.2">
      <c r="B77" s="129" t="s">
        <v>141</v>
      </c>
      <c r="C77" s="118">
        <f t="shared" ref="C77:M77" si="72">+C16-C48</f>
        <v>-51.865350000000035</v>
      </c>
      <c r="D77" s="118">
        <f t="shared" si="72"/>
        <v>274.08483999999976</v>
      </c>
      <c r="E77" s="118">
        <f t="shared" si="72"/>
        <v>362.39103000000068</v>
      </c>
      <c r="F77" s="118">
        <f t="shared" si="72"/>
        <v>374.34180999999944</v>
      </c>
      <c r="G77" s="118">
        <f t="shared" si="72"/>
        <v>324.94937000000004</v>
      </c>
      <c r="H77" s="118">
        <f t="shared" si="72"/>
        <v>313.65793000000053</v>
      </c>
      <c r="I77" s="118">
        <f t="shared" si="72"/>
        <v>415.51313000000039</v>
      </c>
      <c r="J77" s="118">
        <f t="shared" si="72"/>
        <v>411.70549000000028</v>
      </c>
      <c r="K77" s="118">
        <f t="shared" si="72"/>
        <v>383.38113000000021</v>
      </c>
      <c r="L77" s="118">
        <f t="shared" si="72"/>
        <v>314.93984999999975</v>
      </c>
      <c r="M77" s="118">
        <f t="shared" si="72"/>
        <v>341.67902000000026</v>
      </c>
      <c r="N77" s="118">
        <v>198</v>
      </c>
      <c r="O77" s="118">
        <v>213</v>
      </c>
      <c r="P77" s="118">
        <v>155</v>
      </c>
      <c r="Q77" s="118">
        <f t="shared" ref="Q77:AJ77" si="73">+Q16-Q48</f>
        <v>219</v>
      </c>
      <c r="R77" s="118">
        <f t="shared" si="73"/>
        <v>165</v>
      </c>
      <c r="S77" s="118">
        <f t="shared" si="73"/>
        <v>194</v>
      </c>
      <c r="T77" s="118">
        <f t="shared" si="73"/>
        <v>60</v>
      </c>
      <c r="U77" s="118">
        <f t="shared" si="73"/>
        <v>163</v>
      </c>
      <c r="V77" s="118">
        <f t="shared" si="73"/>
        <v>100</v>
      </c>
      <c r="W77" s="118">
        <f t="shared" si="73"/>
        <v>120</v>
      </c>
      <c r="X77" s="118">
        <f t="shared" si="73"/>
        <v>95</v>
      </c>
      <c r="Y77" s="118">
        <f t="shared" si="73"/>
        <v>82</v>
      </c>
      <c r="Z77" s="118">
        <f t="shared" si="73"/>
        <v>137</v>
      </c>
      <c r="AA77" s="118">
        <f t="shared" si="73"/>
        <v>93</v>
      </c>
      <c r="AB77" s="118">
        <f t="shared" si="73"/>
        <v>99</v>
      </c>
      <c r="AC77" s="118">
        <f t="shared" si="73"/>
        <v>88</v>
      </c>
      <c r="AD77" s="118">
        <f t="shared" si="73"/>
        <v>105</v>
      </c>
      <c r="AE77" s="118">
        <f t="shared" si="73"/>
        <v>79</v>
      </c>
      <c r="AF77" s="118">
        <f t="shared" si="73"/>
        <v>64</v>
      </c>
      <c r="AG77" s="118">
        <f t="shared" si="73"/>
        <v>64</v>
      </c>
      <c r="AH77" s="118">
        <f t="shared" si="73"/>
        <v>58</v>
      </c>
      <c r="AI77" s="118">
        <f t="shared" si="73"/>
        <v>46</v>
      </c>
      <c r="AJ77" s="118">
        <f t="shared" si="73"/>
        <v>47</v>
      </c>
      <c r="AK77" s="118">
        <f t="shared" si="70"/>
        <v>43</v>
      </c>
      <c r="AL77" s="118">
        <f t="shared" si="70"/>
        <v>45</v>
      </c>
      <c r="AM77" s="118">
        <f t="shared" si="70"/>
        <v>41</v>
      </c>
      <c r="AN77" s="118">
        <f t="shared" si="70"/>
        <v>43</v>
      </c>
      <c r="AO77" s="118">
        <f t="shared" si="70"/>
        <v>52</v>
      </c>
      <c r="AP77" s="118">
        <f t="shared" si="70"/>
        <v>43</v>
      </c>
      <c r="AQ77" s="118">
        <f t="shared" si="70"/>
        <v>47</v>
      </c>
      <c r="AR77" s="118">
        <f t="shared" si="71"/>
        <v>67</v>
      </c>
      <c r="AS77" s="118">
        <f t="shared" si="71"/>
        <v>52</v>
      </c>
      <c r="AT77" s="118">
        <f t="shared" si="71"/>
        <v>57</v>
      </c>
      <c r="AU77" s="118">
        <v>51</v>
      </c>
      <c r="AV77" s="118">
        <v>31</v>
      </c>
      <c r="AW77" s="118">
        <v>37</v>
      </c>
      <c r="AX77" s="118">
        <f>+AX16-AX48</f>
        <v>43</v>
      </c>
      <c r="AY77" s="118">
        <f>+AY16-AY48</f>
        <v>48</v>
      </c>
      <c r="DA77"/>
      <c r="DB77"/>
      <c r="DC77"/>
      <c r="DD77"/>
      <c r="DE77"/>
      <c r="DF77"/>
      <c r="DG77"/>
      <c r="DH77"/>
      <c r="DI77"/>
      <c r="DJ77"/>
      <c r="DK77"/>
      <c r="DL77"/>
      <c r="DM77"/>
      <c r="DN77"/>
      <c r="DO77"/>
      <c r="DP77"/>
      <c r="DQ77"/>
    </row>
    <row r="78" spans="2:121" x14ac:dyDescent="0.2">
      <c r="B78" s="129" t="s">
        <v>138</v>
      </c>
      <c r="C78" s="118">
        <f t="shared" ref="C78:M78" si="74">+C18-C49</f>
        <v>835.72808000000077</v>
      </c>
      <c r="D78" s="118">
        <f t="shared" si="74"/>
        <v>345.05817999999772</v>
      </c>
      <c r="E78" s="118">
        <f t="shared" si="74"/>
        <v>390.83558000000198</v>
      </c>
      <c r="F78" s="118">
        <f t="shared" si="74"/>
        <v>-402.51756999999952</v>
      </c>
      <c r="G78" s="118">
        <f t="shared" si="74"/>
        <v>343.58133000000089</v>
      </c>
      <c r="H78" s="118">
        <f t="shared" si="74"/>
        <v>230.10247999999876</v>
      </c>
      <c r="I78" s="118">
        <f t="shared" si="74"/>
        <v>397.00000000000091</v>
      </c>
      <c r="J78" s="118">
        <f t="shared" si="74"/>
        <v>229.54692</v>
      </c>
      <c r="K78" s="118">
        <f t="shared" si="74"/>
        <v>307.16673999999989</v>
      </c>
      <c r="L78" s="118">
        <f t="shared" si="74"/>
        <v>157.15259999999989</v>
      </c>
      <c r="M78" s="118">
        <f t="shared" si="74"/>
        <v>280.68066000000022</v>
      </c>
      <c r="N78" s="118">
        <v>490</v>
      </c>
      <c r="O78" s="118">
        <v>300</v>
      </c>
      <c r="P78" s="118">
        <v>308</v>
      </c>
      <c r="Q78" s="118">
        <f t="shared" ref="Q78:W78" si="75">+Q18-Q49</f>
        <v>243</v>
      </c>
      <c r="R78" s="118">
        <f t="shared" si="75"/>
        <v>382</v>
      </c>
      <c r="S78" s="118">
        <f t="shared" si="75"/>
        <v>233</v>
      </c>
      <c r="T78" s="118">
        <f t="shared" si="75"/>
        <v>245</v>
      </c>
      <c r="U78" s="118">
        <f t="shared" si="75"/>
        <v>208</v>
      </c>
      <c r="V78" s="118">
        <f t="shared" si="75"/>
        <v>880</v>
      </c>
      <c r="W78" s="118">
        <f t="shared" si="75"/>
        <v>123</v>
      </c>
      <c r="X78" s="118">
        <f t="shared" ref="X78:AC78" si="76">+X18-X49</f>
        <v>307</v>
      </c>
      <c r="Y78" s="118">
        <f t="shared" si="76"/>
        <v>278</v>
      </c>
      <c r="Z78" s="118">
        <f t="shared" si="76"/>
        <v>1184</v>
      </c>
      <c r="AA78" s="118">
        <f t="shared" si="76"/>
        <v>197</v>
      </c>
      <c r="AB78" s="118">
        <f t="shared" si="76"/>
        <v>786</v>
      </c>
      <c r="AC78" s="118">
        <f t="shared" si="76"/>
        <v>589</v>
      </c>
      <c r="AD78" s="118">
        <f t="shared" ref="AD78:AJ78" si="77">+AD18-AD49</f>
        <v>467</v>
      </c>
      <c r="AE78" s="118">
        <f t="shared" si="77"/>
        <v>91</v>
      </c>
      <c r="AF78" s="118">
        <f t="shared" si="77"/>
        <v>125</v>
      </c>
      <c r="AG78" s="118">
        <f t="shared" si="77"/>
        <v>84</v>
      </c>
      <c r="AH78" s="118">
        <f t="shared" si="77"/>
        <v>189</v>
      </c>
      <c r="AI78" s="118">
        <f>+AI18-AI49</f>
        <v>224</v>
      </c>
      <c r="AJ78" s="118">
        <f t="shared" si="77"/>
        <v>330</v>
      </c>
      <c r="AK78" s="118">
        <f t="shared" ref="AK78:AQ78" si="78">+AK18-AK49</f>
        <v>456</v>
      </c>
      <c r="AL78" s="118">
        <f t="shared" si="78"/>
        <v>278</v>
      </c>
      <c r="AM78" s="118">
        <f t="shared" si="78"/>
        <v>207</v>
      </c>
      <c r="AN78" s="118">
        <f t="shared" si="78"/>
        <v>221</v>
      </c>
      <c r="AO78" s="118">
        <f t="shared" si="78"/>
        <v>289</v>
      </c>
      <c r="AP78" s="118">
        <f t="shared" si="78"/>
        <v>296</v>
      </c>
      <c r="AQ78" s="118">
        <f t="shared" si="78"/>
        <v>380</v>
      </c>
      <c r="AR78" s="118">
        <f>+AR18-AR49</f>
        <v>243</v>
      </c>
      <c r="AS78" s="118">
        <f>+AS18-AS49</f>
        <v>290</v>
      </c>
      <c r="AT78" s="118">
        <f>+AT18-AT49</f>
        <v>362</v>
      </c>
      <c r="AU78" s="118">
        <v>484</v>
      </c>
      <c r="AV78" s="118">
        <v>363</v>
      </c>
      <c r="AW78" s="118">
        <v>189</v>
      </c>
      <c r="AX78" s="118">
        <f>+AX18-AX49</f>
        <v>374</v>
      </c>
      <c r="AY78" s="118">
        <f>+AY18-AY49</f>
        <v>185</v>
      </c>
      <c r="DA78"/>
      <c r="DB78"/>
      <c r="DC78"/>
      <c r="DD78"/>
      <c r="DE78"/>
      <c r="DF78"/>
      <c r="DG78"/>
      <c r="DH78"/>
      <c r="DI78"/>
      <c r="DJ78"/>
      <c r="DK78"/>
      <c r="DL78"/>
      <c r="DM78"/>
      <c r="DN78"/>
      <c r="DO78"/>
      <c r="DP78"/>
      <c r="DQ78"/>
    </row>
    <row r="79" spans="2:121" ht="15" customHeight="1" x14ac:dyDescent="0.2">
      <c r="B79" s="129" t="s">
        <v>486</v>
      </c>
      <c r="C79" s="118">
        <f t="shared" ref="C79:M79" si="79">+C25-C50</f>
        <v>1040.6842999999999</v>
      </c>
      <c r="D79" s="118">
        <f t="shared" si="79"/>
        <v>505.89512000000104</v>
      </c>
      <c r="E79" s="118">
        <f t="shared" si="79"/>
        <v>175.02178999999899</v>
      </c>
      <c r="F79" s="118">
        <f t="shared" si="79"/>
        <v>141.74965000000043</v>
      </c>
      <c r="G79" s="118">
        <f t="shared" si="79"/>
        <v>321.04614000000004</v>
      </c>
      <c r="H79" s="118">
        <f t="shared" si="79"/>
        <v>421.39044999999942</v>
      </c>
      <c r="I79" s="118">
        <f t="shared" si="79"/>
        <v>187.4424299999996</v>
      </c>
      <c r="J79" s="118">
        <f t="shared" si="79"/>
        <v>306.9741900000015</v>
      </c>
      <c r="K79" s="118">
        <f t="shared" si="79"/>
        <v>365.60933999999997</v>
      </c>
      <c r="L79" s="118">
        <f t="shared" si="79"/>
        <v>471.49612000000093</v>
      </c>
      <c r="M79" s="118">
        <f t="shared" si="79"/>
        <v>291.89453999999887</v>
      </c>
      <c r="N79" s="118">
        <v>367</v>
      </c>
      <c r="O79" s="118">
        <v>252</v>
      </c>
      <c r="P79" s="118">
        <v>193</v>
      </c>
      <c r="Q79" s="118">
        <f t="shared" ref="Q79:W79" si="80">+Q25-Q50</f>
        <v>276</v>
      </c>
      <c r="R79" s="118">
        <f t="shared" si="80"/>
        <v>119</v>
      </c>
      <c r="S79" s="118">
        <f t="shared" si="80"/>
        <v>87</v>
      </c>
      <c r="T79" s="118">
        <f t="shared" si="80"/>
        <v>118</v>
      </c>
      <c r="U79" s="118">
        <f t="shared" si="80"/>
        <v>118</v>
      </c>
      <c r="V79" s="118">
        <f t="shared" si="80"/>
        <v>148</v>
      </c>
      <c r="W79" s="118">
        <f t="shared" si="80"/>
        <v>322</v>
      </c>
      <c r="X79" s="118">
        <f t="shared" ref="X79:AC79" si="81">+X25-X50</f>
        <v>192</v>
      </c>
      <c r="Y79" s="118">
        <f t="shared" si="81"/>
        <v>90</v>
      </c>
      <c r="Z79" s="118">
        <f t="shared" si="81"/>
        <v>272</v>
      </c>
      <c r="AA79" s="118">
        <f t="shared" si="81"/>
        <v>87</v>
      </c>
      <c r="AB79" s="118">
        <f t="shared" si="81"/>
        <v>118</v>
      </c>
      <c r="AC79" s="118">
        <f t="shared" si="81"/>
        <v>343</v>
      </c>
      <c r="AD79" s="118">
        <f t="shared" ref="AD79:AJ79" si="82">+AD25-AD50</f>
        <v>32</v>
      </c>
      <c r="AE79" s="118">
        <f t="shared" si="82"/>
        <v>196</v>
      </c>
      <c r="AF79" s="118">
        <f t="shared" si="82"/>
        <v>567</v>
      </c>
      <c r="AG79" s="118">
        <f t="shared" si="82"/>
        <v>-120</v>
      </c>
      <c r="AH79" s="118">
        <f t="shared" si="82"/>
        <v>42</v>
      </c>
      <c r="AI79" s="118">
        <f>+AI25-AI50</f>
        <v>216</v>
      </c>
      <c r="AJ79" s="118">
        <f t="shared" si="82"/>
        <v>26</v>
      </c>
      <c r="AK79" s="118">
        <f t="shared" ref="AK79:AQ79" si="83">+AK25-AK50</f>
        <v>71</v>
      </c>
      <c r="AL79" s="118">
        <f t="shared" si="83"/>
        <v>99</v>
      </c>
      <c r="AM79" s="118">
        <f t="shared" si="83"/>
        <v>43</v>
      </c>
      <c r="AN79" s="118">
        <f t="shared" si="83"/>
        <v>35</v>
      </c>
      <c r="AO79" s="118">
        <f t="shared" si="83"/>
        <v>35</v>
      </c>
      <c r="AP79" s="118">
        <f t="shared" si="83"/>
        <v>102</v>
      </c>
      <c r="AQ79" s="118">
        <f t="shared" si="83"/>
        <v>21</v>
      </c>
      <c r="AR79" s="118">
        <f>+AR25-AR50</f>
        <v>85</v>
      </c>
      <c r="AS79" s="118">
        <f>+AS25-AS50</f>
        <v>139</v>
      </c>
      <c r="AT79" s="118">
        <f>+AT25-AT50</f>
        <v>73</v>
      </c>
      <c r="AU79" s="118">
        <v>78</v>
      </c>
      <c r="AV79" s="118">
        <v>217</v>
      </c>
      <c r="AW79" s="118">
        <v>126</v>
      </c>
      <c r="AX79" s="118">
        <f>+AX25-AX50</f>
        <v>398</v>
      </c>
      <c r="AY79" s="118">
        <f>+AY25-AY50</f>
        <v>63</v>
      </c>
      <c r="DA79"/>
      <c r="DB79"/>
      <c r="DC79"/>
      <c r="DD79"/>
      <c r="DE79"/>
      <c r="DF79"/>
      <c r="DG79"/>
      <c r="DH79"/>
      <c r="DI79"/>
      <c r="DJ79"/>
      <c r="DK79"/>
      <c r="DL79"/>
      <c r="DM79"/>
      <c r="DN79"/>
      <c r="DO79"/>
      <c r="DP79"/>
      <c r="DQ79"/>
    </row>
    <row r="80" spans="2:121" x14ac:dyDescent="0.2">
      <c r="B80" s="129" t="s">
        <v>144</v>
      </c>
      <c r="C80" s="118">
        <f t="shared" ref="C80:M80" si="84">+C20-C51</f>
        <v>1254.8394000000003</v>
      </c>
      <c r="D80" s="118">
        <f t="shared" si="84"/>
        <v>713.37842000000001</v>
      </c>
      <c r="E80" s="118">
        <f t="shared" si="84"/>
        <v>564.21155999999996</v>
      </c>
      <c r="F80" s="118">
        <f t="shared" si="84"/>
        <v>749.35759999999959</v>
      </c>
      <c r="G80" s="118">
        <f t="shared" si="84"/>
        <v>590.61613000000011</v>
      </c>
      <c r="H80" s="118">
        <f t="shared" si="84"/>
        <v>438.48381999999947</v>
      </c>
      <c r="I80" s="118">
        <f t="shared" si="84"/>
        <v>408.43801000000042</v>
      </c>
      <c r="J80" s="118">
        <f t="shared" si="84"/>
        <v>1169.5439100000017</v>
      </c>
      <c r="K80" s="118">
        <f t="shared" si="84"/>
        <v>340.93719999999962</v>
      </c>
      <c r="L80" s="118">
        <f t="shared" si="84"/>
        <v>301.46114000000068</v>
      </c>
      <c r="M80" s="118">
        <f t="shared" si="84"/>
        <v>416.60165999999981</v>
      </c>
      <c r="N80" s="118">
        <v>461</v>
      </c>
      <c r="O80" s="118">
        <v>336</v>
      </c>
      <c r="P80" s="118">
        <v>524</v>
      </c>
      <c r="Q80" s="118">
        <f t="shared" ref="Q80:W80" si="85">+Q20-Q51</f>
        <v>602</v>
      </c>
      <c r="R80" s="118">
        <f t="shared" si="85"/>
        <v>595</v>
      </c>
      <c r="S80" s="118">
        <f t="shared" si="85"/>
        <v>321</v>
      </c>
      <c r="T80" s="118">
        <f t="shared" si="85"/>
        <v>388</v>
      </c>
      <c r="U80" s="118">
        <f t="shared" si="85"/>
        <v>292</v>
      </c>
      <c r="V80" s="118">
        <f t="shared" si="85"/>
        <v>381</v>
      </c>
      <c r="W80" s="118">
        <f t="shared" si="85"/>
        <v>301</v>
      </c>
      <c r="X80" s="118">
        <f t="shared" ref="X80:AC80" si="86">+X20-X51</f>
        <v>333</v>
      </c>
      <c r="Y80" s="118">
        <f t="shared" si="86"/>
        <v>323</v>
      </c>
      <c r="Z80" s="118">
        <f t="shared" si="86"/>
        <v>440</v>
      </c>
      <c r="AA80" s="118">
        <f t="shared" si="86"/>
        <v>283</v>
      </c>
      <c r="AB80" s="118">
        <f t="shared" si="86"/>
        <v>406</v>
      </c>
      <c r="AC80" s="118">
        <f t="shared" si="86"/>
        <v>389</v>
      </c>
      <c r="AD80" s="118">
        <f t="shared" ref="AD80:AJ80" si="87">+AD20-AD51</f>
        <v>184</v>
      </c>
      <c r="AE80" s="118">
        <f t="shared" si="87"/>
        <v>81</v>
      </c>
      <c r="AF80" s="118">
        <f t="shared" si="87"/>
        <v>41</v>
      </c>
      <c r="AG80" s="118">
        <f t="shared" si="87"/>
        <v>37</v>
      </c>
      <c r="AH80" s="118">
        <f t="shared" si="87"/>
        <v>37</v>
      </c>
      <c r="AI80" s="118">
        <f>+AI20-AI51</f>
        <v>32</v>
      </c>
      <c r="AJ80" s="118">
        <f t="shared" si="87"/>
        <v>54</v>
      </c>
      <c r="AK80" s="118">
        <f t="shared" ref="AK80:AQ80" si="88">+AK20-AK51</f>
        <v>70</v>
      </c>
      <c r="AL80" s="118">
        <f t="shared" si="88"/>
        <v>77</v>
      </c>
      <c r="AM80" s="118">
        <f t="shared" si="88"/>
        <v>47</v>
      </c>
      <c r="AN80" s="118">
        <f t="shared" si="88"/>
        <v>51</v>
      </c>
      <c r="AO80" s="118">
        <f t="shared" si="88"/>
        <v>58</v>
      </c>
      <c r="AP80" s="118">
        <f t="shared" si="88"/>
        <v>71</v>
      </c>
      <c r="AQ80" s="118">
        <f t="shared" si="88"/>
        <v>65</v>
      </c>
      <c r="AR80" s="118">
        <f>+AR20-AR51</f>
        <v>127</v>
      </c>
      <c r="AS80" s="118">
        <f>+AS20-AS51</f>
        <v>201</v>
      </c>
      <c r="AT80" s="118">
        <f>+AT20-AT51</f>
        <v>320</v>
      </c>
      <c r="AU80" s="118">
        <v>273</v>
      </c>
      <c r="AV80" s="118">
        <v>229</v>
      </c>
      <c r="AW80" s="118">
        <v>269</v>
      </c>
      <c r="AX80" s="118">
        <f>+AX20-AX51</f>
        <v>234</v>
      </c>
      <c r="AY80" s="118">
        <f>+AY20-AY51</f>
        <v>195</v>
      </c>
      <c r="DA80"/>
      <c r="DB80"/>
      <c r="DC80"/>
      <c r="DD80"/>
      <c r="DE80"/>
      <c r="DF80"/>
      <c r="DG80"/>
      <c r="DH80"/>
      <c r="DI80"/>
      <c r="DJ80"/>
      <c r="DK80"/>
      <c r="DL80"/>
      <c r="DM80"/>
      <c r="DN80"/>
      <c r="DO80"/>
      <c r="DP80"/>
      <c r="DQ80"/>
    </row>
    <row r="81" spans="1:167" x14ac:dyDescent="0.2">
      <c r="B81" s="129" t="s">
        <v>146</v>
      </c>
      <c r="C81" s="118">
        <f t="shared" ref="C81:M81" si="89">+C24-C52</f>
        <v>-2.7388000000000545</v>
      </c>
      <c r="D81" s="118">
        <f t="shared" si="89"/>
        <v>15.444800000000043</v>
      </c>
      <c r="E81" s="118">
        <f t="shared" si="89"/>
        <v>8.4469699999999648</v>
      </c>
      <c r="F81" s="118">
        <f t="shared" si="89"/>
        <v>3.0886999999999603</v>
      </c>
      <c r="G81" s="118">
        <f t="shared" si="89"/>
        <v>1.7280000000000086</v>
      </c>
      <c r="H81" s="118">
        <f t="shared" si="89"/>
        <v>3.3314999999999486</v>
      </c>
      <c r="I81" s="118">
        <f t="shared" si="89"/>
        <v>3.6031999999999584</v>
      </c>
      <c r="J81" s="118">
        <f t="shared" si="89"/>
        <v>3.3285400000000323</v>
      </c>
      <c r="K81" s="118">
        <f t="shared" si="89"/>
        <v>2.3491999999999962</v>
      </c>
      <c r="L81" s="118">
        <f t="shared" si="89"/>
        <v>3.4756000000000142</v>
      </c>
      <c r="M81" s="118">
        <f t="shared" si="89"/>
        <v>5.1751999999999612</v>
      </c>
      <c r="N81" s="118">
        <v>7</v>
      </c>
      <c r="O81" s="118">
        <v>20</v>
      </c>
      <c r="P81" s="118">
        <v>12</v>
      </c>
      <c r="Q81" s="118">
        <f t="shared" ref="Q81:W81" si="90">+Q24-Q52</f>
        <v>24</v>
      </c>
      <c r="R81" s="118">
        <f t="shared" si="90"/>
        <v>17</v>
      </c>
      <c r="S81" s="118">
        <f t="shared" si="90"/>
        <v>4</v>
      </c>
      <c r="T81" s="118">
        <f t="shared" si="90"/>
        <v>-1</v>
      </c>
      <c r="U81" s="118">
        <f t="shared" si="90"/>
        <v>1</v>
      </c>
      <c r="V81" s="118">
        <f t="shared" si="90"/>
        <v>-1</v>
      </c>
      <c r="W81" s="118">
        <f t="shared" si="90"/>
        <v>0</v>
      </c>
      <c r="X81" s="118">
        <f t="shared" ref="X81:AC81" si="91">+X24-X52</f>
        <v>0</v>
      </c>
      <c r="Y81" s="118">
        <f t="shared" si="91"/>
        <v>9</v>
      </c>
      <c r="Z81" s="118">
        <f t="shared" si="91"/>
        <v>0</v>
      </c>
      <c r="AA81" s="118">
        <f t="shared" si="91"/>
        <v>0</v>
      </c>
      <c r="AB81" s="118">
        <f t="shared" si="91"/>
        <v>6</v>
      </c>
      <c r="AC81" s="118">
        <f t="shared" si="91"/>
        <v>0</v>
      </c>
      <c r="AD81" s="118">
        <f t="shared" ref="AD81:AJ81" si="92">+AD24-AD52</f>
        <v>0</v>
      </c>
      <c r="AE81" s="118">
        <f t="shared" si="92"/>
        <v>1</v>
      </c>
      <c r="AF81" s="118">
        <f t="shared" si="92"/>
        <v>19</v>
      </c>
      <c r="AG81" s="118">
        <f t="shared" si="92"/>
        <v>6</v>
      </c>
      <c r="AH81" s="118">
        <f t="shared" si="92"/>
        <v>19</v>
      </c>
      <c r="AI81" s="118">
        <f>+AI24-AI52</f>
        <v>107</v>
      </c>
      <c r="AJ81" s="118">
        <f t="shared" si="92"/>
        <v>35</v>
      </c>
      <c r="AK81" s="118">
        <f t="shared" ref="AK81:AQ81" si="93">+AK24-AK52</f>
        <v>67</v>
      </c>
      <c r="AL81" s="118">
        <f t="shared" si="93"/>
        <v>44</v>
      </c>
      <c r="AM81" s="118">
        <f t="shared" si="93"/>
        <v>39</v>
      </c>
      <c r="AN81" s="118">
        <f t="shared" si="93"/>
        <v>86</v>
      </c>
      <c r="AO81" s="118">
        <f t="shared" si="93"/>
        <v>40</v>
      </c>
      <c r="AP81" s="118">
        <f t="shared" si="93"/>
        <v>41</v>
      </c>
      <c r="AQ81" s="118">
        <f t="shared" si="93"/>
        <v>43</v>
      </c>
      <c r="AR81" s="118">
        <f>+AR24-AR52</f>
        <v>50</v>
      </c>
      <c r="AS81" s="118">
        <f>+AS24-AS52</f>
        <v>57</v>
      </c>
      <c r="AT81" s="118">
        <f>+AT24-AT52</f>
        <v>40</v>
      </c>
      <c r="AU81" s="118">
        <v>0</v>
      </c>
      <c r="AV81" s="118">
        <v>41</v>
      </c>
      <c r="AW81" s="118">
        <v>74</v>
      </c>
      <c r="AX81" s="118">
        <f>+AX24-AX52</f>
        <v>73</v>
      </c>
      <c r="AY81" s="118">
        <f>+AY24-AY52</f>
        <v>106</v>
      </c>
      <c r="DA81"/>
      <c r="DB81"/>
      <c r="DC81"/>
      <c r="DD81"/>
      <c r="DE81"/>
      <c r="DF81"/>
      <c r="DG81"/>
      <c r="DH81"/>
      <c r="DI81"/>
      <c r="DJ81"/>
      <c r="DK81"/>
      <c r="DL81"/>
      <c r="DM81"/>
      <c r="DN81"/>
      <c r="DO81"/>
      <c r="DP81"/>
      <c r="DQ81"/>
    </row>
    <row r="82" spans="1:167" x14ac:dyDescent="0.2">
      <c r="B82" s="129" t="s">
        <v>147</v>
      </c>
      <c r="C82" s="118">
        <f t="shared" ref="C82:M82" si="94">+C23-C53</f>
        <v>6772.3977000000004</v>
      </c>
      <c r="D82" s="118">
        <f t="shared" si="94"/>
        <v>-1302.7440800000002</v>
      </c>
      <c r="E82" s="118">
        <f t="shared" si="94"/>
        <v>8779.5152800000014</v>
      </c>
      <c r="F82" s="118">
        <f t="shared" si="94"/>
        <v>-2514.4006500000014</v>
      </c>
      <c r="G82" s="118">
        <f t="shared" si="94"/>
        <v>44.605710000000002</v>
      </c>
      <c r="H82" s="118">
        <f t="shared" si="94"/>
        <v>1.4139799999999809</v>
      </c>
      <c r="I82" s="118">
        <f t="shared" si="94"/>
        <v>62.758260000000007</v>
      </c>
      <c r="J82" s="118">
        <f t="shared" si="94"/>
        <v>54.057079999999956</v>
      </c>
      <c r="K82" s="118">
        <f t="shared" si="94"/>
        <v>11.095889999999997</v>
      </c>
      <c r="L82" s="118">
        <f t="shared" si="94"/>
        <v>147.23572999999993</v>
      </c>
      <c r="M82" s="118">
        <f t="shared" si="94"/>
        <v>16.66838000000007</v>
      </c>
      <c r="N82" s="118">
        <v>49</v>
      </c>
      <c r="O82" s="118">
        <v>15</v>
      </c>
      <c r="P82" s="118">
        <v>17</v>
      </c>
      <c r="Q82" s="118">
        <f t="shared" ref="Q82:W82" si="95">+Q23-Q53</f>
        <v>18</v>
      </c>
      <c r="R82" s="118">
        <f t="shared" si="95"/>
        <v>169</v>
      </c>
      <c r="S82" s="118">
        <f t="shared" si="95"/>
        <v>35</v>
      </c>
      <c r="T82" s="118">
        <f t="shared" si="95"/>
        <v>27</v>
      </c>
      <c r="U82" s="118">
        <f t="shared" si="95"/>
        <v>55</v>
      </c>
      <c r="V82" s="118">
        <f t="shared" si="95"/>
        <v>41</v>
      </c>
      <c r="W82" s="118">
        <f t="shared" si="95"/>
        <v>0</v>
      </c>
      <c r="X82" s="118">
        <f t="shared" ref="X82:AC82" si="96">+X23-X53</f>
        <v>5</v>
      </c>
      <c r="Y82" s="118">
        <f t="shared" si="96"/>
        <v>-4</v>
      </c>
      <c r="Z82" s="118">
        <f t="shared" si="96"/>
        <v>257</v>
      </c>
      <c r="AA82" s="118">
        <f t="shared" si="96"/>
        <v>-163</v>
      </c>
      <c r="AB82" s="118">
        <f t="shared" si="96"/>
        <v>2</v>
      </c>
      <c r="AC82" s="118">
        <f t="shared" si="96"/>
        <v>0</v>
      </c>
      <c r="AD82" s="118">
        <f t="shared" ref="AD82:AJ82" si="97">+AD23-AD53</f>
        <v>0</v>
      </c>
      <c r="AE82" s="118">
        <f t="shared" si="97"/>
        <v>0</v>
      </c>
      <c r="AF82" s="118">
        <f t="shared" si="97"/>
        <v>-1</v>
      </c>
      <c r="AG82" s="118">
        <f t="shared" si="97"/>
        <v>2</v>
      </c>
      <c r="AH82" s="118">
        <f t="shared" si="97"/>
        <v>-2</v>
      </c>
      <c r="AI82" s="118">
        <f>+AI23-AI53</f>
        <v>0</v>
      </c>
      <c r="AJ82" s="118">
        <f t="shared" si="97"/>
        <v>0</v>
      </c>
      <c r="AK82" s="118">
        <f t="shared" ref="AK82:AQ82" si="98">+AK23-AK53</f>
        <v>0</v>
      </c>
      <c r="AL82" s="118">
        <f t="shared" si="98"/>
        <v>0</v>
      </c>
      <c r="AM82" s="118">
        <f t="shared" si="98"/>
        <v>0</v>
      </c>
      <c r="AN82" s="118">
        <f t="shared" si="98"/>
        <v>1</v>
      </c>
      <c r="AO82" s="118">
        <f t="shared" si="98"/>
        <v>123</v>
      </c>
      <c r="AP82" s="118">
        <f t="shared" si="98"/>
        <v>1</v>
      </c>
      <c r="AQ82" s="118">
        <f t="shared" si="98"/>
        <v>1</v>
      </c>
      <c r="AR82" s="118">
        <f>+AR23-AR53</f>
        <v>1</v>
      </c>
      <c r="AS82" s="118">
        <f>+AS23-AS53</f>
        <v>5</v>
      </c>
      <c r="AT82" s="118">
        <f>+AT23-AT53</f>
        <v>14</v>
      </c>
      <c r="AU82" s="118">
        <v>0</v>
      </c>
      <c r="AV82" s="118">
        <v>5</v>
      </c>
      <c r="AW82" s="118">
        <v>20</v>
      </c>
      <c r="AX82" s="118">
        <f>+AX23-AX53</f>
        <v>42</v>
      </c>
      <c r="AY82" s="118">
        <f>+AY23-AY53</f>
        <v>19</v>
      </c>
      <c r="DA82"/>
      <c r="DB82"/>
      <c r="DC82"/>
      <c r="DD82"/>
      <c r="DE82"/>
      <c r="DF82"/>
      <c r="DG82"/>
      <c r="DH82"/>
      <c r="DI82"/>
      <c r="DJ82"/>
      <c r="DK82"/>
      <c r="DL82"/>
      <c r="DM82"/>
      <c r="DN82"/>
      <c r="DO82"/>
      <c r="DP82"/>
      <c r="DQ82"/>
    </row>
    <row r="83" spans="1:167" x14ac:dyDescent="0.2">
      <c r="B83" s="129" t="s">
        <v>145</v>
      </c>
      <c r="C83" s="118">
        <f t="shared" ref="C83:M83" si="99">+C21-C54</f>
        <v>11.809869999999989</v>
      </c>
      <c r="D83" s="118">
        <f t="shared" si="99"/>
        <v>-5.7145399999998858</v>
      </c>
      <c r="E83" s="118">
        <f t="shared" si="99"/>
        <v>2.3984699999998611</v>
      </c>
      <c r="F83" s="118">
        <f t="shared" si="99"/>
        <v>75.974660000000029</v>
      </c>
      <c r="G83" s="118">
        <f t="shared" si="99"/>
        <v>1.0978000000000065</v>
      </c>
      <c r="H83" s="118">
        <f t="shared" si="99"/>
        <v>0</v>
      </c>
      <c r="I83" s="118">
        <f t="shared" si="99"/>
        <v>0</v>
      </c>
      <c r="J83" s="118">
        <f t="shared" si="99"/>
        <v>17.19996000000009</v>
      </c>
      <c r="K83" s="118">
        <f t="shared" si="99"/>
        <v>0</v>
      </c>
      <c r="L83" s="118">
        <f t="shared" si="99"/>
        <v>0</v>
      </c>
      <c r="M83" s="118">
        <f t="shared" si="99"/>
        <v>1.1368683772161603E-13</v>
      </c>
      <c r="N83" s="118">
        <v>5</v>
      </c>
      <c r="O83" s="118">
        <v>4</v>
      </c>
      <c r="P83" s="118">
        <v>0</v>
      </c>
      <c r="Q83" s="118">
        <f t="shared" ref="Q83:W83" si="100">+Q21-Q54</f>
        <v>1</v>
      </c>
      <c r="R83" s="118">
        <f t="shared" si="100"/>
        <v>12</v>
      </c>
      <c r="S83" s="118">
        <f t="shared" si="100"/>
        <v>1</v>
      </c>
      <c r="T83" s="118">
        <f t="shared" si="100"/>
        <v>1</v>
      </c>
      <c r="U83" s="118">
        <f t="shared" si="100"/>
        <v>1</v>
      </c>
      <c r="V83" s="118">
        <f t="shared" si="100"/>
        <v>0</v>
      </c>
      <c r="W83" s="118">
        <f t="shared" si="100"/>
        <v>17</v>
      </c>
      <c r="X83" s="118">
        <f t="shared" ref="X83:AC83" si="101">+X21-X54</f>
        <v>13</v>
      </c>
      <c r="Y83" s="118">
        <f t="shared" si="101"/>
        <v>30</v>
      </c>
      <c r="Z83" s="118">
        <f t="shared" si="101"/>
        <v>30</v>
      </c>
      <c r="AA83" s="118">
        <f t="shared" si="101"/>
        <v>10</v>
      </c>
      <c r="AB83" s="118">
        <f t="shared" si="101"/>
        <v>1</v>
      </c>
      <c r="AC83" s="118">
        <f t="shared" si="101"/>
        <v>164</v>
      </c>
      <c r="AD83" s="118">
        <f t="shared" ref="AD83:AJ83" si="102">+AD21-AD54</f>
        <v>0</v>
      </c>
      <c r="AE83" s="118">
        <f t="shared" si="102"/>
        <v>6</v>
      </c>
      <c r="AF83" s="118">
        <f t="shared" si="102"/>
        <v>0</v>
      </c>
      <c r="AG83" s="118">
        <f t="shared" si="102"/>
        <v>0</v>
      </c>
      <c r="AH83" s="118">
        <f t="shared" si="102"/>
        <v>1</v>
      </c>
      <c r="AI83" s="118">
        <f>+AI21-AI54</f>
        <v>2</v>
      </c>
      <c r="AJ83" s="118">
        <f t="shared" si="102"/>
        <v>0</v>
      </c>
      <c r="AK83" s="118">
        <f t="shared" ref="AK83:AQ83" si="103">+AK21-AK54</f>
        <v>0</v>
      </c>
      <c r="AL83" s="118">
        <f t="shared" si="103"/>
        <v>13</v>
      </c>
      <c r="AM83" s="118">
        <f t="shared" si="103"/>
        <v>8</v>
      </c>
      <c r="AN83" s="118">
        <f t="shared" si="103"/>
        <v>5</v>
      </c>
      <c r="AO83" s="118">
        <f t="shared" si="103"/>
        <v>6</v>
      </c>
      <c r="AP83" s="118">
        <f t="shared" si="103"/>
        <v>20</v>
      </c>
      <c r="AQ83" s="118">
        <f t="shared" si="103"/>
        <v>0</v>
      </c>
      <c r="AR83" s="118">
        <f>+AR21-AR54</f>
        <v>4</v>
      </c>
      <c r="AS83" s="118">
        <f>+AS21-AS54</f>
        <v>12</v>
      </c>
      <c r="AT83" s="118">
        <f>+AT21-AT54</f>
        <v>2</v>
      </c>
      <c r="AU83" s="118">
        <v>3</v>
      </c>
      <c r="AV83" s="118">
        <v>1</v>
      </c>
      <c r="AW83" s="118">
        <v>2</v>
      </c>
      <c r="AX83" s="118">
        <f>+AX21-AX54</f>
        <v>46</v>
      </c>
      <c r="AY83" s="118">
        <f>+AY21-AY54</f>
        <v>21</v>
      </c>
      <c r="DA83"/>
      <c r="DB83"/>
      <c r="DC83"/>
      <c r="DD83"/>
      <c r="DE83"/>
      <c r="DF83"/>
      <c r="DG83"/>
      <c r="DH83"/>
      <c r="DI83"/>
      <c r="DJ83"/>
      <c r="DK83"/>
      <c r="DL83"/>
      <c r="DM83"/>
      <c r="DN83"/>
      <c r="DO83"/>
      <c r="DP83"/>
      <c r="DQ83"/>
    </row>
    <row r="84" spans="1:167" x14ac:dyDescent="0.2">
      <c r="B84" s="129" t="s">
        <v>634</v>
      </c>
      <c r="C84" s="118">
        <v>0</v>
      </c>
      <c r="D84" s="118">
        <v>0</v>
      </c>
      <c r="E84" s="118">
        <v>0</v>
      </c>
      <c r="F84" s="118">
        <v>0</v>
      </c>
      <c r="G84" s="118">
        <v>0</v>
      </c>
      <c r="H84" s="118">
        <v>0</v>
      </c>
      <c r="I84" s="118">
        <v>0</v>
      </c>
      <c r="J84" s="118">
        <v>0</v>
      </c>
      <c r="K84" s="118">
        <v>0</v>
      </c>
      <c r="L84" s="118">
        <v>0</v>
      </c>
      <c r="M84" s="118">
        <v>0</v>
      </c>
      <c r="N84" s="118">
        <v>0</v>
      </c>
      <c r="O84" s="118">
        <v>0</v>
      </c>
      <c r="P84" s="118">
        <v>0</v>
      </c>
      <c r="Q84" s="118">
        <f t="shared" ref="Q84:W84" si="104">+Q29</f>
        <v>5733</v>
      </c>
      <c r="R84" s="118">
        <f t="shared" si="104"/>
        <v>5731</v>
      </c>
      <c r="S84" s="118">
        <f t="shared" si="104"/>
        <v>0</v>
      </c>
      <c r="T84" s="118">
        <f t="shared" si="104"/>
        <v>0</v>
      </c>
      <c r="U84" s="118">
        <f t="shared" si="104"/>
        <v>0</v>
      </c>
      <c r="V84" s="118">
        <f t="shared" si="104"/>
        <v>1907</v>
      </c>
      <c r="W84" s="118">
        <f t="shared" si="104"/>
        <v>0</v>
      </c>
      <c r="X84" s="118">
        <f t="shared" ref="X84:AC84" si="105">+X29</f>
        <v>0</v>
      </c>
      <c r="Y84" s="118">
        <f t="shared" si="105"/>
        <v>0</v>
      </c>
      <c r="Z84" s="118">
        <f t="shared" si="105"/>
        <v>0</v>
      </c>
      <c r="AA84" s="118">
        <f t="shared" si="105"/>
        <v>0</v>
      </c>
      <c r="AB84" s="118">
        <f t="shared" si="105"/>
        <v>0</v>
      </c>
      <c r="AC84" s="118">
        <f t="shared" si="105"/>
        <v>0</v>
      </c>
      <c r="AD84" s="118">
        <f t="shared" ref="AD84:AJ84" si="106">+AD29</f>
        <v>0</v>
      </c>
      <c r="AE84" s="118">
        <f t="shared" si="106"/>
        <v>0</v>
      </c>
      <c r="AF84" s="118">
        <f t="shared" si="106"/>
        <v>0</v>
      </c>
      <c r="AG84" s="118">
        <f t="shared" si="106"/>
        <v>0</v>
      </c>
      <c r="AH84" s="118">
        <f t="shared" si="106"/>
        <v>0</v>
      </c>
      <c r="AI84" s="118">
        <f>+AI29</f>
        <v>0</v>
      </c>
      <c r="AJ84" s="118">
        <f t="shared" si="106"/>
        <v>0</v>
      </c>
      <c r="AK84" s="118">
        <f t="shared" ref="AK84:AQ84" si="107">+AK29</f>
        <v>0</v>
      </c>
      <c r="AL84" s="118">
        <f t="shared" si="107"/>
        <v>0</v>
      </c>
      <c r="AM84" s="118">
        <f t="shared" si="107"/>
        <v>0</v>
      </c>
      <c r="AN84" s="118">
        <f t="shared" si="107"/>
        <v>0</v>
      </c>
      <c r="AO84" s="118">
        <f t="shared" si="107"/>
        <v>0</v>
      </c>
      <c r="AP84" s="118">
        <f t="shared" si="107"/>
        <v>0</v>
      </c>
      <c r="AQ84" s="118">
        <f t="shared" si="107"/>
        <v>0</v>
      </c>
      <c r="AR84" s="118">
        <f>+AR29</f>
        <v>0</v>
      </c>
      <c r="AS84" s="118">
        <f>+AS29</f>
        <v>0</v>
      </c>
      <c r="AT84" s="118">
        <f>+AT29</f>
        <v>0</v>
      </c>
      <c r="AU84" s="118">
        <v>0</v>
      </c>
      <c r="AV84" s="118">
        <v>0</v>
      </c>
      <c r="AW84" s="118">
        <v>0</v>
      </c>
      <c r="AX84" s="118">
        <f>+AX29</f>
        <v>0</v>
      </c>
      <c r="AY84" s="118">
        <f>+AY29</f>
        <v>0</v>
      </c>
    </row>
    <row r="85" spans="1:167" ht="25.5" x14ac:dyDescent="0.2">
      <c r="B85" s="129" t="s">
        <v>1232</v>
      </c>
      <c r="C85" s="118">
        <f t="shared" ref="C85:AN85" si="108">C28-C56</f>
        <v>0</v>
      </c>
      <c r="D85" s="118">
        <f t="shared" si="108"/>
        <v>0</v>
      </c>
      <c r="E85" s="118">
        <f t="shared" si="108"/>
        <v>0</v>
      </c>
      <c r="F85" s="118">
        <f t="shared" si="108"/>
        <v>0</v>
      </c>
      <c r="G85" s="118">
        <f t="shared" si="108"/>
        <v>0</v>
      </c>
      <c r="H85" s="118">
        <f t="shared" si="108"/>
        <v>0</v>
      </c>
      <c r="I85" s="118">
        <f t="shared" si="108"/>
        <v>0</v>
      </c>
      <c r="J85" s="118">
        <f t="shared" si="108"/>
        <v>0</v>
      </c>
      <c r="K85" s="118">
        <f t="shared" si="108"/>
        <v>0</v>
      </c>
      <c r="L85" s="118">
        <f t="shared" si="108"/>
        <v>0</v>
      </c>
      <c r="M85" s="118">
        <f t="shared" si="108"/>
        <v>0</v>
      </c>
      <c r="N85" s="118">
        <f t="shared" si="108"/>
        <v>0</v>
      </c>
      <c r="O85" s="118">
        <f t="shared" si="108"/>
        <v>0</v>
      </c>
      <c r="P85" s="118">
        <f t="shared" si="108"/>
        <v>0</v>
      </c>
      <c r="Q85" s="118">
        <f t="shared" si="108"/>
        <v>0</v>
      </c>
      <c r="R85" s="118">
        <f t="shared" si="108"/>
        <v>0</v>
      </c>
      <c r="S85" s="118">
        <f t="shared" si="108"/>
        <v>0</v>
      </c>
      <c r="T85" s="118">
        <f t="shared" si="108"/>
        <v>0</v>
      </c>
      <c r="U85" s="118">
        <f t="shared" si="108"/>
        <v>0</v>
      </c>
      <c r="V85" s="118">
        <f t="shared" si="108"/>
        <v>0</v>
      </c>
      <c r="W85" s="118">
        <f t="shared" si="108"/>
        <v>0</v>
      </c>
      <c r="X85" s="118">
        <f t="shared" si="108"/>
        <v>0</v>
      </c>
      <c r="Y85" s="118">
        <f t="shared" si="108"/>
        <v>0</v>
      </c>
      <c r="Z85" s="118">
        <f t="shared" si="108"/>
        <v>0</v>
      </c>
      <c r="AA85" s="118">
        <f t="shared" si="108"/>
        <v>0</v>
      </c>
      <c r="AB85" s="118">
        <f t="shared" si="108"/>
        <v>0</v>
      </c>
      <c r="AC85" s="118">
        <f t="shared" si="108"/>
        <v>0</v>
      </c>
      <c r="AD85" s="118">
        <f t="shared" si="108"/>
        <v>0</v>
      </c>
      <c r="AE85" s="118">
        <f t="shared" si="108"/>
        <v>0</v>
      </c>
      <c r="AF85" s="118">
        <f t="shared" si="108"/>
        <v>0</v>
      </c>
      <c r="AG85" s="118">
        <f t="shared" si="108"/>
        <v>0</v>
      </c>
      <c r="AH85" s="118">
        <f t="shared" si="108"/>
        <v>0</v>
      </c>
      <c r="AI85" s="118">
        <f t="shared" si="108"/>
        <v>26</v>
      </c>
      <c r="AJ85" s="118">
        <f t="shared" si="108"/>
        <v>77</v>
      </c>
      <c r="AK85" s="118">
        <f t="shared" si="108"/>
        <v>17</v>
      </c>
      <c r="AL85" s="118">
        <f t="shared" si="108"/>
        <v>72</v>
      </c>
      <c r="AM85" s="118">
        <f t="shared" si="108"/>
        <v>382</v>
      </c>
      <c r="AN85" s="118">
        <f t="shared" si="108"/>
        <v>-28</v>
      </c>
      <c r="AO85" s="118">
        <f t="shared" ref="AO85:AT85" si="109">AO28-AO56</f>
        <v>183</v>
      </c>
      <c r="AP85" s="118">
        <f t="shared" si="109"/>
        <v>48</v>
      </c>
      <c r="AQ85" s="118">
        <f t="shared" si="109"/>
        <v>-58</v>
      </c>
      <c r="AR85" s="118">
        <f t="shared" si="109"/>
        <v>73</v>
      </c>
      <c r="AS85" s="118">
        <f t="shared" si="109"/>
        <v>185</v>
      </c>
      <c r="AT85" s="118">
        <f t="shared" si="109"/>
        <v>-4131</v>
      </c>
      <c r="AU85" s="118">
        <v>48</v>
      </c>
      <c r="AV85" s="118">
        <v>203</v>
      </c>
      <c r="AW85" s="118">
        <v>-360</v>
      </c>
      <c r="AX85" s="118">
        <f>AX28-AX56</f>
        <v>201</v>
      </c>
      <c r="AY85" s="118">
        <f>AY28-AY56</f>
        <v>477</v>
      </c>
    </row>
    <row r="86" spans="1:167" x14ac:dyDescent="0.2">
      <c r="B86" s="129" t="s">
        <v>480</v>
      </c>
      <c r="C86" s="118">
        <f t="shared" ref="C86:M86" si="110">+C22-C57</f>
        <v>-2467.0325000000048</v>
      </c>
      <c r="D86" s="118">
        <f t="shared" si="110"/>
        <v>-2703.6668299999947</v>
      </c>
      <c r="E86" s="118">
        <f t="shared" si="110"/>
        <v>-2524.9194800000114</v>
      </c>
      <c r="F86" s="118">
        <f t="shared" si="110"/>
        <v>-2446.2342099999842</v>
      </c>
      <c r="G86" s="118">
        <f t="shared" si="110"/>
        <v>-2445.1620999999977</v>
      </c>
      <c r="H86" s="118">
        <f t="shared" si="110"/>
        <v>-2492.1423099999993</v>
      </c>
      <c r="I86" s="118">
        <f t="shared" si="110"/>
        <v>-2619.0484900000029</v>
      </c>
      <c r="J86" s="118">
        <f t="shared" si="110"/>
        <v>-6128.3222099999875</v>
      </c>
      <c r="K86" s="118">
        <f t="shared" si="110"/>
        <v>-1863.7015500000016</v>
      </c>
      <c r="L86" s="118">
        <f t="shared" si="110"/>
        <v>-2071.065260000003</v>
      </c>
      <c r="M86" s="118">
        <f t="shared" si="110"/>
        <v>-1920.2331899999954</v>
      </c>
      <c r="N86" s="118">
        <v>-1179</v>
      </c>
      <c r="O86" s="118">
        <v>-1604</v>
      </c>
      <c r="P86" s="118">
        <v>-1653</v>
      </c>
      <c r="Q86" s="118">
        <f t="shared" ref="Q86:W86" si="111">+Q22-Q57</f>
        <v>-1513</v>
      </c>
      <c r="R86" s="118">
        <f t="shared" si="111"/>
        <v>-5665</v>
      </c>
      <c r="S86" s="118">
        <f t="shared" si="111"/>
        <v>-1276</v>
      </c>
      <c r="T86" s="118">
        <f t="shared" si="111"/>
        <v>-1192</v>
      </c>
      <c r="U86" s="118">
        <f t="shared" si="111"/>
        <v>-1659</v>
      </c>
      <c r="V86" s="118">
        <f t="shared" si="111"/>
        <v>-1496</v>
      </c>
      <c r="W86" s="118">
        <f t="shared" si="111"/>
        <v>-1748</v>
      </c>
      <c r="X86" s="118">
        <f t="shared" ref="X86:AC86" si="112">+X22-X57</f>
        <v>-2784</v>
      </c>
      <c r="Y86" s="118">
        <f t="shared" si="112"/>
        <v>-1885</v>
      </c>
      <c r="Z86" s="118">
        <f t="shared" si="112"/>
        <v>-2563</v>
      </c>
      <c r="AA86" s="118">
        <f t="shared" si="112"/>
        <v>-2222</v>
      </c>
      <c r="AB86" s="118">
        <f t="shared" si="112"/>
        <v>-1734</v>
      </c>
      <c r="AC86" s="118">
        <f t="shared" si="112"/>
        <v>-2385</v>
      </c>
      <c r="AD86" s="118">
        <f t="shared" ref="AD86:AJ86" si="113">+AD22-AD57</f>
        <v>-2610</v>
      </c>
      <c r="AE86" s="118">
        <f t="shared" si="113"/>
        <v>-2567</v>
      </c>
      <c r="AF86" s="118">
        <f t="shared" si="113"/>
        <v>-3424</v>
      </c>
      <c r="AG86" s="118">
        <f t="shared" si="113"/>
        <v>-2828</v>
      </c>
      <c r="AH86" s="118">
        <f t="shared" si="113"/>
        <v>-3047</v>
      </c>
      <c r="AI86" s="118">
        <f>+AI22-AI57</f>
        <v>-3135</v>
      </c>
      <c r="AJ86" s="118">
        <f t="shared" si="113"/>
        <v>-3493</v>
      </c>
      <c r="AK86" s="118">
        <f t="shared" ref="AK86:AQ86" si="114">+AK22-AK57</f>
        <v>-4055</v>
      </c>
      <c r="AL86" s="118">
        <f t="shared" si="114"/>
        <v>-4741</v>
      </c>
      <c r="AM86" s="118">
        <f t="shared" si="114"/>
        <v>-4575</v>
      </c>
      <c r="AN86" s="118">
        <f t="shared" si="114"/>
        <v>-4091</v>
      </c>
      <c r="AO86" s="118">
        <f t="shared" si="114"/>
        <v>-4869</v>
      </c>
      <c r="AP86" s="118">
        <f t="shared" si="114"/>
        <v>-5443</v>
      </c>
      <c r="AQ86" s="118">
        <f t="shared" si="114"/>
        <v>-4698</v>
      </c>
      <c r="AR86" s="118">
        <f>+AR22-AR57</f>
        <v>-3669</v>
      </c>
      <c r="AS86" s="118">
        <f>+AS22-AS57</f>
        <v>-2642</v>
      </c>
      <c r="AT86" s="118">
        <f>+AT22-AT57</f>
        <v>-2210</v>
      </c>
      <c r="AU86" s="118">
        <v>-2800</v>
      </c>
      <c r="AV86" s="118">
        <v>-3229</v>
      </c>
      <c r="AW86" s="118">
        <v>-2139</v>
      </c>
      <c r="AX86" s="118">
        <f>+AX22-AX57</f>
        <v>-2527</v>
      </c>
      <c r="AY86" s="118">
        <f>+AY22-AY57</f>
        <v>-3183</v>
      </c>
      <c r="DA86"/>
      <c r="DB86"/>
      <c r="DC86"/>
      <c r="DD86"/>
      <c r="DE86"/>
      <c r="DF86"/>
      <c r="DG86"/>
      <c r="DH86"/>
      <c r="DI86"/>
      <c r="DJ86"/>
      <c r="DK86"/>
      <c r="DL86"/>
      <c r="DM86"/>
      <c r="DN86"/>
      <c r="DO86"/>
      <c r="DP86"/>
      <c r="DQ86"/>
    </row>
    <row r="87" spans="1:167" s="248" customFormat="1" ht="14.25" hidden="1" customHeight="1" outlineLevel="1" x14ac:dyDescent="0.2">
      <c r="A87" s="232"/>
      <c r="B87" s="249" t="s">
        <v>411</v>
      </c>
      <c r="C87" s="218">
        <f t="shared" ref="C87:M87" si="115">+C27-C55</f>
        <v>0</v>
      </c>
      <c r="D87" s="218">
        <f t="shared" si="115"/>
        <v>0</v>
      </c>
      <c r="E87" s="218">
        <f t="shared" si="115"/>
        <v>0</v>
      </c>
      <c r="F87" s="218">
        <f t="shared" si="115"/>
        <v>0</v>
      </c>
      <c r="G87" s="218">
        <f t="shared" si="115"/>
        <v>0</v>
      </c>
      <c r="H87" s="218">
        <f t="shared" si="115"/>
        <v>3704.1926200000003</v>
      </c>
      <c r="I87" s="218">
        <f t="shared" si="115"/>
        <v>-1E-3</v>
      </c>
      <c r="J87" s="218">
        <f t="shared" si="115"/>
        <v>4006.04358</v>
      </c>
      <c r="K87" s="218">
        <f t="shared" si="115"/>
        <v>0</v>
      </c>
      <c r="L87" s="218">
        <f t="shared" si="115"/>
        <v>235.36089999999999</v>
      </c>
      <c r="M87" s="218">
        <f t="shared" si="115"/>
        <v>-0.36089999999999378</v>
      </c>
      <c r="N87" s="218">
        <v>15</v>
      </c>
      <c r="O87" s="218">
        <v>5</v>
      </c>
      <c r="P87" s="218">
        <v>0</v>
      </c>
      <c r="Q87" s="218">
        <f t="shared" ref="Q87:W87" si="116">+Q27-Q55</f>
        <v>0</v>
      </c>
      <c r="R87" s="218">
        <f t="shared" si="116"/>
        <v>0</v>
      </c>
      <c r="S87" s="218">
        <f t="shared" si="116"/>
        <v>0</v>
      </c>
      <c r="T87" s="218">
        <f t="shared" si="116"/>
        <v>0</v>
      </c>
      <c r="U87" s="218">
        <f t="shared" si="116"/>
        <v>0</v>
      </c>
      <c r="V87" s="218">
        <f t="shared" si="116"/>
        <v>0</v>
      </c>
      <c r="W87" s="218">
        <f t="shared" si="116"/>
        <v>0</v>
      </c>
      <c r="X87" s="218">
        <f t="shared" ref="X87:AC87" si="117">+X27-X55</f>
        <v>0</v>
      </c>
      <c r="Y87" s="218">
        <f t="shared" si="117"/>
        <v>0</v>
      </c>
      <c r="Z87" s="218">
        <f t="shared" si="117"/>
        <v>242</v>
      </c>
      <c r="AA87" s="218">
        <f t="shared" si="117"/>
        <v>0</v>
      </c>
      <c r="AB87" s="218">
        <f t="shared" si="117"/>
        <v>0</v>
      </c>
      <c r="AC87" s="218">
        <f t="shared" si="117"/>
        <v>0</v>
      </c>
      <c r="AD87" s="218">
        <f t="shared" ref="AD87:AJ87" si="118">+AD27-AD55</f>
        <v>-81</v>
      </c>
      <c r="AE87" s="218">
        <f t="shared" si="118"/>
        <v>0</v>
      </c>
      <c r="AF87" s="218">
        <f t="shared" si="118"/>
        <v>0</v>
      </c>
      <c r="AG87" s="218">
        <f t="shared" si="118"/>
        <v>0</v>
      </c>
      <c r="AH87" s="218">
        <f t="shared" si="118"/>
        <v>0</v>
      </c>
      <c r="AI87" s="218">
        <f>+AI27-AI55</f>
        <v>0</v>
      </c>
      <c r="AJ87" s="218">
        <f t="shared" si="118"/>
        <v>0</v>
      </c>
      <c r="AK87" s="218">
        <f t="shared" ref="AK87:AQ87" si="119">+AK27-AK55</f>
        <v>0</v>
      </c>
      <c r="AL87" s="218">
        <f t="shared" si="119"/>
        <v>0</v>
      </c>
      <c r="AM87" s="218">
        <f t="shared" si="119"/>
        <v>0</v>
      </c>
      <c r="AN87" s="218">
        <f t="shared" si="119"/>
        <v>0</v>
      </c>
      <c r="AO87" s="218">
        <f t="shared" si="119"/>
        <v>0</v>
      </c>
      <c r="AP87" s="218">
        <f t="shared" si="119"/>
        <v>0</v>
      </c>
      <c r="AQ87" s="218">
        <f t="shared" si="119"/>
        <v>0</v>
      </c>
      <c r="AR87" s="218">
        <f>+AR27-AR55</f>
        <v>0</v>
      </c>
      <c r="AS87" s="218"/>
      <c r="AT87" s="218"/>
      <c r="AU87" s="218"/>
      <c r="AV87" s="218"/>
      <c r="AW87" s="218"/>
      <c r="AX87" s="218"/>
      <c r="AY87" s="218"/>
      <c r="DA87" s="232"/>
      <c r="DB87" s="232"/>
      <c r="DC87" s="232"/>
      <c r="DD87" s="232"/>
      <c r="DE87" s="232"/>
      <c r="DF87" s="232"/>
      <c r="DG87" s="232"/>
      <c r="DH87" s="232"/>
      <c r="DI87" s="232"/>
      <c r="DJ87" s="232"/>
      <c r="DK87" s="232"/>
      <c r="DL87" s="232"/>
      <c r="DM87" s="232"/>
      <c r="DN87" s="232"/>
      <c r="DO87" s="232"/>
      <c r="DP87" s="232"/>
      <c r="DQ87" s="232"/>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1:167" s="248" customFormat="1" ht="14.25" hidden="1" customHeight="1" outlineLevel="1" x14ac:dyDescent="0.2">
      <c r="A88" s="232"/>
      <c r="B88" s="249" t="s">
        <v>489</v>
      </c>
      <c r="C88" s="218">
        <f t="shared" ref="C88:M88" si="120">+C30-C58</f>
        <v>0</v>
      </c>
      <c r="D88" s="218">
        <f t="shared" si="120"/>
        <v>0</v>
      </c>
      <c r="E88" s="218">
        <f t="shared" si="120"/>
        <v>0</v>
      </c>
      <c r="F88" s="218">
        <f t="shared" si="120"/>
        <v>0</v>
      </c>
      <c r="G88" s="218">
        <f t="shared" si="120"/>
        <v>0</v>
      </c>
      <c r="H88" s="218">
        <f t="shared" si="120"/>
        <v>0</v>
      </c>
      <c r="I88" s="218">
        <f t="shared" si="120"/>
        <v>0</v>
      </c>
      <c r="J88" s="218">
        <f t="shared" si="120"/>
        <v>2643</v>
      </c>
      <c r="K88" s="218">
        <f t="shared" si="120"/>
        <v>0</v>
      </c>
      <c r="L88" s="218">
        <f t="shared" si="120"/>
        <v>0</v>
      </c>
      <c r="M88" s="218">
        <f t="shared" si="120"/>
        <v>0</v>
      </c>
      <c r="N88" s="218">
        <v>0</v>
      </c>
      <c r="O88" s="218">
        <v>0</v>
      </c>
      <c r="P88" s="218">
        <v>0</v>
      </c>
      <c r="Q88" s="218">
        <f t="shared" ref="Q88:W88" si="121">+Q30-Q58</f>
        <v>0</v>
      </c>
      <c r="R88" s="218">
        <f t="shared" si="121"/>
        <v>0</v>
      </c>
      <c r="S88" s="218">
        <f t="shared" si="121"/>
        <v>0</v>
      </c>
      <c r="T88" s="218">
        <f t="shared" si="121"/>
        <v>0</v>
      </c>
      <c r="U88" s="218">
        <f t="shared" si="121"/>
        <v>0</v>
      </c>
      <c r="V88" s="218">
        <f t="shared" si="121"/>
        <v>0</v>
      </c>
      <c r="W88" s="218">
        <f t="shared" si="121"/>
        <v>0</v>
      </c>
      <c r="X88" s="218">
        <f t="shared" ref="X88:AC88" si="122">+X30-X58</f>
        <v>0</v>
      </c>
      <c r="Y88" s="218">
        <f t="shared" si="122"/>
        <v>0</v>
      </c>
      <c r="Z88" s="218">
        <f t="shared" si="122"/>
        <v>0</v>
      </c>
      <c r="AA88" s="218">
        <f t="shared" si="122"/>
        <v>0</v>
      </c>
      <c r="AB88" s="218">
        <f t="shared" si="122"/>
        <v>0</v>
      </c>
      <c r="AC88" s="218">
        <f t="shared" si="122"/>
        <v>0</v>
      </c>
      <c r="AD88" s="218">
        <f t="shared" ref="AD88:AJ88" si="123">+AD30-AD58</f>
        <v>2875</v>
      </c>
      <c r="AE88" s="218">
        <f t="shared" si="123"/>
        <v>0</v>
      </c>
      <c r="AF88" s="218">
        <f t="shared" si="123"/>
        <v>0</v>
      </c>
      <c r="AG88" s="218">
        <f t="shared" si="123"/>
        <v>0</v>
      </c>
      <c r="AH88" s="218">
        <f t="shared" si="123"/>
        <v>0</v>
      </c>
      <c r="AI88" s="218">
        <f>+AI30-AI58</f>
        <v>0</v>
      </c>
      <c r="AJ88" s="218">
        <f t="shared" si="123"/>
        <v>0</v>
      </c>
      <c r="AK88" s="218">
        <f t="shared" ref="AK88:AQ88" si="124">+AK30-AK58</f>
        <v>0</v>
      </c>
      <c r="AL88" s="218">
        <f t="shared" si="124"/>
        <v>0</v>
      </c>
      <c r="AM88" s="218">
        <f t="shared" si="124"/>
        <v>0</v>
      </c>
      <c r="AN88" s="218">
        <f t="shared" si="124"/>
        <v>0</v>
      </c>
      <c r="AO88" s="218">
        <f t="shared" si="124"/>
        <v>0</v>
      </c>
      <c r="AP88" s="218">
        <f t="shared" si="124"/>
        <v>0</v>
      </c>
      <c r="AQ88" s="218">
        <f t="shared" si="124"/>
        <v>0</v>
      </c>
      <c r="AR88" s="218">
        <f>+AR30-AR58</f>
        <v>0</v>
      </c>
      <c r="AS88" s="218"/>
      <c r="AT88" s="218"/>
      <c r="AU88" s="218"/>
      <c r="AV88" s="218"/>
      <c r="AW88" s="218"/>
      <c r="AX88" s="218"/>
      <c r="AY88" s="218"/>
      <c r="DA88" s="232"/>
      <c r="DB88" s="232"/>
      <c r="DC88" s="232"/>
      <c r="DD88" s="232"/>
      <c r="DE88" s="232"/>
      <c r="DF88" s="232"/>
      <c r="DG88" s="232"/>
      <c r="DH88" s="232"/>
      <c r="DI88" s="232"/>
      <c r="DJ88" s="232"/>
      <c r="DK88" s="232"/>
      <c r="DL88" s="232"/>
      <c r="DM88" s="232"/>
      <c r="DN88" s="232"/>
      <c r="DO88" s="232"/>
      <c r="DP88" s="232"/>
      <c r="DQ88" s="232"/>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1:167" s="248" customFormat="1" ht="14.25" hidden="1" customHeight="1" outlineLevel="1" x14ac:dyDescent="0.2">
      <c r="A89" s="232"/>
      <c r="B89" s="249" t="s">
        <v>490</v>
      </c>
      <c r="C89" s="218">
        <f t="shared" ref="C89:M89" si="125">+C31-C60</f>
        <v>0</v>
      </c>
      <c r="D89" s="218">
        <f t="shared" si="125"/>
        <v>0</v>
      </c>
      <c r="E89" s="218">
        <f t="shared" si="125"/>
        <v>0</v>
      </c>
      <c r="F89" s="218">
        <f t="shared" si="125"/>
        <v>3637.7085200000001</v>
      </c>
      <c r="G89" s="218">
        <f t="shared" si="125"/>
        <v>0</v>
      </c>
      <c r="H89" s="218">
        <f t="shared" si="125"/>
        <v>0</v>
      </c>
      <c r="I89" s="218">
        <f t="shared" si="125"/>
        <v>0</v>
      </c>
      <c r="J89" s="218">
        <f t="shared" si="125"/>
        <v>0</v>
      </c>
      <c r="K89" s="218">
        <f t="shared" si="125"/>
        <v>0</v>
      </c>
      <c r="L89" s="218">
        <f t="shared" si="125"/>
        <v>0</v>
      </c>
      <c r="M89" s="218">
        <f t="shared" si="125"/>
        <v>0</v>
      </c>
      <c r="N89" s="218">
        <v>0</v>
      </c>
      <c r="O89" s="218">
        <v>0</v>
      </c>
      <c r="P89" s="218">
        <v>0</v>
      </c>
      <c r="Q89" s="218">
        <f t="shared" ref="Q89:S90" si="126">+Q31-Q60</f>
        <v>0</v>
      </c>
      <c r="R89" s="218">
        <f t="shared" si="126"/>
        <v>0</v>
      </c>
      <c r="S89" s="218">
        <f t="shared" si="126"/>
        <v>0</v>
      </c>
      <c r="T89" s="218" t="s">
        <v>160</v>
      </c>
      <c r="U89" s="218" t="s">
        <v>160</v>
      </c>
      <c r="V89" s="218" t="s">
        <v>160</v>
      </c>
      <c r="W89" s="218" t="s">
        <v>160</v>
      </c>
      <c r="X89" s="218" t="s">
        <v>160</v>
      </c>
      <c r="Y89" s="218" t="s">
        <v>160</v>
      </c>
      <c r="Z89" s="218" t="s">
        <v>160</v>
      </c>
      <c r="AA89" s="218" t="s">
        <v>160</v>
      </c>
      <c r="AB89" s="218" t="s">
        <v>160</v>
      </c>
      <c r="AC89" s="218" t="s">
        <v>160</v>
      </c>
      <c r="AD89" s="218" t="s">
        <v>160</v>
      </c>
      <c r="AE89" s="218" t="s">
        <v>160</v>
      </c>
      <c r="AF89" s="218" t="s">
        <v>160</v>
      </c>
      <c r="AG89" s="218" t="s">
        <v>160</v>
      </c>
      <c r="AH89" s="218" t="s">
        <v>160</v>
      </c>
      <c r="AI89" s="218" t="s">
        <v>160</v>
      </c>
      <c r="AJ89" s="218" t="s">
        <v>160</v>
      </c>
      <c r="AK89" s="218" t="s">
        <v>160</v>
      </c>
      <c r="AL89" s="218" t="s">
        <v>160</v>
      </c>
      <c r="AM89" s="218" t="s">
        <v>160</v>
      </c>
      <c r="AN89" s="218" t="s">
        <v>160</v>
      </c>
      <c r="AO89" s="218" t="s">
        <v>160</v>
      </c>
      <c r="AP89" s="218" t="s">
        <v>160</v>
      </c>
      <c r="AQ89" s="218" t="s">
        <v>160</v>
      </c>
      <c r="AR89" s="218" t="s">
        <v>160</v>
      </c>
      <c r="AS89" s="218"/>
      <c r="AT89" s="218"/>
      <c r="AU89" s="218"/>
      <c r="AV89" s="218"/>
      <c r="AW89" s="218"/>
      <c r="AX89" s="218"/>
      <c r="AY89" s="218"/>
      <c r="DA89" s="232"/>
      <c r="DB89" s="232"/>
      <c r="DC89" s="232"/>
      <c r="DD89" s="232"/>
      <c r="DE89" s="232"/>
      <c r="DF89" s="232"/>
      <c r="DG89" s="232"/>
      <c r="DH89" s="232"/>
      <c r="DI89" s="232"/>
      <c r="DJ89" s="232"/>
      <c r="DK89" s="232"/>
      <c r="DL89" s="232"/>
      <c r="DM89" s="232"/>
      <c r="DN89" s="232"/>
      <c r="DO89" s="232"/>
      <c r="DP89" s="232"/>
      <c r="DQ89" s="232"/>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1:167" collapsed="1" x14ac:dyDescent="0.2">
      <c r="B90" s="126" t="s">
        <v>148</v>
      </c>
      <c r="C90" s="120">
        <f t="shared" ref="C90:M90" si="127">+C32-C61</f>
        <v>61096.568379999953</v>
      </c>
      <c r="D90" s="120">
        <f t="shared" si="127"/>
        <v>45899.205290000129</v>
      </c>
      <c r="E90" s="120">
        <f t="shared" si="127"/>
        <v>54634.289449999924</v>
      </c>
      <c r="F90" s="120">
        <f t="shared" si="127"/>
        <v>49696.306192599994</v>
      </c>
      <c r="G90" s="120">
        <f t="shared" si="127"/>
        <v>46183.605933950166</v>
      </c>
      <c r="H90" s="120">
        <f t="shared" si="127"/>
        <v>52155.658936749853</v>
      </c>
      <c r="I90" s="120">
        <f t="shared" si="127"/>
        <v>47353.829017950135</v>
      </c>
      <c r="J90" s="120">
        <f t="shared" si="127"/>
        <v>49261.225610000081</v>
      </c>
      <c r="K90" s="120">
        <f t="shared" si="127"/>
        <v>36005.654849999963</v>
      </c>
      <c r="L90" s="120">
        <f t="shared" si="127"/>
        <v>36346.00297000003</v>
      </c>
      <c r="M90" s="120">
        <f t="shared" si="127"/>
        <v>33747.342179999978</v>
      </c>
      <c r="N90" s="120">
        <f>+N32-N61</f>
        <v>32605</v>
      </c>
      <c r="O90" s="120">
        <f>+O32-O61</f>
        <v>31035</v>
      </c>
      <c r="P90" s="120">
        <f>+P32-P61</f>
        <v>31523</v>
      </c>
      <c r="Q90" s="120">
        <f t="shared" si="126"/>
        <v>37391</v>
      </c>
      <c r="R90" s="120">
        <f t="shared" si="126"/>
        <v>38579</v>
      </c>
      <c r="S90" s="120">
        <f t="shared" si="126"/>
        <v>28343</v>
      </c>
      <c r="T90" s="120">
        <f t="shared" ref="T90:Z90" si="128">+T32-T61</f>
        <v>25815</v>
      </c>
      <c r="U90" s="120">
        <f t="shared" si="128"/>
        <v>26493</v>
      </c>
      <c r="V90" s="120">
        <f t="shared" si="128"/>
        <v>29838</v>
      </c>
      <c r="W90" s="120">
        <f t="shared" si="128"/>
        <v>26879</v>
      </c>
      <c r="X90" s="120">
        <f t="shared" si="128"/>
        <v>37026</v>
      </c>
      <c r="Y90" s="120">
        <f t="shared" si="128"/>
        <v>37597</v>
      </c>
      <c r="Z90" s="120">
        <f t="shared" si="128"/>
        <v>40423</v>
      </c>
      <c r="AA90" s="120">
        <f t="shared" ref="AA90:AF90" si="129">+AA32-AA61</f>
        <v>33145</v>
      </c>
      <c r="AB90" s="120">
        <f t="shared" si="129"/>
        <v>31725</v>
      </c>
      <c r="AC90" s="120">
        <f t="shared" si="129"/>
        <v>36493</v>
      </c>
      <c r="AD90" s="120">
        <f t="shared" si="129"/>
        <v>39446</v>
      </c>
      <c r="AE90" s="120">
        <f t="shared" si="129"/>
        <v>35078</v>
      </c>
      <c r="AF90" s="120">
        <f t="shared" si="129"/>
        <v>38801</v>
      </c>
      <c r="AG90" s="120">
        <f t="shared" ref="AG90:AL90" si="130">+AG32-AG61</f>
        <v>36913</v>
      </c>
      <c r="AH90" s="120">
        <f t="shared" si="130"/>
        <v>38532</v>
      </c>
      <c r="AI90" s="120">
        <f t="shared" si="130"/>
        <v>39568</v>
      </c>
      <c r="AJ90" s="120">
        <f t="shared" si="130"/>
        <v>45749</v>
      </c>
      <c r="AK90" s="120">
        <f t="shared" si="130"/>
        <v>51742</v>
      </c>
      <c r="AL90" s="120">
        <f t="shared" si="130"/>
        <v>55514</v>
      </c>
      <c r="AM90" s="120">
        <f t="shared" ref="AM90:AS90" si="131">+AM32-AM61</f>
        <v>55567</v>
      </c>
      <c r="AN90" s="120">
        <f t="shared" si="131"/>
        <v>50901</v>
      </c>
      <c r="AO90" s="120">
        <f t="shared" si="131"/>
        <v>57313</v>
      </c>
      <c r="AP90" s="120">
        <f t="shared" si="131"/>
        <v>59850</v>
      </c>
      <c r="AQ90" s="120">
        <f t="shared" si="131"/>
        <v>64397</v>
      </c>
      <c r="AR90" s="120">
        <f>+AR32-AR61</f>
        <v>54597</v>
      </c>
      <c r="AS90" s="120">
        <f t="shared" si="131"/>
        <v>45256</v>
      </c>
      <c r="AT90" s="120">
        <f t="shared" ref="AT90:AY90" si="132">+AT32-AT61</f>
        <v>40985</v>
      </c>
      <c r="AU90" s="120">
        <f t="shared" si="132"/>
        <v>48025</v>
      </c>
      <c r="AV90" s="120">
        <f t="shared" si="132"/>
        <v>48787</v>
      </c>
      <c r="AW90" s="120">
        <f t="shared" si="132"/>
        <v>44574</v>
      </c>
      <c r="AX90" s="120">
        <f t="shared" si="132"/>
        <v>52903</v>
      </c>
      <c r="AY90" s="120">
        <f t="shared" si="132"/>
        <v>51422</v>
      </c>
      <c r="DA90"/>
      <c r="DB90"/>
      <c r="DC90"/>
      <c r="DD90"/>
      <c r="DE90"/>
      <c r="DF90"/>
      <c r="DG90"/>
      <c r="DH90"/>
      <c r="DI90"/>
      <c r="DJ90"/>
      <c r="DK90"/>
      <c r="DL90"/>
      <c r="DM90"/>
      <c r="DN90"/>
      <c r="DO90"/>
      <c r="DP90"/>
      <c r="DQ90"/>
    </row>
    <row r="91" spans="1:167" x14ac:dyDescent="0.2">
      <c r="B91" s="31"/>
      <c r="C91" s="31"/>
      <c r="D91" s="31"/>
      <c r="E91" s="30"/>
      <c r="F91" s="30"/>
      <c r="G91" s="30"/>
      <c r="H91" s="30"/>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DA91"/>
      <c r="DB91"/>
      <c r="DC91"/>
      <c r="DD91"/>
      <c r="DE91"/>
      <c r="DF91"/>
      <c r="DG91"/>
      <c r="DH91"/>
      <c r="DI91"/>
      <c r="DJ91"/>
      <c r="DK91"/>
      <c r="DL91"/>
      <c r="DM91"/>
      <c r="DN91"/>
      <c r="DO91"/>
      <c r="DP91"/>
      <c r="DQ91"/>
    </row>
    <row r="92" spans="1:167" x14ac:dyDescent="0.2">
      <c r="B92" s="31"/>
      <c r="C92" s="31"/>
      <c r="D92" s="31"/>
      <c r="E92" s="30"/>
      <c r="F92" s="30"/>
      <c r="G92" s="30"/>
      <c r="H92" s="30"/>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row>
    <row r="93" spans="1:167" ht="15.75" customHeight="1" x14ac:dyDescent="0.2">
      <c r="B93" s="179"/>
      <c r="C93" s="179"/>
      <c r="D93" s="179"/>
      <c r="E93" s="178"/>
      <c r="F93" s="178"/>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78"/>
      <c r="AR93" s="178"/>
      <c r="AS93" s="178"/>
      <c r="AT93" s="178"/>
      <c r="AU93" s="178"/>
      <c r="AV93" s="178"/>
      <c r="AW93" s="178"/>
      <c r="AX93" s="178"/>
      <c r="AY93" s="178"/>
    </row>
    <row r="94" spans="1:167" ht="15.75" customHeight="1" x14ac:dyDescent="0.2"/>
    <row r="101" ht="15.75" customHeight="1" x14ac:dyDescent="0.2"/>
    <row r="102" ht="24.75" customHeight="1" x14ac:dyDescent="0.2"/>
    <row r="107" ht="13.5" customHeight="1" x14ac:dyDescent="0.2"/>
    <row r="110" ht="15" customHeight="1" x14ac:dyDescent="0.2"/>
    <row r="111" ht="15.75" customHeight="1" x14ac:dyDescent="0.2"/>
    <row r="168" ht="15" customHeight="1" x14ac:dyDescent="0.2"/>
    <row r="172" ht="14.25" customHeight="1" x14ac:dyDescent="0.2"/>
    <row r="195" ht="15" customHeight="1" x14ac:dyDescent="0.2"/>
    <row r="199" ht="20.25" customHeight="1" x14ac:dyDescent="0.2"/>
    <row r="225" ht="15" customHeight="1" x14ac:dyDescent="0.2"/>
    <row r="242" spans="1:180" x14ac:dyDescent="0.2">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row>
    <row r="246" spans="1:180" ht="15" thickBot="1" x14ac:dyDescent="0.25"/>
    <row r="247" spans="1:180" s="36" customFormat="1" ht="26.25" customHeight="1" thickBot="1" x14ac:dyDescent="0.25">
      <c r="A247"/>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M247" s="72"/>
      <c r="FN247" s="73"/>
      <c r="FO247" s="32"/>
      <c r="FP247" s="32"/>
      <c r="FQ247" s="32"/>
      <c r="FR247" s="74"/>
      <c r="FS247" s="72"/>
      <c r="FT247" s="73"/>
      <c r="FU247" s="75"/>
      <c r="FV247" s="32"/>
      <c r="FW247" s="32"/>
      <c r="FX247" s="74"/>
    </row>
    <row r="248" spans="1:180" ht="14.25" customHeight="1" thickBot="1" x14ac:dyDescent="0.25">
      <c r="FM248" s="76"/>
      <c r="FN248" s="77"/>
      <c r="FO248" s="33"/>
      <c r="FP248" s="33"/>
      <c r="FQ248" s="33"/>
      <c r="FR248" s="78"/>
      <c r="FS248" s="76"/>
      <c r="FT248" s="77"/>
      <c r="FU248" s="79"/>
      <c r="FV248" s="33"/>
      <c r="FW248" s="33"/>
      <c r="FX248" s="78"/>
    </row>
    <row r="249" spans="1:180" x14ac:dyDescent="0.2">
      <c r="FM249" s="80"/>
      <c r="FN249" s="81"/>
      <c r="FO249" s="34"/>
      <c r="FP249" s="34"/>
      <c r="FQ249" s="34"/>
      <c r="FR249" s="82"/>
      <c r="FS249" s="80"/>
      <c r="FT249" s="81"/>
      <c r="FU249" s="83"/>
      <c r="FV249" s="34"/>
      <c r="FW249" s="34"/>
      <c r="FX249" s="82"/>
    </row>
    <row r="250" spans="1:180" x14ac:dyDescent="0.2">
      <c r="FM250" s="80"/>
      <c r="FN250" s="81"/>
      <c r="FO250" s="34"/>
      <c r="FP250" s="34"/>
      <c r="FQ250" s="34"/>
      <c r="FR250" s="82"/>
      <c r="FS250" s="80"/>
      <c r="FT250" s="81"/>
      <c r="FU250" s="83"/>
      <c r="FV250" s="34"/>
      <c r="FW250" s="34"/>
      <c r="FX250" s="82"/>
    </row>
    <row r="251" spans="1:180" x14ac:dyDescent="0.2">
      <c r="FM251" s="80"/>
      <c r="FN251" s="81"/>
      <c r="FO251" s="34"/>
      <c r="FP251" s="34"/>
      <c r="FQ251" s="34"/>
      <c r="FR251" s="82"/>
      <c r="FS251" s="80"/>
      <c r="FT251" s="81"/>
      <c r="FU251" s="83"/>
      <c r="FV251" s="34"/>
      <c r="FW251" s="34"/>
      <c r="FX251" s="82"/>
    </row>
    <row r="252" spans="1:180" x14ac:dyDescent="0.2">
      <c r="FM252" s="80"/>
      <c r="FN252" s="81"/>
      <c r="FO252" s="34"/>
      <c r="FP252" s="34"/>
      <c r="FQ252" s="34"/>
      <c r="FR252" s="82"/>
      <c r="FS252" s="80"/>
      <c r="FT252" s="81"/>
      <c r="FU252" s="83"/>
      <c r="FV252" s="34"/>
      <c r="FW252" s="34"/>
      <c r="FX252" s="82"/>
    </row>
    <row r="253" spans="1:180" ht="15" thickBot="1" x14ac:dyDescent="0.25">
      <c r="FM253" s="84"/>
      <c r="FN253" s="85"/>
      <c r="FO253" s="35"/>
      <c r="FP253" s="35"/>
      <c r="FQ253" s="35"/>
      <c r="FR253" s="86"/>
      <c r="FS253" s="84"/>
      <c r="FT253" s="85"/>
      <c r="FU253" s="87"/>
      <c r="FV253" s="35"/>
      <c r="FW253" s="35"/>
      <c r="FX253" s="86"/>
    </row>
    <row r="255" spans="1:180" ht="14.25" customHeight="1" x14ac:dyDescent="0.2"/>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10">
    <pageSetUpPr autoPageBreaks="0"/>
  </sheetPr>
  <dimension ref="B1:AY27"/>
  <sheetViews>
    <sheetView showGridLines="0" topLeftCell="D1" workbookViewId="0">
      <pane xSplit="1" ySplit="4" topLeftCell="E5" activePane="bottomRight" state="frozen"/>
      <selection activeCell="D1" sqref="D1"/>
      <selection pane="topRight" activeCell="E1" sqref="E1"/>
      <selection pane="bottomLeft" activeCell="D5" sqref="D5"/>
      <selection pane="bottomRight" activeCell="E2" sqref="E2"/>
    </sheetView>
  </sheetViews>
  <sheetFormatPr defaultRowHeight="12.75" x14ac:dyDescent="0.2"/>
  <cols>
    <col min="1" max="1" width="1.42578125" customWidth="1"/>
    <col min="2" max="2" width="29.85546875" customWidth="1"/>
    <col min="3" max="51" width="10.85546875" customWidth="1"/>
  </cols>
  <sheetData>
    <row r="1" spans="2:51" s="544" customFormat="1" ht="7.5" customHeight="1" x14ac:dyDescent="0.2"/>
    <row r="2" spans="2:51" s="544" customFormat="1" ht="18" x14ac:dyDescent="0.25">
      <c r="D2" s="554"/>
    </row>
    <row r="3" spans="2:51" x14ac:dyDescent="0.2">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row>
    <row r="4" spans="2:51" x14ac:dyDescent="0.2">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row>
    <row r="5" spans="2:51" x14ac:dyDescent="0.2">
      <c r="B5" s="115" t="s">
        <v>96</v>
      </c>
      <c r="C5" s="115" t="s">
        <v>45</v>
      </c>
      <c r="D5" s="115" t="s">
        <v>55</v>
      </c>
      <c r="E5" s="115" t="s">
        <v>71</v>
      </c>
      <c r="F5" s="115" t="s">
        <v>77</v>
      </c>
      <c r="G5" s="115" t="s">
        <v>87</v>
      </c>
      <c r="H5" s="115" t="s">
        <v>88</v>
      </c>
      <c r="I5" s="115" t="s">
        <v>378</v>
      </c>
      <c r="J5" s="115" t="s">
        <v>406</v>
      </c>
      <c r="K5" s="115" t="s">
        <v>467</v>
      </c>
      <c r="L5" s="115" t="s">
        <v>501</v>
      </c>
      <c r="M5" s="115" t="s">
        <v>511</v>
      </c>
      <c r="N5" s="115" t="s">
        <v>538</v>
      </c>
      <c r="O5" s="115" t="s">
        <v>567</v>
      </c>
      <c r="P5" s="115" t="s">
        <v>575</v>
      </c>
      <c r="Q5" s="115" t="s">
        <v>595</v>
      </c>
      <c r="R5" s="115" t="s">
        <v>596</v>
      </c>
      <c r="S5" s="115" t="s">
        <v>623</v>
      </c>
      <c r="T5" s="115" t="s">
        <v>624</v>
      </c>
      <c r="U5" s="115" t="s">
        <v>625</v>
      </c>
      <c r="V5" s="115" t="s">
        <v>626</v>
      </c>
      <c r="W5" s="115" t="s">
        <v>798</v>
      </c>
      <c r="X5" s="115" t="s">
        <v>799</v>
      </c>
      <c r="Y5" s="115" t="s">
        <v>800</v>
      </c>
      <c r="Z5" s="115" t="s">
        <v>801</v>
      </c>
      <c r="AA5" s="115" t="s">
        <v>913</v>
      </c>
      <c r="AB5" s="115" t="s">
        <v>914</v>
      </c>
      <c r="AC5" s="115" t="s">
        <v>923</v>
      </c>
      <c r="AD5" s="115" t="s">
        <v>924</v>
      </c>
      <c r="AE5" s="115" t="s">
        <v>1049</v>
      </c>
      <c r="AF5" s="115" t="s">
        <v>1023</v>
      </c>
      <c r="AG5" s="115" t="s">
        <v>1024</v>
      </c>
      <c r="AH5" s="115" t="s">
        <v>1050</v>
      </c>
      <c r="AI5" s="115" t="s">
        <v>1114</v>
      </c>
      <c r="AJ5" s="115" t="s">
        <v>1119</v>
      </c>
      <c r="AK5" s="115" t="s">
        <v>1121</v>
      </c>
      <c r="AL5" s="115" t="s">
        <v>1123</v>
      </c>
      <c r="AM5" s="115" t="s">
        <v>1176</v>
      </c>
      <c r="AN5" s="115" t="s">
        <v>1177</v>
      </c>
      <c r="AO5" s="115" t="s">
        <v>1179</v>
      </c>
      <c r="AP5" s="115" t="s">
        <v>1181</v>
      </c>
      <c r="AQ5" s="115" t="s">
        <v>1243</v>
      </c>
      <c r="AR5" s="115" t="s">
        <v>1250</v>
      </c>
      <c r="AS5" s="115" t="s">
        <v>1251</v>
      </c>
      <c r="AT5" s="115" t="s">
        <v>1252</v>
      </c>
      <c r="AU5" s="115" t="s">
        <v>1311</v>
      </c>
      <c r="AV5" s="115" t="s">
        <v>1313</v>
      </c>
      <c r="AW5" s="115" t="s">
        <v>1315</v>
      </c>
      <c r="AX5" s="115" t="s">
        <v>1317</v>
      </c>
      <c r="AY5" s="115" t="s">
        <v>1344</v>
      </c>
    </row>
    <row r="6" spans="2:51" x14ac:dyDescent="0.2">
      <c r="B6" s="129" t="s">
        <v>242</v>
      </c>
      <c r="C6" s="118">
        <v>287036</v>
      </c>
      <c r="D6" s="118">
        <v>296034</v>
      </c>
      <c r="E6" s="118">
        <v>291384</v>
      </c>
      <c r="F6" s="118">
        <v>321521</v>
      </c>
      <c r="G6" s="118">
        <v>247048</v>
      </c>
      <c r="H6" s="118">
        <v>247044</v>
      </c>
      <c r="I6" s="118">
        <v>236869</v>
      </c>
      <c r="J6" s="118">
        <v>243493</v>
      </c>
      <c r="K6" s="118">
        <v>178906</v>
      </c>
      <c r="L6" s="118">
        <v>197419</v>
      </c>
      <c r="M6" s="118">
        <v>198284</v>
      </c>
      <c r="N6" s="118">
        <v>206731</v>
      </c>
      <c r="O6" s="118">
        <v>180716</v>
      </c>
      <c r="P6" s="118">
        <v>211911</v>
      </c>
      <c r="Q6" s="118">
        <v>232694</v>
      </c>
      <c r="R6" s="118">
        <v>224722</v>
      </c>
      <c r="S6" s="118">
        <v>213231</v>
      </c>
      <c r="T6" s="118">
        <v>238038</v>
      </c>
      <c r="U6" s="118">
        <v>264364</v>
      </c>
      <c r="V6" s="118">
        <v>280172</v>
      </c>
      <c r="W6" s="118">
        <v>234141</v>
      </c>
      <c r="X6" s="118">
        <v>262265</v>
      </c>
      <c r="Y6" s="118">
        <v>271446</v>
      </c>
      <c r="Z6" s="118">
        <v>292623</v>
      </c>
      <c r="AA6" s="118">
        <v>220892</v>
      </c>
      <c r="AB6" s="118">
        <v>118662</v>
      </c>
      <c r="AC6" s="118">
        <v>224486</v>
      </c>
      <c r="AD6" s="118">
        <v>247860</v>
      </c>
      <c r="AE6" s="118">
        <v>191342</v>
      </c>
      <c r="AF6" s="118">
        <v>192686</v>
      </c>
      <c r="AG6" s="118">
        <v>189558</v>
      </c>
      <c r="AH6" s="118">
        <v>245819</v>
      </c>
      <c r="AI6" s="118">
        <v>201997</v>
      </c>
      <c r="AJ6" s="118">
        <v>247123</v>
      </c>
      <c r="AK6" s="118">
        <v>319904</v>
      </c>
      <c r="AL6" s="118">
        <v>326806</v>
      </c>
      <c r="AM6" s="118">
        <v>276117</v>
      </c>
      <c r="AN6" s="118">
        <v>297706</v>
      </c>
      <c r="AO6" s="118">
        <v>335592</v>
      </c>
      <c r="AP6" s="118">
        <v>362298</v>
      </c>
      <c r="AQ6" s="118">
        <v>315602</v>
      </c>
      <c r="AR6" s="118">
        <v>376761</v>
      </c>
      <c r="AS6" s="118">
        <v>464226</v>
      </c>
      <c r="AT6" s="118">
        <v>482497</v>
      </c>
      <c r="AU6" s="118">
        <v>356019</v>
      </c>
      <c r="AV6" s="118">
        <v>429189</v>
      </c>
      <c r="AW6" s="118">
        <v>502429</v>
      </c>
      <c r="AX6" s="118">
        <v>508637</v>
      </c>
      <c r="AY6" s="118">
        <v>437356</v>
      </c>
    </row>
    <row r="7" spans="2:51" x14ac:dyDescent="0.2">
      <c r="B7" s="129" t="s">
        <v>243</v>
      </c>
      <c r="C7" s="118">
        <v>26572</v>
      </c>
      <c r="D7" s="118">
        <v>18136</v>
      </c>
      <c r="E7" s="118">
        <v>32850</v>
      </c>
      <c r="F7" s="118">
        <v>20480</v>
      </c>
      <c r="G7" s="118">
        <v>19731</v>
      </c>
      <c r="H7" s="118">
        <v>18842</v>
      </c>
      <c r="I7" s="118">
        <v>18396</v>
      </c>
      <c r="J7" s="118">
        <v>18583</v>
      </c>
      <c r="K7" s="118">
        <v>14726</v>
      </c>
      <c r="L7" s="118">
        <v>18134</v>
      </c>
      <c r="M7" s="118">
        <v>15850</v>
      </c>
      <c r="N7" s="118">
        <v>16129</v>
      </c>
      <c r="O7" s="118">
        <v>13500</v>
      </c>
      <c r="P7" s="118">
        <v>13026.469440000001</v>
      </c>
      <c r="Q7" s="118">
        <v>14400.737090000002</v>
      </c>
      <c r="R7" s="118">
        <v>22894.793469999997</v>
      </c>
      <c r="S7" s="118">
        <v>17666</v>
      </c>
      <c r="T7" s="118">
        <v>13285</v>
      </c>
      <c r="U7" s="118">
        <v>14878</v>
      </c>
      <c r="V7" s="118">
        <v>16671</v>
      </c>
      <c r="W7" s="118">
        <v>15901</v>
      </c>
      <c r="X7" s="118">
        <v>16517</v>
      </c>
      <c r="Y7" s="118">
        <v>17509</v>
      </c>
      <c r="Z7" s="118">
        <v>22818</v>
      </c>
      <c r="AA7" s="118">
        <v>26811</v>
      </c>
      <c r="AB7" s="118">
        <v>18589</v>
      </c>
      <c r="AC7" s="118">
        <v>17001</v>
      </c>
      <c r="AD7" s="118">
        <v>20873</v>
      </c>
      <c r="AE7" s="118">
        <v>17765</v>
      </c>
      <c r="AF7" s="118">
        <v>18735</v>
      </c>
      <c r="AG7" s="118">
        <v>18070</v>
      </c>
      <c r="AH7" s="118">
        <v>21913</v>
      </c>
      <c r="AI7" s="118">
        <v>17708</v>
      </c>
      <c r="AJ7" s="118">
        <v>21386</v>
      </c>
      <c r="AK7" s="118">
        <v>20295</v>
      </c>
      <c r="AL7" s="261">
        <v>23075</v>
      </c>
      <c r="AM7" s="118">
        <v>19898</v>
      </c>
      <c r="AN7" s="118">
        <v>22984</v>
      </c>
      <c r="AO7" s="118">
        <v>25386</v>
      </c>
      <c r="AP7" s="118">
        <v>28550</v>
      </c>
      <c r="AQ7" s="118">
        <v>27941</v>
      </c>
      <c r="AR7" s="118">
        <v>24401</v>
      </c>
      <c r="AS7" s="118">
        <v>26255</v>
      </c>
      <c r="AT7" s="118">
        <v>28949</v>
      </c>
      <c r="AU7" s="118">
        <v>29190</v>
      </c>
      <c r="AV7" s="118">
        <v>31325</v>
      </c>
      <c r="AW7" s="118">
        <v>30813</v>
      </c>
      <c r="AX7" s="118">
        <v>34581</v>
      </c>
      <c r="AY7" s="118">
        <v>27624</v>
      </c>
    </row>
    <row r="8" spans="2:51" x14ac:dyDescent="0.2">
      <c r="B8" s="129" t="s">
        <v>394</v>
      </c>
      <c r="C8" s="118">
        <v>2002</v>
      </c>
      <c r="D8" s="118">
        <v>3302</v>
      </c>
      <c r="E8" s="118">
        <v>1319</v>
      </c>
      <c r="F8" s="118">
        <v>1387</v>
      </c>
      <c r="G8" s="118">
        <v>2221</v>
      </c>
      <c r="H8" s="118">
        <v>2277</v>
      </c>
      <c r="I8" s="118">
        <v>1591</v>
      </c>
      <c r="J8" s="118">
        <v>680</v>
      </c>
      <c r="K8" s="118">
        <v>2631</v>
      </c>
      <c r="L8" s="118">
        <v>2746</v>
      </c>
      <c r="M8" s="118">
        <v>3188</v>
      </c>
      <c r="N8" s="118">
        <v>1731</v>
      </c>
      <c r="O8" s="118">
        <v>2590</v>
      </c>
      <c r="P8" s="118">
        <v>2666.5305600000002</v>
      </c>
      <c r="Q8" s="118">
        <v>2524.2629099999995</v>
      </c>
      <c r="R8" s="118">
        <v>2662.2065300000004</v>
      </c>
      <c r="S8" s="118">
        <v>2806</v>
      </c>
      <c r="T8" s="118">
        <v>2787</v>
      </c>
      <c r="U8" s="118">
        <v>2898</v>
      </c>
      <c r="V8" s="118">
        <v>3019</v>
      </c>
      <c r="W8" s="118">
        <v>2794</v>
      </c>
      <c r="X8" s="118">
        <v>3665</v>
      </c>
      <c r="Y8" s="118">
        <v>2879</v>
      </c>
      <c r="Z8" s="118">
        <v>2876</v>
      </c>
      <c r="AA8" s="260">
        <v>0</v>
      </c>
      <c r="AB8" s="118">
        <v>0</v>
      </c>
      <c r="AC8" s="118">
        <v>0</v>
      </c>
      <c r="AD8" s="118">
        <v>0</v>
      </c>
      <c r="AE8" s="118">
        <v>0</v>
      </c>
      <c r="AF8" s="118">
        <v>0</v>
      </c>
      <c r="AG8" s="118">
        <v>0</v>
      </c>
      <c r="AH8" s="118">
        <v>0</v>
      </c>
      <c r="AI8" s="118">
        <v>0</v>
      </c>
      <c r="AJ8" s="118">
        <v>0</v>
      </c>
      <c r="AK8" s="118">
        <v>0</v>
      </c>
      <c r="AL8" s="118">
        <v>0</v>
      </c>
      <c r="AM8" s="118">
        <v>0</v>
      </c>
      <c r="AN8" s="118">
        <v>0</v>
      </c>
      <c r="AO8" s="118">
        <v>0</v>
      </c>
      <c r="AP8" s="118">
        <v>0</v>
      </c>
      <c r="AQ8" s="118">
        <v>0</v>
      </c>
      <c r="AR8" s="118">
        <v>0</v>
      </c>
      <c r="AS8" s="118">
        <v>0</v>
      </c>
      <c r="AT8" s="118">
        <v>0</v>
      </c>
      <c r="AU8" s="118">
        <v>0</v>
      </c>
      <c r="AV8" s="118">
        <v>0</v>
      </c>
      <c r="AW8" s="118">
        <v>0</v>
      </c>
      <c r="AX8" s="118">
        <v>0</v>
      </c>
      <c r="AY8" s="118">
        <v>0</v>
      </c>
    </row>
    <row r="9" spans="2:51" x14ac:dyDescent="0.2">
      <c r="B9" s="129" t="s">
        <v>395</v>
      </c>
      <c r="C9" s="118">
        <v>419</v>
      </c>
      <c r="D9" s="118">
        <v>342</v>
      </c>
      <c r="E9" s="118">
        <v>353</v>
      </c>
      <c r="F9" s="118">
        <v>358</v>
      </c>
      <c r="G9" s="118">
        <v>308</v>
      </c>
      <c r="H9" s="118">
        <v>377</v>
      </c>
      <c r="I9" s="118">
        <v>306</v>
      </c>
      <c r="J9" s="118">
        <v>327</v>
      </c>
      <c r="K9" s="118">
        <v>192</v>
      </c>
      <c r="L9" s="118">
        <v>112</v>
      </c>
      <c r="M9" s="118">
        <v>112</v>
      </c>
      <c r="N9" s="118">
        <v>112</v>
      </c>
      <c r="O9" s="118">
        <v>130</v>
      </c>
      <c r="P9" s="118">
        <v>129</v>
      </c>
      <c r="Q9" s="118">
        <v>5871</v>
      </c>
      <c r="R9" s="118">
        <v>5877</v>
      </c>
      <c r="S9" s="118">
        <v>127</v>
      </c>
      <c r="T9" s="118">
        <v>128</v>
      </c>
      <c r="U9" s="118">
        <v>125</v>
      </c>
      <c r="V9" s="118">
        <v>2030</v>
      </c>
      <c r="W9" s="118">
        <v>125</v>
      </c>
      <c r="X9" s="118">
        <v>121</v>
      </c>
      <c r="Y9" s="118">
        <v>120</v>
      </c>
      <c r="Z9" s="118">
        <v>112</v>
      </c>
      <c r="AA9" s="118">
        <v>123</v>
      </c>
      <c r="AB9" s="118">
        <v>90</v>
      </c>
      <c r="AC9" s="118">
        <v>113</v>
      </c>
      <c r="AD9" s="118">
        <v>540</v>
      </c>
      <c r="AE9" s="118">
        <v>300</v>
      </c>
      <c r="AF9" s="118">
        <v>302</v>
      </c>
      <c r="AG9" s="118">
        <v>315</v>
      </c>
      <c r="AH9" s="118">
        <v>349</v>
      </c>
      <c r="AI9" s="118">
        <v>344</v>
      </c>
      <c r="AJ9" s="118">
        <v>412</v>
      </c>
      <c r="AK9" s="118">
        <v>455</v>
      </c>
      <c r="AL9" s="118">
        <v>604</v>
      </c>
      <c r="AM9" s="118">
        <v>622</v>
      </c>
      <c r="AN9" s="118">
        <v>612</v>
      </c>
      <c r="AO9" s="118">
        <v>559</v>
      </c>
      <c r="AP9" s="118">
        <v>611</v>
      </c>
      <c r="AQ9" s="118">
        <v>574</v>
      </c>
      <c r="AR9" s="118">
        <v>658</v>
      </c>
      <c r="AS9" s="118">
        <v>694</v>
      </c>
      <c r="AT9" s="118">
        <v>938</v>
      </c>
      <c r="AU9" s="118">
        <v>1095</v>
      </c>
      <c r="AV9" s="118">
        <v>852</v>
      </c>
      <c r="AW9" s="118">
        <v>861</v>
      </c>
      <c r="AX9" s="118">
        <v>1105</v>
      </c>
      <c r="AY9" s="118">
        <v>2161</v>
      </c>
    </row>
    <row r="10" spans="2:51" ht="25.5" x14ac:dyDescent="0.2">
      <c r="B10" s="129" t="s">
        <v>1233</v>
      </c>
      <c r="C10" s="118">
        <v>0</v>
      </c>
      <c r="D10" s="118">
        <v>0</v>
      </c>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0</v>
      </c>
      <c r="AA10" s="118">
        <v>0</v>
      </c>
      <c r="AB10" s="118">
        <v>0</v>
      </c>
      <c r="AC10" s="118">
        <v>0</v>
      </c>
      <c r="AD10" s="118">
        <v>0</v>
      </c>
      <c r="AE10" s="118">
        <v>0</v>
      </c>
      <c r="AF10" s="118">
        <v>0</v>
      </c>
      <c r="AG10" s="118">
        <v>0</v>
      </c>
      <c r="AH10" s="118">
        <v>0</v>
      </c>
      <c r="AI10" s="118">
        <v>116</v>
      </c>
      <c r="AJ10" s="118">
        <f>449-AI10</f>
        <v>333</v>
      </c>
      <c r="AK10" s="118">
        <f>395-SUM(AI10:AJ10)</f>
        <v>-54</v>
      </c>
      <c r="AL10" s="118">
        <f>407-SUM(AI10:AK10)</f>
        <v>12</v>
      </c>
      <c r="AM10" s="118">
        <v>385</v>
      </c>
      <c r="AN10" s="118">
        <v>464</v>
      </c>
      <c r="AO10" s="118">
        <v>249</v>
      </c>
      <c r="AP10" s="118">
        <v>36</v>
      </c>
      <c r="AQ10" s="118">
        <v>19</v>
      </c>
      <c r="AR10" s="118">
        <v>195</v>
      </c>
      <c r="AS10" s="118">
        <v>825</v>
      </c>
      <c r="AT10" s="118">
        <v>2122</v>
      </c>
      <c r="AU10" s="118">
        <v>725</v>
      </c>
      <c r="AV10" s="118">
        <v>-648</v>
      </c>
      <c r="AW10" s="118">
        <v>-674</v>
      </c>
      <c r="AX10" s="118">
        <v>-267</v>
      </c>
      <c r="AY10" s="118">
        <v>962</v>
      </c>
    </row>
    <row r="11" spans="2:51" x14ac:dyDescent="0.2">
      <c r="B11" s="126" t="s">
        <v>112</v>
      </c>
      <c r="C11" s="120">
        <f t="shared" ref="C11:AN11" si="0">SUM(C6:C10)</f>
        <v>316029</v>
      </c>
      <c r="D11" s="120">
        <f t="shared" si="0"/>
        <v>317814</v>
      </c>
      <c r="E11" s="120">
        <f t="shared" si="0"/>
        <v>325906</v>
      </c>
      <c r="F11" s="120">
        <f t="shared" si="0"/>
        <v>343746</v>
      </c>
      <c r="G11" s="120">
        <f t="shared" si="0"/>
        <v>269308</v>
      </c>
      <c r="H11" s="120">
        <f t="shared" si="0"/>
        <v>268540</v>
      </c>
      <c r="I11" s="120">
        <f t="shared" si="0"/>
        <v>257162</v>
      </c>
      <c r="J11" s="120">
        <f t="shared" si="0"/>
        <v>263083</v>
      </c>
      <c r="K11" s="120">
        <f t="shared" si="0"/>
        <v>196455</v>
      </c>
      <c r="L11" s="120">
        <f t="shared" si="0"/>
        <v>218411</v>
      </c>
      <c r="M11" s="120">
        <f t="shared" si="0"/>
        <v>217434</v>
      </c>
      <c r="N11" s="120">
        <f t="shared" si="0"/>
        <v>224703</v>
      </c>
      <c r="O11" s="120">
        <f t="shared" si="0"/>
        <v>196936</v>
      </c>
      <c r="P11" s="120">
        <f t="shared" si="0"/>
        <v>227733.00000000003</v>
      </c>
      <c r="Q11" s="120">
        <f t="shared" si="0"/>
        <v>255490</v>
      </c>
      <c r="R11" s="120">
        <f t="shared" si="0"/>
        <v>256156</v>
      </c>
      <c r="S11" s="120">
        <f t="shared" si="0"/>
        <v>233830</v>
      </c>
      <c r="T11" s="120">
        <f t="shared" si="0"/>
        <v>254238</v>
      </c>
      <c r="U11" s="120">
        <f t="shared" si="0"/>
        <v>282265</v>
      </c>
      <c r="V11" s="120">
        <f t="shared" si="0"/>
        <v>301892</v>
      </c>
      <c r="W11" s="120">
        <f t="shared" si="0"/>
        <v>252961</v>
      </c>
      <c r="X11" s="120">
        <f t="shared" si="0"/>
        <v>282568</v>
      </c>
      <c r="Y11" s="120">
        <f t="shared" si="0"/>
        <v>291954</v>
      </c>
      <c r="Z11" s="120">
        <f t="shared" si="0"/>
        <v>318429</v>
      </c>
      <c r="AA11" s="120">
        <f t="shared" si="0"/>
        <v>247826</v>
      </c>
      <c r="AB11" s="120">
        <f t="shared" si="0"/>
        <v>137341</v>
      </c>
      <c r="AC11" s="120">
        <f t="shared" si="0"/>
        <v>241600</v>
      </c>
      <c r="AD11" s="120">
        <f t="shared" si="0"/>
        <v>269273</v>
      </c>
      <c r="AE11" s="120">
        <f t="shared" si="0"/>
        <v>209407</v>
      </c>
      <c r="AF11" s="120">
        <f t="shared" si="0"/>
        <v>211723</v>
      </c>
      <c r="AG11" s="120">
        <f t="shared" si="0"/>
        <v>207943</v>
      </c>
      <c r="AH11" s="120">
        <f t="shared" si="0"/>
        <v>268081</v>
      </c>
      <c r="AI11" s="120">
        <f t="shared" si="0"/>
        <v>220165</v>
      </c>
      <c r="AJ11" s="120">
        <f t="shared" si="0"/>
        <v>269254</v>
      </c>
      <c r="AK11" s="120">
        <f t="shared" si="0"/>
        <v>340600</v>
      </c>
      <c r="AL11" s="120">
        <f t="shared" si="0"/>
        <v>350497</v>
      </c>
      <c r="AM11" s="120">
        <f t="shared" si="0"/>
        <v>297022</v>
      </c>
      <c r="AN11" s="120">
        <f t="shared" si="0"/>
        <v>321766</v>
      </c>
      <c r="AO11" s="120">
        <f t="shared" ref="AO11:AV11" si="1">SUM(AO6:AO10)</f>
        <v>361786</v>
      </c>
      <c r="AP11" s="120">
        <f t="shared" si="1"/>
        <v>391495</v>
      </c>
      <c r="AQ11" s="120">
        <f t="shared" si="1"/>
        <v>344136</v>
      </c>
      <c r="AR11" s="120">
        <f t="shared" si="1"/>
        <v>402015</v>
      </c>
      <c r="AS11" s="120">
        <f t="shared" si="1"/>
        <v>492000</v>
      </c>
      <c r="AT11" s="120">
        <f t="shared" si="1"/>
        <v>514506</v>
      </c>
      <c r="AU11" s="120">
        <f t="shared" si="1"/>
        <v>387029</v>
      </c>
      <c r="AV11" s="120">
        <f t="shared" si="1"/>
        <v>460718</v>
      </c>
      <c r="AW11" s="120">
        <f>SUM(AW6:AW10)</f>
        <v>533429</v>
      </c>
      <c r="AX11" s="120">
        <f>SUM(AX6:AX10)</f>
        <v>544056</v>
      </c>
      <c r="AY11" s="120">
        <f>SUM(AY6:AY10)</f>
        <v>468103</v>
      </c>
    </row>
    <row r="13" spans="2:51" x14ac:dyDescent="0.2">
      <c r="B13" s="115" t="s">
        <v>97</v>
      </c>
      <c r="C13" s="115" t="str">
        <f>C5</f>
        <v>1T14</v>
      </c>
      <c r="D13" s="115" t="str">
        <f t="shared" ref="D13:Q13" si="2">D5</f>
        <v>2T14</v>
      </c>
      <c r="E13" s="115" t="str">
        <f t="shared" si="2"/>
        <v>3T14</v>
      </c>
      <c r="F13" s="115" t="str">
        <f t="shared" si="2"/>
        <v>4T14</v>
      </c>
      <c r="G13" s="115" t="str">
        <f t="shared" si="2"/>
        <v>1T15</v>
      </c>
      <c r="H13" s="115" t="str">
        <f t="shared" si="2"/>
        <v>2T15</v>
      </c>
      <c r="I13" s="115" t="str">
        <f t="shared" si="2"/>
        <v>3T15</v>
      </c>
      <c r="J13" s="115" t="str">
        <f t="shared" si="2"/>
        <v>4T15</v>
      </c>
      <c r="K13" s="115" t="str">
        <f t="shared" si="2"/>
        <v>1T16</v>
      </c>
      <c r="L13" s="115" t="str">
        <f t="shared" si="2"/>
        <v>2T16</v>
      </c>
      <c r="M13" s="115" t="str">
        <f t="shared" si="2"/>
        <v>3T16</v>
      </c>
      <c r="N13" s="115" t="str">
        <f t="shared" si="2"/>
        <v>4T16</v>
      </c>
      <c r="O13" s="115" t="str">
        <f t="shared" si="2"/>
        <v>1T17</v>
      </c>
      <c r="P13" s="115" t="str">
        <f t="shared" si="2"/>
        <v>2T17</v>
      </c>
      <c r="Q13" s="115" t="str">
        <f t="shared" si="2"/>
        <v>3T17</v>
      </c>
      <c r="R13" s="115" t="str">
        <f t="shared" ref="R13:W13" si="3">R5</f>
        <v>4T17</v>
      </c>
      <c r="S13" s="115" t="str">
        <f t="shared" si="3"/>
        <v>1T18</v>
      </c>
      <c r="T13" s="115" t="str">
        <f t="shared" si="3"/>
        <v>2T18</v>
      </c>
      <c r="U13" s="115" t="str">
        <f t="shared" si="3"/>
        <v>3T18</v>
      </c>
      <c r="V13" s="115" t="str">
        <f t="shared" si="3"/>
        <v>4T18</v>
      </c>
      <c r="W13" s="115" t="str">
        <f t="shared" si="3"/>
        <v>1T19</v>
      </c>
      <c r="X13" s="115" t="str">
        <f t="shared" ref="X13:AC13" si="4">X5</f>
        <v>2T19</v>
      </c>
      <c r="Y13" s="115" t="str">
        <f t="shared" si="4"/>
        <v>3T19</v>
      </c>
      <c r="Z13" s="115" t="str">
        <f t="shared" si="4"/>
        <v>4T19</v>
      </c>
      <c r="AA13" s="115" t="str">
        <f t="shared" si="4"/>
        <v>1T20</v>
      </c>
      <c r="AB13" s="115" t="str">
        <f t="shared" si="4"/>
        <v>2T20</v>
      </c>
      <c r="AC13" s="115" t="str">
        <f t="shared" si="4"/>
        <v>3T20</v>
      </c>
      <c r="AD13" s="115" t="str">
        <f t="shared" ref="AD13:AJ13" si="5">AD5</f>
        <v>4T20</v>
      </c>
      <c r="AE13" s="115" t="str">
        <f t="shared" si="5"/>
        <v>1T21</v>
      </c>
      <c r="AF13" s="115" t="str">
        <f t="shared" si="5"/>
        <v>2T21</v>
      </c>
      <c r="AG13" s="115" t="str">
        <f t="shared" si="5"/>
        <v>3T21</v>
      </c>
      <c r="AH13" s="115" t="str">
        <f t="shared" si="5"/>
        <v>4T21</v>
      </c>
      <c r="AI13" s="115" t="str">
        <f t="shared" si="5"/>
        <v>1T22</v>
      </c>
      <c r="AJ13" s="115" t="str">
        <f t="shared" si="5"/>
        <v>2T22</v>
      </c>
      <c r="AK13" s="115" t="str">
        <f t="shared" ref="AK13:AR13" si="6">AK5</f>
        <v>3T22</v>
      </c>
      <c r="AL13" s="115" t="str">
        <f t="shared" si="6"/>
        <v>4T22</v>
      </c>
      <c r="AM13" s="115" t="str">
        <f t="shared" si="6"/>
        <v>1T23</v>
      </c>
      <c r="AN13" s="115" t="str">
        <f t="shared" si="6"/>
        <v>2T23</v>
      </c>
      <c r="AO13" s="115" t="str">
        <f t="shared" si="6"/>
        <v>3T23</v>
      </c>
      <c r="AP13" s="115" t="str">
        <f t="shared" si="6"/>
        <v>4T23</v>
      </c>
      <c r="AQ13" s="115" t="str">
        <f t="shared" si="6"/>
        <v>1T24</v>
      </c>
      <c r="AR13" s="115" t="str">
        <f t="shared" si="6"/>
        <v>2T24</v>
      </c>
      <c r="AS13" s="115" t="str">
        <f t="shared" ref="AS13:AX13" si="7">AS5</f>
        <v>3T24</v>
      </c>
      <c r="AT13" s="115" t="str">
        <f t="shared" si="7"/>
        <v>4T24</v>
      </c>
      <c r="AU13" s="115" t="str">
        <f t="shared" si="7"/>
        <v>1T25</v>
      </c>
      <c r="AV13" s="115" t="str">
        <f t="shared" si="7"/>
        <v>2T25</v>
      </c>
      <c r="AW13" s="115" t="str">
        <f t="shared" si="7"/>
        <v>3T25</v>
      </c>
      <c r="AX13" s="115" t="str">
        <f t="shared" si="7"/>
        <v>4T25</v>
      </c>
      <c r="AY13" s="115" t="str">
        <f>AY5</f>
        <v>1T26</v>
      </c>
    </row>
    <row r="14" spans="2:51" x14ac:dyDescent="0.2">
      <c r="B14" s="129" t="s">
        <v>242</v>
      </c>
      <c r="C14" s="118">
        <v>228171</v>
      </c>
      <c r="D14" s="118">
        <v>250095</v>
      </c>
      <c r="E14" s="118">
        <v>246600</v>
      </c>
      <c r="F14" s="118">
        <v>271134</v>
      </c>
      <c r="G14" s="118">
        <v>202358</v>
      </c>
      <c r="H14" s="118">
        <v>196186</v>
      </c>
      <c r="I14" s="118">
        <v>190756</v>
      </c>
      <c r="J14" s="118">
        <v>196337</v>
      </c>
      <c r="K14" s="118">
        <v>143920</v>
      </c>
      <c r="L14" s="118">
        <v>161932</v>
      </c>
      <c r="M14" s="118">
        <v>165446</v>
      </c>
      <c r="N14" s="118">
        <v>174949</v>
      </c>
      <c r="O14" s="118">
        <v>150327</v>
      </c>
      <c r="P14" s="118">
        <v>181027</v>
      </c>
      <c r="Q14" s="118">
        <v>201659</v>
      </c>
      <c r="R14" s="118">
        <v>194055</v>
      </c>
      <c r="S14" s="118">
        <v>185471</v>
      </c>
      <c r="T14" s="118">
        <v>212787</v>
      </c>
      <c r="U14" s="118">
        <v>238068</v>
      </c>
      <c r="V14" s="118">
        <v>252560</v>
      </c>
      <c r="W14" s="118">
        <v>207604</v>
      </c>
      <c r="X14" s="118">
        <v>225643</v>
      </c>
      <c r="Y14" s="118">
        <v>234402</v>
      </c>
      <c r="Z14" s="118">
        <v>252670</v>
      </c>
      <c r="AA14" s="118">
        <v>188218</v>
      </c>
      <c r="AB14" s="118">
        <v>87254</v>
      </c>
      <c r="AC14" s="118">
        <v>188414</v>
      </c>
      <c r="AD14" s="118">
        <v>209213</v>
      </c>
      <c r="AE14" s="118">
        <v>156640</v>
      </c>
      <c r="AF14" s="118">
        <v>154276</v>
      </c>
      <c r="AG14" s="118">
        <v>152999</v>
      </c>
      <c r="AH14" s="118">
        <v>207813</v>
      </c>
      <c r="AI14" s="118">
        <v>162887</v>
      </c>
      <c r="AJ14" s="118">
        <v>202001</v>
      </c>
      <c r="AK14" s="118">
        <v>268664</v>
      </c>
      <c r="AL14" s="118">
        <v>272943</v>
      </c>
      <c r="AM14" s="118">
        <v>221879</v>
      </c>
      <c r="AN14" s="118">
        <v>247453</v>
      </c>
      <c r="AO14" s="118">
        <v>278729</v>
      </c>
      <c r="AP14" s="118">
        <v>304786</v>
      </c>
      <c r="AQ14" s="118">
        <v>256133</v>
      </c>
      <c r="AR14" s="118">
        <v>326498</v>
      </c>
      <c r="AS14" s="118">
        <v>423944</v>
      </c>
      <c r="AT14" s="118">
        <v>442548</v>
      </c>
      <c r="AU14" s="118">
        <v>313355</v>
      </c>
      <c r="AV14" s="118">
        <v>385827</v>
      </c>
      <c r="AW14" s="118">
        <v>463003</v>
      </c>
      <c r="AX14" s="118">
        <v>462432</v>
      </c>
      <c r="AY14" s="118">
        <v>-918748</v>
      </c>
    </row>
    <row r="15" spans="2:51" x14ac:dyDescent="0.2">
      <c r="B15" s="129" t="s">
        <v>243</v>
      </c>
      <c r="C15" s="118">
        <v>24432</v>
      </c>
      <c r="D15" s="118">
        <v>17915</v>
      </c>
      <c r="E15" s="118">
        <v>23170</v>
      </c>
      <c r="F15" s="118">
        <v>21170</v>
      </c>
      <c r="G15" s="118">
        <v>18237</v>
      </c>
      <c r="H15" s="118">
        <v>17545</v>
      </c>
      <c r="I15" s="118">
        <v>17155</v>
      </c>
      <c r="J15" s="118">
        <v>16478</v>
      </c>
      <c r="K15" s="118">
        <v>13706</v>
      </c>
      <c r="L15" s="118">
        <v>17276</v>
      </c>
      <c r="M15" s="118">
        <v>14940</v>
      </c>
      <c r="N15" s="118">
        <v>15306</v>
      </c>
      <c r="O15" s="118">
        <v>12854</v>
      </c>
      <c r="P15" s="118">
        <v>12387.469440000001</v>
      </c>
      <c r="Q15" s="118">
        <v>13777.737090000002</v>
      </c>
      <c r="R15" s="118">
        <v>20713.793469999997</v>
      </c>
      <c r="S15" s="118">
        <v>17083</v>
      </c>
      <c r="T15" s="118">
        <v>12721</v>
      </c>
      <c r="U15" s="118">
        <v>14681</v>
      </c>
      <c r="V15" s="118">
        <v>16352</v>
      </c>
      <c r="W15" s="118">
        <v>15559</v>
      </c>
      <c r="X15" s="118">
        <v>16113</v>
      </c>
      <c r="Y15" s="118">
        <v>16956</v>
      </c>
      <c r="Z15" s="118">
        <v>22348</v>
      </c>
      <c r="AA15" s="118">
        <v>26340</v>
      </c>
      <c r="AB15" s="118">
        <v>18272</v>
      </c>
      <c r="AC15" s="118">
        <v>16580</v>
      </c>
      <c r="AD15" s="118">
        <v>20505</v>
      </c>
      <c r="AE15" s="118">
        <v>17568</v>
      </c>
      <c r="AF15" s="118">
        <v>18519</v>
      </c>
      <c r="AG15" s="118">
        <v>17903</v>
      </c>
      <c r="AH15" s="118">
        <v>21609</v>
      </c>
      <c r="AI15" s="118">
        <v>17514</v>
      </c>
      <c r="AJ15" s="118">
        <v>21122</v>
      </c>
      <c r="AK15" s="118">
        <v>20128</v>
      </c>
      <c r="AL15" s="261">
        <v>21954</v>
      </c>
      <c r="AM15" s="118">
        <v>19435</v>
      </c>
      <c r="AN15" s="118">
        <v>22747</v>
      </c>
      <c r="AO15" s="118">
        <v>25527</v>
      </c>
      <c r="AP15" s="118">
        <v>26675</v>
      </c>
      <c r="AQ15" s="118">
        <v>23377</v>
      </c>
      <c r="AR15" s="118">
        <v>20627</v>
      </c>
      <c r="AS15" s="118">
        <v>21982</v>
      </c>
      <c r="AT15" s="118">
        <v>24519</v>
      </c>
      <c r="AU15" s="118">
        <v>24754</v>
      </c>
      <c r="AV15" s="118">
        <v>26754</v>
      </c>
      <c r="AW15" s="118">
        <v>25979</v>
      </c>
      <c r="AX15" s="118">
        <v>28948</v>
      </c>
      <c r="AY15" s="118">
        <v>-58238</v>
      </c>
    </row>
    <row r="16" spans="2:51" x14ac:dyDescent="0.2">
      <c r="B16" s="129" t="s">
        <v>394</v>
      </c>
      <c r="C16" s="118">
        <v>2002</v>
      </c>
      <c r="D16" s="118">
        <v>3302</v>
      </c>
      <c r="E16" s="118">
        <v>1319</v>
      </c>
      <c r="F16" s="118">
        <v>1387</v>
      </c>
      <c r="G16" s="118">
        <v>2221</v>
      </c>
      <c r="H16" s="118">
        <v>2277</v>
      </c>
      <c r="I16" s="118">
        <v>1591</v>
      </c>
      <c r="J16" s="118">
        <v>680</v>
      </c>
      <c r="K16" s="118">
        <v>2631</v>
      </c>
      <c r="L16" s="118">
        <v>2746</v>
      </c>
      <c r="M16" s="118">
        <v>3188</v>
      </c>
      <c r="N16" s="118">
        <v>1731</v>
      </c>
      <c r="O16" s="118">
        <v>2590</v>
      </c>
      <c r="P16" s="118">
        <v>2666.5305600000002</v>
      </c>
      <c r="Q16" s="118">
        <v>2524.2629099999995</v>
      </c>
      <c r="R16" s="118">
        <v>2662.2065300000004</v>
      </c>
      <c r="S16" s="118">
        <v>2806</v>
      </c>
      <c r="T16" s="118">
        <v>2787</v>
      </c>
      <c r="U16" s="118">
        <v>2898</v>
      </c>
      <c r="V16" s="118">
        <v>3019</v>
      </c>
      <c r="W16" s="118">
        <v>2794</v>
      </c>
      <c r="X16" s="118">
        <v>3665</v>
      </c>
      <c r="Y16" s="118">
        <v>2879</v>
      </c>
      <c r="Z16" s="118">
        <v>2876</v>
      </c>
      <c r="AA16" s="260">
        <v>0</v>
      </c>
      <c r="AB16" s="118">
        <v>0</v>
      </c>
      <c r="AC16" s="118">
        <v>0</v>
      </c>
      <c r="AD16" s="118">
        <v>0</v>
      </c>
      <c r="AE16" s="118">
        <v>0</v>
      </c>
      <c r="AF16" s="118">
        <v>0</v>
      </c>
      <c r="AG16" s="118">
        <v>0</v>
      </c>
      <c r="AH16" s="118">
        <v>0</v>
      </c>
      <c r="AI16" s="118">
        <v>0</v>
      </c>
      <c r="AJ16" s="118">
        <v>0</v>
      </c>
      <c r="AK16" s="118">
        <v>0</v>
      </c>
      <c r="AL16" s="118">
        <v>0</v>
      </c>
      <c r="AM16" s="118">
        <v>0</v>
      </c>
      <c r="AN16" s="118">
        <v>0</v>
      </c>
      <c r="AO16" s="118">
        <v>0</v>
      </c>
      <c r="AP16" s="118">
        <v>0</v>
      </c>
      <c r="AQ16" s="118">
        <v>0</v>
      </c>
      <c r="AR16" s="118">
        <v>0</v>
      </c>
      <c r="AS16" s="118">
        <v>0</v>
      </c>
      <c r="AT16" s="118">
        <v>0</v>
      </c>
      <c r="AU16" s="118">
        <v>0</v>
      </c>
      <c r="AV16" s="118">
        <v>0</v>
      </c>
      <c r="AW16" s="118">
        <v>0</v>
      </c>
      <c r="AX16" s="118">
        <v>0</v>
      </c>
      <c r="AY16" s="118">
        <v>0</v>
      </c>
    </row>
    <row r="17" spans="2:51" x14ac:dyDescent="0.2">
      <c r="B17" s="129" t="s">
        <v>395</v>
      </c>
      <c r="C17" s="118">
        <v>419</v>
      </c>
      <c r="D17" s="118">
        <v>342</v>
      </c>
      <c r="E17" s="118">
        <v>353</v>
      </c>
      <c r="F17" s="118">
        <v>358</v>
      </c>
      <c r="G17" s="118">
        <v>308</v>
      </c>
      <c r="H17" s="118">
        <v>377</v>
      </c>
      <c r="I17" s="118">
        <v>306</v>
      </c>
      <c r="J17" s="118">
        <v>327</v>
      </c>
      <c r="K17" s="118">
        <v>192</v>
      </c>
      <c r="L17" s="118">
        <v>112</v>
      </c>
      <c r="M17" s="118">
        <v>112</v>
      </c>
      <c r="N17" s="118">
        <v>112</v>
      </c>
      <c r="O17" s="118">
        <v>130</v>
      </c>
      <c r="P17" s="118">
        <v>129</v>
      </c>
      <c r="Q17" s="118">
        <v>138</v>
      </c>
      <c r="R17" s="118">
        <v>146</v>
      </c>
      <c r="S17" s="118">
        <v>127</v>
      </c>
      <c r="T17" s="118">
        <v>128</v>
      </c>
      <c r="U17" s="118">
        <v>125</v>
      </c>
      <c r="V17" s="118">
        <v>123</v>
      </c>
      <c r="W17" s="118">
        <v>125</v>
      </c>
      <c r="X17" s="118">
        <v>121</v>
      </c>
      <c r="Y17" s="118">
        <v>120</v>
      </c>
      <c r="Z17" s="118">
        <v>112</v>
      </c>
      <c r="AA17" s="118">
        <v>123</v>
      </c>
      <c r="AB17" s="118">
        <v>90</v>
      </c>
      <c r="AC17" s="118">
        <v>113</v>
      </c>
      <c r="AD17" s="118">
        <v>109</v>
      </c>
      <c r="AE17" s="118">
        <v>121</v>
      </c>
      <c r="AF17" s="118">
        <v>127</v>
      </c>
      <c r="AG17" s="118">
        <v>128</v>
      </c>
      <c r="AH17" s="118">
        <v>127</v>
      </c>
      <c r="AI17" s="118">
        <v>106</v>
      </c>
      <c r="AJ17" s="118">
        <v>126</v>
      </c>
      <c r="AK17" s="118">
        <v>137</v>
      </c>
      <c r="AL17" s="118">
        <v>146</v>
      </c>
      <c r="AM17" s="118">
        <v>138</v>
      </c>
      <c r="AN17" s="118">
        <v>173</v>
      </c>
      <c r="AO17" s="118">
        <v>151</v>
      </c>
      <c r="AP17" s="118">
        <v>196</v>
      </c>
      <c r="AQ17" s="118">
        <v>152</v>
      </c>
      <c r="AR17" s="118">
        <v>171</v>
      </c>
      <c r="AS17" s="118">
        <v>178</v>
      </c>
      <c r="AT17" s="118">
        <v>201</v>
      </c>
      <c r="AU17" s="118">
        <v>218</v>
      </c>
      <c r="AV17" s="118">
        <v>201</v>
      </c>
      <c r="AW17" s="118">
        <v>187</v>
      </c>
      <c r="AX17" s="118">
        <v>241</v>
      </c>
      <c r="AY17" s="118">
        <v>-390</v>
      </c>
    </row>
    <row r="18" spans="2:51" ht="25.5" x14ac:dyDescent="0.2">
      <c r="B18" s="129" t="s">
        <v>1233</v>
      </c>
      <c r="C18" s="118">
        <v>0</v>
      </c>
      <c r="D18" s="118">
        <v>0</v>
      </c>
      <c r="E18" s="118">
        <v>0</v>
      </c>
      <c r="F18" s="118">
        <v>0</v>
      </c>
      <c r="G18" s="118">
        <v>0</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0</v>
      </c>
      <c r="AB18" s="118">
        <v>0</v>
      </c>
      <c r="AC18" s="118">
        <v>0</v>
      </c>
      <c r="AD18" s="118">
        <v>0</v>
      </c>
      <c r="AE18" s="118">
        <v>0</v>
      </c>
      <c r="AF18" s="118">
        <v>0</v>
      </c>
      <c r="AG18" s="118">
        <v>0</v>
      </c>
      <c r="AH18" s="118">
        <v>0</v>
      </c>
      <c r="AI18" s="118">
        <v>90</v>
      </c>
      <c r="AJ18" s="118">
        <f>346-AI18</f>
        <v>256</v>
      </c>
      <c r="AK18" s="118">
        <f>275-SUM(AI18:AJ18)</f>
        <v>-71</v>
      </c>
      <c r="AL18" s="118">
        <f>215-SUM(AI18:AK18)</f>
        <v>-60</v>
      </c>
      <c r="AM18" s="118">
        <v>3</v>
      </c>
      <c r="AN18" s="118">
        <v>492</v>
      </c>
      <c r="AO18" s="118">
        <v>66</v>
      </c>
      <c r="AP18" s="118">
        <v>-12</v>
      </c>
      <c r="AQ18" s="118">
        <v>77</v>
      </c>
      <c r="AR18" s="118">
        <v>122</v>
      </c>
      <c r="AS18" s="118">
        <v>640</v>
      </c>
      <c r="AT18" s="118">
        <v>2053</v>
      </c>
      <c r="AU18" s="118">
        <v>677</v>
      </c>
      <c r="AV18" s="118">
        <v>-851</v>
      </c>
      <c r="AW18" s="118">
        <v>-314</v>
      </c>
      <c r="AX18" s="118">
        <v>-468</v>
      </c>
      <c r="AY18" s="118">
        <v>2118</v>
      </c>
    </row>
    <row r="19" spans="2:51" x14ac:dyDescent="0.2">
      <c r="B19" s="126" t="s">
        <v>112</v>
      </c>
      <c r="C19" s="120">
        <f t="shared" ref="C19:AN19" si="8">SUM(C14:C18)</f>
        <v>255024</v>
      </c>
      <c r="D19" s="120">
        <f t="shared" si="8"/>
        <v>271654</v>
      </c>
      <c r="E19" s="120">
        <f t="shared" si="8"/>
        <v>271442</v>
      </c>
      <c r="F19" s="120">
        <f t="shared" si="8"/>
        <v>294049</v>
      </c>
      <c r="G19" s="120">
        <f t="shared" si="8"/>
        <v>223124</v>
      </c>
      <c r="H19" s="120">
        <f t="shared" si="8"/>
        <v>216385</v>
      </c>
      <c r="I19" s="120">
        <f t="shared" si="8"/>
        <v>209808</v>
      </c>
      <c r="J19" s="120">
        <f t="shared" si="8"/>
        <v>213822</v>
      </c>
      <c r="K19" s="120">
        <f t="shared" si="8"/>
        <v>160449</v>
      </c>
      <c r="L19" s="120">
        <f t="shared" si="8"/>
        <v>182066</v>
      </c>
      <c r="M19" s="120">
        <f t="shared" si="8"/>
        <v>183686</v>
      </c>
      <c r="N19" s="120">
        <f t="shared" si="8"/>
        <v>192098</v>
      </c>
      <c r="O19" s="120">
        <f t="shared" si="8"/>
        <v>165901</v>
      </c>
      <c r="P19" s="120">
        <f t="shared" si="8"/>
        <v>196210.00000000003</v>
      </c>
      <c r="Q19" s="120">
        <f t="shared" si="8"/>
        <v>218099</v>
      </c>
      <c r="R19" s="120">
        <f t="shared" si="8"/>
        <v>217577</v>
      </c>
      <c r="S19" s="120">
        <f t="shared" si="8"/>
        <v>205487</v>
      </c>
      <c r="T19" s="120">
        <f t="shared" si="8"/>
        <v>228423</v>
      </c>
      <c r="U19" s="120">
        <f t="shared" si="8"/>
        <v>255772</v>
      </c>
      <c r="V19" s="120">
        <f t="shared" si="8"/>
        <v>272054</v>
      </c>
      <c r="W19" s="120">
        <f t="shared" si="8"/>
        <v>226082</v>
      </c>
      <c r="X19" s="120">
        <f t="shared" si="8"/>
        <v>245542</v>
      </c>
      <c r="Y19" s="120">
        <f t="shared" si="8"/>
        <v>254357</v>
      </c>
      <c r="Z19" s="120">
        <f t="shared" si="8"/>
        <v>278006</v>
      </c>
      <c r="AA19" s="120">
        <f t="shared" si="8"/>
        <v>214681</v>
      </c>
      <c r="AB19" s="120">
        <f t="shared" si="8"/>
        <v>105616</v>
      </c>
      <c r="AC19" s="120">
        <f t="shared" si="8"/>
        <v>205107</v>
      </c>
      <c r="AD19" s="120">
        <f t="shared" si="8"/>
        <v>229827</v>
      </c>
      <c r="AE19" s="120">
        <f t="shared" si="8"/>
        <v>174329</v>
      </c>
      <c r="AF19" s="120">
        <f t="shared" si="8"/>
        <v>172922</v>
      </c>
      <c r="AG19" s="120">
        <f t="shared" si="8"/>
        <v>171030</v>
      </c>
      <c r="AH19" s="120">
        <f t="shared" si="8"/>
        <v>229549</v>
      </c>
      <c r="AI19" s="120">
        <f t="shared" si="8"/>
        <v>180597</v>
      </c>
      <c r="AJ19" s="120">
        <f t="shared" si="8"/>
        <v>223505</v>
      </c>
      <c r="AK19" s="120">
        <f t="shared" si="8"/>
        <v>288858</v>
      </c>
      <c r="AL19" s="120">
        <f t="shared" si="8"/>
        <v>294983</v>
      </c>
      <c r="AM19" s="120">
        <f t="shared" si="8"/>
        <v>241455</v>
      </c>
      <c r="AN19" s="120">
        <f t="shared" si="8"/>
        <v>270865</v>
      </c>
      <c r="AO19" s="120">
        <f t="shared" ref="AO19:AV19" si="9">SUM(AO14:AO18)</f>
        <v>304473</v>
      </c>
      <c r="AP19" s="120">
        <f t="shared" si="9"/>
        <v>331645</v>
      </c>
      <c r="AQ19" s="120">
        <f t="shared" si="9"/>
        <v>279739</v>
      </c>
      <c r="AR19" s="120">
        <f t="shared" si="9"/>
        <v>347418</v>
      </c>
      <c r="AS19" s="120">
        <f t="shared" si="9"/>
        <v>446744</v>
      </c>
      <c r="AT19" s="120">
        <f t="shared" si="9"/>
        <v>469321</v>
      </c>
      <c r="AU19" s="120">
        <f t="shared" si="9"/>
        <v>339004</v>
      </c>
      <c r="AV19" s="120">
        <f t="shared" si="9"/>
        <v>411931</v>
      </c>
      <c r="AW19" s="120">
        <f>SUM(AW14:AW18)</f>
        <v>488855</v>
      </c>
      <c r="AX19" s="120">
        <f>SUM(AX14:AX18)</f>
        <v>491153</v>
      </c>
      <c r="AY19" s="120">
        <f>SUM(AY14:AY18)</f>
        <v>-975258</v>
      </c>
    </row>
    <row r="21" spans="2:51" x14ac:dyDescent="0.2">
      <c r="B21" s="115" t="s">
        <v>98</v>
      </c>
      <c r="C21" s="115" t="str">
        <f>C5</f>
        <v>1T14</v>
      </c>
      <c r="D21" s="115" t="str">
        <f t="shared" ref="D21:Q21" si="10">D5</f>
        <v>2T14</v>
      </c>
      <c r="E21" s="115" t="str">
        <f t="shared" si="10"/>
        <v>3T14</v>
      </c>
      <c r="F21" s="115" t="str">
        <f t="shared" si="10"/>
        <v>4T14</v>
      </c>
      <c r="G21" s="115" t="str">
        <f t="shared" si="10"/>
        <v>1T15</v>
      </c>
      <c r="H21" s="115" t="str">
        <f t="shared" si="10"/>
        <v>2T15</v>
      </c>
      <c r="I21" s="115" t="str">
        <f t="shared" si="10"/>
        <v>3T15</v>
      </c>
      <c r="J21" s="115" t="str">
        <f t="shared" si="10"/>
        <v>4T15</v>
      </c>
      <c r="K21" s="115" t="str">
        <f t="shared" si="10"/>
        <v>1T16</v>
      </c>
      <c r="L21" s="115" t="str">
        <f t="shared" si="10"/>
        <v>2T16</v>
      </c>
      <c r="M21" s="115" t="str">
        <f t="shared" si="10"/>
        <v>3T16</v>
      </c>
      <c r="N21" s="115" t="str">
        <f t="shared" si="10"/>
        <v>4T16</v>
      </c>
      <c r="O21" s="115" t="str">
        <f t="shared" si="10"/>
        <v>1T17</v>
      </c>
      <c r="P21" s="115" t="str">
        <f t="shared" si="10"/>
        <v>2T17</v>
      </c>
      <c r="Q21" s="115" t="str">
        <f t="shared" si="10"/>
        <v>3T17</v>
      </c>
      <c r="R21" s="115" t="str">
        <f t="shared" ref="R21:W21" si="11">R5</f>
        <v>4T17</v>
      </c>
      <c r="S21" s="115" t="str">
        <f t="shared" si="11"/>
        <v>1T18</v>
      </c>
      <c r="T21" s="115" t="str">
        <f t="shared" si="11"/>
        <v>2T18</v>
      </c>
      <c r="U21" s="115" t="str">
        <f t="shared" si="11"/>
        <v>3T18</v>
      </c>
      <c r="V21" s="115" t="str">
        <f t="shared" si="11"/>
        <v>4T18</v>
      </c>
      <c r="W21" s="115" t="str">
        <f t="shared" si="11"/>
        <v>1T19</v>
      </c>
      <c r="X21" s="115" t="str">
        <f t="shared" ref="X21:AC21" si="12">X5</f>
        <v>2T19</v>
      </c>
      <c r="Y21" s="115" t="str">
        <f t="shared" si="12"/>
        <v>3T19</v>
      </c>
      <c r="Z21" s="115" t="str">
        <f t="shared" si="12"/>
        <v>4T19</v>
      </c>
      <c r="AA21" s="115" t="str">
        <f t="shared" si="12"/>
        <v>1T20</v>
      </c>
      <c r="AB21" s="115" t="str">
        <f t="shared" si="12"/>
        <v>2T20</v>
      </c>
      <c r="AC21" s="115" t="str">
        <f t="shared" si="12"/>
        <v>3T20</v>
      </c>
      <c r="AD21" s="115" t="str">
        <f t="shared" ref="AD21:AJ21" si="13">AD5</f>
        <v>4T20</v>
      </c>
      <c r="AE21" s="115" t="str">
        <f t="shared" si="13"/>
        <v>1T21</v>
      </c>
      <c r="AF21" s="115" t="str">
        <f t="shared" si="13"/>
        <v>2T21</v>
      </c>
      <c r="AG21" s="115" t="str">
        <f t="shared" si="13"/>
        <v>3T21</v>
      </c>
      <c r="AH21" s="115" t="str">
        <f t="shared" si="13"/>
        <v>4T21</v>
      </c>
      <c r="AI21" s="115" t="str">
        <f>AI5</f>
        <v>1T22</v>
      </c>
      <c r="AJ21" s="115" t="str">
        <f t="shared" si="13"/>
        <v>2T22</v>
      </c>
      <c r="AK21" s="115" t="str">
        <f t="shared" ref="AK21:AQ21" si="14">AK5</f>
        <v>3T22</v>
      </c>
      <c r="AL21" s="115" t="str">
        <f t="shared" si="14"/>
        <v>4T22</v>
      </c>
      <c r="AM21" s="115" t="str">
        <f t="shared" si="14"/>
        <v>1T23</v>
      </c>
      <c r="AN21" s="115" t="str">
        <f t="shared" si="14"/>
        <v>2T23</v>
      </c>
      <c r="AO21" s="115" t="str">
        <f t="shared" si="14"/>
        <v>3T23</v>
      </c>
      <c r="AP21" s="115" t="str">
        <f t="shared" si="14"/>
        <v>4T23</v>
      </c>
      <c r="AQ21" s="115" t="str">
        <f t="shared" si="14"/>
        <v>1T24</v>
      </c>
      <c r="AR21" s="115" t="str">
        <f>AR5</f>
        <v>2T24</v>
      </c>
      <c r="AS21" s="115" t="str">
        <f t="shared" ref="AS21:AX21" si="15">AS5</f>
        <v>3T24</v>
      </c>
      <c r="AT21" s="115" t="str">
        <f t="shared" si="15"/>
        <v>4T24</v>
      </c>
      <c r="AU21" s="115" t="str">
        <f t="shared" si="15"/>
        <v>1T25</v>
      </c>
      <c r="AV21" s="115" t="str">
        <f t="shared" si="15"/>
        <v>2T25</v>
      </c>
      <c r="AW21" s="115" t="str">
        <f t="shared" si="15"/>
        <v>3T25</v>
      </c>
      <c r="AX21" s="115" t="str">
        <f t="shared" si="15"/>
        <v>4T25</v>
      </c>
      <c r="AY21" s="115" t="str">
        <f>AY5</f>
        <v>1T26</v>
      </c>
    </row>
    <row r="22" spans="2:51" x14ac:dyDescent="0.2">
      <c r="B22" s="129" t="s">
        <v>242</v>
      </c>
      <c r="C22" s="118">
        <f t="shared" ref="C22:I22" si="16">+C6-C14</f>
        <v>58865</v>
      </c>
      <c r="D22" s="118">
        <f t="shared" si="16"/>
        <v>45939</v>
      </c>
      <c r="E22" s="118">
        <f t="shared" si="16"/>
        <v>44784</v>
      </c>
      <c r="F22" s="118">
        <f t="shared" si="16"/>
        <v>50387</v>
      </c>
      <c r="G22" s="118">
        <f t="shared" si="16"/>
        <v>44690</v>
      </c>
      <c r="H22" s="118">
        <f t="shared" si="16"/>
        <v>50858</v>
      </c>
      <c r="I22" s="118">
        <f t="shared" si="16"/>
        <v>46113</v>
      </c>
      <c r="J22" s="118">
        <f t="shared" ref="J22:R22" si="17">+J6-J14</f>
        <v>47156</v>
      </c>
      <c r="K22" s="118">
        <f t="shared" si="17"/>
        <v>34986</v>
      </c>
      <c r="L22" s="118">
        <f t="shared" si="17"/>
        <v>35487</v>
      </c>
      <c r="M22" s="118">
        <f t="shared" si="17"/>
        <v>32838</v>
      </c>
      <c r="N22" s="118">
        <f t="shared" si="17"/>
        <v>31782</v>
      </c>
      <c r="O22" s="118">
        <f t="shared" si="17"/>
        <v>30389</v>
      </c>
      <c r="P22" s="118">
        <f t="shared" si="17"/>
        <v>30884</v>
      </c>
      <c r="Q22" s="118">
        <f t="shared" si="17"/>
        <v>31035</v>
      </c>
      <c r="R22" s="118">
        <f t="shared" si="17"/>
        <v>30667</v>
      </c>
      <c r="S22" s="118">
        <v>27760</v>
      </c>
      <c r="T22" s="118">
        <f t="shared" ref="T22:AJ22" si="18">+T6-T14</f>
        <v>25251</v>
      </c>
      <c r="U22" s="118">
        <f t="shared" si="18"/>
        <v>26296</v>
      </c>
      <c r="V22" s="118">
        <f t="shared" si="18"/>
        <v>27612</v>
      </c>
      <c r="W22" s="118">
        <f t="shared" si="18"/>
        <v>26537</v>
      </c>
      <c r="X22" s="118">
        <f t="shared" si="18"/>
        <v>36622</v>
      </c>
      <c r="Y22" s="118">
        <f t="shared" si="18"/>
        <v>37044</v>
      </c>
      <c r="Z22" s="118">
        <f t="shared" si="18"/>
        <v>39953</v>
      </c>
      <c r="AA22" s="118">
        <f t="shared" si="18"/>
        <v>32674</v>
      </c>
      <c r="AB22" s="118">
        <f t="shared" si="18"/>
        <v>31408</v>
      </c>
      <c r="AC22" s="118">
        <f t="shared" si="18"/>
        <v>36072</v>
      </c>
      <c r="AD22" s="118">
        <f t="shared" si="18"/>
        <v>38647</v>
      </c>
      <c r="AE22" s="118">
        <f t="shared" si="18"/>
        <v>34702</v>
      </c>
      <c r="AF22" s="118">
        <f t="shared" si="18"/>
        <v>38410</v>
      </c>
      <c r="AG22" s="118">
        <f t="shared" si="18"/>
        <v>36559</v>
      </c>
      <c r="AH22" s="118">
        <f t="shared" si="18"/>
        <v>38006</v>
      </c>
      <c r="AI22" s="118">
        <f t="shared" si="18"/>
        <v>39110</v>
      </c>
      <c r="AJ22" s="118">
        <f t="shared" si="18"/>
        <v>45122</v>
      </c>
      <c r="AK22" s="118">
        <f t="shared" ref="AK22:AQ25" si="19">+AK6-AK14</f>
        <v>51240</v>
      </c>
      <c r="AL22" s="118">
        <f t="shared" si="19"/>
        <v>53863</v>
      </c>
      <c r="AM22" s="118">
        <f t="shared" si="19"/>
        <v>54238</v>
      </c>
      <c r="AN22" s="118">
        <f t="shared" si="19"/>
        <v>50253</v>
      </c>
      <c r="AO22" s="118">
        <f t="shared" si="19"/>
        <v>56863</v>
      </c>
      <c r="AP22" s="118">
        <f t="shared" si="19"/>
        <v>57512</v>
      </c>
      <c r="AQ22" s="118">
        <f t="shared" si="19"/>
        <v>59469</v>
      </c>
      <c r="AR22" s="118">
        <f t="shared" ref="AR22:AW22" si="20">+AR6-AR14</f>
        <v>50263</v>
      </c>
      <c r="AS22" s="118">
        <f t="shared" si="20"/>
        <v>40282</v>
      </c>
      <c r="AT22" s="118">
        <f t="shared" si="20"/>
        <v>39949</v>
      </c>
      <c r="AU22" s="118">
        <f t="shared" si="20"/>
        <v>42664</v>
      </c>
      <c r="AV22" s="118">
        <f t="shared" si="20"/>
        <v>43362</v>
      </c>
      <c r="AW22" s="118">
        <f t="shared" si="20"/>
        <v>39426</v>
      </c>
      <c r="AX22" s="118">
        <v>46205</v>
      </c>
      <c r="AY22" s="118">
        <f>+AY6-AY14</f>
        <v>1356104</v>
      </c>
    </row>
    <row r="23" spans="2:51" x14ac:dyDescent="0.2">
      <c r="B23" s="129" t="s">
        <v>243</v>
      </c>
      <c r="C23" s="118">
        <f t="shared" ref="C23:I23" si="21">+C7-C15</f>
        <v>2140</v>
      </c>
      <c r="D23" s="118">
        <f t="shared" si="21"/>
        <v>221</v>
      </c>
      <c r="E23" s="118">
        <f t="shared" si="21"/>
        <v>9680</v>
      </c>
      <c r="F23" s="118">
        <f t="shared" si="21"/>
        <v>-690</v>
      </c>
      <c r="G23" s="118">
        <f t="shared" si="21"/>
        <v>1494</v>
      </c>
      <c r="H23" s="118">
        <f t="shared" si="21"/>
        <v>1297</v>
      </c>
      <c r="I23" s="118">
        <f t="shared" si="21"/>
        <v>1241</v>
      </c>
      <c r="J23" s="118">
        <f t="shared" ref="J23:R23" si="22">+J7-J15</f>
        <v>2105</v>
      </c>
      <c r="K23" s="118">
        <f t="shared" si="22"/>
        <v>1020</v>
      </c>
      <c r="L23" s="118">
        <f t="shared" si="22"/>
        <v>858</v>
      </c>
      <c r="M23" s="118">
        <f t="shared" si="22"/>
        <v>910</v>
      </c>
      <c r="N23" s="118">
        <f t="shared" si="22"/>
        <v>823</v>
      </c>
      <c r="O23" s="118">
        <f t="shared" si="22"/>
        <v>646</v>
      </c>
      <c r="P23" s="118">
        <f t="shared" si="22"/>
        <v>639</v>
      </c>
      <c r="Q23" s="118">
        <f t="shared" si="22"/>
        <v>623</v>
      </c>
      <c r="R23" s="118">
        <f t="shared" si="22"/>
        <v>2181</v>
      </c>
      <c r="S23" s="118">
        <v>583</v>
      </c>
      <c r="T23" s="118">
        <f t="shared" ref="T23:AJ23" si="23">+T7-T15</f>
        <v>564</v>
      </c>
      <c r="U23" s="118">
        <f t="shared" si="23"/>
        <v>197</v>
      </c>
      <c r="V23" s="118">
        <f t="shared" si="23"/>
        <v>319</v>
      </c>
      <c r="W23" s="118">
        <f t="shared" si="23"/>
        <v>342</v>
      </c>
      <c r="X23" s="118">
        <f t="shared" si="23"/>
        <v>404</v>
      </c>
      <c r="Y23" s="118">
        <f t="shared" si="23"/>
        <v>553</v>
      </c>
      <c r="Z23" s="118">
        <f t="shared" si="23"/>
        <v>470</v>
      </c>
      <c r="AA23" s="118">
        <f t="shared" si="23"/>
        <v>471</v>
      </c>
      <c r="AB23" s="118">
        <f t="shared" si="23"/>
        <v>317</v>
      </c>
      <c r="AC23" s="118">
        <f t="shared" si="23"/>
        <v>421</v>
      </c>
      <c r="AD23" s="118">
        <f t="shared" si="23"/>
        <v>368</v>
      </c>
      <c r="AE23" s="118">
        <f t="shared" si="23"/>
        <v>197</v>
      </c>
      <c r="AF23" s="118">
        <f t="shared" si="23"/>
        <v>216</v>
      </c>
      <c r="AG23" s="118">
        <f t="shared" si="23"/>
        <v>167</v>
      </c>
      <c r="AH23" s="118">
        <f t="shared" si="23"/>
        <v>304</v>
      </c>
      <c r="AI23" s="118">
        <f t="shared" si="23"/>
        <v>194</v>
      </c>
      <c r="AJ23" s="118">
        <f t="shared" si="23"/>
        <v>264</v>
      </c>
      <c r="AK23" s="118">
        <f t="shared" si="19"/>
        <v>167</v>
      </c>
      <c r="AL23" s="118">
        <f t="shared" si="19"/>
        <v>1121</v>
      </c>
      <c r="AM23" s="118">
        <f t="shared" si="19"/>
        <v>463</v>
      </c>
      <c r="AN23" s="118">
        <f t="shared" si="19"/>
        <v>237</v>
      </c>
      <c r="AO23" s="118">
        <f t="shared" si="19"/>
        <v>-141</v>
      </c>
      <c r="AP23" s="118">
        <f t="shared" si="19"/>
        <v>1875</v>
      </c>
      <c r="AQ23" s="118">
        <f t="shared" si="19"/>
        <v>4564</v>
      </c>
      <c r="AR23" s="118">
        <f t="shared" ref="AR23:AT26" si="24">+AR7-AR15</f>
        <v>3774</v>
      </c>
      <c r="AS23" s="118">
        <f t="shared" si="24"/>
        <v>4273</v>
      </c>
      <c r="AT23" s="118">
        <f t="shared" si="24"/>
        <v>4430</v>
      </c>
      <c r="AU23" s="118">
        <f t="shared" ref="AU23:AW26" si="25">+AU7-AU15</f>
        <v>4436</v>
      </c>
      <c r="AV23" s="118">
        <f t="shared" si="25"/>
        <v>4571</v>
      </c>
      <c r="AW23" s="118">
        <f t="shared" si="25"/>
        <v>4834</v>
      </c>
      <c r="AX23" s="118">
        <v>5633</v>
      </c>
      <c r="AY23" s="118">
        <f>+AY7-AY15</f>
        <v>85862</v>
      </c>
    </row>
    <row r="24" spans="2:51" x14ac:dyDescent="0.2">
      <c r="B24" s="129" t="s">
        <v>394</v>
      </c>
      <c r="C24" s="118">
        <f t="shared" ref="C24:I24" si="26">+C8-C16</f>
        <v>0</v>
      </c>
      <c r="D24" s="118">
        <f t="shared" si="26"/>
        <v>0</v>
      </c>
      <c r="E24" s="118">
        <f t="shared" si="26"/>
        <v>0</v>
      </c>
      <c r="F24" s="118">
        <f t="shared" si="26"/>
        <v>0</v>
      </c>
      <c r="G24" s="118">
        <f t="shared" si="26"/>
        <v>0</v>
      </c>
      <c r="H24" s="118">
        <f t="shared" si="26"/>
        <v>0</v>
      </c>
      <c r="I24" s="118">
        <f t="shared" si="26"/>
        <v>0</v>
      </c>
      <c r="J24" s="118">
        <f t="shared" ref="J24:R24" si="27">+J8-J16</f>
        <v>0</v>
      </c>
      <c r="K24" s="118">
        <f t="shared" si="27"/>
        <v>0</v>
      </c>
      <c r="L24" s="118">
        <f t="shared" si="27"/>
        <v>0</v>
      </c>
      <c r="M24" s="118">
        <f t="shared" si="27"/>
        <v>0</v>
      </c>
      <c r="N24" s="118">
        <f t="shared" si="27"/>
        <v>0</v>
      </c>
      <c r="O24" s="118">
        <f t="shared" si="27"/>
        <v>0</v>
      </c>
      <c r="P24" s="118">
        <f t="shared" si="27"/>
        <v>0</v>
      </c>
      <c r="Q24" s="118">
        <f t="shared" si="27"/>
        <v>0</v>
      </c>
      <c r="R24" s="118">
        <f t="shared" si="27"/>
        <v>0</v>
      </c>
      <c r="S24" s="118">
        <v>0</v>
      </c>
      <c r="T24" s="118">
        <f t="shared" ref="T24:AJ24" si="28">+T8-T16</f>
        <v>0</v>
      </c>
      <c r="U24" s="118">
        <f t="shared" si="28"/>
        <v>0</v>
      </c>
      <c r="V24" s="118">
        <f t="shared" si="28"/>
        <v>0</v>
      </c>
      <c r="W24" s="118">
        <f t="shared" si="28"/>
        <v>0</v>
      </c>
      <c r="X24" s="118">
        <f t="shared" si="28"/>
        <v>0</v>
      </c>
      <c r="Y24" s="118">
        <f t="shared" si="28"/>
        <v>0</v>
      </c>
      <c r="Z24" s="118">
        <f t="shared" si="28"/>
        <v>0</v>
      </c>
      <c r="AA24" s="118">
        <f t="shared" si="28"/>
        <v>0</v>
      </c>
      <c r="AB24" s="118">
        <f t="shared" si="28"/>
        <v>0</v>
      </c>
      <c r="AC24" s="118">
        <f t="shared" si="28"/>
        <v>0</v>
      </c>
      <c r="AD24" s="118">
        <f t="shared" si="28"/>
        <v>0</v>
      </c>
      <c r="AE24" s="118">
        <f t="shared" si="28"/>
        <v>0</v>
      </c>
      <c r="AF24" s="118">
        <f t="shared" si="28"/>
        <v>0</v>
      </c>
      <c r="AG24" s="118">
        <f t="shared" si="28"/>
        <v>0</v>
      </c>
      <c r="AH24" s="118">
        <f t="shared" si="28"/>
        <v>0</v>
      </c>
      <c r="AI24" s="118">
        <f t="shared" si="28"/>
        <v>0</v>
      </c>
      <c r="AJ24" s="118">
        <f t="shared" si="28"/>
        <v>0</v>
      </c>
      <c r="AK24" s="118">
        <f t="shared" si="19"/>
        <v>0</v>
      </c>
      <c r="AL24" s="118">
        <f t="shared" si="19"/>
        <v>0</v>
      </c>
      <c r="AM24" s="118">
        <f t="shared" si="19"/>
        <v>0</v>
      </c>
      <c r="AN24" s="118">
        <f t="shared" si="19"/>
        <v>0</v>
      </c>
      <c r="AO24" s="118">
        <f t="shared" si="19"/>
        <v>0</v>
      </c>
      <c r="AP24" s="118">
        <f t="shared" si="19"/>
        <v>0</v>
      </c>
      <c r="AQ24" s="118">
        <f t="shared" si="19"/>
        <v>0</v>
      </c>
      <c r="AR24" s="118">
        <f t="shared" si="24"/>
        <v>0</v>
      </c>
      <c r="AS24" s="118">
        <f t="shared" si="24"/>
        <v>0</v>
      </c>
      <c r="AT24" s="118">
        <f t="shared" si="24"/>
        <v>0</v>
      </c>
      <c r="AU24" s="118">
        <f t="shared" ref="AU24:AV26" si="29">+AU8-AU16</f>
        <v>0</v>
      </c>
      <c r="AV24" s="118">
        <f t="shared" si="29"/>
        <v>0</v>
      </c>
      <c r="AW24" s="118">
        <f t="shared" si="25"/>
        <v>0</v>
      </c>
      <c r="AX24" s="118">
        <v>0</v>
      </c>
      <c r="AY24" s="118">
        <f>+AY8-AY16</f>
        <v>0</v>
      </c>
    </row>
    <row r="25" spans="2:51" x14ac:dyDescent="0.2">
      <c r="B25" s="129" t="s">
        <v>395</v>
      </c>
      <c r="C25" s="118">
        <f t="shared" ref="C25:R26" si="30">+C9-C17</f>
        <v>0</v>
      </c>
      <c r="D25" s="118">
        <f t="shared" si="30"/>
        <v>0</v>
      </c>
      <c r="E25" s="118">
        <f t="shared" si="30"/>
        <v>0</v>
      </c>
      <c r="F25" s="118">
        <f t="shared" si="30"/>
        <v>0</v>
      </c>
      <c r="G25" s="118">
        <f t="shared" si="30"/>
        <v>0</v>
      </c>
      <c r="H25" s="118">
        <f t="shared" si="30"/>
        <v>0</v>
      </c>
      <c r="I25" s="118">
        <f t="shared" si="30"/>
        <v>0</v>
      </c>
      <c r="J25" s="118">
        <f t="shared" si="30"/>
        <v>0</v>
      </c>
      <c r="K25" s="118">
        <f t="shared" si="30"/>
        <v>0</v>
      </c>
      <c r="L25" s="118">
        <f t="shared" si="30"/>
        <v>0</v>
      </c>
      <c r="M25" s="118">
        <f t="shared" si="30"/>
        <v>0</v>
      </c>
      <c r="N25" s="118">
        <f t="shared" si="30"/>
        <v>0</v>
      </c>
      <c r="O25" s="118">
        <f t="shared" si="30"/>
        <v>0</v>
      </c>
      <c r="P25" s="118">
        <f t="shared" si="30"/>
        <v>0</v>
      </c>
      <c r="Q25" s="118">
        <f t="shared" si="30"/>
        <v>5733</v>
      </c>
      <c r="R25" s="118">
        <f t="shared" si="30"/>
        <v>5731</v>
      </c>
      <c r="S25" s="118">
        <v>0</v>
      </c>
      <c r="T25" s="118">
        <f t="shared" ref="T25:AJ25" si="31">+T9-T17</f>
        <v>0</v>
      </c>
      <c r="U25" s="118">
        <f t="shared" si="31"/>
        <v>0</v>
      </c>
      <c r="V25" s="118">
        <f t="shared" si="31"/>
        <v>1907</v>
      </c>
      <c r="W25" s="118">
        <f t="shared" si="31"/>
        <v>0</v>
      </c>
      <c r="X25" s="118">
        <f t="shared" si="31"/>
        <v>0</v>
      </c>
      <c r="Y25" s="118">
        <f t="shared" si="31"/>
        <v>0</v>
      </c>
      <c r="Z25" s="118">
        <f t="shared" si="31"/>
        <v>0</v>
      </c>
      <c r="AA25" s="118">
        <f t="shared" si="31"/>
        <v>0</v>
      </c>
      <c r="AB25" s="118">
        <f t="shared" si="31"/>
        <v>0</v>
      </c>
      <c r="AC25" s="118">
        <f t="shared" si="31"/>
        <v>0</v>
      </c>
      <c r="AD25" s="118">
        <f t="shared" si="31"/>
        <v>431</v>
      </c>
      <c r="AE25" s="118">
        <f t="shared" si="31"/>
        <v>179</v>
      </c>
      <c r="AF25" s="118">
        <f t="shared" si="31"/>
        <v>175</v>
      </c>
      <c r="AG25" s="118">
        <f t="shared" si="31"/>
        <v>187</v>
      </c>
      <c r="AH25" s="118">
        <f t="shared" si="31"/>
        <v>222</v>
      </c>
      <c r="AI25" s="118">
        <f t="shared" si="31"/>
        <v>238</v>
      </c>
      <c r="AJ25" s="118">
        <f t="shared" si="31"/>
        <v>286</v>
      </c>
      <c r="AK25" s="118">
        <f t="shared" si="19"/>
        <v>318</v>
      </c>
      <c r="AL25" s="118">
        <f t="shared" si="19"/>
        <v>458</v>
      </c>
      <c r="AM25" s="118">
        <f t="shared" si="19"/>
        <v>484</v>
      </c>
      <c r="AN25" s="118">
        <f t="shared" si="19"/>
        <v>439</v>
      </c>
      <c r="AO25" s="118">
        <f t="shared" si="19"/>
        <v>408</v>
      </c>
      <c r="AP25" s="118">
        <f t="shared" si="19"/>
        <v>415</v>
      </c>
      <c r="AQ25" s="118">
        <f t="shared" si="19"/>
        <v>422</v>
      </c>
      <c r="AR25" s="118">
        <f t="shared" si="24"/>
        <v>487</v>
      </c>
      <c r="AS25" s="118">
        <f t="shared" si="24"/>
        <v>516</v>
      </c>
      <c r="AT25" s="118">
        <f t="shared" si="24"/>
        <v>737</v>
      </c>
      <c r="AU25" s="118">
        <f t="shared" si="29"/>
        <v>877</v>
      </c>
      <c r="AV25" s="118">
        <f t="shared" si="29"/>
        <v>651</v>
      </c>
      <c r="AW25" s="118">
        <f t="shared" si="25"/>
        <v>674</v>
      </c>
      <c r="AX25" s="118">
        <v>864</v>
      </c>
      <c r="AY25" s="118">
        <f>+AY9-AY17</f>
        <v>2551</v>
      </c>
    </row>
    <row r="26" spans="2:51" ht="25.5" x14ac:dyDescent="0.2">
      <c r="B26" s="129" t="s">
        <v>1233</v>
      </c>
      <c r="C26" s="118">
        <f t="shared" si="30"/>
        <v>0</v>
      </c>
      <c r="D26" s="118">
        <f t="shared" si="30"/>
        <v>0</v>
      </c>
      <c r="E26" s="118">
        <f t="shared" si="30"/>
        <v>0</v>
      </c>
      <c r="F26" s="118">
        <f t="shared" si="30"/>
        <v>0</v>
      </c>
      <c r="G26" s="118">
        <f t="shared" si="30"/>
        <v>0</v>
      </c>
      <c r="H26" s="118">
        <f t="shared" si="30"/>
        <v>0</v>
      </c>
      <c r="I26" s="118">
        <f t="shared" si="30"/>
        <v>0</v>
      </c>
      <c r="J26" s="118">
        <f t="shared" si="30"/>
        <v>0</v>
      </c>
      <c r="K26" s="118">
        <f t="shared" si="30"/>
        <v>0</v>
      </c>
      <c r="L26" s="118">
        <f t="shared" si="30"/>
        <v>0</v>
      </c>
      <c r="M26" s="118">
        <f t="shared" si="30"/>
        <v>0</v>
      </c>
      <c r="N26" s="118">
        <f t="shared" si="30"/>
        <v>0</v>
      </c>
      <c r="O26" s="118">
        <f t="shared" si="30"/>
        <v>0</v>
      </c>
      <c r="P26" s="118">
        <f t="shared" si="30"/>
        <v>0</v>
      </c>
      <c r="Q26" s="118">
        <f t="shared" si="30"/>
        <v>0</v>
      </c>
      <c r="R26" s="118">
        <f t="shared" si="30"/>
        <v>0</v>
      </c>
      <c r="S26" s="118">
        <f t="shared" ref="S26:AO26" si="32">+S10-S18</f>
        <v>0</v>
      </c>
      <c r="T26" s="118">
        <f t="shared" si="32"/>
        <v>0</v>
      </c>
      <c r="U26" s="118">
        <f t="shared" si="32"/>
        <v>0</v>
      </c>
      <c r="V26" s="118">
        <f t="shared" si="32"/>
        <v>0</v>
      </c>
      <c r="W26" s="118">
        <f t="shared" si="32"/>
        <v>0</v>
      </c>
      <c r="X26" s="118">
        <f t="shared" si="32"/>
        <v>0</v>
      </c>
      <c r="Y26" s="118">
        <f t="shared" si="32"/>
        <v>0</v>
      </c>
      <c r="Z26" s="118">
        <f t="shared" si="32"/>
        <v>0</v>
      </c>
      <c r="AA26" s="118">
        <f t="shared" si="32"/>
        <v>0</v>
      </c>
      <c r="AB26" s="118">
        <f t="shared" si="32"/>
        <v>0</v>
      </c>
      <c r="AC26" s="118">
        <f t="shared" si="32"/>
        <v>0</v>
      </c>
      <c r="AD26" s="118">
        <f t="shared" si="32"/>
        <v>0</v>
      </c>
      <c r="AE26" s="118">
        <f t="shared" si="32"/>
        <v>0</v>
      </c>
      <c r="AF26" s="118">
        <f t="shared" si="32"/>
        <v>0</v>
      </c>
      <c r="AG26" s="118">
        <f t="shared" si="32"/>
        <v>0</v>
      </c>
      <c r="AH26" s="118">
        <f t="shared" si="32"/>
        <v>0</v>
      </c>
      <c r="AI26" s="118">
        <f t="shared" si="32"/>
        <v>26</v>
      </c>
      <c r="AJ26" s="118">
        <f t="shared" si="32"/>
        <v>77</v>
      </c>
      <c r="AK26" s="118">
        <f t="shared" si="32"/>
        <v>17</v>
      </c>
      <c r="AL26" s="118">
        <f t="shared" si="32"/>
        <v>72</v>
      </c>
      <c r="AM26" s="118">
        <f t="shared" si="32"/>
        <v>382</v>
      </c>
      <c r="AN26" s="118">
        <f t="shared" si="32"/>
        <v>-28</v>
      </c>
      <c r="AO26" s="118">
        <f t="shared" si="32"/>
        <v>183</v>
      </c>
      <c r="AP26" s="118">
        <f>+AP10-AP18</f>
        <v>48</v>
      </c>
      <c r="AQ26" s="118">
        <f>+AQ10-AQ18</f>
        <v>-58</v>
      </c>
      <c r="AR26" s="118">
        <f t="shared" si="24"/>
        <v>73</v>
      </c>
      <c r="AS26" s="118">
        <f t="shared" si="24"/>
        <v>185</v>
      </c>
      <c r="AT26" s="118">
        <f t="shared" si="24"/>
        <v>69</v>
      </c>
      <c r="AU26" s="118">
        <f t="shared" si="29"/>
        <v>48</v>
      </c>
      <c r="AV26" s="118">
        <f t="shared" si="29"/>
        <v>203</v>
      </c>
      <c r="AW26" s="118">
        <f t="shared" si="25"/>
        <v>-360</v>
      </c>
      <c r="AX26" s="118">
        <v>201</v>
      </c>
      <c r="AY26" s="118">
        <f>+AY10-AY18</f>
        <v>-1156</v>
      </c>
    </row>
    <row r="27" spans="2:51" x14ac:dyDescent="0.2">
      <c r="B27" s="126" t="s">
        <v>112</v>
      </c>
      <c r="C27" s="120">
        <f t="shared" ref="C27:AN27" si="33">SUM(C22:C26)</f>
        <v>61005</v>
      </c>
      <c r="D27" s="120">
        <f t="shared" si="33"/>
        <v>46160</v>
      </c>
      <c r="E27" s="120">
        <f t="shared" si="33"/>
        <v>54464</v>
      </c>
      <c r="F27" s="120">
        <f t="shared" si="33"/>
        <v>49697</v>
      </c>
      <c r="G27" s="120">
        <f t="shared" si="33"/>
        <v>46184</v>
      </c>
      <c r="H27" s="120">
        <f t="shared" si="33"/>
        <v>52155</v>
      </c>
      <c r="I27" s="120">
        <f t="shared" si="33"/>
        <v>47354</v>
      </c>
      <c r="J27" s="120">
        <f t="shared" si="33"/>
        <v>49261</v>
      </c>
      <c r="K27" s="120">
        <f t="shared" si="33"/>
        <v>36006</v>
      </c>
      <c r="L27" s="120">
        <f t="shared" si="33"/>
        <v>36345</v>
      </c>
      <c r="M27" s="120">
        <f t="shared" si="33"/>
        <v>33748</v>
      </c>
      <c r="N27" s="120">
        <f t="shared" si="33"/>
        <v>32605</v>
      </c>
      <c r="O27" s="120">
        <f t="shared" si="33"/>
        <v>31035</v>
      </c>
      <c r="P27" s="120">
        <f t="shared" si="33"/>
        <v>31523</v>
      </c>
      <c r="Q27" s="120">
        <f t="shared" si="33"/>
        <v>37391</v>
      </c>
      <c r="R27" s="120">
        <f t="shared" si="33"/>
        <v>38579</v>
      </c>
      <c r="S27" s="120">
        <f t="shared" si="33"/>
        <v>28343</v>
      </c>
      <c r="T27" s="120">
        <f t="shared" si="33"/>
        <v>25815</v>
      </c>
      <c r="U27" s="120">
        <f t="shared" si="33"/>
        <v>26493</v>
      </c>
      <c r="V27" s="120">
        <f t="shared" si="33"/>
        <v>29838</v>
      </c>
      <c r="W27" s="120">
        <f t="shared" si="33"/>
        <v>26879</v>
      </c>
      <c r="X27" s="120">
        <f t="shared" si="33"/>
        <v>37026</v>
      </c>
      <c r="Y27" s="120">
        <f t="shared" si="33"/>
        <v>37597</v>
      </c>
      <c r="Z27" s="120">
        <f t="shared" si="33"/>
        <v>40423</v>
      </c>
      <c r="AA27" s="120">
        <f t="shared" si="33"/>
        <v>33145</v>
      </c>
      <c r="AB27" s="120">
        <f t="shared" si="33"/>
        <v>31725</v>
      </c>
      <c r="AC27" s="120">
        <f t="shared" si="33"/>
        <v>36493</v>
      </c>
      <c r="AD27" s="120">
        <f t="shared" si="33"/>
        <v>39446</v>
      </c>
      <c r="AE27" s="120">
        <f t="shared" si="33"/>
        <v>35078</v>
      </c>
      <c r="AF27" s="120">
        <f t="shared" si="33"/>
        <v>38801</v>
      </c>
      <c r="AG27" s="120">
        <f t="shared" si="33"/>
        <v>36913</v>
      </c>
      <c r="AH27" s="120">
        <f t="shared" si="33"/>
        <v>38532</v>
      </c>
      <c r="AI27" s="120">
        <f t="shared" si="33"/>
        <v>39568</v>
      </c>
      <c r="AJ27" s="120">
        <f t="shared" si="33"/>
        <v>45749</v>
      </c>
      <c r="AK27" s="120">
        <f t="shared" si="33"/>
        <v>51742</v>
      </c>
      <c r="AL27" s="120">
        <f t="shared" si="33"/>
        <v>55514</v>
      </c>
      <c r="AM27" s="120">
        <f t="shared" si="33"/>
        <v>55567</v>
      </c>
      <c r="AN27" s="120">
        <f t="shared" si="33"/>
        <v>50901</v>
      </c>
      <c r="AO27" s="120">
        <f t="shared" ref="AO27:AY27" si="34">SUM(AO22:AO26)</f>
        <v>57313</v>
      </c>
      <c r="AP27" s="120">
        <f t="shared" si="34"/>
        <v>59850</v>
      </c>
      <c r="AQ27" s="120">
        <f t="shared" si="34"/>
        <v>64397</v>
      </c>
      <c r="AR27" s="120">
        <f t="shared" si="34"/>
        <v>54597</v>
      </c>
      <c r="AS27" s="120">
        <f t="shared" si="34"/>
        <v>45256</v>
      </c>
      <c r="AT27" s="120">
        <f t="shared" si="34"/>
        <v>45185</v>
      </c>
      <c r="AU27" s="120">
        <f t="shared" si="34"/>
        <v>48025</v>
      </c>
      <c r="AV27" s="120">
        <f t="shared" si="34"/>
        <v>48787</v>
      </c>
      <c r="AW27" s="120">
        <f t="shared" si="34"/>
        <v>44574</v>
      </c>
      <c r="AX27" s="120">
        <f t="shared" si="34"/>
        <v>52903</v>
      </c>
      <c r="AY27" s="120">
        <f t="shared" si="34"/>
        <v>1443361</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V11:AV13 AV19:AV21" formulaRange="1"/>
  </ignoredErrors>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51">
    <pageSetUpPr autoPageBreaks="0"/>
  </sheetPr>
  <dimension ref="A1:XEH203"/>
  <sheetViews>
    <sheetView showGridLines="0" zoomScaleNormal="10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ColWidth="9.140625" defaultRowHeight="15" customHeight="1" outlineLevelRow="1" x14ac:dyDescent="0.2"/>
  <cols>
    <col min="1" max="1" width="1.42578125" style="25" customWidth="1"/>
    <col min="2" max="2" width="47.85546875" style="25" bestFit="1" customWidth="1"/>
    <col min="3" max="51" width="10.85546875" style="25" customWidth="1"/>
    <col min="52" max="52" width="8.85546875" style="25" customWidth="1"/>
    <col min="53" max="53" width="9.140625" style="25" customWidth="1"/>
    <col min="54" max="54" width="1.85546875" style="25" customWidth="1"/>
    <col min="55" max="56" width="8.140625" style="25" customWidth="1"/>
    <col min="57" max="57" width="1.140625" style="25" customWidth="1"/>
    <col min="58" max="59" width="8.85546875" style="25" customWidth="1"/>
    <col min="60" max="60" width="2.85546875" style="25" customWidth="1"/>
    <col min="61" max="61" width="8.85546875" style="25" customWidth="1"/>
    <col min="62" max="62" width="9.140625" style="25" customWidth="1"/>
    <col min="63" max="63" width="1.85546875" style="25" customWidth="1"/>
    <col min="64" max="65" width="8.140625" style="25" customWidth="1"/>
    <col min="66" max="66" width="1.140625" style="25" customWidth="1"/>
    <col min="67" max="68" width="8.85546875" style="25" customWidth="1"/>
    <col min="69" max="69" width="9.140625" style="25"/>
    <col min="70" max="70" width="11.42578125" style="25" customWidth="1"/>
    <col min="71" max="71" width="11" style="25" customWidth="1"/>
    <col min="72" max="72" width="12.140625" style="25" customWidth="1"/>
    <col min="73" max="73" width="10.140625" style="25" customWidth="1"/>
    <col min="74" max="74" width="9.140625" style="25"/>
    <col min="75" max="75" width="13.140625" style="25" customWidth="1"/>
    <col min="76" max="76" width="14.5703125" style="25" customWidth="1"/>
    <col min="77" max="77" width="11.42578125" style="25" customWidth="1"/>
    <col min="78" max="78" width="12.42578125" style="25" customWidth="1"/>
    <col min="79" max="79" width="11.85546875" style="25" customWidth="1"/>
    <col min="80" max="80" width="10.85546875" style="25" customWidth="1"/>
    <col min="81" max="16384" width="9.140625" style="25"/>
  </cols>
  <sheetData>
    <row r="1" spans="2:52 16362:16362" s="549" customFormat="1" ht="7.5" customHeight="1" x14ac:dyDescent="0.2">
      <c r="D1" s="544"/>
    </row>
    <row r="2" spans="2:52 16362:16362" s="549" customFormat="1" ht="12.75" customHeight="1" x14ac:dyDescent="0.25">
      <c r="D2" s="554"/>
    </row>
    <row r="3" spans="2:52 16362:16362" ht="12.75" customHeight="1" x14ac:dyDescent="0.2">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c r="AU3" s="353"/>
      <c r="AV3" s="353"/>
      <c r="AW3" s="353"/>
      <c r="AX3" s="353"/>
      <c r="AY3" s="353"/>
    </row>
    <row r="4" spans="2:52 16362:16362" ht="12.75" customHeight="1" x14ac:dyDescent="0.2">
      <c r="C4" s="216">
        <f t="shared" ref="C4:H4" si="0">+SUM(C11,C10,C14,C17,C21)</f>
        <v>-9847</v>
      </c>
      <c r="D4" s="216">
        <f t="shared" si="0"/>
        <v>-11943</v>
      </c>
      <c r="E4" s="216">
        <f t="shared" si="0"/>
        <v>-15471</v>
      </c>
      <c r="F4" s="216">
        <f t="shared" si="0"/>
        <v>-17751</v>
      </c>
      <c r="G4" s="216">
        <f t="shared" si="0"/>
        <v>-15773</v>
      </c>
      <c r="H4" s="216">
        <f t="shared" si="0"/>
        <v>-13166</v>
      </c>
      <c r="I4" s="216">
        <f>+SUM(I11,I14,I21)</f>
        <v>-13415</v>
      </c>
      <c r="J4" s="216">
        <f>+SUM(J11,J14,J21)</f>
        <v>-13124</v>
      </c>
      <c r="K4" s="216">
        <f>+SUM(K11,K14,K21)</f>
        <v>-12308</v>
      </c>
      <c r="L4" s="216">
        <f>+SUM(L11,L14,L21)</f>
        <v>-12501</v>
      </c>
      <c r="M4" s="216">
        <f>+SUM(M11,M14,M21)</f>
        <v>-12758</v>
      </c>
      <c r="N4" s="216">
        <v>-11783</v>
      </c>
      <c r="O4" s="216">
        <v>-8528</v>
      </c>
      <c r="P4" s="216">
        <v>-6348</v>
      </c>
      <c r="Q4" s="216">
        <f t="shared" ref="Q4:X4" si="1">+SUM(Q11,Q14,Q21)</f>
        <v>-7147</v>
      </c>
      <c r="R4" s="216">
        <f t="shared" si="1"/>
        <v>-4690</v>
      </c>
      <c r="S4" s="216">
        <f t="shared" si="1"/>
        <v>-3734</v>
      </c>
      <c r="T4" s="216">
        <f t="shared" si="1"/>
        <v>-3010</v>
      </c>
      <c r="U4" s="216">
        <f t="shared" si="1"/>
        <v>882</v>
      </c>
      <c r="V4" s="216">
        <f t="shared" si="1"/>
        <v>-4774</v>
      </c>
      <c r="W4" s="216">
        <f t="shared" si="1"/>
        <v>-1242</v>
      </c>
      <c r="X4" s="216">
        <f t="shared" si="1"/>
        <v>-4091</v>
      </c>
      <c r="Y4" s="216"/>
      <c r="Z4" s="216">
        <f t="shared" ref="Z4:AG4" si="2">+SUM(Z11,Z14,Z21)</f>
        <v>-3648</v>
      </c>
      <c r="AA4" s="216">
        <f t="shared" si="2"/>
        <v>13337</v>
      </c>
      <c r="AB4" s="216">
        <f t="shared" si="2"/>
        <v>1223</v>
      </c>
      <c r="AC4" s="216">
        <f t="shared" si="2"/>
        <v>-5763</v>
      </c>
      <c r="AD4" s="216">
        <f t="shared" si="2"/>
        <v>-2312</v>
      </c>
      <c r="AE4" s="216">
        <f t="shared" si="2"/>
        <v>-2312</v>
      </c>
      <c r="AF4" s="216">
        <f t="shared" si="2"/>
        <v>-2177</v>
      </c>
      <c r="AG4" s="216">
        <f t="shared" si="2"/>
        <v>-2577</v>
      </c>
      <c r="AH4" s="216"/>
      <c r="AI4" s="216"/>
      <c r="AJ4" s="216">
        <f t="shared" ref="AJ4:AV4" si="3">+SUM(AJ11,AJ14,AJ21)</f>
        <v>-2320</v>
      </c>
      <c r="AK4" s="216">
        <f t="shared" si="3"/>
        <v>-2564</v>
      </c>
      <c r="AL4" s="216">
        <f t="shared" si="3"/>
        <v>-2739</v>
      </c>
      <c r="AM4" s="216">
        <f t="shared" si="3"/>
        <v>-3682</v>
      </c>
      <c r="AN4" s="216">
        <f t="shared" si="3"/>
        <v>-3293</v>
      </c>
      <c r="AO4" s="216">
        <f t="shared" si="3"/>
        <v>-2518</v>
      </c>
      <c r="AP4" s="216">
        <f t="shared" si="3"/>
        <v>-3127</v>
      </c>
      <c r="AQ4" s="216">
        <f t="shared" si="3"/>
        <v>-3111</v>
      </c>
      <c r="AR4" s="216">
        <f t="shared" si="3"/>
        <v>-2960</v>
      </c>
      <c r="AS4" s="216">
        <f>+SUM(AS11,AS14,AS21)</f>
        <v>-3222</v>
      </c>
      <c r="AT4" s="216">
        <f t="shared" si="3"/>
        <v>-3186</v>
      </c>
      <c r="AU4" s="216">
        <f t="shared" si="3"/>
        <v>-3523</v>
      </c>
      <c r="AV4" s="216">
        <f t="shared" si="3"/>
        <v>-4047</v>
      </c>
      <c r="AW4" s="216">
        <f>+SUM(AW11,AW14,AW21)</f>
        <v>-4167</v>
      </c>
      <c r="AX4" s="216">
        <f>+SUM(AX11,AX14,AX21)</f>
        <v>-3502</v>
      </c>
      <c r="AY4" s="216">
        <f>+SUM(AY11,AY14,AY21)</f>
        <v>-4651</v>
      </c>
      <c r="XEH4" s="208"/>
    </row>
    <row r="5" spans="2:52 16362:16362" ht="14.25" x14ac:dyDescent="0.2">
      <c r="B5" s="115" t="s">
        <v>96</v>
      </c>
      <c r="C5" s="115" t="s">
        <v>45</v>
      </c>
      <c r="D5" s="115" t="s">
        <v>55</v>
      </c>
      <c r="E5" s="115" t="s">
        <v>71</v>
      </c>
      <c r="F5" s="115" t="s">
        <v>77</v>
      </c>
      <c r="G5" s="115" t="s">
        <v>87</v>
      </c>
      <c r="H5" s="115" t="s">
        <v>88</v>
      </c>
      <c r="I5" s="145" t="s">
        <v>378</v>
      </c>
      <c r="J5" s="145" t="s">
        <v>406</v>
      </c>
      <c r="K5" s="145" t="s">
        <v>467</v>
      </c>
      <c r="L5" s="145" t="s">
        <v>501</v>
      </c>
      <c r="M5" s="145" t="s">
        <v>511</v>
      </c>
      <c r="N5" s="145" t="s">
        <v>538</v>
      </c>
      <c r="O5" s="145" t="s">
        <v>567</v>
      </c>
      <c r="P5" s="145" t="s">
        <v>575</v>
      </c>
      <c r="Q5" s="145" t="s">
        <v>595</v>
      </c>
      <c r="R5" s="145" t="s">
        <v>596</v>
      </c>
      <c r="S5" s="145" t="s">
        <v>623</v>
      </c>
      <c r="T5" s="145" t="s">
        <v>624</v>
      </c>
      <c r="U5" s="145" t="s">
        <v>625</v>
      </c>
      <c r="V5" s="145" t="s">
        <v>626</v>
      </c>
      <c r="W5" s="145" t="s">
        <v>798</v>
      </c>
      <c r="X5" s="145" t="s">
        <v>799</v>
      </c>
      <c r="Y5" s="145" t="s">
        <v>800</v>
      </c>
      <c r="Z5" s="145" t="s">
        <v>801</v>
      </c>
      <c r="AA5" s="145" t="s">
        <v>913</v>
      </c>
      <c r="AB5" s="145" t="s">
        <v>914</v>
      </c>
      <c r="AC5" s="145" t="s">
        <v>923</v>
      </c>
      <c r="AD5" s="145" t="s">
        <v>924</v>
      </c>
      <c r="AE5" s="145" t="s">
        <v>1049</v>
      </c>
      <c r="AF5" s="145" t="s">
        <v>1023</v>
      </c>
      <c r="AG5" s="145" t="s">
        <v>1024</v>
      </c>
      <c r="AH5" s="145" t="s">
        <v>1050</v>
      </c>
      <c r="AI5" s="145" t="s">
        <v>1114</v>
      </c>
      <c r="AJ5" s="145" t="s">
        <v>1119</v>
      </c>
      <c r="AK5" s="145" t="s">
        <v>1121</v>
      </c>
      <c r="AL5" s="145" t="s">
        <v>1123</v>
      </c>
      <c r="AM5" s="145" t="s">
        <v>1176</v>
      </c>
      <c r="AN5" s="145" t="s">
        <v>1177</v>
      </c>
      <c r="AO5" s="145" t="s">
        <v>1179</v>
      </c>
      <c r="AP5" s="145" t="s">
        <v>1181</v>
      </c>
      <c r="AQ5" s="145" t="s">
        <v>1243</v>
      </c>
      <c r="AR5" s="145" t="s">
        <v>1250</v>
      </c>
      <c r="AS5" s="145" t="s">
        <v>1251</v>
      </c>
      <c r="AT5" s="145" t="s">
        <v>1252</v>
      </c>
      <c r="AU5" s="145" t="s">
        <v>1311</v>
      </c>
      <c r="AV5" s="145" t="s">
        <v>1313</v>
      </c>
      <c r="AW5" s="145" t="s">
        <v>1315</v>
      </c>
      <c r="AX5" s="145" t="s">
        <v>1317</v>
      </c>
      <c r="AY5" s="145" t="s">
        <v>1344</v>
      </c>
    </row>
    <row r="6" spans="2:52 16362:16362" ht="15" customHeight="1" x14ac:dyDescent="0.2">
      <c r="B6" s="129" t="s">
        <v>814</v>
      </c>
      <c r="C6" s="118">
        <v>4153</v>
      </c>
      <c r="D6" s="118">
        <v>4453</v>
      </c>
      <c r="E6" s="118">
        <v>4310</v>
      </c>
      <c r="F6" s="118">
        <v>5331</v>
      </c>
      <c r="G6" s="118">
        <v>7011</v>
      </c>
      <c r="H6" s="118">
        <v>6609</v>
      </c>
      <c r="I6" s="118">
        <v>5864</v>
      </c>
      <c r="J6" s="118">
        <v>6879</v>
      </c>
      <c r="K6" s="118">
        <v>6923</v>
      </c>
      <c r="L6" s="118">
        <v>7547</v>
      </c>
      <c r="M6" s="118">
        <v>7708</v>
      </c>
      <c r="N6" s="118">
        <v>7967</v>
      </c>
      <c r="O6" s="118">
        <v>4938</v>
      </c>
      <c r="P6" s="118">
        <v>3554</v>
      </c>
      <c r="Q6" s="118">
        <v>4394</v>
      </c>
      <c r="R6" s="118">
        <v>2821</v>
      </c>
      <c r="S6" s="118">
        <v>2471</v>
      </c>
      <c r="T6" s="118">
        <v>1842</v>
      </c>
      <c r="U6" s="118">
        <v>1537</v>
      </c>
      <c r="V6" s="118">
        <v>1734</v>
      </c>
      <c r="W6" s="118">
        <v>1377</v>
      </c>
      <c r="X6" s="118">
        <v>1851</v>
      </c>
      <c r="Y6" s="118">
        <v>1901</v>
      </c>
      <c r="Z6" s="321">
        <v>1457</v>
      </c>
      <c r="AA6" s="321">
        <v>1269</v>
      </c>
      <c r="AB6" s="321">
        <v>2012</v>
      </c>
      <c r="AC6" s="321">
        <v>1345</v>
      </c>
      <c r="AD6" s="321">
        <v>1286</v>
      </c>
      <c r="AE6" s="321">
        <v>1353</v>
      </c>
      <c r="AF6" s="321">
        <v>2018</v>
      </c>
      <c r="AG6" s="321">
        <v>2973</v>
      </c>
      <c r="AH6" s="321">
        <v>3438</v>
      </c>
      <c r="AI6" s="321">
        <v>4952</v>
      </c>
      <c r="AJ6" s="321">
        <v>3689</v>
      </c>
      <c r="AK6" s="321">
        <v>3916</v>
      </c>
      <c r="AL6" s="321">
        <v>5075</v>
      </c>
      <c r="AM6" s="321">
        <v>7197</v>
      </c>
      <c r="AN6" s="321">
        <v>7077</v>
      </c>
      <c r="AO6" s="321">
        <v>7258</v>
      </c>
      <c r="AP6" s="321">
        <v>7758</v>
      </c>
      <c r="AQ6" s="321">
        <v>7489</v>
      </c>
      <c r="AR6" s="321">
        <v>7313</v>
      </c>
      <c r="AS6" s="321">
        <v>6938</v>
      </c>
      <c r="AT6" s="321">
        <v>7133</v>
      </c>
      <c r="AU6" s="321">
        <v>9199</v>
      </c>
      <c r="AV6" s="321">
        <v>11022</v>
      </c>
      <c r="AW6" s="321">
        <v>12000</v>
      </c>
      <c r="AX6" s="321">
        <v>9142</v>
      </c>
      <c r="AY6" s="321">
        <v>6727</v>
      </c>
    </row>
    <row r="7" spans="2:52 16362:16362" ht="15" customHeight="1" x14ac:dyDescent="0.2">
      <c r="B7" s="129" t="s">
        <v>152</v>
      </c>
      <c r="C7" s="118">
        <v>58</v>
      </c>
      <c r="D7" s="118">
        <v>63</v>
      </c>
      <c r="E7" s="118">
        <v>1832</v>
      </c>
      <c r="F7" s="118">
        <v>2925</v>
      </c>
      <c r="G7" s="118">
        <v>1942</v>
      </c>
      <c r="H7" s="118">
        <v>3171</v>
      </c>
      <c r="I7" s="118">
        <v>203</v>
      </c>
      <c r="J7" s="118">
        <v>954</v>
      </c>
      <c r="K7" s="118">
        <v>466</v>
      </c>
      <c r="L7" s="118">
        <v>142</v>
      </c>
      <c r="M7" s="118">
        <v>168</v>
      </c>
      <c r="N7" s="118">
        <v>1357</v>
      </c>
      <c r="O7" s="118">
        <v>350</v>
      </c>
      <c r="P7" s="261">
        <v>8100</v>
      </c>
      <c r="Q7" s="118">
        <v>1155</v>
      </c>
      <c r="R7" s="261">
        <v>11064</v>
      </c>
      <c r="S7" s="118">
        <v>181</v>
      </c>
      <c r="T7" s="118">
        <v>1067</v>
      </c>
      <c r="U7" s="118">
        <v>134</v>
      </c>
      <c r="V7" s="118">
        <v>731</v>
      </c>
      <c r="W7" s="118">
        <v>1391</v>
      </c>
      <c r="X7" s="118">
        <v>447</v>
      </c>
      <c r="Y7" s="261">
        <v>35329</v>
      </c>
      <c r="Z7" s="321">
        <v>1115</v>
      </c>
      <c r="AA7" s="321">
        <v>616</v>
      </c>
      <c r="AB7" s="321">
        <v>399</v>
      </c>
      <c r="AC7" s="321">
        <v>255</v>
      </c>
      <c r="AD7" s="321">
        <v>581</v>
      </c>
      <c r="AE7" s="321">
        <v>170</v>
      </c>
      <c r="AF7" s="261">
        <v>3685</v>
      </c>
      <c r="AG7" s="118">
        <v>478</v>
      </c>
      <c r="AH7" s="118">
        <v>594</v>
      </c>
      <c r="AI7" s="118">
        <v>565</v>
      </c>
      <c r="AJ7" s="118">
        <v>1776</v>
      </c>
      <c r="AK7" s="118">
        <v>899</v>
      </c>
      <c r="AL7" s="261">
        <v>6234</v>
      </c>
      <c r="AM7" s="118">
        <v>736</v>
      </c>
      <c r="AN7" s="261">
        <v>3071</v>
      </c>
      <c r="AO7" s="261">
        <v>1185</v>
      </c>
      <c r="AP7" s="321">
        <v>1112</v>
      </c>
      <c r="AQ7" s="321">
        <v>938</v>
      </c>
      <c r="AR7" s="261">
        <v>3034</v>
      </c>
      <c r="AS7" s="118">
        <v>630</v>
      </c>
      <c r="AT7" s="118">
        <v>158</v>
      </c>
      <c r="AU7" s="118">
        <v>600</v>
      </c>
      <c r="AV7" s="321">
        <v>251</v>
      </c>
      <c r="AW7" s="321">
        <v>406</v>
      </c>
      <c r="AX7" s="321">
        <v>787</v>
      </c>
      <c r="AY7" s="321">
        <v>1110</v>
      </c>
      <c r="AZ7" s="1225"/>
    </row>
    <row r="8" spans="2:52 16362:16362" s="248" customFormat="1" ht="15" customHeight="1" x14ac:dyDescent="0.2">
      <c r="B8" s="129" t="s">
        <v>1117</v>
      </c>
      <c r="C8" s="118">
        <v>0</v>
      </c>
      <c r="D8" s="118">
        <v>0</v>
      </c>
      <c r="E8" s="118">
        <v>0</v>
      </c>
      <c r="F8" s="118">
        <v>0</v>
      </c>
      <c r="G8" s="118">
        <v>0</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18">
        <v>0</v>
      </c>
      <c r="Y8" s="118">
        <v>0</v>
      </c>
      <c r="Z8" s="118">
        <v>0</v>
      </c>
      <c r="AA8" s="118">
        <v>0</v>
      </c>
      <c r="AB8" s="118">
        <v>0</v>
      </c>
      <c r="AC8" s="118">
        <v>0</v>
      </c>
      <c r="AD8" s="118">
        <v>0</v>
      </c>
      <c r="AE8" s="118">
        <v>0</v>
      </c>
      <c r="AF8" s="118">
        <v>0</v>
      </c>
      <c r="AG8" s="118">
        <v>0</v>
      </c>
      <c r="AH8" s="118">
        <v>3546</v>
      </c>
      <c r="AI8" s="118">
        <v>739</v>
      </c>
      <c r="AJ8" s="118">
        <v>255</v>
      </c>
      <c r="AK8" s="118">
        <v>219</v>
      </c>
      <c r="AL8" s="118">
        <v>180</v>
      </c>
      <c r="AM8" s="118">
        <v>213</v>
      </c>
      <c r="AN8" s="118">
        <v>215</v>
      </c>
      <c r="AO8" s="321">
        <v>29</v>
      </c>
      <c r="AP8" s="321">
        <v>509</v>
      </c>
      <c r="AQ8" s="321">
        <v>178</v>
      </c>
      <c r="AR8" s="321">
        <v>170</v>
      </c>
      <c r="AS8" s="321">
        <v>177</v>
      </c>
      <c r="AT8" s="321">
        <v>659</v>
      </c>
      <c r="AU8" s="321">
        <v>624</v>
      </c>
      <c r="AV8" s="321">
        <v>647</v>
      </c>
      <c r="AW8" s="321">
        <v>590</v>
      </c>
      <c r="AX8" s="321">
        <v>319</v>
      </c>
      <c r="AY8" s="321">
        <v>144</v>
      </c>
    </row>
    <row r="9" spans="2:52 16362:16362" s="248" customFormat="1" ht="17.25" customHeight="1" x14ac:dyDescent="0.2">
      <c r="B9" s="129" t="s">
        <v>1234</v>
      </c>
      <c r="C9" s="118">
        <v>17</v>
      </c>
      <c r="D9" s="118">
        <v>8</v>
      </c>
      <c r="E9" s="118">
        <v>4</v>
      </c>
      <c r="F9" s="118">
        <v>23</v>
      </c>
      <c r="G9" s="118">
        <v>7</v>
      </c>
      <c r="H9" s="118">
        <v>20</v>
      </c>
      <c r="I9" s="118">
        <v>34</v>
      </c>
      <c r="J9" s="118">
        <v>24</v>
      </c>
      <c r="K9" s="118">
        <v>23</v>
      </c>
      <c r="L9" s="118">
        <v>13</v>
      </c>
      <c r="M9" s="118">
        <v>0</v>
      </c>
      <c r="N9" s="118">
        <v>0</v>
      </c>
      <c r="O9" s="118">
        <v>0</v>
      </c>
      <c r="P9" s="118">
        <v>0</v>
      </c>
      <c r="Q9" s="118">
        <v>0</v>
      </c>
      <c r="R9" s="118">
        <v>0</v>
      </c>
      <c r="S9" s="118">
        <v>0</v>
      </c>
      <c r="T9" s="118">
        <v>0</v>
      </c>
      <c r="U9" s="118">
        <v>0</v>
      </c>
      <c r="V9" s="118">
        <v>0</v>
      </c>
      <c r="W9" s="118">
        <v>0</v>
      </c>
      <c r="X9" s="118"/>
      <c r="Y9" s="118">
        <v>0</v>
      </c>
      <c r="Z9" s="118">
        <v>0</v>
      </c>
      <c r="AA9" s="118">
        <v>0</v>
      </c>
      <c r="AB9" s="118">
        <v>0</v>
      </c>
      <c r="AC9" s="118">
        <v>0</v>
      </c>
      <c r="AD9" s="118">
        <v>0</v>
      </c>
      <c r="AE9" s="118">
        <v>0</v>
      </c>
      <c r="AF9" s="118">
        <v>0</v>
      </c>
      <c r="AG9" s="118">
        <v>0</v>
      </c>
      <c r="AH9" s="118">
        <v>5</v>
      </c>
      <c r="AI9" s="118">
        <v>17</v>
      </c>
      <c r="AJ9" s="118">
        <v>0</v>
      </c>
      <c r="AK9" s="118">
        <v>54</v>
      </c>
      <c r="AL9" s="118">
        <v>133</v>
      </c>
      <c r="AM9" s="118">
        <v>3</v>
      </c>
      <c r="AN9" s="118">
        <v>150</v>
      </c>
      <c r="AO9" s="321">
        <v>71</v>
      </c>
      <c r="AP9" s="321">
        <v>2</v>
      </c>
      <c r="AQ9" s="321">
        <v>56</v>
      </c>
      <c r="AR9" s="321">
        <v>1</v>
      </c>
      <c r="AS9" s="321">
        <v>1</v>
      </c>
      <c r="AT9" s="321">
        <v>13</v>
      </c>
      <c r="AU9" s="321">
        <v>504</v>
      </c>
      <c r="AV9" s="321">
        <v>189</v>
      </c>
      <c r="AW9" s="321">
        <v>-9</v>
      </c>
      <c r="AX9" s="321">
        <v>223</v>
      </c>
      <c r="AY9" s="321">
        <v>-32</v>
      </c>
    </row>
    <row r="10" spans="2:52 16362:16362" s="248" customFormat="1" ht="17.25" customHeight="1" x14ac:dyDescent="0.2">
      <c r="B10" s="129" t="s">
        <v>151</v>
      </c>
      <c r="C10" s="118">
        <v>1554</v>
      </c>
      <c r="D10" s="118">
        <v>1145</v>
      </c>
      <c r="E10" s="118">
        <v>0</v>
      </c>
      <c r="F10" s="118">
        <v>0</v>
      </c>
      <c r="G10" s="118">
        <v>0</v>
      </c>
      <c r="H10" s="118">
        <v>0</v>
      </c>
      <c r="I10" s="118">
        <v>120</v>
      </c>
      <c r="J10" s="118">
        <v>0</v>
      </c>
      <c r="K10" s="118">
        <v>0</v>
      </c>
      <c r="L10" s="118">
        <v>0</v>
      </c>
      <c r="M10" s="118">
        <v>0</v>
      </c>
      <c r="N10" s="118">
        <v>23</v>
      </c>
      <c r="O10" s="118">
        <v>0</v>
      </c>
      <c r="P10" s="118">
        <v>0</v>
      </c>
      <c r="Q10" s="118">
        <v>0</v>
      </c>
      <c r="R10" s="118">
        <v>255</v>
      </c>
      <c r="S10" s="118">
        <v>0</v>
      </c>
      <c r="T10" s="118">
        <v>51</v>
      </c>
      <c r="U10" s="118">
        <v>0</v>
      </c>
      <c r="V10" s="118">
        <v>1812</v>
      </c>
      <c r="W10" s="118">
        <v>0</v>
      </c>
      <c r="X10" s="118">
        <v>91</v>
      </c>
      <c r="Y10" s="118">
        <v>-91</v>
      </c>
      <c r="Z10" s="118">
        <v>0</v>
      </c>
      <c r="AA10" s="118">
        <v>0</v>
      </c>
      <c r="AB10" s="118">
        <v>0</v>
      </c>
      <c r="AC10" s="118">
        <v>0</v>
      </c>
      <c r="AD10" s="118">
        <v>0</v>
      </c>
      <c r="AE10" s="118">
        <v>0</v>
      </c>
      <c r="AF10" s="118">
        <v>0</v>
      </c>
      <c r="AG10" s="118">
        <v>0</v>
      </c>
      <c r="AH10" s="118">
        <v>0</v>
      </c>
      <c r="AI10" s="118">
        <v>0</v>
      </c>
      <c r="AJ10" s="118">
        <v>0</v>
      </c>
      <c r="AK10" s="118">
        <v>0</v>
      </c>
      <c r="AL10" s="118">
        <v>0</v>
      </c>
      <c r="AM10" s="118">
        <v>0</v>
      </c>
      <c r="AN10" s="118">
        <v>0</v>
      </c>
      <c r="AO10" s="321">
        <v>0</v>
      </c>
      <c r="AP10" s="321">
        <v>0</v>
      </c>
      <c r="AQ10" s="321">
        <v>0</v>
      </c>
      <c r="AR10" s="321">
        <v>0</v>
      </c>
      <c r="AS10" s="321">
        <v>115</v>
      </c>
      <c r="AT10" s="321">
        <v>284</v>
      </c>
      <c r="AU10" s="321">
        <v>0</v>
      </c>
      <c r="AV10" s="321">
        <v>0</v>
      </c>
      <c r="AW10" s="321">
        <v>0</v>
      </c>
      <c r="AX10" s="321">
        <v>0</v>
      </c>
      <c r="AY10" s="321">
        <v>0</v>
      </c>
    </row>
    <row r="11" spans="2:52 16362:16362" s="248" customFormat="1" ht="15" hidden="1" customHeight="1" outlineLevel="1" x14ac:dyDescent="0.2">
      <c r="B11" s="249" t="s">
        <v>150</v>
      </c>
      <c r="C11" s="218">
        <v>0</v>
      </c>
      <c r="D11" s="218">
        <v>0</v>
      </c>
      <c r="E11" s="218">
        <v>9154</v>
      </c>
      <c r="F11" s="218">
        <v>0</v>
      </c>
      <c r="G11" s="218">
        <v>0</v>
      </c>
      <c r="H11" s="218">
        <v>1193</v>
      </c>
      <c r="I11" s="218">
        <v>0</v>
      </c>
      <c r="J11" s="218">
        <v>0</v>
      </c>
      <c r="K11" s="218">
        <v>0</v>
      </c>
      <c r="L11" s="218">
        <v>0</v>
      </c>
      <c r="M11" s="218">
        <v>0</v>
      </c>
      <c r="N11" s="218">
        <v>0</v>
      </c>
      <c r="O11" s="218">
        <v>0</v>
      </c>
      <c r="P11" s="218">
        <v>0</v>
      </c>
      <c r="Q11" s="218">
        <v>0</v>
      </c>
      <c r="R11" s="218">
        <v>0</v>
      </c>
      <c r="S11" s="218">
        <v>0</v>
      </c>
      <c r="T11" s="218">
        <v>0</v>
      </c>
      <c r="U11" s="218">
        <v>3735</v>
      </c>
      <c r="V11" s="218">
        <v>0</v>
      </c>
      <c r="W11" s="218">
        <v>1028</v>
      </c>
      <c r="X11" s="218">
        <v>-1028</v>
      </c>
      <c r="Y11" s="218">
        <v>3208</v>
      </c>
      <c r="Z11" s="218">
        <v>-1546</v>
      </c>
      <c r="AA11" s="218">
        <v>15165</v>
      </c>
      <c r="AB11" s="218">
        <v>4243</v>
      </c>
      <c r="AC11" s="218">
        <v>-3089</v>
      </c>
      <c r="AD11" s="218">
        <v>0</v>
      </c>
      <c r="AE11" s="218">
        <v>0</v>
      </c>
      <c r="AF11" s="218">
        <v>0</v>
      </c>
      <c r="AG11" s="218">
        <v>0</v>
      </c>
      <c r="AH11" s="218">
        <v>0</v>
      </c>
      <c r="AI11" s="218">
        <v>0</v>
      </c>
      <c r="AJ11" s="218">
        <v>0</v>
      </c>
      <c r="AK11" s="218">
        <v>0</v>
      </c>
      <c r="AL11" s="218">
        <v>0</v>
      </c>
      <c r="AM11" s="218">
        <v>0</v>
      </c>
      <c r="AN11" s="218">
        <v>0</v>
      </c>
      <c r="AO11" s="218">
        <v>0</v>
      </c>
      <c r="AP11" s="218">
        <v>0</v>
      </c>
      <c r="AQ11" s="218">
        <v>0</v>
      </c>
      <c r="AR11" s="218">
        <v>0</v>
      </c>
      <c r="AS11" s="218">
        <v>0</v>
      </c>
      <c r="AT11" s="218">
        <v>0</v>
      </c>
      <c r="AU11" s="218">
        <v>0</v>
      </c>
      <c r="AV11" s="218">
        <v>0</v>
      </c>
      <c r="AW11" s="218">
        <v>0</v>
      </c>
      <c r="AX11" s="218">
        <v>0</v>
      </c>
      <c r="AY11" s="218">
        <v>0</v>
      </c>
    </row>
    <row r="12" spans="2:52 16362:16362" s="248" customFormat="1" ht="15" hidden="1" customHeight="1" outlineLevel="1" x14ac:dyDescent="0.2">
      <c r="B12" s="249" t="s">
        <v>716</v>
      </c>
      <c r="C12" s="218">
        <v>0</v>
      </c>
      <c r="D12" s="218">
        <v>0</v>
      </c>
      <c r="E12" s="218">
        <v>0</v>
      </c>
      <c r="F12" s="218">
        <v>0</v>
      </c>
      <c r="G12" s="218">
        <v>0</v>
      </c>
      <c r="H12" s="218">
        <v>0</v>
      </c>
      <c r="I12" s="218">
        <v>0</v>
      </c>
      <c r="J12" s="218">
        <v>0</v>
      </c>
      <c r="K12" s="218">
        <v>0</v>
      </c>
      <c r="L12" s="218">
        <v>0</v>
      </c>
      <c r="M12" s="218">
        <v>0</v>
      </c>
      <c r="N12" s="218">
        <v>0</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c r="AN12" s="218">
        <v>0</v>
      </c>
      <c r="AO12" s="218">
        <v>0</v>
      </c>
      <c r="AP12" s="218">
        <v>0</v>
      </c>
      <c r="AQ12" s="218">
        <v>0</v>
      </c>
      <c r="AR12" s="218">
        <v>0</v>
      </c>
      <c r="AS12" s="218">
        <v>0</v>
      </c>
      <c r="AT12" s="218">
        <v>0</v>
      </c>
      <c r="AU12" s="218">
        <v>0</v>
      </c>
      <c r="AV12" s="218">
        <v>0</v>
      </c>
      <c r="AW12" s="218">
        <v>0</v>
      </c>
      <c r="AX12" s="218">
        <v>0</v>
      </c>
      <c r="AY12" s="218">
        <v>0</v>
      </c>
    </row>
    <row r="13" spans="2:52 16362:16362" ht="15" customHeight="1" collapsed="1" x14ac:dyDescent="0.2">
      <c r="B13" s="126" t="s">
        <v>153</v>
      </c>
      <c r="C13" s="120">
        <f t="shared" ref="C13:AJ13" si="4">SUM(C6:C12)</f>
        <v>5782</v>
      </c>
      <c r="D13" s="120">
        <f t="shared" si="4"/>
        <v>5669</v>
      </c>
      <c r="E13" s="120">
        <f t="shared" si="4"/>
        <v>15300</v>
      </c>
      <c r="F13" s="120">
        <f t="shared" si="4"/>
        <v>8279</v>
      </c>
      <c r="G13" s="120">
        <f t="shared" si="4"/>
        <v>8960</v>
      </c>
      <c r="H13" s="120">
        <f t="shared" si="4"/>
        <v>10993</v>
      </c>
      <c r="I13" s="120">
        <f t="shared" si="4"/>
        <v>6221</v>
      </c>
      <c r="J13" s="120">
        <f t="shared" si="4"/>
        <v>7857</v>
      </c>
      <c r="K13" s="120">
        <f t="shared" si="4"/>
        <v>7412</v>
      </c>
      <c r="L13" s="120">
        <f t="shared" si="4"/>
        <v>7702</v>
      </c>
      <c r="M13" s="120">
        <f t="shared" si="4"/>
        <v>7876</v>
      </c>
      <c r="N13" s="120">
        <f t="shared" si="4"/>
        <v>9347</v>
      </c>
      <c r="O13" s="120">
        <f t="shared" si="4"/>
        <v>5288</v>
      </c>
      <c r="P13" s="120">
        <f t="shared" si="4"/>
        <v>11654</v>
      </c>
      <c r="Q13" s="120">
        <f t="shared" si="4"/>
        <v>5549</v>
      </c>
      <c r="R13" s="120">
        <f t="shared" si="4"/>
        <v>14140</v>
      </c>
      <c r="S13" s="120">
        <f t="shared" si="4"/>
        <v>2652</v>
      </c>
      <c r="T13" s="120">
        <f t="shared" si="4"/>
        <v>2960</v>
      </c>
      <c r="U13" s="120">
        <f t="shared" si="4"/>
        <v>5406</v>
      </c>
      <c r="V13" s="120">
        <f t="shared" si="4"/>
        <v>4277</v>
      </c>
      <c r="W13" s="120">
        <f t="shared" si="4"/>
        <v>3796</v>
      </c>
      <c r="X13" s="120">
        <f t="shared" si="4"/>
        <v>1361</v>
      </c>
      <c r="Y13" s="120">
        <f t="shared" si="4"/>
        <v>40347</v>
      </c>
      <c r="Z13" s="120">
        <f t="shared" si="4"/>
        <v>1026</v>
      </c>
      <c r="AA13" s="120">
        <f t="shared" si="4"/>
        <v>17050</v>
      </c>
      <c r="AB13" s="120">
        <f t="shared" si="4"/>
        <v>6654</v>
      </c>
      <c r="AC13" s="120">
        <f t="shared" si="4"/>
        <v>-1489</v>
      </c>
      <c r="AD13" s="120">
        <f t="shared" si="4"/>
        <v>1867</v>
      </c>
      <c r="AE13" s="120">
        <f t="shared" si="4"/>
        <v>1523</v>
      </c>
      <c r="AF13" s="120">
        <f t="shared" si="4"/>
        <v>5703</v>
      </c>
      <c r="AG13" s="120">
        <f t="shared" si="4"/>
        <v>3451</v>
      </c>
      <c r="AH13" s="120">
        <f t="shared" si="4"/>
        <v>7583</v>
      </c>
      <c r="AI13" s="120">
        <f t="shared" si="4"/>
        <v>6273</v>
      </c>
      <c r="AJ13" s="120">
        <f t="shared" si="4"/>
        <v>5720</v>
      </c>
      <c r="AK13" s="120">
        <f t="shared" ref="AK13:AU13" si="5">SUM(AK6:AK12)</f>
        <v>5088</v>
      </c>
      <c r="AL13" s="120">
        <f t="shared" si="5"/>
        <v>11622</v>
      </c>
      <c r="AM13" s="120">
        <f t="shared" si="5"/>
        <v>8149</v>
      </c>
      <c r="AN13" s="120">
        <f t="shared" si="5"/>
        <v>10513</v>
      </c>
      <c r="AO13" s="120">
        <f t="shared" si="5"/>
        <v>8543</v>
      </c>
      <c r="AP13" s="120">
        <f t="shared" si="5"/>
        <v>9381</v>
      </c>
      <c r="AQ13" s="120">
        <f t="shared" si="5"/>
        <v>8661</v>
      </c>
      <c r="AR13" s="120">
        <f t="shared" si="5"/>
        <v>10518</v>
      </c>
      <c r="AS13" s="120">
        <f t="shared" si="5"/>
        <v>7861</v>
      </c>
      <c r="AT13" s="120">
        <f t="shared" si="5"/>
        <v>8247</v>
      </c>
      <c r="AU13" s="120">
        <f t="shared" si="5"/>
        <v>10927</v>
      </c>
      <c r="AV13" s="120">
        <f>SUM(AV6:AV12)</f>
        <v>12109</v>
      </c>
      <c r="AW13" s="120">
        <f>SUM(AW6:AW12)</f>
        <v>12987</v>
      </c>
      <c r="AX13" s="120">
        <f>SUM(AX6:AX12)</f>
        <v>10471</v>
      </c>
      <c r="AY13" s="120">
        <f>SUM(AY6:AY12)</f>
        <v>7949</v>
      </c>
    </row>
    <row r="14" spans="2:52 16362:16362" ht="15" customHeight="1" x14ac:dyDescent="0.2">
      <c r="B14" s="129" t="s">
        <v>154</v>
      </c>
      <c r="C14" s="118">
        <v>-8186</v>
      </c>
      <c r="D14" s="118">
        <v>-10327</v>
      </c>
      <c r="E14" s="118">
        <v>-12267</v>
      </c>
      <c r="F14" s="118">
        <v>-14992</v>
      </c>
      <c r="G14" s="118">
        <v>-15045</v>
      </c>
      <c r="H14" s="118">
        <v>-14065</v>
      </c>
      <c r="I14" s="118">
        <v>-13415</v>
      </c>
      <c r="J14" s="118">
        <v>-13124</v>
      </c>
      <c r="K14" s="118">
        <v>-12308</v>
      </c>
      <c r="L14" s="118">
        <v>-12501</v>
      </c>
      <c r="M14" s="118">
        <v>-12758</v>
      </c>
      <c r="N14" s="118">
        <v>-11783</v>
      </c>
      <c r="O14" s="118">
        <v>-8528</v>
      </c>
      <c r="P14" s="118">
        <v>-6348</v>
      </c>
      <c r="Q14" s="118">
        <v>-7147</v>
      </c>
      <c r="R14" s="118">
        <v>-4690</v>
      </c>
      <c r="S14" s="118">
        <v>-3734</v>
      </c>
      <c r="T14" s="118">
        <v>-3010</v>
      </c>
      <c r="U14" s="118">
        <v>-2853</v>
      </c>
      <c r="V14" s="118">
        <v>-2740</v>
      </c>
      <c r="W14" s="118">
        <v>-2270</v>
      </c>
      <c r="X14" s="118">
        <v>-2422</v>
      </c>
      <c r="Y14" s="118">
        <v>-2391</v>
      </c>
      <c r="Z14" s="118">
        <v>-2102</v>
      </c>
      <c r="AA14" s="118">
        <v>-1828</v>
      </c>
      <c r="AB14" s="118">
        <v>-3020</v>
      </c>
      <c r="AC14" s="118">
        <v>-2674</v>
      </c>
      <c r="AD14" s="118">
        <v>-2312</v>
      </c>
      <c r="AE14" s="118">
        <v>-2312</v>
      </c>
      <c r="AF14" s="118">
        <v>-2177</v>
      </c>
      <c r="AG14" s="118">
        <v>-2577</v>
      </c>
      <c r="AH14" s="118">
        <v>-3201</v>
      </c>
      <c r="AI14" s="118">
        <v>-3957</v>
      </c>
      <c r="AJ14" s="118">
        <v>-2320</v>
      </c>
      <c r="AK14" s="118">
        <v>-2564</v>
      </c>
      <c r="AL14" s="118">
        <v>-2739</v>
      </c>
      <c r="AM14" s="118">
        <v>-3682</v>
      </c>
      <c r="AN14" s="118">
        <v>-3293</v>
      </c>
      <c r="AO14" s="118">
        <v>-2518</v>
      </c>
      <c r="AP14" s="118">
        <v>-3127</v>
      </c>
      <c r="AQ14" s="118">
        <v>-3111</v>
      </c>
      <c r="AR14" s="118">
        <v>-2960</v>
      </c>
      <c r="AS14" s="118">
        <v>-3222</v>
      </c>
      <c r="AT14" s="118">
        <v>-3186</v>
      </c>
      <c r="AU14" s="118">
        <v>-3523</v>
      </c>
      <c r="AV14" s="118">
        <v>-4047</v>
      </c>
      <c r="AW14" s="118">
        <v>-4167</v>
      </c>
      <c r="AX14" s="118">
        <v>-3502</v>
      </c>
      <c r="AY14" s="118">
        <v>-4651</v>
      </c>
    </row>
    <row r="15" spans="2:52 16362:16362" ht="15" customHeight="1" x14ac:dyDescent="0.2">
      <c r="B15" s="129" t="s">
        <v>157</v>
      </c>
      <c r="C15" s="118">
        <v>-492</v>
      </c>
      <c r="D15" s="118">
        <v>-542</v>
      </c>
      <c r="E15" s="118">
        <v>-496</v>
      </c>
      <c r="F15" s="118">
        <v>-486</v>
      </c>
      <c r="G15" s="118">
        <v>-393</v>
      </c>
      <c r="H15" s="118">
        <v>-1004</v>
      </c>
      <c r="I15" s="118">
        <v>-346</v>
      </c>
      <c r="J15" s="118">
        <v>-341</v>
      </c>
      <c r="K15" s="118">
        <v>-306</v>
      </c>
      <c r="L15" s="118">
        <v>-314</v>
      </c>
      <c r="M15" s="118">
        <v>-334</v>
      </c>
      <c r="N15" s="118">
        <v>-313</v>
      </c>
      <c r="O15" s="118">
        <v>-351</v>
      </c>
      <c r="P15" s="118">
        <v>-342</v>
      </c>
      <c r="Q15" s="118">
        <v>-415</v>
      </c>
      <c r="R15" s="118">
        <v>-514</v>
      </c>
      <c r="S15" s="118">
        <v>-374</v>
      </c>
      <c r="T15" s="118">
        <v>-437</v>
      </c>
      <c r="U15" s="118">
        <v>-480</v>
      </c>
      <c r="V15" s="118">
        <v>-467</v>
      </c>
      <c r="W15" s="118">
        <v>-416</v>
      </c>
      <c r="X15" s="118">
        <v>-422</v>
      </c>
      <c r="Y15" s="118">
        <v>-442</v>
      </c>
      <c r="Z15" s="118">
        <v>-474</v>
      </c>
      <c r="AA15" s="118">
        <v>-328</v>
      </c>
      <c r="AB15" s="118">
        <v>-186</v>
      </c>
      <c r="AC15" s="118">
        <v>-344</v>
      </c>
      <c r="AD15" s="118">
        <v>-397</v>
      </c>
      <c r="AE15" s="118">
        <v>-361</v>
      </c>
      <c r="AF15" s="118">
        <v>-327</v>
      </c>
      <c r="AG15" s="118">
        <v>-322</v>
      </c>
      <c r="AH15" s="118">
        <v>-413</v>
      </c>
      <c r="AI15" s="118">
        <v>-325</v>
      </c>
      <c r="AJ15" s="118">
        <v>-335</v>
      </c>
      <c r="AK15" s="118">
        <v>-534</v>
      </c>
      <c r="AL15" s="118">
        <v>-407</v>
      </c>
      <c r="AM15" s="118">
        <v>-443</v>
      </c>
      <c r="AN15" s="118">
        <v>-456</v>
      </c>
      <c r="AO15" s="118">
        <v>-508</v>
      </c>
      <c r="AP15" s="118">
        <v>-501</v>
      </c>
      <c r="AQ15" s="118">
        <v>-418</v>
      </c>
      <c r="AR15" s="118">
        <v>-498</v>
      </c>
      <c r="AS15" s="118">
        <v>-596</v>
      </c>
      <c r="AT15" s="118">
        <v>-562</v>
      </c>
      <c r="AU15" s="118">
        <v>-416</v>
      </c>
      <c r="AV15" s="118">
        <v>-458</v>
      </c>
      <c r="AW15" s="118">
        <v>-515</v>
      </c>
      <c r="AX15" s="118">
        <v>-503</v>
      </c>
      <c r="AY15" s="118">
        <v>-436</v>
      </c>
    </row>
    <row r="16" spans="2:52 16362:16362" ht="15" customHeight="1" x14ac:dyDescent="0.2">
      <c r="B16" s="129" t="s">
        <v>813</v>
      </c>
      <c r="C16" s="118">
        <v>0</v>
      </c>
      <c r="D16" s="118">
        <v>0</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-1307</v>
      </c>
      <c r="X16" s="118">
        <v>-1616</v>
      </c>
      <c r="Y16" s="118">
        <v>-1718</v>
      </c>
      <c r="Z16" s="118">
        <v>-1799</v>
      </c>
      <c r="AA16" s="118">
        <v>-1573</v>
      </c>
      <c r="AB16" s="118">
        <v>-1492</v>
      </c>
      <c r="AC16" s="118">
        <v>-1260</v>
      </c>
      <c r="AD16" s="118">
        <v>-1126</v>
      </c>
      <c r="AE16" s="118">
        <v>-1511</v>
      </c>
      <c r="AF16" s="118">
        <v>-1165</v>
      </c>
      <c r="AG16" s="118">
        <v>-1256</v>
      </c>
      <c r="AH16" s="118">
        <v>-1089</v>
      </c>
      <c r="AI16" s="118">
        <v>-1243</v>
      </c>
      <c r="AJ16" s="118">
        <v>-1073</v>
      </c>
      <c r="AK16" s="118">
        <v>-1422</v>
      </c>
      <c r="AL16" s="118">
        <v>-1514</v>
      </c>
      <c r="AM16" s="118">
        <v>-1829</v>
      </c>
      <c r="AN16" s="118">
        <v>-2733</v>
      </c>
      <c r="AO16" s="118">
        <v>-2518</v>
      </c>
      <c r="AP16" s="118">
        <v>-2492</v>
      </c>
      <c r="AQ16" s="118">
        <v>-2389</v>
      </c>
      <c r="AR16" s="118">
        <v>-2352</v>
      </c>
      <c r="AS16" s="118">
        <v>-2229</v>
      </c>
      <c r="AT16" s="118">
        <v>-1867</v>
      </c>
      <c r="AU16" s="118">
        <v>-3118</v>
      </c>
      <c r="AV16" s="118">
        <v>-2944</v>
      </c>
      <c r="AW16" s="118">
        <v>-2986</v>
      </c>
      <c r="AX16" s="118">
        <v>-2690</v>
      </c>
      <c r="AY16" s="118">
        <v>-2310</v>
      </c>
    </row>
    <row r="17" spans="1:51" ht="15" customHeight="1" x14ac:dyDescent="0.2">
      <c r="B17" s="320" t="s">
        <v>155</v>
      </c>
      <c r="C17" s="321">
        <v>0</v>
      </c>
      <c r="D17" s="321">
        <v>0</v>
      </c>
      <c r="E17" s="321">
        <v>-12358</v>
      </c>
      <c r="F17" s="321">
        <v>-201</v>
      </c>
      <c r="G17" s="321">
        <v>-244</v>
      </c>
      <c r="H17" s="321">
        <v>-294</v>
      </c>
      <c r="I17" s="321">
        <v>0</v>
      </c>
      <c r="J17" s="321">
        <v>-81</v>
      </c>
      <c r="K17" s="321">
        <v>-376</v>
      </c>
      <c r="L17" s="321">
        <v>-180</v>
      </c>
      <c r="M17" s="321">
        <v>-89</v>
      </c>
      <c r="N17" s="321">
        <v>0</v>
      </c>
      <c r="O17" s="321">
        <v>-36</v>
      </c>
      <c r="P17" s="321">
        <v>-24</v>
      </c>
      <c r="Q17" s="118">
        <v>-27</v>
      </c>
      <c r="R17" s="118">
        <v>0</v>
      </c>
      <c r="S17" s="118">
        <v>-18</v>
      </c>
      <c r="T17" s="118">
        <v>0</v>
      </c>
      <c r="U17" s="118">
        <v>-3944</v>
      </c>
      <c r="V17" s="118">
        <v>0</v>
      </c>
      <c r="W17" s="118">
        <v>-1308</v>
      </c>
      <c r="X17" s="118">
        <v>1308</v>
      </c>
      <c r="Y17" s="118">
        <v>-3968</v>
      </c>
      <c r="Z17" s="118">
        <v>1480</v>
      </c>
      <c r="AA17" s="118">
        <v>-15071</v>
      </c>
      <c r="AB17" s="118">
        <v>-3857</v>
      </c>
      <c r="AC17" s="118">
        <v>3121</v>
      </c>
      <c r="AD17" s="118">
        <v>-49</v>
      </c>
      <c r="AE17" s="118">
        <v>-15</v>
      </c>
      <c r="AF17" s="118">
        <v>-26</v>
      </c>
      <c r="AG17" s="118">
        <v>-40</v>
      </c>
      <c r="AH17" s="118">
        <v>45</v>
      </c>
      <c r="AI17" s="118">
        <v>-228</v>
      </c>
      <c r="AJ17" s="118">
        <v>-297</v>
      </c>
      <c r="AK17" s="118">
        <v>-14</v>
      </c>
      <c r="AL17" s="118">
        <v>-52</v>
      </c>
      <c r="AM17" s="118">
        <v>-311</v>
      </c>
      <c r="AN17" s="118">
        <v>-353</v>
      </c>
      <c r="AO17" s="118">
        <v>2</v>
      </c>
      <c r="AP17" s="118">
        <v>-49</v>
      </c>
      <c r="AQ17" s="118">
        <v>-74</v>
      </c>
      <c r="AR17" s="118">
        <v>3</v>
      </c>
      <c r="AS17" s="118">
        <v>71</v>
      </c>
      <c r="AT17" s="118">
        <v>0</v>
      </c>
      <c r="AU17" s="118">
        <v>-211</v>
      </c>
      <c r="AV17" s="118">
        <v>-263</v>
      </c>
      <c r="AW17" s="118">
        <v>-566</v>
      </c>
      <c r="AX17" s="118">
        <v>186</v>
      </c>
      <c r="AY17" s="118">
        <v>-579</v>
      </c>
    </row>
    <row r="18" spans="1:51" ht="15" customHeight="1" x14ac:dyDescent="0.2">
      <c r="B18" s="129" t="s">
        <v>158</v>
      </c>
      <c r="C18" s="118">
        <v>44</v>
      </c>
      <c r="D18" s="118">
        <v>-91</v>
      </c>
      <c r="E18" s="118">
        <v>-556</v>
      </c>
      <c r="F18" s="118">
        <v>-812</v>
      </c>
      <c r="G18" s="118">
        <v>-439</v>
      </c>
      <c r="H18" s="118">
        <v>-819</v>
      </c>
      <c r="I18" s="118">
        <v>-648</v>
      </c>
      <c r="J18" s="118">
        <v>-713</v>
      </c>
      <c r="K18" s="118">
        <v>-582</v>
      </c>
      <c r="L18" s="118">
        <v>-539</v>
      </c>
      <c r="M18" s="118">
        <v>-782</v>
      </c>
      <c r="N18" s="118">
        <v>-621</v>
      </c>
      <c r="O18" s="118">
        <v>-336</v>
      </c>
      <c r="P18" s="118">
        <v>-655</v>
      </c>
      <c r="Q18" s="118">
        <v>-449</v>
      </c>
      <c r="R18" s="118">
        <v>485</v>
      </c>
      <c r="S18" s="118">
        <v>-221</v>
      </c>
      <c r="T18" s="118">
        <v>-183</v>
      </c>
      <c r="U18" s="261">
        <v>-2215</v>
      </c>
      <c r="V18" s="118">
        <v>-287</v>
      </c>
      <c r="W18" s="118">
        <v>-140</v>
      </c>
      <c r="X18" s="118">
        <v>-207</v>
      </c>
      <c r="Y18" s="118">
        <v>-130</v>
      </c>
      <c r="Z18" s="118">
        <v>-1192</v>
      </c>
      <c r="AA18" s="118">
        <v>-99</v>
      </c>
      <c r="AB18" s="118">
        <v>-36</v>
      </c>
      <c r="AC18" s="118">
        <v>-43</v>
      </c>
      <c r="AD18" s="118">
        <v>-46</v>
      </c>
      <c r="AE18" s="118">
        <v>-147</v>
      </c>
      <c r="AF18" s="118">
        <v>-29</v>
      </c>
      <c r="AG18" s="118">
        <v>-16</v>
      </c>
      <c r="AH18" s="118">
        <v>-88</v>
      </c>
      <c r="AI18" s="118">
        <v>-36</v>
      </c>
      <c r="AJ18" s="118">
        <v>-96</v>
      </c>
      <c r="AK18" s="118">
        <v>-106</v>
      </c>
      <c r="AL18" s="118">
        <v>961</v>
      </c>
      <c r="AM18" s="118">
        <v>-11</v>
      </c>
      <c r="AN18" s="118">
        <v>-26</v>
      </c>
      <c r="AO18" s="118">
        <v>-36</v>
      </c>
      <c r="AP18" s="118">
        <v>-102</v>
      </c>
      <c r="AQ18" s="118">
        <v>-89</v>
      </c>
      <c r="AR18" s="118">
        <v>-15</v>
      </c>
      <c r="AS18" s="118">
        <v>-81</v>
      </c>
      <c r="AT18" s="118">
        <v>-168</v>
      </c>
      <c r="AU18" s="118">
        <v>-125</v>
      </c>
      <c r="AV18" s="118">
        <v>-37</v>
      </c>
      <c r="AW18" s="118">
        <v>-126</v>
      </c>
      <c r="AX18" s="118">
        <v>-107</v>
      </c>
      <c r="AY18" s="118">
        <v>-169</v>
      </c>
    </row>
    <row r="19" spans="1:51" ht="15" customHeight="1" x14ac:dyDescent="0.2">
      <c r="A19" s="248"/>
      <c r="B19" s="320" t="s">
        <v>1117</v>
      </c>
      <c r="C19" s="118">
        <v>0</v>
      </c>
      <c r="D19" s="118">
        <v>0</v>
      </c>
      <c r="E19" s="118">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18">
        <v>0</v>
      </c>
      <c r="AD19" s="118">
        <v>0</v>
      </c>
      <c r="AE19" s="118">
        <v>0</v>
      </c>
      <c r="AF19" s="118">
        <v>0</v>
      </c>
      <c r="AG19" s="118">
        <v>0</v>
      </c>
      <c r="AH19" s="118">
        <v>-3546</v>
      </c>
      <c r="AI19" s="118">
        <v>-739</v>
      </c>
      <c r="AJ19" s="118">
        <v>-255</v>
      </c>
      <c r="AK19" s="118">
        <v>-219</v>
      </c>
      <c r="AL19" s="118">
        <v>-180</v>
      </c>
      <c r="AM19" s="118">
        <v>-213</v>
      </c>
      <c r="AN19" s="118">
        <v>-215</v>
      </c>
      <c r="AO19" s="118">
        <v>-29</v>
      </c>
      <c r="AP19" s="118">
        <v>-509</v>
      </c>
      <c r="AQ19" s="118">
        <v>-178</v>
      </c>
      <c r="AR19" s="118">
        <v>-170</v>
      </c>
      <c r="AS19" s="118">
        <v>-177</v>
      </c>
      <c r="AT19" s="118">
        <v>-659</v>
      </c>
      <c r="AU19" s="118">
        <v>-624</v>
      </c>
      <c r="AV19" s="118">
        <v>-647</v>
      </c>
      <c r="AW19" s="118">
        <v>-590</v>
      </c>
      <c r="AX19" s="118">
        <v>-319</v>
      </c>
      <c r="AY19" s="118">
        <v>-144</v>
      </c>
    </row>
    <row r="20" spans="1:51" ht="15" customHeight="1" x14ac:dyDescent="0.2">
      <c r="B20" s="129" t="s">
        <v>387</v>
      </c>
      <c r="C20" s="118">
        <v>-29</v>
      </c>
      <c r="D20" s="118">
        <v>2</v>
      </c>
      <c r="E20" s="118">
        <v>-97</v>
      </c>
      <c r="F20" s="118">
        <v>-3454</v>
      </c>
      <c r="G20" s="118">
        <v>-33</v>
      </c>
      <c r="H20" s="118">
        <v>-10</v>
      </c>
      <c r="I20" s="118">
        <v>-305</v>
      </c>
      <c r="J20" s="118">
        <v>-5183</v>
      </c>
      <c r="K20" s="118">
        <v>-2635</v>
      </c>
      <c r="L20" s="118">
        <v>-373</v>
      </c>
      <c r="M20" s="118">
        <v>-4986</v>
      </c>
      <c r="N20" s="118">
        <v>-434</v>
      </c>
      <c r="O20" s="118">
        <v>-324</v>
      </c>
      <c r="P20" s="118">
        <v>-718</v>
      </c>
      <c r="Q20" s="118">
        <v>-625</v>
      </c>
      <c r="R20" s="118">
        <v>-522</v>
      </c>
      <c r="S20" s="118">
        <v>-194</v>
      </c>
      <c r="T20" s="118">
        <v>-156</v>
      </c>
      <c r="U20" s="118">
        <v>-905</v>
      </c>
      <c r="V20" s="118">
        <v>-163</v>
      </c>
      <c r="W20" s="118">
        <v>-253</v>
      </c>
      <c r="X20" s="118">
        <v>-49</v>
      </c>
      <c r="Y20" s="261">
        <v>-1810</v>
      </c>
      <c r="Z20" s="321">
        <v>-185</v>
      </c>
      <c r="AA20" s="321">
        <v>-158</v>
      </c>
      <c r="AB20" s="321">
        <v>-276</v>
      </c>
      <c r="AC20" s="321">
        <v>-96</v>
      </c>
      <c r="AD20" s="321">
        <v>-89</v>
      </c>
      <c r="AE20" s="321">
        <v>-71</v>
      </c>
      <c r="AF20" s="321">
        <v>-259</v>
      </c>
      <c r="AG20" s="321">
        <v>-136</v>
      </c>
      <c r="AH20" s="321">
        <v>-244</v>
      </c>
      <c r="AI20" s="321">
        <v>-286</v>
      </c>
      <c r="AJ20" s="321">
        <v>-1180</v>
      </c>
      <c r="AK20" s="321">
        <v>-282</v>
      </c>
      <c r="AL20" s="321">
        <v>-548</v>
      </c>
      <c r="AM20" s="321">
        <v>-381</v>
      </c>
      <c r="AN20" s="321">
        <v>-504</v>
      </c>
      <c r="AO20" s="118">
        <v>-419</v>
      </c>
      <c r="AP20" s="118">
        <v>-391</v>
      </c>
      <c r="AQ20" s="118">
        <v>-363</v>
      </c>
      <c r="AR20" s="118">
        <v>-468</v>
      </c>
      <c r="AS20" s="118">
        <v>-410</v>
      </c>
      <c r="AT20" s="118">
        <v>-344</v>
      </c>
      <c r="AU20" s="118">
        <v>-559</v>
      </c>
      <c r="AV20" s="118">
        <v>-452</v>
      </c>
      <c r="AW20" s="118">
        <v>-730</v>
      </c>
      <c r="AX20" s="118">
        <v>-966</v>
      </c>
      <c r="AY20" s="118">
        <v>-782</v>
      </c>
    </row>
    <row r="21" spans="1:51" s="248" customFormat="1" ht="15" hidden="1" customHeight="1" outlineLevel="1" x14ac:dyDescent="0.2">
      <c r="B21" s="249" t="s">
        <v>156</v>
      </c>
      <c r="C21" s="218">
        <v>-3215</v>
      </c>
      <c r="D21" s="218">
        <v>-2761</v>
      </c>
      <c r="E21" s="218">
        <v>0</v>
      </c>
      <c r="F21" s="218">
        <v>-2558</v>
      </c>
      <c r="G21" s="218">
        <v>-484</v>
      </c>
      <c r="H21" s="218">
        <v>0</v>
      </c>
      <c r="I21" s="218">
        <v>0</v>
      </c>
      <c r="J21" s="218">
        <v>0</v>
      </c>
      <c r="K21" s="218">
        <v>0</v>
      </c>
      <c r="L21" s="218">
        <v>0</v>
      </c>
      <c r="M21" s="218">
        <v>0</v>
      </c>
      <c r="N21" s="218">
        <v>0</v>
      </c>
      <c r="O21" s="218">
        <v>0</v>
      </c>
      <c r="P21" s="218">
        <v>0</v>
      </c>
      <c r="Q21" s="218">
        <v>0</v>
      </c>
      <c r="R21" s="218">
        <v>0</v>
      </c>
      <c r="S21" s="218">
        <v>0</v>
      </c>
      <c r="T21" s="218">
        <v>0</v>
      </c>
      <c r="U21" s="218">
        <v>0</v>
      </c>
      <c r="V21" s="218">
        <v>-2034</v>
      </c>
      <c r="W21" s="218">
        <v>0</v>
      </c>
      <c r="X21" s="218">
        <v>-641</v>
      </c>
      <c r="Y21" s="218">
        <v>641</v>
      </c>
      <c r="Z21" s="218">
        <v>0</v>
      </c>
      <c r="AA21" s="218">
        <v>0</v>
      </c>
      <c r="AB21" s="218">
        <v>0</v>
      </c>
      <c r="AC21" s="218">
        <v>0</v>
      </c>
      <c r="AD21" s="218">
        <v>0</v>
      </c>
      <c r="AE21" s="218">
        <v>0</v>
      </c>
      <c r="AF21" s="218">
        <v>0</v>
      </c>
      <c r="AG21" s="218">
        <v>0</v>
      </c>
      <c r="AH21" s="218">
        <v>0</v>
      </c>
      <c r="AI21" s="218">
        <v>0</v>
      </c>
      <c r="AJ21" s="218">
        <v>0</v>
      </c>
      <c r="AK21" s="218">
        <v>0</v>
      </c>
      <c r="AL21" s="218">
        <v>0</v>
      </c>
      <c r="AM21" s="218">
        <v>0</v>
      </c>
      <c r="AN21" s="218">
        <v>0</v>
      </c>
      <c r="AO21" s="218">
        <v>0</v>
      </c>
      <c r="AP21" s="218">
        <v>0</v>
      </c>
      <c r="AQ21" s="218">
        <v>0</v>
      </c>
      <c r="AR21" s="218"/>
      <c r="AS21" s="218"/>
      <c r="AT21" s="218"/>
      <c r="AU21" s="218"/>
      <c r="AV21" s="218">
        <v>0</v>
      </c>
      <c r="AW21" s="218">
        <v>0</v>
      </c>
      <c r="AX21" s="218">
        <v>0</v>
      </c>
      <c r="AY21" s="218">
        <v>0</v>
      </c>
    </row>
    <row r="22" spans="1:51" s="248" customFormat="1" ht="15" hidden="1" customHeight="1" outlineLevel="1" x14ac:dyDescent="0.2">
      <c r="B22" s="249" t="s">
        <v>715</v>
      </c>
      <c r="C22" s="218">
        <v>0</v>
      </c>
      <c r="D22" s="218">
        <v>0</v>
      </c>
      <c r="E22" s="218">
        <v>0</v>
      </c>
      <c r="F22" s="218">
        <v>0</v>
      </c>
      <c r="G22" s="218">
        <v>0</v>
      </c>
      <c r="H22" s="218">
        <v>0</v>
      </c>
      <c r="I22" s="218">
        <v>0</v>
      </c>
      <c r="J22" s="218">
        <v>0</v>
      </c>
      <c r="K22" s="218">
        <v>0</v>
      </c>
      <c r="L22" s="218">
        <v>0</v>
      </c>
      <c r="M22" s="218">
        <v>0</v>
      </c>
      <c r="N22" s="218">
        <v>0</v>
      </c>
      <c r="O22" s="218">
        <v>0</v>
      </c>
      <c r="P22" s="218">
        <v>0</v>
      </c>
      <c r="Q22" s="218">
        <v>0</v>
      </c>
      <c r="R22" s="218">
        <v>-186</v>
      </c>
      <c r="S22" s="218">
        <v>0</v>
      </c>
      <c r="T22" s="218">
        <v>0</v>
      </c>
      <c r="U22" s="218">
        <v>0</v>
      </c>
      <c r="V22" s="218">
        <v>0</v>
      </c>
      <c r="W22" s="218">
        <v>0</v>
      </c>
      <c r="X22" s="218"/>
      <c r="Y22" s="218">
        <v>0</v>
      </c>
      <c r="Z22" s="218">
        <v>0</v>
      </c>
      <c r="AA22" s="218">
        <v>0</v>
      </c>
      <c r="AB22" s="218">
        <v>0</v>
      </c>
      <c r="AC22" s="218">
        <v>0</v>
      </c>
      <c r="AD22" s="218">
        <v>0</v>
      </c>
      <c r="AE22" s="218">
        <v>0</v>
      </c>
      <c r="AF22" s="218">
        <v>0</v>
      </c>
      <c r="AG22" s="218">
        <v>0</v>
      </c>
      <c r="AH22" s="218"/>
      <c r="AI22" s="218">
        <v>0</v>
      </c>
      <c r="AJ22" s="218">
        <v>0</v>
      </c>
      <c r="AK22" s="218">
        <v>0</v>
      </c>
      <c r="AL22" s="218">
        <v>0</v>
      </c>
      <c r="AM22" s="218">
        <v>0</v>
      </c>
      <c r="AN22" s="218">
        <v>0</v>
      </c>
      <c r="AO22" s="218">
        <v>0</v>
      </c>
      <c r="AP22" s="218">
        <v>0</v>
      </c>
      <c r="AQ22" s="218">
        <v>0</v>
      </c>
      <c r="AR22" s="218"/>
      <c r="AS22" s="218"/>
      <c r="AT22" s="218"/>
      <c r="AU22" s="218"/>
      <c r="AV22" s="218">
        <v>0</v>
      </c>
      <c r="AW22" s="218">
        <v>0</v>
      </c>
      <c r="AX22" s="218">
        <v>0</v>
      </c>
      <c r="AY22" s="218">
        <v>0</v>
      </c>
    </row>
    <row r="23" spans="1:51" ht="15" customHeight="1" collapsed="1" x14ac:dyDescent="0.2">
      <c r="B23" s="126" t="s">
        <v>159</v>
      </c>
      <c r="C23" s="120">
        <f t="shared" ref="C23:AH23" si="6">SUM(C14:C22)</f>
        <v>-11878</v>
      </c>
      <c r="D23" s="120">
        <f t="shared" si="6"/>
        <v>-13719</v>
      </c>
      <c r="E23" s="120">
        <f t="shared" si="6"/>
        <v>-25774</v>
      </c>
      <c r="F23" s="120">
        <f t="shared" si="6"/>
        <v>-22503</v>
      </c>
      <c r="G23" s="120">
        <f t="shared" si="6"/>
        <v>-16638</v>
      </c>
      <c r="H23" s="120">
        <f t="shared" si="6"/>
        <v>-16192</v>
      </c>
      <c r="I23" s="120">
        <f t="shared" si="6"/>
        <v>-14714</v>
      </c>
      <c r="J23" s="120">
        <f t="shared" si="6"/>
        <v>-19442</v>
      </c>
      <c r="K23" s="120">
        <f t="shared" si="6"/>
        <v>-16207</v>
      </c>
      <c r="L23" s="120">
        <f t="shared" si="6"/>
        <v>-13907</v>
      </c>
      <c r="M23" s="120">
        <f t="shared" si="6"/>
        <v>-18949</v>
      </c>
      <c r="N23" s="120">
        <f t="shared" si="6"/>
        <v>-13151</v>
      </c>
      <c r="O23" s="120">
        <f t="shared" si="6"/>
        <v>-9575</v>
      </c>
      <c r="P23" s="120">
        <f t="shared" si="6"/>
        <v>-8087</v>
      </c>
      <c r="Q23" s="120">
        <f t="shared" si="6"/>
        <v>-8663</v>
      </c>
      <c r="R23" s="120">
        <f t="shared" si="6"/>
        <v>-5427</v>
      </c>
      <c r="S23" s="120">
        <f t="shared" si="6"/>
        <v>-4541</v>
      </c>
      <c r="T23" s="120">
        <f t="shared" si="6"/>
        <v>-3786</v>
      </c>
      <c r="U23" s="120">
        <f t="shared" si="6"/>
        <v>-10397</v>
      </c>
      <c r="V23" s="120">
        <f t="shared" si="6"/>
        <v>-5691</v>
      </c>
      <c r="W23" s="120">
        <f t="shared" si="6"/>
        <v>-5694</v>
      </c>
      <c r="X23" s="120">
        <f t="shared" si="6"/>
        <v>-4049</v>
      </c>
      <c r="Y23" s="120">
        <f t="shared" si="6"/>
        <v>-9818</v>
      </c>
      <c r="Z23" s="120">
        <f t="shared" si="6"/>
        <v>-4272</v>
      </c>
      <c r="AA23" s="120">
        <f t="shared" si="6"/>
        <v>-19057</v>
      </c>
      <c r="AB23" s="120">
        <f t="shared" si="6"/>
        <v>-8867</v>
      </c>
      <c r="AC23" s="120">
        <f t="shared" si="6"/>
        <v>-1296</v>
      </c>
      <c r="AD23" s="120">
        <f t="shared" si="6"/>
        <v>-4019</v>
      </c>
      <c r="AE23" s="120">
        <f t="shared" si="6"/>
        <v>-4417</v>
      </c>
      <c r="AF23" s="120">
        <f t="shared" si="6"/>
        <v>-3983</v>
      </c>
      <c r="AG23" s="120">
        <f t="shared" si="6"/>
        <v>-4347</v>
      </c>
      <c r="AH23" s="120">
        <f t="shared" si="6"/>
        <v>-8536</v>
      </c>
      <c r="AI23" s="120">
        <f>SUM(AI14:AI20)</f>
        <v>-6814</v>
      </c>
      <c r="AJ23" s="120">
        <f t="shared" ref="AJ23:AP23" si="7">SUM(AJ14:AJ20)</f>
        <v>-5556</v>
      </c>
      <c r="AK23" s="120">
        <f t="shared" si="7"/>
        <v>-5141</v>
      </c>
      <c r="AL23" s="120">
        <f t="shared" si="7"/>
        <v>-4479</v>
      </c>
      <c r="AM23" s="120">
        <f t="shared" si="7"/>
        <v>-6870</v>
      </c>
      <c r="AN23" s="120">
        <f t="shared" si="7"/>
        <v>-7580</v>
      </c>
      <c r="AO23" s="120">
        <f t="shared" si="7"/>
        <v>-6026</v>
      </c>
      <c r="AP23" s="120">
        <f t="shared" si="7"/>
        <v>-7171</v>
      </c>
      <c r="AQ23" s="120">
        <f t="shared" ref="AQ23:AY23" si="8">SUM(AQ14:AQ20)</f>
        <v>-6622</v>
      </c>
      <c r="AR23" s="120">
        <f t="shared" si="8"/>
        <v>-6460</v>
      </c>
      <c r="AS23" s="120">
        <f t="shared" si="8"/>
        <v>-6644</v>
      </c>
      <c r="AT23" s="120">
        <f t="shared" si="8"/>
        <v>-6786</v>
      </c>
      <c r="AU23" s="120">
        <f t="shared" si="8"/>
        <v>-8576</v>
      </c>
      <c r="AV23" s="120">
        <f t="shared" si="8"/>
        <v>-8848</v>
      </c>
      <c r="AW23" s="120">
        <f t="shared" si="8"/>
        <v>-9680</v>
      </c>
      <c r="AX23" s="120">
        <f t="shared" si="8"/>
        <v>-7901</v>
      </c>
      <c r="AY23" s="120">
        <f t="shared" si="8"/>
        <v>-9071</v>
      </c>
    </row>
    <row r="24" spans="1:51" ht="15" customHeight="1" x14ac:dyDescent="0.2">
      <c r="B24" s="126" t="s">
        <v>331</v>
      </c>
      <c r="C24" s="120">
        <f t="shared" ref="C24:AJ24" si="9">C23+C13</f>
        <v>-6096</v>
      </c>
      <c r="D24" s="120">
        <f t="shared" si="9"/>
        <v>-8050</v>
      </c>
      <c r="E24" s="120">
        <f t="shared" si="9"/>
        <v>-10474</v>
      </c>
      <c r="F24" s="120">
        <f t="shared" si="9"/>
        <v>-14224</v>
      </c>
      <c r="G24" s="120">
        <f t="shared" si="9"/>
        <v>-7678</v>
      </c>
      <c r="H24" s="120">
        <f t="shared" si="9"/>
        <v>-5199</v>
      </c>
      <c r="I24" s="120">
        <f t="shared" si="9"/>
        <v>-8493</v>
      </c>
      <c r="J24" s="120">
        <f t="shared" si="9"/>
        <v>-11585</v>
      </c>
      <c r="K24" s="120">
        <f t="shared" si="9"/>
        <v>-8795</v>
      </c>
      <c r="L24" s="120">
        <f t="shared" si="9"/>
        <v>-6205</v>
      </c>
      <c r="M24" s="120">
        <f t="shared" si="9"/>
        <v>-11073</v>
      </c>
      <c r="N24" s="120">
        <f t="shared" si="9"/>
        <v>-3804</v>
      </c>
      <c r="O24" s="120">
        <f t="shared" si="9"/>
        <v>-4287</v>
      </c>
      <c r="P24" s="120">
        <f t="shared" si="9"/>
        <v>3567</v>
      </c>
      <c r="Q24" s="120">
        <f t="shared" si="9"/>
        <v>-3114</v>
      </c>
      <c r="R24" s="120">
        <f t="shared" si="9"/>
        <v>8713</v>
      </c>
      <c r="S24" s="120">
        <f t="shared" si="9"/>
        <v>-1889</v>
      </c>
      <c r="T24" s="120">
        <f t="shared" si="9"/>
        <v>-826</v>
      </c>
      <c r="U24" s="120">
        <f t="shared" si="9"/>
        <v>-4991</v>
      </c>
      <c r="V24" s="120">
        <f t="shared" si="9"/>
        <v>-1414</v>
      </c>
      <c r="W24" s="120">
        <f t="shared" si="9"/>
        <v>-1898</v>
      </c>
      <c r="X24" s="120">
        <f t="shared" si="9"/>
        <v>-2688</v>
      </c>
      <c r="Y24" s="120">
        <f t="shared" si="9"/>
        <v>30529</v>
      </c>
      <c r="Z24" s="120">
        <f t="shared" si="9"/>
        <v>-3246</v>
      </c>
      <c r="AA24" s="120">
        <f t="shared" si="9"/>
        <v>-2007</v>
      </c>
      <c r="AB24" s="120">
        <f t="shared" si="9"/>
        <v>-2213</v>
      </c>
      <c r="AC24" s="120">
        <f t="shared" si="9"/>
        <v>-2785</v>
      </c>
      <c r="AD24" s="120">
        <f t="shared" si="9"/>
        <v>-2152</v>
      </c>
      <c r="AE24" s="120">
        <f t="shared" si="9"/>
        <v>-2894</v>
      </c>
      <c r="AF24" s="120">
        <f t="shared" si="9"/>
        <v>1720</v>
      </c>
      <c r="AG24" s="120">
        <f t="shared" si="9"/>
        <v>-896</v>
      </c>
      <c r="AH24" s="120">
        <f t="shared" si="9"/>
        <v>-953</v>
      </c>
      <c r="AI24" s="120">
        <f t="shared" si="9"/>
        <v>-541</v>
      </c>
      <c r="AJ24" s="120">
        <f t="shared" si="9"/>
        <v>164</v>
      </c>
      <c r="AK24" s="120">
        <f t="shared" ref="AK24:AQ24" si="10">AK23+AK13</f>
        <v>-53</v>
      </c>
      <c r="AL24" s="120">
        <f t="shared" si="10"/>
        <v>7143</v>
      </c>
      <c r="AM24" s="120">
        <f t="shared" si="10"/>
        <v>1279</v>
      </c>
      <c r="AN24" s="120">
        <f t="shared" si="10"/>
        <v>2933</v>
      </c>
      <c r="AO24" s="120">
        <f t="shared" si="10"/>
        <v>2517</v>
      </c>
      <c r="AP24" s="120">
        <f t="shared" si="10"/>
        <v>2210</v>
      </c>
      <c r="AQ24" s="120">
        <f t="shared" si="10"/>
        <v>2039</v>
      </c>
      <c r="AR24" s="120">
        <f t="shared" ref="AR24:AY24" si="11">AR23+AR13</f>
        <v>4058</v>
      </c>
      <c r="AS24" s="120">
        <f t="shared" si="11"/>
        <v>1217</v>
      </c>
      <c r="AT24" s="120">
        <f t="shared" si="11"/>
        <v>1461</v>
      </c>
      <c r="AU24" s="120">
        <f t="shared" si="11"/>
        <v>2351</v>
      </c>
      <c r="AV24" s="120">
        <f t="shared" si="11"/>
        <v>3261</v>
      </c>
      <c r="AW24" s="120">
        <f t="shared" si="11"/>
        <v>3307</v>
      </c>
      <c r="AX24" s="120">
        <f t="shared" si="11"/>
        <v>2570</v>
      </c>
      <c r="AY24" s="120">
        <f t="shared" si="11"/>
        <v>-1122</v>
      </c>
    </row>
    <row r="25" spans="1:51" ht="15" customHeight="1" x14ac:dyDescent="0.2">
      <c r="B25" s="180"/>
      <c r="C25" s="758"/>
      <c r="D25" s="758"/>
      <c r="E25" s="758"/>
      <c r="F25" s="758"/>
      <c r="G25" s="758"/>
      <c r="H25" s="758"/>
      <c r="I25" s="758"/>
      <c r="J25" s="758"/>
      <c r="K25" s="758"/>
      <c r="L25" s="758"/>
      <c r="M25" s="758"/>
      <c r="N25" s="758"/>
      <c r="O25" s="758"/>
      <c r="P25" s="757"/>
      <c r="Q25" s="757"/>
      <c r="R25" s="817">
        <f>+DRE!AE21-R24</f>
        <v>3904.6183699999983</v>
      </c>
      <c r="S25" s="817">
        <f>+DRE!AF21-S24</f>
        <v>-0.45195000000057917</v>
      </c>
      <c r="T25" s="817">
        <f>+DRE!AG21-T24</f>
        <v>0.74929999999994834</v>
      </c>
      <c r="U25" s="817">
        <f>+DRE!AH21-U24</f>
        <v>-0.25160999999934575</v>
      </c>
      <c r="V25" s="817">
        <f>+DRE!AI21-V24</f>
        <v>0.14075000000048021</v>
      </c>
      <c r="W25" s="817">
        <f>+DRE!AJ21-W24</f>
        <v>0</v>
      </c>
      <c r="X25" s="817">
        <f>+DRE!AK21-X24</f>
        <v>0</v>
      </c>
      <c r="Y25" s="817">
        <f>+DRE!AL21-Y24</f>
        <v>0</v>
      </c>
      <c r="Z25" s="817">
        <f>+DRE!AM21-Z24</f>
        <v>0.45946999999978289</v>
      </c>
      <c r="AA25" s="817">
        <f>+DRE!AN21-AA24</f>
        <v>-0.30313999999998487</v>
      </c>
      <c r="AB25" s="817">
        <f>+DRE!AO21-AB24</f>
        <v>0.25329000000238011</v>
      </c>
      <c r="AC25" s="817">
        <f>+DRE!AP21-AC24</f>
        <v>0.11339000000043598</v>
      </c>
      <c r="AD25" s="817">
        <f>+DRE!AQ21-AD24</f>
        <v>-3.1480000000556174E-2</v>
      </c>
      <c r="AE25" s="817">
        <f>+DRE!AR21-AE24</f>
        <v>0.47916000000032</v>
      </c>
      <c r="AF25" s="817">
        <f>+DRE!AS21-AF24</f>
        <v>-0.42277999999987514</v>
      </c>
      <c r="AG25" s="817">
        <f>+DRE!AT21-AG24</f>
        <v>-9.4010000000253058E-2</v>
      </c>
      <c r="AH25" s="817">
        <f>+DRE!AU21-AH24</f>
        <v>0.62840999999934866</v>
      </c>
      <c r="AI25" s="817">
        <v>9.0949470177292824E-13</v>
      </c>
      <c r="AJ25" s="817">
        <f>+DRE!AW21-AJ24</f>
        <v>0.84838000000036118</v>
      </c>
      <c r="AK25" s="817">
        <f>+DRE!AX21-AK24</f>
        <v>0.20974000000114756</v>
      </c>
      <c r="AL25" s="817">
        <f>+DRE!AY21-AL24</f>
        <v>0.27959999999984575</v>
      </c>
      <c r="AM25" s="817">
        <f>+DRE!AZ21-AM24</f>
        <v>0.28911000000061904</v>
      </c>
      <c r="AN25" s="817">
        <f>+DRE!BA21-AN24</f>
        <v>2.794999999787251E-2</v>
      </c>
      <c r="AO25" s="817">
        <f>+DRE!BB21-AO24</f>
        <v>0.94306999999844265</v>
      </c>
      <c r="AP25" s="817">
        <f>+DRE!BC21-AP24</f>
        <v>-1.4882100000004357</v>
      </c>
      <c r="AQ25" s="817">
        <f>+DRE!BD21-AQ24</f>
        <v>0.73438000000078318</v>
      </c>
      <c r="AR25" s="817">
        <f>+DRE!BE21-AR24</f>
        <v>-1.4396699999997509</v>
      </c>
      <c r="AS25" s="817">
        <f>+DRE!BF21-AS24</f>
        <v>1.2220500000021275</v>
      </c>
      <c r="AT25" s="817">
        <f>+DRE!BG21-AT24</f>
        <v>-0.57879999999931897</v>
      </c>
      <c r="AU25" s="817">
        <f>+DRE!BH21-AU24</f>
        <v>0.32704000000012456</v>
      </c>
      <c r="AV25" s="817">
        <f>+DRE!BI21-AV24</f>
        <v>-0.13969999999790161</v>
      </c>
      <c r="AW25" s="817">
        <f>+DRE!BJ21-AW24</f>
        <v>-6.6659999994953978E-2</v>
      </c>
      <c r="AX25" s="817">
        <f>+DRE!BK21-AX24</f>
        <v>-1.1863700000012614</v>
      </c>
      <c r="AY25" s="817">
        <f>+DRE!BL21-AY24</f>
        <v>0.31526000000030763</v>
      </c>
    </row>
    <row r="26" spans="1:51" customFormat="1" ht="12.75" x14ac:dyDescent="0.2"/>
    <row r="27" spans="1:51" customFormat="1" ht="15" customHeight="1" x14ac:dyDescent="0.2"/>
    <row r="28" spans="1:51" customFormat="1" ht="15" customHeight="1" x14ac:dyDescent="0.2"/>
    <row r="29" spans="1:51" customFormat="1" ht="15" customHeight="1" x14ac:dyDescent="0.2"/>
    <row r="30" spans="1:51" customFormat="1" ht="15" customHeight="1" x14ac:dyDescent="0.2"/>
    <row r="31" spans="1:51" customFormat="1" ht="15" hidden="1" customHeight="1" outlineLevel="1" x14ac:dyDescent="0.2"/>
    <row r="32" spans="1:51" customFormat="1" ht="15" hidden="1" customHeight="1" outlineLevel="1" x14ac:dyDescent="0.2"/>
    <row r="33" spans="3:85" customFormat="1" ht="15" hidden="1" customHeight="1" outlineLevel="1" x14ac:dyDescent="0.2"/>
    <row r="34" spans="3:85" customFormat="1" ht="15" customHeight="1" collapsed="1" x14ac:dyDescent="0.2"/>
    <row r="35" spans="3:85" customFormat="1" ht="15" customHeight="1" x14ac:dyDescent="0.2"/>
    <row r="36" spans="3:85" customFormat="1" ht="15" customHeight="1" x14ac:dyDescent="0.2"/>
    <row r="37" spans="3:85" customFormat="1" ht="15" customHeight="1" x14ac:dyDescent="0.2"/>
    <row r="38" spans="3:85" customFormat="1" ht="15" customHeight="1" x14ac:dyDescent="0.2"/>
    <row r="39" spans="3:85" customFormat="1" ht="15" customHeight="1" x14ac:dyDescent="0.2"/>
    <row r="40" spans="3:85" customFormat="1" ht="15" customHeight="1" x14ac:dyDescent="0.2"/>
    <row r="41" spans="3:85" customFormat="1" ht="15" customHeight="1" x14ac:dyDescent="0.2"/>
    <row r="42" spans="3:85" customFormat="1" ht="15" hidden="1" customHeight="1" outlineLevel="1" x14ac:dyDescent="0.2"/>
    <row r="43" spans="3:85" customFormat="1" ht="15" hidden="1" customHeight="1" outlineLevel="1" x14ac:dyDescent="0.2"/>
    <row r="44" spans="3:85" customFormat="1" ht="15" customHeight="1" collapsed="1" x14ac:dyDescent="0.2"/>
    <row r="45" spans="3:85" customFormat="1" ht="15" customHeight="1" x14ac:dyDescent="0.2"/>
    <row r="46" spans="3:85" ht="15" customHeight="1" x14ac:dyDescent="0.2">
      <c r="C46" s="759"/>
      <c r="D46" s="759"/>
      <c r="E46" s="759"/>
      <c r="F46" s="759"/>
      <c r="G46" s="759"/>
      <c r="H46" s="759"/>
      <c r="I46" s="759"/>
      <c r="J46" s="759"/>
      <c r="K46" s="759"/>
      <c r="L46" s="759"/>
      <c r="M46" s="759"/>
      <c r="N46" s="759"/>
      <c r="O46" s="759"/>
      <c r="P46" s="759"/>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59"/>
      <c r="AO46" s="759"/>
      <c r="AP46" s="759"/>
      <c r="AQ46" s="759"/>
      <c r="AR46" s="759"/>
      <c r="AS46" s="759"/>
      <c r="AT46" s="759"/>
      <c r="AU46" s="759"/>
      <c r="AV46" s="759"/>
      <c r="AW46" s="759"/>
      <c r="AX46" s="759"/>
      <c r="AY46" s="759"/>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row>
    <row r="47" spans="3:85" customFormat="1" ht="25.5" customHeight="1" x14ac:dyDescent="0.2"/>
    <row r="48" spans="3:85" customFormat="1" ht="15" customHeight="1" x14ac:dyDescent="0.2"/>
    <row r="49" customFormat="1" ht="15" customHeight="1" x14ac:dyDescent="0.2"/>
    <row r="50" customFormat="1" ht="15" customHeight="1" x14ac:dyDescent="0.2"/>
    <row r="51" customFormat="1" ht="15" customHeight="1" x14ac:dyDescent="0.2"/>
    <row r="52" customFormat="1" ht="15" hidden="1" customHeight="1" outlineLevel="1" x14ac:dyDescent="0.2"/>
    <row r="53" customFormat="1" ht="15" hidden="1" customHeight="1" outlineLevel="1" x14ac:dyDescent="0.2"/>
    <row r="54" customFormat="1" ht="15" hidden="1" customHeight="1" outlineLevel="1" x14ac:dyDescent="0.2"/>
    <row r="55" customFormat="1" ht="15" customHeight="1" collapsed="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outlineLevel="1" x14ac:dyDescent="0.2"/>
    <row r="64" customFormat="1" ht="15" customHeight="1" outlineLevel="1" x14ac:dyDescent="0.2"/>
    <row r="65" spans="7:85" customFormat="1" ht="15" customHeight="1" x14ac:dyDescent="0.2"/>
    <row r="66" spans="7:85" customFormat="1" ht="15" customHeight="1" x14ac:dyDescent="0.2"/>
    <row r="67" spans="7:85" s="751" customFormat="1" ht="15" customHeight="1" x14ac:dyDescent="0.2">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row>
    <row r="68" spans="7:85" s="751" customFormat="1" ht="15" customHeight="1" x14ac:dyDescent="0.2">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row>
    <row r="69" spans="7:85" s="549" customFormat="1" ht="15" customHeight="1" x14ac:dyDescent="0.2">
      <c r="G69" s="824">
        <f>H69</f>
        <v>2015</v>
      </c>
      <c r="H69" s="824">
        <f>I69</f>
        <v>2015</v>
      </c>
      <c r="I69" s="824">
        <f>J69</f>
        <v>2015</v>
      </c>
      <c r="J69" s="824">
        <f>K69-1</f>
        <v>2015</v>
      </c>
      <c r="K69" s="824">
        <f>L69</f>
        <v>2016</v>
      </c>
      <c r="L69" s="824">
        <f>M69</f>
        <v>2016</v>
      </c>
      <c r="M69" s="824">
        <f>N69</f>
        <v>2016</v>
      </c>
      <c r="N69" s="824">
        <f>O69-1</f>
        <v>2016</v>
      </c>
      <c r="O69" s="824">
        <f>P69</f>
        <v>2017</v>
      </c>
      <c r="P69" s="824">
        <f>Q69</f>
        <v>2017</v>
      </c>
      <c r="Q69" s="824">
        <f>R69</f>
        <v>2017</v>
      </c>
      <c r="R69" s="824">
        <f>S69-1</f>
        <v>2017</v>
      </c>
      <c r="S69" s="824">
        <f>T69</f>
        <v>2018</v>
      </c>
      <c r="T69" s="824">
        <f>U69</f>
        <v>2018</v>
      </c>
      <c r="U69" s="824">
        <f>V69</f>
        <v>2018</v>
      </c>
      <c r="V69" s="824">
        <f>W69-1</f>
        <v>2018</v>
      </c>
      <c r="W69" s="825">
        <v>2019</v>
      </c>
      <c r="X69" s="825">
        <v>2019</v>
      </c>
      <c r="Y69" s="825">
        <v>2019</v>
      </c>
      <c r="Z69" s="825">
        <v>2019</v>
      </c>
      <c r="AA69" s="825">
        <v>2020</v>
      </c>
      <c r="AB69" s="825">
        <v>2020</v>
      </c>
      <c r="AC69" s="825">
        <v>2020</v>
      </c>
      <c r="AD69" s="825">
        <v>2020</v>
      </c>
      <c r="AE69" s="825">
        <v>2021</v>
      </c>
      <c r="AF69" s="825">
        <v>2021</v>
      </c>
      <c r="AG69" s="825">
        <v>2021</v>
      </c>
      <c r="AH69" s="825">
        <v>2021</v>
      </c>
      <c r="AI69" s="825">
        <v>2022</v>
      </c>
      <c r="AJ69" s="825">
        <v>2022</v>
      </c>
      <c r="AK69" s="825">
        <v>2022</v>
      </c>
      <c r="AL69" s="825">
        <v>2022</v>
      </c>
      <c r="AM69" s="825">
        <v>2023</v>
      </c>
      <c r="AN69" s="825">
        <v>2023</v>
      </c>
      <c r="AO69" s="825">
        <v>2023</v>
      </c>
      <c r="AP69" s="825">
        <v>2023</v>
      </c>
      <c r="AQ69" s="825">
        <v>2023</v>
      </c>
      <c r="AR69" s="825"/>
      <c r="AS69" s="825"/>
      <c r="AT69" s="825"/>
      <c r="AU69" s="825"/>
      <c r="AV69" s="825">
        <v>2023</v>
      </c>
      <c r="AW69" s="825">
        <v>2023</v>
      </c>
      <c r="AX69" s="825">
        <v>2023</v>
      </c>
      <c r="AY69" s="825">
        <v>2023</v>
      </c>
      <c r="AZ69" s="550"/>
      <c r="BA69" s="550"/>
      <c r="BB69" s="550"/>
      <c r="BC69" s="550"/>
      <c r="BD69" s="550"/>
      <c r="BE69" s="550"/>
      <c r="BF69" s="550"/>
      <c r="BG69" s="550"/>
      <c r="BH69" s="550"/>
      <c r="BI69" s="550"/>
      <c r="BJ69" s="550"/>
      <c r="BK69" s="550"/>
      <c r="BL69" s="550"/>
      <c r="BM69" s="550"/>
      <c r="BN69" s="550"/>
      <c r="BO69" s="550"/>
      <c r="BP69" s="550"/>
      <c r="BQ69" s="550"/>
      <c r="BR69" s="550"/>
      <c r="BS69" s="550"/>
      <c r="BT69" s="550"/>
      <c r="BU69" s="550"/>
      <c r="BV69" s="550"/>
      <c r="BW69" s="550"/>
      <c r="BX69" s="550"/>
      <c r="BY69" s="550"/>
      <c r="BZ69" s="550"/>
      <c r="CA69" s="550"/>
      <c r="CB69" s="550"/>
      <c r="CC69" s="550"/>
      <c r="CD69" s="550"/>
      <c r="CE69" s="550"/>
      <c r="CF69" s="550"/>
      <c r="CG69" s="550"/>
    </row>
    <row r="70" spans="7:85" s="751" customFormat="1" ht="15" customHeight="1" x14ac:dyDescent="0.2">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row>
    <row r="71" spans="7:85" s="751" customFormat="1" ht="15" customHeight="1" x14ac:dyDescent="0.2">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row>
    <row r="72" spans="7:85" s="751" customFormat="1" ht="15" customHeight="1" x14ac:dyDescent="0.2">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row>
    <row r="73" spans="7:85" s="751" customFormat="1" ht="15" customHeight="1" x14ac:dyDescent="0.2">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row>
    <row r="74" spans="7:85" s="751" customFormat="1" ht="15" customHeight="1" x14ac:dyDescent="0.2">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row>
    <row r="75" spans="7:85" ht="15" customHeight="1" x14ac:dyDescent="0.2">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row>
    <row r="76" spans="7:85" ht="15" customHeight="1" x14ac:dyDescent="0.2">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row>
    <row r="77" spans="7:85" ht="15" customHeight="1" x14ac:dyDescent="0.2">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row>
    <row r="78" spans="7:85" ht="15" customHeight="1" x14ac:dyDescent="0.2">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row>
    <row r="79" spans="7:85" ht="15" customHeight="1" x14ac:dyDescent="0.2">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row>
    <row r="80" spans="7:85" ht="15" customHeight="1" x14ac:dyDescent="0.2">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row>
    <row r="81" spans="52:85" ht="15" customHeight="1" x14ac:dyDescent="0.2">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row>
    <row r="82" spans="52:85" ht="15" customHeight="1" x14ac:dyDescent="0.2">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row>
    <row r="83" spans="52:85" ht="15" customHeight="1" x14ac:dyDescent="0.2">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row>
    <row r="84" spans="52:85" ht="15" customHeight="1" x14ac:dyDescent="0.2">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row>
    <row r="85" spans="52:85" ht="15" customHeight="1" x14ac:dyDescent="0.2">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row>
    <row r="86" spans="52:85" ht="15" customHeight="1" x14ac:dyDescent="0.2">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row>
    <row r="87" spans="52:85" ht="15" customHeight="1" x14ac:dyDescent="0.2">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row>
    <row r="88" spans="52:85" ht="15" customHeight="1" x14ac:dyDescent="0.2">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row>
    <row r="89" spans="52:85" ht="15" customHeight="1" x14ac:dyDescent="0.2">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row>
    <row r="90" spans="52:85" ht="15" customHeight="1" x14ac:dyDescent="0.2">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row>
    <row r="91" spans="52:85" ht="15" customHeight="1" x14ac:dyDescent="0.2">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row>
    <row r="92" spans="52:85" ht="15" customHeight="1" x14ac:dyDescent="0.2">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row>
    <row r="93" spans="52:85" ht="15" customHeight="1" x14ac:dyDescent="0.2">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row>
    <row r="94" spans="52:85" ht="15" customHeight="1" x14ac:dyDescent="0.2">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row>
    <row r="95" spans="52:85" ht="15" customHeight="1" x14ac:dyDescent="0.2">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row>
    <row r="96" spans="52:85" ht="15" customHeight="1" x14ac:dyDescent="0.2">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row>
    <row r="97" spans="52:85" ht="15" customHeight="1" x14ac:dyDescent="0.2">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row>
    <row r="98" spans="52:85" ht="15" customHeight="1" x14ac:dyDescent="0.2">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row>
    <row r="99" spans="52:85" ht="15" customHeight="1" x14ac:dyDescent="0.2">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row>
    <row r="100" spans="52:85" ht="15" customHeight="1" x14ac:dyDescent="0.2">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row>
    <row r="101" spans="52:85" ht="15" customHeight="1" x14ac:dyDescent="0.2">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row>
    <row r="102" spans="52:85" ht="15" customHeight="1" x14ac:dyDescent="0.2">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row>
    <row r="103" spans="52:85" ht="15" customHeight="1" x14ac:dyDescent="0.2">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row>
    <row r="104" spans="52:85" ht="15" customHeight="1" x14ac:dyDescent="0.2">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row>
    <row r="105" spans="52:85" ht="15" customHeight="1" x14ac:dyDescent="0.2">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row>
    <row r="106" spans="52:85" ht="15" customHeight="1" x14ac:dyDescent="0.2">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row>
    <row r="107" spans="52:85" ht="15" customHeight="1" x14ac:dyDescent="0.2">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row>
    <row r="108" spans="52:85" ht="15" customHeight="1" x14ac:dyDescent="0.2">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row>
    <row r="109" spans="52:85" ht="15" customHeight="1" x14ac:dyDescent="0.2">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row>
    <row r="110" spans="52:85" ht="15" customHeight="1" x14ac:dyDescent="0.2">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row>
    <row r="111" spans="52:85" ht="15" customHeight="1" x14ac:dyDescent="0.2">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row>
    <row r="112" spans="52:85" ht="15" customHeight="1" x14ac:dyDescent="0.2">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row>
    <row r="113" spans="52:85" ht="15" customHeight="1" x14ac:dyDescent="0.2">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row>
    <row r="114" spans="52:85" ht="15" customHeight="1" x14ac:dyDescent="0.2">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row>
    <row r="115" spans="52:85" ht="15" customHeight="1" x14ac:dyDescent="0.2">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row>
    <row r="116" spans="52:85" ht="15" customHeight="1" x14ac:dyDescent="0.2">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row>
    <row r="117" spans="52:85" ht="15" customHeight="1" x14ac:dyDescent="0.2">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row>
    <row r="118" spans="52:85" ht="15" customHeight="1" x14ac:dyDescent="0.2">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row>
    <row r="119" spans="52:85" ht="15" customHeight="1" x14ac:dyDescent="0.2">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row>
    <row r="120" spans="52:85" ht="15" customHeight="1" x14ac:dyDescent="0.2">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row>
    <row r="121" spans="52:85" ht="15" customHeight="1" x14ac:dyDescent="0.2">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row>
    <row r="122" spans="52:85" ht="15" customHeight="1" x14ac:dyDescent="0.2">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row>
    <row r="123" spans="52:85" ht="15" customHeight="1" x14ac:dyDescent="0.2">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row>
    <row r="124" spans="52:85" ht="15" customHeight="1" x14ac:dyDescent="0.2">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row>
    <row r="125" spans="52:85" ht="15" customHeight="1" x14ac:dyDescent="0.2">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row>
    <row r="126" spans="52:85" ht="15" customHeight="1" x14ac:dyDescent="0.2">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row>
    <row r="127" spans="52:85" ht="15" customHeight="1" x14ac:dyDescent="0.2">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row>
    <row r="128" spans="52:85" ht="15" customHeight="1" x14ac:dyDescent="0.2">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row>
    <row r="129" spans="52:85" ht="15" customHeight="1" x14ac:dyDescent="0.2">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row>
    <row r="130" spans="52:85" ht="15" customHeight="1" x14ac:dyDescent="0.2">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row>
    <row r="131" spans="52:85" ht="15" customHeight="1" x14ac:dyDescent="0.2">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row>
    <row r="132" spans="52:85" ht="15" customHeight="1" x14ac:dyDescent="0.2">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row>
    <row r="133" spans="52:85" ht="15" customHeight="1" x14ac:dyDescent="0.2">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row>
    <row r="134" spans="52:85" ht="15" customHeight="1" x14ac:dyDescent="0.2">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row>
    <row r="135" spans="52:85" ht="15" customHeight="1" x14ac:dyDescent="0.2">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row>
    <row r="136" spans="52:85" ht="15" customHeight="1" x14ac:dyDescent="0.2">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row>
    <row r="137" spans="52:85" ht="15" customHeight="1" x14ac:dyDescent="0.2">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row>
    <row r="138" spans="52:85" ht="15" customHeight="1" x14ac:dyDescent="0.2">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row>
    <row r="139" spans="52:85" ht="15" customHeight="1" x14ac:dyDescent="0.2">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row>
    <row r="140" spans="52:85" ht="15" customHeight="1" x14ac:dyDescent="0.2">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row>
    <row r="141" spans="52:85" ht="15" customHeight="1" x14ac:dyDescent="0.2">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row>
    <row r="142" spans="52:85" ht="15" customHeight="1" x14ac:dyDescent="0.2">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row>
    <row r="143" spans="52:85" ht="15" customHeight="1" x14ac:dyDescent="0.2">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row>
    <row r="144" spans="52:85" ht="15" customHeight="1" x14ac:dyDescent="0.2">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row>
    <row r="145" spans="52:85" ht="15" customHeight="1" x14ac:dyDescent="0.2">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row>
    <row r="146" spans="52:85" ht="15" customHeight="1" x14ac:dyDescent="0.2">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row>
    <row r="147" spans="52:85" ht="15" customHeight="1" x14ac:dyDescent="0.2">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row>
    <row r="148" spans="52:85" ht="15" customHeight="1" x14ac:dyDescent="0.2">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row>
    <row r="149" spans="52:85" ht="15" customHeight="1" x14ac:dyDescent="0.2">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row>
    <row r="150" spans="52:85" ht="15" customHeight="1" x14ac:dyDescent="0.2">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row>
    <row r="151" spans="52:85" ht="15" customHeight="1" x14ac:dyDescent="0.2">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row>
    <row r="152" spans="52:85" ht="15" customHeight="1" x14ac:dyDescent="0.2">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row>
    <row r="153" spans="52:85" ht="15" customHeight="1" x14ac:dyDescent="0.2">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row>
    <row r="154" spans="52:85" ht="15" customHeight="1" x14ac:dyDescent="0.2">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row>
    <row r="155" spans="52:85" ht="15" customHeight="1" x14ac:dyDescent="0.2">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row>
    <row r="156" spans="52:85" ht="15" customHeight="1" x14ac:dyDescent="0.2">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row>
    <row r="157" spans="52:85" ht="15" customHeight="1" x14ac:dyDescent="0.2">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row>
    <row r="158" spans="52:85" ht="15" customHeight="1" x14ac:dyDescent="0.2">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row>
    <row r="159" spans="52:85" ht="15" customHeight="1" x14ac:dyDescent="0.2">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row>
    <row r="160" spans="52:85" ht="15" customHeight="1" x14ac:dyDescent="0.2">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row>
    <row r="161" spans="52:85" ht="15" customHeight="1" x14ac:dyDescent="0.2">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row>
    <row r="162" spans="52:85" ht="15" customHeight="1" x14ac:dyDescent="0.2">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row>
    <row r="163" spans="52:85" ht="15" customHeight="1" x14ac:dyDescent="0.2">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row>
    <row r="164" spans="52:85" ht="15" customHeight="1" x14ac:dyDescent="0.2">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row>
    <row r="165" spans="52:85" ht="15" customHeight="1" x14ac:dyDescent="0.2">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row>
    <row r="166" spans="52:85" ht="15" customHeight="1" x14ac:dyDescent="0.2">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row>
    <row r="167" spans="52:85" ht="15" customHeight="1" x14ac:dyDescent="0.2">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row>
    <row r="168" spans="52:85" ht="15" customHeight="1" x14ac:dyDescent="0.2">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row>
    <row r="169" spans="52:85" ht="15" customHeight="1" x14ac:dyDescent="0.2">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row>
    <row r="170" spans="52:85" ht="15" customHeight="1" x14ac:dyDescent="0.2">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row>
    <row r="171" spans="52:85" ht="15" customHeight="1" x14ac:dyDescent="0.2">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row>
    <row r="172" spans="52:85" ht="15" customHeight="1" x14ac:dyDescent="0.2">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row>
    <row r="173" spans="52:85" ht="15" customHeight="1" x14ac:dyDescent="0.2">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row>
    <row r="174" spans="52:85" ht="15" customHeight="1" x14ac:dyDescent="0.2">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row>
    <row r="175" spans="52:85" ht="15" customHeight="1" x14ac:dyDescent="0.2">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row>
    <row r="176" spans="52:85" ht="15" customHeight="1" x14ac:dyDescent="0.2">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row>
    <row r="177" spans="1:85" ht="15" customHeight="1" x14ac:dyDescent="0.2">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row>
    <row r="178" spans="1:85" ht="15" customHeight="1" x14ac:dyDescent="0.2">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row>
    <row r="179" spans="1:85" ht="15" customHeight="1" x14ac:dyDescent="0.2">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row>
    <row r="180" spans="1:85" ht="15" customHeight="1" x14ac:dyDescent="0.2">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row>
    <row r="181" spans="1:85" ht="15" customHeight="1" x14ac:dyDescent="0.2">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row>
    <row r="182" spans="1:85" ht="15" customHeight="1" x14ac:dyDescent="0.2">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row>
    <row r="183" spans="1:85" ht="15" customHeight="1" x14ac:dyDescent="0.2">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row>
    <row r="184" spans="1:85" ht="15" customHeight="1" x14ac:dyDescent="0.2">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row>
    <row r="185" spans="1:85" ht="15" customHeight="1" x14ac:dyDescent="0.2">
      <c r="A185" s="36"/>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row>
    <row r="186" spans="1:85" s="36" customFormat="1" ht="15" customHeight="1" x14ac:dyDescent="0.2">
      <c r="A186" s="25"/>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row>
    <row r="187" spans="1:85" ht="15" customHeight="1" x14ac:dyDescent="0.2">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row>
    <row r="188" spans="1:85" ht="15" customHeight="1" x14ac:dyDescent="0.2">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row>
    <row r="189" spans="1:85" ht="15" customHeight="1" x14ac:dyDescent="0.2">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row>
    <row r="190" spans="1:85" ht="15" customHeight="1" x14ac:dyDescent="0.2">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row>
    <row r="191" spans="1:85" ht="15" customHeight="1" x14ac:dyDescent="0.2">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row>
    <row r="192" spans="1:85" ht="15" customHeight="1" x14ac:dyDescent="0.2">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row>
    <row r="193" spans="52:85" ht="15" customHeight="1" x14ac:dyDescent="0.2">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row>
    <row r="194" spans="52:85" ht="15" customHeight="1" x14ac:dyDescent="0.2">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row>
    <row r="195" spans="52:85" ht="15" customHeight="1" x14ac:dyDescent="0.2">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row>
    <row r="196" spans="52:85" ht="15" customHeight="1" x14ac:dyDescent="0.2">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row>
    <row r="197" spans="52:85" ht="15" customHeight="1" x14ac:dyDescent="0.2">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row>
    <row r="198" spans="52:85" ht="15" customHeight="1" x14ac:dyDescent="0.2">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row>
    <row r="199" spans="52:85" ht="15" customHeight="1" x14ac:dyDescent="0.2">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row>
    <row r="200" spans="52:85" ht="15" customHeight="1" x14ac:dyDescent="0.2">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row>
    <row r="201" spans="52:85" ht="15" customHeight="1" x14ac:dyDescent="0.2">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row>
    <row r="202" spans="52:85" ht="15" customHeight="1" x14ac:dyDescent="0.2">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row>
    <row r="203" spans="52:85" ht="15" customHeight="1" x14ac:dyDescent="0.2">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row>
  </sheetData>
  <pageMargins left="0.511811024" right="0.511811024" top="0.78740157499999996" bottom="0.78740157499999996" header="0.31496062000000002" footer="0.31496062000000002"/>
  <pageSetup paperSize="9" orientation="landscape"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V24 AV21:AV23" formulaRange="1"/>
  </ignoredErrors>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12">
    <pageSetUpPr autoPageBreaks="0"/>
  </sheetPr>
  <dimension ref="B1:AY16"/>
  <sheetViews>
    <sheetView showGridLines="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2.75" outlineLevelRow="1" x14ac:dyDescent="0.2"/>
  <cols>
    <col min="1" max="1" width="1.42578125" customWidth="1"/>
    <col min="2" max="2" width="50.85546875" bestFit="1" customWidth="1"/>
    <col min="3" max="8" width="10.85546875" customWidth="1"/>
    <col min="10" max="13" width="10.140625" bestFit="1" customWidth="1"/>
    <col min="14" max="16" width="10.140625" customWidth="1"/>
    <col min="17" max="20" width="10.140625" bestFit="1" customWidth="1"/>
    <col min="21" max="21" width="10.140625" customWidth="1"/>
    <col min="22" max="22" width="10.140625" bestFit="1" customWidth="1"/>
    <col min="23" max="25" width="10.140625" customWidth="1"/>
    <col min="26" max="33" width="10.140625" bestFit="1" customWidth="1"/>
    <col min="34" max="35" width="10.140625" customWidth="1"/>
    <col min="36" max="43" width="10.140625" bestFit="1" customWidth="1"/>
    <col min="44" max="47" width="10.140625" customWidth="1"/>
    <col min="48" max="51" width="10.140625" bestFit="1" customWidth="1"/>
  </cols>
  <sheetData>
    <row r="1" spans="2:51" s="544" customFormat="1" ht="7.5" customHeight="1" x14ac:dyDescent="0.2">
      <c r="C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549"/>
      <c r="AL1" s="549"/>
      <c r="AM1" s="549"/>
      <c r="AN1" s="549"/>
      <c r="AO1" s="549"/>
      <c r="AP1" s="549"/>
      <c r="AQ1" s="549"/>
      <c r="AR1" s="549"/>
      <c r="AS1" s="549"/>
      <c r="AT1" s="549"/>
      <c r="AU1" s="549"/>
      <c r="AV1" s="549"/>
      <c r="AW1" s="549"/>
      <c r="AX1" s="549"/>
      <c r="AY1" s="549"/>
    </row>
    <row r="2" spans="2:51" s="544" customFormat="1" ht="18" x14ac:dyDescent="0.25">
      <c r="C2" s="549"/>
      <c r="D2" s="554"/>
      <c r="E2" s="549"/>
      <c r="F2" s="549"/>
      <c r="G2" s="549"/>
      <c r="H2" s="549"/>
      <c r="I2" s="549"/>
      <c r="J2" s="549"/>
      <c r="K2" s="549"/>
      <c r="L2" s="549"/>
      <c r="M2" s="549"/>
      <c r="N2" s="549"/>
      <c r="O2" s="549"/>
      <c r="P2" s="549"/>
      <c r="Q2" s="549"/>
      <c r="R2" s="549"/>
      <c r="S2" s="549"/>
      <c r="T2" s="549"/>
      <c r="U2" s="549"/>
      <c r="V2" s="549"/>
      <c r="W2" s="549"/>
      <c r="X2" s="549"/>
      <c r="Y2" s="549"/>
      <c r="Z2" s="549"/>
      <c r="AA2" s="549"/>
      <c r="AB2" s="549"/>
      <c r="AC2" s="549"/>
      <c r="AD2" s="549"/>
      <c r="AE2" s="549"/>
      <c r="AF2" s="549"/>
      <c r="AG2" s="549"/>
      <c r="AH2" s="549"/>
      <c r="AI2" s="549"/>
      <c r="AJ2" s="549"/>
      <c r="AK2" s="549"/>
      <c r="AL2" s="549"/>
      <c r="AM2" s="549"/>
      <c r="AN2" s="549"/>
      <c r="AO2" s="549"/>
      <c r="AP2" s="549"/>
      <c r="AQ2" s="549"/>
      <c r="AR2" s="549"/>
      <c r="AS2" s="549"/>
      <c r="AT2" s="549"/>
      <c r="AU2" s="549"/>
      <c r="AV2" s="549"/>
      <c r="AW2" s="549"/>
      <c r="AX2" s="549"/>
      <c r="AY2" s="549"/>
    </row>
    <row r="3" spans="2:51" x14ac:dyDescent="0.2">
      <c r="V3" s="328"/>
      <c r="W3" s="328"/>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c r="AV3" s="328"/>
      <c r="AW3" s="328"/>
      <c r="AX3" s="328"/>
      <c r="AY3" s="328"/>
    </row>
    <row r="5" spans="2:51" x14ac:dyDescent="0.2">
      <c r="B5" s="115" t="s">
        <v>396</v>
      </c>
      <c r="C5" s="115" t="s">
        <v>45</v>
      </c>
      <c r="D5" s="115" t="s">
        <v>55</v>
      </c>
      <c r="E5" s="115" t="s">
        <v>71</v>
      </c>
      <c r="F5" s="115" t="s">
        <v>77</v>
      </c>
      <c r="G5" s="115" t="s">
        <v>87</v>
      </c>
      <c r="H5" s="115" t="s">
        <v>88</v>
      </c>
      <c r="I5" s="115" t="s">
        <v>378</v>
      </c>
      <c r="J5" s="115" t="s">
        <v>406</v>
      </c>
      <c r="K5" s="115" t="s">
        <v>467</v>
      </c>
      <c r="L5" s="115" t="s">
        <v>501</v>
      </c>
      <c r="M5" s="115" t="s">
        <v>511</v>
      </c>
      <c r="N5" s="115" t="s">
        <v>538</v>
      </c>
      <c r="O5" s="115" t="s">
        <v>567</v>
      </c>
      <c r="P5" s="115" t="s">
        <v>575</v>
      </c>
      <c r="Q5" s="115" t="s">
        <v>595</v>
      </c>
      <c r="R5" s="115" t="s">
        <v>596</v>
      </c>
      <c r="S5" s="115" t="s">
        <v>623</v>
      </c>
      <c r="T5" s="115" t="s">
        <v>624</v>
      </c>
      <c r="U5" s="115" t="s">
        <v>625</v>
      </c>
      <c r="V5" s="115" t="s">
        <v>626</v>
      </c>
      <c r="W5" s="115" t="s">
        <v>798</v>
      </c>
      <c r="X5" s="115" t="s">
        <v>799</v>
      </c>
      <c r="Y5" s="115" t="s">
        <v>800</v>
      </c>
      <c r="Z5" s="115" t="s">
        <v>801</v>
      </c>
      <c r="AA5" s="115" t="s">
        <v>913</v>
      </c>
      <c r="AB5" s="115" t="s">
        <v>914</v>
      </c>
      <c r="AC5" s="115" t="s">
        <v>923</v>
      </c>
      <c r="AD5" s="115" t="s">
        <v>924</v>
      </c>
      <c r="AE5" s="115" t="s">
        <v>1049</v>
      </c>
      <c r="AF5" s="115" t="s">
        <v>1023</v>
      </c>
      <c r="AG5" s="115" t="s">
        <v>1024</v>
      </c>
      <c r="AH5" s="115" t="s">
        <v>1050</v>
      </c>
      <c r="AI5" s="115" t="s">
        <v>1114</v>
      </c>
      <c r="AJ5" s="115" t="s">
        <v>1119</v>
      </c>
      <c r="AK5" s="115" t="s">
        <v>1121</v>
      </c>
      <c r="AL5" s="115" t="s">
        <v>1123</v>
      </c>
      <c r="AM5" s="115" t="s">
        <v>1176</v>
      </c>
      <c r="AN5" s="115" t="s">
        <v>1177</v>
      </c>
      <c r="AO5" s="115" t="s">
        <v>1179</v>
      </c>
      <c r="AP5" s="115" t="s">
        <v>1181</v>
      </c>
      <c r="AQ5" s="115" t="s">
        <v>1243</v>
      </c>
      <c r="AR5" s="115" t="s">
        <v>1250</v>
      </c>
      <c r="AS5" s="115" t="s">
        <v>1251</v>
      </c>
      <c r="AT5" s="115" t="s">
        <v>1252</v>
      </c>
      <c r="AU5" s="115" t="s">
        <v>1311</v>
      </c>
      <c r="AV5" s="115" t="s">
        <v>1313</v>
      </c>
      <c r="AW5" s="115" t="s">
        <v>1315</v>
      </c>
      <c r="AX5" s="115" t="s">
        <v>1317</v>
      </c>
      <c r="AY5" s="115" t="s">
        <v>1344</v>
      </c>
    </row>
    <row r="6" spans="2:51" x14ac:dyDescent="0.2">
      <c r="B6" s="129" t="s">
        <v>397</v>
      </c>
      <c r="C6" s="118">
        <v>1046</v>
      </c>
      <c r="D6" s="118">
        <v>1367</v>
      </c>
      <c r="E6" s="118">
        <v>1121</v>
      </c>
      <c r="F6" s="118">
        <v>863</v>
      </c>
      <c r="G6" s="118">
        <v>1373</v>
      </c>
      <c r="H6" s="118">
        <v>1412</v>
      </c>
      <c r="I6" s="118">
        <v>1422</v>
      </c>
      <c r="J6" s="118">
        <v>1176</v>
      </c>
      <c r="K6" s="118">
        <v>1674</v>
      </c>
      <c r="L6" s="118">
        <v>1834</v>
      </c>
      <c r="M6" s="118">
        <v>2231</v>
      </c>
      <c r="N6" s="118">
        <v>813</v>
      </c>
      <c r="O6" s="118">
        <v>1521</v>
      </c>
      <c r="P6" s="118">
        <v>1476</v>
      </c>
      <c r="Q6" s="118">
        <v>1373</v>
      </c>
      <c r="R6" s="118">
        <v>1462</v>
      </c>
      <c r="S6" s="118">
        <v>1580</v>
      </c>
      <c r="T6" s="118">
        <v>1524</v>
      </c>
      <c r="U6" s="118">
        <v>1679</v>
      </c>
      <c r="V6" s="118">
        <v>1724</v>
      </c>
      <c r="W6" s="118">
        <v>1467</v>
      </c>
      <c r="X6" s="118">
        <v>2382</v>
      </c>
      <c r="Y6" s="118">
        <v>1574</v>
      </c>
      <c r="Z6" s="118">
        <v>1570</v>
      </c>
      <c r="AA6" s="261">
        <v>3566</v>
      </c>
      <c r="AB6" s="118">
        <v>994</v>
      </c>
      <c r="AC6" s="118">
        <v>1256</v>
      </c>
      <c r="AD6" s="118">
        <v>1256</v>
      </c>
      <c r="AE6" s="118">
        <v>1122</v>
      </c>
      <c r="AF6" s="118">
        <v>1213</v>
      </c>
      <c r="AG6" s="118">
        <v>1289</v>
      </c>
      <c r="AH6" s="118">
        <v>1406</v>
      </c>
      <c r="AI6" s="118">
        <v>1307</v>
      </c>
      <c r="AJ6" s="118">
        <v>2397</v>
      </c>
      <c r="AK6" s="118">
        <v>1774</v>
      </c>
      <c r="AL6" s="118">
        <v>1642</v>
      </c>
      <c r="AM6" s="118">
        <v>1771</v>
      </c>
      <c r="AN6" s="118">
        <v>1858</v>
      </c>
      <c r="AO6" s="118">
        <v>2689</v>
      </c>
      <c r="AP6" s="118">
        <v>1576</v>
      </c>
      <c r="AQ6" s="118">
        <v>1522</v>
      </c>
      <c r="AR6" s="118">
        <v>2056</v>
      </c>
      <c r="AS6" s="118">
        <v>1329</v>
      </c>
      <c r="AT6" s="118">
        <v>1473</v>
      </c>
      <c r="AU6" s="118">
        <v>1549</v>
      </c>
      <c r="AV6" s="118">
        <v>2137</v>
      </c>
      <c r="AW6" s="118">
        <v>1426</v>
      </c>
      <c r="AX6" s="118">
        <v>1498</v>
      </c>
      <c r="AY6" s="118">
        <v>1564</v>
      </c>
    </row>
    <row r="7" spans="2:51" x14ac:dyDescent="0.2">
      <c r="B7" s="129" t="s">
        <v>601</v>
      </c>
      <c r="C7" s="118">
        <v>367</v>
      </c>
      <c r="D7" s="118">
        <v>377</v>
      </c>
      <c r="E7" s="118">
        <v>389</v>
      </c>
      <c r="F7" s="118">
        <v>409</v>
      </c>
      <c r="G7" s="118">
        <v>389</v>
      </c>
      <c r="H7" s="118">
        <v>406</v>
      </c>
      <c r="I7" s="118">
        <v>423</v>
      </c>
      <c r="J7" s="118">
        <v>452</v>
      </c>
      <c r="K7" s="118">
        <v>508</v>
      </c>
      <c r="L7" s="118">
        <v>507</v>
      </c>
      <c r="M7" s="118">
        <v>508</v>
      </c>
      <c r="N7" s="118">
        <v>507</v>
      </c>
      <c r="O7" s="118">
        <v>508</v>
      </c>
      <c r="P7" s="118">
        <v>630</v>
      </c>
      <c r="Q7" s="118">
        <v>687</v>
      </c>
      <c r="R7" s="118">
        <v>688</v>
      </c>
      <c r="S7" s="118">
        <v>688</v>
      </c>
      <c r="T7" s="118">
        <v>723</v>
      </c>
      <c r="U7" s="118">
        <v>680</v>
      </c>
      <c r="V7" s="118">
        <v>705</v>
      </c>
      <c r="W7" s="118">
        <v>705</v>
      </c>
      <c r="X7" s="118">
        <v>704</v>
      </c>
      <c r="Y7" s="118">
        <v>705</v>
      </c>
      <c r="Z7" s="118">
        <v>705</v>
      </c>
      <c r="AA7" s="118">
        <v>705</v>
      </c>
      <c r="AB7" s="118">
        <v>704</v>
      </c>
      <c r="AC7" s="118">
        <v>705</v>
      </c>
      <c r="AD7" s="118">
        <v>705</v>
      </c>
      <c r="AE7" s="118">
        <v>733</v>
      </c>
      <c r="AF7" s="118">
        <v>849</v>
      </c>
      <c r="AG7" s="118">
        <v>808</v>
      </c>
      <c r="AH7" s="118">
        <v>808</v>
      </c>
      <c r="AI7" s="118">
        <v>808</v>
      </c>
      <c r="AJ7" s="118">
        <v>961</v>
      </c>
      <c r="AK7" s="118">
        <v>890</v>
      </c>
      <c r="AL7" s="118">
        <v>940</v>
      </c>
      <c r="AM7" s="118">
        <v>940</v>
      </c>
      <c r="AN7" s="118">
        <v>969</v>
      </c>
      <c r="AO7" s="118">
        <v>984</v>
      </c>
      <c r="AP7" s="118">
        <v>984</v>
      </c>
      <c r="AQ7" s="118">
        <v>984</v>
      </c>
      <c r="AR7" s="118">
        <v>1017</v>
      </c>
      <c r="AS7" s="118">
        <v>1033</v>
      </c>
      <c r="AT7" s="118">
        <v>1033</v>
      </c>
      <c r="AU7" s="118">
        <v>1033</v>
      </c>
      <c r="AV7" s="118">
        <v>1229</v>
      </c>
      <c r="AW7" s="118">
        <v>1327</v>
      </c>
      <c r="AX7" s="118">
        <v>1339</v>
      </c>
      <c r="AY7" s="118">
        <v>1327</v>
      </c>
    </row>
    <row r="8" spans="2:51" x14ac:dyDescent="0.2">
      <c r="B8" s="129" t="s">
        <v>399</v>
      </c>
      <c r="C8" s="118">
        <v>448</v>
      </c>
      <c r="D8" s="118">
        <v>1191</v>
      </c>
      <c r="E8" s="118">
        <v>0</v>
      </c>
      <c r="F8" s="118">
        <v>0</v>
      </c>
      <c r="G8" s="118">
        <v>349</v>
      </c>
      <c r="H8" s="118">
        <v>349</v>
      </c>
      <c r="I8" s="118">
        <v>349</v>
      </c>
      <c r="J8" s="118">
        <v>349</v>
      </c>
      <c r="K8" s="118">
        <v>449</v>
      </c>
      <c r="L8" s="118">
        <v>449</v>
      </c>
      <c r="M8" s="118">
        <v>449</v>
      </c>
      <c r="N8" s="118">
        <v>411</v>
      </c>
      <c r="O8" s="118">
        <v>561</v>
      </c>
      <c r="P8" s="118">
        <v>561</v>
      </c>
      <c r="Q8" s="118">
        <v>464</v>
      </c>
      <c r="R8" s="118">
        <v>512</v>
      </c>
      <c r="S8" s="118">
        <v>538</v>
      </c>
      <c r="T8" s="118">
        <v>540</v>
      </c>
      <c r="U8" s="118">
        <v>539</v>
      </c>
      <c r="V8" s="118">
        <v>590</v>
      </c>
      <c r="W8" s="118">
        <v>622</v>
      </c>
      <c r="X8" s="118">
        <v>579</v>
      </c>
      <c r="Y8" s="118">
        <v>600</v>
      </c>
      <c r="Z8" s="118">
        <v>601</v>
      </c>
      <c r="AA8" s="118">
        <v>654</v>
      </c>
      <c r="AB8" s="118">
        <v>653</v>
      </c>
      <c r="AC8" s="118">
        <v>654</v>
      </c>
      <c r="AD8" s="118">
        <v>8</v>
      </c>
      <c r="AE8" s="118">
        <v>492</v>
      </c>
      <c r="AF8" s="118">
        <v>892</v>
      </c>
      <c r="AG8" s="118">
        <v>692</v>
      </c>
      <c r="AH8" s="118">
        <v>788</v>
      </c>
      <c r="AI8" s="118">
        <v>716</v>
      </c>
      <c r="AJ8" s="118">
        <v>802</v>
      </c>
      <c r="AK8" s="118">
        <v>903</v>
      </c>
      <c r="AL8" s="118">
        <v>863</v>
      </c>
      <c r="AM8" s="118">
        <v>926</v>
      </c>
      <c r="AN8" s="118">
        <v>1014</v>
      </c>
      <c r="AO8" s="118">
        <v>920</v>
      </c>
      <c r="AP8" s="118">
        <v>824</v>
      </c>
      <c r="AQ8" s="118">
        <v>718</v>
      </c>
      <c r="AR8" s="118">
        <v>791</v>
      </c>
      <c r="AS8" s="118">
        <v>789</v>
      </c>
      <c r="AT8" s="118">
        <v>765</v>
      </c>
      <c r="AU8" s="118">
        <v>766</v>
      </c>
      <c r="AV8" s="118">
        <v>858</v>
      </c>
      <c r="AW8" s="118">
        <v>811</v>
      </c>
      <c r="AX8" s="118">
        <v>812</v>
      </c>
      <c r="AY8" s="118">
        <v>812</v>
      </c>
    </row>
    <row r="9" spans="2:51" s="232" customFormat="1" outlineLevel="1" x14ac:dyDescent="0.2">
      <c r="B9" s="249" t="s">
        <v>398</v>
      </c>
      <c r="C9" s="218">
        <v>141</v>
      </c>
      <c r="D9" s="218">
        <v>367</v>
      </c>
      <c r="E9" s="218">
        <v>-191</v>
      </c>
      <c r="F9" s="218">
        <v>115</v>
      </c>
      <c r="G9" s="218">
        <v>110</v>
      </c>
      <c r="H9" s="218">
        <v>110</v>
      </c>
      <c r="I9" s="218">
        <v>-603</v>
      </c>
      <c r="J9" s="218">
        <v>-1730</v>
      </c>
      <c r="K9" s="218">
        <v>0</v>
      </c>
      <c r="L9" s="218">
        <v>-44</v>
      </c>
      <c r="M9" s="218">
        <v>0</v>
      </c>
      <c r="N9" s="218">
        <v>0</v>
      </c>
      <c r="O9" s="218">
        <v>0</v>
      </c>
      <c r="P9" s="218">
        <v>0</v>
      </c>
      <c r="Q9" s="218">
        <v>0</v>
      </c>
      <c r="R9" s="218">
        <v>0</v>
      </c>
      <c r="S9" s="218">
        <v>0</v>
      </c>
      <c r="T9" s="218">
        <v>0</v>
      </c>
      <c r="U9" s="218">
        <v>0</v>
      </c>
      <c r="V9" s="218">
        <v>0</v>
      </c>
      <c r="W9" s="218">
        <v>0</v>
      </c>
      <c r="X9" s="218"/>
      <c r="Y9" s="218">
        <v>0</v>
      </c>
      <c r="Z9" s="218">
        <v>0</v>
      </c>
      <c r="AA9" s="218">
        <v>0</v>
      </c>
      <c r="AB9" s="218">
        <v>0</v>
      </c>
      <c r="AC9" s="218">
        <v>0</v>
      </c>
      <c r="AD9" s="218">
        <v>0</v>
      </c>
      <c r="AE9" s="218">
        <v>0</v>
      </c>
      <c r="AF9" s="218">
        <v>0</v>
      </c>
      <c r="AG9" s="218">
        <v>0</v>
      </c>
      <c r="AH9" s="218"/>
      <c r="AI9" s="218">
        <v>0</v>
      </c>
      <c r="AJ9" s="218">
        <v>0</v>
      </c>
      <c r="AK9" s="218">
        <v>0</v>
      </c>
      <c r="AL9" s="218">
        <v>0</v>
      </c>
      <c r="AM9" s="218">
        <v>0</v>
      </c>
      <c r="AN9" s="218">
        <v>0</v>
      </c>
      <c r="AO9" s="218">
        <v>0</v>
      </c>
      <c r="AP9" s="218">
        <v>0</v>
      </c>
      <c r="AQ9" s="218">
        <v>0</v>
      </c>
      <c r="AR9" s="218"/>
      <c r="AS9" s="218">
        <v>0</v>
      </c>
      <c r="AT9" s="218">
        <v>0</v>
      </c>
      <c r="AU9" s="218">
        <v>0</v>
      </c>
      <c r="AV9" s="218">
        <v>0</v>
      </c>
      <c r="AW9" s="218">
        <v>0</v>
      </c>
      <c r="AX9" s="218">
        <v>0</v>
      </c>
      <c r="AY9" s="218">
        <v>0</v>
      </c>
    </row>
    <row r="10" spans="2:51" x14ac:dyDescent="0.2">
      <c r="B10" s="126" t="s">
        <v>521</v>
      </c>
      <c r="C10" s="120">
        <f t="shared" ref="C10:Z10" si="0">SUM(C6:C8)</f>
        <v>1861</v>
      </c>
      <c r="D10" s="120">
        <f t="shared" si="0"/>
        <v>2935</v>
      </c>
      <c r="E10" s="120">
        <f t="shared" si="0"/>
        <v>1510</v>
      </c>
      <c r="F10" s="120">
        <f t="shared" si="0"/>
        <v>1272</v>
      </c>
      <c r="G10" s="120">
        <f t="shared" si="0"/>
        <v>2111</v>
      </c>
      <c r="H10" s="120">
        <f t="shared" si="0"/>
        <v>2167</v>
      </c>
      <c r="I10" s="120">
        <f t="shared" si="0"/>
        <v>2194</v>
      </c>
      <c r="J10" s="120">
        <f t="shared" si="0"/>
        <v>1977</v>
      </c>
      <c r="K10" s="120">
        <f t="shared" si="0"/>
        <v>2631</v>
      </c>
      <c r="L10" s="120">
        <f t="shared" si="0"/>
        <v>2790</v>
      </c>
      <c r="M10" s="120">
        <f t="shared" si="0"/>
        <v>3188</v>
      </c>
      <c r="N10" s="120">
        <f t="shared" si="0"/>
        <v>1731</v>
      </c>
      <c r="O10" s="120">
        <f t="shared" si="0"/>
        <v>2590</v>
      </c>
      <c r="P10" s="120">
        <f t="shared" si="0"/>
        <v>2667</v>
      </c>
      <c r="Q10" s="120">
        <f t="shared" si="0"/>
        <v>2524</v>
      </c>
      <c r="R10" s="120">
        <f t="shared" si="0"/>
        <v>2662</v>
      </c>
      <c r="S10" s="120">
        <f t="shared" si="0"/>
        <v>2806</v>
      </c>
      <c r="T10" s="120">
        <f t="shared" si="0"/>
        <v>2787</v>
      </c>
      <c r="U10" s="120">
        <f t="shared" si="0"/>
        <v>2898</v>
      </c>
      <c r="V10" s="120">
        <f t="shared" si="0"/>
        <v>3019</v>
      </c>
      <c r="W10" s="120">
        <f t="shared" si="0"/>
        <v>2794</v>
      </c>
      <c r="X10" s="120">
        <f t="shared" si="0"/>
        <v>3665</v>
      </c>
      <c r="Y10" s="120">
        <f t="shared" si="0"/>
        <v>2879</v>
      </c>
      <c r="Z10" s="120">
        <f t="shared" si="0"/>
        <v>2876</v>
      </c>
      <c r="AA10" s="120">
        <f t="shared" ref="AA10:AF10" si="1">SUM(AA6:AA8)</f>
        <v>4925</v>
      </c>
      <c r="AB10" s="120">
        <f t="shared" si="1"/>
        <v>2351</v>
      </c>
      <c r="AC10" s="120">
        <f t="shared" si="1"/>
        <v>2615</v>
      </c>
      <c r="AD10" s="120">
        <f t="shared" si="1"/>
        <v>1969</v>
      </c>
      <c r="AE10" s="120">
        <f t="shared" si="1"/>
        <v>2347</v>
      </c>
      <c r="AF10" s="120">
        <f t="shared" si="1"/>
        <v>2954</v>
      </c>
      <c r="AG10" s="120">
        <f t="shared" ref="AG10:AL10" si="2">SUM(AG6:AG8)</f>
        <v>2789</v>
      </c>
      <c r="AH10" s="120">
        <f t="shared" si="2"/>
        <v>3002</v>
      </c>
      <c r="AI10" s="120">
        <f t="shared" si="2"/>
        <v>2831</v>
      </c>
      <c r="AJ10" s="120">
        <f t="shared" si="2"/>
        <v>4160</v>
      </c>
      <c r="AK10" s="120">
        <f t="shared" si="2"/>
        <v>3567</v>
      </c>
      <c r="AL10" s="120">
        <f t="shared" si="2"/>
        <v>3445</v>
      </c>
      <c r="AM10" s="120">
        <f t="shared" ref="AM10:AV10" si="3">SUM(AM6:AM8)</f>
        <v>3637</v>
      </c>
      <c r="AN10" s="120">
        <f t="shared" si="3"/>
        <v>3841</v>
      </c>
      <c r="AO10" s="120">
        <f t="shared" si="3"/>
        <v>4593</v>
      </c>
      <c r="AP10" s="120">
        <f t="shared" si="3"/>
        <v>3384</v>
      </c>
      <c r="AQ10" s="120">
        <f t="shared" si="3"/>
        <v>3224</v>
      </c>
      <c r="AR10" s="120">
        <f t="shared" si="3"/>
        <v>3864</v>
      </c>
      <c r="AS10" s="120">
        <f t="shared" si="3"/>
        <v>3151</v>
      </c>
      <c r="AT10" s="120">
        <f t="shared" si="3"/>
        <v>3271</v>
      </c>
      <c r="AU10" s="120">
        <f t="shared" si="3"/>
        <v>3348</v>
      </c>
      <c r="AV10" s="120">
        <f t="shared" si="3"/>
        <v>4224</v>
      </c>
      <c r="AW10" s="120">
        <f>SUM(AW6:AW8)</f>
        <v>3564</v>
      </c>
      <c r="AX10" s="120">
        <f>SUM(AX6:AX8)</f>
        <v>3649</v>
      </c>
      <c r="AY10" s="120">
        <f>SUM(AY6:AY8)</f>
        <v>3703</v>
      </c>
    </row>
    <row r="16" spans="2:51" x14ac:dyDescent="0.2">
      <c r="R16" s="743"/>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55">
    <pageSetUpPr autoPageBreaks="0"/>
  </sheetPr>
  <dimension ref="B1:V31"/>
  <sheetViews>
    <sheetView showGridLines="0" zoomScaleNormal="10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2.75" outlineLevelRow="1" x14ac:dyDescent="0.2"/>
  <cols>
    <col min="1" max="1" width="1.42578125" customWidth="1"/>
    <col min="2" max="2" width="48.42578125" customWidth="1"/>
    <col min="3" max="22" width="10.85546875" customWidth="1"/>
  </cols>
  <sheetData>
    <row r="1" spans="2:22" s="544" customFormat="1" ht="7.5" customHeight="1" x14ac:dyDescent="0.2"/>
    <row r="2" spans="2:22" s="544" customFormat="1" ht="12.75" customHeight="1" x14ac:dyDescent="0.25">
      <c r="D2" s="554"/>
    </row>
    <row r="3" spans="2:22" ht="12.75" customHeight="1" x14ac:dyDescent="0.2"/>
    <row r="4" spans="2:22" ht="12.75" customHeight="1" x14ac:dyDescent="0.2"/>
    <row r="5" spans="2:22" x14ac:dyDescent="0.2">
      <c r="B5" s="115" t="s">
        <v>96</v>
      </c>
      <c r="C5" s="115" t="s">
        <v>45</v>
      </c>
      <c r="D5" s="115" t="s">
        <v>55</v>
      </c>
      <c r="E5" s="115" t="s">
        <v>71</v>
      </c>
      <c r="F5" s="115" t="s">
        <v>77</v>
      </c>
      <c r="G5" s="115" t="s">
        <v>87</v>
      </c>
      <c r="H5" s="115" t="s">
        <v>88</v>
      </c>
      <c r="I5" s="115" t="s">
        <v>378</v>
      </c>
      <c r="J5" s="115" t="s">
        <v>406</v>
      </c>
      <c r="K5" s="115" t="s">
        <v>467</v>
      </c>
      <c r="L5" s="115" t="s">
        <v>501</v>
      </c>
      <c r="M5" s="115" t="s">
        <v>511</v>
      </c>
      <c r="N5" s="115" t="s">
        <v>538</v>
      </c>
      <c r="O5" s="115" t="s">
        <v>567</v>
      </c>
      <c r="P5" s="115" t="s">
        <v>575</v>
      </c>
      <c r="Q5" s="115" t="s">
        <v>595</v>
      </c>
      <c r="R5" s="115" t="s">
        <v>596</v>
      </c>
      <c r="S5" s="115" t="s">
        <v>623</v>
      </c>
      <c r="T5" s="115" t="s">
        <v>624</v>
      </c>
      <c r="U5" s="115" t="s">
        <v>625</v>
      </c>
      <c r="V5" s="115" t="s">
        <v>626</v>
      </c>
    </row>
    <row r="6" spans="2:22" x14ac:dyDescent="0.2">
      <c r="B6" s="129" t="s">
        <v>302</v>
      </c>
      <c r="C6" s="118">
        <v>41149</v>
      </c>
      <c r="D6" s="118">
        <v>47815</v>
      </c>
      <c r="E6" s="118">
        <v>111023</v>
      </c>
      <c r="F6" s="118">
        <v>51768</v>
      </c>
      <c r="G6" s="118">
        <v>48869</v>
      </c>
      <c r="H6" s="118">
        <v>44566</v>
      </c>
      <c r="I6" s="118">
        <v>31687</v>
      </c>
      <c r="J6" s="118">
        <v>28761</v>
      </c>
      <c r="K6" s="118">
        <v>21546</v>
      </c>
      <c r="L6" s="118">
        <v>27301</v>
      </c>
      <c r="M6" s="118">
        <v>25366</v>
      </c>
      <c r="N6" s="118">
        <v>24174</v>
      </c>
      <c r="O6" s="118">
        <v>32943</v>
      </c>
      <c r="P6" s="118">
        <v>35570.208710000006</v>
      </c>
      <c r="Q6" s="118">
        <v>35609.230280000003</v>
      </c>
      <c r="R6" s="118">
        <v>35826</v>
      </c>
      <c r="S6" s="118">
        <v>31566</v>
      </c>
      <c r="T6" s="118">
        <v>30906</v>
      </c>
      <c r="U6" s="118">
        <v>33578</v>
      </c>
      <c r="V6" s="118">
        <v>34380</v>
      </c>
    </row>
    <row r="7" spans="2:22" x14ac:dyDescent="0.2">
      <c r="B7" s="129" t="s">
        <v>303</v>
      </c>
      <c r="C7" s="118">
        <v>97244</v>
      </c>
      <c r="D7" s="118">
        <v>74829</v>
      </c>
      <c r="E7" s="118">
        <v>35341</v>
      </c>
      <c r="F7" s="118">
        <v>80624</v>
      </c>
      <c r="G7" s="118">
        <v>72840</v>
      </c>
      <c r="H7" s="118">
        <v>80328</v>
      </c>
      <c r="I7" s="118">
        <v>78722</v>
      </c>
      <c r="J7" s="118">
        <v>48854</v>
      </c>
      <c r="K7" s="118">
        <v>51568</v>
      </c>
      <c r="L7" s="118">
        <v>65497</v>
      </c>
      <c r="M7" s="118">
        <v>60347</v>
      </c>
      <c r="N7" s="118">
        <v>55546</v>
      </c>
      <c r="O7" s="118">
        <v>66223</v>
      </c>
      <c r="P7" s="118">
        <v>63528.074639999999</v>
      </c>
      <c r="Q7" s="118">
        <v>55540.486290000001</v>
      </c>
      <c r="R7" s="118">
        <v>48369</v>
      </c>
      <c r="S7" s="118">
        <v>41902</v>
      </c>
      <c r="T7" s="118">
        <v>36069</v>
      </c>
      <c r="U7" s="118">
        <v>48441</v>
      </c>
      <c r="V7" s="118">
        <v>41853</v>
      </c>
    </row>
    <row r="8" spans="2:22" x14ac:dyDescent="0.2">
      <c r="B8" s="129" t="s">
        <v>304</v>
      </c>
      <c r="C8" s="118">
        <v>41616</v>
      </c>
      <c r="D8" s="118">
        <v>57394</v>
      </c>
      <c r="E8" s="118">
        <v>24490</v>
      </c>
      <c r="F8" s="118">
        <v>41939</v>
      </c>
      <c r="G8" s="118">
        <v>45100</v>
      </c>
      <c r="H8" s="118">
        <v>45212</v>
      </c>
      <c r="I8" s="118">
        <v>19290</v>
      </c>
      <c r="J8" s="118">
        <v>14862</v>
      </c>
      <c r="K8" s="118">
        <v>13238</v>
      </c>
      <c r="L8" s="118">
        <v>12375</v>
      </c>
      <c r="M8" s="118">
        <v>11224</v>
      </c>
      <c r="N8" s="118">
        <v>10360</v>
      </c>
      <c r="O8" s="118">
        <v>9497</v>
      </c>
      <c r="P8" s="118">
        <v>8633.7318000000014</v>
      </c>
      <c r="Q8" s="118">
        <v>7770.35862</v>
      </c>
      <c r="R8" s="118">
        <v>6907</v>
      </c>
      <c r="S8" s="118">
        <v>6044</v>
      </c>
      <c r="T8" s="118">
        <v>5180</v>
      </c>
      <c r="U8" s="118">
        <v>4317</v>
      </c>
      <c r="V8" s="118">
        <v>3453</v>
      </c>
    </row>
    <row r="9" spans="2:22" ht="25.5" x14ac:dyDescent="0.2">
      <c r="B9" s="126" t="s">
        <v>301</v>
      </c>
      <c r="C9" s="120">
        <f t="shared" ref="C9:I9" si="0">SUM(C6:C8)</f>
        <v>180009</v>
      </c>
      <c r="D9" s="120">
        <f t="shared" si="0"/>
        <v>180038</v>
      </c>
      <c r="E9" s="120">
        <f t="shared" si="0"/>
        <v>170854</v>
      </c>
      <c r="F9" s="120">
        <f t="shared" si="0"/>
        <v>174331</v>
      </c>
      <c r="G9" s="120">
        <f t="shared" si="0"/>
        <v>166809</v>
      </c>
      <c r="H9" s="120">
        <f t="shared" si="0"/>
        <v>170106</v>
      </c>
      <c r="I9" s="120">
        <f t="shared" si="0"/>
        <v>129699</v>
      </c>
      <c r="J9" s="120">
        <f t="shared" ref="J9:V9" si="1">SUM(J6:J8)</f>
        <v>92477</v>
      </c>
      <c r="K9" s="120">
        <f t="shared" si="1"/>
        <v>86352</v>
      </c>
      <c r="L9" s="120">
        <f t="shared" si="1"/>
        <v>105173</v>
      </c>
      <c r="M9" s="120">
        <f t="shared" si="1"/>
        <v>96937</v>
      </c>
      <c r="N9" s="120">
        <f t="shared" si="1"/>
        <v>90080</v>
      </c>
      <c r="O9" s="120">
        <f t="shared" si="1"/>
        <v>108663</v>
      </c>
      <c r="P9" s="120">
        <f t="shared" si="1"/>
        <v>107732.01515000002</v>
      </c>
      <c r="Q9" s="120">
        <f t="shared" si="1"/>
        <v>98920.075190000003</v>
      </c>
      <c r="R9" s="120">
        <f t="shared" si="1"/>
        <v>91102</v>
      </c>
      <c r="S9" s="120">
        <f t="shared" si="1"/>
        <v>79512</v>
      </c>
      <c r="T9" s="120">
        <f t="shared" si="1"/>
        <v>72155</v>
      </c>
      <c r="U9" s="120">
        <f t="shared" si="1"/>
        <v>86336</v>
      </c>
      <c r="V9" s="120">
        <f t="shared" si="1"/>
        <v>79686</v>
      </c>
    </row>
    <row r="10" spans="2:22" x14ac:dyDescent="0.2">
      <c r="B10" s="47"/>
      <c r="D10" s="106"/>
      <c r="E10" s="46"/>
      <c r="F10" s="46"/>
      <c r="G10" s="46"/>
      <c r="H10" s="46"/>
      <c r="I10" s="46"/>
      <c r="J10" s="46"/>
      <c r="K10" s="46"/>
      <c r="L10" s="46"/>
      <c r="M10" s="46"/>
      <c r="N10" s="46"/>
      <c r="O10" s="46"/>
      <c r="P10" s="46"/>
      <c r="Q10" s="46"/>
      <c r="R10" s="46"/>
      <c r="S10" s="46"/>
      <c r="T10" s="46"/>
      <c r="U10" s="46"/>
      <c r="V10" s="46"/>
    </row>
    <row r="11" spans="2:22" x14ac:dyDescent="0.2">
      <c r="B11" s="115" t="s">
        <v>97</v>
      </c>
      <c r="C11" s="115" t="str">
        <f>C5</f>
        <v>1T14</v>
      </c>
      <c r="D11" s="115" t="str">
        <f t="shared" ref="D11:Q11" si="2">D5</f>
        <v>2T14</v>
      </c>
      <c r="E11" s="115" t="str">
        <f t="shared" si="2"/>
        <v>3T14</v>
      </c>
      <c r="F11" s="115" t="str">
        <f t="shared" si="2"/>
        <v>4T14</v>
      </c>
      <c r="G11" s="115" t="str">
        <f t="shared" si="2"/>
        <v>1T15</v>
      </c>
      <c r="H11" s="115" t="str">
        <f t="shared" si="2"/>
        <v>2T15</v>
      </c>
      <c r="I11" s="115" t="str">
        <f t="shared" si="2"/>
        <v>3T15</v>
      </c>
      <c r="J11" s="115" t="str">
        <f t="shared" si="2"/>
        <v>4T15</v>
      </c>
      <c r="K11" s="115" t="str">
        <f t="shared" si="2"/>
        <v>1T16</v>
      </c>
      <c r="L11" s="115" t="str">
        <f t="shared" si="2"/>
        <v>2T16</v>
      </c>
      <c r="M11" s="115" t="str">
        <f t="shared" si="2"/>
        <v>3T16</v>
      </c>
      <c r="N11" s="115" t="str">
        <f t="shared" si="2"/>
        <v>4T16</v>
      </c>
      <c r="O11" s="115" t="str">
        <f t="shared" si="2"/>
        <v>1T17</v>
      </c>
      <c r="P11" s="115" t="str">
        <f t="shared" si="2"/>
        <v>2T17</v>
      </c>
      <c r="Q11" s="115" t="str">
        <f t="shared" si="2"/>
        <v>3T17</v>
      </c>
      <c r="R11" s="115" t="str">
        <f>R5</f>
        <v>4T17</v>
      </c>
      <c r="S11" s="115" t="str">
        <f>S5</f>
        <v>1T18</v>
      </c>
      <c r="T11" s="115" t="str">
        <f>T5</f>
        <v>2T18</v>
      </c>
      <c r="U11" s="115" t="str">
        <f>U5</f>
        <v>3T18</v>
      </c>
      <c r="V11" s="115" t="str">
        <f>V5</f>
        <v>4T18</v>
      </c>
    </row>
    <row r="12" spans="2:22" x14ac:dyDescent="0.2">
      <c r="B12" s="129" t="s">
        <v>302</v>
      </c>
      <c r="C12" s="118">
        <v>12011</v>
      </c>
      <c r="D12" s="118">
        <v>22608</v>
      </c>
      <c r="E12" s="118">
        <v>22831</v>
      </c>
      <c r="F12" s="118">
        <v>22146</v>
      </c>
      <c r="G12" s="118">
        <v>18782</v>
      </c>
      <c r="H12" s="118">
        <v>17368</v>
      </c>
      <c r="I12" s="118">
        <v>15138</v>
      </c>
      <c r="J12" s="118">
        <v>14844</v>
      </c>
      <c r="K12" s="118">
        <v>11476</v>
      </c>
      <c r="L12" s="118">
        <v>12310</v>
      </c>
      <c r="M12" s="118">
        <v>11828</v>
      </c>
      <c r="N12" s="118">
        <v>12090</v>
      </c>
      <c r="O12" s="118">
        <v>15156</v>
      </c>
      <c r="P12" s="118">
        <v>17786.139190000005</v>
      </c>
      <c r="Q12" s="118">
        <v>17488.906200000001</v>
      </c>
      <c r="R12" s="118">
        <v>17964</v>
      </c>
      <c r="S12" s="118">
        <v>16067</v>
      </c>
      <c r="T12" s="118">
        <v>15010</v>
      </c>
      <c r="U12" s="118">
        <v>18326</v>
      </c>
      <c r="V12" s="118">
        <v>18939</v>
      </c>
    </row>
    <row r="13" spans="2:22" x14ac:dyDescent="0.2">
      <c r="B13" s="129" t="s">
        <v>303</v>
      </c>
      <c r="C13" s="118">
        <v>34861</v>
      </c>
      <c r="D13" s="118">
        <v>32758</v>
      </c>
      <c r="E13" s="118">
        <v>30670</v>
      </c>
      <c r="F13" s="118">
        <v>41301</v>
      </c>
      <c r="G13" s="118">
        <v>33531</v>
      </c>
      <c r="H13" s="118">
        <v>33003</v>
      </c>
      <c r="I13" s="118">
        <v>37198</v>
      </c>
      <c r="J13" s="118">
        <v>30614</v>
      </c>
      <c r="K13" s="118">
        <v>28743</v>
      </c>
      <c r="L13" s="118">
        <v>28149</v>
      </c>
      <c r="M13" s="118">
        <v>26011</v>
      </c>
      <c r="N13" s="118">
        <v>24221</v>
      </c>
      <c r="O13" s="118">
        <v>28010</v>
      </c>
      <c r="P13" s="118">
        <v>29595.479330000002</v>
      </c>
      <c r="Q13" s="118">
        <v>25987.188040000001</v>
      </c>
      <c r="R13" s="118">
        <v>23207</v>
      </c>
      <c r="S13" s="118">
        <v>20074</v>
      </c>
      <c r="T13" s="118">
        <v>18030</v>
      </c>
      <c r="U13" s="118">
        <v>34490</v>
      </c>
      <c r="V13" s="118">
        <v>31691</v>
      </c>
    </row>
    <row r="14" spans="2:22" x14ac:dyDescent="0.2">
      <c r="B14" s="129" t="s">
        <v>304</v>
      </c>
      <c r="C14" s="118">
        <v>6187</v>
      </c>
      <c r="D14" s="118">
        <v>26690</v>
      </c>
      <c r="E14" s="118">
        <v>24496</v>
      </c>
      <c r="F14" s="118">
        <v>16318</v>
      </c>
      <c r="G14" s="118">
        <v>21628</v>
      </c>
      <c r="H14" s="118">
        <v>19680</v>
      </c>
      <c r="I14" s="118">
        <v>14965</v>
      </c>
      <c r="J14" s="118">
        <v>14102</v>
      </c>
      <c r="K14" s="118">
        <v>13238</v>
      </c>
      <c r="L14" s="118">
        <v>12375</v>
      </c>
      <c r="M14" s="118">
        <v>11224</v>
      </c>
      <c r="N14" s="118">
        <v>10360</v>
      </c>
      <c r="O14" s="118">
        <v>9497</v>
      </c>
      <c r="P14" s="118">
        <v>8633.7318000000014</v>
      </c>
      <c r="Q14" s="118">
        <v>7770.35862</v>
      </c>
      <c r="R14" s="118">
        <v>6907</v>
      </c>
      <c r="S14" s="118">
        <v>6044</v>
      </c>
      <c r="T14" s="118">
        <v>5180</v>
      </c>
      <c r="U14" s="118">
        <v>4317</v>
      </c>
      <c r="V14" s="118">
        <v>3453</v>
      </c>
    </row>
    <row r="15" spans="2:22" ht="25.5" x14ac:dyDescent="0.2">
      <c r="B15" s="126" t="s">
        <v>301</v>
      </c>
      <c r="C15" s="120">
        <f t="shared" ref="C15:I15" si="3">SUM(C12:C14)</f>
        <v>53059</v>
      </c>
      <c r="D15" s="120">
        <f t="shared" si="3"/>
        <v>82056</v>
      </c>
      <c r="E15" s="120">
        <f t="shared" si="3"/>
        <v>77997</v>
      </c>
      <c r="F15" s="120">
        <f t="shared" si="3"/>
        <v>79765</v>
      </c>
      <c r="G15" s="120">
        <f t="shared" si="3"/>
        <v>73941</v>
      </c>
      <c r="H15" s="120">
        <f t="shared" si="3"/>
        <v>70051</v>
      </c>
      <c r="I15" s="120">
        <f t="shared" si="3"/>
        <v>67301</v>
      </c>
      <c r="J15" s="120">
        <f t="shared" ref="J15:V15" si="4">SUM(J12:J14)</f>
        <v>59560</v>
      </c>
      <c r="K15" s="120">
        <f t="shared" si="4"/>
        <v>53457</v>
      </c>
      <c r="L15" s="120">
        <f t="shared" si="4"/>
        <v>52834</v>
      </c>
      <c r="M15" s="120">
        <f t="shared" si="4"/>
        <v>49063</v>
      </c>
      <c r="N15" s="120">
        <f t="shared" si="4"/>
        <v>46671</v>
      </c>
      <c r="O15" s="120">
        <f t="shared" si="4"/>
        <v>52663</v>
      </c>
      <c r="P15" s="120">
        <f t="shared" si="4"/>
        <v>56015.350320000005</v>
      </c>
      <c r="Q15" s="120">
        <f t="shared" si="4"/>
        <v>51246.452860000005</v>
      </c>
      <c r="R15" s="120">
        <f t="shared" si="4"/>
        <v>48078</v>
      </c>
      <c r="S15" s="120">
        <f t="shared" si="4"/>
        <v>42185</v>
      </c>
      <c r="T15" s="120">
        <f t="shared" si="4"/>
        <v>38220</v>
      </c>
      <c r="U15" s="120">
        <f t="shared" si="4"/>
        <v>57133</v>
      </c>
      <c r="V15" s="120">
        <f t="shared" si="4"/>
        <v>54083</v>
      </c>
    </row>
    <row r="17" spans="2:22" x14ac:dyDescent="0.2">
      <c r="B17" s="115" t="s">
        <v>98</v>
      </c>
      <c r="C17" s="115" t="str">
        <f>C5</f>
        <v>1T14</v>
      </c>
      <c r="D17" s="115" t="str">
        <f t="shared" ref="D17:Q17" si="5">D5</f>
        <v>2T14</v>
      </c>
      <c r="E17" s="115" t="str">
        <f t="shared" si="5"/>
        <v>3T14</v>
      </c>
      <c r="F17" s="115" t="str">
        <f t="shared" si="5"/>
        <v>4T14</v>
      </c>
      <c r="G17" s="115" t="str">
        <f t="shared" si="5"/>
        <v>1T15</v>
      </c>
      <c r="H17" s="115" t="str">
        <f t="shared" si="5"/>
        <v>2T15</v>
      </c>
      <c r="I17" s="115" t="str">
        <f t="shared" si="5"/>
        <v>3T15</v>
      </c>
      <c r="J17" s="115" t="str">
        <f t="shared" si="5"/>
        <v>4T15</v>
      </c>
      <c r="K17" s="115" t="str">
        <f t="shared" si="5"/>
        <v>1T16</v>
      </c>
      <c r="L17" s="115" t="str">
        <f t="shared" si="5"/>
        <v>2T16</v>
      </c>
      <c r="M17" s="115" t="str">
        <f t="shared" si="5"/>
        <v>3T16</v>
      </c>
      <c r="N17" s="115" t="str">
        <f t="shared" si="5"/>
        <v>4T16</v>
      </c>
      <c r="O17" s="115" t="str">
        <f t="shared" si="5"/>
        <v>1T17</v>
      </c>
      <c r="P17" s="115" t="str">
        <f t="shared" si="5"/>
        <v>2T17</v>
      </c>
      <c r="Q17" s="115" t="str">
        <f t="shared" si="5"/>
        <v>3T17</v>
      </c>
      <c r="R17" s="115" t="str">
        <f>R5</f>
        <v>4T17</v>
      </c>
      <c r="S17" s="115" t="str">
        <f>S5</f>
        <v>1T18</v>
      </c>
      <c r="T17" s="115" t="str">
        <f>T5</f>
        <v>2T18</v>
      </c>
      <c r="U17" s="115" t="str">
        <f>U5</f>
        <v>3T18</v>
      </c>
      <c r="V17" s="115" t="str">
        <f>V5</f>
        <v>4T18</v>
      </c>
    </row>
    <row r="18" spans="2:22" x14ac:dyDescent="0.2">
      <c r="B18" s="129" t="s">
        <v>302</v>
      </c>
      <c r="C18" s="118">
        <f>+C6-C12</f>
        <v>29138</v>
      </c>
      <c r="D18" s="118">
        <f t="shared" ref="D18:I18" si="6">+D6-D12</f>
        <v>25207</v>
      </c>
      <c r="E18" s="118">
        <f t="shared" si="6"/>
        <v>88192</v>
      </c>
      <c r="F18" s="118">
        <f t="shared" si="6"/>
        <v>29622</v>
      </c>
      <c r="G18" s="118">
        <f t="shared" si="6"/>
        <v>30087</v>
      </c>
      <c r="H18" s="118">
        <f t="shared" si="6"/>
        <v>27198</v>
      </c>
      <c r="I18" s="118">
        <f t="shared" si="6"/>
        <v>16549</v>
      </c>
      <c r="J18" s="118">
        <f t="shared" ref="J18:M20" si="7">+J6-J12</f>
        <v>13917</v>
      </c>
      <c r="K18" s="118">
        <f t="shared" si="7"/>
        <v>10070</v>
      </c>
      <c r="L18" s="118">
        <f t="shared" si="7"/>
        <v>14991</v>
      </c>
      <c r="M18" s="118">
        <f t="shared" si="7"/>
        <v>13538</v>
      </c>
      <c r="N18" s="118">
        <f t="shared" ref="N18:P20" si="8">+N6-N12</f>
        <v>12084</v>
      </c>
      <c r="O18" s="118">
        <f t="shared" si="8"/>
        <v>17787</v>
      </c>
      <c r="P18" s="118">
        <f t="shared" si="8"/>
        <v>17784.069520000001</v>
      </c>
      <c r="Q18" s="118">
        <f t="shared" ref="Q18:R20" si="9">+Q6-Q12</f>
        <v>18120.324080000002</v>
      </c>
      <c r="R18" s="118">
        <f t="shared" si="9"/>
        <v>17862</v>
      </c>
      <c r="S18" s="118">
        <v>15499</v>
      </c>
      <c r="T18" s="118">
        <f t="shared" ref="T18:V20" si="10">+T6-T12</f>
        <v>15896</v>
      </c>
      <c r="U18" s="118">
        <f t="shared" si="10"/>
        <v>15252</v>
      </c>
      <c r="V18" s="118">
        <f t="shared" si="10"/>
        <v>15441</v>
      </c>
    </row>
    <row r="19" spans="2:22" x14ac:dyDescent="0.2">
      <c r="B19" s="129" t="s">
        <v>303</v>
      </c>
      <c r="C19" s="118">
        <f t="shared" ref="C19:I19" si="11">+C7-C13</f>
        <v>62383</v>
      </c>
      <c r="D19" s="118">
        <f t="shared" si="11"/>
        <v>42071</v>
      </c>
      <c r="E19" s="118">
        <f t="shared" si="11"/>
        <v>4671</v>
      </c>
      <c r="F19" s="118">
        <f t="shared" si="11"/>
        <v>39323</v>
      </c>
      <c r="G19" s="118">
        <f t="shared" si="11"/>
        <v>39309</v>
      </c>
      <c r="H19" s="118">
        <f t="shared" si="11"/>
        <v>47325</v>
      </c>
      <c r="I19" s="118">
        <f t="shared" si="11"/>
        <v>41524</v>
      </c>
      <c r="J19" s="118">
        <f t="shared" si="7"/>
        <v>18240</v>
      </c>
      <c r="K19" s="118">
        <f t="shared" si="7"/>
        <v>22825</v>
      </c>
      <c r="L19" s="118">
        <f t="shared" si="7"/>
        <v>37348</v>
      </c>
      <c r="M19" s="118">
        <f t="shared" si="7"/>
        <v>34336</v>
      </c>
      <c r="N19" s="118">
        <f t="shared" si="8"/>
        <v>31325</v>
      </c>
      <c r="O19" s="118">
        <f t="shared" si="8"/>
        <v>38213</v>
      </c>
      <c r="P19" s="118">
        <f t="shared" si="8"/>
        <v>33932.595309999997</v>
      </c>
      <c r="Q19" s="118">
        <f t="shared" si="9"/>
        <v>29553.29825</v>
      </c>
      <c r="R19" s="118">
        <f t="shared" si="9"/>
        <v>25162</v>
      </c>
      <c r="S19" s="118">
        <v>21828</v>
      </c>
      <c r="T19" s="118">
        <f t="shared" si="10"/>
        <v>18039</v>
      </c>
      <c r="U19" s="118">
        <f t="shared" si="10"/>
        <v>13951</v>
      </c>
      <c r="V19" s="118">
        <f t="shared" si="10"/>
        <v>10162</v>
      </c>
    </row>
    <row r="20" spans="2:22" s="232" customFormat="1" hidden="1" outlineLevel="1" x14ac:dyDescent="0.2">
      <c r="B20" s="249" t="s">
        <v>304</v>
      </c>
      <c r="C20" s="218">
        <f t="shared" ref="C20:I20" si="12">+C8-C14</f>
        <v>35429</v>
      </c>
      <c r="D20" s="218">
        <f t="shared" si="12"/>
        <v>30704</v>
      </c>
      <c r="E20" s="218">
        <f t="shared" si="12"/>
        <v>-6</v>
      </c>
      <c r="F20" s="218">
        <f t="shared" si="12"/>
        <v>25621</v>
      </c>
      <c r="G20" s="218">
        <f t="shared" si="12"/>
        <v>23472</v>
      </c>
      <c r="H20" s="218">
        <f t="shared" si="12"/>
        <v>25532</v>
      </c>
      <c r="I20" s="218">
        <f t="shared" si="12"/>
        <v>4325</v>
      </c>
      <c r="J20" s="218">
        <f t="shared" si="7"/>
        <v>760</v>
      </c>
      <c r="K20" s="218">
        <f t="shared" si="7"/>
        <v>0</v>
      </c>
      <c r="L20" s="218">
        <f t="shared" si="7"/>
        <v>0</v>
      </c>
      <c r="M20" s="218">
        <f t="shared" si="7"/>
        <v>0</v>
      </c>
      <c r="N20" s="218">
        <f t="shared" si="8"/>
        <v>0</v>
      </c>
      <c r="O20" s="218">
        <f t="shared" si="8"/>
        <v>0</v>
      </c>
      <c r="P20" s="218">
        <f t="shared" si="8"/>
        <v>0</v>
      </c>
      <c r="Q20" s="218">
        <f t="shared" si="9"/>
        <v>0</v>
      </c>
      <c r="R20" s="218">
        <f t="shared" si="9"/>
        <v>0</v>
      </c>
      <c r="S20" s="218">
        <v>0</v>
      </c>
      <c r="T20" s="218">
        <f t="shared" si="10"/>
        <v>0</v>
      </c>
      <c r="U20" s="218">
        <f t="shared" si="10"/>
        <v>0</v>
      </c>
      <c r="V20" s="218">
        <f t="shared" si="10"/>
        <v>0</v>
      </c>
    </row>
    <row r="21" spans="2:22" ht="25.5" collapsed="1" x14ac:dyDescent="0.2">
      <c r="B21" s="126" t="s">
        <v>301</v>
      </c>
      <c r="C21" s="120">
        <f>SUM(C18:C20)</f>
        <v>126950</v>
      </c>
      <c r="D21" s="120">
        <f t="shared" ref="D21:I21" si="13">SUM(D18:D20)</f>
        <v>97982</v>
      </c>
      <c r="E21" s="120">
        <f t="shared" si="13"/>
        <v>92857</v>
      </c>
      <c r="F21" s="120">
        <f t="shared" si="13"/>
        <v>94566</v>
      </c>
      <c r="G21" s="120">
        <f t="shared" si="13"/>
        <v>92868</v>
      </c>
      <c r="H21" s="120">
        <f t="shared" si="13"/>
        <v>100055</v>
      </c>
      <c r="I21" s="120">
        <f t="shared" si="13"/>
        <v>62398</v>
      </c>
      <c r="J21" s="120">
        <f>SUM(J18:J20)</f>
        <v>32917</v>
      </c>
      <c r="K21" s="120">
        <f>SUM(K18:K20)</f>
        <v>32895</v>
      </c>
      <c r="L21" s="120">
        <f>SUM(L18:L20)</f>
        <v>52339</v>
      </c>
      <c r="M21" s="120">
        <f>SUM(M18:M20)</f>
        <v>47874</v>
      </c>
      <c r="N21" s="120">
        <v>43409</v>
      </c>
      <c r="O21" s="120">
        <v>56000</v>
      </c>
      <c r="P21" s="120">
        <v>51716.664829999994</v>
      </c>
      <c r="Q21" s="120">
        <f t="shared" ref="Q21:V21" si="14">SUM(Q18:Q20)</f>
        <v>47673.622329999998</v>
      </c>
      <c r="R21" s="120">
        <f t="shared" si="14"/>
        <v>43024</v>
      </c>
      <c r="S21" s="120">
        <f t="shared" si="14"/>
        <v>37327</v>
      </c>
      <c r="T21" s="120">
        <f t="shared" si="14"/>
        <v>33935</v>
      </c>
      <c r="U21" s="120">
        <f t="shared" si="14"/>
        <v>29203</v>
      </c>
      <c r="V21" s="120">
        <f t="shared" si="14"/>
        <v>25603</v>
      </c>
    </row>
    <row r="25" spans="2:22" x14ac:dyDescent="0.2">
      <c r="B25" s="47"/>
      <c r="C25" s="89"/>
      <c r="D25" s="89"/>
    </row>
    <row r="26" spans="2:22" x14ac:dyDescent="0.2">
      <c r="B26" s="47"/>
      <c r="C26" s="45"/>
    </row>
    <row r="27" spans="2:22" x14ac:dyDescent="0.2">
      <c r="B27" s="47"/>
      <c r="C27" s="107"/>
    </row>
    <row r="28" spans="2:22" x14ac:dyDescent="0.2">
      <c r="B28" s="47"/>
      <c r="C28" s="95"/>
    </row>
    <row r="29" spans="2:22" x14ac:dyDescent="0.2">
      <c r="B29" s="47"/>
      <c r="C29" s="95"/>
    </row>
    <row r="30" spans="2:22" x14ac:dyDescent="0.2">
      <c r="B30" s="47"/>
      <c r="C30" s="95"/>
    </row>
    <row r="31" spans="2:22" x14ac:dyDescent="0.2">
      <c r="B31" s="40"/>
      <c r="C31" s="94"/>
    </row>
  </sheetData>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15">
    <pageSetUpPr autoPageBreaks="0"/>
  </sheetPr>
  <dimension ref="A1:CP161"/>
  <sheetViews>
    <sheetView showGridLines="0" zoomScale="115" zoomScaleNormal="115" workbookViewId="0">
      <pane xSplit="31" ySplit="5" topLeftCell="AF6" activePane="bottomRight" state="frozen"/>
      <selection activeCell="AY7" sqref="AY7"/>
      <selection pane="topRight" activeCell="AY7" sqref="AY7"/>
      <selection pane="bottomLeft" activeCell="AY7" sqref="AY7"/>
      <selection pane="bottomRight" activeCell="E2" sqref="E2"/>
    </sheetView>
  </sheetViews>
  <sheetFormatPr defaultColWidth="9.140625" defaultRowHeight="12.75" outlineLevelRow="2" outlineLevelCol="1" x14ac:dyDescent="0.2"/>
  <cols>
    <col min="1" max="1" width="2.140625" style="201" customWidth="1"/>
    <col min="2" max="2" width="59.85546875" style="201" customWidth="1"/>
    <col min="3" max="24" width="10.85546875" style="203" hidden="1" customWidth="1" outlineLevel="1"/>
    <col min="25" max="31" width="11.140625" style="203" hidden="1" customWidth="1" outlineLevel="1"/>
    <col min="32" max="32" width="8.140625" style="203" bestFit="1" customWidth="1" collapsed="1"/>
    <col min="33" max="38" width="8.140625" style="203" bestFit="1" customWidth="1"/>
    <col min="39" max="40" width="8.140625" style="202" bestFit="1" customWidth="1"/>
    <col min="41" max="44" width="8.140625" style="202" customWidth="1"/>
    <col min="45" max="46" width="8.140625" style="202" bestFit="1" customWidth="1"/>
    <col min="47" max="47" width="8.85546875" style="202" bestFit="1" customWidth="1"/>
    <col min="48" max="48" width="8.140625" style="202" customWidth="1"/>
    <col min="49" max="63" width="10.85546875" style="201" customWidth="1"/>
    <col min="64" max="64" width="8.42578125" style="201" customWidth="1"/>
    <col min="65" max="83" width="10.85546875" style="201" customWidth="1"/>
    <col min="84" max="16384" width="9.140625" style="201"/>
  </cols>
  <sheetData>
    <row r="1" spans="2:94" s="562" customFormat="1" x14ac:dyDescent="0.2">
      <c r="C1" s="560"/>
      <c r="D1" s="560"/>
      <c r="E1" s="560"/>
      <c r="F1" s="560"/>
      <c r="G1" s="560"/>
      <c r="H1" s="560"/>
      <c r="I1" s="561"/>
      <c r="J1" s="561"/>
      <c r="K1" s="561"/>
      <c r="L1" s="561"/>
      <c r="M1" s="582"/>
      <c r="N1" s="582"/>
      <c r="O1" s="664"/>
      <c r="P1" s="664"/>
      <c r="Q1" s="664"/>
      <c r="R1" s="664"/>
      <c r="S1" s="664"/>
      <c r="T1" s="664"/>
      <c r="U1" s="664"/>
      <c r="V1" s="664"/>
      <c r="W1" s="664"/>
      <c r="X1" s="664"/>
      <c r="Y1" s="664"/>
      <c r="Z1" s="664"/>
      <c r="AA1" s="664"/>
      <c r="AB1" s="664"/>
      <c r="AC1" s="664"/>
      <c r="AD1" s="664"/>
      <c r="AE1" s="664"/>
      <c r="AF1" s="664"/>
      <c r="AG1" s="664"/>
      <c r="AH1" s="664"/>
      <c r="AI1" s="664"/>
      <c r="AJ1" s="664"/>
      <c r="AK1" s="664"/>
      <c r="AL1" s="664"/>
      <c r="AM1" s="664"/>
      <c r="AN1" s="664"/>
      <c r="AO1" s="664"/>
      <c r="AP1" s="664"/>
      <c r="AQ1" s="664"/>
      <c r="AR1" s="664"/>
      <c r="AS1" s="664"/>
      <c r="AT1" s="664"/>
      <c r="AU1" s="664"/>
      <c r="AV1" s="664"/>
      <c r="AW1" s="544"/>
      <c r="AX1" s="560"/>
      <c r="AY1" s="560"/>
      <c r="AZ1" s="560"/>
      <c r="BA1" s="560"/>
      <c r="BB1" s="561"/>
      <c r="BC1" s="561"/>
      <c r="BD1" s="561"/>
      <c r="BE1" s="561"/>
      <c r="BG1" s="796"/>
      <c r="BH1" s="796"/>
      <c r="BI1" s="796"/>
      <c r="BJ1" s="796"/>
      <c r="BK1" s="796"/>
      <c r="BL1" s="796"/>
      <c r="BM1" s="796"/>
      <c r="BN1" s="796"/>
      <c r="BO1" s="796"/>
      <c r="BP1" s="796"/>
      <c r="BQ1" s="796"/>
      <c r="BR1" s="796"/>
      <c r="BS1" s="796"/>
      <c r="BT1" s="796"/>
      <c r="BU1" s="796"/>
      <c r="BV1" s="796"/>
      <c r="BW1" s="796"/>
      <c r="BX1" s="796"/>
      <c r="BY1" s="796"/>
      <c r="BZ1" s="796"/>
      <c r="CA1" s="796"/>
      <c r="CB1" s="796"/>
      <c r="CC1" s="796"/>
      <c r="CD1" s="796"/>
      <c r="CE1" s="796"/>
      <c r="CF1" s="796"/>
      <c r="CG1" s="796"/>
      <c r="CH1" s="796"/>
      <c r="CI1" s="796"/>
      <c r="CJ1" s="796"/>
      <c r="CK1" s="796"/>
      <c r="CL1" s="796"/>
      <c r="CM1" s="796"/>
      <c r="CN1" s="1178"/>
      <c r="CO1" s="1178"/>
      <c r="CP1" s="1178"/>
    </row>
    <row r="2" spans="2:94" s="562" customFormat="1" ht="18" x14ac:dyDescent="0.25">
      <c r="C2" s="560"/>
      <c r="D2" s="560"/>
      <c r="E2" s="560"/>
      <c r="F2" s="560"/>
      <c r="G2" s="560"/>
      <c r="H2" s="560"/>
      <c r="I2" s="560"/>
      <c r="J2" s="560"/>
      <c r="K2" s="560"/>
      <c r="L2" s="560"/>
      <c r="M2" s="582"/>
      <c r="N2" s="582"/>
      <c r="O2" s="582"/>
      <c r="P2" s="582"/>
      <c r="Q2" s="582"/>
      <c r="R2" s="582"/>
      <c r="S2" s="582"/>
      <c r="T2" s="582"/>
      <c r="U2" s="582"/>
      <c r="V2" s="582"/>
      <c r="W2" s="582"/>
      <c r="X2" s="1020"/>
      <c r="Y2" s="1020"/>
      <c r="Z2" s="1020"/>
      <c r="AA2" s="1020"/>
      <c r="AB2" s="1020"/>
      <c r="AC2" s="1020"/>
      <c r="AD2" s="1020"/>
      <c r="AE2" s="1020"/>
      <c r="AF2" s="582"/>
      <c r="AG2" s="582"/>
      <c r="AH2" s="582"/>
      <c r="AI2" s="582"/>
      <c r="AJ2" s="582"/>
      <c r="AK2" s="582"/>
      <c r="AL2" s="582"/>
      <c r="AM2" s="583"/>
      <c r="AN2" s="583"/>
      <c r="AO2" s="583"/>
      <c r="AP2" s="583"/>
      <c r="AQ2" s="583"/>
      <c r="AR2" s="583"/>
      <c r="AS2" s="583"/>
      <c r="AT2" s="583"/>
      <c r="AU2" s="583"/>
      <c r="AV2" s="583"/>
      <c r="AW2" s="554"/>
      <c r="AX2" s="560"/>
      <c r="AY2" s="560"/>
      <c r="AZ2" s="560"/>
      <c r="BA2" s="560"/>
      <c r="BG2" s="796"/>
      <c r="BH2" s="796"/>
      <c r="BI2" s="796"/>
      <c r="BJ2" s="796"/>
      <c r="BK2" s="796"/>
      <c r="BL2" s="796"/>
      <c r="BM2" s="796"/>
      <c r="BN2" s="796"/>
      <c r="BO2" s="796"/>
      <c r="BP2" s="796"/>
      <c r="BQ2" s="796"/>
      <c r="BR2" s="796"/>
      <c r="BS2" s="796"/>
      <c r="BT2" s="796"/>
      <c r="BU2" s="796"/>
      <c r="BV2" s="796"/>
      <c r="BW2" s="796"/>
      <c r="BX2" s="796"/>
      <c r="BY2" s="796"/>
      <c r="BZ2" s="796"/>
      <c r="CA2" s="796"/>
      <c r="CB2" s="796"/>
      <c r="CC2" s="796"/>
      <c r="CD2" s="796"/>
      <c r="CE2" s="796"/>
      <c r="CF2" s="796"/>
      <c r="CG2" s="796"/>
      <c r="CH2" s="796"/>
      <c r="CI2" s="796"/>
      <c r="CJ2" s="796"/>
      <c r="CK2" s="1178"/>
      <c r="CL2" s="1178"/>
      <c r="CM2" s="1178"/>
      <c r="CN2" s="1178"/>
      <c r="CO2" s="1178"/>
      <c r="CP2" s="1178"/>
    </row>
    <row r="3" spans="2:94" s="562" customFormat="1" x14ac:dyDescent="0.2">
      <c r="B3" s="562" t="s">
        <v>89</v>
      </c>
      <c r="C3" s="561"/>
      <c r="D3" s="561"/>
      <c r="E3" s="561"/>
      <c r="F3" s="561"/>
      <c r="G3" s="561"/>
      <c r="H3" s="561"/>
      <c r="I3" s="561"/>
      <c r="J3" s="561"/>
      <c r="K3" s="561"/>
      <c r="L3" s="561"/>
      <c r="M3" s="582"/>
      <c r="N3" s="582"/>
      <c r="O3" s="582"/>
      <c r="P3" s="582"/>
      <c r="Q3" s="582"/>
      <c r="R3" s="582"/>
      <c r="S3" s="582"/>
      <c r="T3" s="582"/>
      <c r="U3" s="582"/>
      <c r="V3" s="582"/>
      <c r="W3" s="582"/>
      <c r="X3" s="582"/>
      <c r="Y3" s="582"/>
      <c r="Z3" s="582"/>
      <c r="AA3" s="582"/>
      <c r="AB3" s="582"/>
      <c r="AC3" s="582"/>
      <c r="AD3" s="582"/>
      <c r="AE3" s="582"/>
      <c r="AF3" s="1020"/>
      <c r="AG3" s="1020"/>
      <c r="AH3" s="1020"/>
      <c r="AI3" s="1020"/>
      <c r="AJ3" s="1020"/>
      <c r="AK3" s="1020"/>
      <c r="AL3" s="1020"/>
      <c r="AM3" s="1156"/>
      <c r="AN3" s="1156"/>
      <c r="AO3" s="1156"/>
      <c r="AP3" s="1156"/>
      <c r="AQ3" s="1156"/>
      <c r="AR3" s="1156"/>
      <c r="AS3" s="1156"/>
      <c r="AT3" s="1156"/>
      <c r="AU3" s="1156"/>
      <c r="AV3" s="1156"/>
      <c r="AW3" s="561"/>
      <c r="AX3" s="561"/>
      <c r="AY3" s="561"/>
      <c r="AZ3" s="561"/>
      <c r="BA3" s="561"/>
      <c r="BB3" s="561"/>
      <c r="BC3" s="561"/>
      <c r="BD3" s="561"/>
      <c r="BE3" s="561"/>
      <c r="BF3" s="561"/>
      <c r="BG3" s="797"/>
      <c r="BH3" s="797"/>
      <c r="BI3" s="797"/>
      <c r="BJ3" s="797"/>
      <c r="BK3" s="797"/>
      <c r="BL3" s="797"/>
      <c r="BM3" s="797"/>
      <c r="BN3" s="797"/>
      <c r="BO3" s="797"/>
      <c r="BP3" s="797"/>
      <c r="BQ3" s="797"/>
      <c r="BR3" s="797"/>
      <c r="BS3" s="797"/>
      <c r="BT3" s="797"/>
      <c r="BU3" s="797"/>
      <c r="BV3" s="797"/>
      <c r="BW3" s="797"/>
      <c r="BX3" s="797"/>
      <c r="BY3" s="797"/>
      <c r="BZ3" s="797"/>
      <c r="CA3" s="797"/>
      <c r="CB3" s="797"/>
      <c r="CC3" s="797"/>
      <c r="CD3" s="797"/>
      <c r="CE3" s="797"/>
      <c r="CK3" s="1178"/>
      <c r="CL3" s="1178"/>
      <c r="CM3" s="1178"/>
      <c r="CN3" s="1178"/>
      <c r="CO3" s="1178"/>
      <c r="CP3" s="1178"/>
    </row>
    <row r="4" spans="2:94" s="562" customFormat="1" x14ac:dyDescent="0.2">
      <c r="C4" s="561"/>
      <c r="D4" s="561"/>
      <c r="E4" s="561"/>
      <c r="F4" s="561"/>
      <c r="G4" s="561"/>
      <c r="H4" s="561"/>
      <c r="I4" s="561"/>
      <c r="J4" s="561"/>
      <c r="K4" s="561"/>
      <c r="L4" s="561"/>
      <c r="M4" s="582"/>
      <c r="N4" s="582"/>
      <c r="O4" s="582"/>
      <c r="P4" s="582"/>
      <c r="Q4" s="582"/>
      <c r="R4" s="582"/>
      <c r="S4" s="582"/>
      <c r="T4" s="582"/>
      <c r="U4" s="582"/>
      <c r="V4" s="582"/>
      <c r="W4" s="582"/>
      <c r="X4" s="582"/>
      <c r="Y4" s="582"/>
      <c r="Z4" s="582"/>
      <c r="AA4" s="582"/>
      <c r="AB4" s="582"/>
      <c r="AC4" s="582"/>
      <c r="AD4" s="582"/>
      <c r="AE4" s="582"/>
      <c r="AF4" s="1020"/>
      <c r="AG4" s="1020"/>
      <c r="AH4" s="1020"/>
      <c r="AI4" s="1020"/>
      <c r="AJ4" s="1020"/>
      <c r="AK4" s="1020"/>
      <c r="AL4" s="1020"/>
      <c r="AM4" s="1156"/>
      <c r="AN4" s="1156"/>
      <c r="AO4" s="1156"/>
      <c r="AP4" s="1156"/>
      <c r="AQ4" s="1156"/>
      <c r="AR4" s="1156"/>
      <c r="AS4" s="1156"/>
      <c r="AT4" s="1156"/>
      <c r="AU4" s="1156"/>
      <c r="AV4" s="1156"/>
      <c r="AW4" s="561"/>
      <c r="AX4" s="561"/>
      <c r="AY4" s="561"/>
      <c r="AZ4" s="561"/>
      <c r="BA4" s="561"/>
      <c r="BB4" s="561"/>
      <c r="BC4" s="561"/>
      <c r="BD4" s="561"/>
      <c r="BE4" s="561"/>
      <c r="BF4" s="561"/>
      <c r="BG4" s="561"/>
      <c r="BH4" s="561"/>
      <c r="BI4" s="561"/>
      <c r="BJ4" s="561"/>
      <c r="BK4" s="561"/>
      <c r="BL4" s="561"/>
      <c r="BM4" s="561"/>
      <c r="BN4" s="561"/>
      <c r="BO4" s="561"/>
      <c r="BP4" s="561"/>
      <c r="BQ4" s="561"/>
      <c r="BR4" s="561"/>
      <c r="BS4" s="561"/>
      <c r="BT4" s="561"/>
      <c r="BU4" s="561"/>
      <c r="BV4" s="561"/>
      <c r="BW4" s="561"/>
      <c r="BX4" s="561"/>
      <c r="BY4" s="561"/>
      <c r="BZ4" s="561"/>
      <c r="CA4" s="561"/>
      <c r="CB4" s="561"/>
      <c r="CC4" s="561"/>
      <c r="CD4" s="561"/>
      <c r="CE4" s="561"/>
      <c r="CK4" s="1178"/>
      <c r="CL4" s="1178"/>
      <c r="CM4" s="1178"/>
      <c r="CN4" s="1178"/>
      <c r="CO4" s="1178"/>
      <c r="CP4" s="1178"/>
    </row>
    <row r="5" spans="2:94" x14ac:dyDescent="0.2">
      <c r="B5" s="115" t="s">
        <v>441</v>
      </c>
      <c r="C5" s="205">
        <v>42004</v>
      </c>
      <c r="D5" s="205">
        <v>42094</v>
      </c>
      <c r="E5" s="205">
        <v>42185</v>
      </c>
      <c r="F5" s="205">
        <v>42277</v>
      </c>
      <c r="G5" s="205">
        <v>42369</v>
      </c>
      <c r="H5" s="205">
        <v>42460</v>
      </c>
      <c r="I5" s="205">
        <v>42551</v>
      </c>
      <c r="J5" s="205">
        <v>42643</v>
      </c>
      <c r="K5" s="205">
        <v>42735</v>
      </c>
      <c r="L5" s="205">
        <v>42825</v>
      </c>
      <c r="M5" s="205">
        <v>42916</v>
      </c>
      <c r="N5" s="205">
        <v>43008</v>
      </c>
      <c r="O5" s="205">
        <v>43099</v>
      </c>
      <c r="P5" s="205">
        <v>43189</v>
      </c>
      <c r="Q5" s="205">
        <v>43281</v>
      </c>
      <c r="R5" s="205">
        <v>43373</v>
      </c>
      <c r="S5" s="205">
        <v>43464</v>
      </c>
      <c r="T5" s="205">
        <v>43555</v>
      </c>
      <c r="U5" s="205">
        <v>43646</v>
      </c>
      <c r="V5" s="205">
        <v>43738</v>
      </c>
      <c r="W5" s="205">
        <v>43829</v>
      </c>
      <c r="X5" s="205">
        <v>43921</v>
      </c>
      <c r="Y5" s="205" t="s">
        <v>952</v>
      </c>
      <c r="Z5" s="205" t="s">
        <v>1022</v>
      </c>
      <c r="AA5" s="205">
        <v>44195</v>
      </c>
      <c r="AB5" s="205">
        <v>44285</v>
      </c>
      <c r="AC5" s="205">
        <v>44377</v>
      </c>
      <c r="AD5" s="205">
        <v>44469</v>
      </c>
      <c r="AE5" s="205">
        <v>44561</v>
      </c>
      <c r="AF5" s="205">
        <v>44651</v>
      </c>
      <c r="AG5" s="205">
        <v>44742</v>
      </c>
      <c r="AH5" s="205">
        <v>44834</v>
      </c>
      <c r="AI5" s="205">
        <v>44926</v>
      </c>
      <c r="AJ5" s="205">
        <v>45016</v>
      </c>
      <c r="AK5" s="205">
        <v>45107</v>
      </c>
      <c r="AL5" s="205">
        <v>45199</v>
      </c>
      <c r="AM5" s="205">
        <v>45291</v>
      </c>
      <c r="AN5" s="205">
        <v>45382</v>
      </c>
      <c r="AO5" s="205">
        <v>45473</v>
      </c>
      <c r="AP5" s="205">
        <v>45565</v>
      </c>
      <c r="AQ5" s="205">
        <v>45657</v>
      </c>
      <c r="AR5" s="205">
        <v>45747</v>
      </c>
      <c r="AS5" s="205">
        <v>45838</v>
      </c>
      <c r="AT5" s="205">
        <v>45930</v>
      </c>
      <c r="AU5" s="205">
        <v>46022</v>
      </c>
      <c r="AV5" s="205">
        <v>46112</v>
      </c>
    </row>
    <row r="6" spans="2:94" x14ac:dyDescent="0.2">
      <c r="B6" s="129" t="s">
        <v>446</v>
      </c>
      <c r="C6" s="118">
        <v>1473</v>
      </c>
      <c r="D6" s="118"/>
      <c r="E6" s="118">
        <v>1101</v>
      </c>
      <c r="F6" s="118">
        <v>382</v>
      </c>
      <c r="G6" s="118">
        <v>590</v>
      </c>
      <c r="H6" s="118">
        <v>401</v>
      </c>
      <c r="I6" s="118">
        <v>203</v>
      </c>
      <c r="J6" s="118">
        <v>199</v>
      </c>
      <c r="K6" s="118">
        <v>134</v>
      </c>
      <c r="L6" s="118">
        <v>186</v>
      </c>
      <c r="M6" s="118">
        <v>275.68777999999969</v>
      </c>
      <c r="N6" s="118">
        <v>264.46657999999985</v>
      </c>
      <c r="O6" s="118">
        <v>264.46657999999985</v>
      </c>
      <c r="P6" s="118">
        <v>243</v>
      </c>
      <c r="Q6" s="118">
        <v>294</v>
      </c>
      <c r="R6" s="118">
        <v>395</v>
      </c>
      <c r="S6" s="118">
        <v>565</v>
      </c>
      <c r="T6" s="118">
        <v>496</v>
      </c>
      <c r="U6" s="118">
        <v>179</v>
      </c>
      <c r="V6" s="118">
        <v>147</v>
      </c>
      <c r="W6" s="118">
        <v>244</v>
      </c>
      <c r="X6" s="118">
        <v>84</v>
      </c>
      <c r="Y6" s="118">
        <v>46</v>
      </c>
      <c r="Z6" s="118">
        <v>70</v>
      </c>
      <c r="AA6" s="118">
        <v>95</v>
      </c>
      <c r="AB6" s="118">
        <v>168</v>
      </c>
      <c r="AC6" s="118">
        <v>64</v>
      </c>
      <c r="AD6" s="118">
        <v>31</v>
      </c>
      <c r="AE6" s="118">
        <v>0</v>
      </c>
      <c r="AF6" s="118">
        <v>0</v>
      </c>
      <c r="AG6" s="118">
        <v>0</v>
      </c>
      <c r="AH6" s="118">
        <v>0</v>
      </c>
      <c r="AI6" s="118">
        <v>3</v>
      </c>
      <c r="AJ6" s="118">
        <v>49</v>
      </c>
      <c r="AK6" s="118">
        <v>198</v>
      </c>
      <c r="AL6" s="118">
        <v>164</v>
      </c>
      <c r="AM6" s="118">
        <v>188</v>
      </c>
      <c r="AN6" s="118">
        <v>274</v>
      </c>
      <c r="AO6" s="118">
        <v>364</v>
      </c>
      <c r="AP6" s="118">
        <v>993</v>
      </c>
      <c r="AQ6" s="118">
        <v>503</v>
      </c>
      <c r="AR6" s="118">
        <v>748</v>
      </c>
      <c r="AS6" s="118">
        <v>596</v>
      </c>
      <c r="AT6" s="118">
        <v>592</v>
      </c>
      <c r="AU6" s="118">
        <v>666</v>
      </c>
      <c r="AV6" s="118">
        <v>370</v>
      </c>
    </row>
    <row r="7" spans="2:94" x14ac:dyDescent="0.2">
      <c r="B7" s="129" t="s">
        <v>443</v>
      </c>
      <c r="C7" s="118">
        <v>9583</v>
      </c>
      <c r="D7" s="118"/>
      <c r="E7" s="118"/>
      <c r="F7" s="118">
        <v>0</v>
      </c>
      <c r="G7" s="118">
        <v>0</v>
      </c>
      <c r="H7" s="118">
        <v>0</v>
      </c>
      <c r="I7" s="118">
        <v>0</v>
      </c>
      <c r="J7" s="118">
        <v>0</v>
      </c>
      <c r="K7" s="118">
        <v>0</v>
      </c>
      <c r="L7" s="118">
        <v>0</v>
      </c>
      <c r="M7" s="118">
        <v>0</v>
      </c>
      <c r="N7" s="118">
        <v>0</v>
      </c>
      <c r="O7" s="118">
        <v>0</v>
      </c>
      <c r="P7" s="118">
        <v>0</v>
      </c>
      <c r="Q7" s="118">
        <v>0</v>
      </c>
      <c r="R7" s="118">
        <v>0</v>
      </c>
      <c r="S7" s="118">
        <v>0</v>
      </c>
      <c r="T7" s="118">
        <v>85</v>
      </c>
      <c r="U7" s="118">
        <v>0</v>
      </c>
      <c r="V7" s="118">
        <v>0</v>
      </c>
      <c r="W7" s="118">
        <v>0</v>
      </c>
      <c r="X7" s="118">
        <v>4</v>
      </c>
      <c r="Y7" s="118">
        <v>6</v>
      </c>
      <c r="Z7" s="118">
        <v>8</v>
      </c>
      <c r="AA7" s="118">
        <v>6</v>
      </c>
      <c r="AB7" s="118">
        <v>0</v>
      </c>
      <c r="AC7" s="118">
        <v>0</v>
      </c>
      <c r="AD7" s="118">
        <v>6</v>
      </c>
      <c r="AE7" s="118">
        <v>1</v>
      </c>
      <c r="AF7" s="118">
        <v>0</v>
      </c>
      <c r="AG7" s="118">
        <v>1</v>
      </c>
      <c r="AH7" s="118">
        <v>0</v>
      </c>
      <c r="AI7" s="118">
        <v>0</v>
      </c>
      <c r="AJ7" s="118">
        <v>0</v>
      </c>
      <c r="AK7" s="118">
        <v>0</v>
      </c>
      <c r="AL7" s="118">
        <v>0</v>
      </c>
      <c r="AM7" s="118">
        <v>0</v>
      </c>
      <c r="AN7" s="118">
        <v>0</v>
      </c>
      <c r="AO7" s="118">
        <v>0</v>
      </c>
      <c r="AP7" s="118">
        <v>0</v>
      </c>
      <c r="AQ7" s="118">
        <v>0</v>
      </c>
      <c r="AR7" s="118">
        <v>0</v>
      </c>
      <c r="AS7" s="118">
        <v>0</v>
      </c>
      <c r="AT7" s="118">
        <v>0</v>
      </c>
      <c r="AU7" s="118">
        <v>0</v>
      </c>
      <c r="AV7" s="118">
        <v>0</v>
      </c>
    </row>
    <row r="8" spans="2:94" x14ac:dyDescent="0.2">
      <c r="B8" s="129" t="s">
        <v>438</v>
      </c>
      <c r="C8" s="118">
        <v>312</v>
      </c>
      <c r="D8" s="118"/>
      <c r="E8" s="118">
        <v>0</v>
      </c>
      <c r="F8" s="118">
        <v>0</v>
      </c>
      <c r="G8" s="118">
        <v>0</v>
      </c>
      <c r="H8" s="214">
        <v>0</v>
      </c>
      <c r="I8" s="214">
        <v>0</v>
      </c>
      <c r="J8" s="214">
        <v>0</v>
      </c>
      <c r="K8" s="214">
        <v>0</v>
      </c>
      <c r="L8" s="214">
        <v>34</v>
      </c>
      <c r="M8" s="214">
        <v>34.156109999999998</v>
      </c>
      <c r="N8" s="214">
        <v>34.156109999999998</v>
      </c>
      <c r="O8" s="214">
        <v>34.156109999999998</v>
      </c>
      <c r="P8" s="214">
        <v>34</v>
      </c>
      <c r="Q8" s="214">
        <v>34</v>
      </c>
      <c r="R8" s="214">
        <v>34</v>
      </c>
      <c r="S8" s="214">
        <v>34</v>
      </c>
      <c r="T8" s="214">
        <v>34</v>
      </c>
      <c r="U8" s="214">
        <v>34</v>
      </c>
      <c r="V8" s="214">
        <v>34</v>
      </c>
      <c r="W8" s="214">
        <v>34</v>
      </c>
      <c r="X8" s="214">
        <v>34</v>
      </c>
      <c r="Y8" s="214">
        <v>34</v>
      </c>
      <c r="Z8" s="214">
        <v>34</v>
      </c>
      <c r="AA8" s="214">
        <v>34</v>
      </c>
      <c r="AB8" s="214">
        <v>34</v>
      </c>
      <c r="AC8" s="214">
        <v>34</v>
      </c>
      <c r="AD8" s="214">
        <v>34</v>
      </c>
      <c r="AE8" s="214">
        <v>34</v>
      </c>
      <c r="AF8" s="214">
        <v>34</v>
      </c>
      <c r="AG8" s="214">
        <v>34</v>
      </c>
      <c r="AH8" s="214">
        <v>34</v>
      </c>
      <c r="AI8" s="214">
        <v>34</v>
      </c>
      <c r="AJ8" s="214">
        <v>34</v>
      </c>
      <c r="AK8" s="214">
        <v>34</v>
      </c>
      <c r="AL8" s="214">
        <v>34</v>
      </c>
      <c r="AM8" s="214">
        <v>34</v>
      </c>
      <c r="AN8" s="214">
        <v>34</v>
      </c>
      <c r="AO8" s="214">
        <v>34</v>
      </c>
      <c r="AP8" s="214">
        <v>34</v>
      </c>
      <c r="AQ8" s="214">
        <v>34</v>
      </c>
      <c r="AR8" s="214">
        <v>34</v>
      </c>
      <c r="AS8" s="214">
        <v>34</v>
      </c>
      <c r="AT8" s="214">
        <v>34</v>
      </c>
      <c r="AU8" s="214">
        <v>34</v>
      </c>
      <c r="AV8" s="214">
        <v>34</v>
      </c>
    </row>
    <row r="9" spans="2:94" x14ac:dyDescent="0.2">
      <c r="B9" s="129" t="s">
        <v>909</v>
      </c>
      <c r="C9" s="118">
        <v>0</v>
      </c>
      <c r="D9" s="118"/>
      <c r="E9" s="118">
        <v>0</v>
      </c>
      <c r="F9" s="118">
        <v>0</v>
      </c>
      <c r="G9" s="118">
        <v>0</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18">
        <v>0</v>
      </c>
      <c r="Y9" s="118">
        <v>0</v>
      </c>
      <c r="Z9" s="118">
        <v>0</v>
      </c>
      <c r="AA9" s="118">
        <v>0</v>
      </c>
      <c r="AB9" s="118">
        <v>0</v>
      </c>
      <c r="AC9" s="118">
        <v>0</v>
      </c>
      <c r="AD9" s="118">
        <v>0</v>
      </c>
      <c r="AE9" s="118">
        <v>0</v>
      </c>
      <c r="AF9" s="118">
        <v>0</v>
      </c>
      <c r="AG9" s="118">
        <v>0</v>
      </c>
      <c r="AH9" s="118">
        <v>0</v>
      </c>
      <c r="AI9" s="118">
        <v>69</v>
      </c>
      <c r="AJ9" s="118">
        <v>37</v>
      </c>
      <c r="AK9" s="118">
        <v>37</v>
      </c>
      <c r="AL9" s="118">
        <v>37</v>
      </c>
      <c r="AM9" s="118">
        <v>37</v>
      </c>
      <c r="AN9" s="118">
        <v>37</v>
      </c>
      <c r="AO9" s="118">
        <v>37</v>
      </c>
      <c r="AP9" s="118">
        <v>0</v>
      </c>
      <c r="AQ9" s="118">
        <v>0</v>
      </c>
      <c r="AR9" s="118">
        <v>0</v>
      </c>
      <c r="AS9" s="118">
        <v>0</v>
      </c>
      <c r="AT9" s="118">
        <v>0</v>
      </c>
      <c r="AU9" s="118">
        <v>0</v>
      </c>
      <c r="AV9" s="118">
        <v>0</v>
      </c>
    </row>
    <row r="10" spans="2:94" x14ac:dyDescent="0.2">
      <c r="B10" s="129" t="s">
        <v>1078</v>
      </c>
      <c r="C10" s="118">
        <v>0</v>
      </c>
      <c r="D10" s="118"/>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214">
        <v>0</v>
      </c>
      <c r="Y10" s="214">
        <v>0</v>
      </c>
      <c r="Z10" s="214">
        <v>0</v>
      </c>
      <c r="AA10" s="214">
        <v>0</v>
      </c>
      <c r="AB10" s="214">
        <v>0</v>
      </c>
      <c r="AC10" s="214">
        <v>127</v>
      </c>
      <c r="AD10" s="214">
        <v>21</v>
      </c>
      <c r="AE10" s="214">
        <v>59</v>
      </c>
      <c r="AF10" s="214">
        <v>1</v>
      </c>
      <c r="AG10" s="214">
        <v>0</v>
      </c>
      <c r="AH10" s="214">
        <v>0</v>
      </c>
      <c r="AI10" s="214">
        <v>0</v>
      </c>
      <c r="AJ10" s="214">
        <v>0</v>
      </c>
      <c r="AK10" s="214">
        <v>0</v>
      </c>
      <c r="AL10" s="214">
        <v>0</v>
      </c>
      <c r="AM10" s="214">
        <v>0</v>
      </c>
      <c r="AN10" s="214">
        <v>0</v>
      </c>
      <c r="AO10" s="214">
        <v>0</v>
      </c>
      <c r="AP10" s="214">
        <v>0</v>
      </c>
      <c r="AQ10" s="214">
        <v>0</v>
      </c>
      <c r="AR10" s="214">
        <v>0</v>
      </c>
      <c r="AS10" s="214">
        <v>116</v>
      </c>
      <c r="AT10" s="214">
        <v>412</v>
      </c>
      <c r="AU10" s="214">
        <v>382</v>
      </c>
      <c r="AV10" s="214">
        <v>382</v>
      </c>
    </row>
    <row r="11" spans="2:94" x14ac:dyDescent="0.2">
      <c r="B11" s="129" t="s">
        <v>49</v>
      </c>
      <c r="C11" s="118">
        <v>0</v>
      </c>
      <c r="D11" s="118"/>
      <c r="E11" s="118">
        <v>0</v>
      </c>
      <c r="F11" s="118">
        <v>0</v>
      </c>
      <c r="G11" s="118">
        <v>0</v>
      </c>
      <c r="H11" s="118">
        <v>0</v>
      </c>
      <c r="I11" s="118">
        <v>0</v>
      </c>
      <c r="J11" s="118">
        <v>0</v>
      </c>
      <c r="K11" s="118">
        <v>0</v>
      </c>
      <c r="L11" s="118">
        <v>0</v>
      </c>
      <c r="M11" s="118">
        <v>0</v>
      </c>
      <c r="N11" s="118">
        <v>0</v>
      </c>
      <c r="O11" s="118">
        <v>0</v>
      </c>
      <c r="P11" s="118">
        <v>0</v>
      </c>
      <c r="Q11" s="118">
        <v>0</v>
      </c>
      <c r="R11" s="118">
        <v>0</v>
      </c>
      <c r="S11" s="118">
        <v>0</v>
      </c>
      <c r="T11" s="118">
        <v>0</v>
      </c>
      <c r="U11" s="118">
        <v>0</v>
      </c>
      <c r="V11" s="118">
        <v>0</v>
      </c>
      <c r="W11" s="118">
        <v>0</v>
      </c>
      <c r="X11" s="118">
        <v>0</v>
      </c>
      <c r="Y11" s="118">
        <v>0</v>
      </c>
      <c r="Z11" s="118">
        <v>0</v>
      </c>
      <c r="AA11" s="118">
        <v>0</v>
      </c>
      <c r="AB11" s="118">
        <v>0</v>
      </c>
      <c r="AC11" s="118">
        <v>0</v>
      </c>
      <c r="AD11" s="118">
        <v>0</v>
      </c>
      <c r="AE11" s="118">
        <v>0</v>
      </c>
      <c r="AF11" s="118">
        <v>0</v>
      </c>
      <c r="AG11" s="118">
        <v>0</v>
      </c>
      <c r="AH11" s="118">
        <v>0</v>
      </c>
      <c r="AI11" s="118">
        <v>75</v>
      </c>
      <c r="AJ11" s="118">
        <v>77</v>
      </c>
      <c r="AK11" s="118">
        <v>78</v>
      </c>
      <c r="AL11" s="118">
        <v>33</v>
      </c>
      <c r="AM11" s="118">
        <v>33</v>
      </c>
      <c r="AN11" s="118">
        <v>33</v>
      </c>
      <c r="AO11" s="118">
        <v>0</v>
      </c>
      <c r="AP11" s="118">
        <v>0</v>
      </c>
      <c r="AQ11" s="118">
        <v>0</v>
      </c>
      <c r="AR11" s="118">
        <v>248</v>
      </c>
      <c r="AS11" s="118">
        <v>256</v>
      </c>
      <c r="AT11" s="118">
        <v>2</v>
      </c>
      <c r="AU11" s="118">
        <v>5</v>
      </c>
      <c r="AV11" s="118">
        <v>19</v>
      </c>
    </row>
    <row r="12" spans="2:94" hidden="1" outlineLevel="1" x14ac:dyDescent="0.2">
      <c r="B12" s="249" t="s">
        <v>434</v>
      </c>
      <c r="C12" s="218">
        <v>0</v>
      </c>
      <c r="D12" s="218"/>
      <c r="E12" s="218"/>
      <c r="F12" s="218">
        <v>0</v>
      </c>
      <c r="G12" s="218">
        <v>0</v>
      </c>
      <c r="H12" s="218">
        <v>0</v>
      </c>
      <c r="I12" s="218">
        <v>0</v>
      </c>
      <c r="J12" s="218">
        <v>0</v>
      </c>
      <c r="K12" s="218">
        <v>0</v>
      </c>
      <c r="L12" s="218">
        <v>0</v>
      </c>
      <c r="M12" s="218">
        <v>0</v>
      </c>
      <c r="N12" s="218">
        <v>0</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c r="AN12" s="218">
        <v>0</v>
      </c>
      <c r="AO12" s="218"/>
      <c r="AP12" s="218">
        <v>0</v>
      </c>
      <c r="AQ12" s="218">
        <v>0</v>
      </c>
      <c r="AR12" s="218"/>
      <c r="AS12" s="218">
        <v>0</v>
      </c>
      <c r="AT12" s="218">
        <v>0</v>
      </c>
      <c r="AU12" s="218">
        <v>0</v>
      </c>
      <c r="AV12" s="218">
        <v>0</v>
      </c>
    </row>
    <row r="13" spans="2:94" hidden="1" outlineLevel="1" x14ac:dyDescent="0.2">
      <c r="B13" s="249" t="s">
        <v>816</v>
      </c>
      <c r="C13" s="218"/>
      <c r="D13" s="218"/>
      <c r="E13" s="218"/>
      <c r="F13" s="218"/>
      <c r="G13" s="218"/>
      <c r="H13" s="218"/>
      <c r="I13" s="218"/>
      <c r="J13" s="218"/>
      <c r="K13" s="218"/>
      <c r="L13" s="218"/>
      <c r="M13" s="218"/>
      <c r="N13" s="218"/>
      <c r="O13" s="218">
        <v>0</v>
      </c>
      <c r="P13" s="218"/>
      <c r="Q13" s="218"/>
      <c r="R13" s="218"/>
      <c r="S13" s="218"/>
      <c r="T13" s="218">
        <v>38</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c r="AN13" s="218">
        <v>0</v>
      </c>
      <c r="AO13" s="218"/>
      <c r="AP13" s="218">
        <v>0</v>
      </c>
      <c r="AQ13" s="218">
        <v>0</v>
      </c>
      <c r="AR13" s="218"/>
      <c r="AS13" s="218">
        <v>0</v>
      </c>
      <c r="AT13" s="218">
        <v>0</v>
      </c>
      <c r="AU13" s="218">
        <v>0</v>
      </c>
      <c r="AV13" s="218">
        <v>0</v>
      </c>
    </row>
    <row r="14" spans="2:94" hidden="1" outlineLevel="1" x14ac:dyDescent="0.2">
      <c r="B14" s="249" t="s">
        <v>442</v>
      </c>
      <c r="C14" s="218">
        <v>1118</v>
      </c>
      <c r="D14" s="218"/>
      <c r="E14" s="218">
        <v>102</v>
      </c>
      <c r="F14" s="218">
        <v>175</v>
      </c>
      <c r="G14" s="218">
        <v>1261</v>
      </c>
      <c r="H14" s="218">
        <v>397</v>
      </c>
      <c r="I14" s="218">
        <v>131</v>
      </c>
      <c r="J14" s="218">
        <v>611</v>
      </c>
      <c r="K14" s="218">
        <v>636</v>
      </c>
      <c r="L14" s="218">
        <v>293</v>
      </c>
      <c r="M14" s="218">
        <v>152.40390999999997</v>
      </c>
      <c r="N14" s="218">
        <v>315.459190000001</v>
      </c>
      <c r="O14" s="218">
        <v>315.459190000001</v>
      </c>
      <c r="P14" s="218">
        <v>192</v>
      </c>
      <c r="Q14" s="218">
        <v>3</v>
      </c>
      <c r="R14" s="218">
        <v>1</v>
      </c>
      <c r="S14" s="218">
        <v>1</v>
      </c>
      <c r="T14" s="218">
        <v>1</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c r="AN14" s="218">
        <v>0</v>
      </c>
      <c r="AO14" s="218"/>
      <c r="AP14" s="218">
        <v>0</v>
      </c>
      <c r="AQ14" s="218">
        <v>0</v>
      </c>
      <c r="AR14" s="218"/>
      <c r="AS14" s="218">
        <v>0</v>
      </c>
      <c r="AT14" s="218">
        <v>0</v>
      </c>
      <c r="AU14" s="218">
        <v>0</v>
      </c>
      <c r="AV14" s="218">
        <v>0</v>
      </c>
    </row>
    <row r="15" spans="2:94" ht="12.75" hidden="1" customHeight="1" outlineLevel="1" x14ac:dyDescent="0.2">
      <c r="B15" s="249" t="s">
        <v>435</v>
      </c>
      <c r="C15" s="218">
        <v>0</v>
      </c>
      <c r="D15" s="218"/>
      <c r="E15" s="218">
        <v>105</v>
      </c>
      <c r="F15" s="218">
        <v>23</v>
      </c>
      <c r="G15" s="218">
        <v>0</v>
      </c>
      <c r="H15" s="218">
        <v>0</v>
      </c>
      <c r="I15" s="218">
        <v>0</v>
      </c>
      <c r="J15" s="218">
        <v>0</v>
      </c>
      <c r="K15" s="218">
        <v>0</v>
      </c>
      <c r="L15" s="218">
        <v>0</v>
      </c>
      <c r="M15" s="218">
        <v>0</v>
      </c>
      <c r="N15" s="218">
        <v>0</v>
      </c>
      <c r="O15" s="218">
        <v>0</v>
      </c>
      <c r="P15" s="218">
        <v>133</v>
      </c>
      <c r="Q15" s="218">
        <v>594</v>
      </c>
      <c r="R15" s="218">
        <v>1077</v>
      </c>
      <c r="S15" s="218">
        <v>3477</v>
      </c>
      <c r="T15" s="218">
        <v>2072</v>
      </c>
      <c r="U15" s="218">
        <v>2785</v>
      </c>
      <c r="V15" s="218">
        <v>19</v>
      </c>
      <c r="W15" s="218">
        <v>405</v>
      </c>
      <c r="X15" s="218">
        <v>435</v>
      </c>
      <c r="Y15" s="218">
        <v>25</v>
      </c>
      <c r="Z15" s="218">
        <v>14</v>
      </c>
      <c r="AA15" s="218">
        <v>46</v>
      </c>
      <c r="AB15" s="218">
        <v>39</v>
      </c>
      <c r="AC15" s="218">
        <v>13</v>
      </c>
      <c r="AD15" s="218">
        <v>0</v>
      </c>
      <c r="AE15" s="218">
        <v>0</v>
      </c>
      <c r="AF15" s="218">
        <v>0</v>
      </c>
      <c r="AG15" s="218">
        <v>0</v>
      </c>
      <c r="AH15" s="218">
        <v>0</v>
      </c>
      <c r="AI15" s="218">
        <v>0</v>
      </c>
      <c r="AJ15" s="218">
        <v>0</v>
      </c>
      <c r="AK15" s="218">
        <v>0</v>
      </c>
      <c r="AL15" s="218">
        <v>0</v>
      </c>
      <c r="AM15" s="218">
        <v>0</v>
      </c>
      <c r="AN15" s="218">
        <v>0</v>
      </c>
      <c r="AO15" s="218"/>
      <c r="AP15" s="218">
        <v>0</v>
      </c>
      <c r="AQ15" s="218">
        <v>0</v>
      </c>
      <c r="AR15" s="218"/>
      <c r="AS15" s="218">
        <v>0</v>
      </c>
      <c r="AT15" s="218">
        <v>0</v>
      </c>
      <c r="AU15" s="218">
        <v>0</v>
      </c>
      <c r="AV15" s="218">
        <v>0</v>
      </c>
    </row>
    <row r="16" spans="2:94" hidden="1" outlineLevel="1" x14ac:dyDescent="0.2">
      <c r="B16" s="249" t="s">
        <v>857</v>
      </c>
      <c r="C16" s="218">
        <v>0</v>
      </c>
      <c r="D16" s="218"/>
      <c r="E16" s="218">
        <v>0</v>
      </c>
      <c r="F16" s="218">
        <v>0</v>
      </c>
      <c r="G16" s="218">
        <v>0</v>
      </c>
      <c r="H16" s="1129">
        <v>0</v>
      </c>
      <c r="I16" s="1129">
        <v>0</v>
      </c>
      <c r="J16" s="1129">
        <v>0</v>
      </c>
      <c r="K16" s="1129">
        <v>0</v>
      </c>
      <c r="L16" s="1129">
        <v>0</v>
      </c>
      <c r="M16" s="1129">
        <v>0</v>
      </c>
      <c r="N16" s="1129">
        <v>0</v>
      </c>
      <c r="O16" s="1129">
        <v>0</v>
      </c>
      <c r="P16" s="1129">
        <v>0</v>
      </c>
      <c r="Q16" s="1129">
        <v>0</v>
      </c>
      <c r="R16" s="1129">
        <v>0</v>
      </c>
      <c r="S16" s="1129">
        <v>0</v>
      </c>
      <c r="T16" s="1129">
        <v>0</v>
      </c>
      <c r="U16" s="1129">
        <v>2</v>
      </c>
      <c r="V16" s="1129">
        <v>1</v>
      </c>
      <c r="W16" s="1129">
        <v>1</v>
      </c>
      <c r="X16" s="1129">
        <v>0</v>
      </c>
      <c r="Y16" s="1129">
        <v>0</v>
      </c>
      <c r="Z16" s="1129">
        <v>1</v>
      </c>
      <c r="AA16" s="1129">
        <v>1</v>
      </c>
      <c r="AB16" s="1129">
        <v>1</v>
      </c>
      <c r="AC16" s="1129">
        <v>1</v>
      </c>
      <c r="AD16" s="1129">
        <v>1</v>
      </c>
      <c r="AE16" s="1129">
        <v>0</v>
      </c>
      <c r="AF16" s="1129">
        <v>0</v>
      </c>
      <c r="AG16" s="1129">
        <v>0</v>
      </c>
      <c r="AH16" s="1129">
        <v>0</v>
      </c>
      <c r="AI16" s="1129">
        <v>0</v>
      </c>
      <c r="AJ16" s="1129">
        <v>0</v>
      </c>
      <c r="AK16" s="1129">
        <v>0</v>
      </c>
      <c r="AL16" s="1129">
        <v>0</v>
      </c>
      <c r="AM16" s="1129">
        <v>0</v>
      </c>
      <c r="AN16" s="1129">
        <v>0</v>
      </c>
      <c r="AO16" s="1129"/>
      <c r="AP16" s="1129">
        <v>0</v>
      </c>
      <c r="AQ16" s="1129">
        <v>0</v>
      </c>
      <c r="AR16" s="1129"/>
      <c r="AS16" s="1129">
        <v>0</v>
      </c>
      <c r="AT16" s="1129">
        <v>0</v>
      </c>
      <c r="AU16" s="1129">
        <v>0</v>
      </c>
      <c r="AV16" s="1129">
        <v>0</v>
      </c>
    </row>
    <row r="17" spans="2:48" hidden="1" outlineLevel="1" x14ac:dyDescent="0.2">
      <c r="B17" s="249" t="s">
        <v>436</v>
      </c>
      <c r="C17" s="218">
        <v>0</v>
      </c>
      <c r="D17" s="218"/>
      <c r="E17" s="218">
        <v>66</v>
      </c>
      <c r="F17" s="218">
        <v>4</v>
      </c>
      <c r="G17" s="218">
        <v>0</v>
      </c>
      <c r="H17" s="218">
        <v>0</v>
      </c>
      <c r="I17" s="218">
        <v>0</v>
      </c>
      <c r="J17" s="218">
        <v>0</v>
      </c>
      <c r="K17" s="218">
        <v>0</v>
      </c>
      <c r="L17" s="218">
        <v>0</v>
      </c>
      <c r="M17" s="218">
        <v>0</v>
      </c>
      <c r="N17" s="218">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c r="AN17" s="218">
        <v>0</v>
      </c>
      <c r="AO17" s="218"/>
      <c r="AP17" s="218">
        <v>0</v>
      </c>
      <c r="AQ17" s="218">
        <v>0</v>
      </c>
      <c r="AR17" s="218"/>
      <c r="AS17" s="218">
        <v>0</v>
      </c>
      <c r="AT17" s="218">
        <v>0</v>
      </c>
      <c r="AU17" s="218">
        <v>0</v>
      </c>
      <c r="AV17" s="218">
        <v>0</v>
      </c>
    </row>
    <row r="18" spans="2:48" hidden="1" outlineLevel="1" x14ac:dyDescent="0.2">
      <c r="B18" s="249" t="s">
        <v>1165</v>
      </c>
      <c r="C18" s="218">
        <v>0</v>
      </c>
      <c r="D18" s="218"/>
      <c r="E18" s="218">
        <v>0</v>
      </c>
      <c r="F18" s="218">
        <v>0</v>
      </c>
      <c r="G18" s="218">
        <v>0</v>
      </c>
      <c r="H18" s="218">
        <v>0</v>
      </c>
      <c r="I18" s="218">
        <v>0</v>
      </c>
      <c r="J18" s="218">
        <v>0</v>
      </c>
      <c r="K18" s="218">
        <v>0</v>
      </c>
      <c r="L18" s="218">
        <v>0</v>
      </c>
      <c r="M18" s="218">
        <v>0</v>
      </c>
      <c r="N18" s="218">
        <v>0</v>
      </c>
      <c r="O18" s="218">
        <v>0</v>
      </c>
      <c r="P18" s="218">
        <v>0</v>
      </c>
      <c r="Q18" s="218">
        <v>0</v>
      </c>
      <c r="R18" s="218">
        <v>0</v>
      </c>
      <c r="S18" s="218">
        <v>0</v>
      </c>
      <c r="T18" s="218">
        <v>0</v>
      </c>
      <c r="U18" s="218">
        <v>0</v>
      </c>
      <c r="V18" s="218">
        <v>0</v>
      </c>
      <c r="W18" s="218">
        <v>0</v>
      </c>
      <c r="X18" s="218">
        <v>0</v>
      </c>
      <c r="Y18" s="218">
        <v>0</v>
      </c>
      <c r="Z18" s="218">
        <v>0</v>
      </c>
      <c r="AA18" s="218">
        <v>0</v>
      </c>
      <c r="AB18" s="218">
        <v>0</v>
      </c>
      <c r="AC18" s="218">
        <v>0</v>
      </c>
      <c r="AD18" s="218">
        <v>0</v>
      </c>
      <c r="AE18" s="218">
        <v>0</v>
      </c>
      <c r="AF18" s="218">
        <v>0</v>
      </c>
      <c r="AG18" s="218">
        <v>0</v>
      </c>
      <c r="AH18" s="218">
        <v>0</v>
      </c>
      <c r="AI18" s="218">
        <v>0</v>
      </c>
      <c r="AJ18" s="218">
        <v>0</v>
      </c>
      <c r="AK18" s="218">
        <v>0</v>
      </c>
      <c r="AL18" s="218">
        <v>0</v>
      </c>
      <c r="AM18" s="218">
        <v>0</v>
      </c>
      <c r="AN18" s="218">
        <v>0</v>
      </c>
      <c r="AO18" s="218"/>
      <c r="AP18" s="218">
        <v>0</v>
      </c>
      <c r="AQ18" s="218">
        <v>0</v>
      </c>
      <c r="AR18" s="218"/>
      <c r="AS18" s="218">
        <v>0</v>
      </c>
      <c r="AT18" s="218">
        <v>0</v>
      </c>
      <c r="AU18" s="218">
        <v>0</v>
      </c>
      <c r="AV18" s="218">
        <v>0</v>
      </c>
    </row>
    <row r="19" spans="2:48" ht="14.25" hidden="1" customHeight="1" outlineLevel="1" x14ac:dyDescent="0.2">
      <c r="B19" s="249" t="s">
        <v>437</v>
      </c>
      <c r="C19" s="218">
        <v>0</v>
      </c>
      <c r="D19" s="218"/>
      <c r="E19" s="218"/>
      <c r="F19" s="218">
        <v>0</v>
      </c>
      <c r="G19" s="218">
        <v>0</v>
      </c>
      <c r="H19" s="218">
        <v>0</v>
      </c>
      <c r="I19" s="218">
        <v>0</v>
      </c>
      <c r="J19" s="218">
        <v>0</v>
      </c>
      <c r="K19" s="218">
        <v>0</v>
      </c>
      <c r="L19" s="218">
        <v>0</v>
      </c>
      <c r="M19" s="218">
        <v>0</v>
      </c>
      <c r="N19" s="218">
        <v>0</v>
      </c>
      <c r="O19" s="218">
        <v>0</v>
      </c>
      <c r="P19" s="218">
        <v>0</v>
      </c>
      <c r="Q19" s="218">
        <v>0</v>
      </c>
      <c r="R19" s="218">
        <v>0</v>
      </c>
      <c r="S19" s="218">
        <v>0</v>
      </c>
      <c r="T19" s="218">
        <v>0</v>
      </c>
      <c r="U19" s="218">
        <v>0</v>
      </c>
      <c r="V19" s="218">
        <v>0</v>
      </c>
      <c r="W19" s="218">
        <v>0</v>
      </c>
      <c r="X19" s="218">
        <v>1</v>
      </c>
      <c r="Y19" s="218">
        <v>1</v>
      </c>
      <c r="Z19" s="218">
        <v>0</v>
      </c>
      <c r="AA19" s="218">
        <v>0</v>
      </c>
      <c r="AB19" s="218">
        <v>0</v>
      </c>
      <c r="AC19" s="218">
        <v>0</v>
      </c>
      <c r="AD19" s="218">
        <v>0</v>
      </c>
      <c r="AE19" s="218">
        <v>0</v>
      </c>
      <c r="AF19" s="218">
        <v>0</v>
      </c>
      <c r="AG19" s="218">
        <v>0</v>
      </c>
      <c r="AH19" s="218">
        <v>0</v>
      </c>
      <c r="AI19" s="218">
        <v>0</v>
      </c>
      <c r="AJ19" s="218">
        <v>0</v>
      </c>
      <c r="AK19" s="218">
        <v>0</v>
      </c>
      <c r="AL19" s="218">
        <v>0</v>
      </c>
      <c r="AM19" s="218">
        <v>0</v>
      </c>
      <c r="AN19" s="218">
        <v>0</v>
      </c>
      <c r="AO19" s="218"/>
      <c r="AP19" s="218">
        <v>0</v>
      </c>
      <c r="AQ19" s="218">
        <v>0</v>
      </c>
      <c r="AR19" s="218"/>
      <c r="AS19" s="218">
        <v>0</v>
      </c>
      <c r="AT19" s="218">
        <v>0</v>
      </c>
      <c r="AU19" s="218">
        <v>0</v>
      </c>
      <c r="AV19" s="218">
        <v>0</v>
      </c>
    </row>
    <row r="20" spans="2:48" collapsed="1" x14ac:dyDescent="0.2">
      <c r="B20" s="206" t="s">
        <v>433</v>
      </c>
      <c r="C20" s="207">
        <f t="shared" ref="C20:AM20" si="0">SUM(C6:C11)</f>
        <v>11368</v>
      </c>
      <c r="D20" s="207"/>
      <c r="E20" s="207">
        <f t="shared" si="0"/>
        <v>1101</v>
      </c>
      <c r="F20" s="207">
        <f t="shared" si="0"/>
        <v>382</v>
      </c>
      <c r="G20" s="207">
        <f t="shared" si="0"/>
        <v>590</v>
      </c>
      <c r="H20" s="207">
        <f t="shared" si="0"/>
        <v>401</v>
      </c>
      <c r="I20" s="207">
        <f t="shared" si="0"/>
        <v>203</v>
      </c>
      <c r="J20" s="207">
        <f t="shared" si="0"/>
        <v>199</v>
      </c>
      <c r="K20" s="207">
        <f t="shared" si="0"/>
        <v>134</v>
      </c>
      <c r="L20" s="207">
        <f t="shared" si="0"/>
        <v>220</v>
      </c>
      <c r="M20" s="207">
        <f t="shared" si="0"/>
        <v>309.8438899999997</v>
      </c>
      <c r="N20" s="207">
        <f t="shared" si="0"/>
        <v>298.62268999999986</v>
      </c>
      <c r="O20" s="207">
        <f t="shared" si="0"/>
        <v>298.62268999999986</v>
      </c>
      <c r="P20" s="207">
        <f t="shared" si="0"/>
        <v>277</v>
      </c>
      <c r="Q20" s="207">
        <f t="shared" si="0"/>
        <v>328</v>
      </c>
      <c r="R20" s="207">
        <f t="shared" si="0"/>
        <v>429</v>
      </c>
      <c r="S20" s="207">
        <f t="shared" si="0"/>
        <v>599</v>
      </c>
      <c r="T20" s="207">
        <f t="shared" si="0"/>
        <v>615</v>
      </c>
      <c r="U20" s="207">
        <f t="shared" si="0"/>
        <v>213</v>
      </c>
      <c r="V20" s="207">
        <f t="shared" si="0"/>
        <v>181</v>
      </c>
      <c r="W20" s="207">
        <f t="shared" si="0"/>
        <v>278</v>
      </c>
      <c r="X20" s="207">
        <f t="shared" si="0"/>
        <v>122</v>
      </c>
      <c r="Y20" s="207">
        <f t="shared" si="0"/>
        <v>86</v>
      </c>
      <c r="Z20" s="207">
        <f t="shared" si="0"/>
        <v>112</v>
      </c>
      <c r="AA20" s="207">
        <f t="shared" si="0"/>
        <v>135</v>
      </c>
      <c r="AB20" s="207">
        <f t="shared" si="0"/>
        <v>202</v>
      </c>
      <c r="AC20" s="207">
        <f t="shared" si="0"/>
        <v>225</v>
      </c>
      <c r="AD20" s="207">
        <f t="shared" si="0"/>
        <v>92</v>
      </c>
      <c r="AE20" s="207">
        <f t="shared" si="0"/>
        <v>94</v>
      </c>
      <c r="AF20" s="207">
        <f t="shared" si="0"/>
        <v>35</v>
      </c>
      <c r="AG20" s="207">
        <f t="shared" si="0"/>
        <v>35</v>
      </c>
      <c r="AH20" s="207">
        <f t="shared" si="0"/>
        <v>34</v>
      </c>
      <c r="AI20" s="207">
        <f t="shared" si="0"/>
        <v>181</v>
      </c>
      <c r="AJ20" s="207">
        <f t="shared" si="0"/>
        <v>197</v>
      </c>
      <c r="AK20" s="207">
        <f t="shared" si="0"/>
        <v>347</v>
      </c>
      <c r="AL20" s="207">
        <f t="shared" si="0"/>
        <v>268</v>
      </c>
      <c r="AM20" s="207">
        <f t="shared" si="0"/>
        <v>292</v>
      </c>
      <c r="AN20" s="207">
        <f t="shared" ref="AN20:AS20" si="1">SUM(AN6:AN11)</f>
        <v>378</v>
      </c>
      <c r="AO20" s="207">
        <f t="shared" si="1"/>
        <v>435</v>
      </c>
      <c r="AP20" s="207">
        <f t="shared" si="1"/>
        <v>1027</v>
      </c>
      <c r="AQ20" s="207">
        <f t="shared" si="1"/>
        <v>537</v>
      </c>
      <c r="AR20" s="207">
        <f t="shared" si="1"/>
        <v>1030</v>
      </c>
      <c r="AS20" s="207">
        <f t="shared" si="1"/>
        <v>1002</v>
      </c>
      <c r="AT20" s="207">
        <f>SUM(AT6:AT11)</f>
        <v>1040</v>
      </c>
      <c r="AU20" s="207">
        <f>SUM(AU6:AU11)</f>
        <v>1087</v>
      </c>
      <c r="AV20" s="207">
        <f>SUM(AV6:AV11)</f>
        <v>805</v>
      </c>
    </row>
    <row r="21" spans="2:48" x14ac:dyDescent="0.2">
      <c r="B21" s="129" t="s">
        <v>439</v>
      </c>
      <c r="C21" s="118">
        <v>124</v>
      </c>
      <c r="D21" s="118"/>
      <c r="E21" s="118">
        <v>124</v>
      </c>
      <c r="F21" s="118">
        <v>124</v>
      </c>
      <c r="G21" s="118">
        <v>124</v>
      </c>
      <c r="H21" s="214">
        <v>124</v>
      </c>
      <c r="I21" s="214">
        <v>0</v>
      </c>
      <c r="J21" s="214">
        <v>0</v>
      </c>
      <c r="K21" s="214">
        <v>0</v>
      </c>
      <c r="L21" s="214">
        <v>0</v>
      </c>
      <c r="M21" s="214">
        <v>0</v>
      </c>
      <c r="N21" s="214">
        <v>0</v>
      </c>
      <c r="O21" s="214">
        <v>0</v>
      </c>
      <c r="P21" s="214">
        <v>0</v>
      </c>
      <c r="Q21" s="214">
        <v>0</v>
      </c>
      <c r="R21" s="214">
        <v>0</v>
      </c>
      <c r="S21" s="214">
        <v>0</v>
      </c>
      <c r="T21" s="214">
        <v>0</v>
      </c>
      <c r="U21" s="214">
        <v>0</v>
      </c>
      <c r="V21" s="214">
        <v>0</v>
      </c>
      <c r="W21" s="214">
        <v>0</v>
      </c>
      <c r="X21" s="214">
        <v>0</v>
      </c>
      <c r="Y21" s="214">
        <v>0</v>
      </c>
      <c r="Z21" s="214">
        <v>0</v>
      </c>
      <c r="AA21" s="214">
        <v>0</v>
      </c>
      <c r="AB21" s="214">
        <v>0</v>
      </c>
      <c r="AC21" s="214"/>
      <c r="AD21" s="214"/>
      <c r="AE21" s="214"/>
      <c r="AF21" s="214">
        <v>0</v>
      </c>
      <c r="AG21" s="214">
        <v>0</v>
      </c>
      <c r="AH21" s="214">
        <v>0</v>
      </c>
      <c r="AI21" s="214">
        <v>0</v>
      </c>
      <c r="AJ21" s="214">
        <v>0</v>
      </c>
      <c r="AK21" s="214">
        <v>0</v>
      </c>
      <c r="AL21" s="214">
        <v>0</v>
      </c>
      <c r="AM21" s="214">
        <v>0</v>
      </c>
      <c r="AN21" s="214">
        <v>0</v>
      </c>
      <c r="AO21" s="214" t="s">
        <v>160</v>
      </c>
      <c r="AP21" s="214">
        <v>0</v>
      </c>
      <c r="AQ21" s="214">
        <v>0</v>
      </c>
      <c r="AR21" s="214">
        <v>0</v>
      </c>
      <c r="AS21" s="214">
        <v>0</v>
      </c>
      <c r="AT21" s="214">
        <v>0</v>
      </c>
      <c r="AU21" s="214">
        <v>0</v>
      </c>
      <c r="AV21" s="214">
        <v>0</v>
      </c>
    </row>
    <row r="22" spans="2:48" x14ac:dyDescent="0.2">
      <c r="B22" s="129" t="s">
        <v>1166</v>
      </c>
      <c r="C22" s="118" t="s">
        <v>160</v>
      </c>
      <c r="D22" s="118"/>
      <c r="E22" s="118" t="s">
        <v>160</v>
      </c>
      <c r="F22" s="118" t="s">
        <v>160</v>
      </c>
      <c r="G22" s="118" t="s">
        <v>160</v>
      </c>
      <c r="H22" s="118" t="s">
        <v>160</v>
      </c>
      <c r="I22" s="118" t="s">
        <v>160</v>
      </c>
      <c r="J22" s="118" t="s">
        <v>160</v>
      </c>
      <c r="K22" s="118" t="s">
        <v>160</v>
      </c>
      <c r="L22" s="118" t="s">
        <v>160</v>
      </c>
      <c r="M22" s="118" t="s">
        <v>160</v>
      </c>
      <c r="N22" s="118" t="s">
        <v>160</v>
      </c>
      <c r="O22" s="118">
        <v>0</v>
      </c>
      <c r="P22" s="118" t="s">
        <v>160</v>
      </c>
      <c r="Q22" s="118" t="s">
        <v>160</v>
      </c>
      <c r="R22" s="118">
        <v>17713</v>
      </c>
      <c r="S22" s="118">
        <v>15626</v>
      </c>
      <c r="T22" s="118">
        <v>15964</v>
      </c>
      <c r="U22" s="261">
        <v>3371</v>
      </c>
      <c r="V22" s="118">
        <v>3676</v>
      </c>
      <c r="W22" s="118">
        <v>1115</v>
      </c>
      <c r="X22" s="118">
        <v>1115</v>
      </c>
      <c r="Y22" s="118">
        <v>1115</v>
      </c>
      <c r="Z22" s="118">
        <v>1115</v>
      </c>
      <c r="AA22" s="118">
        <v>1115</v>
      </c>
      <c r="AB22" s="118">
        <v>1115</v>
      </c>
      <c r="AC22" s="118">
        <f>+AB22</f>
        <v>1115</v>
      </c>
      <c r="AD22" s="118">
        <f>+AC22</f>
        <v>1115</v>
      </c>
      <c r="AE22" s="118">
        <f>+AD22</f>
        <v>1115</v>
      </c>
      <c r="AF22" s="118">
        <v>1115</v>
      </c>
      <c r="AG22" s="118">
        <v>1115</v>
      </c>
      <c r="AH22" s="118">
        <v>1115</v>
      </c>
      <c r="AI22" s="118">
        <v>1115</v>
      </c>
      <c r="AJ22" s="118">
        <v>1115</v>
      </c>
      <c r="AK22" s="118">
        <v>1115</v>
      </c>
      <c r="AL22" s="118">
        <v>1115</v>
      </c>
      <c r="AM22" s="118">
        <v>1115</v>
      </c>
      <c r="AN22" s="118">
        <v>1115</v>
      </c>
      <c r="AO22" s="118">
        <v>1115</v>
      </c>
      <c r="AP22" s="118">
        <v>1115</v>
      </c>
      <c r="AQ22" s="118">
        <v>1115</v>
      </c>
      <c r="AR22" s="118">
        <v>1115</v>
      </c>
      <c r="AS22" s="118">
        <v>1115</v>
      </c>
      <c r="AT22" s="118">
        <v>1115</v>
      </c>
      <c r="AU22" s="118">
        <v>1115</v>
      </c>
      <c r="AV22" s="118">
        <v>1115</v>
      </c>
    </row>
    <row r="23" spans="2:48" x14ac:dyDescent="0.2">
      <c r="B23" s="206" t="s">
        <v>37</v>
      </c>
      <c r="C23" s="207">
        <f t="shared" ref="C23:W23" si="2">SUM(C21:C22)</f>
        <v>124</v>
      </c>
      <c r="D23" s="207"/>
      <c r="E23" s="207">
        <f t="shared" si="2"/>
        <v>124</v>
      </c>
      <c r="F23" s="207">
        <f t="shared" si="2"/>
        <v>124</v>
      </c>
      <c r="G23" s="207">
        <f t="shared" si="2"/>
        <v>124</v>
      </c>
      <c r="H23" s="207">
        <f t="shared" si="2"/>
        <v>124</v>
      </c>
      <c r="I23" s="207">
        <f t="shared" si="2"/>
        <v>0</v>
      </c>
      <c r="J23" s="207">
        <f t="shared" si="2"/>
        <v>0</v>
      </c>
      <c r="K23" s="207">
        <f t="shared" si="2"/>
        <v>0</v>
      </c>
      <c r="L23" s="207">
        <f t="shared" si="2"/>
        <v>0</v>
      </c>
      <c r="M23" s="207">
        <f t="shared" si="2"/>
        <v>0</v>
      </c>
      <c r="N23" s="207">
        <f t="shared" si="2"/>
        <v>0</v>
      </c>
      <c r="O23" s="207">
        <f t="shared" si="2"/>
        <v>0</v>
      </c>
      <c r="P23" s="207">
        <f t="shared" si="2"/>
        <v>0</v>
      </c>
      <c r="Q23" s="207">
        <f t="shared" si="2"/>
        <v>0</v>
      </c>
      <c r="R23" s="207">
        <f t="shared" si="2"/>
        <v>17713</v>
      </c>
      <c r="S23" s="207">
        <f t="shared" si="2"/>
        <v>15626</v>
      </c>
      <c r="T23" s="207">
        <f t="shared" si="2"/>
        <v>15964</v>
      </c>
      <c r="U23" s="207">
        <f t="shared" si="2"/>
        <v>3371</v>
      </c>
      <c r="V23" s="207">
        <f t="shared" si="2"/>
        <v>3676</v>
      </c>
      <c r="W23" s="207">
        <f t="shared" si="2"/>
        <v>1115</v>
      </c>
      <c r="X23" s="207">
        <f t="shared" ref="X23:AG23" si="3">SUM(X21:X22)</f>
        <v>1115</v>
      </c>
      <c r="Y23" s="207">
        <f t="shared" si="3"/>
        <v>1115</v>
      </c>
      <c r="Z23" s="207">
        <f t="shared" si="3"/>
        <v>1115</v>
      </c>
      <c r="AA23" s="207">
        <f t="shared" si="3"/>
        <v>1115</v>
      </c>
      <c r="AB23" s="207">
        <f t="shared" si="3"/>
        <v>1115</v>
      </c>
      <c r="AC23" s="207">
        <f t="shared" si="3"/>
        <v>1115</v>
      </c>
      <c r="AD23" s="207">
        <f t="shared" si="3"/>
        <v>1115</v>
      </c>
      <c r="AE23" s="207">
        <f t="shared" si="3"/>
        <v>1115</v>
      </c>
      <c r="AF23" s="207">
        <f t="shared" si="3"/>
        <v>1115</v>
      </c>
      <c r="AG23" s="207">
        <f t="shared" si="3"/>
        <v>1115</v>
      </c>
      <c r="AH23" s="207">
        <f t="shared" ref="AH23:AN23" si="4">SUM(AH21:AH22)</f>
        <v>1115</v>
      </c>
      <c r="AI23" s="207">
        <f t="shared" si="4"/>
        <v>1115</v>
      </c>
      <c r="AJ23" s="207">
        <f t="shared" si="4"/>
        <v>1115</v>
      </c>
      <c r="AK23" s="207">
        <f t="shared" si="4"/>
        <v>1115</v>
      </c>
      <c r="AL23" s="207">
        <f t="shared" si="4"/>
        <v>1115</v>
      </c>
      <c r="AM23" s="207">
        <f t="shared" si="4"/>
        <v>1115</v>
      </c>
      <c r="AN23" s="207">
        <f t="shared" si="4"/>
        <v>1115</v>
      </c>
      <c r="AO23" s="207">
        <f t="shared" ref="AO23:AT23" si="5">SUM(AO21:AO22)</f>
        <v>1115</v>
      </c>
      <c r="AP23" s="207">
        <f t="shared" si="5"/>
        <v>1115</v>
      </c>
      <c r="AQ23" s="207">
        <f t="shared" si="5"/>
        <v>1115</v>
      </c>
      <c r="AR23" s="207">
        <f t="shared" si="5"/>
        <v>1115</v>
      </c>
      <c r="AS23" s="207">
        <f t="shared" si="5"/>
        <v>1115</v>
      </c>
      <c r="AT23" s="207">
        <f t="shared" si="5"/>
        <v>1115</v>
      </c>
      <c r="AU23" s="207">
        <f>SUM(AU21:AU22)</f>
        <v>1115</v>
      </c>
      <c r="AV23" s="207">
        <f>SUM(AV21:AV22)</f>
        <v>1115</v>
      </c>
    </row>
    <row r="24" spans="2:48" x14ac:dyDescent="0.2">
      <c r="B24" s="129" t="s">
        <v>857</v>
      </c>
      <c r="C24" s="118">
        <v>0</v>
      </c>
      <c r="D24" s="118"/>
      <c r="E24" s="118">
        <v>0</v>
      </c>
      <c r="F24" s="118">
        <v>0</v>
      </c>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1400</v>
      </c>
      <c r="X24" s="118">
        <v>1400</v>
      </c>
      <c r="Y24" s="118">
        <v>1400</v>
      </c>
      <c r="Z24" s="118">
        <v>1400</v>
      </c>
      <c r="AA24" s="118">
        <v>756</v>
      </c>
      <c r="AB24" s="118">
        <v>765</v>
      </c>
      <c r="AC24" s="118">
        <v>777</v>
      </c>
      <c r="AD24" s="118">
        <v>278</v>
      </c>
      <c r="AE24" s="118">
        <v>0</v>
      </c>
      <c r="AF24" s="118">
        <v>0</v>
      </c>
      <c r="AG24" s="118">
        <v>0</v>
      </c>
      <c r="AH24" s="118">
        <v>0</v>
      </c>
      <c r="AI24" s="118">
        <v>0</v>
      </c>
      <c r="AJ24" s="118">
        <v>0</v>
      </c>
      <c r="AK24" s="118">
        <v>0</v>
      </c>
      <c r="AL24" s="118">
        <v>0</v>
      </c>
      <c r="AM24" s="118">
        <v>0</v>
      </c>
      <c r="AN24" s="118">
        <v>0</v>
      </c>
      <c r="AO24" s="118">
        <v>0</v>
      </c>
      <c r="AP24" s="118">
        <v>0</v>
      </c>
      <c r="AQ24" s="118">
        <v>0</v>
      </c>
      <c r="AR24" s="118">
        <v>0</v>
      </c>
      <c r="AS24" s="118">
        <v>0</v>
      </c>
      <c r="AT24" s="118">
        <v>0</v>
      </c>
      <c r="AU24" s="118">
        <v>0</v>
      </c>
      <c r="AV24" s="118">
        <v>0</v>
      </c>
    </row>
    <row r="25" spans="2:48" x14ac:dyDescent="0.2">
      <c r="B25" s="129" t="s">
        <v>898</v>
      </c>
      <c r="C25" s="118">
        <v>0</v>
      </c>
      <c r="D25" s="118"/>
      <c r="E25" s="118">
        <v>0</v>
      </c>
      <c r="F25" s="118">
        <v>0</v>
      </c>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1200</v>
      </c>
      <c r="X25" s="118">
        <v>2200</v>
      </c>
      <c r="Y25" s="118">
        <v>3200</v>
      </c>
      <c r="Z25" s="118">
        <v>3200</v>
      </c>
      <c r="AA25" s="118">
        <v>3200</v>
      </c>
      <c r="AB25" s="118">
        <v>3200</v>
      </c>
      <c r="AC25" s="118">
        <v>3476</v>
      </c>
      <c r="AD25" s="118">
        <v>3546</v>
      </c>
      <c r="AE25" s="118">
        <v>3636</v>
      </c>
      <c r="AF25" s="118">
        <v>3753</v>
      </c>
      <c r="AG25" s="118">
        <v>0</v>
      </c>
      <c r="AH25" s="118">
        <v>0</v>
      </c>
      <c r="AI25" s="118">
        <v>0</v>
      </c>
      <c r="AJ25" s="118">
        <v>0</v>
      </c>
      <c r="AK25" s="118">
        <v>0</v>
      </c>
      <c r="AL25" s="118">
        <v>0</v>
      </c>
      <c r="AM25" s="118">
        <v>0</v>
      </c>
      <c r="AN25" s="118">
        <v>0</v>
      </c>
      <c r="AO25" s="118">
        <v>0</v>
      </c>
      <c r="AP25" s="118">
        <v>0</v>
      </c>
      <c r="AQ25" s="118">
        <v>0</v>
      </c>
      <c r="AR25" s="118">
        <v>0</v>
      </c>
      <c r="AS25" s="118">
        <v>0</v>
      </c>
      <c r="AT25" s="118">
        <v>0</v>
      </c>
      <c r="AU25" s="118">
        <v>0</v>
      </c>
      <c r="AV25" s="118">
        <v>0</v>
      </c>
    </row>
    <row r="26" spans="2:48" x14ac:dyDescent="0.2">
      <c r="B26" s="206" t="s">
        <v>866</v>
      </c>
      <c r="C26" s="207">
        <f>SUM(C24:C25)</f>
        <v>0</v>
      </c>
      <c r="D26" s="207"/>
      <c r="E26" s="207">
        <f t="shared" ref="E26:W26" si="6">SUM(E24:E25)</f>
        <v>0</v>
      </c>
      <c r="F26" s="207">
        <f t="shared" si="6"/>
        <v>0</v>
      </c>
      <c r="G26" s="207">
        <f t="shared" si="6"/>
        <v>0</v>
      </c>
      <c r="H26" s="207">
        <f t="shared" si="6"/>
        <v>0</v>
      </c>
      <c r="I26" s="207">
        <f t="shared" si="6"/>
        <v>0</v>
      </c>
      <c r="J26" s="207">
        <f t="shared" si="6"/>
        <v>0</v>
      </c>
      <c r="K26" s="207">
        <f t="shared" si="6"/>
        <v>0</v>
      </c>
      <c r="L26" s="207">
        <f t="shared" si="6"/>
        <v>0</v>
      </c>
      <c r="M26" s="207">
        <f t="shared" si="6"/>
        <v>0</v>
      </c>
      <c r="N26" s="207">
        <f t="shared" si="6"/>
        <v>0</v>
      </c>
      <c r="O26" s="207">
        <f t="shared" si="6"/>
        <v>0</v>
      </c>
      <c r="P26" s="207">
        <f t="shared" si="6"/>
        <v>0</v>
      </c>
      <c r="Q26" s="207">
        <f t="shared" si="6"/>
        <v>0</v>
      </c>
      <c r="R26" s="207">
        <f t="shared" si="6"/>
        <v>0</v>
      </c>
      <c r="S26" s="207">
        <f t="shared" si="6"/>
        <v>0</v>
      </c>
      <c r="T26" s="207">
        <f t="shared" si="6"/>
        <v>0</v>
      </c>
      <c r="U26" s="207">
        <f t="shared" si="6"/>
        <v>0</v>
      </c>
      <c r="V26" s="207">
        <f t="shared" si="6"/>
        <v>0</v>
      </c>
      <c r="W26" s="207">
        <f t="shared" si="6"/>
        <v>2600</v>
      </c>
      <c r="X26" s="207">
        <f t="shared" ref="X26:AC26" si="7">SUM(X24:X25)</f>
        <v>3600</v>
      </c>
      <c r="Y26" s="207">
        <f t="shared" si="7"/>
        <v>4600</v>
      </c>
      <c r="Z26" s="207">
        <f t="shared" si="7"/>
        <v>4600</v>
      </c>
      <c r="AA26" s="207">
        <f t="shared" si="7"/>
        <v>3956</v>
      </c>
      <c r="AB26" s="207">
        <f t="shared" si="7"/>
        <v>3965</v>
      </c>
      <c r="AC26" s="207">
        <f t="shared" si="7"/>
        <v>4253</v>
      </c>
      <c r="AD26" s="207">
        <f t="shared" ref="AD26:AN26" si="8">SUM(AD24:AD25)</f>
        <v>3824</v>
      </c>
      <c r="AE26" s="207">
        <f t="shared" si="8"/>
        <v>3636</v>
      </c>
      <c r="AF26" s="207">
        <f t="shared" si="8"/>
        <v>3753</v>
      </c>
      <c r="AG26" s="207">
        <f t="shared" si="8"/>
        <v>0</v>
      </c>
      <c r="AH26" s="207">
        <f t="shared" si="8"/>
        <v>0</v>
      </c>
      <c r="AI26" s="207">
        <f t="shared" si="8"/>
        <v>0</v>
      </c>
      <c r="AJ26" s="207">
        <f t="shared" si="8"/>
        <v>0</v>
      </c>
      <c r="AK26" s="207">
        <f t="shared" si="8"/>
        <v>0</v>
      </c>
      <c r="AL26" s="207">
        <f t="shared" si="8"/>
        <v>0</v>
      </c>
      <c r="AM26" s="207">
        <f t="shared" si="8"/>
        <v>0</v>
      </c>
      <c r="AN26" s="207">
        <f t="shared" si="8"/>
        <v>0</v>
      </c>
      <c r="AO26" s="207">
        <f>SUM(AO24:AO25)</f>
        <v>0</v>
      </c>
      <c r="AP26" s="207">
        <v>0</v>
      </c>
      <c r="AQ26" s="207">
        <v>0</v>
      </c>
      <c r="AR26" s="207">
        <f>SUM(AR24:AR25)</f>
        <v>0</v>
      </c>
      <c r="AS26" s="207">
        <f>SUM(AS24:AS25)</f>
        <v>0</v>
      </c>
      <c r="AT26" s="207">
        <f>SUM(AT24:AT25)</f>
        <v>0</v>
      </c>
      <c r="AU26" s="207">
        <f>SUM(AU24:AU25)</f>
        <v>0</v>
      </c>
      <c r="AV26" s="207">
        <f>SUM(AV24:AV25)</f>
        <v>0</v>
      </c>
    </row>
    <row r="27" spans="2:48" ht="13.5" customHeight="1" x14ac:dyDescent="0.2">
      <c r="B27" s="129" t="s">
        <v>898</v>
      </c>
      <c r="C27" s="118">
        <v>0</v>
      </c>
      <c r="D27" s="118"/>
      <c r="E27" s="118">
        <v>0</v>
      </c>
      <c r="F27" s="118">
        <v>0</v>
      </c>
      <c r="G27" s="118">
        <v>0</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18">
        <v>0</v>
      </c>
      <c r="Y27" s="118">
        <v>0</v>
      </c>
      <c r="Z27" s="118">
        <v>0</v>
      </c>
      <c r="AA27" s="118">
        <v>0</v>
      </c>
      <c r="AB27" s="1130">
        <v>0</v>
      </c>
      <c r="AC27" s="118">
        <v>0</v>
      </c>
      <c r="AD27" s="118">
        <v>0</v>
      </c>
      <c r="AE27" s="118">
        <v>0</v>
      </c>
      <c r="AF27" s="118">
        <v>0</v>
      </c>
      <c r="AG27" s="118">
        <v>0</v>
      </c>
      <c r="AH27" s="118">
        <v>0</v>
      </c>
      <c r="AI27" s="118">
        <v>0</v>
      </c>
      <c r="AJ27" s="118">
        <v>0</v>
      </c>
      <c r="AK27" s="118">
        <v>0</v>
      </c>
      <c r="AL27" s="118">
        <v>0</v>
      </c>
      <c r="AM27" s="118">
        <v>0</v>
      </c>
      <c r="AN27" s="118">
        <v>0</v>
      </c>
      <c r="AO27" s="118">
        <v>0</v>
      </c>
      <c r="AP27" s="118">
        <v>0</v>
      </c>
      <c r="AQ27" s="118">
        <v>0</v>
      </c>
      <c r="AR27" s="118">
        <v>0</v>
      </c>
      <c r="AS27" s="118">
        <v>0</v>
      </c>
      <c r="AT27" s="118">
        <v>0</v>
      </c>
      <c r="AU27" s="118">
        <v>0</v>
      </c>
      <c r="AV27" s="118">
        <v>0</v>
      </c>
    </row>
    <row r="28" spans="2:48" ht="15" customHeight="1" x14ac:dyDescent="0.2">
      <c r="B28" s="206" t="s">
        <v>1167</v>
      </c>
      <c r="C28" s="207">
        <f t="shared" ref="C28:AH28" si="9">C27</f>
        <v>0</v>
      </c>
      <c r="D28" s="207"/>
      <c r="E28" s="207">
        <f t="shared" si="9"/>
        <v>0</v>
      </c>
      <c r="F28" s="207">
        <f t="shared" si="9"/>
        <v>0</v>
      </c>
      <c r="G28" s="207">
        <f t="shared" si="9"/>
        <v>0</v>
      </c>
      <c r="H28" s="207">
        <f t="shared" si="9"/>
        <v>0</v>
      </c>
      <c r="I28" s="207">
        <f t="shared" si="9"/>
        <v>0</v>
      </c>
      <c r="J28" s="207">
        <f t="shared" si="9"/>
        <v>0</v>
      </c>
      <c r="K28" s="207">
        <f t="shared" si="9"/>
        <v>0</v>
      </c>
      <c r="L28" s="207">
        <f t="shared" si="9"/>
        <v>0</v>
      </c>
      <c r="M28" s="207">
        <f t="shared" si="9"/>
        <v>0</v>
      </c>
      <c r="N28" s="207">
        <f t="shared" si="9"/>
        <v>0</v>
      </c>
      <c r="O28" s="207">
        <f t="shared" si="9"/>
        <v>0</v>
      </c>
      <c r="P28" s="207">
        <f t="shared" si="9"/>
        <v>0</v>
      </c>
      <c r="Q28" s="207">
        <f t="shared" si="9"/>
        <v>0</v>
      </c>
      <c r="R28" s="207">
        <f t="shared" si="9"/>
        <v>0</v>
      </c>
      <c r="S28" s="207">
        <f t="shared" si="9"/>
        <v>0</v>
      </c>
      <c r="T28" s="207">
        <f t="shared" si="9"/>
        <v>0</v>
      </c>
      <c r="U28" s="207">
        <f t="shared" si="9"/>
        <v>0</v>
      </c>
      <c r="V28" s="207">
        <f t="shared" si="9"/>
        <v>0</v>
      </c>
      <c r="W28" s="207">
        <f t="shared" si="9"/>
        <v>0</v>
      </c>
      <c r="X28" s="207">
        <f t="shared" si="9"/>
        <v>0</v>
      </c>
      <c r="Y28" s="207">
        <f t="shared" si="9"/>
        <v>0</v>
      </c>
      <c r="Z28" s="207">
        <f t="shared" si="9"/>
        <v>0</v>
      </c>
      <c r="AA28" s="207">
        <f t="shared" si="9"/>
        <v>0</v>
      </c>
      <c r="AB28" s="1130">
        <f t="shared" si="9"/>
        <v>0</v>
      </c>
      <c r="AC28" s="207">
        <f t="shared" si="9"/>
        <v>0</v>
      </c>
      <c r="AD28" s="207">
        <f t="shared" si="9"/>
        <v>0</v>
      </c>
      <c r="AE28" s="207">
        <f t="shared" si="9"/>
        <v>0</v>
      </c>
      <c r="AF28" s="207">
        <f t="shared" si="9"/>
        <v>0</v>
      </c>
      <c r="AG28" s="207">
        <f t="shared" si="9"/>
        <v>0</v>
      </c>
      <c r="AH28" s="207">
        <f t="shared" si="9"/>
        <v>0</v>
      </c>
      <c r="AI28" s="207">
        <f t="shared" ref="AI28:AN28" si="10">AI27</f>
        <v>0</v>
      </c>
      <c r="AJ28" s="207">
        <f t="shared" si="10"/>
        <v>0</v>
      </c>
      <c r="AK28" s="207">
        <f t="shared" si="10"/>
        <v>0</v>
      </c>
      <c r="AL28" s="207">
        <f t="shared" si="10"/>
        <v>0</v>
      </c>
      <c r="AM28" s="207">
        <f t="shared" si="10"/>
        <v>0</v>
      </c>
      <c r="AN28" s="207">
        <f t="shared" si="10"/>
        <v>0</v>
      </c>
      <c r="AO28" s="207">
        <f>AO27</f>
        <v>0</v>
      </c>
      <c r="AP28" s="207">
        <v>0</v>
      </c>
      <c r="AQ28" s="207">
        <v>0</v>
      </c>
      <c r="AR28" s="207">
        <f>AR27</f>
        <v>0</v>
      </c>
      <c r="AS28" s="207">
        <f>AS27</f>
        <v>0</v>
      </c>
      <c r="AT28" s="207">
        <f>AT27</f>
        <v>0</v>
      </c>
      <c r="AU28" s="207">
        <f>AU27</f>
        <v>0</v>
      </c>
      <c r="AV28" s="207">
        <f>AV27</f>
        <v>0</v>
      </c>
    </row>
    <row r="29" spans="2:48" ht="15" customHeight="1" x14ac:dyDescent="0.2">
      <c r="B29" s="129" t="s">
        <v>1166</v>
      </c>
      <c r="C29" s="118">
        <v>0</v>
      </c>
      <c r="D29" s="118"/>
      <c r="E29" s="118">
        <v>0</v>
      </c>
      <c r="F29" s="118">
        <v>0</v>
      </c>
      <c r="G29" s="118">
        <v>0</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18">
        <v>0</v>
      </c>
      <c r="Y29" s="118">
        <v>0</v>
      </c>
      <c r="Z29" s="118">
        <v>0</v>
      </c>
      <c r="AA29" s="118">
        <v>0</v>
      </c>
      <c r="AB29" s="118">
        <v>0</v>
      </c>
      <c r="AC29" s="118">
        <v>0</v>
      </c>
      <c r="AD29" s="118">
        <v>0</v>
      </c>
      <c r="AE29" s="118">
        <v>0</v>
      </c>
      <c r="AF29" s="118">
        <v>0</v>
      </c>
      <c r="AG29" s="118">
        <v>609</v>
      </c>
      <c r="AH29" s="118">
        <v>742</v>
      </c>
      <c r="AI29" s="118">
        <v>603</v>
      </c>
      <c r="AJ29" s="118">
        <v>464</v>
      </c>
      <c r="AK29" s="118">
        <v>325</v>
      </c>
      <c r="AL29" s="118">
        <v>767</v>
      </c>
      <c r="AM29" s="118">
        <v>192</v>
      </c>
      <c r="AN29" s="118">
        <v>3967</v>
      </c>
      <c r="AO29" s="118">
        <v>3469</v>
      </c>
      <c r="AP29" s="118">
        <v>2921</v>
      </c>
      <c r="AQ29" s="118">
        <v>2374</v>
      </c>
      <c r="AR29" s="118">
        <v>1917</v>
      </c>
      <c r="AS29" s="118">
        <v>1342</v>
      </c>
      <c r="AT29" s="118">
        <v>2832</v>
      </c>
      <c r="AU29" s="118">
        <v>2301</v>
      </c>
      <c r="AV29" s="118">
        <v>1862</v>
      </c>
    </row>
    <row r="30" spans="2:48" x14ac:dyDescent="0.2">
      <c r="B30" s="129" t="s">
        <v>444</v>
      </c>
      <c r="C30" s="118">
        <v>0</v>
      </c>
      <c r="D30" s="118"/>
      <c r="E30" s="118">
        <v>0</v>
      </c>
      <c r="F30" s="118">
        <v>0</v>
      </c>
      <c r="G30" s="118">
        <v>0</v>
      </c>
      <c r="H30" s="118">
        <v>0</v>
      </c>
      <c r="I30" s="118">
        <v>0</v>
      </c>
      <c r="J30" s="118">
        <v>0</v>
      </c>
      <c r="K30" s="118">
        <v>0</v>
      </c>
      <c r="L30" s="118">
        <v>0</v>
      </c>
      <c r="M30" s="118">
        <v>0</v>
      </c>
      <c r="N30" s="118">
        <v>0</v>
      </c>
      <c r="O30" s="118">
        <v>0</v>
      </c>
      <c r="P30" s="118">
        <v>0</v>
      </c>
      <c r="Q30" s="118">
        <v>0</v>
      </c>
      <c r="R30" s="118">
        <v>0</v>
      </c>
      <c r="S30" s="118">
        <v>0</v>
      </c>
      <c r="T30" s="118">
        <v>0</v>
      </c>
      <c r="U30" s="118">
        <v>0</v>
      </c>
      <c r="V30" s="118">
        <v>0</v>
      </c>
      <c r="W30" s="118">
        <v>0</v>
      </c>
      <c r="X30" s="118">
        <v>0</v>
      </c>
      <c r="Y30" s="118">
        <v>0</v>
      </c>
      <c r="Z30" s="118">
        <v>0</v>
      </c>
      <c r="AA30" s="118">
        <v>0</v>
      </c>
      <c r="AB30" s="118">
        <v>0</v>
      </c>
      <c r="AC30" s="118">
        <v>0</v>
      </c>
      <c r="AD30" s="118">
        <v>0</v>
      </c>
      <c r="AE30" s="118">
        <v>0</v>
      </c>
      <c r="AF30" s="118">
        <v>0</v>
      </c>
      <c r="AG30" s="118">
        <v>6714</v>
      </c>
      <c r="AH30" s="118">
        <v>14609</v>
      </c>
      <c r="AI30" s="118">
        <v>13750</v>
      </c>
      <c r="AJ30" s="118">
        <v>13708</v>
      </c>
      <c r="AK30" s="118">
        <v>12795</v>
      </c>
      <c r="AL30" s="118">
        <v>11881</v>
      </c>
      <c r="AM30" s="118">
        <v>10967</v>
      </c>
      <c r="AN30" s="118">
        <v>10575</v>
      </c>
      <c r="AO30" s="118">
        <v>9614</v>
      </c>
      <c r="AP30" s="118">
        <v>8652</v>
      </c>
      <c r="AQ30" s="118">
        <v>7691</v>
      </c>
      <c r="AR30" s="118">
        <v>7142</v>
      </c>
      <c r="AS30" s="118">
        <v>6121</v>
      </c>
      <c r="AT30" s="118">
        <v>5101</v>
      </c>
      <c r="AU30" s="118">
        <v>4081</v>
      </c>
      <c r="AV30" s="118">
        <v>3244</v>
      </c>
    </row>
    <row r="31" spans="2:48" x14ac:dyDescent="0.2">
      <c r="B31" s="206" t="s">
        <v>811</v>
      </c>
      <c r="C31" s="207">
        <f>SUM(C29:C30)</f>
        <v>0</v>
      </c>
      <c r="D31" s="207"/>
      <c r="E31" s="207">
        <f t="shared" ref="E31:AI31" si="11">SUM(E29:E30)</f>
        <v>0</v>
      </c>
      <c r="F31" s="207">
        <f t="shared" si="11"/>
        <v>0</v>
      </c>
      <c r="G31" s="207">
        <f t="shared" si="11"/>
        <v>0</v>
      </c>
      <c r="H31" s="207">
        <f t="shared" si="11"/>
        <v>0</v>
      </c>
      <c r="I31" s="207">
        <f t="shared" si="11"/>
        <v>0</v>
      </c>
      <c r="J31" s="207">
        <f t="shared" si="11"/>
        <v>0</v>
      </c>
      <c r="K31" s="207">
        <f t="shared" si="11"/>
        <v>0</v>
      </c>
      <c r="L31" s="207">
        <f t="shared" si="11"/>
        <v>0</v>
      </c>
      <c r="M31" s="207">
        <f t="shared" si="11"/>
        <v>0</v>
      </c>
      <c r="N31" s="207">
        <f t="shared" si="11"/>
        <v>0</v>
      </c>
      <c r="O31" s="207">
        <f t="shared" si="11"/>
        <v>0</v>
      </c>
      <c r="P31" s="207">
        <f t="shared" si="11"/>
        <v>0</v>
      </c>
      <c r="Q31" s="207">
        <f t="shared" si="11"/>
        <v>0</v>
      </c>
      <c r="R31" s="207">
        <f t="shared" si="11"/>
        <v>0</v>
      </c>
      <c r="S31" s="207">
        <f t="shared" si="11"/>
        <v>0</v>
      </c>
      <c r="T31" s="207">
        <f t="shared" si="11"/>
        <v>0</v>
      </c>
      <c r="U31" s="207">
        <f t="shared" si="11"/>
        <v>0</v>
      </c>
      <c r="V31" s="207">
        <f t="shared" si="11"/>
        <v>0</v>
      </c>
      <c r="W31" s="207">
        <f t="shared" si="11"/>
        <v>0</v>
      </c>
      <c r="X31" s="207">
        <f t="shared" si="11"/>
        <v>0</v>
      </c>
      <c r="Y31" s="207">
        <f t="shared" si="11"/>
        <v>0</v>
      </c>
      <c r="Z31" s="207">
        <f t="shared" si="11"/>
        <v>0</v>
      </c>
      <c r="AA31" s="207">
        <f t="shared" si="11"/>
        <v>0</v>
      </c>
      <c r="AB31" s="207">
        <f t="shared" si="11"/>
        <v>0</v>
      </c>
      <c r="AC31" s="207">
        <f t="shared" si="11"/>
        <v>0</v>
      </c>
      <c r="AD31" s="207">
        <f t="shared" si="11"/>
        <v>0</v>
      </c>
      <c r="AE31" s="207">
        <f t="shared" si="11"/>
        <v>0</v>
      </c>
      <c r="AF31" s="207">
        <f t="shared" si="11"/>
        <v>0</v>
      </c>
      <c r="AG31" s="207">
        <f t="shared" si="11"/>
        <v>7323</v>
      </c>
      <c r="AH31" s="207">
        <f t="shared" si="11"/>
        <v>15351</v>
      </c>
      <c r="AI31" s="207">
        <f t="shared" si="11"/>
        <v>14353</v>
      </c>
      <c r="AJ31" s="207">
        <f t="shared" ref="AJ31:AS31" si="12">SUM(AJ29:AJ30)</f>
        <v>14172</v>
      </c>
      <c r="AK31" s="207">
        <f t="shared" si="12"/>
        <v>13120</v>
      </c>
      <c r="AL31" s="207">
        <f t="shared" si="12"/>
        <v>12648</v>
      </c>
      <c r="AM31" s="207">
        <f t="shared" si="12"/>
        <v>11159</v>
      </c>
      <c r="AN31" s="207">
        <f t="shared" si="12"/>
        <v>14542</v>
      </c>
      <c r="AO31" s="207">
        <f>SUM(AO29:AO30)</f>
        <v>13083</v>
      </c>
      <c r="AP31" s="207">
        <f>SUM(AP29:AP30)</f>
        <v>11573</v>
      </c>
      <c r="AQ31" s="207">
        <f>SUM(AQ29:AQ30)</f>
        <v>10065</v>
      </c>
      <c r="AR31" s="207">
        <f t="shared" si="12"/>
        <v>9059</v>
      </c>
      <c r="AS31" s="207">
        <f t="shared" si="12"/>
        <v>7463</v>
      </c>
      <c r="AT31" s="207">
        <f>SUM(AT29:AT30)</f>
        <v>7933</v>
      </c>
      <c r="AU31" s="207">
        <f>SUM(AU29:AU30)</f>
        <v>6382</v>
      </c>
      <c r="AV31" s="207">
        <f>SUM(AV29:AV30)</f>
        <v>5106</v>
      </c>
    </row>
    <row r="32" spans="2:48" x14ac:dyDescent="0.2">
      <c r="B32" s="126" t="s">
        <v>1256</v>
      </c>
      <c r="C32" s="120">
        <f t="shared" ref="C32:AF32" si="13">C20+C23+C26+C31</f>
        <v>11492</v>
      </c>
      <c r="D32" s="120"/>
      <c r="E32" s="120">
        <f t="shared" si="13"/>
        <v>1225</v>
      </c>
      <c r="F32" s="120">
        <f t="shared" si="13"/>
        <v>506</v>
      </c>
      <c r="G32" s="120">
        <f t="shared" si="13"/>
        <v>714</v>
      </c>
      <c r="H32" s="120">
        <f t="shared" si="13"/>
        <v>525</v>
      </c>
      <c r="I32" s="120">
        <f t="shared" si="13"/>
        <v>203</v>
      </c>
      <c r="J32" s="120">
        <f t="shared" si="13"/>
        <v>199</v>
      </c>
      <c r="K32" s="120">
        <f t="shared" si="13"/>
        <v>134</v>
      </c>
      <c r="L32" s="120">
        <f t="shared" si="13"/>
        <v>220</v>
      </c>
      <c r="M32" s="120">
        <f t="shared" si="13"/>
        <v>309.8438899999997</v>
      </c>
      <c r="N32" s="120">
        <f t="shared" si="13"/>
        <v>298.62268999999986</v>
      </c>
      <c r="O32" s="120">
        <f t="shared" si="13"/>
        <v>298.62268999999986</v>
      </c>
      <c r="P32" s="120">
        <f t="shared" si="13"/>
        <v>277</v>
      </c>
      <c r="Q32" s="120">
        <f t="shared" si="13"/>
        <v>328</v>
      </c>
      <c r="R32" s="120">
        <f t="shared" si="13"/>
        <v>18142</v>
      </c>
      <c r="S32" s="120">
        <f t="shared" si="13"/>
        <v>16225</v>
      </c>
      <c r="T32" s="120">
        <f t="shared" si="13"/>
        <v>16579</v>
      </c>
      <c r="U32" s="120">
        <f t="shared" si="13"/>
        <v>3584</v>
      </c>
      <c r="V32" s="120">
        <f t="shared" si="13"/>
        <v>3857</v>
      </c>
      <c r="W32" s="120">
        <f t="shared" si="13"/>
        <v>3993</v>
      </c>
      <c r="X32" s="120">
        <f t="shared" si="13"/>
        <v>4837</v>
      </c>
      <c r="Y32" s="120">
        <f t="shared" si="13"/>
        <v>5801</v>
      </c>
      <c r="Z32" s="120">
        <f t="shared" si="13"/>
        <v>5827</v>
      </c>
      <c r="AA32" s="120">
        <f t="shared" si="13"/>
        <v>5206</v>
      </c>
      <c r="AB32" s="120">
        <f t="shared" si="13"/>
        <v>5282</v>
      </c>
      <c r="AC32" s="120">
        <f t="shared" si="13"/>
        <v>5593</v>
      </c>
      <c r="AD32" s="120">
        <f t="shared" si="13"/>
        <v>5031</v>
      </c>
      <c r="AE32" s="120">
        <f t="shared" si="13"/>
        <v>4845</v>
      </c>
      <c r="AF32" s="120">
        <f t="shared" si="13"/>
        <v>4903</v>
      </c>
      <c r="AG32" s="120">
        <f>AG20+AG23+AG26+AG31+AG28</f>
        <v>8473</v>
      </c>
      <c r="AH32" s="120">
        <f t="shared" ref="AH32:AM32" si="14">AH20+AH23+AH26+AH31</f>
        <v>16500</v>
      </c>
      <c r="AI32" s="120">
        <f t="shared" si="14"/>
        <v>15649</v>
      </c>
      <c r="AJ32" s="120">
        <f t="shared" si="14"/>
        <v>15484</v>
      </c>
      <c r="AK32" s="120">
        <f t="shared" si="14"/>
        <v>14582</v>
      </c>
      <c r="AL32" s="120">
        <f t="shared" si="14"/>
        <v>14031</v>
      </c>
      <c r="AM32" s="120">
        <f t="shared" si="14"/>
        <v>12566</v>
      </c>
      <c r="AN32" s="120">
        <f t="shared" ref="AN32:AS32" si="15">AN20+AN23+AN26+AN31</f>
        <v>16035</v>
      </c>
      <c r="AO32" s="120">
        <f t="shared" si="15"/>
        <v>14633</v>
      </c>
      <c r="AP32" s="120">
        <f t="shared" si="15"/>
        <v>13715</v>
      </c>
      <c r="AQ32" s="120">
        <f t="shared" si="15"/>
        <v>11717</v>
      </c>
      <c r="AR32" s="120">
        <f t="shared" si="15"/>
        <v>11204</v>
      </c>
      <c r="AS32" s="120">
        <f t="shared" si="15"/>
        <v>9580</v>
      </c>
      <c r="AT32" s="120">
        <f>AT20+AT23+AT26+AT31</f>
        <v>10088</v>
      </c>
      <c r="AU32" s="120">
        <f>AU20+AU23+AU26+AU31</f>
        <v>8584</v>
      </c>
      <c r="AV32" s="120">
        <f>AV20+AV23+AV26+AV31</f>
        <v>7026</v>
      </c>
    </row>
    <row r="33" spans="2:48" ht="15" customHeight="1" x14ac:dyDescent="0.2">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row>
    <row r="34" spans="2:48" ht="15" customHeight="1" x14ac:dyDescent="0.2">
      <c r="B34" s="129" t="s">
        <v>1132</v>
      </c>
      <c r="C34" s="118">
        <v>0</v>
      </c>
      <c r="D34" s="118"/>
      <c r="E34" s="118">
        <v>8893</v>
      </c>
      <c r="F34" s="118">
        <v>8925</v>
      </c>
      <c r="G34" s="118">
        <v>0</v>
      </c>
      <c r="H34" s="214">
        <v>0</v>
      </c>
      <c r="I34" s="214">
        <v>0</v>
      </c>
      <c r="J34" s="214">
        <v>0</v>
      </c>
      <c r="K34" s="214">
        <v>0</v>
      </c>
      <c r="L34" s="214">
        <v>0</v>
      </c>
      <c r="M34" s="214">
        <v>0</v>
      </c>
      <c r="N34" s="214">
        <v>0</v>
      </c>
      <c r="O34" s="214">
        <v>0</v>
      </c>
      <c r="P34" s="214">
        <v>367</v>
      </c>
      <c r="Q34" s="214">
        <v>0</v>
      </c>
      <c r="R34" s="214">
        <v>1135</v>
      </c>
      <c r="S34" s="214">
        <v>1865</v>
      </c>
      <c r="T34" s="214">
        <v>70</v>
      </c>
      <c r="U34" s="214">
        <v>1023</v>
      </c>
      <c r="V34" s="214">
        <v>30</v>
      </c>
      <c r="W34" s="214">
        <v>70</v>
      </c>
      <c r="X34" s="214">
        <v>28</v>
      </c>
      <c r="Y34" s="214">
        <v>35</v>
      </c>
      <c r="Z34" s="214">
        <v>31</v>
      </c>
      <c r="AA34" s="214">
        <v>25</v>
      </c>
      <c r="AB34" s="214">
        <v>27</v>
      </c>
      <c r="AC34" s="214">
        <v>15</v>
      </c>
      <c r="AD34" s="214">
        <v>378</v>
      </c>
      <c r="AE34" s="214">
        <v>89</v>
      </c>
      <c r="AF34" s="214">
        <v>63</v>
      </c>
      <c r="AG34" s="214">
        <v>92</v>
      </c>
      <c r="AH34" s="214">
        <v>51</v>
      </c>
      <c r="AI34" s="214">
        <v>180</v>
      </c>
      <c r="AJ34" s="214">
        <v>136</v>
      </c>
      <c r="AK34" s="214">
        <v>108</v>
      </c>
      <c r="AL34" s="214">
        <v>110</v>
      </c>
      <c r="AM34" s="214">
        <v>110</v>
      </c>
      <c r="AN34" s="214">
        <v>543</v>
      </c>
      <c r="AO34" s="214">
        <v>287</v>
      </c>
      <c r="AP34" s="214">
        <v>299</v>
      </c>
      <c r="AQ34" s="214">
        <v>114</v>
      </c>
      <c r="AR34" s="214">
        <v>552</v>
      </c>
      <c r="AS34" s="214">
        <v>453</v>
      </c>
      <c r="AT34" s="214">
        <v>217</v>
      </c>
      <c r="AU34" s="214">
        <v>382</v>
      </c>
      <c r="AV34" s="214">
        <v>304</v>
      </c>
    </row>
    <row r="35" spans="2:48" x14ac:dyDescent="0.2">
      <c r="B35" s="129" t="s">
        <v>444</v>
      </c>
      <c r="C35" s="118">
        <v>252</v>
      </c>
      <c r="D35" s="118"/>
      <c r="E35" s="118">
        <v>261</v>
      </c>
      <c r="F35" s="118">
        <v>261</v>
      </c>
      <c r="G35" s="118">
        <v>5615</v>
      </c>
      <c r="H35" s="214">
        <v>5615</v>
      </c>
      <c r="I35" s="214">
        <v>5353</v>
      </c>
      <c r="J35" s="214">
        <v>421</v>
      </c>
      <c r="K35" s="214">
        <v>661</v>
      </c>
      <c r="L35" s="214">
        <v>360</v>
      </c>
      <c r="M35" s="214">
        <v>359.5</v>
      </c>
      <c r="N35" s="214">
        <v>359.5</v>
      </c>
      <c r="O35" s="214">
        <v>359.5</v>
      </c>
      <c r="P35" s="214">
        <v>360</v>
      </c>
      <c r="Q35" s="214">
        <v>231</v>
      </c>
      <c r="R35" s="214">
        <v>360</v>
      </c>
      <c r="S35" s="214">
        <v>360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404</v>
      </c>
      <c r="AJ35" s="214">
        <v>427</v>
      </c>
      <c r="AK35" s="214">
        <v>427</v>
      </c>
      <c r="AL35" s="214">
        <v>427</v>
      </c>
      <c r="AM35" s="214">
        <v>427</v>
      </c>
      <c r="AN35" s="214">
        <v>447</v>
      </c>
      <c r="AO35" s="214">
        <v>447</v>
      </c>
      <c r="AP35" s="214">
        <v>447</v>
      </c>
      <c r="AQ35" s="214">
        <v>447</v>
      </c>
      <c r="AR35" s="214">
        <v>468</v>
      </c>
      <c r="AS35" s="214">
        <v>468</v>
      </c>
      <c r="AT35" s="214">
        <v>468</v>
      </c>
      <c r="AU35" s="214">
        <v>468</v>
      </c>
      <c r="AV35" s="214">
        <v>488</v>
      </c>
    </row>
    <row r="36" spans="2:48" x14ac:dyDescent="0.2">
      <c r="B36" s="129" t="s">
        <v>909</v>
      </c>
      <c r="C36" s="118">
        <v>227</v>
      </c>
      <c r="D36" s="118"/>
      <c r="E36" s="118">
        <v>235</v>
      </c>
      <c r="F36" s="118">
        <v>235</v>
      </c>
      <c r="G36" s="118">
        <v>235</v>
      </c>
      <c r="H36" s="214">
        <v>235</v>
      </c>
      <c r="I36" s="214">
        <v>235</v>
      </c>
      <c r="J36" s="214">
        <v>235</v>
      </c>
      <c r="K36" s="214">
        <v>235</v>
      </c>
      <c r="L36" s="214">
        <v>558</v>
      </c>
      <c r="M36" s="214">
        <v>235.39260999999999</v>
      </c>
      <c r="N36" s="214">
        <v>231.10809</v>
      </c>
      <c r="O36" s="214">
        <v>235</v>
      </c>
      <c r="P36" s="214">
        <v>85</v>
      </c>
      <c r="Q36" s="214">
        <v>360</v>
      </c>
      <c r="R36" s="214">
        <v>93</v>
      </c>
      <c r="S36" s="214">
        <v>86</v>
      </c>
      <c r="T36" s="214">
        <v>0</v>
      </c>
      <c r="U36" s="214">
        <v>0</v>
      </c>
      <c r="V36" s="214">
        <v>0</v>
      </c>
      <c r="W36" s="214">
        <v>0</v>
      </c>
      <c r="X36" s="214">
        <v>0</v>
      </c>
      <c r="Y36" s="214">
        <v>0</v>
      </c>
      <c r="Z36" s="214">
        <v>0</v>
      </c>
      <c r="AA36" s="214">
        <v>44</v>
      </c>
      <c r="AB36" s="214">
        <v>25</v>
      </c>
      <c r="AC36" s="214">
        <v>8</v>
      </c>
      <c r="AD36" s="214">
        <v>39</v>
      </c>
      <c r="AE36" s="214">
        <v>47</v>
      </c>
      <c r="AF36" s="214">
        <v>0</v>
      </c>
      <c r="AG36" s="214">
        <v>38</v>
      </c>
      <c r="AH36" s="214">
        <v>111</v>
      </c>
      <c r="AI36" s="214">
        <v>216</v>
      </c>
      <c r="AJ36" s="214">
        <v>186</v>
      </c>
      <c r="AK36" s="214">
        <v>149</v>
      </c>
      <c r="AL36" s="214">
        <v>119</v>
      </c>
      <c r="AM36" s="214">
        <v>194</v>
      </c>
      <c r="AN36" s="214">
        <v>165</v>
      </c>
      <c r="AO36" s="214">
        <v>160</v>
      </c>
      <c r="AP36" s="214">
        <v>123</v>
      </c>
      <c r="AQ36" s="214">
        <v>100</v>
      </c>
      <c r="AR36" s="214">
        <v>100</v>
      </c>
      <c r="AS36" s="214">
        <v>100</v>
      </c>
      <c r="AT36" s="214">
        <v>200</v>
      </c>
      <c r="AU36" s="214">
        <v>100</v>
      </c>
      <c r="AV36" s="214">
        <v>100</v>
      </c>
    </row>
    <row r="37" spans="2:48" x14ac:dyDescent="0.2">
      <c r="B37" s="129" t="s">
        <v>446</v>
      </c>
      <c r="C37" s="118">
        <v>0</v>
      </c>
      <c r="D37" s="118"/>
      <c r="E37" s="118">
        <v>0</v>
      </c>
      <c r="F37" s="118">
        <v>0</v>
      </c>
      <c r="G37" s="118">
        <v>0</v>
      </c>
      <c r="H37" s="214">
        <v>0</v>
      </c>
      <c r="I37" s="214">
        <v>0</v>
      </c>
      <c r="J37" s="214">
        <v>0</v>
      </c>
      <c r="K37" s="214">
        <v>0</v>
      </c>
      <c r="L37" s="214">
        <v>9</v>
      </c>
      <c r="M37" s="214">
        <v>0</v>
      </c>
      <c r="N37" s="214">
        <v>0</v>
      </c>
      <c r="O37" s="214">
        <v>0</v>
      </c>
      <c r="P37" s="214">
        <v>0</v>
      </c>
      <c r="Q37" s="214">
        <v>0</v>
      </c>
      <c r="R37" s="214">
        <v>0</v>
      </c>
      <c r="S37" s="214">
        <v>0</v>
      </c>
      <c r="T37" s="214">
        <v>2</v>
      </c>
      <c r="U37" s="214">
        <v>0</v>
      </c>
      <c r="V37" s="214">
        <v>0</v>
      </c>
      <c r="W37" s="214">
        <v>0</v>
      </c>
      <c r="X37" s="214">
        <v>0</v>
      </c>
      <c r="Y37" s="214">
        <v>0</v>
      </c>
      <c r="Z37" s="214">
        <v>0</v>
      </c>
      <c r="AA37" s="214">
        <v>0</v>
      </c>
      <c r="AB37" s="214">
        <v>0</v>
      </c>
      <c r="AC37" s="214">
        <v>0</v>
      </c>
      <c r="AD37" s="214">
        <v>0</v>
      </c>
      <c r="AE37" s="214">
        <v>5</v>
      </c>
      <c r="AF37" s="214">
        <v>6</v>
      </c>
      <c r="AG37" s="214">
        <v>7</v>
      </c>
      <c r="AH37" s="214">
        <v>7</v>
      </c>
      <c r="AI37" s="214">
        <v>6</v>
      </c>
      <c r="AJ37" s="214">
        <v>0</v>
      </c>
      <c r="AK37" s="214">
        <v>0</v>
      </c>
      <c r="AL37" s="214">
        <v>0</v>
      </c>
      <c r="AM37" s="214">
        <v>0</v>
      </c>
      <c r="AN37" s="214">
        <v>0</v>
      </c>
      <c r="AO37" s="214">
        <v>0</v>
      </c>
      <c r="AP37" s="214">
        <v>0</v>
      </c>
      <c r="AQ37" s="214">
        <v>0</v>
      </c>
      <c r="AR37" s="214">
        <v>0</v>
      </c>
      <c r="AS37" s="214">
        <v>0</v>
      </c>
      <c r="AT37" s="214">
        <v>0</v>
      </c>
      <c r="AU37" s="214">
        <v>0</v>
      </c>
      <c r="AV37" s="214">
        <v>0</v>
      </c>
    </row>
    <row r="38" spans="2:48" x14ac:dyDescent="0.2">
      <c r="B38" s="129" t="s">
        <v>857</v>
      </c>
      <c r="C38" s="118">
        <v>0</v>
      </c>
      <c r="D38" s="118"/>
      <c r="E38" s="118">
        <v>0</v>
      </c>
      <c r="F38" s="118">
        <v>0</v>
      </c>
      <c r="G38" s="118">
        <v>0</v>
      </c>
      <c r="H38" s="214">
        <v>0</v>
      </c>
      <c r="I38" s="214">
        <v>0</v>
      </c>
      <c r="J38" s="214">
        <v>0</v>
      </c>
      <c r="K38" s="214">
        <v>0</v>
      </c>
      <c r="L38" s="214">
        <v>0</v>
      </c>
      <c r="M38" s="214">
        <v>0</v>
      </c>
      <c r="N38" s="214">
        <v>0</v>
      </c>
      <c r="O38" s="214">
        <v>0</v>
      </c>
      <c r="P38" s="214">
        <v>0</v>
      </c>
      <c r="Q38" s="214">
        <v>0</v>
      </c>
      <c r="R38" s="214">
        <v>0</v>
      </c>
      <c r="S38" s="214">
        <v>0</v>
      </c>
      <c r="T38" s="214">
        <v>19</v>
      </c>
      <c r="U38" s="214">
        <v>2</v>
      </c>
      <c r="V38" s="214">
        <v>2</v>
      </c>
      <c r="W38" s="214">
        <v>2</v>
      </c>
      <c r="X38" s="214">
        <v>0</v>
      </c>
      <c r="Y38" s="214">
        <v>2</v>
      </c>
      <c r="Z38" s="214">
        <v>4</v>
      </c>
      <c r="AA38" s="214">
        <v>4</v>
      </c>
      <c r="AB38" s="214">
        <v>2</v>
      </c>
      <c r="AC38" s="214">
        <v>2</v>
      </c>
      <c r="AD38" s="214">
        <v>4</v>
      </c>
      <c r="AE38" s="214">
        <v>0</v>
      </c>
      <c r="AF38" s="214">
        <v>0</v>
      </c>
      <c r="AG38" s="214">
        <v>6</v>
      </c>
      <c r="AH38" s="214">
        <v>0</v>
      </c>
      <c r="AI38" s="214">
        <v>0</v>
      </c>
      <c r="AJ38" s="214">
        <v>0</v>
      </c>
      <c r="AK38" s="214">
        <v>0</v>
      </c>
      <c r="AL38" s="214">
        <v>0</v>
      </c>
      <c r="AM38" s="214">
        <v>0</v>
      </c>
      <c r="AN38" s="214">
        <v>0</v>
      </c>
      <c r="AO38" s="214">
        <v>0</v>
      </c>
      <c r="AP38" s="214">
        <v>0</v>
      </c>
      <c r="AQ38" s="214">
        <v>0</v>
      </c>
      <c r="AR38" s="214">
        <v>0</v>
      </c>
      <c r="AS38" s="214">
        <v>0</v>
      </c>
      <c r="AT38" s="214">
        <v>0</v>
      </c>
      <c r="AU38" s="214">
        <v>0</v>
      </c>
      <c r="AV38" s="214">
        <v>0</v>
      </c>
    </row>
    <row r="39" spans="2:48" x14ac:dyDescent="0.2">
      <c r="B39" s="129" t="s">
        <v>49</v>
      </c>
      <c r="C39" s="218">
        <v>0</v>
      </c>
      <c r="D39" s="218"/>
      <c r="E39" s="218">
        <v>311</v>
      </c>
      <c r="F39" s="218">
        <v>311</v>
      </c>
      <c r="G39" s="218">
        <v>0</v>
      </c>
      <c r="H39" s="1129">
        <v>0</v>
      </c>
      <c r="I39" s="1129">
        <v>0</v>
      </c>
      <c r="J39" s="1129">
        <v>0</v>
      </c>
      <c r="K39" s="1129">
        <v>0</v>
      </c>
      <c r="L39" s="1129">
        <v>0</v>
      </c>
      <c r="M39" s="1129">
        <v>0</v>
      </c>
      <c r="N39" s="1129">
        <v>0</v>
      </c>
      <c r="O39" s="1129">
        <v>0</v>
      </c>
      <c r="P39" s="1129">
        <v>0</v>
      </c>
      <c r="Q39" s="1129">
        <v>0</v>
      </c>
      <c r="R39" s="1129">
        <v>0</v>
      </c>
      <c r="S39" s="1129">
        <v>0</v>
      </c>
      <c r="T39" s="1129">
        <v>0</v>
      </c>
      <c r="U39" s="1129">
        <v>0</v>
      </c>
      <c r="V39" s="1129">
        <v>0</v>
      </c>
      <c r="W39" s="1129">
        <v>0</v>
      </c>
      <c r="X39" s="1129">
        <v>0</v>
      </c>
      <c r="Y39" s="1129">
        <v>0</v>
      </c>
      <c r="Z39" s="1129">
        <v>0</v>
      </c>
      <c r="AA39" s="1129">
        <v>0</v>
      </c>
      <c r="AB39" s="1129">
        <v>0</v>
      </c>
      <c r="AC39" s="1129">
        <v>0</v>
      </c>
      <c r="AD39" s="1129">
        <v>0</v>
      </c>
      <c r="AE39" s="1129">
        <v>0</v>
      </c>
      <c r="AF39" s="1129">
        <v>0</v>
      </c>
      <c r="AG39" s="1129">
        <v>0</v>
      </c>
      <c r="AH39" s="1129">
        <v>0</v>
      </c>
      <c r="AI39" s="1129">
        <v>0</v>
      </c>
      <c r="AJ39" s="1129">
        <v>0</v>
      </c>
      <c r="AK39" s="1129">
        <v>0</v>
      </c>
      <c r="AL39" s="1129">
        <v>0</v>
      </c>
      <c r="AM39" s="1129">
        <v>0</v>
      </c>
      <c r="AN39" s="1129">
        <v>0</v>
      </c>
      <c r="AO39" s="1129"/>
      <c r="AP39" s="1129">
        <v>0</v>
      </c>
      <c r="AQ39" s="214">
        <v>0</v>
      </c>
      <c r="AR39" s="214"/>
      <c r="AS39" s="214">
        <v>0</v>
      </c>
      <c r="AT39" s="214">
        <v>0</v>
      </c>
      <c r="AU39" s="214">
        <v>0</v>
      </c>
      <c r="AV39" s="214">
        <v>60</v>
      </c>
    </row>
    <row r="40" spans="2:48" ht="15" hidden="1" customHeight="1" outlineLevel="1" x14ac:dyDescent="0.2">
      <c r="B40" s="249" t="s">
        <v>440</v>
      </c>
      <c r="C40" s="218">
        <v>0</v>
      </c>
      <c r="D40" s="218"/>
      <c r="E40" s="218">
        <v>0</v>
      </c>
      <c r="F40" s="218">
        <v>42</v>
      </c>
      <c r="G40" s="218">
        <v>0</v>
      </c>
      <c r="H40" s="1129">
        <v>0</v>
      </c>
      <c r="I40" s="1129">
        <v>0</v>
      </c>
      <c r="J40" s="1129">
        <v>0</v>
      </c>
      <c r="K40" s="1129">
        <v>0</v>
      </c>
      <c r="L40" s="1129">
        <v>0</v>
      </c>
      <c r="M40" s="1129">
        <v>0</v>
      </c>
      <c r="N40" s="1129">
        <v>0</v>
      </c>
      <c r="O40" s="1129">
        <v>0</v>
      </c>
      <c r="P40" s="1129">
        <v>0</v>
      </c>
      <c r="Q40" s="1129">
        <v>0</v>
      </c>
      <c r="R40" s="1129">
        <v>0</v>
      </c>
      <c r="S40" s="1129">
        <v>0</v>
      </c>
      <c r="T40" s="1129">
        <v>0</v>
      </c>
      <c r="U40" s="1129">
        <v>0</v>
      </c>
      <c r="V40" s="1129">
        <v>0</v>
      </c>
      <c r="W40" s="1129">
        <v>0</v>
      </c>
      <c r="X40" s="1129">
        <v>0</v>
      </c>
      <c r="Y40" s="1129">
        <v>0</v>
      </c>
      <c r="Z40" s="1129">
        <v>0</v>
      </c>
      <c r="AA40" s="1129">
        <v>0</v>
      </c>
      <c r="AB40" s="1129">
        <v>0</v>
      </c>
      <c r="AC40" s="1129">
        <v>0</v>
      </c>
      <c r="AD40" s="1129">
        <v>0</v>
      </c>
      <c r="AE40" s="1129">
        <v>0</v>
      </c>
      <c r="AF40" s="1129">
        <v>0</v>
      </c>
      <c r="AG40" s="1129">
        <v>0</v>
      </c>
      <c r="AH40" s="1129">
        <v>0</v>
      </c>
      <c r="AI40" s="1129">
        <v>0</v>
      </c>
      <c r="AJ40" s="1129">
        <v>0</v>
      </c>
      <c r="AK40" s="1129">
        <v>0</v>
      </c>
      <c r="AL40" s="1129">
        <v>0</v>
      </c>
      <c r="AM40" s="1129">
        <v>0</v>
      </c>
      <c r="AN40" s="1129">
        <v>0</v>
      </c>
      <c r="AO40" s="1129"/>
      <c r="AP40" s="1129">
        <v>0</v>
      </c>
      <c r="AQ40" s="1129">
        <v>0</v>
      </c>
      <c r="AR40" s="1129"/>
      <c r="AS40" s="1129">
        <v>0</v>
      </c>
      <c r="AT40" s="1129">
        <v>0</v>
      </c>
      <c r="AU40" s="1129">
        <v>0</v>
      </c>
      <c r="AV40" s="1129">
        <v>0</v>
      </c>
    </row>
    <row r="41" spans="2:48" ht="15" hidden="1" customHeight="1" outlineLevel="1" x14ac:dyDescent="0.2">
      <c r="B41" s="249" t="s">
        <v>816</v>
      </c>
      <c r="C41" s="218"/>
      <c r="D41" s="218"/>
      <c r="E41" s="218"/>
      <c r="F41" s="218"/>
      <c r="G41" s="218"/>
      <c r="H41" s="1129"/>
      <c r="I41" s="1129"/>
      <c r="J41" s="1129"/>
      <c r="K41" s="1129"/>
      <c r="L41" s="1129"/>
      <c r="M41" s="1129"/>
      <c r="N41" s="1129"/>
      <c r="O41" s="1129">
        <v>0</v>
      </c>
      <c r="P41" s="1129"/>
      <c r="Q41" s="1129"/>
      <c r="R41" s="1129"/>
      <c r="S41" s="1129"/>
      <c r="T41" s="1129">
        <v>7</v>
      </c>
      <c r="U41" s="1129">
        <v>0</v>
      </c>
      <c r="V41" s="1129">
        <v>0</v>
      </c>
      <c r="W41" s="1129">
        <v>0</v>
      </c>
      <c r="X41" s="1129">
        <v>0</v>
      </c>
      <c r="Y41" s="1129">
        <v>0</v>
      </c>
      <c r="Z41" s="1129">
        <v>0</v>
      </c>
      <c r="AA41" s="1129">
        <v>0</v>
      </c>
      <c r="AB41" s="1129">
        <v>0</v>
      </c>
      <c r="AC41" s="1129">
        <v>0</v>
      </c>
      <c r="AD41" s="1129">
        <v>0</v>
      </c>
      <c r="AE41" s="1129">
        <v>0</v>
      </c>
      <c r="AF41" s="1129">
        <v>0</v>
      </c>
      <c r="AG41" s="1129">
        <v>0</v>
      </c>
      <c r="AH41" s="1129">
        <v>0</v>
      </c>
      <c r="AI41" s="1129">
        <v>0</v>
      </c>
      <c r="AJ41" s="1129">
        <v>0</v>
      </c>
      <c r="AK41" s="1129">
        <v>0</v>
      </c>
      <c r="AL41" s="1129">
        <v>0</v>
      </c>
      <c r="AM41" s="1129">
        <v>0</v>
      </c>
      <c r="AN41" s="1129">
        <v>0</v>
      </c>
      <c r="AO41" s="1129"/>
      <c r="AP41" s="1129">
        <v>0</v>
      </c>
      <c r="AQ41" s="1129">
        <v>0</v>
      </c>
      <c r="AR41" s="1129"/>
      <c r="AS41" s="1129">
        <v>0</v>
      </c>
      <c r="AT41" s="1129">
        <v>0</v>
      </c>
      <c r="AU41" s="1129">
        <v>0</v>
      </c>
      <c r="AV41" s="1129">
        <v>0</v>
      </c>
    </row>
    <row r="42" spans="2:48" ht="15" hidden="1" customHeight="1" outlineLevel="1" x14ac:dyDescent="0.2">
      <c r="B42" s="249" t="s">
        <v>447</v>
      </c>
      <c r="C42" s="218">
        <v>0</v>
      </c>
      <c r="D42" s="218"/>
      <c r="E42" s="218">
        <v>0</v>
      </c>
      <c r="F42" s="218">
        <v>0</v>
      </c>
      <c r="G42" s="218">
        <v>0</v>
      </c>
      <c r="H42" s="1129">
        <v>0</v>
      </c>
      <c r="I42" s="1129">
        <v>2</v>
      </c>
      <c r="J42" s="1129">
        <v>15</v>
      </c>
      <c r="K42" s="1129">
        <v>0</v>
      </c>
      <c r="L42" s="1129">
        <v>0</v>
      </c>
      <c r="M42" s="1129">
        <v>0</v>
      </c>
      <c r="N42" s="1129">
        <v>0</v>
      </c>
      <c r="O42" s="1129">
        <v>0</v>
      </c>
      <c r="P42" s="1129">
        <v>0</v>
      </c>
      <c r="Q42" s="1129">
        <v>0</v>
      </c>
      <c r="R42" s="1129">
        <v>0</v>
      </c>
      <c r="S42" s="1129">
        <v>0</v>
      </c>
      <c r="T42" s="1129">
        <v>0</v>
      </c>
      <c r="U42" s="1129">
        <v>0</v>
      </c>
      <c r="V42" s="1129">
        <v>0</v>
      </c>
      <c r="W42" s="1129">
        <v>0</v>
      </c>
      <c r="X42" s="1129">
        <v>0</v>
      </c>
      <c r="Y42" s="1129">
        <v>0</v>
      </c>
      <c r="Z42" s="1129">
        <v>0</v>
      </c>
      <c r="AA42" s="1129">
        <v>0</v>
      </c>
      <c r="AB42" s="1129">
        <v>0</v>
      </c>
      <c r="AC42" s="1129">
        <v>0</v>
      </c>
      <c r="AD42" s="1129">
        <v>0</v>
      </c>
      <c r="AE42" s="1129">
        <v>0</v>
      </c>
      <c r="AF42" s="1129">
        <v>0</v>
      </c>
      <c r="AG42" s="1129">
        <v>0</v>
      </c>
      <c r="AH42" s="1129">
        <v>0</v>
      </c>
      <c r="AI42" s="1129">
        <v>0</v>
      </c>
      <c r="AJ42" s="1129">
        <v>0</v>
      </c>
      <c r="AK42" s="1129">
        <v>0</v>
      </c>
      <c r="AL42" s="1129">
        <v>0</v>
      </c>
      <c r="AM42" s="1129">
        <v>0</v>
      </c>
      <c r="AN42" s="1129">
        <v>0</v>
      </c>
      <c r="AO42" s="1129"/>
      <c r="AP42" s="1129">
        <v>0</v>
      </c>
      <c r="AQ42" s="1129">
        <v>0</v>
      </c>
      <c r="AR42" s="1129"/>
      <c r="AS42" s="1129">
        <v>0</v>
      </c>
      <c r="AT42" s="1129">
        <v>0</v>
      </c>
      <c r="AU42" s="1129">
        <v>0</v>
      </c>
      <c r="AV42" s="1129">
        <v>0</v>
      </c>
    </row>
    <row r="43" spans="2:48" hidden="1" outlineLevel="1" x14ac:dyDescent="0.2">
      <c r="B43" s="249" t="s">
        <v>442</v>
      </c>
      <c r="C43" s="1129">
        <v>0</v>
      </c>
      <c r="D43" s="1129"/>
      <c r="E43" s="1129">
        <v>0</v>
      </c>
      <c r="F43" s="1129">
        <v>0</v>
      </c>
      <c r="G43" s="1129">
        <v>0</v>
      </c>
      <c r="H43" s="1129">
        <v>0</v>
      </c>
      <c r="I43" s="1129">
        <v>0</v>
      </c>
      <c r="J43" s="1129">
        <v>0</v>
      </c>
      <c r="K43" s="1129">
        <v>0</v>
      </c>
      <c r="L43" s="1129">
        <v>0</v>
      </c>
      <c r="M43" s="1129">
        <v>0</v>
      </c>
      <c r="N43" s="1129">
        <v>0</v>
      </c>
      <c r="O43" s="1129">
        <v>0</v>
      </c>
      <c r="P43" s="1129">
        <v>0</v>
      </c>
      <c r="Q43" s="1129">
        <v>0</v>
      </c>
      <c r="R43" s="1129">
        <v>0</v>
      </c>
      <c r="S43" s="1129">
        <v>0</v>
      </c>
      <c r="T43" s="1129">
        <v>0</v>
      </c>
      <c r="U43" s="1129">
        <v>0</v>
      </c>
      <c r="V43" s="1129">
        <v>0</v>
      </c>
      <c r="W43" s="1129">
        <v>0</v>
      </c>
      <c r="X43" s="1129">
        <v>0</v>
      </c>
      <c r="Y43" s="1129">
        <v>0</v>
      </c>
      <c r="Z43" s="1129">
        <v>0</v>
      </c>
      <c r="AA43" s="1129">
        <v>0</v>
      </c>
      <c r="AB43" s="1129">
        <v>0</v>
      </c>
      <c r="AC43" s="1129">
        <v>0</v>
      </c>
      <c r="AD43" s="1129">
        <v>0</v>
      </c>
      <c r="AE43" s="1129">
        <v>0</v>
      </c>
      <c r="AF43" s="1129">
        <v>0</v>
      </c>
      <c r="AG43" s="1129">
        <v>0</v>
      </c>
      <c r="AH43" s="1129">
        <v>0</v>
      </c>
      <c r="AI43" s="1129">
        <v>0</v>
      </c>
      <c r="AJ43" s="1129">
        <v>0</v>
      </c>
      <c r="AK43" s="1129">
        <v>0</v>
      </c>
      <c r="AL43" s="1129">
        <v>0</v>
      </c>
      <c r="AM43" s="1129">
        <v>0</v>
      </c>
      <c r="AN43" s="1129">
        <v>0</v>
      </c>
      <c r="AO43" s="1129"/>
      <c r="AP43" s="1129">
        <v>0</v>
      </c>
      <c r="AQ43" s="1129">
        <v>0</v>
      </c>
      <c r="AR43" s="1129"/>
      <c r="AS43" s="1129">
        <v>0</v>
      </c>
      <c r="AT43" s="1129">
        <v>0</v>
      </c>
      <c r="AU43" s="1129">
        <v>0</v>
      </c>
      <c r="AV43" s="1129">
        <v>0</v>
      </c>
    </row>
    <row r="44" spans="2:48" hidden="1" outlineLevel="1" x14ac:dyDescent="0.2">
      <c r="B44" s="249" t="s">
        <v>445</v>
      </c>
      <c r="C44" s="218">
        <v>278</v>
      </c>
      <c r="D44" s="218"/>
      <c r="E44" s="218">
        <v>0</v>
      </c>
      <c r="F44" s="218">
        <v>0</v>
      </c>
      <c r="G44" s="218">
        <v>289</v>
      </c>
      <c r="H44" s="1129">
        <v>289</v>
      </c>
      <c r="I44" s="1129">
        <v>232</v>
      </c>
      <c r="J44" s="1129">
        <v>232</v>
      </c>
      <c r="K44" s="1129">
        <v>232</v>
      </c>
      <c r="L44" s="1129">
        <v>231</v>
      </c>
      <c r="M44" s="1129">
        <v>231.10809</v>
      </c>
      <c r="N44" s="1129">
        <v>231.10809</v>
      </c>
      <c r="O44" s="1129">
        <v>231.10809</v>
      </c>
      <c r="P44" s="1129">
        <v>0</v>
      </c>
      <c r="Q44" s="1129">
        <v>0</v>
      </c>
      <c r="R44" s="1129">
        <v>0</v>
      </c>
      <c r="S44" s="1129">
        <v>0</v>
      </c>
      <c r="T44" s="1129">
        <v>0</v>
      </c>
      <c r="U44" s="1129">
        <v>0</v>
      </c>
      <c r="V44" s="1129">
        <v>0</v>
      </c>
      <c r="W44" s="1129">
        <v>0</v>
      </c>
      <c r="X44" s="1129">
        <v>0</v>
      </c>
      <c r="Y44" s="1129">
        <v>0</v>
      </c>
      <c r="Z44" s="1129">
        <v>0</v>
      </c>
      <c r="AA44" s="1129">
        <v>0</v>
      </c>
      <c r="AB44" s="1129">
        <v>0</v>
      </c>
      <c r="AC44" s="1129">
        <v>0</v>
      </c>
      <c r="AD44" s="1129">
        <v>0</v>
      </c>
      <c r="AE44" s="1129">
        <v>0</v>
      </c>
      <c r="AF44" s="1129">
        <v>0</v>
      </c>
      <c r="AG44" s="1129">
        <v>0</v>
      </c>
      <c r="AH44" s="1129">
        <v>0</v>
      </c>
      <c r="AI44" s="1129">
        <v>0</v>
      </c>
      <c r="AJ44" s="1129">
        <v>0</v>
      </c>
      <c r="AK44" s="1129">
        <v>0</v>
      </c>
      <c r="AL44" s="1129">
        <v>0</v>
      </c>
      <c r="AM44" s="1129">
        <v>0</v>
      </c>
      <c r="AN44" s="1129">
        <v>0</v>
      </c>
      <c r="AO44" s="1129"/>
      <c r="AP44" s="1129">
        <v>0</v>
      </c>
      <c r="AQ44" s="1129">
        <v>0</v>
      </c>
      <c r="AR44" s="1129"/>
      <c r="AS44" s="1129">
        <v>0</v>
      </c>
      <c r="AT44" s="1129">
        <v>0</v>
      </c>
      <c r="AU44" s="1129">
        <v>0</v>
      </c>
      <c r="AV44" s="1129">
        <v>0</v>
      </c>
    </row>
    <row r="45" spans="2:48" collapsed="1" x14ac:dyDescent="0.2">
      <c r="B45" s="206" t="s">
        <v>292</v>
      </c>
      <c r="C45" s="120">
        <f>(SUM(C34:C44))</f>
        <v>757</v>
      </c>
      <c r="D45" s="120"/>
      <c r="E45" s="120">
        <f t="shared" ref="E45:AM45" si="16">(SUM(E34:E44))</f>
        <v>9700</v>
      </c>
      <c r="F45" s="120">
        <f t="shared" si="16"/>
        <v>9774</v>
      </c>
      <c r="G45" s="120">
        <f t="shared" si="16"/>
        <v>6139</v>
      </c>
      <c r="H45" s="120">
        <f t="shared" si="16"/>
        <v>6139</v>
      </c>
      <c r="I45" s="120">
        <f t="shared" si="16"/>
        <v>5822</v>
      </c>
      <c r="J45" s="120">
        <f t="shared" si="16"/>
        <v>903</v>
      </c>
      <c r="K45" s="120">
        <f t="shared" si="16"/>
        <v>1128</v>
      </c>
      <c r="L45" s="120">
        <f t="shared" si="16"/>
        <v>1158</v>
      </c>
      <c r="M45" s="120">
        <f t="shared" si="16"/>
        <v>826.00070000000005</v>
      </c>
      <c r="N45" s="120">
        <f t="shared" si="16"/>
        <v>821.71617999999989</v>
      </c>
      <c r="O45" s="120">
        <f t="shared" si="16"/>
        <v>825.60808999999995</v>
      </c>
      <c r="P45" s="120">
        <f t="shared" si="16"/>
        <v>812</v>
      </c>
      <c r="Q45" s="120">
        <f t="shared" si="16"/>
        <v>591</v>
      </c>
      <c r="R45" s="120">
        <f t="shared" si="16"/>
        <v>1588</v>
      </c>
      <c r="S45" s="120">
        <f t="shared" si="16"/>
        <v>2311</v>
      </c>
      <c r="T45" s="120">
        <f t="shared" si="16"/>
        <v>98</v>
      </c>
      <c r="U45" s="120">
        <f t="shared" si="16"/>
        <v>1025</v>
      </c>
      <c r="V45" s="120">
        <f t="shared" si="16"/>
        <v>32</v>
      </c>
      <c r="W45" s="120">
        <f t="shared" si="16"/>
        <v>72</v>
      </c>
      <c r="X45" s="120">
        <f t="shared" si="16"/>
        <v>28</v>
      </c>
      <c r="Y45" s="120">
        <f t="shared" si="16"/>
        <v>37</v>
      </c>
      <c r="Z45" s="120">
        <f t="shared" si="16"/>
        <v>35</v>
      </c>
      <c r="AA45" s="120">
        <f t="shared" si="16"/>
        <v>73</v>
      </c>
      <c r="AB45" s="120">
        <f t="shared" si="16"/>
        <v>54</v>
      </c>
      <c r="AC45" s="120">
        <f t="shared" si="16"/>
        <v>25</v>
      </c>
      <c r="AD45" s="120">
        <f t="shared" si="16"/>
        <v>421</v>
      </c>
      <c r="AE45" s="120">
        <f t="shared" si="16"/>
        <v>141</v>
      </c>
      <c r="AF45" s="120">
        <f t="shared" si="16"/>
        <v>69</v>
      </c>
      <c r="AG45" s="120">
        <f t="shared" si="16"/>
        <v>143</v>
      </c>
      <c r="AH45" s="120">
        <f t="shared" si="16"/>
        <v>169</v>
      </c>
      <c r="AI45" s="120">
        <f t="shared" si="16"/>
        <v>806</v>
      </c>
      <c r="AJ45" s="120">
        <f t="shared" si="16"/>
        <v>749</v>
      </c>
      <c r="AK45" s="120">
        <f t="shared" si="16"/>
        <v>684</v>
      </c>
      <c r="AL45" s="120">
        <f t="shared" si="16"/>
        <v>656</v>
      </c>
      <c r="AM45" s="120">
        <f t="shared" si="16"/>
        <v>731</v>
      </c>
      <c r="AN45" s="120">
        <f t="shared" ref="AN45:AT45" si="17">(SUM(AN34:AN44))</f>
        <v>1155</v>
      </c>
      <c r="AO45" s="120">
        <f t="shared" si="17"/>
        <v>894</v>
      </c>
      <c r="AP45" s="120">
        <f t="shared" si="17"/>
        <v>869</v>
      </c>
      <c r="AQ45" s="120">
        <f t="shared" si="17"/>
        <v>661</v>
      </c>
      <c r="AR45" s="120">
        <f t="shared" si="17"/>
        <v>1120</v>
      </c>
      <c r="AS45" s="120">
        <f t="shared" si="17"/>
        <v>1021</v>
      </c>
      <c r="AT45" s="120">
        <f t="shared" si="17"/>
        <v>885</v>
      </c>
      <c r="AU45" s="120">
        <f>(SUM(AU34:AU44))</f>
        <v>950</v>
      </c>
      <c r="AV45" s="120">
        <f>(SUM(AV34:AV44))</f>
        <v>952</v>
      </c>
    </row>
    <row r="46" spans="2:48" x14ac:dyDescent="0.2">
      <c r="B46" s="129" t="s">
        <v>1132</v>
      </c>
      <c r="C46" s="214">
        <v>0</v>
      </c>
      <c r="D46" s="214"/>
      <c r="E46" s="214">
        <v>0</v>
      </c>
      <c r="F46" s="214">
        <v>0</v>
      </c>
      <c r="G46" s="214">
        <v>0</v>
      </c>
      <c r="H46" s="214">
        <v>0</v>
      </c>
      <c r="I46" s="214">
        <v>0</v>
      </c>
      <c r="J46" s="214">
        <v>0</v>
      </c>
      <c r="K46" s="214">
        <v>0</v>
      </c>
      <c r="L46" s="214">
        <v>0</v>
      </c>
      <c r="M46" s="214">
        <v>0</v>
      </c>
      <c r="N46" s="214">
        <v>0</v>
      </c>
      <c r="O46" s="214">
        <v>0</v>
      </c>
      <c r="P46" s="214">
        <v>0</v>
      </c>
      <c r="Q46" s="214">
        <v>0</v>
      </c>
      <c r="R46" s="214">
        <v>0</v>
      </c>
      <c r="S46" s="214">
        <v>0</v>
      </c>
      <c r="T46" s="214">
        <v>346</v>
      </c>
      <c r="U46" s="214">
        <v>457</v>
      </c>
      <c r="V46" s="214">
        <v>300</v>
      </c>
      <c r="W46" s="214">
        <v>333</v>
      </c>
      <c r="X46" s="214">
        <v>374</v>
      </c>
      <c r="Y46" s="214">
        <v>455</v>
      </c>
      <c r="Z46" s="214">
        <v>461</v>
      </c>
      <c r="AA46" s="214">
        <v>507</v>
      </c>
      <c r="AB46" s="214">
        <v>512</v>
      </c>
      <c r="AC46" s="214">
        <v>400</v>
      </c>
      <c r="AD46" s="214">
        <v>239</v>
      </c>
      <c r="AE46" s="214">
        <v>166</v>
      </c>
      <c r="AF46" s="214">
        <v>94</v>
      </c>
      <c r="AG46" s="214">
        <v>566</v>
      </c>
      <c r="AH46" s="214">
        <v>545</v>
      </c>
      <c r="AI46" s="214">
        <v>564</v>
      </c>
      <c r="AJ46" s="214">
        <v>481</v>
      </c>
      <c r="AK46" s="214">
        <v>343</v>
      </c>
      <c r="AL46" s="214">
        <v>414</v>
      </c>
      <c r="AM46" s="214">
        <v>105</v>
      </c>
      <c r="AN46" s="214">
        <v>1942</v>
      </c>
      <c r="AO46" s="214">
        <v>2039</v>
      </c>
      <c r="AP46" s="214">
        <v>2099</v>
      </c>
      <c r="AQ46" s="214">
        <v>2181</v>
      </c>
      <c r="AR46" s="214">
        <v>1918</v>
      </c>
      <c r="AS46" s="214">
        <v>1361</v>
      </c>
      <c r="AT46" s="214">
        <v>2233</v>
      </c>
      <c r="AU46" s="214">
        <v>2233</v>
      </c>
      <c r="AV46" s="214">
        <v>1967</v>
      </c>
    </row>
    <row r="47" spans="2:48" x14ac:dyDescent="0.2">
      <c r="B47" s="129" t="s">
        <v>444</v>
      </c>
      <c r="C47" s="214">
        <v>0</v>
      </c>
      <c r="D47" s="214"/>
      <c r="E47" s="214">
        <v>0</v>
      </c>
      <c r="F47" s="214">
        <v>0</v>
      </c>
      <c r="G47" s="214">
        <v>0</v>
      </c>
      <c r="H47" s="214">
        <v>0</v>
      </c>
      <c r="I47" s="214">
        <v>0</v>
      </c>
      <c r="J47" s="214">
        <v>0</v>
      </c>
      <c r="K47" s="214">
        <v>0</v>
      </c>
      <c r="L47" s="214">
        <v>0</v>
      </c>
      <c r="M47" s="214">
        <v>0</v>
      </c>
      <c r="N47" s="214">
        <v>0</v>
      </c>
      <c r="O47" s="214">
        <v>0</v>
      </c>
      <c r="P47" s="214">
        <v>0</v>
      </c>
      <c r="Q47" s="214">
        <v>0</v>
      </c>
      <c r="R47" s="214">
        <v>0</v>
      </c>
      <c r="S47" s="214">
        <v>0</v>
      </c>
      <c r="T47" s="214">
        <v>3170</v>
      </c>
      <c r="U47" s="214">
        <v>2309</v>
      </c>
      <c r="V47" s="214">
        <v>1375</v>
      </c>
      <c r="W47" s="214">
        <v>373</v>
      </c>
      <c r="X47" s="214">
        <v>3930</v>
      </c>
      <c r="Y47" s="214">
        <v>3796</v>
      </c>
      <c r="Z47" s="214">
        <v>4272</v>
      </c>
      <c r="AA47" s="214">
        <v>4190</v>
      </c>
      <c r="AB47" s="214">
        <v>3601</v>
      </c>
      <c r="AC47" s="214">
        <v>3963</v>
      </c>
      <c r="AD47" s="214">
        <v>4001</v>
      </c>
      <c r="AE47" s="214">
        <v>4307</v>
      </c>
      <c r="AF47" s="214">
        <v>4286</v>
      </c>
      <c r="AG47" s="214">
        <v>4364</v>
      </c>
      <c r="AH47" s="214">
        <v>2755</v>
      </c>
      <c r="AI47" s="214">
        <v>2860</v>
      </c>
      <c r="AJ47" s="214">
        <v>3140</v>
      </c>
      <c r="AK47" s="214">
        <v>3259</v>
      </c>
      <c r="AL47" s="214">
        <v>3383</v>
      </c>
      <c r="AM47" s="214">
        <v>3511</v>
      </c>
      <c r="AN47" s="214">
        <v>3813</v>
      </c>
      <c r="AO47" s="214">
        <v>3958</v>
      </c>
      <c r="AP47" s="214">
        <v>4108</v>
      </c>
      <c r="AQ47" s="214">
        <v>4953</v>
      </c>
      <c r="AR47" s="214">
        <v>5189</v>
      </c>
      <c r="AS47" s="214">
        <v>5189</v>
      </c>
      <c r="AT47" s="214">
        <v>5190</v>
      </c>
      <c r="AU47" s="214">
        <v>5192</v>
      </c>
      <c r="AV47" s="214">
        <v>4133</v>
      </c>
    </row>
    <row r="48" spans="2:48" hidden="1" outlineLevel="2" x14ac:dyDescent="0.2">
      <c r="B48" s="249" t="s">
        <v>448</v>
      </c>
      <c r="C48" s="1129">
        <v>0</v>
      </c>
      <c r="D48" s="1129"/>
      <c r="E48" s="1129">
        <v>0</v>
      </c>
      <c r="F48" s="1129">
        <v>0</v>
      </c>
      <c r="G48" s="1129">
        <v>0</v>
      </c>
      <c r="H48" s="1129">
        <v>0</v>
      </c>
      <c r="I48" s="1129">
        <v>0</v>
      </c>
      <c r="J48" s="1129">
        <v>0</v>
      </c>
      <c r="K48" s="1129">
        <v>0</v>
      </c>
      <c r="L48" s="1129">
        <v>0</v>
      </c>
      <c r="M48" s="1129">
        <v>0</v>
      </c>
      <c r="N48" s="1129">
        <v>0</v>
      </c>
      <c r="O48" s="1129">
        <v>0</v>
      </c>
      <c r="P48" s="1129">
        <v>0</v>
      </c>
      <c r="Q48" s="1129">
        <v>0</v>
      </c>
      <c r="R48" s="1129">
        <v>0</v>
      </c>
      <c r="S48" s="1129">
        <v>0</v>
      </c>
      <c r="T48" s="1129">
        <v>1062</v>
      </c>
      <c r="U48" s="1129">
        <v>1099</v>
      </c>
      <c r="V48" s="1129">
        <v>1107</v>
      </c>
      <c r="W48" s="1129">
        <v>0</v>
      </c>
      <c r="X48" s="1129">
        <v>0</v>
      </c>
      <c r="Y48" s="1129">
        <v>0</v>
      </c>
      <c r="Z48" s="1129">
        <v>0</v>
      </c>
      <c r="AA48" s="1129">
        <v>0</v>
      </c>
      <c r="AB48" s="1129">
        <v>0</v>
      </c>
      <c r="AC48" s="1129">
        <v>0</v>
      </c>
      <c r="AD48" s="1129" t="s">
        <v>160</v>
      </c>
      <c r="AE48" s="1129" t="s">
        <v>160</v>
      </c>
      <c r="AF48" s="1129">
        <v>0</v>
      </c>
      <c r="AG48" s="1129">
        <v>0</v>
      </c>
      <c r="AH48" s="1129">
        <v>0</v>
      </c>
      <c r="AI48" s="1129">
        <v>0</v>
      </c>
      <c r="AJ48" s="1129">
        <v>0</v>
      </c>
      <c r="AK48" s="1129">
        <v>0</v>
      </c>
      <c r="AL48" s="1129">
        <v>0</v>
      </c>
      <c r="AM48" s="1129">
        <v>0</v>
      </c>
      <c r="AN48" s="1129">
        <v>0</v>
      </c>
      <c r="AO48" s="1129"/>
      <c r="AP48" s="1129">
        <v>0</v>
      </c>
      <c r="AQ48" s="1129">
        <v>0</v>
      </c>
      <c r="AR48" s="1129"/>
      <c r="AS48" s="1129">
        <v>0</v>
      </c>
      <c r="AT48" s="1129">
        <v>0</v>
      </c>
      <c r="AU48" s="1129">
        <v>0</v>
      </c>
      <c r="AV48" s="1129">
        <v>0</v>
      </c>
    </row>
    <row r="49" spans="2:48" hidden="1" outlineLevel="2" x14ac:dyDescent="0.2">
      <c r="B49" s="249" t="s">
        <v>434</v>
      </c>
      <c r="C49" s="1129">
        <v>0</v>
      </c>
      <c r="D49" s="1129"/>
      <c r="E49" s="1129">
        <v>0</v>
      </c>
      <c r="F49" s="1129">
        <v>0</v>
      </c>
      <c r="G49" s="1129">
        <v>0</v>
      </c>
      <c r="H49" s="1129">
        <v>0</v>
      </c>
      <c r="I49" s="1129">
        <v>0</v>
      </c>
      <c r="J49" s="1129">
        <v>0</v>
      </c>
      <c r="K49" s="1129">
        <v>0</v>
      </c>
      <c r="L49" s="1129">
        <v>0</v>
      </c>
      <c r="M49" s="1129">
        <v>0</v>
      </c>
      <c r="N49" s="1129">
        <v>0</v>
      </c>
      <c r="O49" s="1129">
        <v>0</v>
      </c>
      <c r="P49" s="1129">
        <v>0</v>
      </c>
      <c r="Q49" s="1129">
        <v>0</v>
      </c>
      <c r="R49" s="1129">
        <v>0</v>
      </c>
      <c r="S49" s="1129">
        <v>0</v>
      </c>
      <c r="T49" s="1129">
        <v>0</v>
      </c>
      <c r="U49" s="1129">
        <v>0</v>
      </c>
      <c r="V49" s="1129" t="s">
        <v>160</v>
      </c>
      <c r="W49" s="1129" t="s">
        <v>160</v>
      </c>
      <c r="X49" s="1129" t="s">
        <v>160</v>
      </c>
      <c r="Y49" s="1129" t="s">
        <v>160</v>
      </c>
      <c r="Z49" s="1129" t="s">
        <v>160</v>
      </c>
      <c r="AA49" s="1129" t="s">
        <v>160</v>
      </c>
      <c r="AB49" s="1129" t="s">
        <v>160</v>
      </c>
      <c r="AC49" s="1129">
        <v>0</v>
      </c>
      <c r="AD49" s="1129" t="s">
        <v>160</v>
      </c>
      <c r="AE49" s="1129" t="s">
        <v>160</v>
      </c>
      <c r="AF49" s="1129" t="s">
        <v>160</v>
      </c>
      <c r="AG49" s="1129" t="s">
        <v>160</v>
      </c>
      <c r="AH49" s="1129" t="s">
        <v>160</v>
      </c>
      <c r="AI49" s="1129" t="s">
        <v>160</v>
      </c>
      <c r="AJ49" s="1129" t="s">
        <v>160</v>
      </c>
      <c r="AK49" s="1129" t="s">
        <v>160</v>
      </c>
      <c r="AL49" s="1129" t="s">
        <v>160</v>
      </c>
      <c r="AM49" s="1129" t="s">
        <v>160</v>
      </c>
      <c r="AN49" s="1129" t="s">
        <v>160</v>
      </c>
      <c r="AO49" s="1129"/>
      <c r="AP49" s="1129" t="s">
        <v>160</v>
      </c>
      <c r="AQ49" s="1129" t="s">
        <v>160</v>
      </c>
      <c r="AR49" s="1129"/>
      <c r="AS49" s="1129" t="s">
        <v>160</v>
      </c>
      <c r="AT49" s="1129" t="s">
        <v>160</v>
      </c>
      <c r="AU49" s="1129" t="s">
        <v>160</v>
      </c>
      <c r="AV49" s="1129" t="s">
        <v>160</v>
      </c>
    </row>
    <row r="50" spans="2:48" collapsed="1" x14ac:dyDescent="0.2">
      <c r="B50" s="206" t="s">
        <v>860</v>
      </c>
      <c r="C50" s="120">
        <f>SUM(C46:C48)</f>
        <v>0</v>
      </c>
      <c r="D50" s="120"/>
      <c r="E50" s="120">
        <f t="shared" ref="E50:AM50" si="18">SUM(E46:E48)</f>
        <v>0</v>
      </c>
      <c r="F50" s="120">
        <f t="shared" si="18"/>
        <v>0</v>
      </c>
      <c r="G50" s="120">
        <f t="shared" si="18"/>
        <v>0</v>
      </c>
      <c r="H50" s="120">
        <f t="shared" si="18"/>
        <v>0</v>
      </c>
      <c r="I50" s="120">
        <f t="shared" si="18"/>
        <v>0</v>
      </c>
      <c r="J50" s="120">
        <f t="shared" si="18"/>
        <v>0</v>
      </c>
      <c r="K50" s="120">
        <f t="shared" si="18"/>
        <v>0</v>
      </c>
      <c r="L50" s="120">
        <f t="shared" si="18"/>
        <v>0</v>
      </c>
      <c r="M50" s="120">
        <f t="shared" si="18"/>
        <v>0</v>
      </c>
      <c r="N50" s="120">
        <f t="shared" si="18"/>
        <v>0</v>
      </c>
      <c r="O50" s="120">
        <f t="shared" si="18"/>
        <v>0</v>
      </c>
      <c r="P50" s="120">
        <f t="shared" si="18"/>
        <v>0</v>
      </c>
      <c r="Q50" s="120">
        <f t="shared" si="18"/>
        <v>0</v>
      </c>
      <c r="R50" s="120">
        <f t="shared" si="18"/>
        <v>0</v>
      </c>
      <c r="S50" s="120">
        <f t="shared" si="18"/>
        <v>0</v>
      </c>
      <c r="T50" s="120">
        <f t="shared" si="18"/>
        <v>4578</v>
      </c>
      <c r="U50" s="120">
        <f t="shared" si="18"/>
        <v>3865</v>
      </c>
      <c r="V50" s="120">
        <f t="shared" si="18"/>
        <v>2782</v>
      </c>
      <c r="W50" s="120">
        <f t="shared" si="18"/>
        <v>706</v>
      </c>
      <c r="X50" s="120">
        <f t="shared" si="18"/>
        <v>4304</v>
      </c>
      <c r="Y50" s="120">
        <f t="shared" si="18"/>
        <v>4251</v>
      </c>
      <c r="Z50" s="120">
        <f t="shared" si="18"/>
        <v>4733</v>
      </c>
      <c r="AA50" s="120">
        <f t="shared" si="18"/>
        <v>4697</v>
      </c>
      <c r="AB50" s="120">
        <f t="shared" si="18"/>
        <v>4113</v>
      </c>
      <c r="AC50" s="120">
        <f t="shared" si="18"/>
        <v>4363</v>
      </c>
      <c r="AD50" s="120">
        <f t="shared" si="18"/>
        <v>4240</v>
      </c>
      <c r="AE50" s="120">
        <f t="shared" si="18"/>
        <v>4473</v>
      </c>
      <c r="AF50" s="120">
        <f t="shared" si="18"/>
        <v>4380</v>
      </c>
      <c r="AG50" s="120">
        <f t="shared" si="18"/>
        <v>4930</v>
      </c>
      <c r="AH50" s="120">
        <f t="shared" si="18"/>
        <v>3300</v>
      </c>
      <c r="AI50" s="120">
        <f t="shared" si="18"/>
        <v>3424</v>
      </c>
      <c r="AJ50" s="120">
        <f t="shared" si="18"/>
        <v>3621</v>
      </c>
      <c r="AK50" s="120">
        <f t="shared" si="18"/>
        <v>3602</v>
      </c>
      <c r="AL50" s="120">
        <f t="shared" si="18"/>
        <v>3797</v>
      </c>
      <c r="AM50" s="120">
        <f t="shared" si="18"/>
        <v>3616</v>
      </c>
      <c r="AN50" s="120">
        <f t="shared" ref="AN50:AS50" si="19">SUM(AN46:AN48)</f>
        <v>5755</v>
      </c>
      <c r="AO50" s="120">
        <f t="shared" si="19"/>
        <v>5997</v>
      </c>
      <c r="AP50" s="120">
        <f t="shared" si="19"/>
        <v>6207</v>
      </c>
      <c r="AQ50" s="120">
        <f t="shared" si="19"/>
        <v>7134</v>
      </c>
      <c r="AR50" s="120">
        <f t="shared" si="19"/>
        <v>7107</v>
      </c>
      <c r="AS50" s="120">
        <f t="shared" si="19"/>
        <v>6550</v>
      </c>
      <c r="AT50" s="120">
        <f>SUM(AT46:AT48)</f>
        <v>7423</v>
      </c>
      <c r="AU50" s="120">
        <f>SUM(AU46:AU48)</f>
        <v>7425</v>
      </c>
      <c r="AV50" s="120">
        <f>SUM(AV46:AV48)</f>
        <v>6100</v>
      </c>
    </row>
    <row r="51" spans="2:48" x14ac:dyDescent="0.2">
      <c r="B51" s="206" t="s">
        <v>859</v>
      </c>
      <c r="C51" s="120">
        <f>C50+C45</f>
        <v>757</v>
      </c>
      <c r="D51" s="120"/>
      <c r="E51" s="120">
        <f t="shared" ref="E51:AM51" si="20">E50+E45</f>
        <v>9700</v>
      </c>
      <c r="F51" s="120">
        <f t="shared" si="20"/>
        <v>9774</v>
      </c>
      <c r="G51" s="120">
        <f t="shared" si="20"/>
        <v>6139</v>
      </c>
      <c r="H51" s="120">
        <f t="shared" si="20"/>
        <v>6139</v>
      </c>
      <c r="I51" s="120">
        <f t="shared" si="20"/>
        <v>5822</v>
      </c>
      <c r="J51" s="120">
        <f t="shared" si="20"/>
        <v>903</v>
      </c>
      <c r="K51" s="120">
        <f t="shared" si="20"/>
        <v>1128</v>
      </c>
      <c r="L51" s="120">
        <f t="shared" si="20"/>
        <v>1158</v>
      </c>
      <c r="M51" s="120">
        <f t="shared" si="20"/>
        <v>826.00070000000005</v>
      </c>
      <c r="N51" s="120">
        <f t="shared" si="20"/>
        <v>821.71617999999989</v>
      </c>
      <c r="O51" s="120">
        <f t="shared" si="20"/>
        <v>825.60808999999995</v>
      </c>
      <c r="P51" s="120">
        <f t="shared" si="20"/>
        <v>812</v>
      </c>
      <c r="Q51" s="120">
        <f t="shared" si="20"/>
        <v>591</v>
      </c>
      <c r="R51" s="120">
        <f t="shared" si="20"/>
        <v>1588</v>
      </c>
      <c r="S51" s="120">
        <f t="shared" si="20"/>
        <v>2311</v>
      </c>
      <c r="T51" s="120">
        <f t="shared" si="20"/>
        <v>4676</v>
      </c>
      <c r="U51" s="120">
        <f t="shared" si="20"/>
        <v>4890</v>
      </c>
      <c r="V51" s="120">
        <f t="shared" si="20"/>
        <v>2814</v>
      </c>
      <c r="W51" s="120">
        <f t="shared" si="20"/>
        <v>778</v>
      </c>
      <c r="X51" s="120">
        <f t="shared" si="20"/>
        <v>4332</v>
      </c>
      <c r="Y51" s="120">
        <f t="shared" si="20"/>
        <v>4288</v>
      </c>
      <c r="Z51" s="120">
        <f t="shared" si="20"/>
        <v>4768</v>
      </c>
      <c r="AA51" s="120">
        <f t="shared" si="20"/>
        <v>4770</v>
      </c>
      <c r="AB51" s="120">
        <f t="shared" si="20"/>
        <v>4167</v>
      </c>
      <c r="AC51" s="120">
        <f t="shared" si="20"/>
        <v>4388</v>
      </c>
      <c r="AD51" s="120">
        <f t="shared" si="20"/>
        <v>4661</v>
      </c>
      <c r="AE51" s="120">
        <f t="shared" si="20"/>
        <v>4614</v>
      </c>
      <c r="AF51" s="120">
        <f t="shared" si="20"/>
        <v>4449</v>
      </c>
      <c r="AG51" s="120">
        <f t="shared" si="20"/>
        <v>5073</v>
      </c>
      <c r="AH51" s="120">
        <f t="shared" si="20"/>
        <v>3469</v>
      </c>
      <c r="AI51" s="120">
        <f t="shared" si="20"/>
        <v>4230</v>
      </c>
      <c r="AJ51" s="120">
        <f t="shared" si="20"/>
        <v>4370</v>
      </c>
      <c r="AK51" s="120">
        <f t="shared" si="20"/>
        <v>4286</v>
      </c>
      <c r="AL51" s="120">
        <f t="shared" si="20"/>
        <v>4453</v>
      </c>
      <c r="AM51" s="120">
        <f t="shared" si="20"/>
        <v>4347</v>
      </c>
      <c r="AN51" s="120">
        <f t="shared" ref="AN51:AT51" si="21">AN50+AN45</f>
        <v>6910</v>
      </c>
      <c r="AO51" s="120">
        <f t="shared" si="21"/>
        <v>6891</v>
      </c>
      <c r="AP51" s="120">
        <f t="shared" si="21"/>
        <v>7076</v>
      </c>
      <c r="AQ51" s="120">
        <f t="shared" si="21"/>
        <v>7795</v>
      </c>
      <c r="AR51" s="120">
        <f t="shared" si="21"/>
        <v>8227</v>
      </c>
      <c r="AS51" s="120">
        <f t="shared" si="21"/>
        <v>7571</v>
      </c>
      <c r="AT51" s="120">
        <f t="shared" si="21"/>
        <v>8308</v>
      </c>
      <c r="AU51" s="120">
        <f>AU50+AU45</f>
        <v>8375</v>
      </c>
      <c r="AV51" s="120">
        <f>AV50+AV45</f>
        <v>7052</v>
      </c>
    </row>
    <row r="52" spans="2:48" x14ac:dyDescent="0.2">
      <c r="B52" s="129" t="s">
        <v>1132</v>
      </c>
      <c r="C52" s="214">
        <v>0</v>
      </c>
      <c r="D52" s="214"/>
      <c r="E52" s="214">
        <v>0</v>
      </c>
      <c r="F52" s="214">
        <v>0</v>
      </c>
      <c r="G52" s="214">
        <v>0</v>
      </c>
      <c r="H52" s="214">
        <v>0</v>
      </c>
      <c r="I52" s="214">
        <v>0</v>
      </c>
      <c r="J52" s="214">
        <v>0</v>
      </c>
      <c r="K52" s="214">
        <v>0</v>
      </c>
      <c r="L52" s="214">
        <v>0</v>
      </c>
      <c r="M52" s="214">
        <v>0</v>
      </c>
      <c r="N52" s="214">
        <v>0</v>
      </c>
      <c r="O52" s="214">
        <v>0</v>
      </c>
      <c r="P52" s="214">
        <v>0</v>
      </c>
      <c r="Q52" s="214">
        <v>0</v>
      </c>
      <c r="R52" s="214">
        <v>0</v>
      </c>
      <c r="S52" s="214">
        <v>0</v>
      </c>
      <c r="T52" s="214">
        <v>2087</v>
      </c>
      <c r="U52" s="214">
        <v>2445</v>
      </c>
      <c r="V52" s="214">
        <v>2829</v>
      </c>
      <c r="W52" s="214">
        <v>542</v>
      </c>
      <c r="X52" s="214">
        <v>663</v>
      </c>
      <c r="Y52" s="214">
        <v>700</v>
      </c>
      <c r="Z52" s="214">
        <v>592</v>
      </c>
      <c r="AA52" s="214">
        <v>559</v>
      </c>
      <c r="AB52" s="214">
        <v>559</v>
      </c>
      <c r="AC52" s="214">
        <v>553</v>
      </c>
      <c r="AD52" s="214">
        <v>553</v>
      </c>
      <c r="AE52" s="214">
        <v>551</v>
      </c>
      <c r="AF52" s="214">
        <v>528</v>
      </c>
      <c r="AG52" s="214">
        <v>524</v>
      </c>
      <c r="AH52" s="214">
        <v>524</v>
      </c>
      <c r="AI52" s="214">
        <v>524</v>
      </c>
      <c r="AJ52" s="214">
        <v>524</v>
      </c>
      <c r="AK52" s="214">
        <v>524</v>
      </c>
      <c r="AL52" s="214">
        <v>524</v>
      </c>
      <c r="AM52" s="214">
        <v>524</v>
      </c>
      <c r="AN52" s="214">
        <v>524</v>
      </c>
      <c r="AO52" s="214">
        <v>524</v>
      </c>
      <c r="AP52" s="214">
        <v>524</v>
      </c>
      <c r="AQ52" s="214">
        <v>524</v>
      </c>
      <c r="AR52" s="214">
        <v>524</v>
      </c>
      <c r="AS52" s="214">
        <v>524</v>
      </c>
      <c r="AT52" s="214">
        <v>524</v>
      </c>
      <c r="AU52" s="214">
        <v>524</v>
      </c>
      <c r="AV52" s="214">
        <v>524</v>
      </c>
    </row>
    <row r="53" spans="2:48" x14ac:dyDescent="0.2">
      <c r="B53" s="129" t="s">
        <v>1349</v>
      </c>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v>0</v>
      </c>
      <c r="AG53" s="214">
        <v>0</v>
      </c>
      <c r="AH53" s="214">
        <v>0</v>
      </c>
      <c r="AI53" s="214">
        <v>0</v>
      </c>
      <c r="AJ53" s="214">
        <v>0</v>
      </c>
      <c r="AK53" s="214">
        <v>0</v>
      </c>
      <c r="AL53" s="214">
        <v>0</v>
      </c>
      <c r="AM53" s="214">
        <v>0</v>
      </c>
      <c r="AN53" s="214">
        <v>0</v>
      </c>
      <c r="AO53" s="214">
        <v>0</v>
      </c>
      <c r="AP53" s="214">
        <v>0</v>
      </c>
      <c r="AQ53" s="214">
        <v>0</v>
      </c>
      <c r="AR53" s="214">
        <v>0</v>
      </c>
      <c r="AS53" s="214">
        <v>0</v>
      </c>
      <c r="AT53" s="214">
        <v>6855</v>
      </c>
      <c r="AU53" s="214">
        <v>6855</v>
      </c>
      <c r="AV53" s="214">
        <v>6855</v>
      </c>
    </row>
    <row r="54" spans="2:48" x14ac:dyDescent="0.2">
      <c r="B54" s="206" t="s">
        <v>292</v>
      </c>
      <c r="C54" s="120">
        <f>C52</f>
        <v>0</v>
      </c>
      <c r="D54" s="120"/>
      <c r="E54" s="120">
        <f t="shared" ref="E54:W54" si="22">E52</f>
        <v>0</v>
      </c>
      <c r="F54" s="120">
        <f t="shared" si="22"/>
        <v>0</v>
      </c>
      <c r="G54" s="120">
        <f t="shared" si="22"/>
        <v>0</v>
      </c>
      <c r="H54" s="120">
        <f t="shared" si="22"/>
        <v>0</v>
      </c>
      <c r="I54" s="120">
        <f t="shared" si="22"/>
        <v>0</v>
      </c>
      <c r="J54" s="120">
        <f t="shared" si="22"/>
        <v>0</v>
      </c>
      <c r="K54" s="120">
        <f t="shared" si="22"/>
        <v>0</v>
      </c>
      <c r="L54" s="120">
        <f t="shared" si="22"/>
        <v>0</v>
      </c>
      <c r="M54" s="120">
        <f t="shared" si="22"/>
        <v>0</v>
      </c>
      <c r="N54" s="120">
        <f t="shared" si="22"/>
        <v>0</v>
      </c>
      <c r="O54" s="120">
        <f t="shared" si="22"/>
        <v>0</v>
      </c>
      <c r="P54" s="120">
        <f t="shared" si="22"/>
        <v>0</v>
      </c>
      <c r="Q54" s="120">
        <f t="shared" si="22"/>
        <v>0</v>
      </c>
      <c r="R54" s="120">
        <f t="shared" si="22"/>
        <v>0</v>
      </c>
      <c r="S54" s="120">
        <f t="shared" si="22"/>
        <v>0</v>
      </c>
      <c r="T54" s="120">
        <f t="shared" si="22"/>
        <v>2087</v>
      </c>
      <c r="U54" s="120">
        <f t="shared" si="22"/>
        <v>2445</v>
      </c>
      <c r="V54" s="120">
        <f t="shared" si="22"/>
        <v>2829</v>
      </c>
      <c r="W54" s="120">
        <f t="shared" si="22"/>
        <v>542</v>
      </c>
      <c r="X54" s="120">
        <f t="shared" ref="X54:AG54" si="23">X52</f>
        <v>663</v>
      </c>
      <c r="Y54" s="120">
        <f t="shared" si="23"/>
        <v>700</v>
      </c>
      <c r="Z54" s="120">
        <f t="shared" si="23"/>
        <v>592</v>
      </c>
      <c r="AA54" s="120">
        <f t="shared" si="23"/>
        <v>559</v>
      </c>
      <c r="AB54" s="120">
        <f t="shared" si="23"/>
        <v>559</v>
      </c>
      <c r="AC54" s="120">
        <f t="shared" si="23"/>
        <v>553</v>
      </c>
      <c r="AD54" s="120">
        <f t="shared" si="23"/>
        <v>553</v>
      </c>
      <c r="AE54" s="120">
        <f t="shared" si="23"/>
        <v>551</v>
      </c>
      <c r="AF54" s="120">
        <f t="shared" si="23"/>
        <v>528</v>
      </c>
      <c r="AG54" s="120">
        <f t="shared" si="23"/>
        <v>524</v>
      </c>
      <c r="AH54" s="120">
        <f t="shared" ref="AH54:AQ54" si="24">AH52</f>
        <v>524</v>
      </c>
      <c r="AI54" s="120">
        <f t="shared" si="24"/>
        <v>524</v>
      </c>
      <c r="AJ54" s="120">
        <f t="shared" si="24"/>
        <v>524</v>
      </c>
      <c r="AK54" s="120">
        <f t="shared" si="24"/>
        <v>524</v>
      </c>
      <c r="AL54" s="120">
        <f t="shared" si="24"/>
        <v>524</v>
      </c>
      <c r="AM54" s="120">
        <f t="shared" si="24"/>
        <v>524</v>
      </c>
      <c r="AN54" s="120">
        <f t="shared" si="24"/>
        <v>524</v>
      </c>
      <c r="AO54" s="120">
        <f t="shared" si="24"/>
        <v>524</v>
      </c>
      <c r="AP54" s="120">
        <f t="shared" si="24"/>
        <v>524</v>
      </c>
      <c r="AQ54" s="120">
        <f t="shared" si="24"/>
        <v>524</v>
      </c>
      <c r="AR54" s="120">
        <f>AR52</f>
        <v>524</v>
      </c>
      <c r="AS54" s="120">
        <f>AS52</f>
        <v>524</v>
      </c>
      <c r="AT54" s="120">
        <f>AT52+AT53</f>
        <v>7379</v>
      </c>
      <c r="AU54" s="120">
        <f>AU52+AU53</f>
        <v>7379</v>
      </c>
      <c r="AV54" s="120">
        <f>AV52+AV53</f>
        <v>7379</v>
      </c>
    </row>
    <row r="55" spans="2:48" x14ac:dyDescent="0.2">
      <c r="B55" s="129" t="s">
        <v>1132</v>
      </c>
      <c r="C55" s="214" t="s">
        <v>160</v>
      </c>
      <c r="D55" s="214"/>
      <c r="E55" s="214" t="s">
        <v>160</v>
      </c>
      <c r="F55" s="214" t="s">
        <v>160</v>
      </c>
      <c r="G55" s="214" t="s">
        <v>160</v>
      </c>
      <c r="H55" s="214" t="s">
        <v>160</v>
      </c>
      <c r="I55" s="214" t="s">
        <v>160</v>
      </c>
      <c r="J55" s="214" t="s">
        <v>160</v>
      </c>
      <c r="K55" s="214" t="s">
        <v>160</v>
      </c>
      <c r="L55" s="214" t="s">
        <v>160</v>
      </c>
      <c r="M55" s="214" t="s">
        <v>160</v>
      </c>
      <c r="N55" s="214" t="s">
        <v>160</v>
      </c>
      <c r="O55" s="214" t="s">
        <v>160</v>
      </c>
      <c r="P55" s="214" t="s">
        <v>160</v>
      </c>
      <c r="Q55" s="214" t="s">
        <v>160</v>
      </c>
      <c r="R55" s="214" t="s">
        <v>160</v>
      </c>
      <c r="S55" s="214" t="s">
        <v>160</v>
      </c>
      <c r="T55" s="214" t="s">
        <v>160</v>
      </c>
      <c r="U55" s="214" t="s">
        <v>160</v>
      </c>
      <c r="V55" s="214" t="s">
        <v>160</v>
      </c>
      <c r="W55" s="214" t="s">
        <v>160</v>
      </c>
      <c r="X55" s="214" t="s">
        <v>160</v>
      </c>
      <c r="Y55" s="214" t="s">
        <v>160</v>
      </c>
      <c r="Z55" s="214" t="s">
        <v>160</v>
      </c>
      <c r="AA55" s="214" t="s">
        <v>160</v>
      </c>
      <c r="AB55" s="214" t="s">
        <v>160</v>
      </c>
      <c r="AC55" s="214" t="s">
        <v>160</v>
      </c>
      <c r="AD55" s="214" t="s">
        <v>160</v>
      </c>
      <c r="AE55" s="214" t="s">
        <v>160</v>
      </c>
      <c r="AF55" s="214" t="s">
        <v>160</v>
      </c>
      <c r="AG55" s="214">
        <v>194</v>
      </c>
      <c r="AH55" s="214">
        <v>199</v>
      </c>
      <c r="AI55" s="214">
        <v>51</v>
      </c>
      <c r="AJ55" s="214">
        <v>0</v>
      </c>
      <c r="AK55" s="214">
        <v>0</v>
      </c>
      <c r="AL55" s="214">
        <v>0</v>
      </c>
      <c r="AM55" s="214">
        <v>0</v>
      </c>
      <c r="AN55" s="214">
        <v>1822</v>
      </c>
      <c r="AO55" s="214">
        <v>1302</v>
      </c>
      <c r="AP55" s="214">
        <v>755</v>
      </c>
      <c r="AQ55" s="214">
        <v>171</v>
      </c>
      <c r="AR55" s="214">
        <v>0</v>
      </c>
      <c r="AS55" s="214">
        <v>0</v>
      </c>
      <c r="AT55" s="214">
        <v>0</v>
      </c>
      <c r="AU55" s="214">
        <v>171</v>
      </c>
      <c r="AV55" s="214">
        <v>0</v>
      </c>
    </row>
    <row r="56" spans="2:48" x14ac:dyDescent="0.2">
      <c r="B56" s="129" t="s">
        <v>1350</v>
      </c>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v>0</v>
      </c>
      <c r="AU56" s="214">
        <v>0</v>
      </c>
      <c r="AV56" s="214">
        <v>0</v>
      </c>
    </row>
    <row r="57" spans="2:48" x14ac:dyDescent="0.2">
      <c r="B57" s="129" t="s">
        <v>444</v>
      </c>
      <c r="C57" s="214">
        <v>0</v>
      </c>
      <c r="D57" s="214"/>
      <c r="E57" s="214">
        <v>0</v>
      </c>
      <c r="F57" s="214">
        <v>0</v>
      </c>
      <c r="G57" s="214">
        <v>0</v>
      </c>
      <c r="H57" s="214">
        <v>0</v>
      </c>
      <c r="I57" s="214">
        <v>0</v>
      </c>
      <c r="J57" s="214">
        <v>0</v>
      </c>
      <c r="K57" s="214">
        <v>0</v>
      </c>
      <c r="L57" s="214">
        <v>0</v>
      </c>
      <c r="M57" s="214">
        <v>0</v>
      </c>
      <c r="N57" s="214">
        <v>0</v>
      </c>
      <c r="O57" s="214">
        <v>0</v>
      </c>
      <c r="P57" s="214">
        <v>0</v>
      </c>
      <c r="Q57" s="214">
        <v>0</v>
      </c>
      <c r="R57" s="214">
        <v>0</v>
      </c>
      <c r="S57" s="214">
        <v>0</v>
      </c>
      <c r="T57" s="214">
        <v>5195</v>
      </c>
      <c r="U57" s="214">
        <v>5074</v>
      </c>
      <c r="V57" s="214">
        <v>4797</v>
      </c>
      <c r="W57" s="214">
        <v>0</v>
      </c>
      <c r="X57" s="214">
        <v>7750</v>
      </c>
      <c r="Y57" s="214">
        <v>3796</v>
      </c>
      <c r="Z57" s="214">
        <v>5721</v>
      </c>
      <c r="AA57" s="214">
        <v>4683</v>
      </c>
      <c r="AB57" s="214">
        <v>7676</v>
      </c>
      <c r="AC57" s="214">
        <v>6631</v>
      </c>
      <c r="AD57" s="214">
        <v>5667</v>
      </c>
      <c r="AE57" s="214">
        <v>5043</v>
      </c>
      <c r="AF57" s="214">
        <v>4091</v>
      </c>
      <c r="AG57" s="214">
        <v>2935</v>
      </c>
      <c r="AH57" s="214">
        <v>12400</v>
      </c>
      <c r="AI57" s="214">
        <v>11644</v>
      </c>
      <c r="AJ57" s="214">
        <v>11489</v>
      </c>
      <c r="AK57" s="214">
        <v>10628</v>
      </c>
      <c r="AL57" s="214">
        <v>9734</v>
      </c>
      <c r="AM57" s="214">
        <v>8807</v>
      </c>
      <c r="AN57" s="214">
        <v>8206</v>
      </c>
      <c r="AO57" s="214">
        <v>7161</v>
      </c>
      <c r="AP57" s="214">
        <v>6076</v>
      </c>
      <c r="AQ57" s="214">
        <v>4268</v>
      </c>
      <c r="AR57" s="214">
        <v>3415</v>
      </c>
      <c r="AS57" s="214">
        <v>2319</v>
      </c>
      <c r="AT57" s="214">
        <v>1181</v>
      </c>
      <c r="AU57" s="214">
        <v>0</v>
      </c>
      <c r="AV57" s="214">
        <v>0</v>
      </c>
    </row>
    <row r="58" spans="2:48" x14ac:dyDescent="0.2">
      <c r="B58" s="129" t="s">
        <v>435</v>
      </c>
      <c r="C58" s="214">
        <v>0</v>
      </c>
      <c r="D58" s="214"/>
      <c r="E58" s="214">
        <v>0</v>
      </c>
      <c r="F58" s="214">
        <v>0</v>
      </c>
      <c r="G58" s="214">
        <v>0</v>
      </c>
      <c r="H58" s="214">
        <v>0</v>
      </c>
      <c r="I58" s="214">
        <v>0</v>
      </c>
      <c r="J58" s="214">
        <v>0</v>
      </c>
      <c r="K58" s="214">
        <v>0</v>
      </c>
      <c r="L58" s="214">
        <v>0</v>
      </c>
      <c r="M58" s="214">
        <v>0</v>
      </c>
      <c r="N58" s="214">
        <v>0</v>
      </c>
      <c r="O58" s="214">
        <v>0</v>
      </c>
      <c r="P58" s="214">
        <v>0</v>
      </c>
      <c r="Q58" s="214">
        <v>0</v>
      </c>
      <c r="R58" s="214">
        <v>0</v>
      </c>
      <c r="S58" s="214">
        <v>0</v>
      </c>
      <c r="T58" s="214">
        <v>1170</v>
      </c>
      <c r="U58" s="214">
        <v>1096</v>
      </c>
      <c r="V58" s="214">
        <v>1021</v>
      </c>
      <c r="W58" s="214">
        <v>1040</v>
      </c>
      <c r="X58" s="214">
        <v>954</v>
      </c>
      <c r="Y58" s="214">
        <v>355</v>
      </c>
      <c r="Z58" s="214">
        <v>238</v>
      </c>
      <c r="AA58" s="214">
        <v>120</v>
      </c>
      <c r="AB58" s="214">
        <v>0</v>
      </c>
      <c r="AC58" s="214">
        <v>0</v>
      </c>
      <c r="AD58" s="214" t="s">
        <v>160</v>
      </c>
      <c r="AE58" s="214" t="s">
        <v>160</v>
      </c>
      <c r="AF58" s="214">
        <v>0</v>
      </c>
      <c r="AG58" s="214">
        <v>0</v>
      </c>
      <c r="AH58" s="214">
        <v>0</v>
      </c>
      <c r="AI58" s="214">
        <v>0</v>
      </c>
      <c r="AJ58" s="214">
        <v>0</v>
      </c>
      <c r="AK58" s="214">
        <v>0</v>
      </c>
      <c r="AL58" s="214">
        <v>0</v>
      </c>
      <c r="AM58" s="214">
        <v>0</v>
      </c>
      <c r="AN58" s="214">
        <v>0</v>
      </c>
      <c r="AO58" s="214">
        <v>0</v>
      </c>
      <c r="AP58" s="214">
        <v>0</v>
      </c>
      <c r="AQ58" s="214">
        <v>0</v>
      </c>
      <c r="AR58" s="214">
        <v>0</v>
      </c>
      <c r="AS58" s="214">
        <v>0</v>
      </c>
      <c r="AT58" s="214">
        <v>0</v>
      </c>
      <c r="AU58" s="214">
        <v>0</v>
      </c>
      <c r="AV58" s="214">
        <v>0</v>
      </c>
    </row>
    <row r="59" spans="2:48" x14ac:dyDescent="0.2">
      <c r="B59" s="206" t="s">
        <v>860</v>
      </c>
      <c r="C59" s="120">
        <f t="shared" ref="C59:AL59" si="25">SUM(C55:C58)</f>
        <v>0</v>
      </c>
      <c r="D59" s="120"/>
      <c r="E59" s="120">
        <f t="shared" si="25"/>
        <v>0</v>
      </c>
      <c r="F59" s="120">
        <f t="shared" si="25"/>
        <v>0</v>
      </c>
      <c r="G59" s="120">
        <f t="shared" si="25"/>
        <v>0</v>
      </c>
      <c r="H59" s="120">
        <f t="shared" si="25"/>
        <v>0</v>
      </c>
      <c r="I59" s="120">
        <f t="shared" si="25"/>
        <v>0</v>
      </c>
      <c r="J59" s="120">
        <f t="shared" si="25"/>
        <v>0</v>
      </c>
      <c r="K59" s="120">
        <f t="shared" si="25"/>
        <v>0</v>
      </c>
      <c r="L59" s="120">
        <f t="shared" si="25"/>
        <v>0</v>
      </c>
      <c r="M59" s="120">
        <f t="shared" si="25"/>
        <v>0</v>
      </c>
      <c r="N59" s="120">
        <f t="shared" si="25"/>
        <v>0</v>
      </c>
      <c r="O59" s="120">
        <f t="shared" si="25"/>
        <v>0</v>
      </c>
      <c r="P59" s="120">
        <f t="shared" si="25"/>
        <v>0</v>
      </c>
      <c r="Q59" s="120">
        <f t="shared" si="25"/>
        <v>0</v>
      </c>
      <c r="R59" s="120">
        <f t="shared" si="25"/>
        <v>0</v>
      </c>
      <c r="S59" s="120">
        <f t="shared" si="25"/>
        <v>0</v>
      </c>
      <c r="T59" s="120">
        <f t="shared" si="25"/>
        <v>6365</v>
      </c>
      <c r="U59" s="120">
        <f t="shared" si="25"/>
        <v>6170</v>
      </c>
      <c r="V59" s="120">
        <f t="shared" si="25"/>
        <v>5818</v>
      </c>
      <c r="W59" s="120">
        <f t="shared" si="25"/>
        <v>1040</v>
      </c>
      <c r="X59" s="120">
        <f t="shared" si="25"/>
        <v>8704</v>
      </c>
      <c r="Y59" s="120">
        <f t="shared" si="25"/>
        <v>4151</v>
      </c>
      <c r="Z59" s="120">
        <f t="shared" si="25"/>
        <v>5959</v>
      </c>
      <c r="AA59" s="120">
        <f t="shared" si="25"/>
        <v>4803</v>
      </c>
      <c r="AB59" s="120">
        <f t="shared" si="25"/>
        <v>7676</v>
      </c>
      <c r="AC59" s="120">
        <f t="shared" si="25"/>
        <v>6631</v>
      </c>
      <c r="AD59" s="120">
        <f t="shared" si="25"/>
        <v>5667</v>
      </c>
      <c r="AE59" s="120">
        <f t="shared" si="25"/>
        <v>5043</v>
      </c>
      <c r="AF59" s="120">
        <f t="shared" si="25"/>
        <v>4091</v>
      </c>
      <c r="AG59" s="120">
        <f t="shared" si="25"/>
        <v>3129</v>
      </c>
      <c r="AH59" s="120">
        <f t="shared" si="25"/>
        <v>12599</v>
      </c>
      <c r="AI59" s="120">
        <f t="shared" si="25"/>
        <v>11695</v>
      </c>
      <c r="AJ59" s="120">
        <f t="shared" si="25"/>
        <v>11489</v>
      </c>
      <c r="AK59" s="120">
        <f t="shared" si="25"/>
        <v>10628</v>
      </c>
      <c r="AL59" s="120">
        <f t="shared" si="25"/>
        <v>9734</v>
      </c>
      <c r="AM59" s="120">
        <f t="shared" ref="AM59:AS59" si="26">SUM(AM55:AM58)</f>
        <v>8807</v>
      </c>
      <c r="AN59" s="120">
        <f t="shared" si="26"/>
        <v>10028</v>
      </c>
      <c r="AO59" s="120">
        <f t="shared" si="26"/>
        <v>8463</v>
      </c>
      <c r="AP59" s="120">
        <f t="shared" si="26"/>
        <v>6831</v>
      </c>
      <c r="AQ59" s="120">
        <f t="shared" si="26"/>
        <v>4439</v>
      </c>
      <c r="AR59" s="120">
        <f>SUM(AR55:AR58)</f>
        <v>3415</v>
      </c>
      <c r="AS59" s="120">
        <f t="shared" si="26"/>
        <v>2319</v>
      </c>
      <c r="AT59" s="120">
        <f>SUM(AT55:AT58)</f>
        <v>1181</v>
      </c>
      <c r="AU59" s="120">
        <f>SUM(AU55:AU58)</f>
        <v>171</v>
      </c>
      <c r="AV59" s="120">
        <f>SUM(AV55:AV58)</f>
        <v>0</v>
      </c>
    </row>
    <row r="60" spans="2:48" x14ac:dyDescent="0.2">
      <c r="B60" s="206" t="s">
        <v>42</v>
      </c>
      <c r="C60" s="120">
        <f>C59+C54</f>
        <v>0</v>
      </c>
      <c r="D60" s="120"/>
      <c r="E60" s="120">
        <f t="shared" ref="E60:AT60" si="27">E59+E54</f>
        <v>0</v>
      </c>
      <c r="F60" s="120">
        <f t="shared" si="27"/>
        <v>0</v>
      </c>
      <c r="G60" s="120">
        <f t="shared" si="27"/>
        <v>0</v>
      </c>
      <c r="H60" s="120">
        <f t="shared" si="27"/>
        <v>0</v>
      </c>
      <c r="I60" s="120">
        <f t="shared" si="27"/>
        <v>0</v>
      </c>
      <c r="J60" s="120">
        <f t="shared" si="27"/>
        <v>0</v>
      </c>
      <c r="K60" s="120">
        <f t="shared" si="27"/>
        <v>0</v>
      </c>
      <c r="L60" s="120">
        <f t="shared" si="27"/>
        <v>0</v>
      </c>
      <c r="M60" s="120">
        <f t="shared" si="27"/>
        <v>0</v>
      </c>
      <c r="N60" s="120">
        <f t="shared" si="27"/>
        <v>0</v>
      </c>
      <c r="O60" s="120">
        <f t="shared" si="27"/>
        <v>0</v>
      </c>
      <c r="P60" s="120">
        <f t="shared" si="27"/>
        <v>0</v>
      </c>
      <c r="Q60" s="120">
        <f t="shared" si="27"/>
        <v>0</v>
      </c>
      <c r="R60" s="120">
        <f t="shared" si="27"/>
        <v>0</v>
      </c>
      <c r="S60" s="120">
        <f t="shared" si="27"/>
        <v>0</v>
      </c>
      <c r="T60" s="120">
        <f t="shared" si="27"/>
        <v>8452</v>
      </c>
      <c r="U60" s="120">
        <f t="shared" si="27"/>
        <v>8615</v>
      </c>
      <c r="V60" s="120">
        <f t="shared" si="27"/>
        <v>8647</v>
      </c>
      <c r="W60" s="120">
        <f t="shared" si="27"/>
        <v>1582</v>
      </c>
      <c r="X60" s="120">
        <f t="shared" si="27"/>
        <v>9367</v>
      </c>
      <c r="Y60" s="120">
        <f t="shared" si="27"/>
        <v>4851</v>
      </c>
      <c r="Z60" s="120">
        <f t="shared" si="27"/>
        <v>6551</v>
      </c>
      <c r="AA60" s="120">
        <f t="shared" si="27"/>
        <v>5362</v>
      </c>
      <c r="AB60" s="120">
        <f t="shared" si="27"/>
        <v>8235</v>
      </c>
      <c r="AC60" s="120">
        <f t="shared" si="27"/>
        <v>7184</v>
      </c>
      <c r="AD60" s="120">
        <f t="shared" si="27"/>
        <v>6220</v>
      </c>
      <c r="AE60" s="120">
        <f t="shared" si="27"/>
        <v>5594</v>
      </c>
      <c r="AF60" s="120">
        <f t="shared" si="27"/>
        <v>4619</v>
      </c>
      <c r="AG60" s="120">
        <f t="shared" si="27"/>
        <v>3653</v>
      </c>
      <c r="AH60" s="120">
        <f t="shared" si="27"/>
        <v>13123</v>
      </c>
      <c r="AI60" s="120">
        <f t="shared" si="27"/>
        <v>12219</v>
      </c>
      <c r="AJ60" s="120">
        <f t="shared" si="27"/>
        <v>12013</v>
      </c>
      <c r="AK60" s="120">
        <f t="shared" si="27"/>
        <v>11152</v>
      </c>
      <c r="AL60" s="120">
        <f t="shared" si="27"/>
        <v>10258</v>
      </c>
      <c r="AM60" s="120">
        <f t="shared" si="27"/>
        <v>9331</v>
      </c>
      <c r="AN60" s="120">
        <f t="shared" si="27"/>
        <v>10552</v>
      </c>
      <c r="AO60" s="120">
        <f t="shared" si="27"/>
        <v>8987</v>
      </c>
      <c r="AP60" s="120">
        <f t="shared" si="27"/>
        <v>7355</v>
      </c>
      <c r="AQ60" s="120">
        <f t="shared" si="27"/>
        <v>4963</v>
      </c>
      <c r="AR60" s="120">
        <f t="shared" si="27"/>
        <v>3939</v>
      </c>
      <c r="AS60" s="120">
        <f t="shared" si="27"/>
        <v>2843</v>
      </c>
      <c r="AT60" s="120">
        <f t="shared" si="27"/>
        <v>8560</v>
      </c>
      <c r="AU60" s="120">
        <f>AU59+AU54</f>
        <v>7550</v>
      </c>
      <c r="AV60" s="120">
        <f>AV59+AV54</f>
        <v>7379</v>
      </c>
    </row>
    <row r="61" spans="2:48" x14ac:dyDescent="0.2">
      <c r="B61" s="206" t="s">
        <v>296</v>
      </c>
      <c r="C61" s="120">
        <f>C60+C51</f>
        <v>757</v>
      </c>
      <c r="D61" s="120"/>
      <c r="E61" s="120">
        <f t="shared" ref="E61:AT61" si="28">E60+E51</f>
        <v>9700</v>
      </c>
      <c r="F61" s="120">
        <f t="shared" si="28"/>
        <v>9774</v>
      </c>
      <c r="G61" s="120">
        <f t="shared" si="28"/>
        <v>6139</v>
      </c>
      <c r="H61" s="120">
        <f t="shared" si="28"/>
        <v>6139</v>
      </c>
      <c r="I61" s="120">
        <f t="shared" si="28"/>
        <v>5822</v>
      </c>
      <c r="J61" s="120">
        <f t="shared" si="28"/>
        <v>903</v>
      </c>
      <c r="K61" s="120">
        <f t="shared" si="28"/>
        <v>1128</v>
      </c>
      <c r="L61" s="120">
        <f t="shared" si="28"/>
        <v>1158</v>
      </c>
      <c r="M61" s="120">
        <f t="shared" si="28"/>
        <v>826.00070000000005</v>
      </c>
      <c r="N61" s="120">
        <f t="shared" si="28"/>
        <v>821.71617999999989</v>
      </c>
      <c r="O61" s="120">
        <f t="shared" si="28"/>
        <v>825.60808999999995</v>
      </c>
      <c r="P61" s="120">
        <f t="shared" si="28"/>
        <v>812</v>
      </c>
      <c r="Q61" s="120">
        <f t="shared" si="28"/>
        <v>591</v>
      </c>
      <c r="R61" s="120">
        <f t="shared" si="28"/>
        <v>1588</v>
      </c>
      <c r="S61" s="120">
        <f t="shared" si="28"/>
        <v>2311</v>
      </c>
      <c r="T61" s="120">
        <f t="shared" si="28"/>
        <v>13128</v>
      </c>
      <c r="U61" s="120">
        <f t="shared" si="28"/>
        <v>13505</v>
      </c>
      <c r="V61" s="120">
        <f t="shared" si="28"/>
        <v>11461</v>
      </c>
      <c r="W61" s="120">
        <f t="shared" si="28"/>
        <v>2360</v>
      </c>
      <c r="X61" s="120">
        <f t="shared" si="28"/>
        <v>13699</v>
      </c>
      <c r="Y61" s="120">
        <f t="shared" si="28"/>
        <v>9139</v>
      </c>
      <c r="Z61" s="120">
        <f t="shared" si="28"/>
        <v>11319</v>
      </c>
      <c r="AA61" s="120">
        <f t="shared" si="28"/>
        <v>10132</v>
      </c>
      <c r="AB61" s="120">
        <f t="shared" si="28"/>
        <v>12402</v>
      </c>
      <c r="AC61" s="120">
        <f t="shared" si="28"/>
        <v>11572</v>
      </c>
      <c r="AD61" s="120">
        <f t="shared" si="28"/>
        <v>10881</v>
      </c>
      <c r="AE61" s="120">
        <f t="shared" si="28"/>
        <v>10208</v>
      </c>
      <c r="AF61" s="120">
        <f t="shared" si="28"/>
        <v>9068</v>
      </c>
      <c r="AG61" s="120">
        <f t="shared" si="28"/>
        <v>8726</v>
      </c>
      <c r="AH61" s="120">
        <f t="shared" si="28"/>
        <v>16592</v>
      </c>
      <c r="AI61" s="120">
        <f t="shared" si="28"/>
        <v>16449</v>
      </c>
      <c r="AJ61" s="120">
        <f t="shared" si="28"/>
        <v>16383</v>
      </c>
      <c r="AK61" s="120">
        <f t="shared" si="28"/>
        <v>15438</v>
      </c>
      <c r="AL61" s="120">
        <f t="shared" si="28"/>
        <v>14711</v>
      </c>
      <c r="AM61" s="120">
        <f t="shared" si="28"/>
        <v>13678</v>
      </c>
      <c r="AN61" s="120">
        <f t="shared" si="28"/>
        <v>17462</v>
      </c>
      <c r="AO61" s="120">
        <f t="shared" si="28"/>
        <v>15878</v>
      </c>
      <c r="AP61" s="120">
        <f t="shared" si="28"/>
        <v>14431</v>
      </c>
      <c r="AQ61" s="120">
        <f t="shared" si="28"/>
        <v>12758</v>
      </c>
      <c r="AR61" s="120">
        <f t="shared" si="28"/>
        <v>12166</v>
      </c>
      <c r="AS61" s="120">
        <f t="shared" si="28"/>
        <v>10414</v>
      </c>
      <c r="AT61" s="120">
        <f t="shared" si="28"/>
        <v>16868</v>
      </c>
      <c r="AU61" s="120">
        <f>AU60+AU51</f>
        <v>15925</v>
      </c>
      <c r="AV61" s="120">
        <f>AV60+AV51</f>
        <v>14431</v>
      </c>
    </row>
    <row r="63" spans="2:48" x14ac:dyDescent="0.2">
      <c r="B63" s="246" t="s">
        <v>1188</v>
      </c>
      <c r="C63" s="197">
        <v>2014</v>
      </c>
      <c r="D63" s="205">
        <v>0</v>
      </c>
      <c r="E63" s="205" t="e">
        <v>#VALUE!</v>
      </c>
      <c r="F63" s="205" t="e">
        <v>#VALUE!</v>
      </c>
      <c r="G63" s="205" t="e">
        <v>#VALUE!</v>
      </c>
      <c r="H63" s="205" t="e">
        <v>#VALUE!</v>
      </c>
      <c r="I63" s="205" t="e">
        <v>#VALUE!</v>
      </c>
      <c r="J63" s="205" t="e">
        <v>#VALUE!</v>
      </c>
      <c r="K63" s="205" t="e">
        <v>#VALUE!</v>
      </c>
      <c r="L63" s="205" t="e">
        <v>#VALUE!</v>
      </c>
      <c r="M63" s="205" t="e">
        <v>#VALUE!</v>
      </c>
      <c r="N63" s="205" t="e">
        <v>#VALUE!</v>
      </c>
      <c r="O63" s="205" t="e">
        <v>#VALUE!</v>
      </c>
      <c r="P63" s="205" t="e">
        <v>#VALUE!</v>
      </c>
      <c r="Q63" s="205" t="e">
        <v>#VALUE!</v>
      </c>
      <c r="R63" s="205" t="e">
        <v>#VALUE!</v>
      </c>
      <c r="S63" s="205" t="e">
        <v>#VALUE!</v>
      </c>
      <c r="T63" s="205" t="e">
        <v>#VALUE!</v>
      </c>
      <c r="U63" s="205" t="e">
        <v>#VALUE!</v>
      </c>
      <c r="V63" s="205" t="e">
        <v>#VALUE!</v>
      </c>
      <c r="W63" s="205" t="e">
        <v>#VALUE!</v>
      </c>
      <c r="X63" s="205" t="e">
        <v>#VALUE!</v>
      </c>
      <c r="Y63" s="205" t="e">
        <v>#VALUE!</v>
      </c>
      <c r="Z63" s="205" t="e">
        <v>#VALUE!</v>
      </c>
      <c r="AA63" s="205" t="e">
        <v>#VALUE!</v>
      </c>
      <c r="AB63" s="205" t="e">
        <v>#VALUE!</v>
      </c>
      <c r="AC63" s="205" t="e">
        <v>#VALUE!</v>
      </c>
      <c r="AD63" s="205" t="e">
        <v>#VALUE!</v>
      </c>
      <c r="AE63" s="205" t="e">
        <v>#VALUE!</v>
      </c>
      <c r="AF63" s="205">
        <f t="shared" ref="AF63:AU63" si="29">AF5</f>
        <v>44651</v>
      </c>
      <c r="AG63" s="205">
        <f t="shared" si="29"/>
        <v>44742</v>
      </c>
      <c r="AH63" s="205">
        <f t="shared" si="29"/>
        <v>44834</v>
      </c>
      <c r="AI63" s="205">
        <f t="shared" si="29"/>
        <v>44926</v>
      </c>
      <c r="AJ63" s="205">
        <f t="shared" si="29"/>
        <v>45016</v>
      </c>
      <c r="AK63" s="205">
        <f t="shared" si="29"/>
        <v>45107</v>
      </c>
      <c r="AL63" s="205">
        <f t="shared" si="29"/>
        <v>45199</v>
      </c>
      <c r="AM63" s="205">
        <f t="shared" si="29"/>
        <v>45291</v>
      </c>
      <c r="AN63" s="205">
        <f t="shared" si="29"/>
        <v>45382</v>
      </c>
      <c r="AO63" s="205">
        <f t="shared" si="29"/>
        <v>45473</v>
      </c>
      <c r="AP63" s="205">
        <f t="shared" si="29"/>
        <v>45565</v>
      </c>
      <c r="AQ63" s="205">
        <f t="shared" si="29"/>
        <v>45657</v>
      </c>
      <c r="AR63" s="205">
        <f t="shared" si="29"/>
        <v>45747</v>
      </c>
      <c r="AS63" s="205">
        <f t="shared" si="29"/>
        <v>45838</v>
      </c>
      <c r="AT63" s="205">
        <f t="shared" si="29"/>
        <v>45930</v>
      </c>
      <c r="AU63" s="205">
        <f t="shared" si="29"/>
        <v>46022</v>
      </c>
      <c r="AV63" s="205">
        <f>AV5</f>
        <v>46112</v>
      </c>
    </row>
    <row r="64" spans="2:48" x14ac:dyDescent="0.2">
      <c r="B64" s="129" t="s">
        <v>1189</v>
      </c>
      <c r="C64" s="118">
        <v>6427</v>
      </c>
      <c r="D64" s="118">
        <v>1485</v>
      </c>
      <c r="E64" s="118">
        <v>1215</v>
      </c>
      <c r="F64" s="118">
        <v>953</v>
      </c>
      <c r="G64" s="118">
        <v>791</v>
      </c>
      <c r="H64" s="118">
        <v>523</v>
      </c>
      <c r="I64" s="118">
        <v>500</v>
      </c>
      <c r="J64" s="118">
        <v>556</v>
      </c>
      <c r="K64" s="118">
        <v>359</v>
      </c>
      <c r="L64" s="118">
        <v>318</v>
      </c>
      <c r="M64" s="118">
        <v>354.23901000000126</v>
      </c>
      <c r="N64" s="118">
        <v>510.42115000000069</v>
      </c>
      <c r="O64" s="118">
        <v>621.33983999999816</v>
      </c>
      <c r="P64" s="118">
        <v>503</v>
      </c>
      <c r="Q64" s="118">
        <v>380</v>
      </c>
      <c r="R64" s="118">
        <v>569</v>
      </c>
      <c r="S64" s="118">
        <v>143</v>
      </c>
      <c r="T64" s="118">
        <v>455</v>
      </c>
      <c r="U64" s="118">
        <v>304</v>
      </c>
      <c r="V64" s="118">
        <v>283</v>
      </c>
      <c r="W64" s="118">
        <v>352</v>
      </c>
      <c r="X64" s="118">
        <v>182</v>
      </c>
      <c r="Y64" s="118">
        <v>67</v>
      </c>
      <c r="Z64" s="118">
        <v>100</v>
      </c>
      <c r="AA64" s="118">
        <v>162</v>
      </c>
      <c r="AB64" s="118">
        <v>125</v>
      </c>
      <c r="AC64" s="118">
        <v>52</v>
      </c>
      <c r="AD64" s="118">
        <v>31</v>
      </c>
      <c r="AE64" s="118">
        <v>9</v>
      </c>
      <c r="AF64" s="118">
        <v>4</v>
      </c>
      <c r="AG64" s="118">
        <v>3</v>
      </c>
      <c r="AH64" s="118">
        <v>1</v>
      </c>
      <c r="AI64" s="118">
        <v>0</v>
      </c>
      <c r="AJ64" s="118">
        <v>57</v>
      </c>
      <c r="AK64" s="118">
        <v>158</v>
      </c>
      <c r="AL64" s="118">
        <v>193</v>
      </c>
      <c r="AM64" s="118">
        <v>134</v>
      </c>
      <c r="AN64" s="118">
        <v>177</v>
      </c>
      <c r="AO64" s="118">
        <v>181</v>
      </c>
      <c r="AP64" s="118">
        <v>830</v>
      </c>
      <c r="AQ64" s="118">
        <v>223</v>
      </c>
      <c r="AR64" s="118">
        <v>525</v>
      </c>
      <c r="AS64" s="118">
        <v>532</v>
      </c>
      <c r="AT64" s="118">
        <v>677</v>
      </c>
      <c r="AU64" s="118">
        <v>589</v>
      </c>
      <c r="AV64" s="118">
        <v>0</v>
      </c>
    </row>
    <row r="65" spans="1:83" hidden="1" outlineLevel="1" x14ac:dyDescent="0.2">
      <c r="B65" s="249" t="s">
        <v>442</v>
      </c>
      <c r="C65" s="218">
        <v>14784</v>
      </c>
      <c r="D65" s="218">
        <v>4452</v>
      </c>
      <c r="E65" s="218">
        <v>3516</v>
      </c>
      <c r="F65" s="218">
        <v>7276</v>
      </c>
      <c r="G65" s="218">
        <v>2796</v>
      </c>
      <c r="H65" s="218">
        <v>1591</v>
      </c>
      <c r="I65" s="218">
        <v>3550</v>
      </c>
      <c r="J65" s="218">
        <v>2982</v>
      </c>
      <c r="K65" s="218">
        <v>2886</v>
      </c>
      <c r="L65" s="218">
        <v>2908</v>
      </c>
      <c r="M65" s="218">
        <v>3239.4688000000006</v>
      </c>
      <c r="N65" s="218">
        <v>2639.0250699999651</v>
      </c>
      <c r="O65" s="218">
        <v>3480.5061300000343</v>
      </c>
      <c r="P65" s="218">
        <v>1966</v>
      </c>
      <c r="Q65" s="218">
        <v>-41</v>
      </c>
      <c r="R65" s="218">
        <v>0</v>
      </c>
      <c r="S65" s="218">
        <v>0</v>
      </c>
      <c r="T65" s="218">
        <v>0</v>
      </c>
      <c r="U65" s="218" t="s">
        <v>160</v>
      </c>
      <c r="V65" s="218" t="s">
        <v>160</v>
      </c>
      <c r="W65" s="218" t="s">
        <v>160</v>
      </c>
      <c r="X65" s="218">
        <v>0</v>
      </c>
      <c r="Y65" s="218">
        <v>0</v>
      </c>
      <c r="Z65" s="218">
        <v>0</v>
      </c>
      <c r="AA65" s="218">
        <v>0</v>
      </c>
      <c r="AB65" s="218">
        <v>0</v>
      </c>
      <c r="AC65" s="218">
        <v>0</v>
      </c>
      <c r="AD65" s="218">
        <v>0</v>
      </c>
      <c r="AE65" s="218">
        <v>0</v>
      </c>
      <c r="AF65" s="218">
        <v>0</v>
      </c>
      <c r="AG65" s="218">
        <v>0</v>
      </c>
      <c r="AH65" s="218">
        <v>0</v>
      </c>
      <c r="AI65" s="218">
        <v>0</v>
      </c>
      <c r="AJ65" s="218">
        <v>0</v>
      </c>
      <c r="AK65" s="218">
        <v>0</v>
      </c>
      <c r="AL65" s="218">
        <v>0</v>
      </c>
      <c r="AM65" s="218">
        <v>0</v>
      </c>
      <c r="AN65" s="218">
        <v>0</v>
      </c>
      <c r="AO65" s="218"/>
      <c r="AP65" s="218">
        <v>0</v>
      </c>
      <c r="AQ65" s="218">
        <v>0</v>
      </c>
      <c r="AR65" s="218"/>
      <c r="AS65" s="218">
        <v>0</v>
      </c>
      <c r="AT65" s="218">
        <v>0</v>
      </c>
      <c r="AU65" s="218">
        <v>0</v>
      </c>
      <c r="AV65" s="218">
        <v>0</v>
      </c>
    </row>
    <row r="66" spans="1:83" hidden="1" outlineLevel="1" x14ac:dyDescent="0.2">
      <c r="B66" s="249" t="s">
        <v>857</v>
      </c>
      <c r="C66" s="218">
        <v>0</v>
      </c>
      <c r="D66" s="218">
        <v>0</v>
      </c>
      <c r="E66" s="218">
        <v>0</v>
      </c>
      <c r="F66" s="218">
        <v>0</v>
      </c>
      <c r="G66" s="218">
        <v>0</v>
      </c>
      <c r="H66" s="218">
        <v>0</v>
      </c>
      <c r="I66" s="218">
        <v>0</v>
      </c>
      <c r="J66" s="218">
        <v>0</v>
      </c>
      <c r="K66" s="218">
        <v>0</v>
      </c>
      <c r="L66" s="218">
        <v>0</v>
      </c>
      <c r="M66" s="218">
        <v>0</v>
      </c>
      <c r="N66" s="218">
        <v>0</v>
      </c>
      <c r="O66" s="218">
        <v>0</v>
      </c>
      <c r="P66" s="218">
        <v>0</v>
      </c>
      <c r="Q66" s="218">
        <v>0</v>
      </c>
      <c r="R66" s="218">
        <v>0</v>
      </c>
      <c r="S66" s="218">
        <v>0</v>
      </c>
      <c r="T66" s="218">
        <v>3</v>
      </c>
      <c r="U66" s="218">
        <v>0</v>
      </c>
      <c r="V66" s="218">
        <v>32</v>
      </c>
      <c r="W66" s="218">
        <v>-18</v>
      </c>
      <c r="X66" s="218">
        <v>5</v>
      </c>
      <c r="Y66" s="218">
        <v>4</v>
      </c>
      <c r="Z66" s="218">
        <v>5</v>
      </c>
      <c r="AA66" s="218">
        <v>4</v>
      </c>
      <c r="AB66" s="218">
        <v>5</v>
      </c>
      <c r="AC66" s="218">
        <v>4</v>
      </c>
      <c r="AD66" s="218">
        <v>5</v>
      </c>
      <c r="AE66" s="218">
        <v>3</v>
      </c>
      <c r="AF66" s="218">
        <v>0</v>
      </c>
      <c r="AG66" s="218">
        <v>2</v>
      </c>
      <c r="AH66" s="218">
        <v>0</v>
      </c>
      <c r="AI66" s="218">
        <v>-2</v>
      </c>
      <c r="AJ66" s="218">
        <v>0</v>
      </c>
      <c r="AK66" s="218">
        <v>0</v>
      </c>
      <c r="AL66" s="218">
        <v>0</v>
      </c>
      <c r="AM66" s="218">
        <v>0</v>
      </c>
      <c r="AN66" s="218">
        <v>0</v>
      </c>
      <c r="AO66" s="218">
        <v>0</v>
      </c>
      <c r="AP66" s="218">
        <v>0</v>
      </c>
      <c r="AQ66" s="218">
        <v>0</v>
      </c>
      <c r="AR66" s="218"/>
      <c r="AS66" s="218">
        <v>0</v>
      </c>
      <c r="AT66" s="218">
        <v>0</v>
      </c>
      <c r="AU66" s="218">
        <v>0</v>
      </c>
      <c r="AV66" s="218">
        <v>0</v>
      </c>
    </row>
    <row r="67" spans="1:83" hidden="1" outlineLevel="1" x14ac:dyDescent="0.2">
      <c r="B67" s="249" t="s">
        <v>443</v>
      </c>
      <c r="C67" s="218">
        <v>59171</v>
      </c>
      <c r="D67" s="218">
        <v>364</v>
      </c>
      <c r="E67" s="218">
        <v>-357</v>
      </c>
      <c r="F67" s="218">
        <v>0</v>
      </c>
      <c r="G67" s="218">
        <v>0</v>
      </c>
      <c r="H67" s="218">
        <v>0</v>
      </c>
      <c r="I67" s="218">
        <v>0</v>
      </c>
      <c r="J67" s="218">
        <v>0</v>
      </c>
      <c r="K67" s="218">
        <v>0</v>
      </c>
      <c r="L67" s="218">
        <v>0</v>
      </c>
      <c r="M67" s="218">
        <v>0</v>
      </c>
      <c r="N67" s="218">
        <v>0</v>
      </c>
      <c r="O67" s="218">
        <v>0</v>
      </c>
      <c r="P67" s="218">
        <v>0</v>
      </c>
      <c r="Q67" s="218">
        <v>0</v>
      </c>
      <c r="R67" s="218">
        <v>0</v>
      </c>
      <c r="S67" s="218">
        <v>0</v>
      </c>
      <c r="T67" s="218">
        <v>0</v>
      </c>
      <c r="U67" s="218">
        <v>0</v>
      </c>
      <c r="V67" s="218">
        <v>0</v>
      </c>
      <c r="W67" s="218">
        <v>0</v>
      </c>
      <c r="X67" s="218">
        <v>0</v>
      </c>
      <c r="Y67" s="218">
        <v>0</v>
      </c>
      <c r="Z67" s="218">
        <v>0</v>
      </c>
      <c r="AA67" s="218">
        <v>0</v>
      </c>
      <c r="AB67" s="218">
        <v>0</v>
      </c>
      <c r="AC67" s="218">
        <v>0</v>
      </c>
      <c r="AD67" s="218">
        <v>0</v>
      </c>
      <c r="AE67" s="218">
        <v>0</v>
      </c>
      <c r="AF67" s="218">
        <v>0</v>
      </c>
      <c r="AG67" s="218">
        <v>0</v>
      </c>
      <c r="AH67" s="218">
        <v>0</v>
      </c>
      <c r="AI67" s="218">
        <v>0</v>
      </c>
      <c r="AJ67" s="218">
        <v>0</v>
      </c>
      <c r="AK67" s="218">
        <v>0</v>
      </c>
      <c r="AL67" s="218">
        <v>0</v>
      </c>
      <c r="AM67" s="218">
        <v>0</v>
      </c>
      <c r="AN67" s="218">
        <v>0</v>
      </c>
      <c r="AO67" s="218"/>
      <c r="AP67" s="218">
        <v>0</v>
      </c>
      <c r="AQ67" s="218">
        <v>0</v>
      </c>
      <c r="AR67" s="218"/>
      <c r="AS67" s="218">
        <v>0</v>
      </c>
      <c r="AT67" s="218">
        <v>0</v>
      </c>
      <c r="AU67" s="218">
        <v>0</v>
      </c>
      <c r="AV67" s="218">
        <v>0</v>
      </c>
    </row>
    <row r="68" spans="1:83" s="202" customFormat="1" hidden="1" outlineLevel="1" x14ac:dyDescent="0.2">
      <c r="A68" s="201"/>
      <c r="B68" s="249" t="s">
        <v>1190</v>
      </c>
      <c r="C68" s="218">
        <v>0</v>
      </c>
      <c r="D68" s="218">
        <v>0</v>
      </c>
      <c r="E68" s="218">
        <v>0</v>
      </c>
      <c r="F68" s="218">
        <v>0</v>
      </c>
      <c r="G68" s="218">
        <v>0</v>
      </c>
      <c r="H68" s="218">
        <v>0</v>
      </c>
      <c r="I68" s="218">
        <v>0</v>
      </c>
      <c r="J68" s="218">
        <v>0</v>
      </c>
      <c r="K68" s="218">
        <v>0</v>
      </c>
      <c r="L68" s="218">
        <v>0</v>
      </c>
      <c r="M68" s="218">
        <v>0</v>
      </c>
      <c r="N68" s="218">
        <v>0</v>
      </c>
      <c r="O68" s="218">
        <v>0</v>
      </c>
      <c r="P68" s="218">
        <v>0</v>
      </c>
      <c r="Q68" s="218">
        <v>0</v>
      </c>
      <c r="R68" s="218">
        <v>0</v>
      </c>
      <c r="S68" s="218">
        <v>0</v>
      </c>
      <c r="T68" s="218">
        <v>0</v>
      </c>
      <c r="U68" s="218">
        <v>0</v>
      </c>
      <c r="V68" s="218">
        <v>0</v>
      </c>
      <c r="W68" s="218">
        <v>0</v>
      </c>
      <c r="X68" s="218">
        <v>0</v>
      </c>
      <c r="Y68" s="218">
        <v>0</v>
      </c>
      <c r="Z68" s="218">
        <v>85</v>
      </c>
      <c r="AA68" s="218">
        <v>442</v>
      </c>
      <c r="AB68" s="218">
        <v>0</v>
      </c>
      <c r="AC68" s="218">
        <v>0</v>
      </c>
      <c r="AD68" s="218">
        <v>0</v>
      </c>
      <c r="AE68" s="218">
        <v>0</v>
      </c>
      <c r="AF68" s="218">
        <v>0</v>
      </c>
      <c r="AG68" s="218">
        <v>0</v>
      </c>
      <c r="AH68" s="218">
        <v>0</v>
      </c>
      <c r="AI68" s="218">
        <v>0</v>
      </c>
      <c r="AJ68" s="218">
        <v>0</v>
      </c>
      <c r="AK68" s="218">
        <v>0</v>
      </c>
      <c r="AL68" s="218">
        <v>0</v>
      </c>
      <c r="AM68" s="218">
        <v>0</v>
      </c>
      <c r="AN68" s="218">
        <v>0</v>
      </c>
      <c r="AO68" s="218"/>
      <c r="AP68" s="218">
        <v>0</v>
      </c>
      <c r="AQ68" s="218">
        <v>0</v>
      </c>
      <c r="AR68" s="218"/>
      <c r="AS68" s="218">
        <v>0</v>
      </c>
      <c r="AT68" s="218">
        <v>0</v>
      </c>
      <c r="AU68" s="218">
        <v>0</v>
      </c>
      <c r="AV68" s="218">
        <v>0</v>
      </c>
      <c r="AW68" s="201"/>
      <c r="AX68" s="201"/>
      <c r="AY68" s="201"/>
      <c r="AZ68" s="201"/>
      <c r="BA68" s="201"/>
      <c r="BB68" s="201"/>
      <c r="BC68" s="201"/>
      <c r="BD68" s="201"/>
      <c r="BE68" s="201"/>
      <c r="BF68" s="201"/>
      <c r="BG68" s="201"/>
      <c r="BH68" s="201"/>
      <c r="BI68" s="201"/>
      <c r="BJ68" s="201"/>
      <c r="BK68" s="201"/>
      <c r="BL68" s="201"/>
      <c r="BM68" s="201"/>
      <c r="BN68" s="201"/>
      <c r="BO68" s="201"/>
      <c r="BP68" s="201"/>
      <c r="BQ68" s="201"/>
      <c r="BR68" s="201"/>
      <c r="BS68" s="201"/>
      <c r="BT68" s="201"/>
      <c r="BU68" s="201"/>
      <c r="BV68" s="201"/>
      <c r="BW68" s="201"/>
      <c r="BX68" s="201"/>
      <c r="BY68" s="201"/>
      <c r="BZ68" s="201"/>
      <c r="CA68" s="201"/>
      <c r="CB68" s="201"/>
      <c r="CC68" s="201"/>
      <c r="CD68" s="201"/>
      <c r="CE68" s="201"/>
    </row>
    <row r="69" spans="1:83" collapsed="1" x14ac:dyDescent="0.2">
      <c r="B69" s="126" t="s">
        <v>1191</v>
      </c>
      <c r="C69" s="120">
        <f t="shared" ref="C69:S69" si="30">+SUM(C64:C67)</f>
        <v>80382</v>
      </c>
      <c r="D69" s="120">
        <f t="shared" si="30"/>
        <v>6301</v>
      </c>
      <c r="E69" s="120">
        <f t="shared" si="30"/>
        <v>4374</v>
      </c>
      <c r="F69" s="120">
        <f t="shared" si="30"/>
        <v>8229</v>
      </c>
      <c r="G69" s="120">
        <f t="shared" si="30"/>
        <v>3587</v>
      </c>
      <c r="H69" s="120">
        <f t="shared" si="30"/>
        <v>2114</v>
      </c>
      <c r="I69" s="120">
        <f t="shared" si="30"/>
        <v>4050</v>
      </c>
      <c r="J69" s="120">
        <f t="shared" si="30"/>
        <v>3538</v>
      </c>
      <c r="K69" s="120">
        <f t="shared" si="30"/>
        <v>3245</v>
      </c>
      <c r="L69" s="120">
        <f t="shared" si="30"/>
        <v>3226</v>
      </c>
      <c r="M69" s="120">
        <f t="shared" si="30"/>
        <v>3593.7078100000017</v>
      </c>
      <c r="N69" s="120">
        <f t="shared" si="30"/>
        <v>3149.4462199999657</v>
      </c>
      <c r="O69" s="120">
        <f t="shared" si="30"/>
        <v>4101.8459700000321</v>
      </c>
      <c r="P69" s="120">
        <f t="shared" si="30"/>
        <v>2469</v>
      </c>
      <c r="Q69" s="120">
        <f t="shared" si="30"/>
        <v>339</v>
      </c>
      <c r="R69" s="120">
        <f t="shared" si="30"/>
        <v>569</v>
      </c>
      <c r="S69" s="120">
        <f t="shared" si="30"/>
        <v>143</v>
      </c>
      <c r="T69" s="120">
        <f t="shared" ref="T69:Y69" si="31">+SUM(T64:T66)</f>
        <v>458</v>
      </c>
      <c r="U69" s="120">
        <f t="shared" si="31"/>
        <v>304</v>
      </c>
      <c r="V69" s="120">
        <f t="shared" si="31"/>
        <v>315</v>
      </c>
      <c r="W69" s="120">
        <f t="shared" si="31"/>
        <v>334</v>
      </c>
      <c r="X69" s="120">
        <f t="shared" si="31"/>
        <v>187</v>
      </c>
      <c r="Y69" s="120">
        <f t="shared" si="31"/>
        <v>71</v>
      </c>
      <c r="Z69" s="120">
        <f t="shared" ref="Z69:AR69" si="32">+SUM(Z64:Z68)</f>
        <v>190</v>
      </c>
      <c r="AA69" s="120">
        <f t="shared" si="32"/>
        <v>608</v>
      </c>
      <c r="AB69" s="120">
        <f t="shared" si="32"/>
        <v>130</v>
      </c>
      <c r="AC69" s="120">
        <f t="shared" si="32"/>
        <v>56</v>
      </c>
      <c r="AD69" s="120">
        <f t="shared" si="32"/>
        <v>36</v>
      </c>
      <c r="AE69" s="120">
        <f t="shared" si="32"/>
        <v>12</v>
      </c>
      <c r="AF69" s="120">
        <f t="shared" si="32"/>
        <v>4</v>
      </c>
      <c r="AG69" s="120">
        <f t="shared" si="32"/>
        <v>5</v>
      </c>
      <c r="AH69" s="120">
        <f t="shared" si="32"/>
        <v>1</v>
      </c>
      <c r="AI69" s="120">
        <f t="shared" si="32"/>
        <v>-2</v>
      </c>
      <c r="AJ69" s="120">
        <f t="shared" si="32"/>
        <v>57</v>
      </c>
      <c r="AK69" s="120">
        <f t="shared" si="32"/>
        <v>158</v>
      </c>
      <c r="AL69" s="120">
        <f t="shared" si="32"/>
        <v>193</v>
      </c>
      <c r="AM69" s="120">
        <f t="shared" si="32"/>
        <v>134</v>
      </c>
      <c r="AN69" s="120">
        <f t="shared" si="32"/>
        <v>177</v>
      </c>
      <c r="AO69" s="120">
        <f t="shared" si="32"/>
        <v>181</v>
      </c>
      <c r="AP69" s="120">
        <f t="shared" si="32"/>
        <v>830</v>
      </c>
      <c r="AQ69" s="120">
        <f t="shared" si="32"/>
        <v>223</v>
      </c>
      <c r="AR69" s="120">
        <f t="shared" si="32"/>
        <v>525</v>
      </c>
      <c r="AS69" s="120">
        <v>532</v>
      </c>
      <c r="AT69" s="120">
        <f>+SUM(AT64:AT68)</f>
        <v>677</v>
      </c>
      <c r="AU69" s="120">
        <f>+SUM(AU64:AU68)</f>
        <v>589</v>
      </c>
      <c r="AV69" s="120">
        <f>+SUM(AV64:AV68)</f>
        <v>0</v>
      </c>
    </row>
    <row r="70" spans="1:83" x14ac:dyDescent="0.2">
      <c r="B70" s="129" t="s">
        <v>1189</v>
      </c>
      <c r="C70" s="118">
        <v>212</v>
      </c>
      <c r="D70" s="118">
        <v>66</v>
      </c>
      <c r="E70" s="118">
        <v>396</v>
      </c>
      <c r="F70" s="118">
        <v>-317</v>
      </c>
      <c r="G70" s="118">
        <v>23</v>
      </c>
      <c r="H70" s="118">
        <v>26</v>
      </c>
      <c r="I70" s="118">
        <v>21</v>
      </c>
      <c r="J70" s="118">
        <v>30</v>
      </c>
      <c r="K70" s="118">
        <v>24</v>
      </c>
      <c r="L70" s="118">
        <v>19</v>
      </c>
      <c r="M70" s="118">
        <v>24.447770000000006</v>
      </c>
      <c r="N70" s="118">
        <v>15.183139999999995</v>
      </c>
      <c r="O70" s="118">
        <v>52.36909</v>
      </c>
      <c r="P70" s="118">
        <v>36</v>
      </c>
      <c r="Q70" s="118">
        <v>32</v>
      </c>
      <c r="R70" s="118">
        <v>29</v>
      </c>
      <c r="S70" s="118">
        <v>-97</v>
      </c>
      <c r="T70" s="118">
        <v>42</v>
      </c>
      <c r="U70" s="118">
        <v>19</v>
      </c>
      <c r="V70" s="118">
        <v>24</v>
      </c>
      <c r="W70" s="118">
        <v>26</v>
      </c>
      <c r="X70" s="118">
        <v>7</v>
      </c>
      <c r="Y70" s="118">
        <v>18</v>
      </c>
      <c r="Z70" s="118">
        <v>189</v>
      </c>
      <c r="AA70" s="118">
        <v>188</v>
      </c>
      <c r="AB70" s="118">
        <v>14</v>
      </c>
      <c r="AC70" s="118">
        <v>6</v>
      </c>
      <c r="AD70" s="118">
        <v>4</v>
      </c>
      <c r="AE70" s="118">
        <v>1</v>
      </c>
      <c r="AF70" s="118">
        <v>1</v>
      </c>
      <c r="AG70" s="118">
        <v>0</v>
      </c>
      <c r="AH70" s="118">
        <v>0</v>
      </c>
      <c r="AI70" s="118">
        <v>0</v>
      </c>
      <c r="AJ70" s="118">
        <v>0</v>
      </c>
      <c r="AK70" s="118">
        <v>4</v>
      </c>
      <c r="AL70" s="118">
        <v>7</v>
      </c>
      <c r="AM70" s="118">
        <v>3</v>
      </c>
      <c r="AN70" s="118">
        <v>5</v>
      </c>
      <c r="AO70" s="118">
        <v>4</v>
      </c>
      <c r="AP70" s="118">
        <v>5</v>
      </c>
      <c r="AQ70" s="118">
        <f>16-SUM(AN70:AP70)</f>
        <v>2</v>
      </c>
      <c r="AR70" s="118">
        <v>6</v>
      </c>
      <c r="AS70" s="118">
        <v>5</v>
      </c>
      <c r="AT70" s="118">
        <v>2</v>
      </c>
      <c r="AU70" s="118">
        <v>-13</v>
      </c>
      <c r="AV70" s="118">
        <v>0</v>
      </c>
    </row>
    <row r="71" spans="1:83" x14ac:dyDescent="0.2">
      <c r="B71" s="129" t="s">
        <v>1078</v>
      </c>
      <c r="C71" s="118" t="s">
        <v>160</v>
      </c>
      <c r="D71" s="118" t="s">
        <v>160</v>
      </c>
      <c r="E71" s="118" t="s">
        <v>160</v>
      </c>
      <c r="F71" s="118" t="s">
        <v>160</v>
      </c>
      <c r="G71" s="118" t="s">
        <v>160</v>
      </c>
      <c r="H71" s="118" t="s">
        <v>160</v>
      </c>
      <c r="I71" s="118" t="s">
        <v>160</v>
      </c>
      <c r="J71" s="118" t="s">
        <v>160</v>
      </c>
      <c r="K71" s="118" t="s">
        <v>160</v>
      </c>
      <c r="L71" s="118" t="s">
        <v>160</v>
      </c>
      <c r="M71" s="118" t="s">
        <v>160</v>
      </c>
      <c r="N71" s="118" t="s">
        <v>160</v>
      </c>
      <c r="O71" s="118" t="s">
        <v>160</v>
      </c>
      <c r="P71" s="118" t="s">
        <v>160</v>
      </c>
      <c r="Q71" s="118" t="s">
        <v>160</v>
      </c>
      <c r="R71" s="118" t="s">
        <v>160</v>
      </c>
      <c r="S71" s="118" t="s">
        <v>160</v>
      </c>
      <c r="T71" s="118" t="s">
        <v>160</v>
      </c>
      <c r="U71" s="118" t="s">
        <v>160</v>
      </c>
      <c r="V71" s="118" t="s">
        <v>160</v>
      </c>
      <c r="W71" s="118" t="s">
        <v>160</v>
      </c>
      <c r="X71" s="118" t="s">
        <v>160</v>
      </c>
      <c r="Y71" s="118" t="s">
        <v>160</v>
      </c>
      <c r="Z71" s="118" t="s">
        <v>160</v>
      </c>
      <c r="AA71" s="118" t="s">
        <v>160</v>
      </c>
      <c r="AB71" s="118" t="s">
        <v>160</v>
      </c>
      <c r="AC71" s="118" t="s">
        <v>160</v>
      </c>
      <c r="AD71" s="118" t="s">
        <v>160</v>
      </c>
      <c r="AE71" s="118" t="s">
        <v>160</v>
      </c>
      <c r="AF71" s="118">
        <v>28</v>
      </c>
      <c r="AG71" s="118">
        <v>0</v>
      </c>
      <c r="AH71" s="118">
        <v>-28</v>
      </c>
      <c r="AI71" s="118">
        <v>291</v>
      </c>
      <c r="AJ71" s="118">
        <v>0</v>
      </c>
      <c r="AK71" s="118">
        <v>0</v>
      </c>
      <c r="AL71" s="118">
        <v>0</v>
      </c>
      <c r="AM71" s="118">
        <v>0</v>
      </c>
      <c r="AN71" s="118">
        <v>0</v>
      </c>
      <c r="AO71" s="118">
        <v>0</v>
      </c>
      <c r="AP71" s="118">
        <v>0</v>
      </c>
      <c r="AQ71" s="118">
        <v>-2713</v>
      </c>
      <c r="AR71" s="118">
        <v>0</v>
      </c>
      <c r="AS71" s="118">
        <v>0</v>
      </c>
      <c r="AT71" s="118">
        <v>0</v>
      </c>
      <c r="AU71" s="118">
        <v>0</v>
      </c>
      <c r="AV71" s="118">
        <v>0</v>
      </c>
    </row>
    <row r="72" spans="1:83" hidden="1" outlineLevel="1" x14ac:dyDescent="0.2">
      <c r="B72" s="249" t="s">
        <v>443</v>
      </c>
      <c r="C72" s="218">
        <v>2765</v>
      </c>
      <c r="D72" s="218">
        <v>3</v>
      </c>
      <c r="E72" s="218">
        <v>-3</v>
      </c>
      <c r="F72" s="218">
        <v>462</v>
      </c>
      <c r="G72" s="218">
        <v>0</v>
      </c>
      <c r="H72" s="218">
        <v>0</v>
      </c>
      <c r="I72" s="218">
        <v>2</v>
      </c>
      <c r="J72" s="218">
        <v>0</v>
      </c>
      <c r="K72" s="218">
        <v>0</v>
      </c>
      <c r="L72" s="218">
        <v>0</v>
      </c>
      <c r="M72" s="218">
        <v>0</v>
      </c>
      <c r="N72" s="218">
        <v>0</v>
      </c>
      <c r="O72" s="218">
        <v>0</v>
      </c>
      <c r="P72" s="218">
        <v>0</v>
      </c>
      <c r="Q72" s="218">
        <v>0</v>
      </c>
      <c r="R72" s="218">
        <v>0</v>
      </c>
      <c r="S72" s="218">
        <v>0</v>
      </c>
      <c r="T72" s="218">
        <v>0</v>
      </c>
      <c r="U72" s="218">
        <v>0</v>
      </c>
      <c r="V72" s="218">
        <v>0</v>
      </c>
      <c r="W72" s="218">
        <v>0</v>
      </c>
      <c r="X72" s="218">
        <v>0</v>
      </c>
      <c r="Y72" s="218">
        <v>0</v>
      </c>
      <c r="Z72" s="218">
        <v>0</v>
      </c>
      <c r="AA72" s="218">
        <v>0</v>
      </c>
      <c r="AB72" s="218">
        <v>0</v>
      </c>
      <c r="AC72" s="218">
        <v>0</v>
      </c>
      <c r="AD72" s="218">
        <v>0</v>
      </c>
      <c r="AE72" s="218">
        <v>0</v>
      </c>
      <c r="AF72" s="218">
        <v>0</v>
      </c>
      <c r="AG72" s="218">
        <v>0</v>
      </c>
      <c r="AH72" s="218">
        <v>0</v>
      </c>
      <c r="AI72" s="218">
        <v>0</v>
      </c>
      <c r="AJ72" s="218">
        <v>0</v>
      </c>
      <c r="AK72" s="218">
        <v>0</v>
      </c>
      <c r="AL72" s="218">
        <v>0</v>
      </c>
      <c r="AM72" s="218">
        <v>0</v>
      </c>
      <c r="AN72" s="218">
        <v>0</v>
      </c>
      <c r="AO72" s="218"/>
      <c r="AP72" s="218">
        <v>0</v>
      </c>
      <c r="AQ72" s="218">
        <v>0</v>
      </c>
      <c r="AR72" s="218"/>
      <c r="AS72" s="218">
        <v>0</v>
      </c>
      <c r="AT72" s="218">
        <v>0</v>
      </c>
      <c r="AU72" s="218">
        <v>0</v>
      </c>
      <c r="AV72" s="218">
        <v>0</v>
      </c>
    </row>
    <row r="73" spans="1:83" hidden="1" outlineLevel="1" x14ac:dyDescent="0.2">
      <c r="B73" s="249" t="s">
        <v>1193</v>
      </c>
      <c r="C73" s="218">
        <v>0</v>
      </c>
      <c r="D73" s="218">
        <v>0</v>
      </c>
      <c r="E73" s="218">
        <v>0</v>
      </c>
      <c r="F73" s="218">
        <v>0</v>
      </c>
      <c r="G73" s="218">
        <v>0</v>
      </c>
      <c r="H73" s="218">
        <v>0</v>
      </c>
      <c r="I73" s="218">
        <v>0</v>
      </c>
      <c r="J73" s="218">
        <v>0</v>
      </c>
      <c r="K73" s="218">
        <v>0</v>
      </c>
      <c r="L73" s="218">
        <v>0</v>
      </c>
      <c r="M73" s="218">
        <v>0</v>
      </c>
      <c r="N73" s="218">
        <v>0</v>
      </c>
      <c r="O73" s="218">
        <v>0</v>
      </c>
      <c r="P73" s="218">
        <v>0</v>
      </c>
      <c r="Q73" s="218">
        <v>0</v>
      </c>
      <c r="R73" s="218">
        <v>0</v>
      </c>
      <c r="S73" s="218">
        <v>0</v>
      </c>
      <c r="T73" s="218">
        <v>0</v>
      </c>
      <c r="U73" s="218">
        <v>0</v>
      </c>
      <c r="V73" s="218">
        <v>0</v>
      </c>
      <c r="W73" s="218">
        <v>0</v>
      </c>
      <c r="X73" s="218">
        <v>0</v>
      </c>
      <c r="Y73" s="218">
        <v>0</v>
      </c>
      <c r="Z73" s="218">
        <v>0</v>
      </c>
      <c r="AA73" s="218">
        <v>0</v>
      </c>
      <c r="AB73" s="218">
        <v>0</v>
      </c>
      <c r="AC73" s="218">
        <v>0</v>
      </c>
      <c r="AD73" s="218">
        <v>0</v>
      </c>
      <c r="AE73" s="218">
        <v>0</v>
      </c>
      <c r="AF73" s="218">
        <v>0</v>
      </c>
      <c r="AG73" s="218">
        <v>0</v>
      </c>
      <c r="AH73" s="218">
        <v>0</v>
      </c>
      <c r="AI73" s="218">
        <v>0</v>
      </c>
      <c r="AJ73" s="218">
        <v>0</v>
      </c>
      <c r="AK73" s="218">
        <v>0</v>
      </c>
      <c r="AL73" s="218">
        <v>0</v>
      </c>
      <c r="AM73" s="218">
        <v>0</v>
      </c>
      <c r="AN73" s="218">
        <v>0</v>
      </c>
      <c r="AO73" s="218"/>
      <c r="AP73" s="218">
        <v>0</v>
      </c>
      <c r="AQ73" s="218">
        <v>0</v>
      </c>
      <c r="AR73" s="218"/>
      <c r="AS73" s="218">
        <v>0</v>
      </c>
      <c r="AT73" s="218">
        <v>0</v>
      </c>
      <c r="AU73" s="218">
        <v>0</v>
      </c>
      <c r="AV73" s="218">
        <v>0</v>
      </c>
    </row>
    <row r="74" spans="1:83" hidden="1" outlineLevel="1" x14ac:dyDescent="0.2">
      <c r="B74" s="249" t="s">
        <v>442</v>
      </c>
      <c r="C74" s="218">
        <v>204</v>
      </c>
      <c r="D74" s="218">
        <v>80</v>
      </c>
      <c r="E74" s="218">
        <v>-80</v>
      </c>
      <c r="F74" s="218">
        <v>151</v>
      </c>
      <c r="G74" s="218">
        <v>11</v>
      </c>
      <c r="H74" s="218">
        <v>26</v>
      </c>
      <c r="I74" s="218">
        <v>35</v>
      </c>
      <c r="J74" s="218">
        <v>46</v>
      </c>
      <c r="K74" s="218">
        <v>54</v>
      </c>
      <c r="L74" s="218">
        <v>56</v>
      </c>
      <c r="M74" s="218">
        <v>38.154379999999975</v>
      </c>
      <c r="N74" s="218">
        <v>-94.154379999999975</v>
      </c>
      <c r="O74" s="218">
        <v>139</v>
      </c>
      <c r="P74" s="218">
        <v>0</v>
      </c>
      <c r="Q74" s="218">
        <v>0</v>
      </c>
      <c r="R74" s="218">
        <v>0</v>
      </c>
      <c r="S74" s="218">
        <v>0</v>
      </c>
      <c r="T74" s="218">
        <v>0</v>
      </c>
      <c r="U74" s="218">
        <v>0</v>
      </c>
      <c r="V74" s="218">
        <v>0</v>
      </c>
      <c r="W74" s="218">
        <v>0</v>
      </c>
      <c r="X74" s="218">
        <v>0</v>
      </c>
      <c r="Y74" s="218">
        <v>0</v>
      </c>
      <c r="Z74" s="218">
        <v>0</v>
      </c>
      <c r="AA74" s="218">
        <v>0</v>
      </c>
      <c r="AB74" s="218">
        <v>0</v>
      </c>
      <c r="AC74" s="218">
        <v>0</v>
      </c>
      <c r="AD74" s="218">
        <v>0</v>
      </c>
      <c r="AE74" s="218">
        <v>0</v>
      </c>
      <c r="AF74" s="218">
        <v>0</v>
      </c>
      <c r="AG74" s="218">
        <v>0</v>
      </c>
      <c r="AH74" s="218">
        <v>0</v>
      </c>
      <c r="AI74" s="218">
        <v>0</v>
      </c>
      <c r="AJ74" s="218">
        <v>0</v>
      </c>
      <c r="AK74" s="218">
        <v>0</v>
      </c>
      <c r="AL74" s="218">
        <v>0</v>
      </c>
      <c r="AM74" s="218">
        <v>0</v>
      </c>
      <c r="AN74" s="218">
        <v>0</v>
      </c>
      <c r="AO74" s="218"/>
      <c r="AP74" s="218">
        <v>0</v>
      </c>
      <c r="AQ74" s="218">
        <v>0</v>
      </c>
      <c r="AR74" s="218"/>
      <c r="AS74" s="218">
        <v>0</v>
      </c>
      <c r="AT74" s="218">
        <v>0</v>
      </c>
      <c r="AU74" s="218">
        <v>0</v>
      </c>
      <c r="AV74" s="218">
        <v>0</v>
      </c>
    </row>
    <row r="75" spans="1:83" hidden="1" outlineLevel="1" x14ac:dyDescent="0.2">
      <c r="B75" s="249" t="s">
        <v>1192</v>
      </c>
      <c r="C75" s="218">
        <v>0</v>
      </c>
      <c r="D75" s="218">
        <v>0</v>
      </c>
      <c r="E75" s="218">
        <v>0</v>
      </c>
      <c r="F75" s="218">
        <v>0</v>
      </c>
      <c r="G75" s="218">
        <v>0</v>
      </c>
      <c r="H75" s="218">
        <v>0</v>
      </c>
      <c r="I75" s="218">
        <v>0</v>
      </c>
      <c r="J75" s="218">
        <v>0</v>
      </c>
      <c r="K75" s="218">
        <v>0</v>
      </c>
      <c r="L75" s="218">
        <v>0</v>
      </c>
      <c r="M75" s="218">
        <v>0</v>
      </c>
      <c r="N75" s="218">
        <v>0</v>
      </c>
      <c r="O75" s="218">
        <v>0</v>
      </c>
      <c r="P75" s="218">
        <v>0</v>
      </c>
      <c r="Q75" s="218">
        <v>0</v>
      </c>
      <c r="R75" s="218">
        <v>0</v>
      </c>
      <c r="S75" s="218">
        <v>0</v>
      </c>
      <c r="T75" s="218">
        <v>0</v>
      </c>
      <c r="U75" s="218">
        <v>0</v>
      </c>
      <c r="V75" s="218">
        <v>0</v>
      </c>
      <c r="W75" s="218">
        <v>0</v>
      </c>
      <c r="X75" s="218">
        <v>0</v>
      </c>
      <c r="Y75" s="218">
        <v>0</v>
      </c>
      <c r="Z75" s="218">
        <v>0</v>
      </c>
      <c r="AA75" s="218">
        <v>0</v>
      </c>
      <c r="AB75" s="218">
        <v>0</v>
      </c>
      <c r="AC75" s="218">
        <v>0</v>
      </c>
      <c r="AD75" s="218">
        <v>0</v>
      </c>
      <c r="AE75" s="218">
        <v>0</v>
      </c>
      <c r="AF75" s="218">
        <v>0</v>
      </c>
      <c r="AG75" s="218">
        <v>0</v>
      </c>
      <c r="AH75" s="218">
        <v>0</v>
      </c>
      <c r="AI75" s="218">
        <v>0</v>
      </c>
      <c r="AJ75" s="218">
        <v>0</v>
      </c>
      <c r="AK75" s="218">
        <v>0</v>
      </c>
      <c r="AL75" s="218">
        <v>0</v>
      </c>
      <c r="AM75" s="218">
        <v>0</v>
      </c>
      <c r="AN75" s="218">
        <v>0</v>
      </c>
      <c r="AO75" s="218"/>
      <c r="AP75" s="218">
        <v>0</v>
      </c>
      <c r="AQ75" s="218">
        <v>0</v>
      </c>
      <c r="AR75" s="218"/>
      <c r="AS75" s="218">
        <v>0</v>
      </c>
      <c r="AT75" s="218">
        <v>0</v>
      </c>
      <c r="AU75" s="218">
        <v>0</v>
      </c>
      <c r="AV75" s="218">
        <v>0</v>
      </c>
    </row>
    <row r="76" spans="1:83" hidden="1" outlineLevel="1" x14ac:dyDescent="0.2">
      <c r="B76" s="249" t="s">
        <v>435</v>
      </c>
      <c r="C76" s="218">
        <v>0</v>
      </c>
      <c r="D76" s="218">
        <v>0</v>
      </c>
      <c r="E76" s="218">
        <v>0</v>
      </c>
      <c r="F76" s="218">
        <v>0</v>
      </c>
      <c r="G76" s="218">
        <v>0</v>
      </c>
      <c r="H76" s="218">
        <v>0</v>
      </c>
      <c r="I76" s="218">
        <v>0</v>
      </c>
      <c r="J76" s="218">
        <v>0</v>
      </c>
      <c r="K76" s="218">
        <v>0</v>
      </c>
      <c r="L76" s="218">
        <v>0</v>
      </c>
      <c r="M76" s="218">
        <v>0</v>
      </c>
      <c r="N76" s="218">
        <v>0</v>
      </c>
      <c r="O76" s="218">
        <v>0</v>
      </c>
      <c r="P76" s="218">
        <v>286</v>
      </c>
      <c r="Q76" s="218">
        <v>5</v>
      </c>
      <c r="R76" s="218">
        <v>36</v>
      </c>
      <c r="S76" s="218">
        <v>-327</v>
      </c>
      <c r="T76" s="218">
        <v>68</v>
      </c>
      <c r="U76" s="218">
        <v>237</v>
      </c>
      <c r="V76" s="218">
        <v>59</v>
      </c>
      <c r="W76" s="218">
        <v>74</v>
      </c>
      <c r="X76" s="218">
        <v>74</v>
      </c>
      <c r="Y76" s="218">
        <v>39</v>
      </c>
      <c r="Z76" s="218">
        <v>-86</v>
      </c>
      <c r="AA76" s="218">
        <v>15</v>
      </c>
      <c r="AB76" s="218">
        <v>73</v>
      </c>
      <c r="AC76" s="218">
        <v>53</v>
      </c>
      <c r="AD76" s="218">
        <v>0</v>
      </c>
      <c r="AE76" s="218">
        <v>85</v>
      </c>
      <c r="AF76" s="218">
        <v>0</v>
      </c>
      <c r="AG76" s="218">
        <v>0</v>
      </c>
      <c r="AH76" s="218">
        <v>0</v>
      </c>
      <c r="AI76" s="218">
        <v>0</v>
      </c>
      <c r="AJ76" s="218">
        <v>0</v>
      </c>
      <c r="AK76" s="218">
        <v>0</v>
      </c>
      <c r="AL76" s="218">
        <v>0</v>
      </c>
      <c r="AM76" s="218">
        <v>0</v>
      </c>
      <c r="AN76" s="218">
        <v>0</v>
      </c>
      <c r="AO76" s="218"/>
      <c r="AP76" s="218">
        <v>0</v>
      </c>
      <c r="AQ76" s="218">
        <v>0</v>
      </c>
      <c r="AR76" s="218"/>
      <c r="AS76" s="218">
        <v>0</v>
      </c>
      <c r="AT76" s="218">
        <v>0</v>
      </c>
      <c r="AU76" s="218">
        <v>0</v>
      </c>
      <c r="AV76" s="218">
        <v>0</v>
      </c>
    </row>
    <row r="77" spans="1:83" hidden="1" outlineLevel="1" x14ac:dyDescent="0.2">
      <c r="B77" s="249" t="s">
        <v>443</v>
      </c>
      <c r="C77" s="218">
        <v>59171</v>
      </c>
      <c r="D77" s="218">
        <v>364</v>
      </c>
      <c r="E77" s="218">
        <v>-357</v>
      </c>
      <c r="F77" s="218">
        <v>0</v>
      </c>
      <c r="G77" s="218">
        <v>0</v>
      </c>
      <c r="H77" s="218">
        <v>0</v>
      </c>
      <c r="I77" s="218">
        <v>0</v>
      </c>
      <c r="J77" s="218">
        <v>0</v>
      </c>
      <c r="K77" s="218">
        <v>0</v>
      </c>
      <c r="L77" s="218">
        <v>0</v>
      </c>
      <c r="M77" s="218">
        <v>0</v>
      </c>
      <c r="N77" s="218">
        <v>0</v>
      </c>
      <c r="O77" s="218">
        <v>0</v>
      </c>
      <c r="P77" s="218">
        <v>0</v>
      </c>
      <c r="Q77" s="218">
        <v>0</v>
      </c>
      <c r="R77" s="218">
        <v>0</v>
      </c>
      <c r="S77" s="218">
        <v>0</v>
      </c>
      <c r="T77" s="218">
        <v>0</v>
      </c>
      <c r="U77" s="218">
        <v>0</v>
      </c>
      <c r="V77" s="218">
        <v>0</v>
      </c>
      <c r="W77" s="218">
        <v>0</v>
      </c>
      <c r="X77" s="218">
        <v>0</v>
      </c>
      <c r="Y77" s="218">
        <v>0</v>
      </c>
      <c r="Z77" s="218">
        <v>0</v>
      </c>
      <c r="AA77" s="218">
        <v>0</v>
      </c>
      <c r="AB77" s="218">
        <v>0</v>
      </c>
      <c r="AC77" s="218">
        <v>0</v>
      </c>
      <c r="AD77" s="218">
        <v>0</v>
      </c>
      <c r="AE77" s="218">
        <v>0</v>
      </c>
      <c r="AF77" s="218">
        <v>0</v>
      </c>
      <c r="AG77" s="218">
        <v>0</v>
      </c>
      <c r="AH77" s="218">
        <v>0</v>
      </c>
      <c r="AI77" s="218">
        <v>0</v>
      </c>
      <c r="AJ77" s="218">
        <v>0</v>
      </c>
      <c r="AK77" s="218">
        <v>0</v>
      </c>
      <c r="AL77" s="218">
        <v>0</v>
      </c>
      <c r="AM77" s="218">
        <v>0</v>
      </c>
      <c r="AN77" s="218">
        <v>0</v>
      </c>
      <c r="AO77" s="218"/>
      <c r="AP77" s="218">
        <v>0</v>
      </c>
      <c r="AQ77" s="218">
        <v>0</v>
      </c>
      <c r="AR77" s="218"/>
      <c r="AS77" s="218">
        <v>0</v>
      </c>
      <c r="AT77" s="218">
        <v>0</v>
      </c>
      <c r="AU77" s="218">
        <v>0</v>
      </c>
      <c r="AV77" s="218">
        <v>0</v>
      </c>
    </row>
    <row r="78" spans="1:83" collapsed="1" x14ac:dyDescent="0.2">
      <c r="B78" s="126" t="s">
        <v>1194</v>
      </c>
      <c r="C78" s="120">
        <f t="shared" ref="C78:AM78" si="33">+SUM(C70:C77)</f>
        <v>62352</v>
      </c>
      <c r="D78" s="120">
        <f t="shared" si="33"/>
        <v>513</v>
      </c>
      <c r="E78" s="120">
        <f t="shared" si="33"/>
        <v>-44</v>
      </c>
      <c r="F78" s="120">
        <f t="shared" si="33"/>
        <v>296</v>
      </c>
      <c r="G78" s="120">
        <f t="shared" si="33"/>
        <v>34</v>
      </c>
      <c r="H78" s="120">
        <f t="shared" si="33"/>
        <v>52</v>
      </c>
      <c r="I78" s="120">
        <f t="shared" si="33"/>
        <v>58</v>
      </c>
      <c r="J78" s="120">
        <f t="shared" si="33"/>
        <v>76</v>
      </c>
      <c r="K78" s="120">
        <f t="shared" si="33"/>
        <v>78</v>
      </c>
      <c r="L78" s="120">
        <f t="shared" si="33"/>
        <v>75</v>
      </c>
      <c r="M78" s="120">
        <f t="shared" si="33"/>
        <v>62.60214999999998</v>
      </c>
      <c r="N78" s="120">
        <f t="shared" si="33"/>
        <v>-78.97123999999998</v>
      </c>
      <c r="O78" s="120">
        <f t="shared" si="33"/>
        <v>191.36909</v>
      </c>
      <c r="P78" s="120">
        <f t="shared" si="33"/>
        <v>322</v>
      </c>
      <c r="Q78" s="120">
        <f t="shared" si="33"/>
        <v>37</v>
      </c>
      <c r="R78" s="120">
        <f t="shared" si="33"/>
        <v>65</v>
      </c>
      <c r="S78" s="120">
        <f t="shared" si="33"/>
        <v>-424</v>
      </c>
      <c r="T78" s="120">
        <f t="shared" si="33"/>
        <v>110</v>
      </c>
      <c r="U78" s="120">
        <f t="shared" si="33"/>
        <v>256</v>
      </c>
      <c r="V78" s="120">
        <f t="shared" si="33"/>
        <v>83</v>
      </c>
      <c r="W78" s="120">
        <f t="shared" si="33"/>
        <v>100</v>
      </c>
      <c r="X78" s="120">
        <f t="shared" si="33"/>
        <v>81</v>
      </c>
      <c r="Y78" s="120">
        <f t="shared" si="33"/>
        <v>57</v>
      </c>
      <c r="Z78" s="120">
        <f t="shared" si="33"/>
        <v>103</v>
      </c>
      <c r="AA78" s="120">
        <f t="shared" si="33"/>
        <v>203</v>
      </c>
      <c r="AB78" s="120">
        <f t="shared" si="33"/>
        <v>87</v>
      </c>
      <c r="AC78" s="120">
        <f t="shared" si="33"/>
        <v>59</v>
      </c>
      <c r="AD78" s="120">
        <f t="shared" si="33"/>
        <v>4</v>
      </c>
      <c r="AE78" s="120">
        <f t="shared" si="33"/>
        <v>86</v>
      </c>
      <c r="AF78" s="120">
        <f t="shared" si="33"/>
        <v>29</v>
      </c>
      <c r="AG78" s="120">
        <f t="shared" si="33"/>
        <v>0</v>
      </c>
      <c r="AH78" s="120">
        <f t="shared" si="33"/>
        <v>-28</v>
      </c>
      <c r="AI78" s="120">
        <f t="shared" si="33"/>
        <v>291</v>
      </c>
      <c r="AJ78" s="120">
        <f t="shared" si="33"/>
        <v>0</v>
      </c>
      <c r="AK78" s="120">
        <f t="shared" si="33"/>
        <v>4</v>
      </c>
      <c r="AL78" s="120">
        <f t="shared" si="33"/>
        <v>7</v>
      </c>
      <c r="AM78" s="120">
        <f t="shared" si="33"/>
        <v>3</v>
      </c>
      <c r="AN78" s="120">
        <f>+SUM(AN70:AN77)</f>
        <v>5</v>
      </c>
      <c r="AO78" s="120">
        <f>+SUM(AO70:AO77)</f>
        <v>4</v>
      </c>
      <c r="AP78" s="120">
        <f>+SUM(AP70:AP77)</f>
        <v>5</v>
      </c>
      <c r="AQ78" s="120">
        <f>+SUM(AQ70:AQ77)</f>
        <v>-2711</v>
      </c>
      <c r="AR78" s="120">
        <f>+SUM(AR70:AR77)</f>
        <v>6</v>
      </c>
      <c r="AS78" s="120">
        <v>5</v>
      </c>
      <c r="AT78" s="120">
        <f>+SUM(AT70:AT77)</f>
        <v>2</v>
      </c>
      <c r="AU78" s="120">
        <f>+SUM(AU70:AU77)</f>
        <v>-13</v>
      </c>
      <c r="AV78" s="120">
        <f>+SUM(AV70:AV77)</f>
        <v>0</v>
      </c>
    </row>
    <row r="79" spans="1:83" x14ac:dyDescent="0.2">
      <c r="B79" s="129" t="s">
        <v>49</v>
      </c>
      <c r="C79" s="118">
        <v>0</v>
      </c>
      <c r="D79" s="118">
        <v>0</v>
      </c>
      <c r="E79" s="118">
        <v>0</v>
      </c>
      <c r="F79" s="118">
        <v>0</v>
      </c>
      <c r="G79" s="118">
        <v>0</v>
      </c>
      <c r="H79" s="118">
        <v>0</v>
      </c>
      <c r="I79" s="118">
        <v>0</v>
      </c>
      <c r="J79" s="118">
        <v>0</v>
      </c>
      <c r="K79" s="118">
        <v>0</v>
      </c>
      <c r="L79" s="118">
        <v>0</v>
      </c>
      <c r="M79" s="118">
        <v>0</v>
      </c>
      <c r="N79" s="118">
        <v>0</v>
      </c>
      <c r="O79" s="118">
        <v>0</v>
      </c>
      <c r="P79" s="118">
        <v>0</v>
      </c>
      <c r="Q79" s="118">
        <v>0</v>
      </c>
      <c r="R79" s="118">
        <v>0</v>
      </c>
      <c r="S79" s="118">
        <v>0</v>
      </c>
      <c r="T79" s="118">
        <v>0</v>
      </c>
      <c r="U79" s="118">
        <v>0</v>
      </c>
      <c r="V79" s="118">
        <v>0</v>
      </c>
      <c r="W79" s="118">
        <v>0</v>
      </c>
      <c r="X79" s="118">
        <v>0</v>
      </c>
      <c r="Y79" s="118">
        <v>0</v>
      </c>
      <c r="Z79" s="118">
        <v>0</v>
      </c>
      <c r="AA79" s="118">
        <v>0</v>
      </c>
      <c r="AB79" s="118">
        <v>0</v>
      </c>
      <c r="AC79" s="118">
        <v>0</v>
      </c>
      <c r="AD79" s="118">
        <v>0</v>
      </c>
      <c r="AE79" s="118">
        <v>0</v>
      </c>
      <c r="AF79" s="118">
        <v>0</v>
      </c>
      <c r="AG79" s="118">
        <v>0</v>
      </c>
      <c r="AH79" s="118">
        <v>0</v>
      </c>
      <c r="AI79" s="118">
        <v>0</v>
      </c>
      <c r="AJ79" s="118">
        <v>1</v>
      </c>
      <c r="AK79" s="118">
        <v>1</v>
      </c>
      <c r="AL79" s="118">
        <v>1</v>
      </c>
      <c r="AM79" s="118">
        <v>0</v>
      </c>
      <c r="AN79" s="118">
        <v>0</v>
      </c>
      <c r="AO79" s="118">
        <v>3</v>
      </c>
      <c r="AP79" s="118">
        <v>0</v>
      </c>
      <c r="AQ79" s="118">
        <v>-3</v>
      </c>
      <c r="AR79" s="118">
        <v>0</v>
      </c>
      <c r="AS79" s="118">
        <v>0</v>
      </c>
      <c r="AT79" s="118">
        <v>13</v>
      </c>
      <c r="AU79" s="118">
        <v>-13</v>
      </c>
      <c r="AV79" s="118">
        <v>0</v>
      </c>
    </row>
    <row r="80" spans="1:83" x14ac:dyDescent="0.2">
      <c r="B80" s="126" t="s">
        <v>331</v>
      </c>
      <c r="C80" s="120">
        <f>SUM(C79)</f>
        <v>0</v>
      </c>
      <c r="D80" s="120">
        <f t="shared" ref="D80:AJ80" si="34">SUM(D79)</f>
        <v>0</v>
      </c>
      <c r="E80" s="120">
        <f t="shared" si="34"/>
        <v>0</v>
      </c>
      <c r="F80" s="120">
        <f t="shared" si="34"/>
        <v>0</v>
      </c>
      <c r="G80" s="120">
        <f t="shared" si="34"/>
        <v>0</v>
      </c>
      <c r="H80" s="120">
        <f t="shared" si="34"/>
        <v>0</v>
      </c>
      <c r="I80" s="120">
        <f t="shared" si="34"/>
        <v>0</v>
      </c>
      <c r="J80" s="120">
        <f t="shared" si="34"/>
        <v>0</v>
      </c>
      <c r="K80" s="120">
        <f t="shared" si="34"/>
        <v>0</v>
      </c>
      <c r="L80" s="120">
        <f t="shared" si="34"/>
        <v>0</v>
      </c>
      <c r="M80" s="120">
        <f t="shared" si="34"/>
        <v>0</v>
      </c>
      <c r="N80" s="120">
        <f t="shared" si="34"/>
        <v>0</v>
      </c>
      <c r="O80" s="120">
        <f t="shared" si="34"/>
        <v>0</v>
      </c>
      <c r="P80" s="120">
        <f t="shared" si="34"/>
        <v>0</v>
      </c>
      <c r="Q80" s="120">
        <f t="shared" si="34"/>
        <v>0</v>
      </c>
      <c r="R80" s="120">
        <f t="shared" si="34"/>
        <v>0</v>
      </c>
      <c r="S80" s="120">
        <f t="shared" si="34"/>
        <v>0</v>
      </c>
      <c r="T80" s="120">
        <f t="shared" si="34"/>
        <v>0</v>
      </c>
      <c r="U80" s="120">
        <f t="shared" si="34"/>
        <v>0</v>
      </c>
      <c r="V80" s="120">
        <f t="shared" si="34"/>
        <v>0</v>
      </c>
      <c r="W80" s="120">
        <f t="shared" si="34"/>
        <v>0</v>
      </c>
      <c r="X80" s="120">
        <f t="shared" si="34"/>
        <v>0</v>
      </c>
      <c r="Y80" s="120">
        <f t="shared" si="34"/>
        <v>0</v>
      </c>
      <c r="Z80" s="120">
        <f t="shared" si="34"/>
        <v>0</v>
      </c>
      <c r="AA80" s="120">
        <f t="shared" si="34"/>
        <v>0</v>
      </c>
      <c r="AB80" s="120">
        <f t="shared" si="34"/>
        <v>0</v>
      </c>
      <c r="AC80" s="120">
        <f t="shared" si="34"/>
        <v>0</v>
      </c>
      <c r="AD80" s="120">
        <f t="shared" si="34"/>
        <v>0</v>
      </c>
      <c r="AE80" s="120">
        <f t="shared" si="34"/>
        <v>0</v>
      </c>
      <c r="AF80" s="120">
        <f t="shared" si="34"/>
        <v>0</v>
      </c>
      <c r="AG80" s="120">
        <f t="shared" si="34"/>
        <v>0</v>
      </c>
      <c r="AH80" s="120">
        <f t="shared" si="34"/>
        <v>0</v>
      </c>
      <c r="AI80" s="120">
        <f t="shared" si="34"/>
        <v>0</v>
      </c>
      <c r="AJ80" s="120">
        <f t="shared" si="34"/>
        <v>1</v>
      </c>
      <c r="AK80" s="120">
        <f t="shared" ref="AK80:AQ80" si="35">SUM(AK79)</f>
        <v>1</v>
      </c>
      <c r="AL80" s="120">
        <f t="shared" si="35"/>
        <v>1</v>
      </c>
      <c r="AM80" s="120">
        <f t="shared" si="35"/>
        <v>0</v>
      </c>
      <c r="AN80" s="120">
        <f t="shared" si="35"/>
        <v>0</v>
      </c>
      <c r="AO80" s="120">
        <f t="shared" si="35"/>
        <v>3</v>
      </c>
      <c r="AP80" s="120">
        <f t="shared" si="35"/>
        <v>0</v>
      </c>
      <c r="AQ80" s="120">
        <f t="shared" si="35"/>
        <v>-3</v>
      </c>
      <c r="AR80" s="120">
        <v>0</v>
      </c>
      <c r="AS80" s="120">
        <v>0</v>
      </c>
      <c r="AT80" s="120">
        <f>SUM(AT79)</f>
        <v>13</v>
      </c>
      <c r="AU80" s="120">
        <f>SUM(AU79)</f>
        <v>-13</v>
      </c>
      <c r="AV80" s="120">
        <f>SUM(AV79)</f>
        <v>0</v>
      </c>
    </row>
    <row r="81" spans="2:48" x14ac:dyDescent="0.2">
      <c r="B81" s="129" t="s">
        <v>444</v>
      </c>
      <c r="C81" s="118">
        <v>-3022</v>
      </c>
      <c r="D81" s="118">
        <v>-793</v>
      </c>
      <c r="E81" s="118">
        <v>-774</v>
      </c>
      <c r="F81" s="118">
        <v>-783</v>
      </c>
      <c r="G81" s="118">
        <v>-784</v>
      </c>
      <c r="H81" s="118">
        <v>-783</v>
      </c>
      <c r="I81" s="118">
        <v>-784</v>
      </c>
      <c r="J81" s="118">
        <v>-919</v>
      </c>
      <c r="K81" s="118">
        <v>-951</v>
      </c>
      <c r="L81" s="118">
        <v>-1078</v>
      </c>
      <c r="M81" s="118">
        <v>-1079</v>
      </c>
      <c r="N81" s="118">
        <v>-719.00000000000045</v>
      </c>
      <c r="O81" s="118">
        <v>-1438.0000000000005</v>
      </c>
      <c r="P81" s="118">
        <v>-979</v>
      </c>
      <c r="Q81" s="118">
        <v>-1178</v>
      </c>
      <c r="R81" s="118">
        <v>-979</v>
      </c>
      <c r="S81" s="118">
        <v>-3136</v>
      </c>
      <c r="T81" s="118">
        <v>-1105</v>
      </c>
      <c r="U81" s="118">
        <v>-1129</v>
      </c>
      <c r="V81" s="118">
        <v>-391</v>
      </c>
      <c r="W81" s="118">
        <v>-1416</v>
      </c>
      <c r="X81" s="118">
        <v>-1119</v>
      </c>
      <c r="Y81" s="118">
        <v>-1093</v>
      </c>
      <c r="Z81" s="118">
        <v>-1086</v>
      </c>
      <c r="AA81" s="118">
        <v>-1124</v>
      </c>
      <c r="AB81" s="118">
        <v>-980</v>
      </c>
      <c r="AC81" s="118">
        <v>-1041</v>
      </c>
      <c r="AD81" s="118">
        <v>-1072</v>
      </c>
      <c r="AE81" s="118">
        <v>-964</v>
      </c>
      <c r="AF81" s="118">
        <v>-1235</v>
      </c>
      <c r="AG81" s="118">
        <v>-1229</v>
      </c>
      <c r="AH81" s="118">
        <v>-1381</v>
      </c>
      <c r="AI81" s="118">
        <v>-972</v>
      </c>
      <c r="AJ81" s="118">
        <v>-1307</v>
      </c>
      <c r="AK81" s="118">
        <v>-1453</v>
      </c>
      <c r="AL81" s="118">
        <v>-1425</v>
      </c>
      <c r="AM81" s="118">
        <v>-1402</v>
      </c>
      <c r="AN81" s="118">
        <v>-1433</v>
      </c>
      <c r="AO81" s="118">
        <v>-1401</v>
      </c>
      <c r="AP81" s="118">
        <v>-1367</v>
      </c>
      <c r="AQ81" s="118">
        <v>3337</v>
      </c>
      <c r="AR81" s="118">
        <v>-1339</v>
      </c>
      <c r="AS81" s="118">
        <v>-1328</v>
      </c>
      <c r="AT81" s="118">
        <v>-1289</v>
      </c>
      <c r="AU81" s="118">
        <v>-870</v>
      </c>
      <c r="AV81" s="118">
        <v>-1144</v>
      </c>
    </row>
    <row r="82" spans="2:48" x14ac:dyDescent="0.2">
      <c r="B82" s="129" t="s">
        <v>1195</v>
      </c>
      <c r="C82" s="118" t="s">
        <v>160</v>
      </c>
      <c r="D82" s="118" t="s">
        <v>160</v>
      </c>
      <c r="E82" s="118" t="s">
        <v>160</v>
      </c>
      <c r="F82" s="118" t="s">
        <v>160</v>
      </c>
      <c r="G82" s="118" t="s">
        <v>160</v>
      </c>
      <c r="H82" s="118" t="s">
        <v>160</v>
      </c>
      <c r="I82" s="118" t="s">
        <v>160</v>
      </c>
      <c r="J82" s="118" t="s">
        <v>160</v>
      </c>
      <c r="K82" s="118" t="s">
        <v>160</v>
      </c>
      <c r="L82" s="118" t="s">
        <v>160</v>
      </c>
      <c r="M82" s="118" t="s">
        <v>160</v>
      </c>
      <c r="N82" s="118" t="s">
        <v>160</v>
      </c>
      <c r="O82" s="118" t="s">
        <v>160</v>
      </c>
      <c r="P82" s="118">
        <v>-167</v>
      </c>
      <c r="Q82" s="118">
        <v>-163</v>
      </c>
      <c r="R82" s="118">
        <v>-490</v>
      </c>
      <c r="S82" s="118">
        <v>-1439</v>
      </c>
      <c r="T82" s="118">
        <v>-237</v>
      </c>
      <c r="U82" s="118">
        <v>-305</v>
      </c>
      <c r="V82" s="118">
        <v>-900</v>
      </c>
      <c r="W82" s="118">
        <v>-147</v>
      </c>
      <c r="X82" s="118">
        <v>-225</v>
      </c>
      <c r="Y82" s="118">
        <v>-3</v>
      </c>
      <c r="Z82" s="118">
        <v>-171</v>
      </c>
      <c r="AA82" s="118">
        <v>-344</v>
      </c>
      <c r="AB82" s="118">
        <v>-119</v>
      </c>
      <c r="AC82" s="118">
        <v>-333</v>
      </c>
      <c r="AD82" s="118">
        <v>-244</v>
      </c>
      <c r="AE82" s="118">
        <v>-500</v>
      </c>
      <c r="AF82" s="118">
        <v>-85</v>
      </c>
      <c r="AG82" s="118">
        <v>-476</v>
      </c>
      <c r="AH82" s="118">
        <v>-257</v>
      </c>
      <c r="AI82" s="118">
        <v>225</v>
      </c>
      <c r="AJ82" s="118">
        <v>-238</v>
      </c>
      <c r="AK82" s="118">
        <v>-297</v>
      </c>
      <c r="AL82" s="118">
        <v>-198</v>
      </c>
      <c r="AM82" s="118">
        <v>-610</v>
      </c>
      <c r="AN82" s="118">
        <v>-512</v>
      </c>
      <c r="AO82" s="118">
        <v>-1264</v>
      </c>
      <c r="AP82" s="118">
        <v>-983</v>
      </c>
      <c r="AQ82" s="118">
        <v>3601</v>
      </c>
      <c r="AR82" s="118">
        <v>-931</v>
      </c>
      <c r="AS82" s="118">
        <v>-939</v>
      </c>
      <c r="AT82" s="118">
        <v>-755</v>
      </c>
      <c r="AU82" s="118">
        <v>-728</v>
      </c>
      <c r="AV82" s="118">
        <v>-864</v>
      </c>
    </row>
    <row r="83" spans="2:48" x14ac:dyDescent="0.2">
      <c r="B83" s="129" t="s">
        <v>1197</v>
      </c>
      <c r="C83" s="118">
        <v>0</v>
      </c>
      <c r="D83" s="118">
        <v>0</v>
      </c>
      <c r="E83" s="118">
        <v>0</v>
      </c>
      <c r="F83" s="118">
        <v>0</v>
      </c>
      <c r="G83" s="118">
        <v>0</v>
      </c>
      <c r="H83" s="118">
        <v>0</v>
      </c>
      <c r="I83" s="118">
        <v>0</v>
      </c>
      <c r="J83" s="118">
        <v>0</v>
      </c>
      <c r="K83" s="118">
        <v>0</v>
      </c>
      <c r="L83" s="118">
        <v>0</v>
      </c>
      <c r="M83" s="118">
        <v>0</v>
      </c>
      <c r="N83" s="118">
        <v>0</v>
      </c>
      <c r="O83" s="118">
        <v>0</v>
      </c>
      <c r="P83" s="118">
        <v>0</v>
      </c>
      <c r="Q83" s="118">
        <v>0</v>
      </c>
      <c r="R83" s="118">
        <v>0</v>
      </c>
      <c r="S83" s="118">
        <v>0</v>
      </c>
      <c r="T83" s="118">
        <v>0</v>
      </c>
      <c r="U83" s="118">
        <v>0</v>
      </c>
      <c r="V83" s="118">
        <v>0</v>
      </c>
      <c r="W83" s="118">
        <v>-185</v>
      </c>
      <c r="X83" s="118">
        <v>0</v>
      </c>
      <c r="Y83" s="118">
        <v>0</v>
      </c>
      <c r="Z83" s="118">
        <v>-100</v>
      </c>
      <c r="AA83" s="118">
        <v>-50</v>
      </c>
      <c r="AB83" s="118">
        <v>-30</v>
      </c>
      <c r="AC83" s="118">
        <v>-35</v>
      </c>
      <c r="AD83" s="118">
        <v>-40</v>
      </c>
      <c r="AE83" s="118">
        <v>-11</v>
      </c>
      <c r="AF83" s="118">
        <v>-23</v>
      </c>
      <c r="AG83" s="118">
        <v>-52</v>
      </c>
      <c r="AH83" s="118">
        <v>-79</v>
      </c>
      <c r="AI83" s="118">
        <v>-29</v>
      </c>
      <c r="AJ83" s="118">
        <v>0</v>
      </c>
      <c r="AK83" s="118">
        <v>0</v>
      </c>
      <c r="AL83" s="118">
        <v>-70</v>
      </c>
      <c r="AM83" s="118">
        <v>-30</v>
      </c>
      <c r="AN83" s="118">
        <v>-61</v>
      </c>
      <c r="AO83" s="118">
        <v>-179</v>
      </c>
      <c r="AP83" s="118">
        <v>-475</v>
      </c>
      <c r="AQ83" s="118">
        <v>715</v>
      </c>
      <c r="AR83" s="118">
        <v>-102</v>
      </c>
      <c r="AS83" s="118">
        <v>-160</v>
      </c>
      <c r="AT83" s="118">
        <v>-404</v>
      </c>
      <c r="AU83" s="118">
        <v>-265</v>
      </c>
      <c r="AV83" s="118">
        <v>-140</v>
      </c>
    </row>
    <row r="84" spans="2:48" x14ac:dyDescent="0.2">
      <c r="B84" s="129" t="s">
        <v>909</v>
      </c>
      <c r="C84" s="118">
        <v>0</v>
      </c>
      <c r="D84" s="118">
        <v>0</v>
      </c>
      <c r="E84" s="118">
        <v>0</v>
      </c>
      <c r="F84" s="118">
        <v>0</v>
      </c>
      <c r="G84" s="118">
        <v>0</v>
      </c>
      <c r="H84" s="118">
        <v>0</v>
      </c>
      <c r="I84" s="118">
        <v>0</v>
      </c>
      <c r="J84" s="118">
        <v>0</v>
      </c>
      <c r="K84" s="118">
        <v>0</v>
      </c>
      <c r="L84" s="118">
        <v>0</v>
      </c>
      <c r="M84" s="118">
        <v>0</v>
      </c>
      <c r="N84" s="118">
        <v>0</v>
      </c>
      <c r="O84" s="118">
        <v>0</v>
      </c>
      <c r="P84" s="118">
        <v>0</v>
      </c>
      <c r="Q84" s="118">
        <v>0</v>
      </c>
      <c r="R84" s="118">
        <v>0</v>
      </c>
      <c r="S84" s="118">
        <v>0</v>
      </c>
      <c r="T84" s="118">
        <v>0</v>
      </c>
      <c r="U84" s="118">
        <v>0</v>
      </c>
      <c r="V84" s="118">
        <v>0</v>
      </c>
      <c r="W84" s="118">
        <v>-83</v>
      </c>
      <c r="X84" s="118">
        <v>-255</v>
      </c>
      <c r="Y84" s="118">
        <v>-73</v>
      </c>
      <c r="Z84" s="118">
        <v>-84</v>
      </c>
      <c r="AA84" s="118">
        <v>-196</v>
      </c>
      <c r="AB84" s="118">
        <v>-113</v>
      </c>
      <c r="AC84" s="118">
        <v>-117</v>
      </c>
      <c r="AD84" s="118">
        <v>-180</v>
      </c>
      <c r="AE84" s="118">
        <v>-149</v>
      </c>
      <c r="AF84" s="118">
        <v>-110</v>
      </c>
      <c r="AG84" s="118">
        <v>-162</v>
      </c>
      <c r="AH84" s="118">
        <v>-145</v>
      </c>
      <c r="AI84" s="118">
        <v>-168</v>
      </c>
      <c r="AJ84" s="118">
        <v>-178</v>
      </c>
      <c r="AK84" s="118">
        <v>-185</v>
      </c>
      <c r="AL84" s="118">
        <v>-246</v>
      </c>
      <c r="AM84" s="118">
        <v>-246</v>
      </c>
      <c r="AN84" s="118">
        <v>-271</v>
      </c>
      <c r="AO84" s="118">
        <v>-325</v>
      </c>
      <c r="AP84" s="118">
        <v>-299</v>
      </c>
      <c r="AQ84" s="118">
        <v>895</v>
      </c>
      <c r="AR84" s="118">
        <v>-345</v>
      </c>
      <c r="AS84" s="118">
        <v>-300</v>
      </c>
      <c r="AT84" s="118">
        <v>-225</v>
      </c>
      <c r="AU84" s="118">
        <v>-300</v>
      </c>
      <c r="AV84" s="118">
        <v>-300</v>
      </c>
    </row>
    <row r="85" spans="2:48" x14ac:dyDescent="0.2">
      <c r="B85" s="129" t="s">
        <v>1189</v>
      </c>
      <c r="C85" s="118">
        <v>0</v>
      </c>
      <c r="D85" s="118">
        <v>0</v>
      </c>
      <c r="E85" s="118">
        <v>0</v>
      </c>
      <c r="F85" s="118">
        <v>0</v>
      </c>
      <c r="G85" s="118">
        <v>0</v>
      </c>
      <c r="H85" s="118">
        <v>0</v>
      </c>
      <c r="I85" s="118">
        <v>0</v>
      </c>
      <c r="J85" s="118">
        <v>0</v>
      </c>
      <c r="K85" s="118">
        <v>0</v>
      </c>
      <c r="L85" s="118">
        <v>0</v>
      </c>
      <c r="M85" s="118">
        <v>0</v>
      </c>
      <c r="N85" s="118">
        <v>0</v>
      </c>
      <c r="O85" s="118">
        <v>0</v>
      </c>
      <c r="P85" s="118">
        <v>0</v>
      </c>
      <c r="Q85" s="118">
        <v>0</v>
      </c>
      <c r="R85" s="118">
        <v>0</v>
      </c>
      <c r="S85" s="118">
        <v>0</v>
      </c>
      <c r="T85" s="118">
        <v>-4</v>
      </c>
      <c r="U85" s="118">
        <v>-8</v>
      </c>
      <c r="V85" s="118">
        <v>0</v>
      </c>
      <c r="W85" s="118">
        <v>-5</v>
      </c>
      <c r="X85" s="118">
        <v>-2</v>
      </c>
      <c r="Y85" s="118">
        <v>0</v>
      </c>
      <c r="Z85" s="118">
        <v>0</v>
      </c>
      <c r="AA85" s="118">
        <v>0</v>
      </c>
      <c r="AB85" s="118">
        <v>0</v>
      </c>
      <c r="AC85" s="118">
        <v>0</v>
      </c>
      <c r="AD85" s="118">
        <v>0</v>
      </c>
      <c r="AE85" s="118">
        <v>0</v>
      </c>
      <c r="AF85" s="118">
        <v>0</v>
      </c>
      <c r="AG85" s="118">
        <v>0</v>
      </c>
      <c r="AH85" s="118">
        <v>0</v>
      </c>
      <c r="AI85" s="118">
        <v>0</v>
      </c>
      <c r="AJ85" s="118">
        <v>0</v>
      </c>
      <c r="AK85" s="118">
        <v>0</v>
      </c>
      <c r="AL85" s="118">
        <v>0</v>
      </c>
      <c r="AM85" s="118">
        <v>0</v>
      </c>
      <c r="AN85" s="118">
        <v>0</v>
      </c>
      <c r="AO85" s="118">
        <v>-10</v>
      </c>
      <c r="AP85" s="118">
        <v>-6</v>
      </c>
      <c r="AQ85" s="118">
        <v>0</v>
      </c>
      <c r="AR85" s="118">
        <v>0</v>
      </c>
      <c r="AS85" s="118">
        <v>0</v>
      </c>
      <c r="AT85" s="118">
        <v>-1</v>
      </c>
      <c r="AU85" s="118">
        <v>0</v>
      </c>
      <c r="AV85" s="118">
        <v>0</v>
      </c>
    </row>
    <row r="86" spans="2:48" x14ac:dyDescent="0.2">
      <c r="B86" s="129" t="s">
        <v>1370</v>
      </c>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t="s">
        <v>160</v>
      </c>
      <c r="AG86" s="118" t="s">
        <v>160</v>
      </c>
      <c r="AH86" s="118" t="s">
        <v>160</v>
      </c>
      <c r="AI86" s="118" t="s">
        <v>160</v>
      </c>
      <c r="AJ86" s="118" t="s">
        <v>160</v>
      </c>
      <c r="AK86" s="118" t="s">
        <v>160</v>
      </c>
      <c r="AL86" s="118" t="s">
        <v>160</v>
      </c>
      <c r="AM86" s="118" t="s">
        <v>160</v>
      </c>
      <c r="AN86" s="118" t="s">
        <v>160</v>
      </c>
      <c r="AO86" s="118" t="s">
        <v>160</v>
      </c>
      <c r="AP86" s="118" t="s">
        <v>160</v>
      </c>
      <c r="AQ86" s="118" t="s">
        <v>160</v>
      </c>
      <c r="AR86" s="118" t="s">
        <v>160</v>
      </c>
      <c r="AS86" s="118" t="s">
        <v>160</v>
      </c>
      <c r="AT86" s="118" t="s">
        <v>160</v>
      </c>
      <c r="AU86" s="118">
        <v>-1067</v>
      </c>
      <c r="AV86" s="118">
        <v>-265</v>
      </c>
    </row>
    <row r="87" spans="2:48" hidden="1" outlineLevel="1" x14ac:dyDescent="0.2">
      <c r="B87" s="249" t="s">
        <v>1196</v>
      </c>
      <c r="C87" s="218">
        <v>-2661</v>
      </c>
      <c r="D87" s="218">
        <v>-682</v>
      </c>
      <c r="E87" s="218">
        <v>-698</v>
      </c>
      <c r="F87" s="218">
        <v>-706</v>
      </c>
      <c r="G87" s="218">
        <v>-706</v>
      </c>
      <c r="H87" s="218">
        <v>-739</v>
      </c>
      <c r="I87" s="218">
        <v>-736</v>
      </c>
      <c r="J87" s="218">
        <v>-717</v>
      </c>
      <c r="K87" s="218">
        <v>-671</v>
      </c>
      <c r="L87" s="218">
        <v>-727</v>
      </c>
      <c r="M87" s="218">
        <v>-685.35565999999994</v>
      </c>
      <c r="N87" s="218">
        <v>-470.78522000000021</v>
      </c>
      <c r="O87" s="218">
        <v>-941.85911999999962</v>
      </c>
      <c r="P87" s="218">
        <v>-504</v>
      </c>
      <c r="Q87" s="218">
        <v>-842</v>
      </c>
      <c r="R87" s="218">
        <v>-238</v>
      </c>
      <c r="S87" s="218">
        <v>1584</v>
      </c>
      <c r="T87" s="218">
        <v>-422</v>
      </c>
      <c r="U87" s="218">
        <v>-337</v>
      </c>
      <c r="V87" s="218">
        <v>-137</v>
      </c>
      <c r="W87" s="218">
        <v>-255</v>
      </c>
      <c r="X87" s="218">
        <v>0</v>
      </c>
      <c r="Y87" s="218">
        <v>0</v>
      </c>
      <c r="Z87" s="218">
        <v>0</v>
      </c>
      <c r="AA87" s="218">
        <v>0</v>
      </c>
      <c r="AB87" s="218">
        <v>0</v>
      </c>
      <c r="AC87" s="218">
        <v>0</v>
      </c>
      <c r="AD87" s="218">
        <v>0</v>
      </c>
      <c r="AE87" s="218">
        <v>0</v>
      </c>
      <c r="AF87" s="218">
        <v>0</v>
      </c>
      <c r="AG87" s="218">
        <v>0</v>
      </c>
      <c r="AH87" s="218">
        <v>0</v>
      </c>
      <c r="AI87" s="218">
        <v>0</v>
      </c>
      <c r="AJ87" s="218">
        <v>0</v>
      </c>
      <c r="AK87" s="218">
        <v>0</v>
      </c>
      <c r="AL87" s="218">
        <v>0</v>
      </c>
      <c r="AM87" s="218">
        <v>0</v>
      </c>
      <c r="AN87" s="218">
        <v>0</v>
      </c>
      <c r="AO87" s="218"/>
      <c r="AP87" s="218">
        <v>0</v>
      </c>
      <c r="AQ87" s="218">
        <v>0</v>
      </c>
      <c r="AR87" s="218"/>
      <c r="AS87" s="218">
        <v>0</v>
      </c>
      <c r="AT87" s="218">
        <v>0</v>
      </c>
      <c r="AU87" s="218">
        <v>0</v>
      </c>
      <c r="AV87" s="218">
        <v>0</v>
      </c>
    </row>
    <row r="88" spans="2:48" hidden="1" outlineLevel="1" x14ac:dyDescent="0.2">
      <c r="B88" s="249" t="s">
        <v>445</v>
      </c>
      <c r="C88" s="218">
        <v>-3310</v>
      </c>
      <c r="D88" s="218">
        <v>-845</v>
      </c>
      <c r="E88" s="218">
        <v>-1145</v>
      </c>
      <c r="F88" s="218">
        <v>-676</v>
      </c>
      <c r="G88" s="218">
        <v>-923</v>
      </c>
      <c r="H88" s="218">
        <v>-700</v>
      </c>
      <c r="I88" s="218">
        <v>-694</v>
      </c>
      <c r="J88" s="218">
        <v>-672</v>
      </c>
      <c r="K88" s="218">
        <v>-629</v>
      </c>
      <c r="L88" s="218">
        <v>-693</v>
      </c>
      <c r="M88" s="218">
        <v>-693.64854000000014</v>
      </c>
      <c r="N88" s="218">
        <v>-231.10808999999972</v>
      </c>
      <c r="O88" s="218">
        <v>-1155.2433700000001</v>
      </c>
      <c r="P88" s="218">
        <v>-210</v>
      </c>
      <c r="Q88" s="218">
        <v>0</v>
      </c>
      <c r="R88" s="218">
        <v>0</v>
      </c>
      <c r="S88" s="218">
        <v>210</v>
      </c>
      <c r="T88" s="218">
        <v>0</v>
      </c>
      <c r="U88" s="218">
        <v>-135</v>
      </c>
      <c r="V88" s="218">
        <v>-35</v>
      </c>
      <c r="W88" s="218">
        <v>170</v>
      </c>
      <c r="X88" s="218">
        <v>0</v>
      </c>
      <c r="Y88" s="218">
        <v>0</v>
      </c>
      <c r="Z88" s="218">
        <v>0</v>
      </c>
      <c r="AA88" s="218">
        <v>0</v>
      </c>
      <c r="AB88" s="218">
        <v>0</v>
      </c>
      <c r="AC88" s="218">
        <v>0</v>
      </c>
      <c r="AD88" s="218">
        <v>0</v>
      </c>
      <c r="AE88" s="218">
        <v>0</v>
      </c>
      <c r="AF88" s="218">
        <v>0</v>
      </c>
      <c r="AG88" s="218">
        <v>0</v>
      </c>
      <c r="AH88" s="218">
        <v>0</v>
      </c>
      <c r="AI88" s="218">
        <v>0</v>
      </c>
      <c r="AJ88" s="218">
        <v>0</v>
      </c>
      <c r="AK88" s="218">
        <v>0</v>
      </c>
      <c r="AL88" s="218">
        <v>0</v>
      </c>
      <c r="AM88" s="218">
        <v>0</v>
      </c>
      <c r="AN88" s="218">
        <v>0</v>
      </c>
      <c r="AO88" s="218"/>
      <c r="AP88" s="218">
        <v>0</v>
      </c>
      <c r="AQ88" s="218">
        <v>0</v>
      </c>
      <c r="AR88" s="218"/>
      <c r="AS88" s="218">
        <v>0</v>
      </c>
      <c r="AT88" s="218">
        <v>0</v>
      </c>
      <c r="AU88" s="218">
        <v>0</v>
      </c>
      <c r="AV88" s="218">
        <v>0</v>
      </c>
    </row>
    <row r="89" spans="2:48" hidden="1" outlineLevel="1" x14ac:dyDescent="0.2">
      <c r="B89" s="249" t="s">
        <v>857</v>
      </c>
      <c r="C89" s="218">
        <v>0</v>
      </c>
      <c r="D89" s="218">
        <v>0</v>
      </c>
      <c r="E89" s="218">
        <v>0</v>
      </c>
      <c r="F89" s="218">
        <v>0</v>
      </c>
      <c r="G89" s="218">
        <v>0</v>
      </c>
      <c r="H89" s="218">
        <v>0</v>
      </c>
      <c r="I89" s="218">
        <v>0</v>
      </c>
      <c r="J89" s="218">
        <v>0</v>
      </c>
      <c r="K89" s="218">
        <v>0</v>
      </c>
      <c r="L89" s="218">
        <v>0</v>
      </c>
      <c r="M89" s="218">
        <v>0</v>
      </c>
      <c r="N89" s="218">
        <v>0</v>
      </c>
      <c r="O89" s="218">
        <v>0</v>
      </c>
      <c r="P89" s="218">
        <v>0</v>
      </c>
      <c r="Q89" s="218">
        <v>0</v>
      </c>
      <c r="R89" s="218">
        <v>0</v>
      </c>
      <c r="S89" s="218">
        <v>0</v>
      </c>
      <c r="T89" s="218">
        <v>-23</v>
      </c>
      <c r="U89" s="218">
        <v>-9</v>
      </c>
      <c r="V89" s="218">
        <v>-9</v>
      </c>
      <c r="W89" s="218">
        <v>-14</v>
      </c>
      <c r="X89" s="218">
        <v>-9</v>
      </c>
      <c r="Y89" s="218">
        <v>-4</v>
      </c>
      <c r="Z89" s="218">
        <v>-10</v>
      </c>
      <c r="AA89" s="218">
        <v>-9</v>
      </c>
      <c r="AB89" s="218">
        <v>-11</v>
      </c>
      <c r="AC89" s="218">
        <v>-9</v>
      </c>
      <c r="AD89" s="218">
        <v>-7</v>
      </c>
      <c r="AE89" s="218">
        <v>-12</v>
      </c>
      <c r="AF89" s="218">
        <v>-2</v>
      </c>
      <c r="AG89" s="218">
        <v>0</v>
      </c>
      <c r="AH89" s="218">
        <v>2</v>
      </c>
      <c r="AI89" s="218">
        <v>0</v>
      </c>
      <c r="AJ89" s="218">
        <v>0</v>
      </c>
      <c r="AK89" s="218">
        <v>0</v>
      </c>
      <c r="AL89" s="218">
        <v>0</v>
      </c>
      <c r="AM89" s="218">
        <v>0</v>
      </c>
      <c r="AN89" s="218">
        <v>0</v>
      </c>
      <c r="AO89" s="218"/>
      <c r="AP89" s="218">
        <v>0</v>
      </c>
      <c r="AQ89" s="218">
        <v>0</v>
      </c>
      <c r="AR89" s="218"/>
      <c r="AS89" s="218">
        <v>0</v>
      </c>
      <c r="AT89" s="218">
        <v>0</v>
      </c>
      <c r="AU89" s="218">
        <v>0</v>
      </c>
      <c r="AV89" s="218">
        <v>0</v>
      </c>
    </row>
    <row r="90" spans="2:48" hidden="1" outlineLevel="1" x14ac:dyDescent="0.2">
      <c r="B90" s="249" t="s">
        <v>1078</v>
      </c>
      <c r="C90" s="218" t="s">
        <v>160</v>
      </c>
      <c r="D90" s="218" t="s">
        <v>160</v>
      </c>
      <c r="E90" s="218" t="s">
        <v>160</v>
      </c>
      <c r="F90" s="218" t="s">
        <v>160</v>
      </c>
      <c r="G90" s="218" t="s">
        <v>160</v>
      </c>
      <c r="H90" s="218" t="s">
        <v>160</v>
      </c>
      <c r="I90" s="218" t="s">
        <v>160</v>
      </c>
      <c r="J90" s="218" t="s">
        <v>160</v>
      </c>
      <c r="K90" s="218" t="s">
        <v>160</v>
      </c>
      <c r="L90" s="218" t="s">
        <v>160</v>
      </c>
      <c r="M90" s="218" t="s">
        <v>160</v>
      </c>
      <c r="N90" s="218" t="s">
        <v>160</v>
      </c>
      <c r="O90" s="218" t="s">
        <v>160</v>
      </c>
      <c r="P90" s="218" t="s">
        <v>160</v>
      </c>
      <c r="Q90" s="218" t="s">
        <v>160</v>
      </c>
      <c r="R90" s="218" t="s">
        <v>160</v>
      </c>
      <c r="S90" s="218" t="s">
        <v>160</v>
      </c>
      <c r="T90" s="218" t="s">
        <v>160</v>
      </c>
      <c r="U90" s="218" t="s">
        <v>160</v>
      </c>
      <c r="V90" s="218" t="s">
        <v>160</v>
      </c>
      <c r="W90" s="218" t="s">
        <v>160</v>
      </c>
      <c r="X90" s="218" t="s">
        <v>160</v>
      </c>
      <c r="Y90" s="218" t="s">
        <v>160</v>
      </c>
      <c r="Z90" s="218" t="s">
        <v>160</v>
      </c>
      <c r="AA90" s="218" t="s">
        <v>160</v>
      </c>
      <c r="AB90" s="218" t="s">
        <v>160</v>
      </c>
      <c r="AC90" s="218" t="s">
        <v>160</v>
      </c>
      <c r="AD90" s="218">
        <v>0</v>
      </c>
      <c r="AE90" s="218" t="s">
        <v>160</v>
      </c>
      <c r="AF90" s="218">
        <v>0</v>
      </c>
      <c r="AG90" s="218">
        <v>0</v>
      </c>
      <c r="AH90" s="218">
        <v>0</v>
      </c>
      <c r="AI90" s="218">
        <v>0</v>
      </c>
      <c r="AJ90" s="218">
        <v>0</v>
      </c>
      <c r="AK90" s="218">
        <v>0</v>
      </c>
      <c r="AL90" s="218">
        <v>0</v>
      </c>
      <c r="AM90" s="218">
        <v>0</v>
      </c>
      <c r="AN90" s="218">
        <v>0</v>
      </c>
      <c r="AO90" s="218"/>
      <c r="AP90" s="218">
        <v>0</v>
      </c>
      <c r="AQ90" s="218">
        <v>0</v>
      </c>
      <c r="AR90" s="218"/>
      <c r="AS90" s="218">
        <v>0</v>
      </c>
      <c r="AT90" s="218">
        <v>0</v>
      </c>
      <c r="AU90" s="218">
        <v>0</v>
      </c>
      <c r="AV90" s="218">
        <v>0</v>
      </c>
    </row>
    <row r="91" spans="2:48" hidden="1" outlineLevel="1" x14ac:dyDescent="0.2">
      <c r="B91" s="249" t="s">
        <v>1198</v>
      </c>
      <c r="C91" s="218">
        <v>-433</v>
      </c>
      <c r="D91" s="218">
        <v>-126</v>
      </c>
      <c r="E91" s="218">
        <v>-123</v>
      </c>
      <c r="F91" s="218">
        <v>0</v>
      </c>
      <c r="G91" s="218">
        <v>-40</v>
      </c>
      <c r="H91" s="218">
        <v>0</v>
      </c>
      <c r="I91" s="218">
        <v>0</v>
      </c>
      <c r="J91" s="218">
        <v>0</v>
      </c>
      <c r="K91" s="218">
        <v>0</v>
      </c>
      <c r="L91" s="218">
        <v>0</v>
      </c>
      <c r="M91" s="218">
        <v>0</v>
      </c>
      <c r="N91" s="218">
        <v>0</v>
      </c>
      <c r="O91" s="218">
        <v>0</v>
      </c>
      <c r="P91" s="218">
        <v>0</v>
      </c>
      <c r="Q91" s="218">
        <v>0</v>
      </c>
      <c r="R91" s="218">
        <v>0</v>
      </c>
      <c r="S91" s="218">
        <v>0</v>
      </c>
      <c r="T91" s="218">
        <v>0</v>
      </c>
      <c r="U91" s="218">
        <v>0</v>
      </c>
      <c r="V91" s="218">
        <v>0</v>
      </c>
      <c r="W91" s="218">
        <v>0</v>
      </c>
      <c r="X91" s="218">
        <v>0</v>
      </c>
      <c r="Y91" s="218">
        <v>0</v>
      </c>
      <c r="Z91" s="218">
        <v>0</v>
      </c>
      <c r="AA91" s="218">
        <v>0</v>
      </c>
      <c r="AB91" s="218">
        <v>0</v>
      </c>
      <c r="AC91" s="218">
        <v>0</v>
      </c>
      <c r="AD91" s="218">
        <v>0</v>
      </c>
      <c r="AE91" s="218">
        <v>0</v>
      </c>
      <c r="AF91" s="218">
        <v>0</v>
      </c>
      <c r="AG91" s="218">
        <v>0</v>
      </c>
      <c r="AH91" s="218">
        <v>0</v>
      </c>
      <c r="AI91" s="218">
        <v>0</v>
      </c>
      <c r="AJ91" s="218">
        <v>0</v>
      </c>
      <c r="AK91" s="218">
        <v>0</v>
      </c>
      <c r="AL91" s="218">
        <v>0</v>
      </c>
      <c r="AM91" s="218">
        <v>0</v>
      </c>
      <c r="AN91" s="218">
        <v>0</v>
      </c>
      <c r="AO91" s="218"/>
      <c r="AP91" s="218">
        <v>0</v>
      </c>
      <c r="AQ91" s="218">
        <v>0</v>
      </c>
      <c r="AR91" s="218"/>
      <c r="AS91" s="218">
        <v>0</v>
      </c>
      <c r="AT91" s="218">
        <v>0</v>
      </c>
      <c r="AU91" s="218">
        <v>0</v>
      </c>
      <c r="AV91" s="218">
        <v>0</v>
      </c>
    </row>
    <row r="92" spans="2:48" collapsed="1" x14ac:dyDescent="0.2">
      <c r="B92" s="126" t="s">
        <v>243</v>
      </c>
      <c r="C92" s="120">
        <f t="shared" ref="C92:U92" si="36">SUM(C81:C91)</f>
        <v>-9426</v>
      </c>
      <c r="D92" s="120">
        <f t="shared" si="36"/>
        <v>-2446</v>
      </c>
      <c r="E92" s="120">
        <f t="shared" si="36"/>
        <v>-2740</v>
      </c>
      <c r="F92" s="120">
        <f t="shared" si="36"/>
        <v>-2165</v>
      </c>
      <c r="G92" s="120">
        <f t="shared" si="36"/>
        <v>-2453</v>
      </c>
      <c r="H92" s="120">
        <f t="shared" si="36"/>
        <v>-2222</v>
      </c>
      <c r="I92" s="120">
        <f t="shared" si="36"/>
        <v>-2214</v>
      </c>
      <c r="J92" s="120">
        <f t="shared" si="36"/>
        <v>-2308</v>
      </c>
      <c r="K92" s="120">
        <f t="shared" si="36"/>
        <v>-2251</v>
      </c>
      <c r="L92" s="120">
        <f t="shared" si="36"/>
        <v>-2498</v>
      </c>
      <c r="M92" s="120">
        <f t="shared" si="36"/>
        <v>-2458.0042000000003</v>
      </c>
      <c r="N92" s="120">
        <f t="shared" si="36"/>
        <v>-1420.8933100000004</v>
      </c>
      <c r="O92" s="120">
        <f t="shared" si="36"/>
        <v>-3535.1024900000002</v>
      </c>
      <c r="P92" s="120">
        <f t="shared" si="36"/>
        <v>-1860</v>
      </c>
      <c r="Q92" s="120">
        <f t="shared" si="36"/>
        <v>-2183</v>
      </c>
      <c r="R92" s="120">
        <f t="shared" si="36"/>
        <v>-1707</v>
      </c>
      <c r="S92" s="120">
        <f t="shared" si="36"/>
        <v>-2781</v>
      </c>
      <c r="T92" s="120">
        <f t="shared" si="36"/>
        <v>-1791</v>
      </c>
      <c r="U92" s="120">
        <f t="shared" si="36"/>
        <v>-1923</v>
      </c>
      <c r="V92" s="120">
        <v>-1472</v>
      </c>
      <c r="W92" s="120">
        <f t="shared" ref="W92:AM92" si="37">SUM(W81:W91)</f>
        <v>-1935</v>
      </c>
      <c r="X92" s="120">
        <f t="shared" si="37"/>
        <v>-1610</v>
      </c>
      <c r="Y92" s="120">
        <f t="shared" si="37"/>
        <v>-1173</v>
      </c>
      <c r="Z92" s="120">
        <f t="shared" si="37"/>
        <v>-1451</v>
      </c>
      <c r="AA92" s="120">
        <f t="shared" si="37"/>
        <v>-1723</v>
      </c>
      <c r="AB92" s="120">
        <f t="shared" si="37"/>
        <v>-1253</v>
      </c>
      <c r="AC92" s="120">
        <f t="shared" si="37"/>
        <v>-1535</v>
      </c>
      <c r="AD92" s="120">
        <f t="shared" si="37"/>
        <v>-1543</v>
      </c>
      <c r="AE92" s="120">
        <f t="shared" si="37"/>
        <v>-1636</v>
      </c>
      <c r="AF92" s="120">
        <f t="shared" si="37"/>
        <v>-1455</v>
      </c>
      <c r="AG92" s="120">
        <f t="shared" si="37"/>
        <v>-1919</v>
      </c>
      <c r="AH92" s="120">
        <f t="shared" si="37"/>
        <v>-1860</v>
      </c>
      <c r="AI92" s="120">
        <f t="shared" si="37"/>
        <v>-944</v>
      </c>
      <c r="AJ92" s="120">
        <f t="shared" si="37"/>
        <v>-1723</v>
      </c>
      <c r="AK92" s="120">
        <f t="shared" si="37"/>
        <v>-1935</v>
      </c>
      <c r="AL92" s="120">
        <f t="shared" si="37"/>
        <v>-1939</v>
      </c>
      <c r="AM92" s="120">
        <f t="shared" si="37"/>
        <v>-2288</v>
      </c>
      <c r="AN92" s="120">
        <f t="shared" ref="AN92:AV92" si="38">SUM(AN81:AN91)</f>
        <v>-2277</v>
      </c>
      <c r="AO92" s="120">
        <f t="shared" si="38"/>
        <v>-3179</v>
      </c>
      <c r="AP92" s="120">
        <f t="shared" si="38"/>
        <v>-3130</v>
      </c>
      <c r="AQ92" s="120">
        <f t="shared" si="38"/>
        <v>8548</v>
      </c>
      <c r="AR92" s="120">
        <f t="shared" si="38"/>
        <v>-2717</v>
      </c>
      <c r="AS92" s="120">
        <f t="shared" si="38"/>
        <v>-2727</v>
      </c>
      <c r="AT92" s="120">
        <f t="shared" si="38"/>
        <v>-2674</v>
      </c>
      <c r="AU92" s="120">
        <f t="shared" si="38"/>
        <v>-3230</v>
      </c>
      <c r="AV92" s="120">
        <f t="shared" si="38"/>
        <v>-2713</v>
      </c>
    </row>
    <row r="93" spans="2:48" x14ac:dyDescent="0.2">
      <c r="C93" s="204"/>
      <c r="D93" s="204"/>
      <c r="E93" s="204"/>
      <c r="F93" s="204"/>
      <c r="G93" s="204"/>
      <c r="H93" s="204"/>
      <c r="I93" s="204"/>
      <c r="J93" s="204"/>
      <c r="K93" s="204"/>
      <c r="L93" s="204"/>
      <c r="M93" s="204"/>
      <c r="N93" s="204"/>
      <c r="O93" s="204"/>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1"/>
      <c r="AN93" s="201"/>
      <c r="AO93" s="201"/>
      <c r="AP93" s="201"/>
      <c r="AQ93" s="201"/>
      <c r="AR93" s="201"/>
      <c r="AS93" s="201"/>
      <c r="AT93" s="201"/>
      <c r="AU93" s="201"/>
      <c r="AV93" s="201"/>
    </row>
    <row r="94" spans="2:48" x14ac:dyDescent="0.2">
      <c r="C94" s="204"/>
      <c r="D94" s="204"/>
      <c r="E94" s="204"/>
      <c r="F94" s="204"/>
      <c r="G94" s="204"/>
      <c r="H94" s="204"/>
      <c r="I94" s="204"/>
      <c r="J94" s="204"/>
      <c r="K94" s="204"/>
      <c r="L94" s="204"/>
      <c r="M94" s="204"/>
      <c r="N94" s="204"/>
      <c r="O94" s="204"/>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1"/>
      <c r="AN94" s="201"/>
      <c r="AO94" s="201"/>
      <c r="AP94" s="201"/>
      <c r="AQ94" s="201"/>
      <c r="AR94" s="201"/>
      <c r="AS94" s="201"/>
      <c r="AT94" s="201"/>
      <c r="AU94" s="201"/>
      <c r="AV94" s="201"/>
    </row>
    <row r="95" spans="2:48" x14ac:dyDescent="0.2">
      <c r="C95" s="204"/>
      <c r="D95" s="204"/>
      <c r="E95" s="204"/>
      <c r="F95" s="204"/>
      <c r="G95" s="204"/>
      <c r="H95" s="204"/>
      <c r="I95" s="204"/>
      <c r="J95" s="204"/>
      <c r="K95" s="204"/>
      <c r="L95" s="204"/>
      <c r="M95" s="204"/>
      <c r="N95" s="204"/>
      <c r="O95" s="204"/>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1"/>
      <c r="AN95" s="201"/>
      <c r="AO95" s="201"/>
      <c r="AP95" s="201"/>
      <c r="AQ95" s="201"/>
      <c r="AR95" s="201"/>
      <c r="AS95" s="201"/>
      <c r="AT95" s="201"/>
      <c r="AU95" s="201"/>
      <c r="AV95" s="201"/>
    </row>
    <row r="96" spans="2:48" x14ac:dyDescent="0.2">
      <c r="C96" s="204"/>
      <c r="D96" s="204"/>
      <c r="E96" s="204"/>
      <c r="F96" s="204"/>
      <c r="G96" s="204"/>
      <c r="H96" s="204"/>
      <c r="I96" s="204"/>
      <c r="J96" s="204"/>
      <c r="K96" s="204"/>
      <c r="L96" s="204"/>
      <c r="M96" s="204"/>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204"/>
      <c r="AM96" s="201"/>
      <c r="AN96" s="201"/>
      <c r="AO96" s="201"/>
      <c r="AP96" s="201"/>
      <c r="AQ96" s="201"/>
      <c r="AR96" s="201"/>
      <c r="AS96" s="201"/>
      <c r="AT96" s="201"/>
      <c r="AU96" s="201"/>
      <c r="AV96" s="201"/>
    </row>
    <row r="97" spans="3:48" x14ac:dyDescent="0.2">
      <c r="C97" s="204"/>
      <c r="D97" s="204"/>
      <c r="E97" s="204"/>
      <c r="F97" s="204"/>
      <c r="G97" s="204"/>
      <c r="H97" s="204"/>
      <c r="I97" s="204"/>
      <c r="J97" s="204"/>
      <c r="K97" s="204"/>
      <c r="L97" s="204"/>
      <c r="M97" s="204"/>
      <c r="N97" s="204"/>
      <c r="O97" s="204"/>
      <c r="P97" s="204"/>
      <c r="Q97" s="204"/>
      <c r="R97" s="204"/>
      <c r="S97" s="204"/>
      <c r="T97" s="204"/>
      <c r="U97" s="204"/>
      <c r="V97" s="204"/>
      <c r="W97" s="204"/>
      <c r="X97" s="204"/>
      <c r="Y97" s="204"/>
      <c r="Z97" s="204"/>
      <c r="AA97" s="204"/>
      <c r="AB97" s="204"/>
      <c r="AC97" s="204"/>
      <c r="AD97" s="204"/>
      <c r="AE97" s="204"/>
      <c r="AF97" s="204"/>
      <c r="AG97" s="204"/>
      <c r="AH97" s="204"/>
      <c r="AI97" s="204"/>
      <c r="AJ97" s="204"/>
      <c r="AK97" s="204"/>
      <c r="AL97" s="204"/>
      <c r="AM97" s="201"/>
      <c r="AN97" s="201"/>
      <c r="AO97" s="201"/>
      <c r="AP97" s="201"/>
      <c r="AQ97" s="201"/>
      <c r="AR97" s="201"/>
      <c r="AS97" s="201"/>
      <c r="AT97" s="201"/>
      <c r="AU97" s="201"/>
      <c r="AV97" s="201"/>
    </row>
    <row r="98" spans="3:48" x14ac:dyDescent="0.2">
      <c r="C98" s="204"/>
      <c r="D98" s="204"/>
      <c r="E98" s="204"/>
      <c r="F98" s="204"/>
      <c r="G98" s="204"/>
      <c r="H98" s="204"/>
      <c r="I98" s="204"/>
      <c r="J98" s="204"/>
      <c r="K98" s="204"/>
      <c r="L98" s="204"/>
      <c r="M98" s="204"/>
      <c r="N98" s="204"/>
      <c r="O98" s="204"/>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1"/>
      <c r="AN98" s="201"/>
      <c r="AO98" s="201"/>
      <c r="AP98" s="201"/>
      <c r="AQ98" s="201"/>
      <c r="AR98" s="201"/>
      <c r="AS98" s="201"/>
      <c r="AT98" s="201"/>
      <c r="AU98" s="201"/>
      <c r="AV98" s="201"/>
    </row>
    <row r="99" spans="3:48" x14ac:dyDescent="0.2">
      <c r="C99" s="204"/>
      <c r="D99" s="204"/>
      <c r="E99" s="204"/>
      <c r="F99" s="204"/>
      <c r="G99" s="204"/>
      <c r="H99" s="204"/>
      <c r="I99" s="204"/>
      <c r="J99" s="204"/>
      <c r="K99" s="204"/>
      <c r="L99" s="204"/>
      <c r="M99" s="204"/>
      <c r="N99" s="204"/>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1"/>
      <c r="AN99" s="201"/>
      <c r="AO99" s="201"/>
      <c r="AP99" s="201"/>
      <c r="AQ99" s="201"/>
      <c r="AR99" s="201"/>
      <c r="AS99" s="201"/>
      <c r="AT99" s="201"/>
      <c r="AU99" s="201"/>
      <c r="AV99" s="201"/>
    </row>
    <row r="100" spans="3:48" x14ac:dyDescent="0.2">
      <c r="C100" s="204"/>
      <c r="D100" s="204"/>
      <c r="E100" s="204"/>
      <c r="F100" s="204"/>
      <c r="G100" s="204"/>
      <c r="H100" s="204"/>
      <c r="I100" s="204"/>
      <c r="J100" s="204"/>
      <c r="K100" s="204"/>
      <c r="L100" s="204"/>
      <c r="M100" s="204"/>
      <c r="N100" s="204"/>
      <c r="O100" s="204"/>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1"/>
      <c r="AN100" s="201"/>
      <c r="AO100" s="201"/>
      <c r="AP100" s="201"/>
      <c r="AQ100" s="201"/>
      <c r="AR100" s="201"/>
      <c r="AS100" s="201"/>
      <c r="AT100" s="201"/>
      <c r="AU100" s="201"/>
      <c r="AV100" s="201"/>
    </row>
    <row r="101" spans="3:48" x14ac:dyDescent="0.2">
      <c r="C101" s="204"/>
      <c r="D101" s="204"/>
      <c r="E101" s="204"/>
      <c r="F101" s="204"/>
      <c r="G101" s="204"/>
      <c r="H101" s="204"/>
      <c r="I101" s="204"/>
      <c r="J101" s="204"/>
      <c r="K101" s="204"/>
      <c r="L101" s="204"/>
      <c r="M101" s="204"/>
      <c r="N101" s="204"/>
      <c r="O101" s="204"/>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4"/>
      <c r="AK101" s="204"/>
      <c r="AL101" s="204"/>
      <c r="AM101" s="201"/>
      <c r="AN101" s="201"/>
      <c r="AO101" s="201"/>
      <c r="AP101" s="201"/>
      <c r="AQ101" s="201"/>
      <c r="AR101" s="201"/>
      <c r="AS101" s="201"/>
      <c r="AT101" s="201"/>
      <c r="AU101" s="201"/>
      <c r="AV101" s="201"/>
    </row>
    <row r="102" spans="3:48" x14ac:dyDescent="0.2">
      <c r="C102" s="204"/>
      <c r="D102" s="204"/>
      <c r="E102" s="204"/>
      <c r="F102" s="204"/>
      <c r="G102" s="204"/>
      <c r="H102" s="204"/>
      <c r="I102" s="204"/>
      <c r="J102" s="204"/>
      <c r="K102" s="204"/>
      <c r="L102" s="204"/>
      <c r="M102" s="204"/>
      <c r="N102" s="204"/>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4"/>
      <c r="AL102" s="204"/>
      <c r="AM102" s="201"/>
      <c r="AN102" s="201"/>
      <c r="AO102" s="201"/>
      <c r="AP102" s="201"/>
      <c r="AQ102" s="201"/>
      <c r="AR102" s="201"/>
      <c r="AS102" s="201"/>
      <c r="AT102" s="201"/>
      <c r="AU102" s="201"/>
      <c r="AV102" s="201"/>
    </row>
    <row r="103" spans="3:48" x14ac:dyDescent="0.2">
      <c r="C103" s="204"/>
      <c r="D103" s="204"/>
      <c r="E103" s="204"/>
      <c r="F103" s="204"/>
      <c r="G103" s="204"/>
      <c r="H103" s="204"/>
      <c r="I103" s="204"/>
      <c r="J103" s="204"/>
      <c r="K103" s="204"/>
      <c r="L103" s="204"/>
      <c r="M103" s="204"/>
      <c r="N103" s="204"/>
      <c r="O103" s="204"/>
      <c r="P103" s="204"/>
      <c r="Q103" s="204"/>
      <c r="R103" s="204"/>
      <c r="S103" s="204"/>
      <c r="T103" s="204"/>
      <c r="U103" s="204"/>
      <c r="V103" s="204"/>
      <c r="W103" s="204"/>
      <c r="X103" s="204"/>
      <c r="Y103" s="204"/>
      <c r="Z103" s="204"/>
      <c r="AA103" s="204"/>
      <c r="AB103" s="204"/>
      <c r="AC103" s="204"/>
      <c r="AD103" s="204"/>
      <c r="AE103" s="204"/>
      <c r="AF103" s="204"/>
      <c r="AG103" s="204"/>
      <c r="AH103" s="204"/>
      <c r="AI103" s="204"/>
      <c r="AJ103" s="204"/>
      <c r="AK103" s="204"/>
      <c r="AL103" s="204"/>
      <c r="AM103" s="201"/>
      <c r="AN103" s="201"/>
      <c r="AO103" s="201"/>
      <c r="AP103" s="201"/>
      <c r="AQ103" s="201"/>
      <c r="AR103" s="201"/>
      <c r="AS103" s="201"/>
      <c r="AT103" s="201"/>
      <c r="AU103" s="201"/>
      <c r="AV103" s="201"/>
    </row>
    <row r="104" spans="3:48" x14ac:dyDescent="0.2">
      <c r="C104" s="204"/>
      <c r="D104" s="204"/>
      <c r="E104" s="204"/>
      <c r="F104" s="204"/>
      <c r="G104" s="204"/>
      <c r="H104" s="204"/>
      <c r="I104" s="204"/>
      <c r="J104" s="204"/>
      <c r="K104" s="204"/>
      <c r="L104" s="204"/>
      <c r="M104" s="204"/>
      <c r="N104" s="204"/>
      <c r="O104" s="204"/>
      <c r="P104" s="204"/>
      <c r="Q104" s="204"/>
      <c r="R104" s="204"/>
      <c r="S104" s="204"/>
      <c r="T104" s="204"/>
      <c r="U104" s="204"/>
      <c r="V104" s="204"/>
      <c r="W104" s="204"/>
      <c r="X104" s="204"/>
      <c r="Y104" s="204"/>
      <c r="Z104" s="204"/>
      <c r="AA104" s="204"/>
      <c r="AB104" s="204"/>
      <c r="AC104" s="204"/>
      <c r="AD104" s="204"/>
      <c r="AE104" s="204"/>
      <c r="AF104" s="204"/>
      <c r="AG104" s="204"/>
      <c r="AH104" s="204"/>
      <c r="AI104" s="204"/>
      <c r="AJ104" s="204"/>
      <c r="AK104" s="204"/>
      <c r="AL104" s="204"/>
      <c r="AM104" s="201"/>
      <c r="AN104" s="201"/>
      <c r="AO104" s="201"/>
      <c r="AP104" s="201"/>
      <c r="AQ104" s="201"/>
      <c r="AR104" s="201"/>
      <c r="AS104" s="201"/>
      <c r="AT104" s="201"/>
      <c r="AU104" s="201"/>
      <c r="AV104" s="201"/>
    </row>
    <row r="105" spans="3:48" x14ac:dyDescent="0.2">
      <c r="C105" s="204"/>
      <c r="D105" s="204"/>
      <c r="E105" s="204"/>
      <c r="F105" s="204"/>
      <c r="G105" s="204"/>
      <c r="H105" s="204"/>
      <c r="I105" s="204"/>
      <c r="J105" s="204"/>
      <c r="K105" s="204"/>
      <c r="L105" s="204"/>
      <c r="M105" s="204"/>
      <c r="N105" s="204"/>
      <c r="O105" s="204"/>
      <c r="P105" s="204"/>
      <c r="Q105" s="204"/>
      <c r="R105" s="204"/>
      <c r="S105" s="204"/>
      <c r="T105" s="204"/>
      <c r="U105" s="204"/>
      <c r="V105" s="204"/>
      <c r="W105" s="204"/>
      <c r="X105" s="204"/>
      <c r="Y105" s="204"/>
      <c r="Z105" s="204"/>
      <c r="AA105" s="204"/>
      <c r="AB105" s="204"/>
      <c r="AC105" s="204"/>
      <c r="AD105" s="204"/>
      <c r="AE105" s="204"/>
      <c r="AF105" s="204"/>
      <c r="AG105" s="204"/>
      <c r="AH105" s="204"/>
      <c r="AI105" s="204"/>
      <c r="AJ105" s="204"/>
      <c r="AK105" s="204"/>
      <c r="AL105" s="204"/>
      <c r="AM105" s="201"/>
      <c r="AN105" s="201"/>
      <c r="AO105" s="201"/>
      <c r="AP105" s="201"/>
      <c r="AQ105" s="201"/>
      <c r="AR105" s="201"/>
      <c r="AS105" s="201"/>
      <c r="AT105" s="201"/>
      <c r="AU105" s="201"/>
      <c r="AV105" s="201"/>
    </row>
    <row r="106" spans="3:48" x14ac:dyDescent="0.2">
      <c r="C106" s="204"/>
      <c r="D106" s="204"/>
      <c r="E106" s="204"/>
      <c r="F106" s="204"/>
      <c r="G106" s="204"/>
      <c r="H106" s="204"/>
      <c r="I106" s="204"/>
      <c r="J106" s="204"/>
      <c r="K106" s="204"/>
      <c r="L106" s="204"/>
      <c r="M106" s="204"/>
      <c r="N106" s="204"/>
      <c r="O106" s="204"/>
      <c r="P106" s="204"/>
      <c r="Q106" s="204"/>
      <c r="R106" s="204"/>
      <c r="S106" s="204"/>
      <c r="T106" s="204"/>
      <c r="U106" s="204"/>
      <c r="V106" s="204"/>
      <c r="W106" s="204"/>
      <c r="X106" s="204"/>
      <c r="Y106" s="204"/>
      <c r="Z106" s="204"/>
      <c r="AA106" s="204"/>
      <c r="AB106" s="204"/>
      <c r="AC106" s="204"/>
      <c r="AD106" s="204"/>
      <c r="AE106" s="204"/>
      <c r="AF106" s="204"/>
      <c r="AG106" s="204"/>
      <c r="AH106" s="204"/>
      <c r="AI106" s="204"/>
      <c r="AJ106" s="204"/>
      <c r="AK106" s="204"/>
      <c r="AL106" s="204"/>
      <c r="AM106" s="201"/>
      <c r="AN106" s="201"/>
      <c r="AO106" s="201"/>
      <c r="AP106" s="201"/>
      <c r="AQ106" s="201"/>
      <c r="AR106" s="201"/>
      <c r="AS106" s="201"/>
      <c r="AT106" s="201"/>
      <c r="AU106" s="201"/>
      <c r="AV106" s="201"/>
    </row>
    <row r="107" spans="3:48" x14ac:dyDescent="0.2">
      <c r="C107" s="204"/>
      <c r="D107" s="204"/>
      <c r="E107" s="204"/>
      <c r="F107" s="204"/>
      <c r="G107" s="204"/>
      <c r="H107" s="204"/>
      <c r="I107" s="204"/>
      <c r="J107" s="204"/>
      <c r="K107" s="204"/>
      <c r="L107" s="204"/>
      <c r="M107" s="204"/>
      <c r="N107" s="204"/>
      <c r="O107" s="204"/>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1"/>
      <c r="AN107" s="201"/>
      <c r="AO107" s="201"/>
      <c r="AP107" s="201"/>
      <c r="AQ107" s="201"/>
      <c r="AR107" s="201"/>
      <c r="AS107" s="201"/>
      <c r="AT107" s="201"/>
      <c r="AU107" s="201"/>
      <c r="AV107" s="201"/>
    </row>
    <row r="108" spans="3:48" x14ac:dyDescent="0.2">
      <c r="C108" s="204"/>
      <c r="D108" s="204"/>
      <c r="E108" s="204"/>
      <c r="F108" s="204"/>
      <c r="G108" s="204"/>
      <c r="H108" s="204"/>
      <c r="I108" s="204"/>
      <c r="J108" s="204"/>
      <c r="K108" s="204"/>
      <c r="L108" s="204"/>
      <c r="M108" s="204"/>
      <c r="N108" s="204"/>
      <c r="O108" s="204"/>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1"/>
      <c r="AN108" s="201"/>
      <c r="AO108" s="201"/>
      <c r="AP108" s="201"/>
      <c r="AQ108" s="201"/>
      <c r="AR108" s="201"/>
      <c r="AS108" s="201"/>
      <c r="AT108" s="201"/>
      <c r="AU108" s="201"/>
      <c r="AV108" s="201"/>
    </row>
    <row r="109" spans="3:48" x14ac:dyDescent="0.2">
      <c r="C109" s="204"/>
      <c r="D109" s="204"/>
      <c r="E109" s="204"/>
      <c r="F109" s="204"/>
      <c r="G109" s="204"/>
      <c r="H109" s="204"/>
      <c r="I109" s="204"/>
      <c r="J109" s="204"/>
      <c r="K109" s="204"/>
      <c r="L109" s="204"/>
      <c r="M109" s="204"/>
      <c r="N109" s="204"/>
      <c r="O109" s="204"/>
      <c r="P109" s="204"/>
      <c r="Q109" s="204"/>
      <c r="R109" s="204"/>
      <c r="S109" s="204"/>
      <c r="T109" s="204"/>
      <c r="U109" s="204"/>
      <c r="V109" s="204"/>
      <c r="W109" s="204"/>
      <c r="X109" s="204"/>
      <c r="Y109" s="204"/>
      <c r="Z109" s="204"/>
      <c r="AA109" s="204"/>
      <c r="AB109" s="204"/>
      <c r="AC109" s="204"/>
      <c r="AD109" s="204"/>
      <c r="AE109" s="204"/>
      <c r="AF109" s="204"/>
      <c r="AG109" s="204"/>
      <c r="AH109" s="204"/>
      <c r="AI109" s="204"/>
      <c r="AJ109" s="204"/>
      <c r="AK109" s="204"/>
      <c r="AL109" s="204"/>
      <c r="AM109" s="201"/>
      <c r="AN109" s="201"/>
      <c r="AO109" s="201"/>
      <c r="AP109" s="201"/>
      <c r="AQ109" s="201"/>
      <c r="AR109" s="201"/>
      <c r="AS109" s="201"/>
      <c r="AT109" s="201"/>
      <c r="AU109" s="201"/>
      <c r="AV109" s="201"/>
    </row>
    <row r="110" spans="3:48" x14ac:dyDescent="0.2">
      <c r="C110" s="204"/>
      <c r="D110" s="204"/>
      <c r="E110" s="204"/>
      <c r="F110" s="204"/>
      <c r="G110" s="204"/>
      <c r="H110" s="204"/>
      <c r="I110" s="204"/>
      <c r="J110" s="204"/>
      <c r="K110" s="204"/>
      <c r="L110" s="204"/>
      <c r="M110" s="204"/>
      <c r="N110" s="204"/>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1"/>
      <c r="AN110" s="201"/>
      <c r="AO110" s="201"/>
      <c r="AP110" s="201"/>
      <c r="AQ110" s="201"/>
      <c r="AR110" s="201"/>
      <c r="AS110" s="201"/>
      <c r="AT110" s="201"/>
      <c r="AU110" s="201"/>
      <c r="AV110" s="201"/>
    </row>
    <row r="111" spans="3:48" x14ac:dyDescent="0.2">
      <c r="C111" s="204"/>
      <c r="D111" s="204"/>
      <c r="E111" s="204"/>
      <c r="F111" s="204"/>
      <c r="G111" s="204"/>
      <c r="H111" s="204"/>
      <c r="I111" s="204"/>
      <c r="J111" s="204"/>
      <c r="K111" s="204"/>
      <c r="L111" s="204"/>
      <c r="M111" s="204"/>
      <c r="N111" s="204"/>
      <c r="O111" s="204"/>
      <c r="P111" s="204"/>
      <c r="Q111" s="204"/>
      <c r="R111" s="204"/>
      <c r="S111" s="204"/>
      <c r="T111" s="204"/>
      <c r="U111" s="204"/>
      <c r="V111" s="204"/>
      <c r="W111" s="204"/>
      <c r="X111" s="204"/>
      <c r="Y111" s="204"/>
      <c r="Z111" s="204"/>
      <c r="AA111" s="204"/>
      <c r="AB111" s="204"/>
      <c r="AC111" s="204"/>
      <c r="AD111" s="204"/>
      <c r="AE111" s="204"/>
      <c r="AF111" s="204"/>
      <c r="AG111" s="204"/>
      <c r="AH111" s="204"/>
      <c r="AI111" s="204"/>
      <c r="AJ111" s="204"/>
      <c r="AK111" s="204"/>
      <c r="AL111" s="204"/>
      <c r="AM111" s="201"/>
      <c r="AN111" s="201"/>
      <c r="AO111" s="201"/>
      <c r="AP111" s="201"/>
      <c r="AQ111" s="201"/>
      <c r="AR111" s="201"/>
      <c r="AS111" s="201"/>
      <c r="AT111" s="201"/>
      <c r="AU111" s="201"/>
      <c r="AV111" s="201"/>
    </row>
    <row r="112" spans="3:48" x14ac:dyDescent="0.2">
      <c r="C112" s="204"/>
      <c r="D112" s="204"/>
      <c r="E112" s="204"/>
      <c r="F112" s="204"/>
      <c r="G112" s="204"/>
      <c r="H112" s="204"/>
      <c r="I112" s="204"/>
      <c r="J112" s="204"/>
      <c r="K112" s="204"/>
      <c r="L112" s="204"/>
      <c r="M112" s="204"/>
      <c r="N112" s="204"/>
      <c r="O112" s="204"/>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1"/>
      <c r="AN112" s="201"/>
      <c r="AO112" s="201"/>
      <c r="AP112" s="201"/>
      <c r="AQ112" s="201"/>
      <c r="AR112" s="201"/>
      <c r="AS112" s="201"/>
      <c r="AT112" s="201"/>
      <c r="AU112" s="201"/>
      <c r="AV112" s="201"/>
    </row>
    <row r="113" spans="3:48" x14ac:dyDescent="0.2">
      <c r="C113" s="204"/>
      <c r="D113" s="204"/>
      <c r="E113" s="204"/>
      <c r="F113" s="204"/>
      <c r="G113" s="204"/>
      <c r="H113" s="204"/>
      <c r="I113" s="204"/>
      <c r="J113" s="204"/>
      <c r="K113" s="204"/>
      <c r="L113" s="204"/>
      <c r="M113" s="204"/>
      <c r="N113" s="204"/>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4"/>
      <c r="AL113" s="204"/>
      <c r="AM113" s="201"/>
      <c r="AN113" s="201"/>
      <c r="AO113" s="201"/>
      <c r="AP113" s="201"/>
      <c r="AQ113" s="201"/>
      <c r="AR113" s="201"/>
      <c r="AS113" s="201"/>
      <c r="AT113" s="201"/>
      <c r="AU113" s="201"/>
      <c r="AV113" s="201"/>
    </row>
    <row r="114" spans="3:48" x14ac:dyDescent="0.2">
      <c r="C114" s="204"/>
      <c r="D114" s="204"/>
      <c r="E114" s="204"/>
      <c r="F114" s="204"/>
      <c r="G114" s="204"/>
      <c r="H114" s="204"/>
      <c r="I114" s="204"/>
      <c r="J114" s="204"/>
      <c r="K114" s="204"/>
      <c r="L114" s="204"/>
      <c r="M114" s="204"/>
      <c r="N114" s="204"/>
      <c r="O114" s="204"/>
      <c r="P114" s="204"/>
      <c r="Q114" s="204"/>
      <c r="R114" s="204"/>
      <c r="S114" s="204"/>
      <c r="T114" s="204"/>
      <c r="U114" s="204"/>
      <c r="V114" s="204"/>
      <c r="W114" s="204"/>
      <c r="X114" s="204"/>
      <c r="Y114" s="204"/>
      <c r="Z114" s="204"/>
      <c r="AA114" s="204"/>
      <c r="AB114" s="204"/>
      <c r="AC114" s="204"/>
      <c r="AD114" s="204"/>
      <c r="AE114" s="204"/>
      <c r="AF114" s="204"/>
      <c r="AG114" s="204"/>
      <c r="AH114" s="204"/>
      <c r="AI114" s="204"/>
      <c r="AJ114" s="204"/>
      <c r="AK114" s="204"/>
      <c r="AL114" s="204"/>
      <c r="AM114" s="201"/>
      <c r="AN114" s="201"/>
      <c r="AO114" s="201"/>
      <c r="AP114" s="201"/>
      <c r="AQ114" s="201"/>
      <c r="AR114" s="201"/>
      <c r="AS114" s="201"/>
      <c r="AT114" s="201"/>
      <c r="AU114" s="201"/>
      <c r="AV114" s="201"/>
    </row>
    <row r="115" spans="3:48" x14ac:dyDescent="0.2">
      <c r="C115" s="204"/>
      <c r="D115" s="204"/>
      <c r="E115" s="204"/>
      <c r="F115" s="204"/>
      <c r="G115" s="204"/>
      <c r="H115" s="204"/>
      <c r="I115" s="204"/>
      <c r="J115" s="204"/>
      <c r="K115" s="204"/>
      <c r="L115" s="204"/>
      <c r="M115" s="204"/>
      <c r="N115" s="204"/>
      <c r="O115" s="204"/>
      <c r="P115" s="204"/>
      <c r="Q115" s="204"/>
      <c r="R115" s="204"/>
      <c r="S115" s="204"/>
      <c r="T115" s="204"/>
      <c r="U115" s="204"/>
      <c r="V115" s="204"/>
      <c r="W115" s="204"/>
      <c r="X115" s="204"/>
      <c r="Y115" s="204"/>
      <c r="Z115" s="204"/>
      <c r="AA115" s="204"/>
      <c r="AB115" s="204"/>
      <c r="AC115" s="204"/>
      <c r="AD115" s="204"/>
      <c r="AE115" s="204"/>
      <c r="AF115" s="204"/>
      <c r="AG115" s="204"/>
      <c r="AH115" s="204"/>
      <c r="AI115" s="204"/>
      <c r="AJ115" s="204"/>
      <c r="AK115" s="204"/>
      <c r="AL115" s="204"/>
      <c r="AM115" s="201"/>
      <c r="AN115" s="201"/>
      <c r="AO115" s="201"/>
      <c r="AP115" s="201"/>
      <c r="AQ115" s="201"/>
      <c r="AR115" s="201"/>
      <c r="AS115" s="201"/>
      <c r="AT115" s="201"/>
      <c r="AU115" s="201"/>
      <c r="AV115" s="201"/>
    </row>
    <row r="116" spans="3:48" x14ac:dyDescent="0.2">
      <c r="C116" s="204"/>
      <c r="D116" s="204"/>
      <c r="E116" s="204"/>
      <c r="F116" s="204"/>
      <c r="G116" s="204"/>
      <c r="H116" s="204"/>
      <c r="I116" s="204"/>
      <c r="J116" s="204"/>
      <c r="K116" s="204"/>
      <c r="L116" s="204"/>
      <c r="M116" s="204"/>
      <c r="N116" s="204"/>
      <c r="O116" s="204"/>
      <c r="P116" s="204"/>
      <c r="Q116" s="204"/>
      <c r="R116" s="204"/>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1"/>
      <c r="AN116" s="201"/>
      <c r="AO116" s="201"/>
      <c r="AP116" s="201"/>
      <c r="AQ116" s="201"/>
      <c r="AR116" s="201"/>
      <c r="AS116" s="201"/>
      <c r="AT116" s="201"/>
      <c r="AU116" s="201"/>
      <c r="AV116" s="201"/>
    </row>
    <row r="117" spans="3:48" x14ac:dyDescent="0.2">
      <c r="C117" s="204"/>
      <c r="D117" s="204"/>
      <c r="E117" s="204"/>
      <c r="F117" s="204"/>
      <c r="G117" s="204"/>
      <c r="H117" s="204"/>
      <c r="I117" s="204"/>
      <c r="J117" s="204"/>
      <c r="K117" s="204"/>
      <c r="L117" s="204"/>
      <c r="M117" s="204"/>
      <c r="N117" s="204"/>
      <c r="O117" s="204"/>
      <c r="P117" s="204"/>
      <c r="Q117" s="204"/>
      <c r="R117" s="204"/>
      <c r="S117" s="204"/>
      <c r="T117" s="204"/>
      <c r="U117" s="204"/>
      <c r="V117" s="204"/>
      <c r="W117" s="204"/>
      <c r="X117" s="204"/>
      <c r="Y117" s="204"/>
      <c r="Z117" s="204"/>
      <c r="AA117" s="204"/>
      <c r="AB117" s="204"/>
      <c r="AC117" s="204"/>
      <c r="AD117" s="204"/>
      <c r="AE117" s="204"/>
      <c r="AF117" s="204"/>
      <c r="AG117" s="204"/>
      <c r="AH117" s="204"/>
      <c r="AI117" s="204"/>
      <c r="AJ117" s="204"/>
      <c r="AK117" s="204"/>
      <c r="AL117" s="204"/>
      <c r="AM117" s="201"/>
      <c r="AN117" s="201"/>
      <c r="AO117" s="201"/>
      <c r="AP117" s="201"/>
      <c r="AQ117" s="201"/>
      <c r="AR117" s="201"/>
      <c r="AS117" s="201"/>
      <c r="AT117" s="201"/>
      <c r="AU117" s="201"/>
      <c r="AV117" s="201"/>
    </row>
    <row r="118" spans="3:48" x14ac:dyDescent="0.2">
      <c r="C118" s="204"/>
      <c r="D118" s="204"/>
      <c r="E118" s="204"/>
      <c r="F118" s="204"/>
      <c r="G118" s="204"/>
      <c r="H118" s="204"/>
      <c r="I118" s="204"/>
      <c r="J118" s="204"/>
      <c r="K118" s="204"/>
      <c r="L118" s="204"/>
      <c r="M118" s="204"/>
      <c r="N118" s="204"/>
      <c r="O118" s="204"/>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1"/>
      <c r="AN118" s="201"/>
      <c r="AO118" s="201"/>
      <c r="AP118" s="201"/>
      <c r="AQ118" s="201"/>
      <c r="AR118" s="201"/>
      <c r="AS118" s="201"/>
      <c r="AT118" s="201"/>
      <c r="AU118" s="201"/>
      <c r="AV118" s="201"/>
    </row>
    <row r="119" spans="3:48" x14ac:dyDescent="0.2">
      <c r="C119" s="204"/>
      <c r="D119" s="204"/>
      <c r="E119" s="204"/>
      <c r="F119" s="204"/>
      <c r="G119" s="204"/>
      <c r="H119" s="204"/>
      <c r="I119" s="204"/>
      <c r="J119" s="204"/>
      <c r="K119" s="204"/>
      <c r="L119" s="204"/>
      <c r="M119" s="204"/>
      <c r="N119" s="204"/>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1"/>
      <c r="AN119" s="201"/>
      <c r="AO119" s="201"/>
      <c r="AP119" s="201"/>
      <c r="AQ119" s="201"/>
      <c r="AR119" s="201"/>
      <c r="AS119" s="201"/>
      <c r="AT119" s="201"/>
      <c r="AU119" s="201"/>
      <c r="AV119" s="201"/>
    </row>
    <row r="120" spans="3:48" x14ac:dyDescent="0.2">
      <c r="C120" s="204"/>
      <c r="D120" s="204"/>
      <c r="E120" s="204"/>
      <c r="F120" s="204"/>
      <c r="G120" s="204"/>
      <c r="H120" s="204"/>
      <c r="I120" s="204"/>
      <c r="J120" s="204"/>
      <c r="K120" s="204"/>
      <c r="L120" s="204"/>
      <c r="M120" s="204"/>
      <c r="N120" s="204"/>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1"/>
      <c r="AN120" s="201"/>
      <c r="AO120" s="201"/>
      <c r="AP120" s="201"/>
      <c r="AQ120" s="201"/>
      <c r="AR120" s="201"/>
      <c r="AS120" s="201"/>
      <c r="AT120" s="201"/>
      <c r="AU120" s="201"/>
      <c r="AV120" s="201"/>
    </row>
    <row r="121" spans="3:48" x14ac:dyDescent="0.2">
      <c r="C121" s="204"/>
      <c r="D121" s="204"/>
      <c r="E121" s="204"/>
      <c r="F121" s="204"/>
      <c r="G121" s="204"/>
      <c r="H121" s="204"/>
      <c r="I121" s="204"/>
      <c r="J121" s="204"/>
      <c r="K121" s="204"/>
      <c r="L121" s="204"/>
      <c r="M121" s="204"/>
      <c r="N121" s="204"/>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1"/>
      <c r="AN121" s="201"/>
      <c r="AO121" s="201"/>
      <c r="AP121" s="201"/>
      <c r="AQ121" s="201"/>
      <c r="AR121" s="201"/>
      <c r="AS121" s="201"/>
      <c r="AT121" s="201"/>
      <c r="AU121" s="201"/>
      <c r="AV121" s="201"/>
    </row>
    <row r="122" spans="3:48" x14ac:dyDescent="0.2">
      <c r="C122" s="204"/>
      <c r="D122" s="204"/>
      <c r="E122" s="204"/>
      <c r="F122" s="204"/>
      <c r="G122" s="204"/>
      <c r="H122" s="204"/>
      <c r="I122" s="204"/>
      <c r="J122" s="204"/>
      <c r="K122" s="204"/>
      <c r="L122" s="204"/>
      <c r="M122" s="204"/>
      <c r="N122" s="204"/>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1"/>
      <c r="AN122" s="201"/>
      <c r="AO122" s="201"/>
      <c r="AP122" s="201"/>
      <c r="AQ122" s="201"/>
      <c r="AR122" s="201"/>
      <c r="AS122" s="201"/>
      <c r="AT122" s="201"/>
      <c r="AU122" s="201"/>
      <c r="AV122" s="201"/>
    </row>
    <row r="123" spans="3:48" x14ac:dyDescent="0.2">
      <c r="C123" s="204"/>
      <c r="D123" s="204"/>
      <c r="E123" s="204"/>
      <c r="F123" s="204"/>
      <c r="G123" s="204"/>
      <c r="H123" s="204"/>
      <c r="I123" s="204"/>
      <c r="J123" s="204"/>
      <c r="K123" s="204"/>
      <c r="L123" s="204"/>
      <c r="M123" s="204"/>
      <c r="N123" s="204"/>
      <c r="O123" s="204"/>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1"/>
      <c r="AN123" s="201"/>
      <c r="AO123" s="201"/>
      <c r="AP123" s="201"/>
      <c r="AQ123" s="201"/>
      <c r="AR123" s="201"/>
      <c r="AS123" s="201"/>
      <c r="AT123" s="201"/>
      <c r="AU123" s="201"/>
      <c r="AV123" s="201"/>
    </row>
    <row r="124" spans="3:48" x14ac:dyDescent="0.2">
      <c r="C124" s="204"/>
      <c r="D124" s="204"/>
      <c r="E124" s="204"/>
      <c r="F124" s="204"/>
      <c r="G124" s="204"/>
      <c r="H124" s="204"/>
      <c r="I124" s="204"/>
      <c r="J124" s="204"/>
      <c r="K124" s="204"/>
      <c r="L124" s="204"/>
      <c r="M124" s="204"/>
      <c r="N124" s="204"/>
      <c r="O124" s="204"/>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1"/>
      <c r="AN124" s="201"/>
      <c r="AO124" s="201"/>
      <c r="AP124" s="201"/>
      <c r="AQ124" s="201"/>
      <c r="AR124" s="201"/>
      <c r="AS124" s="201"/>
      <c r="AT124" s="201"/>
      <c r="AU124" s="201"/>
      <c r="AV124" s="201"/>
    </row>
    <row r="125" spans="3:48" x14ac:dyDescent="0.2">
      <c r="C125" s="204"/>
      <c r="D125" s="204"/>
      <c r="E125" s="204"/>
      <c r="F125" s="204"/>
      <c r="G125" s="204"/>
      <c r="H125" s="204"/>
      <c r="I125" s="204"/>
      <c r="J125" s="204"/>
      <c r="K125" s="204"/>
      <c r="L125" s="204"/>
      <c r="M125" s="204"/>
      <c r="N125" s="204"/>
      <c r="O125" s="204"/>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1"/>
      <c r="AN125" s="201"/>
      <c r="AO125" s="201"/>
      <c r="AP125" s="201"/>
      <c r="AQ125" s="201"/>
      <c r="AR125" s="201"/>
      <c r="AS125" s="201"/>
      <c r="AT125" s="201"/>
      <c r="AU125" s="201"/>
      <c r="AV125" s="201"/>
    </row>
    <row r="126" spans="3:48" x14ac:dyDescent="0.2">
      <c r="C126" s="204"/>
      <c r="D126" s="204"/>
      <c r="E126" s="204"/>
      <c r="F126" s="204"/>
      <c r="G126" s="204"/>
      <c r="H126" s="204"/>
      <c r="I126" s="204"/>
      <c r="J126" s="204"/>
      <c r="K126" s="204"/>
      <c r="L126" s="204"/>
      <c r="M126" s="204"/>
      <c r="N126" s="204"/>
      <c r="O126" s="204"/>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1"/>
      <c r="AN126" s="201"/>
      <c r="AO126" s="201"/>
      <c r="AP126" s="201"/>
      <c r="AQ126" s="201"/>
      <c r="AR126" s="201"/>
      <c r="AS126" s="201"/>
      <c r="AT126" s="201"/>
      <c r="AU126" s="201"/>
      <c r="AV126" s="201"/>
    </row>
    <row r="127" spans="3:48" x14ac:dyDescent="0.2">
      <c r="C127" s="204"/>
      <c r="D127" s="204"/>
      <c r="E127" s="204"/>
      <c r="F127" s="204"/>
      <c r="G127" s="204"/>
      <c r="H127" s="204"/>
      <c r="I127" s="204"/>
      <c r="J127" s="204"/>
      <c r="K127" s="204"/>
      <c r="L127" s="204"/>
      <c r="M127" s="204"/>
      <c r="N127" s="204"/>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1"/>
      <c r="AN127" s="201"/>
      <c r="AO127" s="201"/>
      <c r="AP127" s="201"/>
      <c r="AQ127" s="201"/>
      <c r="AR127" s="201"/>
      <c r="AS127" s="201"/>
      <c r="AT127" s="201"/>
      <c r="AU127" s="201"/>
      <c r="AV127" s="201"/>
    </row>
    <row r="128" spans="3:48" x14ac:dyDescent="0.2">
      <c r="C128" s="204"/>
      <c r="D128" s="204"/>
      <c r="E128" s="204"/>
      <c r="F128" s="204"/>
      <c r="G128" s="204"/>
      <c r="H128" s="204"/>
      <c r="I128" s="204"/>
      <c r="J128" s="204"/>
      <c r="K128" s="204"/>
      <c r="L128" s="204"/>
      <c r="M128" s="204"/>
      <c r="N128" s="204"/>
      <c r="O128" s="204"/>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1"/>
      <c r="AN128" s="201"/>
      <c r="AO128" s="201"/>
      <c r="AP128" s="201"/>
      <c r="AQ128" s="201"/>
      <c r="AR128" s="201"/>
      <c r="AS128" s="201"/>
      <c r="AT128" s="201"/>
      <c r="AU128" s="201"/>
      <c r="AV128" s="201"/>
    </row>
    <row r="129" spans="3:48" x14ac:dyDescent="0.2">
      <c r="C129" s="204"/>
      <c r="D129" s="204"/>
      <c r="E129" s="204"/>
      <c r="F129" s="204"/>
      <c r="G129" s="204"/>
      <c r="H129" s="204"/>
      <c r="I129" s="204"/>
      <c r="J129" s="204"/>
      <c r="K129" s="204"/>
      <c r="L129" s="204"/>
      <c r="M129" s="204"/>
      <c r="N129" s="204"/>
      <c r="O129" s="204"/>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1"/>
      <c r="AN129" s="201"/>
      <c r="AO129" s="201"/>
      <c r="AP129" s="201"/>
      <c r="AQ129" s="201"/>
      <c r="AR129" s="201"/>
      <c r="AS129" s="201"/>
      <c r="AT129" s="201"/>
      <c r="AU129" s="201"/>
      <c r="AV129" s="201"/>
    </row>
    <row r="130" spans="3:48" x14ac:dyDescent="0.2">
      <c r="C130" s="204"/>
      <c r="D130" s="204"/>
      <c r="E130" s="204"/>
      <c r="F130" s="204"/>
      <c r="G130" s="204"/>
      <c r="H130" s="204"/>
      <c r="I130" s="204"/>
      <c r="J130" s="204"/>
      <c r="K130" s="204"/>
      <c r="L130" s="204"/>
      <c r="M130" s="204"/>
      <c r="N130" s="204"/>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1"/>
      <c r="AN130" s="201"/>
      <c r="AO130" s="201"/>
      <c r="AP130" s="201"/>
      <c r="AQ130" s="201"/>
      <c r="AR130" s="201"/>
      <c r="AS130" s="201"/>
      <c r="AT130" s="201"/>
      <c r="AU130" s="201"/>
      <c r="AV130" s="201"/>
    </row>
    <row r="131" spans="3:48" x14ac:dyDescent="0.2">
      <c r="C131" s="204"/>
      <c r="D131" s="204"/>
      <c r="E131" s="204"/>
      <c r="F131" s="204"/>
      <c r="G131" s="204"/>
      <c r="H131" s="204"/>
      <c r="I131" s="204"/>
      <c r="J131" s="204"/>
      <c r="K131" s="204"/>
      <c r="L131" s="204"/>
      <c r="M131" s="204"/>
      <c r="N131" s="204"/>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1"/>
      <c r="AN131" s="201"/>
      <c r="AO131" s="201"/>
      <c r="AP131" s="201"/>
      <c r="AQ131" s="201"/>
      <c r="AR131" s="201"/>
      <c r="AS131" s="201"/>
      <c r="AT131" s="201"/>
      <c r="AU131" s="201"/>
      <c r="AV131" s="201"/>
    </row>
    <row r="132" spans="3:48" x14ac:dyDescent="0.2">
      <c r="C132" s="204"/>
      <c r="D132" s="204"/>
      <c r="E132" s="204"/>
      <c r="F132" s="204"/>
      <c r="G132" s="204"/>
      <c r="H132" s="204"/>
      <c r="I132" s="204"/>
      <c r="J132" s="204"/>
      <c r="K132" s="204"/>
      <c r="L132" s="204"/>
      <c r="M132" s="204"/>
      <c r="N132" s="204"/>
      <c r="O132" s="204"/>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1"/>
      <c r="AN132" s="201"/>
      <c r="AO132" s="201"/>
      <c r="AP132" s="201"/>
      <c r="AQ132" s="201"/>
      <c r="AR132" s="201"/>
      <c r="AS132" s="201"/>
      <c r="AT132" s="201"/>
      <c r="AU132" s="201"/>
      <c r="AV132" s="201"/>
    </row>
    <row r="133" spans="3:48" x14ac:dyDescent="0.2">
      <c r="C133" s="204"/>
      <c r="D133" s="204"/>
      <c r="E133" s="204"/>
      <c r="F133" s="204"/>
      <c r="G133" s="204"/>
      <c r="H133" s="204"/>
      <c r="I133" s="204"/>
      <c r="J133" s="204"/>
      <c r="K133" s="204"/>
      <c r="L133" s="204"/>
      <c r="M133" s="204"/>
      <c r="N133" s="204"/>
      <c r="O133" s="204"/>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1"/>
      <c r="AN133" s="201"/>
      <c r="AO133" s="201"/>
      <c r="AP133" s="201"/>
      <c r="AQ133" s="201"/>
      <c r="AR133" s="201"/>
      <c r="AS133" s="201"/>
      <c r="AT133" s="201"/>
      <c r="AU133" s="201"/>
      <c r="AV133" s="201"/>
    </row>
    <row r="134" spans="3:48" x14ac:dyDescent="0.2">
      <c r="C134" s="204"/>
      <c r="D134" s="204"/>
      <c r="E134" s="204"/>
      <c r="F134" s="204"/>
      <c r="G134" s="204"/>
      <c r="H134" s="204"/>
      <c r="I134" s="204"/>
      <c r="J134" s="204"/>
      <c r="K134" s="204"/>
      <c r="L134" s="204"/>
      <c r="M134" s="204"/>
      <c r="N134" s="204"/>
      <c r="O134" s="204"/>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1"/>
      <c r="AN134" s="201"/>
      <c r="AO134" s="201"/>
      <c r="AP134" s="201"/>
      <c r="AQ134" s="201"/>
      <c r="AR134" s="201"/>
      <c r="AS134" s="201"/>
      <c r="AT134" s="201"/>
      <c r="AU134" s="201"/>
      <c r="AV134" s="201"/>
    </row>
    <row r="135" spans="3:48" x14ac:dyDescent="0.2">
      <c r="C135" s="204"/>
      <c r="D135" s="204"/>
      <c r="E135" s="204"/>
      <c r="F135" s="204"/>
      <c r="G135" s="204"/>
      <c r="H135" s="204"/>
      <c r="I135" s="204"/>
      <c r="J135" s="204"/>
      <c r="K135" s="204"/>
      <c r="L135" s="204"/>
      <c r="M135" s="204"/>
      <c r="N135" s="204"/>
      <c r="O135" s="204"/>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1"/>
      <c r="AN135" s="201"/>
      <c r="AO135" s="201"/>
      <c r="AP135" s="201"/>
      <c r="AQ135" s="201"/>
      <c r="AR135" s="201"/>
      <c r="AS135" s="201"/>
      <c r="AT135" s="201"/>
      <c r="AU135" s="201"/>
      <c r="AV135" s="201"/>
    </row>
    <row r="136" spans="3:48" x14ac:dyDescent="0.2">
      <c r="C136" s="204"/>
      <c r="D136" s="204"/>
      <c r="E136" s="204"/>
      <c r="F136" s="204"/>
      <c r="G136" s="204"/>
      <c r="H136" s="204"/>
      <c r="I136" s="204"/>
      <c r="J136" s="204"/>
      <c r="K136" s="204"/>
      <c r="L136" s="204"/>
      <c r="M136" s="204"/>
      <c r="N136" s="204"/>
      <c r="O136" s="204"/>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1"/>
      <c r="AN136" s="201"/>
      <c r="AO136" s="201"/>
      <c r="AP136" s="201"/>
      <c r="AQ136" s="201"/>
      <c r="AR136" s="201"/>
      <c r="AS136" s="201"/>
      <c r="AT136" s="201"/>
      <c r="AU136" s="201"/>
      <c r="AV136" s="201"/>
    </row>
    <row r="137" spans="3:48" x14ac:dyDescent="0.2">
      <c r="C137" s="204"/>
      <c r="D137" s="204"/>
      <c r="E137" s="204"/>
      <c r="F137" s="204"/>
      <c r="G137" s="204"/>
      <c r="H137" s="204"/>
      <c r="I137" s="204"/>
      <c r="J137" s="204"/>
      <c r="K137" s="204"/>
      <c r="L137" s="204"/>
      <c r="M137" s="204"/>
      <c r="N137" s="204"/>
      <c r="O137" s="204"/>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1"/>
      <c r="AN137" s="201"/>
      <c r="AO137" s="201"/>
      <c r="AP137" s="201"/>
      <c r="AQ137" s="201"/>
      <c r="AR137" s="201"/>
      <c r="AS137" s="201"/>
      <c r="AT137" s="201"/>
      <c r="AU137" s="201"/>
      <c r="AV137" s="201"/>
    </row>
    <row r="138" spans="3:48" x14ac:dyDescent="0.2">
      <c r="C138" s="204"/>
      <c r="D138" s="204"/>
      <c r="E138" s="204"/>
      <c r="F138" s="204"/>
      <c r="G138" s="204"/>
      <c r="H138" s="204"/>
      <c r="I138" s="204"/>
      <c r="J138" s="204"/>
      <c r="K138" s="204"/>
      <c r="L138" s="204"/>
      <c r="M138" s="204"/>
      <c r="N138" s="204"/>
      <c r="O138" s="204"/>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1"/>
      <c r="AN138" s="201"/>
      <c r="AO138" s="201"/>
      <c r="AP138" s="201"/>
      <c r="AQ138" s="201"/>
      <c r="AR138" s="201"/>
      <c r="AS138" s="201"/>
      <c r="AT138" s="201"/>
      <c r="AU138" s="201"/>
      <c r="AV138" s="201"/>
    </row>
    <row r="139" spans="3:48" x14ac:dyDescent="0.2">
      <c r="C139" s="204"/>
      <c r="D139" s="204"/>
      <c r="E139" s="204"/>
      <c r="F139" s="204"/>
      <c r="G139" s="204"/>
      <c r="H139" s="204"/>
      <c r="I139" s="204"/>
      <c r="J139" s="204"/>
      <c r="K139" s="204"/>
      <c r="L139" s="204"/>
      <c r="M139" s="204"/>
      <c r="N139" s="204"/>
      <c r="O139" s="204"/>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1"/>
      <c r="AN139" s="201"/>
      <c r="AO139" s="201"/>
      <c r="AP139" s="201"/>
      <c r="AQ139" s="201"/>
      <c r="AR139" s="201"/>
      <c r="AS139" s="201"/>
      <c r="AT139" s="201"/>
      <c r="AU139" s="201"/>
      <c r="AV139" s="201"/>
    </row>
    <row r="140" spans="3:48" x14ac:dyDescent="0.2">
      <c r="C140" s="204"/>
      <c r="D140" s="204"/>
      <c r="E140" s="204"/>
      <c r="F140" s="204"/>
      <c r="G140" s="204"/>
      <c r="H140" s="204"/>
      <c r="I140" s="204"/>
      <c r="J140" s="204"/>
      <c r="K140" s="204"/>
      <c r="L140" s="204"/>
      <c r="M140" s="204"/>
      <c r="N140" s="204"/>
      <c r="O140" s="204"/>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1"/>
      <c r="AN140" s="201"/>
      <c r="AO140" s="201"/>
      <c r="AP140" s="201"/>
      <c r="AQ140" s="201"/>
      <c r="AR140" s="201"/>
      <c r="AS140" s="201"/>
      <c r="AT140" s="201"/>
      <c r="AU140" s="201"/>
      <c r="AV140" s="201"/>
    </row>
    <row r="141" spans="3:48" x14ac:dyDescent="0.2">
      <c r="C141" s="204"/>
      <c r="D141" s="204"/>
      <c r="E141" s="204"/>
      <c r="F141" s="204"/>
      <c r="G141" s="204"/>
      <c r="H141" s="204"/>
      <c r="I141" s="204"/>
      <c r="J141" s="204"/>
      <c r="K141" s="204"/>
      <c r="L141" s="204"/>
      <c r="M141" s="204"/>
      <c r="N141" s="204"/>
      <c r="O141" s="204"/>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1"/>
      <c r="AN141" s="201"/>
      <c r="AO141" s="201"/>
      <c r="AP141" s="201"/>
      <c r="AQ141" s="201"/>
      <c r="AR141" s="201"/>
      <c r="AS141" s="201"/>
      <c r="AT141" s="201"/>
      <c r="AU141" s="201"/>
      <c r="AV141" s="201"/>
    </row>
    <row r="142" spans="3:48" x14ac:dyDescent="0.2">
      <c r="C142" s="204"/>
      <c r="D142" s="204"/>
      <c r="E142" s="204"/>
      <c r="F142" s="204"/>
      <c r="G142" s="204"/>
      <c r="H142" s="204"/>
      <c r="I142" s="204"/>
      <c r="J142" s="204"/>
      <c r="K142" s="204"/>
      <c r="L142" s="204"/>
      <c r="M142" s="204"/>
      <c r="N142" s="204"/>
      <c r="O142" s="204"/>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1"/>
      <c r="AN142" s="201"/>
      <c r="AO142" s="201"/>
      <c r="AP142" s="201"/>
      <c r="AQ142" s="201"/>
      <c r="AR142" s="201"/>
      <c r="AS142" s="201"/>
      <c r="AT142" s="201"/>
      <c r="AU142" s="201"/>
      <c r="AV142" s="201"/>
    </row>
    <row r="143" spans="3:48" x14ac:dyDescent="0.2">
      <c r="C143" s="204"/>
      <c r="D143" s="204"/>
      <c r="E143" s="204"/>
      <c r="F143" s="204"/>
      <c r="G143" s="204"/>
      <c r="H143" s="204"/>
      <c r="I143" s="204"/>
      <c r="J143" s="204"/>
      <c r="K143" s="204"/>
      <c r="L143" s="204"/>
      <c r="M143" s="204"/>
      <c r="N143" s="204"/>
      <c r="O143" s="204"/>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1"/>
      <c r="AN143" s="201"/>
      <c r="AO143" s="201"/>
      <c r="AP143" s="201"/>
      <c r="AQ143" s="201"/>
      <c r="AR143" s="201"/>
      <c r="AS143" s="201"/>
      <c r="AT143" s="201"/>
      <c r="AU143" s="201"/>
      <c r="AV143" s="201"/>
    </row>
    <row r="144" spans="3:48" x14ac:dyDescent="0.2">
      <c r="C144" s="204"/>
      <c r="D144" s="204"/>
      <c r="E144" s="204"/>
      <c r="F144" s="204"/>
      <c r="G144" s="204"/>
      <c r="H144" s="204"/>
      <c r="I144" s="204"/>
      <c r="J144" s="204"/>
      <c r="K144" s="204"/>
      <c r="L144" s="204"/>
      <c r="M144" s="204"/>
      <c r="N144" s="204"/>
      <c r="O144" s="204"/>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1"/>
      <c r="AN144" s="201"/>
      <c r="AO144" s="201"/>
      <c r="AP144" s="201"/>
      <c r="AQ144" s="201"/>
      <c r="AR144" s="201"/>
      <c r="AS144" s="201"/>
      <c r="AT144" s="201"/>
      <c r="AU144" s="201"/>
      <c r="AV144" s="201"/>
    </row>
    <row r="145" spans="3:48" x14ac:dyDescent="0.2">
      <c r="C145" s="204"/>
      <c r="D145" s="204"/>
      <c r="E145" s="204"/>
      <c r="F145" s="204"/>
      <c r="G145" s="204"/>
      <c r="H145" s="204"/>
      <c r="I145" s="204"/>
      <c r="J145" s="204"/>
      <c r="K145" s="204"/>
      <c r="L145" s="204"/>
      <c r="M145" s="204"/>
      <c r="N145" s="204"/>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1"/>
      <c r="AN145" s="201"/>
      <c r="AO145" s="201"/>
      <c r="AP145" s="201"/>
      <c r="AQ145" s="201"/>
      <c r="AR145" s="201"/>
      <c r="AS145" s="201"/>
      <c r="AT145" s="201"/>
      <c r="AU145" s="201"/>
      <c r="AV145" s="201"/>
    </row>
    <row r="146" spans="3:48" x14ac:dyDescent="0.2">
      <c r="C146" s="204"/>
      <c r="D146" s="204"/>
      <c r="E146" s="204"/>
      <c r="F146" s="204"/>
      <c r="G146" s="204"/>
      <c r="H146" s="204"/>
      <c r="I146" s="204"/>
      <c r="J146" s="204"/>
      <c r="K146" s="204"/>
      <c r="L146" s="204"/>
      <c r="M146" s="204"/>
      <c r="N146" s="204"/>
      <c r="O146" s="204"/>
      <c r="P146" s="204"/>
      <c r="Q146" s="204"/>
      <c r="R146" s="204"/>
      <c r="S146" s="204"/>
      <c r="T146" s="204"/>
      <c r="U146" s="204"/>
      <c r="V146" s="204"/>
      <c r="W146" s="204"/>
      <c r="X146" s="204"/>
      <c r="Y146" s="204"/>
      <c r="Z146" s="204"/>
      <c r="AA146" s="204"/>
      <c r="AB146" s="204"/>
      <c r="AC146" s="204"/>
      <c r="AD146" s="204"/>
      <c r="AE146" s="204"/>
      <c r="AF146" s="204"/>
      <c r="AG146" s="204"/>
      <c r="AH146" s="204"/>
      <c r="AI146" s="204"/>
      <c r="AJ146" s="204"/>
      <c r="AK146" s="204"/>
      <c r="AL146" s="204"/>
      <c r="AM146" s="201"/>
      <c r="AN146" s="201"/>
      <c r="AO146" s="201"/>
      <c r="AP146" s="201"/>
      <c r="AQ146" s="201"/>
      <c r="AR146" s="201"/>
      <c r="AS146" s="201"/>
      <c r="AT146" s="201"/>
      <c r="AU146" s="201"/>
      <c r="AV146" s="201"/>
    </row>
    <row r="147" spans="3:48" x14ac:dyDescent="0.2">
      <c r="C147" s="204"/>
      <c r="D147" s="204"/>
      <c r="E147" s="204"/>
      <c r="F147" s="204"/>
      <c r="G147" s="204"/>
      <c r="H147" s="204"/>
      <c r="I147" s="204"/>
      <c r="J147" s="204"/>
      <c r="K147" s="204"/>
      <c r="L147" s="204"/>
      <c r="M147" s="204"/>
      <c r="N147" s="204"/>
      <c r="O147" s="204"/>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1"/>
      <c r="AN147" s="201"/>
      <c r="AO147" s="201"/>
      <c r="AP147" s="201"/>
      <c r="AQ147" s="201"/>
      <c r="AR147" s="201"/>
      <c r="AS147" s="201"/>
      <c r="AT147" s="201"/>
      <c r="AU147" s="201"/>
      <c r="AV147" s="201"/>
    </row>
    <row r="148" spans="3:48" x14ac:dyDescent="0.2">
      <c r="C148" s="204"/>
      <c r="D148" s="204"/>
      <c r="E148" s="204"/>
      <c r="F148" s="204"/>
      <c r="G148" s="204"/>
      <c r="H148" s="204"/>
      <c r="I148" s="204"/>
      <c r="J148" s="204"/>
      <c r="K148" s="204"/>
      <c r="L148" s="204"/>
      <c r="M148" s="204"/>
      <c r="N148" s="204"/>
      <c r="O148" s="204"/>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1"/>
      <c r="AN148" s="201"/>
      <c r="AO148" s="201"/>
      <c r="AP148" s="201"/>
      <c r="AQ148" s="201"/>
      <c r="AR148" s="201"/>
      <c r="AS148" s="201"/>
      <c r="AT148" s="201"/>
      <c r="AU148" s="201"/>
      <c r="AV148" s="201"/>
    </row>
    <row r="149" spans="3:48" x14ac:dyDescent="0.2">
      <c r="C149" s="204"/>
      <c r="D149" s="204"/>
      <c r="E149" s="204"/>
      <c r="F149" s="204"/>
      <c r="G149" s="204"/>
      <c r="H149" s="204"/>
      <c r="I149" s="204"/>
      <c r="J149" s="204"/>
      <c r="K149" s="204"/>
      <c r="L149" s="204"/>
      <c r="M149" s="204"/>
      <c r="N149" s="204"/>
      <c r="O149" s="204"/>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1"/>
      <c r="AN149" s="201"/>
      <c r="AO149" s="201"/>
      <c r="AP149" s="201"/>
      <c r="AQ149" s="201"/>
      <c r="AR149" s="201"/>
      <c r="AS149" s="201"/>
      <c r="AT149" s="201"/>
      <c r="AU149" s="201"/>
      <c r="AV149" s="201"/>
    </row>
    <row r="150" spans="3:48" x14ac:dyDescent="0.2">
      <c r="C150" s="204"/>
      <c r="D150" s="204"/>
      <c r="E150" s="204"/>
      <c r="F150" s="204"/>
      <c r="G150" s="204"/>
      <c r="H150" s="204"/>
      <c r="I150" s="204"/>
      <c r="J150" s="204"/>
      <c r="K150" s="204"/>
      <c r="L150" s="204"/>
      <c r="M150" s="204"/>
      <c r="N150" s="204"/>
      <c r="O150" s="204"/>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1"/>
      <c r="AN150" s="201"/>
      <c r="AO150" s="201"/>
      <c r="AP150" s="201"/>
      <c r="AQ150" s="201"/>
      <c r="AR150" s="201"/>
      <c r="AS150" s="201"/>
      <c r="AT150" s="201"/>
      <c r="AU150" s="201"/>
      <c r="AV150" s="201"/>
    </row>
    <row r="151" spans="3:48" x14ac:dyDescent="0.2">
      <c r="C151" s="204"/>
      <c r="D151" s="204"/>
      <c r="E151" s="204"/>
      <c r="F151" s="204"/>
      <c r="G151" s="204"/>
      <c r="H151" s="204"/>
      <c r="I151" s="204"/>
      <c r="J151" s="204"/>
      <c r="K151" s="204"/>
      <c r="L151" s="204"/>
      <c r="M151" s="204"/>
      <c r="N151" s="204"/>
      <c r="O151" s="204"/>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1"/>
      <c r="AN151" s="201"/>
      <c r="AO151" s="201"/>
      <c r="AP151" s="201"/>
      <c r="AQ151" s="201"/>
      <c r="AR151" s="201"/>
      <c r="AS151" s="201"/>
      <c r="AT151" s="201"/>
      <c r="AU151" s="201"/>
      <c r="AV151" s="201"/>
    </row>
    <row r="152" spans="3:48" x14ac:dyDescent="0.2">
      <c r="C152" s="204"/>
      <c r="D152" s="204"/>
      <c r="E152" s="204"/>
      <c r="F152" s="204"/>
      <c r="G152" s="204"/>
      <c r="H152" s="204"/>
      <c r="I152" s="204"/>
      <c r="J152" s="204"/>
      <c r="K152" s="204"/>
      <c r="L152" s="204"/>
      <c r="M152" s="204"/>
      <c r="N152" s="204"/>
      <c r="O152" s="204"/>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1"/>
      <c r="AN152" s="201"/>
      <c r="AO152" s="201"/>
      <c r="AP152" s="201"/>
      <c r="AQ152" s="201"/>
      <c r="AR152" s="201"/>
      <c r="AS152" s="201"/>
      <c r="AT152" s="201"/>
      <c r="AU152" s="201"/>
      <c r="AV152" s="201"/>
    </row>
    <row r="153" spans="3:48" x14ac:dyDescent="0.2">
      <c r="C153" s="204"/>
      <c r="D153" s="204"/>
      <c r="E153" s="204"/>
      <c r="F153" s="204"/>
      <c r="G153" s="204"/>
      <c r="H153" s="204"/>
      <c r="I153" s="204"/>
      <c r="J153" s="204"/>
      <c r="K153" s="204"/>
      <c r="L153" s="204"/>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1"/>
      <c r="AN153" s="201"/>
      <c r="AO153" s="201"/>
      <c r="AP153" s="201"/>
      <c r="AQ153" s="201"/>
      <c r="AR153" s="201"/>
      <c r="AS153" s="201"/>
      <c r="AT153" s="201"/>
      <c r="AU153" s="201"/>
      <c r="AV153" s="201"/>
    </row>
    <row r="154" spans="3:48" x14ac:dyDescent="0.2">
      <c r="C154" s="204"/>
      <c r="D154" s="204"/>
      <c r="E154" s="204"/>
      <c r="F154" s="204"/>
      <c r="G154" s="204"/>
      <c r="H154" s="204"/>
      <c r="I154" s="204"/>
      <c r="J154" s="204"/>
      <c r="K154" s="204"/>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1"/>
      <c r="AN154" s="201"/>
      <c r="AO154" s="201"/>
      <c r="AP154" s="201"/>
      <c r="AQ154" s="201"/>
      <c r="AR154" s="201"/>
      <c r="AS154" s="201"/>
      <c r="AT154" s="201"/>
      <c r="AU154" s="201"/>
      <c r="AV154" s="201"/>
    </row>
    <row r="155" spans="3:48" x14ac:dyDescent="0.2">
      <c r="C155" s="204"/>
      <c r="D155" s="204"/>
      <c r="E155" s="204"/>
      <c r="F155" s="204"/>
      <c r="G155" s="204"/>
      <c r="H155" s="204"/>
      <c r="I155" s="204"/>
      <c r="J155" s="204"/>
      <c r="K155" s="204"/>
      <c r="L155" s="204"/>
      <c r="M155" s="204"/>
      <c r="N155" s="204"/>
      <c r="O155" s="204"/>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1"/>
      <c r="AN155" s="201"/>
      <c r="AO155" s="201"/>
      <c r="AP155" s="201"/>
      <c r="AQ155" s="201"/>
      <c r="AR155" s="201"/>
      <c r="AS155" s="201"/>
      <c r="AT155" s="201"/>
      <c r="AU155" s="201"/>
      <c r="AV155" s="201"/>
    </row>
    <row r="156" spans="3:48" x14ac:dyDescent="0.2">
      <c r="C156" s="204"/>
      <c r="D156" s="204"/>
      <c r="E156" s="204"/>
      <c r="F156" s="204"/>
      <c r="G156" s="204"/>
      <c r="H156" s="204"/>
      <c r="I156" s="204"/>
      <c r="J156" s="204"/>
      <c r="K156" s="204"/>
      <c r="L156" s="204"/>
      <c r="M156" s="204"/>
      <c r="N156" s="204"/>
      <c r="O156" s="204"/>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1"/>
      <c r="AN156" s="201"/>
      <c r="AO156" s="201"/>
      <c r="AP156" s="201"/>
      <c r="AQ156" s="201"/>
      <c r="AR156" s="201"/>
      <c r="AS156" s="201"/>
      <c r="AT156" s="201"/>
      <c r="AU156" s="201"/>
      <c r="AV156" s="201"/>
    </row>
    <row r="157" spans="3:48" x14ac:dyDescent="0.2">
      <c r="C157" s="204"/>
      <c r="D157" s="204"/>
      <c r="E157" s="204"/>
      <c r="F157" s="204"/>
      <c r="G157" s="204"/>
      <c r="H157" s="204"/>
      <c r="I157" s="204"/>
      <c r="J157" s="204"/>
      <c r="K157" s="204"/>
      <c r="L157" s="204"/>
      <c r="M157" s="204"/>
      <c r="N157" s="204"/>
      <c r="O157" s="204"/>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1"/>
      <c r="AN157" s="201"/>
      <c r="AO157" s="201"/>
      <c r="AP157" s="201"/>
      <c r="AQ157" s="201"/>
      <c r="AR157" s="201"/>
      <c r="AS157" s="201"/>
      <c r="AT157" s="201"/>
      <c r="AU157" s="201"/>
      <c r="AV157" s="201"/>
    </row>
    <row r="158" spans="3:48" x14ac:dyDescent="0.2">
      <c r="C158" s="204"/>
      <c r="D158" s="204"/>
      <c r="E158" s="204"/>
      <c r="F158" s="204"/>
      <c r="G158" s="204"/>
      <c r="H158" s="204"/>
      <c r="I158" s="204"/>
      <c r="J158" s="204"/>
      <c r="K158" s="204"/>
      <c r="L158" s="204"/>
      <c r="M158" s="204"/>
      <c r="N158" s="204"/>
      <c r="O158" s="204"/>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1"/>
      <c r="AN158" s="201"/>
      <c r="AO158" s="201"/>
      <c r="AP158" s="201"/>
      <c r="AQ158" s="201"/>
      <c r="AR158" s="201"/>
      <c r="AS158" s="201"/>
      <c r="AT158" s="201"/>
      <c r="AU158" s="201"/>
      <c r="AV158" s="201"/>
    </row>
    <row r="159" spans="3:48" x14ac:dyDescent="0.2">
      <c r="C159" s="204"/>
      <c r="D159" s="204"/>
      <c r="E159" s="204"/>
      <c r="F159" s="204"/>
      <c r="G159" s="204"/>
      <c r="H159" s="204"/>
      <c r="I159" s="204"/>
      <c r="J159" s="204"/>
      <c r="K159" s="204"/>
      <c r="L159" s="204"/>
      <c r="M159" s="204"/>
      <c r="N159" s="204"/>
      <c r="O159" s="204"/>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1"/>
      <c r="AN159" s="201"/>
      <c r="AO159" s="201"/>
      <c r="AP159" s="201"/>
      <c r="AQ159" s="201"/>
      <c r="AR159" s="201"/>
      <c r="AS159" s="201"/>
      <c r="AT159" s="201"/>
      <c r="AU159" s="201"/>
      <c r="AV159" s="201"/>
    </row>
    <row r="160" spans="3:48" x14ac:dyDescent="0.2">
      <c r="C160" s="204"/>
      <c r="D160" s="204"/>
      <c r="E160" s="204"/>
      <c r="F160" s="204"/>
      <c r="G160" s="204"/>
      <c r="H160" s="204"/>
      <c r="I160" s="204"/>
      <c r="J160" s="204"/>
      <c r="K160" s="204"/>
      <c r="L160" s="204"/>
      <c r="M160" s="204"/>
      <c r="N160" s="204"/>
      <c r="O160" s="204"/>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1"/>
      <c r="AN160" s="201"/>
      <c r="AO160" s="201"/>
      <c r="AP160" s="201"/>
      <c r="AQ160" s="201"/>
      <c r="AR160" s="201"/>
      <c r="AS160" s="201"/>
      <c r="AT160" s="201"/>
      <c r="AU160" s="201"/>
      <c r="AV160" s="201"/>
    </row>
    <row r="161" spans="3:38" x14ac:dyDescent="0.2">
      <c r="C161" s="204"/>
      <c r="D161" s="204"/>
      <c r="E161" s="204"/>
      <c r="F161" s="204"/>
      <c r="G161" s="204"/>
      <c r="H161" s="204"/>
      <c r="I161" s="204"/>
      <c r="J161" s="204"/>
      <c r="K161" s="204"/>
      <c r="L161" s="204"/>
      <c r="M161" s="204"/>
      <c r="N161" s="204"/>
      <c r="O161" s="204"/>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ilha7">
    <pageSetUpPr autoPageBreaks="0"/>
  </sheetPr>
  <dimension ref="A1:N215"/>
  <sheetViews>
    <sheetView showGridLines="0" zoomScale="101" zoomScaleNormal="100" workbookViewId="0">
      <pane xSplit="1" ySplit="5" topLeftCell="B205" activePane="bottomRight" state="frozen"/>
      <selection activeCell="AY7" sqref="AY7"/>
      <selection pane="topRight" activeCell="AY7" sqref="AY7"/>
      <selection pane="bottomLeft" activeCell="AY7" sqref="AY7"/>
      <selection pane="bottomRight" activeCell="E2" sqref="E2"/>
    </sheetView>
  </sheetViews>
  <sheetFormatPr defaultColWidth="9.140625" defaultRowHeight="12.75" outlineLevelRow="1" x14ac:dyDescent="0.2"/>
  <cols>
    <col min="1" max="1" width="1.5703125" customWidth="1"/>
    <col min="2" max="2" width="40.85546875" bestFit="1" customWidth="1"/>
    <col min="3" max="4" width="10.85546875" customWidth="1"/>
    <col min="5" max="5" width="12.85546875" customWidth="1"/>
    <col min="6" max="6" width="10.85546875" customWidth="1"/>
    <col min="7" max="8" width="9.140625" style="529" hidden="1" customWidth="1"/>
    <col min="9" max="9" width="3.140625" style="529" customWidth="1"/>
    <col min="10" max="10" width="40.85546875" style="529" customWidth="1"/>
    <col min="11" max="12" width="10.85546875" style="529" customWidth="1"/>
    <col min="13" max="13" width="12.85546875" style="529" customWidth="1"/>
    <col min="14" max="14" width="10.85546875" style="529" customWidth="1"/>
    <col min="15" max="16384" width="9.140625" style="529"/>
  </cols>
  <sheetData>
    <row r="1" spans="1:14" s="605" customFormat="1" ht="7.5" customHeight="1" x14ac:dyDescent="0.2">
      <c r="A1" s="544"/>
      <c r="B1" s="544"/>
      <c r="C1" s="544"/>
      <c r="D1" s="544"/>
      <c r="E1" s="544"/>
      <c r="F1" s="544"/>
      <c r="K1" s="544"/>
      <c r="L1" s="544"/>
      <c r="M1" s="544"/>
      <c r="N1" s="544"/>
    </row>
    <row r="2" spans="1:14" s="732" customFormat="1" ht="12.75" customHeight="1" x14ac:dyDescent="0.2">
      <c r="A2" s="544"/>
      <c r="B2" s="544"/>
      <c r="C2" s="544"/>
      <c r="D2" s="544"/>
      <c r="E2" s="544"/>
      <c r="F2" s="544"/>
      <c r="K2" s="544"/>
      <c r="L2" s="544"/>
      <c r="M2" s="544"/>
      <c r="N2" s="544"/>
    </row>
    <row r="5" spans="1:14" ht="25.5" x14ac:dyDescent="0.2">
      <c r="B5" s="141" t="s">
        <v>97</v>
      </c>
      <c r="C5" s="139" t="s">
        <v>820</v>
      </c>
      <c r="D5" s="139" t="s">
        <v>109</v>
      </c>
      <c r="E5" s="139" t="s">
        <v>821</v>
      </c>
      <c r="F5" s="139" t="s">
        <v>695</v>
      </c>
      <c r="G5" s="529" t="s">
        <v>96</v>
      </c>
      <c r="H5" s="529" t="s">
        <v>647</v>
      </c>
      <c r="J5" s="141" t="s">
        <v>96</v>
      </c>
      <c r="K5" s="139" t="s">
        <v>820</v>
      </c>
      <c r="L5" s="139" t="s">
        <v>109</v>
      </c>
      <c r="M5" s="139" t="s">
        <v>821</v>
      </c>
      <c r="N5" s="139" t="s">
        <v>695</v>
      </c>
    </row>
    <row r="6" spans="1:14" x14ac:dyDescent="0.2">
      <c r="B6" s="126" t="s">
        <v>789</v>
      </c>
      <c r="C6" s="120" t="s">
        <v>160</v>
      </c>
      <c r="D6" s="120">
        <v>0</v>
      </c>
      <c r="E6" s="120" t="s">
        <v>953</v>
      </c>
      <c r="F6" s="120">
        <f>SUM(C6:E6)</f>
        <v>0</v>
      </c>
      <c r="J6" s="126" t="s">
        <v>789</v>
      </c>
      <c r="K6" s="120">
        <v>0</v>
      </c>
      <c r="L6" s="120">
        <v>0</v>
      </c>
      <c r="M6" s="120">
        <v>0</v>
      </c>
      <c r="N6" s="120">
        <v>0</v>
      </c>
    </row>
    <row r="7" spans="1:14" s="600" customFormat="1" x14ac:dyDescent="0.2">
      <c r="A7"/>
      <c r="B7" s="149"/>
      <c r="C7" s="150"/>
      <c r="D7" s="150"/>
      <c r="E7" s="150"/>
      <c r="F7" s="150"/>
      <c r="J7" s="149"/>
      <c r="K7" s="150"/>
      <c r="L7" s="150"/>
      <c r="M7" s="150"/>
      <c r="N7" s="150"/>
    </row>
    <row r="8" spans="1:14" outlineLevel="1" x14ac:dyDescent="0.2">
      <c r="B8" s="129" t="s">
        <v>822</v>
      </c>
      <c r="C8" s="118"/>
      <c r="D8" s="118"/>
      <c r="E8" s="118"/>
      <c r="F8" s="118"/>
      <c r="J8" s="129" t="s">
        <v>822</v>
      </c>
      <c r="K8" s="118"/>
      <c r="L8" s="118"/>
      <c r="M8" s="118"/>
      <c r="N8" s="118"/>
    </row>
    <row r="9" spans="1:14" outlineLevel="1" x14ac:dyDescent="0.2">
      <c r="B9" s="129" t="s">
        <v>858</v>
      </c>
      <c r="C9" s="118">
        <v>42207.917499999996</v>
      </c>
      <c r="D9" s="118">
        <v>2158.0349999999999</v>
      </c>
      <c r="E9" s="118">
        <v>688.79250000000002</v>
      </c>
      <c r="F9" s="118">
        <f>+SUM(C9:E9)</f>
        <v>45054.745000000003</v>
      </c>
      <c r="J9" s="129" t="s">
        <v>858</v>
      </c>
      <c r="K9" s="118">
        <v>59158.924999999996</v>
      </c>
      <c r="L9" s="118">
        <v>3718.9349999999999</v>
      </c>
      <c r="M9" s="118">
        <v>5208.1424999999999</v>
      </c>
      <c r="N9" s="118">
        <f>+SUM(K9:M9)</f>
        <v>68086.002499999988</v>
      </c>
    </row>
    <row r="10" spans="1:14" outlineLevel="1" x14ac:dyDescent="0.2">
      <c r="B10" s="129" t="s">
        <v>189</v>
      </c>
      <c r="C10" s="118">
        <v>6420.5625</v>
      </c>
      <c r="D10" s="118">
        <v>0</v>
      </c>
      <c r="E10" s="118">
        <v>0</v>
      </c>
      <c r="F10" s="118">
        <f>+SUM(C10:E10)</f>
        <v>6420.5625</v>
      </c>
      <c r="J10" s="129" t="s">
        <v>189</v>
      </c>
      <c r="K10" s="118">
        <v>6830.7524999999996</v>
      </c>
      <c r="L10" s="118">
        <v>0</v>
      </c>
      <c r="M10" s="118">
        <v>0</v>
      </c>
      <c r="N10" s="118">
        <f>+SUM(K10:M10)</f>
        <v>6830.7524999999996</v>
      </c>
    </row>
    <row r="11" spans="1:14" outlineLevel="1" x14ac:dyDescent="0.2">
      <c r="B11" s="129" t="s">
        <v>823</v>
      </c>
      <c r="C11" s="118">
        <v>0</v>
      </c>
      <c r="D11" s="118">
        <v>0</v>
      </c>
      <c r="E11" s="118">
        <v>0</v>
      </c>
      <c r="F11" s="118">
        <f>+SUM(C11:E11)</f>
        <v>0</v>
      </c>
      <c r="J11" s="129" t="s">
        <v>823</v>
      </c>
      <c r="K11" s="118">
        <v>-193.29749999999999</v>
      </c>
      <c r="L11" s="118">
        <v>0</v>
      </c>
      <c r="M11" s="118">
        <v>0</v>
      </c>
      <c r="N11" s="118">
        <f>+SUM(K11:M11)</f>
        <v>-193.29749999999999</v>
      </c>
    </row>
    <row r="12" spans="1:14" outlineLevel="1" x14ac:dyDescent="0.2">
      <c r="B12" s="129" t="s">
        <v>247</v>
      </c>
      <c r="C12" s="118">
        <v>-5121</v>
      </c>
      <c r="D12" s="118">
        <v>-317</v>
      </c>
      <c r="E12" s="118">
        <v>-72</v>
      </c>
      <c r="F12" s="118">
        <f>+SUM(C12:E12)</f>
        <v>-5510</v>
      </c>
      <c r="J12" s="129" t="s">
        <v>247</v>
      </c>
      <c r="K12" s="118">
        <v>-7808</v>
      </c>
      <c r="L12" s="118">
        <v>-791</v>
      </c>
      <c r="M12" s="118">
        <v>-331</v>
      </c>
      <c r="N12" s="118">
        <f>+SUM(K12:M12)</f>
        <v>-8930</v>
      </c>
    </row>
    <row r="13" spans="1:14" ht="13.5" customHeight="1" x14ac:dyDescent="0.2">
      <c r="B13" s="126" t="s">
        <v>810</v>
      </c>
      <c r="C13" s="120">
        <f>SUM(C6:C12)</f>
        <v>43507.479999999996</v>
      </c>
      <c r="D13" s="120">
        <f>SUM(D6:D12)</f>
        <v>1841.0349999999999</v>
      </c>
      <c r="E13" s="120">
        <f>SUM(E6:E12)</f>
        <v>616.79250000000002</v>
      </c>
      <c r="F13" s="120">
        <f>SUM(F6:F12)</f>
        <v>45965.307500000003</v>
      </c>
      <c r="J13" s="126" t="s">
        <v>810</v>
      </c>
      <c r="K13" s="120">
        <f>SUM(K6:K12)</f>
        <v>57988.37999999999</v>
      </c>
      <c r="L13" s="120">
        <f>SUM(L6:L12)</f>
        <v>2927.9349999999999</v>
      </c>
      <c r="M13" s="120">
        <f>SUM(M6:M12)</f>
        <v>4877.1424999999999</v>
      </c>
      <c r="N13" s="120">
        <f>SUM(N6:N12)</f>
        <v>65793.45749999999</v>
      </c>
    </row>
    <row r="14" spans="1:14" s="600" customFormat="1" x14ac:dyDescent="0.2">
      <c r="A14"/>
      <c r="B14" s="149"/>
      <c r="C14" s="150"/>
      <c r="D14" s="150"/>
      <c r="E14" s="150"/>
      <c r="F14" s="150"/>
      <c r="J14" s="149"/>
      <c r="K14" s="150"/>
      <c r="L14" s="150"/>
      <c r="M14" s="150"/>
      <c r="N14" s="150"/>
    </row>
    <row r="15" spans="1:14" outlineLevel="1" x14ac:dyDescent="0.2">
      <c r="B15" s="129" t="s">
        <v>822</v>
      </c>
      <c r="C15" s="118"/>
      <c r="D15" s="118"/>
      <c r="E15" s="118"/>
      <c r="F15" s="118"/>
      <c r="J15" s="129" t="s">
        <v>822</v>
      </c>
      <c r="K15" s="118"/>
      <c r="L15" s="118"/>
      <c r="M15" s="118"/>
      <c r="N15" s="118"/>
    </row>
    <row r="16" spans="1:14" outlineLevel="1" x14ac:dyDescent="0.2">
      <c r="B16" s="129" t="s">
        <v>858</v>
      </c>
      <c r="C16" s="118">
        <v>-0.91749999999592546</v>
      </c>
      <c r="D16" s="118">
        <v>-3.4999999999854481E-2</v>
      </c>
      <c r="E16" s="118">
        <v>0.20749999999998181</v>
      </c>
      <c r="F16" s="118">
        <f>+SUM(C16:E16)</f>
        <v>-0.74499999999579813</v>
      </c>
      <c r="J16" s="129" t="s">
        <v>858</v>
      </c>
      <c r="K16" s="118">
        <v>2199.0750000000044</v>
      </c>
      <c r="L16" s="118">
        <v>-1443.9349999999999</v>
      </c>
      <c r="M16" s="118">
        <v>-754.14249999999993</v>
      </c>
      <c r="N16" s="118">
        <f>+SUM(K16:M16)</f>
        <v>0.9975000000044929</v>
      </c>
    </row>
    <row r="17" spans="1:14" outlineLevel="1" x14ac:dyDescent="0.2">
      <c r="B17" s="129" t="s">
        <v>189</v>
      </c>
      <c r="C17" s="118">
        <v>17398.4375</v>
      </c>
      <c r="D17" s="118">
        <v>220</v>
      </c>
      <c r="E17" s="118">
        <v>0</v>
      </c>
      <c r="F17" s="118">
        <f>+SUM(C17:E17)</f>
        <v>17618.4375</v>
      </c>
      <c r="J17" s="129" t="s">
        <v>189</v>
      </c>
      <c r="K17" s="118">
        <v>22829.247500000001</v>
      </c>
      <c r="L17" s="118">
        <v>233</v>
      </c>
      <c r="M17" s="118">
        <v>0</v>
      </c>
      <c r="N17" s="118">
        <f>+SUM(K17:M17)</f>
        <v>23062.247500000001</v>
      </c>
    </row>
    <row r="18" spans="1:14" outlineLevel="1" x14ac:dyDescent="0.2">
      <c r="B18" s="129" t="s">
        <v>823</v>
      </c>
      <c r="C18" s="118">
        <v>0</v>
      </c>
      <c r="D18" s="118">
        <v>0</v>
      </c>
      <c r="E18" s="118">
        <v>0</v>
      </c>
      <c r="F18" s="118">
        <f>+SUM(C18:E18)</f>
        <v>0</v>
      </c>
      <c r="J18" s="129" t="s">
        <v>823</v>
      </c>
      <c r="K18" s="118">
        <v>-18.702500000000015</v>
      </c>
      <c r="L18" s="118">
        <v>0</v>
      </c>
      <c r="M18" s="118">
        <v>-67</v>
      </c>
      <c r="N18" s="118">
        <f>+SUM(K18:M18)</f>
        <v>-85.702500000000015</v>
      </c>
    </row>
    <row r="19" spans="1:14" outlineLevel="1" x14ac:dyDescent="0.2">
      <c r="B19" s="129" t="s">
        <v>247</v>
      </c>
      <c r="C19" s="118">
        <v>-4228</v>
      </c>
      <c r="D19" s="118">
        <v>-298</v>
      </c>
      <c r="E19" s="118">
        <v>-58</v>
      </c>
      <c r="F19" s="118">
        <f>+SUM(C19:E19)</f>
        <v>-4584</v>
      </c>
      <c r="J19" s="129" t="s">
        <v>247</v>
      </c>
      <c r="K19" s="118">
        <v>-6176</v>
      </c>
      <c r="L19" s="118">
        <v>147</v>
      </c>
      <c r="M19" s="118">
        <v>-1114</v>
      </c>
      <c r="N19" s="118">
        <f>+SUM(K19:M19)</f>
        <v>-7143</v>
      </c>
    </row>
    <row r="20" spans="1:14" x14ac:dyDescent="0.2">
      <c r="B20" s="126" t="s">
        <v>849</v>
      </c>
      <c r="C20" s="120">
        <f>SUM(C13:C19)</f>
        <v>56677</v>
      </c>
      <c r="D20" s="120">
        <f>SUM(D13:D19)</f>
        <v>1763</v>
      </c>
      <c r="E20" s="120">
        <f>SUM(E13:E19)</f>
        <v>559</v>
      </c>
      <c r="F20" s="120">
        <f>SUM(F13:F19)</f>
        <v>58999.000000000007</v>
      </c>
      <c r="J20" s="126" t="s">
        <v>849</v>
      </c>
      <c r="K20" s="120">
        <f>SUM(K13:K19)</f>
        <v>76822</v>
      </c>
      <c r="L20" s="120">
        <f>SUM(L13:L19)</f>
        <v>1864</v>
      </c>
      <c r="M20" s="120">
        <f>SUM(M13:M19)</f>
        <v>2942</v>
      </c>
      <c r="N20" s="120">
        <f>SUM(N13:N19)</f>
        <v>81627.999999999985</v>
      </c>
    </row>
    <row r="21" spans="1:14" x14ac:dyDescent="0.2">
      <c r="A21" s="28"/>
      <c r="B21" s="153"/>
      <c r="C21" s="154"/>
      <c r="D21" s="154"/>
      <c r="E21" s="154"/>
      <c r="F21" s="154"/>
      <c r="J21" s="153"/>
      <c r="K21" s="154"/>
      <c r="L21" s="154"/>
      <c r="M21" s="154"/>
      <c r="N21" s="154"/>
    </row>
    <row r="22" spans="1:14" outlineLevel="1" x14ac:dyDescent="0.2">
      <c r="A22" s="28"/>
      <c r="B22" s="129" t="s">
        <v>822</v>
      </c>
      <c r="C22" s="118"/>
      <c r="D22" s="118"/>
      <c r="E22" s="118"/>
      <c r="F22" s="118"/>
      <c r="J22" s="129" t="s">
        <v>822</v>
      </c>
      <c r="K22" s="118"/>
      <c r="L22" s="118"/>
      <c r="M22" s="118"/>
      <c r="N22" s="118"/>
    </row>
    <row r="23" spans="1:14" outlineLevel="1" x14ac:dyDescent="0.2">
      <c r="A23" s="28"/>
      <c r="B23" s="129" t="s">
        <v>858</v>
      </c>
      <c r="C23" s="118">
        <v>8318</v>
      </c>
      <c r="D23" s="118">
        <v>220</v>
      </c>
      <c r="E23" s="118">
        <v>70</v>
      </c>
      <c r="F23" s="118">
        <v>8607.9999999999927</v>
      </c>
      <c r="J23" s="129" t="s">
        <v>858</v>
      </c>
      <c r="K23" s="118">
        <v>16034.999999999993</v>
      </c>
      <c r="L23" s="118">
        <v>233</v>
      </c>
      <c r="M23" s="118">
        <v>454</v>
      </c>
      <c r="N23" s="118">
        <v>16722.000000000015</v>
      </c>
    </row>
    <row r="24" spans="1:14" outlineLevel="1" x14ac:dyDescent="0.2">
      <c r="A24" s="28"/>
      <c r="B24" s="129" t="s">
        <v>189</v>
      </c>
      <c r="C24" s="118">
        <v>-3505</v>
      </c>
      <c r="D24" s="118">
        <v>-113</v>
      </c>
      <c r="E24" s="118">
        <v>175</v>
      </c>
      <c r="F24" s="118">
        <v>-3443</v>
      </c>
      <c r="J24" s="129" t="s">
        <v>189</v>
      </c>
      <c r="K24" s="118">
        <v>-9203</v>
      </c>
      <c r="L24" s="118">
        <v>-69</v>
      </c>
      <c r="M24" s="118">
        <v>374</v>
      </c>
      <c r="N24" s="118">
        <v>-8898</v>
      </c>
    </row>
    <row r="25" spans="1:14" outlineLevel="1" x14ac:dyDescent="0.2">
      <c r="A25" s="28"/>
      <c r="B25" s="129" t="s">
        <v>823</v>
      </c>
      <c r="C25" s="118">
        <v>-75</v>
      </c>
      <c r="D25" s="118">
        <v>-17</v>
      </c>
      <c r="E25" s="118">
        <v>0</v>
      </c>
      <c r="F25" s="118">
        <v>-92</v>
      </c>
      <c r="J25" s="129" t="s">
        <v>823</v>
      </c>
      <c r="K25" s="118">
        <v>-75.000000000000028</v>
      </c>
      <c r="L25" s="118">
        <v>-17</v>
      </c>
      <c r="M25" s="118">
        <v>0</v>
      </c>
      <c r="N25" s="118">
        <v>-92.000000000000028</v>
      </c>
    </row>
    <row r="26" spans="1:14" outlineLevel="1" x14ac:dyDescent="0.2">
      <c r="A26" s="28"/>
      <c r="B26" s="129" t="s">
        <v>247</v>
      </c>
      <c r="C26" s="118">
        <v>-4478</v>
      </c>
      <c r="D26" s="118">
        <v>-344</v>
      </c>
      <c r="E26" s="118">
        <v>-65</v>
      </c>
      <c r="F26" s="118">
        <v>-4887</v>
      </c>
      <c r="J26" s="129" t="s">
        <v>247</v>
      </c>
      <c r="K26" s="118">
        <v>-7196</v>
      </c>
      <c r="L26" s="118">
        <v>-359</v>
      </c>
      <c r="M26" s="118">
        <v>-720</v>
      </c>
      <c r="N26" s="118">
        <v>-8275</v>
      </c>
    </row>
    <row r="27" spans="1:14" x14ac:dyDescent="0.2">
      <c r="A27" s="28"/>
      <c r="B27" s="126" t="s">
        <v>863</v>
      </c>
      <c r="C27" s="120">
        <f>SUM(C20:C26)</f>
        <v>56937</v>
      </c>
      <c r="D27" s="120">
        <f>SUM(D20:D26)</f>
        <v>1509</v>
      </c>
      <c r="E27" s="120">
        <f>SUM(E20:E26)</f>
        <v>739</v>
      </c>
      <c r="F27" s="120">
        <f>SUM(F20:F26)</f>
        <v>59185</v>
      </c>
      <c r="J27" s="126" t="s">
        <v>863</v>
      </c>
      <c r="K27" s="120">
        <f>SUM(K20:K26)</f>
        <v>76383</v>
      </c>
      <c r="L27" s="120">
        <f>SUM(L20:L26)</f>
        <v>1652</v>
      </c>
      <c r="M27" s="120">
        <f>SUM(M20:M26)</f>
        <v>3050</v>
      </c>
      <c r="N27" s="120">
        <f>SUM(N20:N26)</f>
        <v>81085</v>
      </c>
    </row>
    <row r="28" spans="1:14" s="600" customFormat="1" x14ac:dyDescent="0.2">
      <c r="A28"/>
      <c r="B28" s="149"/>
      <c r="C28" s="150"/>
      <c r="D28" s="150"/>
      <c r="E28" s="150"/>
      <c r="F28" s="150"/>
      <c r="J28" s="149"/>
      <c r="K28" s="150"/>
      <c r="L28" s="150"/>
      <c r="M28" s="150"/>
      <c r="N28" s="150"/>
    </row>
    <row r="29" spans="1:14" outlineLevel="1" x14ac:dyDescent="0.2">
      <c r="B29" s="129" t="s">
        <v>822</v>
      </c>
      <c r="C29" s="118"/>
      <c r="D29" s="118"/>
      <c r="E29" s="118"/>
      <c r="F29" s="118"/>
      <c r="J29" s="129" t="s">
        <v>822</v>
      </c>
      <c r="K29" s="118"/>
      <c r="L29" s="118"/>
      <c r="M29" s="118"/>
      <c r="N29" s="118"/>
    </row>
    <row r="30" spans="1:14" outlineLevel="1" x14ac:dyDescent="0.2">
      <c r="B30" s="129" t="s">
        <v>858</v>
      </c>
      <c r="C30" s="118">
        <v>-1</v>
      </c>
      <c r="D30" s="118">
        <v>0</v>
      </c>
      <c r="E30" s="118">
        <v>0</v>
      </c>
      <c r="F30" s="118">
        <f>+SUM(C30:E30)</f>
        <v>-1</v>
      </c>
      <c r="J30" s="129" t="s">
        <v>858</v>
      </c>
      <c r="K30" s="118">
        <v>0</v>
      </c>
      <c r="L30" s="118">
        <v>0</v>
      </c>
      <c r="M30" s="118">
        <v>0</v>
      </c>
      <c r="N30" s="118">
        <f>+SUM(K30:M30)</f>
        <v>0</v>
      </c>
    </row>
    <row r="31" spans="1:14" outlineLevel="1" x14ac:dyDescent="0.2">
      <c r="B31" s="129" t="s">
        <v>189</v>
      </c>
      <c r="C31" s="118">
        <v>1676</v>
      </c>
      <c r="D31" s="118">
        <v>268</v>
      </c>
      <c r="E31" s="118">
        <v>-63</v>
      </c>
      <c r="F31" s="118">
        <f>+SUM(C31:E31)</f>
        <v>1881</v>
      </c>
      <c r="J31" s="129" t="s">
        <v>189</v>
      </c>
      <c r="K31" s="118">
        <v>2586</v>
      </c>
      <c r="L31" s="118">
        <v>211</v>
      </c>
      <c r="M31" s="118">
        <v>-68</v>
      </c>
      <c r="N31" s="118">
        <f>+SUM(K31:M31)</f>
        <v>2729</v>
      </c>
    </row>
    <row r="32" spans="1:14" outlineLevel="1" x14ac:dyDescent="0.2">
      <c r="B32" s="129" t="s">
        <v>823</v>
      </c>
      <c r="C32" s="118">
        <v>-674</v>
      </c>
      <c r="D32" s="118">
        <v>-2</v>
      </c>
      <c r="E32" s="118">
        <v>0</v>
      </c>
      <c r="F32" s="118">
        <f>+SUM(C32:E32)</f>
        <v>-676</v>
      </c>
      <c r="J32" s="129" t="s">
        <v>823</v>
      </c>
      <c r="K32" s="118">
        <v>-1498</v>
      </c>
      <c r="L32" s="118">
        <v>-2</v>
      </c>
      <c r="M32" s="118">
        <v>-52</v>
      </c>
      <c r="N32" s="118">
        <f>+SUM(K32:M32)</f>
        <v>-1552</v>
      </c>
    </row>
    <row r="33" spans="1:14" outlineLevel="1" x14ac:dyDescent="0.2">
      <c r="B33" s="129" t="s">
        <v>247</v>
      </c>
      <c r="C33" s="118">
        <v>-6161</v>
      </c>
      <c r="D33" s="118">
        <v>-356</v>
      </c>
      <c r="E33" s="118">
        <v>-114</v>
      </c>
      <c r="F33" s="118">
        <f>+SUM(C33:E33)</f>
        <v>-6631</v>
      </c>
      <c r="J33" s="129" t="s">
        <v>247</v>
      </c>
      <c r="K33" s="118">
        <v>-9899</v>
      </c>
      <c r="L33" s="118">
        <v>-369</v>
      </c>
      <c r="M33" s="118">
        <v>-1065</v>
      </c>
      <c r="N33" s="118">
        <f>+SUM(K33:M33)</f>
        <v>-11333</v>
      </c>
    </row>
    <row r="34" spans="1:14" x14ac:dyDescent="0.2">
      <c r="B34" s="126" t="s">
        <v>889</v>
      </c>
      <c r="C34" s="120">
        <f>SUM(C27:C33)</f>
        <v>51777</v>
      </c>
      <c r="D34" s="120">
        <f>SUM(D27:D33)</f>
        <v>1419</v>
      </c>
      <c r="E34" s="120">
        <f>SUM(E27:E33)</f>
        <v>562</v>
      </c>
      <c r="F34" s="120">
        <f>SUM(F27:F33)</f>
        <v>53758</v>
      </c>
      <c r="G34" s="600"/>
      <c r="H34" s="600"/>
      <c r="J34" s="126" t="s">
        <v>889</v>
      </c>
      <c r="K34" s="120">
        <f>SUM(K27:K33)</f>
        <v>67572</v>
      </c>
      <c r="L34" s="120">
        <f>SUM(L27:L33)</f>
        <v>1492</v>
      </c>
      <c r="M34" s="120">
        <f>SUM(M27:M33)</f>
        <v>1865</v>
      </c>
      <c r="N34" s="120">
        <f>SUM(N27:N33)</f>
        <v>70929</v>
      </c>
    </row>
    <row r="35" spans="1:14" s="600" customFormat="1" x14ac:dyDescent="0.2">
      <c r="A35"/>
      <c r="B35" s="149"/>
      <c r="C35" s="150"/>
      <c r="D35" s="150"/>
      <c r="E35" s="150"/>
      <c r="F35" s="150"/>
      <c r="J35" s="149"/>
      <c r="K35" s="150"/>
      <c r="L35" s="150"/>
      <c r="M35" s="150"/>
      <c r="N35" s="150"/>
    </row>
    <row r="36" spans="1:14" outlineLevel="1" x14ac:dyDescent="0.2">
      <c r="B36" s="129" t="s">
        <v>822</v>
      </c>
      <c r="C36" s="118"/>
      <c r="D36" s="118"/>
      <c r="E36" s="118"/>
      <c r="F36" s="118"/>
      <c r="G36" s="600"/>
      <c r="H36" s="600"/>
      <c r="J36" s="129" t="s">
        <v>822</v>
      </c>
      <c r="K36" s="118"/>
      <c r="L36" s="118"/>
      <c r="M36" s="118"/>
      <c r="N36" s="118"/>
    </row>
    <row r="37" spans="1:14" outlineLevel="1" x14ac:dyDescent="0.2">
      <c r="B37" s="129" t="s">
        <v>858</v>
      </c>
      <c r="C37" s="118"/>
      <c r="D37" s="118"/>
      <c r="E37" s="118"/>
      <c r="F37" s="118"/>
      <c r="G37" s="600"/>
      <c r="H37" s="600"/>
      <c r="J37" s="129" t="s">
        <v>858</v>
      </c>
      <c r="K37" s="118"/>
      <c r="L37" s="118"/>
      <c r="M37" s="118"/>
      <c r="N37" s="118"/>
    </row>
    <row r="38" spans="1:14" outlineLevel="1" x14ac:dyDescent="0.2">
      <c r="B38" s="129" t="s">
        <v>189</v>
      </c>
      <c r="C38" s="118">
        <v>18626</v>
      </c>
      <c r="D38" s="118">
        <v>27</v>
      </c>
      <c r="E38" s="118">
        <v>-100</v>
      </c>
      <c r="F38" s="118">
        <f>+SUM(C38:E38)</f>
        <v>18553</v>
      </c>
      <c r="G38" s="600"/>
      <c r="H38" s="600"/>
      <c r="J38" s="129" t="s">
        <v>189</v>
      </c>
      <c r="K38" s="118">
        <v>14040</v>
      </c>
      <c r="L38" s="118">
        <v>27</v>
      </c>
      <c r="M38" s="118">
        <v>2008</v>
      </c>
      <c r="N38" s="118">
        <f>+SUM(K38:M38)</f>
        <v>16075</v>
      </c>
    </row>
    <row r="39" spans="1:14" outlineLevel="1" x14ac:dyDescent="0.2">
      <c r="B39" s="129" t="s">
        <v>823</v>
      </c>
      <c r="C39" s="118">
        <v>0</v>
      </c>
      <c r="D39" s="118">
        <v>0</v>
      </c>
      <c r="E39" s="118">
        <v>0</v>
      </c>
      <c r="F39" s="118">
        <f>+SUM(C39:E39)</f>
        <v>0</v>
      </c>
      <c r="G39" s="600"/>
      <c r="H39" s="600"/>
      <c r="J39" s="129" t="s">
        <v>823</v>
      </c>
      <c r="K39" s="118">
        <v>-206</v>
      </c>
      <c r="L39" s="118">
        <v>0</v>
      </c>
      <c r="M39" s="118">
        <v>0</v>
      </c>
      <c r="N39" s="118">
        <f>+SUM(K39:M39)</f>
        <v>-206</v>
      </c>
    </row>
    <row r="40" spans="1:14" outlineLevel="1" x14ac:dyDescent="0.2">
      <c r="B40" s="129" t="s">
        <v>247</v>
      </c>
      <c r="C40" s="118">
        <v>-4679</v>
      </c>
      <c r="D40" s="118">
        <v>-339</v>
      </c>
      <c r="E40" s="118">
        <v>-52</v>
      </c>
      <c r="F40" s="118">
        <f>+SUM(C40:E40)</f>
        <v>-5070</v>
      </c>
      <c r="G40" s="600"/>
      <c r="H40" s="600"/>
      <c r="J40" s="129" t="s">
        <v>247</v>
      </c>
      <c r="K40" s="118">
        <v>-7472</v>
      </c>
      <c r="L40" s="118">
        <v>-353</v>
      </c>
      <c r="M40" s="118">
        <v>-813</v>
      </c>
      <c r="N40" s="118">
        <f>+SUM(K40:M40)</f>
        <v>-8638</v>
      </c>
    </row>
    <row r="41" spans="1:14" x14ac:dyDescent="0.2">
      <c r="B41" s="126" t="s">
        <v>916</v>
      </c>
      <c r="C41" s="120">
        <f>SUM(C34:C40)</f>
        <v>65724</v>
      </c>
      <c r="D41" s="120">
        <f>SUM(D34:D40)</f>
        <v>1107</v>
      </c>
      <c r="E41" s="120">
        <f>SUM(E34:E40)</f>
        <v>410</v>
      </c>
      <c r="F41" s="120">
        <f>SUM(F34:F40)</f>
        <v>67241</v>
      </c>
      <c r="G41" s="600"/>
      <c r="H41" s="600"/>
      <c r="J41" s="126" t="s">
        <v>916</v>
      </c>
      <c r="K41" s="120">
        <f>SUM(K34:K40)</f>
        <v>73934</v>
      </c>
      <c r="L41" s="120">
        <f>SUM(L34:L40)</f>
        <v>1166</v>
      </c>
      <c r="M41" s="120">
        <f>SUM(M34:M40)</f>
        <v>3060</v>
      </c>
      <c r="N41" s="120">
        <f>SUM(N34:N40)</f>
        <v>78160</v>
      </c>
    </row>
    <row r="42" spans="1:14" s="600" customFormat="1" x14ac:dyDescent="0.2">
      <c r="A42"/>
      <c r="B42" s="149"/>
      <c r="C42" s="150"/>
      <c r="D42" s="150"/>
      <c r="E42" s="150"/>
      <c r="F42" s="150"/>
      <c r="J42" s="149"/>
      <c r="K42" s="150"/>
      <c r="L42" s="150"/>
      <c r="M42" s="150"/>
      <c r="N42" s="150"/>
    </row>
    <row r="43" spans="1:14" outlineLevel="1" x14ac:dyDescent="0.2">
      <c r="B43" s="129" t="s">
        <v>822</v>
      </c>
      <c r="C43" s="118"/>
      <c r="D43" s="118"/>
      <c r="E43" s="118"/>
      <c r="F43" s="118"/>
      <c r="G43" s="600"/>
      <c r="H43" s="600"/>
      <c r="J43" s="129" t="s">
        <v>822</v>
      </c>
      <c r="K43" s="118"/>
      <c r="L43" s="118"/>
      <c r="M43" s="118"/>
      <c r="N43" s="118"/>
    </row>
    <row r="44" spans="1:14" outlineLevel="1" x14ac:dyDescent="0.2">
      <c r="B44" s="129" t="s">
        <v>858</v>
      </c>
      <c r="C44" s="118"/>
      <c r="D44" s="118"/>
      <c r="E44" s="118"/>
      <c r="F44" s="118"/>
      <c r="G44" s="600"/>
      <c r="H44" s="600"/>
      <c r="J44" s="129" t="s">
        <v>858</v>
      </c>
      <c r="K44" s="118"/>
      <c r="L44" s="118"/>
      <c r="M44" s="118"/>
      <c r="N44" s="118"/>
    </row>
    <row r="45" spans="1:14" outlineLevel="1" x14ac:dyDescent="0.2">
      <c r="B45" s="129" t="s">
        <v>189</v>
      </c>
      <c r="C45" s="118">
        <v>191</v>
      </c>
      <c r="D45" s="118">
        <v>831</v>
      </c>
      <c r="E45" s="118">
        <v>0</v>
      </c>
      <c r="F45" s="118">
        <v>1022</v>
      </c>
      <c r="G45" s="600"/>
      <c r="H45" s="600"/>
      <c r="J45" s="129" t="s">
        <v>189</v>
      </c>
      <c r="K45" s="118">
        <v>191</v>
      </c>
      <c r="L45" s="118">
        <v>831</v>
      </c>
      <c r="M45" s="118">
        <v>37</v>
      </c>
      <c r="N45" s="118">
        <f>+SUM(K45:M45)</f>
        <v>1059</v>
      </c>
    </row>
    <row r="46" spans="1:14" outlineLevel="1" x14ac:dyDescent="0.2">
      <c r="B46" s="129" t="s">
        <v>823</v>
      </c>
      <c r="C46" s="118">
        <v>-462</v>
      </c>
      <c r="D46" s="118">
        <v>0</v>
      </c>
      <c r="E46" s="118">
        <v>0</v>
      </c>
      <c r="F46" s="118">
        <v>-462</v>
      </c>
      <c r="G46" s="600"/>
      <c r="H46" s="600"/>
      <c r="J46" s="129" t="s">
        <v>823</v>
      </c>
      <c r="K46" s="118">
        <v>-2208</v>
      </c>
      <c r="L46" s="118">
        <v>0</v>
      </c>
      <c r="M46" s="118">
        <v>0</v>
      </c>
      <c r="N46" s="118">
        <f>+SUM(K46:M46)</f>
        <v>-2208</v>
      </c>
    </row>
    <row r="47" spans="1:14" outlineLevel="1" x14ac:dyDescent="0.2">
      <c r="B47" s="129" t="s">
        <v>247</v>
      </c>
      <c r="C47" s="118">
        <v>-4803</v>
      </c>
      <c r="D47" s="118">
        <v>-349</v>
      </c>
      <c r="E47" s="118">
        <v>-74</v>
      </c>
      <c r="F47" s="118">
        <v>-5226</v>
      </c>
      <c r="G47" s="600"/>
      <c r="H47" s="600"/>
      <c r="J47" s="129" t="s">
        <v>247</v>
      </c>
      <c r="K47" s="118">
        <v>-7287</v>
      </c>
      <c r="L47" s="118">
        <v>-364</v>
      </c>
      <c r="M47" s="118">
        <v>-760</v>
      </c>
      <c r="N47" s="118">
        <f>+SUM(K47:M47)</f>
        <v>-8411</v>
      </c>
    </row>
    <row r="48" spans="1:14" x14ac:dyDescent="0.2">
      <c r="B48" s="126" t="s">
        <v>949</v>
      </c>
      <c r="C48" s="120">
        <f>SUM(C41:C47)</f>
        <v>60650</v>
      </c>
      <c r="D48" s="120">
        <f>SUM(D41:D47)</f>
        <v>1589</v>
      </c>
      <c r="E48" s="120">
        <f>SUM(E41:E47)</f>
        <v>336</v>
      </c>
      <c r="F48" s="120">
        <f>SUM(F41:F47)</f>
        <v>62575</v>
      </c>
      <c r="G48" s="600"/>
      <c r="H48" s="600"/>
      <c r="J48" s="126" t="s">
        <v>949</v>
      </c>
      <c r="K48" s="120">
        <f>SUM(K41:K47)</f>
        <v>64630</v>
      </c>
      <c r="L48" s="120">
        <f>SUM(L41:L47)</f>
        <v>1633</v>
      </c>
      <c r="M48" s="120">
        <f>SUM(M41:M47)</f>
        <v>2337</v>
      </c>
      <c r="N48" s="120">
        <f>SUM(N41:N47)</f>
        <v>68600</v>
      </c>
    </row>
    <row r="49" spans="1:14" s="600" customFormat="1" x14ac:dyDescent="0.2">
      <c r="A49"/>
      <c r="B49" s="149"/>
      <c r="C49" s="150"/>
      <c r="D49" s="150"/>
      <c r="E49" s="150"/>
      <c r="F49" s="150"/>
      <c r="J49" s="149"/>
      <c r="K49" s="150"/>
      <c r="L49" s="150"/>
      <c r="M49" s="150"/>
      <c r="N49" s="150"/>
    </row>
    <row r="50" spans="1:14" outlineLevel="1" x14ac:dyDescent="0.2">
      <c r="B50" s="129" t="s">
        <v>822</v>
      </c>
      <c r="C50" s="118"/>
      <c r="D50" s="118"/>
      <c r="E50" s="118"/>
      <c r="F50" s="118"/>
      <c r="G50" s="600"/>
      <c r="H50" s="600"/>
      <c r="J50" s="129" t="s">
        <v>822</v>
      </c>
      <c r="K50" s="118"/>
      <c r="L50" s="118"/>
      <c r="M50" s="118"/>
      <c r="N50" s="118"/>
    </row>
    <row r="51" spans="1:14" outlineLevel="1" x14ac:dyDescent="0.2">
      <c r="B51" s="129" t="s">
        <v>858</v>
      </c>
      <c r="C51" s="118"/>
      <c r="D51" s="118"/>
      <c r="E51" s="118"/>
      <c r="F51" s="118"/>
      <c r="G51" s="600"/>
      <c r="H51" s="600"/>
      <c r="J51" s="129" t="s">
        <v>858</v>
      </c>
      <c r="K51" s="118"/>
      <c r="L51" s="118"/>
      <c r="M51" s="118"/>
      <c r="N51" s="118"/>
    </row>
    <row r="52" spans="1:14" outlineLevel="1" x14ac:dyDescent="0.2">
      <c r="B52" s="129" t="s">
        <v>189</v>
      </c>
      <c r="C52" s="118">
        <v>-389</v>
      </c>
      <c r="D52" s="118">
        <v>0</v>
      </c>
      <c r="E52" s="118">
        <v>0</v>
      </c>
      <c r="F52" s="118">
        <f>+SUM(C52:E52)</f>
        <v>-389</v>
      </c>
      <c r="G52" s="600"/>
      <c r="H52" s="600"/>
      <c r="J52" s="129" t="s">
        <v>189</v>
      </c>
      <c r="K52" s="118">
        <v>-1356</v>
      </c>
      <c r="L52" s="118">
        <v>0</v>
      </c>
      <c r="M52" s="118">
        <v>0</v>
      </c>
      <c r="N52" s="118">
        <f>+SUM(K52:M52)</f>
        <v>-1356</v>
      </c>
    </row>
    <row r="53" spans="1:14" outlineLevel="1" x14ac:dyDescent="0.2">
      <c r="B53" s="129" t="s">
        <v>823</v>
      </c>
      <c r="C53" s="118">
        <v>30</v>
      </c>
      <c r="D53" s="118">
        <v>-440</v>
      </c>
      <c r="E53" s="118">
        <v>0</v>
      </c>
      <c r="F53" s="118">
        <f>+SUM(C53:E53)</f>
        <v>-410</v>
      </c>
      <c r="G53" s="600"/>
      <c r="H53" s="600"/>
      <c r="J53" s="129" t="s">
        <v>823</v>
      </c>
      <c r="K53" s="118">
        <v>997</v>
      </c>
      <c r="L53" s="118">
        <v>-447</v>
      </c>
      <c r="M53" s="118">
        <v>0</v>
      </c>
      <c r="N53" s="118">
        <f>+SUM(K53:M53)</f>
        <v>550</v>
      </c>
    </row>
    <row r="54" spans="1:14" outlineLevel="1" x14ac:dyDescent="0.2">
      <c r="B54" s="129" t="s">
        <v>247</v>
      </c>
      <c r="C54" s="118">
        <v>-4785</v>
      </c>
      <c r="D54" s="118">
        <v>-254</v>
      </c>
      <c r="E54" s="118">
        <v>-73</v>
      </c>
      <c r="F54" s="118">
        <f>+SUM(C54:E54)</f>
        <v>-5112</v>
      </c>
      <c r="G54" s="600"/>
      <c r="H54" s="600"/>
      <c r="J54" s="129" t="s">
        <v>247</v>
      </c>
      <c r="K54" s="118">
        <v>-7042</v>
      </c>
      <c r="L54" s="118">
        <v>-266</v>
      </c>
      <c r="M54" s="118">
        <v>-841</v>
      </c>
      <c r="N54" s="118">
        <f>+SUM(K54:M54)</f>
        <v>-8149</v>
      </c>
    </row>
    <row r="55" spans="1:14" x14ac:dyDescent="0.2">
      <c r="B55" s="126" t="s">
        <v>1020</v>
      </c>
      <c r="C55" s="120">
        <f>SUM(C48:C54)</f>
        <v>55506</v>
      </c>
      <c r="D55" s="120">
        <f>SUM(D48:D54)</f>
        <v>895</v>
      </c>
      <c r="E55" s="120">
        <f>SUM(E48:E54)</f>
        <v>263</v>
      </c>
      <c r="F55" s="120">
        <f>SUM(F48:F54)</f>
        <v>56664</v>
      </c>
      <c r="G55" s="600"/>
      <c r="H55" s="600"/>
      <c r="J55" s="126" t="s">
        <v>1020</v>
      </c>
      <c r="K55" s="120">
        <f>SUM(K48:K54)</f>
        <v>57229</v>
      </c>
      <c r="L55" s="120">
        <f>SUM(L48:L54)</f>
        <v>920</v>
      </c>
      <c r="M55" s="120">
        <f>SUM(M48:M54)</f>
        <v>1496</v>
      </c>
      <c r="N55" s="120">
        <f>SUM(N48:N54)</f>
        <v>59645</v>
      </c>
    </row>
    <row r="57" spans="1:14" outlineLevel="1" x14ac:dyDescent="0.2">
      <c r="B57" s="129" t="s">
        <v>822</v>
      </c>
      <c r="C57" s="118"/>
      <c r="D57" s="118"/>
      <c r="E57" s="118"/>
      <c r="F57" s="118"/>
      <c r="G57" s="600"/>
      <c r="H57" s="600"/>
      <c r="J57" s="129" t="s">
        <v>822</v>
      </c>
      <c r="K57" s="118"/>
      <c r="L57" s="118"/>
      <c r="M57" s="118"/>
      <c r="N57" s="118"/>
    </row>
    <row r="58" spans="1:14" outlineLevel="1" x14ac:dyDescent="0.2">
      <c r="B58" s="129" t="s">
        <v>858</v>
      </c>
      <c r="C58" s="118"/>
      <c r="D58" s="118"/>
      <c r="E58" s="118"/>
      <c r="F58" s="118"/>
      <c r="G58" s="600"/>
      <c r="H58" s="600"/>
      <c r="J58" s="129" t="s">
        <v>858</v>
      </c>
      <c r="K58" s="118"/>
      <c r="L58" s="118"/>
      <c r="M58" s="118"/>
      <c r="N58" s="118"/>
    </row>
    <row r="59" spans="1:14" outlineLevel="1" x14ac:dyDescent="0.2">
      <c r="B59" s="129" t="s">
        <v>189</v>
      </c>
      <c r="C59" s="118">
        <v>3876</v>
      </c>
      <c r="D59" s="118">
        <v>0</v>
      </c>
      <c r="E59" s="118">
        <v>0</v>
      </c>
      <c r="F59" s="118">
        <v>3876</v>
      </c>
      <c r="G59" s="600"/>
      <c r="H59" s="600"/>
      <c r="J59" s="129" t="s">
        <v>189</v>
      </c>
      <c r="K59" s="118">
        <v>314</v>
      </c>
      <c r="L59" s="118">
        <v>0</v>
      </c>
      <c r="M59" s="118">
        <v>0</v>
      </c>
      <c r="N59" s="118">
        <f>+SUM(K59:M59)</f>
        <v>314</v>
      </c>
    </row>
    <row r="60" spans="1:14" outlineLevel="1" x14ac:dyDescent="0.2">
      <c r="B60" s="129" t="s">
        <v>823</v>
      </c>
      <c r="C60" s="118">
        <v>0</v>
      </c>
      <c r="D60" s="118">
        <v>-7</v>
      </c>
      <c r="E60" s="118">
        <v>0</v>
      </c>
      <c r="F60" s="118">
        <v>-7</v>
      </c>
      <c r="G60" s="600"/>
      <c r="H60" s="600"/>
      <c r="J60" s="129" t="s">
        <v>823</v>
      </c>
      <c r="K60" s="118">
        <v>-23</v>
      </c>
      <c r="L60" s="118">
        <v>-7</v>
      </c>
      <c r="M60" s="118">
        <v>-464</v>
      </c>
      <c r="N60" s="118">
        <f>+SUM(K60:M60)</f>
        <v>-494</v>
      </c>
    </row>
    <row r="61" spans="1:14" outlineLevel="1" x14ac:dyDescent="0.2">
      <c r="B61" s="129" t="s">
        <v>247</v>
      </c>
      <c r="C61" s="118">
        <v>-5355</v>
      </c>
      <c r="D61" s="118">
        <v>-247</v>
      </c>
      <c r="E61" s="118">
        <v>-73</v>
      </c>
      <c r="F61" s="118">
        <v>-5675</v>
      </c>
      <c r="G61" s="600"/>
      <c r="H61" s="600"/>
      <c r="J61" s="129" t="s">
        <v>247</v>
      </c>
      <c r="K61" s="118">
        <v>-6893</v>
      </c>
      <c r="L61" s="118">
        <v>-259</v>
      </c>
      <c r="M61" s="118">
        <v>-810</v>
      </c>
      <c r="N61" s="118">
        <f>+SUM(K61:M61)</f>
        <v>-7962</v>
      </c>
    </row>
    <row r="62" spans="1:14" x14ac:dyDescent="0.2">
      <c r="B62" s="126" t="s">
        <v>1045</v>
      </c>
      <c r="C62" s="120">
        <f>SUM(C55:C61)</f>
        <v>54027</v>
      </c>
      <c r="D62" s="120">
        <f>SUM(D55:D61)</f>
        <v>641</v>
      </c>
      <c r="E62" s="120">
        <f>SUM(E55:E61)</f>
        <v>190</v>
      </c>
      <c r="F62" s="120">
        <f>SUM(F55:F61)</f>
        <v>54858</v>
      </c>
      <c r="G62" s="600"/>
      <c r="H62" s="600"/>
      <c r="J62" s="126" t="s">
        <v>1045</v>
      </c>
      <c r="K62" s="120">
        <f>SUM(K55:K61)</f>
        <v>50627</v>
      </c>
      <c r="L62" s="120">
        <f>SUM(L55:L61)</f>
        <v>654</v>
      </c>
      <c r="M62" s="120">
        <f>SUM(M55:M61)</f>
        <v>222</v>
      </c>
      <c r="N62" s="120">
        <f>SUM(N55:N61)</f>
        <v>51503</v>
      </c>
    </row>
    <row r="64" spans="1:14" outlineLevel="1" x14ac:dyDescent="0.2">
      <c r="B64" s="129" t="s">
        <v>822</v>
      </c>
      <c r="C64" s="118"/>
      <c r="D64" s="118"/>
      <c r="E64" s="118"/>
      <c r="F64" s="118"/>
      <c r="G64" s="600"/>
      <c r="H64" s="600"/>
      <c r="J64" s="129" t="s">
        <v>822</v>
      </c>
      <c r="K64" s="118"/>
      <c r="L64" s="118"/>
      <c r="M64" s="118"/>
      <c r="N64" s="118"/>
    </row>
    <row r="65" spans="2:14" outlineLevel="1" x14ac:dyDescent="0.2">
      <c r="B65" s="129" t="s">
        <v>858</v>
      </c>
      <c r="C65" s="118"/>
      <c r="D65" s="118"/>
      <c r="E65" s="118"/>
      <c r="F65" s="118"/>
      <c r="G65" s="600"/>
      <c r="H65" s="600"/>
      <c r="J65" s="129" t="s">
        <v>858</v>
      </c>
      <c r="K65" s="118"/>
      <c r="L65" s="118"/>
      <c r="M65" s="118"/>
      <c r="N65" s="118"/>
    </row>
    <row r="66" spans="2:14" outlineLevel="1" x14ac:dyDescent="0.2">
      <c r="B66" s="129" t="s">
        <v>189</v>
      </c>
      <c r="C66" s="118">
        <v>21348</v>
      </c>
      <c r="D66" s="118">
        <v>72</v>
      </c>
      <c r="E66" s="118">
        <v>0</v>
      </c>
      <c r="F66" s="118">
        <f>+SUM(C66:E66)</f>
        <v>21420</v>
      </c>
      <c r="G66" s="600"/>
      <c r="H66" s="600"/>
      <c r="J66" s="129" t="s">
        <v>189</v>
      </c>
      <c r="K66" s="118">
        <v>35337</v>
      </c>
      <c r="L66" s="118">
        <v>74</v>
      </c>
      <c r="M66" s="118">
        <v>2216</v>
      </c>
      <c r="N66" s="118">
        <f>+SUM(K66:M66)</f>
        <v>37627</v>
      </c>
    </row>
    <row r="67" spans="2:14" outlineLevel="1" x14ac:dyDescent="0.2">
      <c r="B67" s="129" t="s">
        <v>823</v>
      </c>
      <c r="C67" s="118">
        <v>0</v>
      </c>
      <c r="D67" s="118">
        <v>0</v>
      </c>
      <c r="E67" s="118">
        <v>0</v>
      </c>
      <c r="F67" s="118">
        <f>+SUM(C67:E67)</f>
        <v>0</v>
      </c>
      <c r="G67" s="600"/>
      <c r="H67" s="600"/>
      <c r="J67" s="129" t="s">
        <v>823</v>
      </c>
      <c r="K67" s="118">
        <v>-15</v>
      </c>
      <c r="L67" s="118">
        <v>0</v>
      </c>
      <c r="M67" s="118">
        <v>-5</v>
      </c>
      <c r="N67" s="118">
        <f>+SUM(K67:M67)</f>
        <v>-20</v>
      </c>
    </row>
    <row r="68" spans="2:14" outlineLevel="1" x14ac:dyDescent="0.2">
      <c r="B68" s="129" t="s">
        <v>247</v>
      </c>
      <c r="C68" s="118">
        <v>-6447</v>
      </c>
      <c r="D68" s="118">
        <v>-252</v>
      </c>
      <c r="E68" s="118">
        <v>-73</v>
      </c>
      <c r="F68" s="118">
        <f>+SUM(C68:E68)</f>
        <v>-6772</v>
      </c>
      <c r="G68" s="600"/>
      <c r="H68" s="600"/>
      <c r="J68" s="129" t="s">
        <v>247</v>
      </c>
      <c r="K68" s="118">
        <v>-7412</v>
      </c>
      <c r="L68" s="118">
        <v>-264</v>
      </c>
      <c r="M68" s="118">
        <v>-646</v>
      </c>
      <c r="N68" s="118">
        <f>+SUM(K68:M68)</f>
        <v>-8322</v>
      </c>
    </row>
    <row r="69" spans="2:14" x14ac:dyDescent="0.2">
      <c r="B69" s="126" t="s">
        <v>1068</v>
      </c>
      <c r="C69" s="120">
        <f>SUM(C62:C68)</f>
        <v>68928</v>
      </c>
      <c r="D69" s="120">
        <f>SUM(D62:D68)</f>
        <v>461</v>
      </c>
      <c r="E69" s="120">
        <f>SUM(E62:E68)</f>
        <v>117</v>
      </c>
      <c r="F69" s="120">
        <f>SUM(F62:F68)</f>
        <v>69506</v>
      </c>
      <c r="G69" s="600"/>
      <c r="H69" s="600"/>
      <c r="J69" s="126" t="s">
        <v>1068</v>
      </c>
      <c r="K69" s="120">
        <f>SUM(K62:K68)</f>
        <v>78537</v>
      </c>
      <c r="L69" s="120">
        <f>SUM(L62:L68)</f>
        <v>464</v>
      </c>
      <c r="M69" s="120">
        <f>SUM(M62:M68)</f>
        <v>1787</v>
      </c>
      <c r="N69" s="120">
        <f>SUM(N62:N68)</f>
        <v>80788</v>
      </c>
    </row>
    <row r="70" spans="2:14" x14ac:dyDescent="0.2">
      <c r="B70" s="328"/>
      <c r="C70" s="328"/>
      <c r="D70" s="328"/>
      <c r="E70" s="328"/>
      <c r="F70" s="328"/>
      <c r="J70" s="976"/>
      <c r="K70" s="976"/>
      <c r="L70" s="976"/>
      <c r="M70" s="976"/>
      <c r="N70" s="976"/>
    </row>
    <row r="71" spans="2:14" outlineLevel="1" x14ac:dyDescent="0.2">
      <c r="B71" s="129" t="s">
        <v>822</v>
      </c>
      <c r="C71" s="118"/>
      <c r="D71" s="118"/>
      <c r="E71" s="118"/>
      <c r="F71" s="118"/>
      <c r="G71" s="600"/>
      <c r="H71" s="600"/>
      <c r="J71" s="129" t="s">
        <v>822</v>
      </c>
      <c r="K71" s="118"/>
      <c r="L71" s="118"/>
      <c r="M71" s="118"/>
      <c r="N71" s="118"/>
    </row>
    <row r="72" spans="2:14" outlineLevel="1" x14ac:dyDescent="0.2">
      <c r="B72" s="129" t="s">
        <v>858</v>
      </c>
      <c r="C72" s="118"/>
      <c r="D72" s="118"/>
      <c r="E72" s="118"/>
      <c r="F72" s="118"/>
      <c r="G72" s="600"/>
      <c r="H72" s="600"/>
      <c r="J72" s="129" t="s">
        <v>858</v>
      </c>
      <c r="K72" s="118"/>
      <c r="L72" s="118"/>
      <c r="M72" s="118"/>
      <c r="N72" s="118"/>
    </row>
    <row r="73" spans="2:14" outlineLevel="1" x14ac:dyDescent="0.2">
      <c r="B73" s="129" t="s">
        <v>189</v>
      </c>
      <c r="C73" s="118">
        <v>1558</v>
      </c>
      <c r="D73" s="118">
        <v>50</v>
      </c>
      <c r="E73" s="118">
        <v>0</v>
      </c>
      <c r="F73" s="118">
        <v>1608</v>
      </c>
      <c r="G73" s="600"/>
      <c r="H73" s="600"/>
      <c r="J73" s="129" t="s">
        <v>189</v>
      </c>
      <c r="K73" s="118">
        <v>1671</v>
      </c>
      <c r="L73" s="118">
        <v>65</v>
      </c>
      <c r="M73" s="118">
        <v>0</v>
      </c>
      <c r="N73" s="118">
        <f>+SUM(K73:M73)</f>
        <v>1736</v>
      </c>
    </row>
    <row r="74" spans="2:14" outlineLevel="1" x14ac:dyDescent="0.2">
      <c r="B74" s="129" t="s">
        <v>823</v>
      </c>
      <c r="C74" s="118">
        <v>-466</v>
      </c>
      <c r="D74" s="118">
        <v>0</v>
      </c>
      <c r="E74" s="118">
        <v>0</v>
      </c>
      <c r="F74" s="118">
        <v>-466</v>
      </c>
      <c r="G74" s="600"/>
      <c r="H74" s="600"/>
      <c r="J74" s="129" t="s">
        <v>823</v>
      </c>
      <c r="K74" s="118">
        <v>-466</v>
      </c>
      <c r="L74" s="118">
        <v>0</v>
      </c>
      <c r="M74" s="118">
        <v>-1</v>
      </c>
      <c r="N74" s="118">
        <f>+SUM(K74:M74)</f>
        <v>-467</v>
      </c>
    </row>
    <row r="75" spans="2:14" outlineLevel="1" x14ac:dyDescent="0.2">
      <c r="B75" s="129" t="s">
        <v>247</v>
      </c>
      <c r="C75" s="118">
        <v>-6713</v>
      </c>
      <c r="D75" s="118">
        <v>-225</v>
      </c>
      <c r="E75" s="118">
        <v>-73</v>
      </c>
      <c r="F75" s="118">
        <v>-7011</v>
      </c>
      <c r="G75" s="600"/>
      <c r="H75" s="600"/>
      <c r="J75" s="129" t="s">
        <v>247</v>
      </c>
      <c r="K75" s="118">
        <v>-7125</v>
      </c>
      <c r="L75" s="118">
        <v>-238</v>
      </c>
      <c r="M75" s="118">
        <v>-631</v>
      </c>
      <c r="N75" s="118">
        <f>+SUM(K75:M75)</f>
        <v>-7994</v>
      </c>
    </row>
    <row r="76" spans="2:14" x14ac:dyDescent="0.2">
      <c r="B76" s="126" t="s">
        <v>1072</v>
      </c>
      <c r="C76" s="120">
        <f>SUM(C69:C75)</f>
        <v>63307</v>
      </c>
      <c r="D76" s="120">
        <f>SUM(D69:D75)</f>
        <v>286</v>
      </c>
      <c r="E76" s="120">
        <f>SUM(E69:E75)</f>
        <v>44</v>
      </c>
      <c r="F76" s="120">
        <f>SUM(F69:F75)</f>
        <v>63637</v>
      </c>
      <c r="G76" s="600"/>
      <c r="H76" s="600"/>
      <c r="J76" s="126" t="s">
        <v>1072</v>
      </c>
      <c r="K76" s="120">
        <f>SUM(K69:K75)</f>
        <v>72617</v>
      </c>
      <c r="L76" s="120">
        <f>SUM(L69:L75)</f>
        <v>291</v>
      </c>
      <c r="M76" s="120">
        <f>SUM(M69:M75)</f>
        <v>1155</v>
      </c>
      <c r="N76" s="120">
        <f>SUM(N69:N75)</f>
        <v>74063</v>
      </c>
    </row>
    <row r="77" spans="2:14" x14ac:dyDescent="0.2">
      <c r="J77" s="976"/>
      <c r="K77" s="976"/>
      <c r="L77" s="976"/>
      <c r="M77" s="976"/>
      <c r="N77" s="976"/>
    </row>
    <row r="78" spans="2:14" outlineLevel="1" x14ac:dyDescent="0.2">
      <c r="B78" s="129" t="s">
        <v>822</v>
      </c>
      <c r="C78" s="118"/>
      <c r="D78" s="118"/>
      <c r="E78" s="118"/>
      <c r="F78" s="118"/>
      <c r="G78" s="600"/>
      <c r="H78" s="600"/>
      <c r="J78" s="129" t="s">
        <v>822</v>
      </c>
      <c r="K78" s="118"/>
      <c r="L78" s="118"/>
      <c r="M78" s="118"/>
      <c r="N78" s="118"/>
    </row>
    <row r="79" spans="2:14" outlineLevel="1" x14ac:dyDescent="0.2">
      <c r="B79" s="129" t="s">
        <v>858</v>
      </c>
      <c r="C79" s="118"/>
      <c r="D79" s="118"/>
      <c r="E79" s="118"/>
      <c r="F79" s="118"/>
      <c r="G79" s="600"/>
      <c r="H79" s="600"/>
      <c r="J79" s="129" t="s">
        <v>858</v>
      </c>
      <c r="K79" s="118"/>
      <c r="L79" s="118"/>
      <c r="M79" s="118"/>
      <c r="N79" s="118"/>
    </row>
    <row r="80" spans="2:14" outlineLevel="1" x14ac:dyDescent="0.2">
      <c r="B80" s="129" t="s">
        <v>189</v>
      </c>
      <c r="C80" s="118">
        <v>1304</v>
      </c>
      <c r="D80" s="118">
        <v>74</v>
      </c>
      <c r="E80" s="118">
        <v>4</v>
      </c>
      <c r="F80" s="118">
        <v>1382</v>
      </c>
      <c r="G80" s="600"/>
      <c r="H80" s="600"/>
      <c r="J80" s="129" t="s">
        <v>189</v>
      </c>
      <c r="K80" s="118">
        <v>1125</v>
      </c>
      <c r="L80" s="118">
        <v>82</v>
      </c>
      <c r="M80" s="118">
        <v>5</v>
      </c>
      <c r="N80" s="118">
        <v>1212</v>
      </c>
    </row>
    <row r="81" spans="2:14" outlineLevel="1" x14ac:dyDescent="0.2">
      <c r="B81" s="129" t="s">
        <v>823</v>
      </c>
      <c r="C81" s="118">
        <v>0</v>
      </c>
      <c r="D81" s="118">
        <v>0</v>
      </c>
      <c r="E81" s="118">
        <v>0</v>
      </c>
      <c r="F81" s="118">
        <v>0</v>
      </c>
      <c r="G81" s="600"/>
      <c r="H81" s="600"/>
      <c r="J81" s="129" t="s">
        <v>823</v>
      </c>
      <c r="K81" s="118">
        <v>0</v>
      </c>
      <c r="L81" s="118">
        <v>0</v>
      </c>
      <c r="M81" s="118">
        <v>0</v>
      </c>
      <c r="N81" s="118">
        <v>0</v>
      </c>
    </row>
    <row r="82" spans="2:14" outlineLevel="1" x14ac:dyDescent="0.2">
      <c r="B82" s="129" t="s">
        <v>247</v>
      </c>
      <c r="C82" s="118">
        <v>-6508</v>
      </c>
      <c r="D82" s="118">
        <v>-198</v>
      </c>
      <c r="E82" s="118">
        <v>-49</v>
      </c>
      <c r="F82" s="118">
        <v>-6755</v>
      </c>
      <c r="G82" s="600"/>
      <c r="H82" s="600"/>
      <c r="J82" s="129" t="s">
        <v>247</v>
      </c>
      <c r="K82" s="118">
        <v>-6917</v>
      </c>
      <c r="L82" s="118">
        <v>-211</v>
      </c>
      <c r="M82" s="118">
        <v>-606</v>
      </c>
      <c r="N82" s="118">
        <v>-7734</v>
      </c>
    </row>
    <row r="83" spans="2:14" x14ac:dyDescent="0.2">
      <c r="B83" s="126" t="s">
        <v>1099</v>
      </c>
      <c r="C83" s="120">
        <f>SUM(C76:C82)</f>
        <v>58103</v>
      </c>
      <c r="D83" s="120">
        <f>SUM(D76:D82)</f>
        <v>162</v>
      </c>
      <c r="E83" s="120">
        <f>SUM(E76:E82)</f>
        <v>-1</v>
      </c>
      <c r="F83" s="120">
        <f>SUM(F76:F82)</f>
        <v>58264</v>
      </c>
      <c r="G83" s="600"/>
      <c r="H83" s="600"/>
      <c r="J83" s="126" t="s">
        <v>1099</v>
      </c>
      <c r="K83" s="120">
        <f>SUM(K76:K82)</f>
        <v>66825</v>
      </c>
      <c r="L83" s="120">
        <f>SUM(L76:L82)</f>
        <v>162</v>
      </c>
      <c r="M83" s="120">
        <f>SUM(M76:M82)</f>
        <v>554</v>
      </c>
      <c r="N83" s="120">
        <f>SUM(N76:N82)</f>
        <v>67541</v>
      </c>
    </row>
    <row r="85" spans="2:14" x14ac:dyDescent="0.2">
      <c r="B85" s="129" t="s">
        <v>822</v>
      </c>
      <c r="C85" s="118"/>
      <c r="D85" s="118"/>
      <c r="E85" s="118"/>
      <c r="F85" s="118"/>
      <c r="G85" s="600"/>
      <c r="H85" s="600"/>
      <c r="J85" s="129" t="s">
        <v>822</v>
      </c>
      <c r="K85" s="118"/>
      <c r="L85" s="118"/>
      <c r="M85" s="118"/>
      <c r="N85" s="118"/>
    </row>
    <row r="86" spans="2:14" x14ac:dyDescent="0.2">
      <c r="B86" s="129" t="s">
        <v>858</v>
      </c>
      <c r="C86" s="118"/>
      <c r="D86" s="118"/>
      <c r="E86" s="118"/>
      <c r="F86" s="118"/>
      <c r="G86" s="600"/>
      <c r="H86" s="600"/>
      <c r="J86" s="129" t="s">
        <v>858</v>
      </c>
      <c r="K86" s="118"/>
      <c r="L86" s="118"/>
      <c r="M86" s="118"/>
      <c r="N86" s="118"/>
    </row>
    <row r="87" spans="2:14" x14ac:dyDescent="0.2">
      <c r="B87" s="129" t="s">
        <v>189</v>
      </c>
      <c r="C87" s="118">
        <v>653</v>
      </c>
      <c r="D87" s="118">
        <v>1191</v>
      </c>
      <c r="E87" s="118">
        <v>0</v>
      </c>
      <c r="F87" s="118">
        <v>1845</v>
      </c>
      <c r="G87" s="600"/>
      <c r="H87" s="600"/>
      <c r="J87" s="129" t="s">
        <v>189</v>
      </c>
      <c r="K87" s="118">
        <v>642</v>
      </c>
      <c r="L87" s="118">
        <v>1298</v>
      </c>
      <c r="M87" s="118">
        <v>0</v>
      </c>
      <c r="N87" s="118">
        <v>1940</v>
      </c>
    </row>
    <row r="88" spans="2:14" x14ac:dyDescent="0.2">
      <c r="B88" s="129" t="s">
        <v>823</v>
      </c>
      <c r="C88" s="118">
        <v>0</v>
      </c>
      <c r="D88" s="118">
        <v>0</v>
      </c>
      <c r="E88" s="118">
        <v>0</v>
      </c>
      <c r="F88" s="118">
        <v>0</v>
      </c>
      <c r="G88" s="600"/>
      <c r="H88" s="600"/>
      <c r="J88" s="129" t="s">
        <v>823</v>
      </c>
      <c r="K88" s="118">
        <v>-3</v>
      </c>
      <c r="L88" s="118">
        <v>0</v>
      </c>
      <c r="M88" s="118">
        <v>0</v>
      </c>
      <c r="N88" s="118">
        <v>-3</v>
      </c>
    </row>
    <row r="89" spans="2:14" x14ac:dyDescent="0.2">
      <c r="B89" s="129" t="s">
        <v>247</v>
      </c>
      <c r="C89" s="118">
        <v>-6387</v>
      </c>
      <c r="D89" s="118">
        <v>-200</v>
      </c>
      <c r="E89" s="118">
        <v>0</v>
      </c>
      <c r="F89" s="118">
        <v>-6587</v>
      </c>
      <c r="G89" s="600"/>
      <c r="H89" s="600"/>
      <c r="J89" s="129" t="s">
        <v>247</v>
      </c>
      <c r="K89" s="118">
        <v>-7265</v>
      </c>
      <c r="L89" s="118">
        <v>-204</v>
      </c>
      <c r="M89" s="118">
        <v>-184</v>
      </c>
      <c r="N89" s="118">
        <v>-7653</v>
      </c>
    </row>
    <row r="90" spans="2:14" x14ac:dyDescent="0.2">
      <c r="B90" s="126" t="s">
        <v>1106</v>
      </c>
      <c r="C90" s="120">
        <f>SUM(C83:C89)</f>
        <v>52369</v>
      </c>
      <c r="D90" s="120">
        <f>SUM(D83:D89)</f>
        <v>1153</v>
      </c>
      <c r="E90" s="120">
        <f>SUM(E83:E89)</f>
        <v>-1</v>
      </c>
      <c r="F90" s="120">
        <f>SUM(F83:F89)</f>
        <v>53522</v>
      </c>
      <c r="G90" s="600"/>
      <c r="H90" s="600"/>
      <c r="J90" s="126" t="s">
        <v>1106</v>
      </c>
      <c r="K90" s="120">
        <f>SUM(K83:K89)</f>
        <v>60199</v>
      </c>
      <c r="L90" s="120">
        <f>SUM(L83:L89)</f>
        <v>1256</v>
      </c>
      <c r="M90" s="120">
        <f>SUM(M83:M89)</f>
        <v>370</v>
      </c>
      <c r="N90" s="120">
        <f>SUM(N83:N89)</f>
        <v>61825</v>
      </c>
    </row>
    <row r="92" spans="2:14" x14ac:dyDescent="0.2">
      <c r="B92" s="129" t="s">
        <v>822</v>
      </c>
      <c r="C92" s="118"/>
      <c r="D92" s="118"/>
      <c r="E92" s="118"/>
      <c r="F92" s="118"/>
      <c r="G92" s="600"/>
      <c r="H92" s="600"/>
      <c r="J92" s="129" t="s">
        <v>822</v>
      </c>
      <c r="K92" s="118"/>
      <c r="L92" s="118"/>
      <c r="M92" s="118"/>
      <c r="N92" s="118"/>
    </row>
    <row r="93" spans="2:14" x14ac:dyDescent="0.2">
      <c r="B93" s="129" t="s">
        <v>858</v>
      </c>
      <c r="C93" s="118"/>
      <c r="D93" s="118"/>
      <c r="E93" s="118"/>
      <c r="F93" s="118"/>
      <c r="G93" s="600"/>
      <c r="H93" s="600"/>
      <c r="J93" s="129" t="s">
        <v>858</v>
      </c>
      <c r="K93" s="118"/>
      <c r="L93" s="118"/>
      <c r="M93" s="118"/>
      <c r="N93" s="118"/>
    </row>
    <row r="94" spans="2:14" x14ac:dyDescent="0.2">
      <c r="B94" s="129" t="s">
        <v>189</v>
      </c>
      <c r="C94" s="118">
        <v>2819</v>
      </c>
      <c r="D94" s="118">
        <v>0</v>
      </c>
      <c r="E94" s="118">
        <v>0</v>
      </c>
      <c r="F94" s="118">
        <v>2819</v>
      </c>
      <c r="G94" s="600"/>
      <c r="H94" s="600"/>
      <c r="J94" s="129" t="s">
        <v>189</v>
      </c>
      <c r="K94" s="118">
        <v>2613</v>
      </c>
      <c r="L94" s="118">
        <v>0</v>
      </c>
      <c r="M94" s="118">
        <v>2635</v>
      </c>
      <c r="N94" s="118">
        <v>5248</v>
      </c>
    </row>
    <row r="95" spans="2:14" x14ac:dyDescent="0.2">
      <c r="B95" s="129" t="s">
        <v>823</v>
      </c>
      <c r="C95" s="118">
        <v>0</v>
      </c>
      <c r="D95" s="118">
        <v>0</v>
      </c>
      <c r="E95" s="118">
        <v>0</v>
      </c>
      <c r="F95" s="118">
        <v>0</v>
      </c>
      <c r="G95" s="600"/>
      <c r="H95" s="600"/>
      <c r="J95" s="129" t="s">
        <v>823</v>
      </c>
      <c r="K95" s="118">
        <v>0</v>
      </c>
      <c r="L95" s="118">
        <v>0</v>
      </c>
      <c r="M95" s="118">
        <v>0</v>
      </c>
      <c r="N95" s="118">
        <v>0</v>
      </c>
    </row>
    <row r="96" spans="2:14" x14ac:dyDescent="0.2">
      <c r="B96" s="129" t="s">
        <v>247</v>
      </c>
      <c r="C96" s="118">
        <v>-7382</v>
      </c>
      <c r="D96" s="118">
        <v>-198</v>
      </c>
      <c r="E96" s="118">
        <v>0</v>
      </c>
      <c r="F96" s="118">
        <v>-7580</v>
      </c>
      <c r="G96" s="600"/>
      <c r="H96" s="600"/>
      <c r="J96" s="129" t="s">
        <v>247</v>
      </c>
      <c r="K96" s="118">
        <v>-7878</v>
      </c>
      <c r="L96" s="118">
        <v>-208</v>
      </c>
      <c r="M96" s="118">
        <v>-595</v>
      </c>
      <c r="N96" s="118">
        <v>-8681</v>
      </c>
    </row>
    <row r="97" spans="2:14" x14ac:dyDescent="0.2">
      <c r="B97" s="126" t="s">
        <v>1129</v>
      </c>
      <c r="C97" s="120">
        <f>SUM(C90:C96)</f>
        <v>47806</v>
      </c>
      <c r="D97" s="120">
        <f>SUM(D90:D96)</f>
        <v>955</v>
      </c>
      <c r="E97" s="120">
        <f>SUM(E90:E96)</f>
        <v>-1</v>
      </c>
      <c r="F97" s="120">
        <f>SUM(F90:F96)</f>
        <v>48761</v>
      </c>
      <c r="G97" s="600"/>
      <c r="H97" s="600"/>
      <c r="J97" s="126" t="s">
        <v>1129</v>
      </c>
      <c r="K97" s="120">
        <f>SUM(K90:K96)</f>
        <v>54934</v>
      </c>
      <c r="L97" s="120">
        <f>SUM(L90:L96)</f>
        <v>1048</v>
      </c>
      <c r="M97" s="120">
        <f>SUM(M90:M96)</f>
        <v>2410</v>
      </c>
      <c r="N97" s="120">
        <f>SUM(N90:N96)</f>
        <v>58392</v>
      </c>
    </row>
    <row r="99" spans="2:14" x14ac:dyDescent="0.2">
      <c r="B99" s="129" t="s">
        <v>822</v>
      </c>
      <c r="C99" s="118"/>
      <c r="D99" s="118"/>
      <c r="E99" s="118"/>
      <c r="F99" s="118"/>
      <c r="G99" s="600"/>
      <c r="H99" s="600"/>
      <c r="J99" s="129" t="s">
        <v>822</v>
      </c>
      <c r="K99" s="118"/>
      <c r="L99" s="118"/>
      <c r="M99" s="118"/>
      <c r="N99" s="118"/>
    </row>
    <row r="100" spans="2:14" x14ac:dyDescent="0.2">
      <c r="B100" s="129" t="s">
        <v>858</v>
      </c>
      <c r="C100" s="118"/>
      <c r="D100" s="118"/>
      <c r="E100" s="118"/>
      <c r="F100" s="118"/>
      <c r="G100" s="600"/>
      <c r="H100" s="600"/>
      <c r="J100" s="129" t="s">
        <v>858</v>
      </c>
      <c r="K100" s="118"/>
      <c r="L100" s="118"/>
      <c r="M100" s="118"/>
      <c r="N100" s="118"/>
    </row>
    <row r="101" spans="2:14" x14ac:dyDescent="0.2">
      <c r="B101" s="129" t="s">
        <v>189</v>
      </c>
      <c r="C101" s="118">
        <v>4557</v>
      </c>
      <c r="D101" s="118">
        <v>0</v>
      </c>
      <c r="E101" s="118">
        <v>0</v>
      </c>
      <c r="F101" s="118">
        <f>+SUM(C101:E101)</f>
        <v>4557</v>
      </c>
      <c r="G101" s="600"/>
      <c r="H101" s="600"/>
      <c r="J101" s="129" t="s">
        <v>189</v>
      </c>
      <c r="K101" s="118">
        <v>4675</v>
      </c>
      <c r="L101" s="118">
        <v>10</v>
      </c>
      <c r="M101" s="118">
        <v>0</v>
      </c>
      <c r="N101" s="118">
        <f>+SUM(K101:M101)</f>
        <v>4685</v>
      </c>
    </row>
    <row r="102" spans="2:14" x14ac:dyDescent="0.2">
      <c r="B102" s="129" t="s">
        <v>823</v>
      </c>
      <c r="C102" s="118">
        <v>0</v>
      </c>
      <c r="D102" s="118">
        <v>0</v>
      </c>
      <c r="E102" s="118">
        <v>0</v>
      </c>
      <c r="F102" s="118">
        <f>+SUM(C102:E102)</f>
        <v>0</v>
      </c>
      <c r="G102" s="600"/>
      <c r="H102" s="600"/>
      <c r="J102" s="129" t="s">
        <v>823</v>
      </c>
      <c r="K102" s="118">
        <v>0</v>
      </c>
      <c r="L102" s="118">
        <v>0</v>
      </c>
      <c r="M102" s="118">
        <v>0</v>
      </c>
      <c r="N102" s="118">
        <f>+SUM(K102:M102)</f>
        <v>0</v>
      </c>
    </row>
    <row r="103" spans="2:14" x14ac:dyDescent="0.2">
      <c r="B103" s="129" t="s">
        <v>247</v>
      </c>
      <c r="C103" s="118">
        <v>-7423</v>
      </c>
      <c r="D103" s="118">
        <v>-155</v>
      </c>
      <c r="E103" s="118">
        <v>0</v>
      </c>
      <c r="F103" s="118">
        <f>+SUM(C103:E103)</f>
        <v>-7578</v>
      </c>
      <c r="G103" s="600"/>
      <c r="H103" s="600"/>
      <c r="J103" s="129" t="s">
        <v>247</v>
      </c>
      <c r="K103" s="118">
        <v>-8362</v>
      </c>
      <c r="L103" s="118">
        <v>-168</v>
      </c>
      <c r="M103" s="118">
        <v>-226</v>
      </c>
      <c r="N103" s="118">
        <f>+SUM(K103:M103)</f>
        <v>-8756</v>
      </c>
    </row>
    <row r="104" spans="2:14" x14ac:dyDescent="0.2">
      <c r="B104" s="126" t="s">
        <v>1135</v>
      </c>
      <c r="C104" s="120">
        <f>SUM(C97:C103)</f>
        <v>44940</v>
      </c>
      <c r="D104" s="120">
        <f>SUM(D97:D103)</f>
        <v>800</v>
      </c>
      <c r="E104" s="120">
        <f>SUM(E97:E103)</f>
        <v>-1</v>
      </c>
      <c r="F104" s="120">
        <f>SUM(F97:F103)</f>
        <v>45740</v>
      </c>
      <c r="G104" s="600"/>
      <c r="H104" s="600"/>
      <c r="J104" s="126" t="s">
        <v>1135</v>
      </c>
      <c r="K104" s="120">
        <f>SUM(K97:K103)</f>
        <v>51247</v>
      </c>
      <c r="L104" s="120">
        <f>SUM(L97:L103)</f>
        <v>890</v>
      </c>
      <c r="M104" s="120">
        <f>SUM(M97:M103)</f>
        <v>2184</v>
      </c>
      <c r="N104" s="120">
        <f>SUM(N97:N103)</f>
        <v>54321</v>
      </c>
    </row>
    <row r="106" spans="2:14" x14ac:dyDescent="0.2">
      <c r="B106" s="129" t="s">
        <v>822</v>
      </c>
      <c r="C106" s="118"/>
      <c r="D106" s="118"/>
      <c r="E106" s="118"/>
      <c r="F106" s="118"/>
      <c r="G106" s="600"/>
      <c r="H106" s="600"/>
      <c r="J106" s="129" t="s">
        <v>822</v>
      </c>
      <c r="K106" s="118"/>
      <c r="L106" s="118"/>
      <c r="M106" s="118"/>
      <c r="N106" s="118"/>
    </row>
    <row r="107" spans="2:14" x14ac:dyDescent="0.2">
      <c r="B107" s="129" t="s">
        <v>858</v>
      </c>
      <c r="C107" s="118"/>
      <c r="D107" s="118"/>
      <c r="E107" s="118"/>
      <c r="F107" s="118"/>
      <c r="G107" s="600"/>
      <c r="H107" s="600"/>
      <c r="J107" s="129" t="s">
        <v>858</v>
      </c>
      <c r="K107" s="118"/>
      <c r="L107" s="118"/>
      <c r="M107" s="118"/>
      <c r="N107" s="118"/>
    </row>
    <row r="108" spans="2:14" x14ac:dyDescent="0.2">
      <c r="B108" s="129" t="s">
        <v>189</v>
      </c>
      <c r="C108" s="118">
        <v>15510</v>
      </c>
      <c r="D108" s="118">
        <v>127</v>
      </c>
      <c r="E108" s="118">
        <v>0</v>
      </c>
      <c r="F108" s="118">
        <f>+SUM(C108:E108)</f>
        <v>15637</v>
      </c>
      <c r="G108" s="600"/>
      <c r="H108" s="600"/>
      <c r="J108" s="129" t="s">
        <v>189</v>
      </c>
      <c r="K108" s="118">
        <v>9669</v>
      </c>
      <c r="L108" s="118">
        <v>128</v>
      </c>
      <c r="M108" s="118">
        <v>-31</v>
      </c>
      <c r="N108" s="118">
        <f>+SUM(K108:M108)</f>
        <v>9766</v>
      </c>
    </row>
    <row r="109" spans="2:14" x14ac:dyDescent="0.2">
      <c r="B109" s="129" t="s">
        <v>823</v>
      </c>
      <c r="C109" s="118">
        <v>0</v>
      </c>
      <c r="D109" s="118">
        <v>0</v>
      </c>
      <c r="E109" s="118">
        <v>0</v>
      </c>
      <c r="F109" s="118">
        <f>+SUM(C109:E109)</f>
        <v>0</v>
      </c>
      <c r="G109" s="600"/>
      <c r="H109" s="600"/>
      <c r="J109" s="129" t="s">
        <v>823</v>
      </c>
      <c r="K109" s="118">
        <v>0</v>
      </c>
      <c r="L109" s="118">
        <v>0</v>
      </c>
      <c r="M109" s="118">
        <v>0</v>
      </c>
      <c r="N109" s="118">
        <f>+SUM(K109:M109)</f>
        <v>0</v>
      </c>
    </row>
    <row r="110" spans="2:14" x14ac:dyDescent="0.2">
      <c r="B110" s="129" t="s">
        <v>247</v>
      </c>
      <c r="C110" s="118">
        <v>-6245</v>
      </c>
      <c r="D110" s="118">
        <v>-185</v>
      </c>
      <c r="E110" s="118">
        <v>0</v>
      </c>
      <c r="F110" s="118">
        <f>+SUM(C110:E110)</f>
        <v>-6430</v>
      </c>
      <c r="G110" s="600"/>
      <c r="H110" s="600"/>
      <c r="J110" s="129" t="s">
        <v>247</v>
      </c>
      <c r="K110" s="118">
        <v>-5997</v>
      </c>
      <c r="L110" s="118">
        <v>-217</v>
      </c>
      <c r="M110" s="118">
        <v>-1502</v>
      </c>
      <c r="N110" s="118">
        <f>+SUM(K110:M110)</f>
        <v>-7716</v>
      </c>
    </row>
    <row r="111" spans="2:14" x14ac:dyDescent="0.2">
      <c r="B111" s="126" t="s">
        <v>1151</v>
      </c>
      <c r="C111" s="120">
        <f>SUM(C104:C110)</f>
        <v>54205</v>
      </c>
      <c r="D111" s="120">
        <f>SUM(D104:D110)</f>
        <v>742</v>
      </c>
      <c r="E111" s="120">
        <f>SUM(E104:E110)</f>
        <v>-1</v>
      </c>
      <c r="F111" s="120">
        <f>SUM(F104:F110)</f>
        <v>54947</v>
      </c>
      <c r="G111" s="600"/>
      <c r="H111" s="600"/>
      <c r="J111" s="126" t="s">
        <v>1151</v>
      </c>
      <c r="K111" s="120">
        <f>SUM(K104:K110)</f>
        <v>54919</v>
      </c>
      <c r="L111" s="120">
        <f>SUM(L104:L110)</f>
        <v>801</v>
      </c>
      <c r="M111" s="120">
        <f>SUM(M104:M110)</f>
        <v>651</v>
      </c>
      <c r="N111" s="120">
        <f>SUM(N104:N110)</f>
        <v>56371</v>
      </c>
    </row>
    <row r="113" spans="2:14" x14ac:dyDescent="0.2">
      <c r="B113" s="129" t="s">
        <v>822</v>
      </c>
      <c r="C113" s="118"/>
      <c r="D113" s="118"/>
      <c r="E113" s="118"/>
      <c r="F113" s="118"/>
      <c r="G113" s="600"/>
      <c r="H113" s="600"/>
      <c r="J113" s="129" t="s">
        <v>822</v>
      </c>
      <c r="K113" s="118"/>
      <c r="L113" s="118"/>
      <c r="M113" s="118"/>
      <c r="N113" s="118"/>
    </row>
    <row r="114" spans="2:14" x14ac:dyDescent="0.2">
      <c r="B114" s="129" t="s">
        <v>858</v>
      </c>
      <c r="C114" s="118"/>
      <c r="D114" s="118"/>
      <c r="E114" s="118"/>
      <c r="F114" s="118"/>
      <c r="G114" s="600"/>
      <c r="H114" s="600"/>
      <c r="J114" s="129" t="s">
        <v>858</v>
      </c>
      <c r="K114" s="118"/>
      <c r="L114" s="118"/>
      <c r="M114" s="118"/>
      <c r="N114" s="118"/>
    </row>
    <row r="115" spans="2:14" x14ac:dyDescent="0.2">
      <c r="B115" s="129" t="s">
        <v>189</v>
      </c>
      <c r="C115" s="118">
        <v>4980</v>
      </c>
      <c r="D115" s="118">
        <v>0</v>
      </c>
      <c r="E115" s="118">
        <v>0</v>
      </c>
      <c r="F115" s="118">
        <f>+SUM(C115:E115)</f>
        <v>4980</v>
      </c>
      <c r="G115" s="600"/>
      <c r="H115" s="600"/>
      <c r="J115" s="129" t="s">
        <v>189</v>
      </c>
      <c r="K115" s="118">
        <v>508</v>
      </c>
      <c r="L115" s="118">
        <v>0</v>
      </c>
      <c r="M115" s="118">
        <v>0</v>
      </c>
      <c r="N115" s="118">
        <f>+SUM(K115:M115)</f>
        <v>508</v>
      </c>
    </row>
    <row r="116" spans="2:14" x14ac:dyDescent="0.2">
      <c r="B116" s="129" t="s">
        <v>823</v>
      </c>
      <c r="C116" s="118">
        <v>0</v>
      </c>
      <c r="D116" s="118">
        <v>0</v>
      </c>
      <c r="E116" s="118">
        <v>0</v>
      </c>
      <c r="F116" s="118">
        <f>+SUM(C116:E116)</f>
        <v>0</v>
      </c>
      <c r="G116" s="600"/>
      <c r="H116" s="600"/>
      <c r="J116" s="129" t="s">
        <v>823</v>
      </c>
      <c r="K116" s="118">
        <v>0</v>
      </c>
      <c r="L116" s="118">
        <v>0</v>
      </c>
      <c r="M116" s="118">
        <v>0</v>
      </c>
      <c r="N116" s="118">
        <f>+SUM(K116:M116)</f>
        <v>0</v>
      </c>
    </row>
    <row r="117" spans="2:14" x14ac:dyDescent="0.2">
      <c r="B117" s="129" t="s">
        <v>247</v>
      </c>
      <c r="C117" s="118">
        <v>-6948</v>
      </c>
      <c r="D117" s="118">
        <f>-704-D110-D103-D96</f>
        <v>-166</v>
      </c>
      <c r="E117" s="118">
        <v>0</v>
      </c>
      <c r="F117" s="118">
        <f>+SUM(C117:E117)</f>
        <v>-7114</v>
      </c>
      <c r="G117" s="600"/>
      <c r="H117" s="600"/>
      <c r="J117" s="129" t="s">
        <v>247</v>
      </c>
      <c r="K117" s="118">
        <v>-7586</v>
      </c>
      <c r="L117" s="118">
        <v>-176</v>
      </c>
      <c r="M117" s="118">
        <v>-651</v>
      </c>
      <c r="N117" s="118">
        <f>+SUM(K117:M117)</f>
        <v>-8413</v>
      </c>
    </row>
    <row r="118" spans="2:14" x14ac:dyDescent="0.2">
      <c r="B118" s="126" t="s">
        <v>1158</v>
      </c>
      <c r="C118" s="120">
        <f>SUM(C111:C117)</f>
        <v>52237</v>
      </c>
      <c r="D118" s="120">
        <f>SUM(D111:D117)</f>
        <v>576</v>
      </c>
      <c r="E118" s="120">
        <f>SUM(E111:E117)</f>
        <v>-1</v>
      </c>
      <c r="F118" s="120">
        <f>SUM(F111:F117)</f>
        <v>52813</v>
      </c>
      <c r="G118" s="600"/>
      <c r="H118" s="600"/>
      <c r="J118" s="126" t="s">
        <v>1158</v>
      </c>
      <c r="K118" s="120">
        <f>SUM(K111:K117)</f>
        <v>47841</v>
      </c>
      <c r="L118" s="120">
        <f>SUM(L111:L117)</f>
        <v>625</v>
      </c>
      <c r="M118" s="120">
        <f>SUM(M111:M117)</f>
        <v>0</v>
      </c>
      <c r="N118" s="120">
        <f>SUM(N111:N117)</f>
        <v>48466</v>
      </c>
    </row>
    <row r="120" spans="2:14" x14ac:dyDescent="0.2">
      <c r="B120" s="129" t="s">
        <v>822</v>
      </c>
      <c r="C120" s="118"/>
      <c r="D120" s="118"/>
      <c r="E120" s="118"/>
      <c r="F120" s="118"/>
      <c r="G120" s="600"/>
      <c r="H120" s="600"/>
      <c r="J120" s="129" t="s">
        <v>822</v>
      </c>
      <c r="K120" s="118"/>
      <c r="L120" s="118"/>
      <c r="M120" s="118"/>
      <c r="N120" s="118"/>
    </row>
    <row r="121" spans="2:14" x14ac:dyDescent="0.2">
      <c r="B121" s="129" t="s">
        <v>858</v>
      </c>
      <c r="C121" s="118"/>
      <c r="D121" s="118"/>
      <c r="E121" s="118"/>
      <c r="F121" s="118"/>
      <c r="G121" s="600"/>
      <c r="H121" s="600"/>
      <c r="J121" s="129" t="s">
        <v>858</v>
      </c>
      <c r="K121" s="118"/>
      <c r="L121" s="118"/>
      <c r="M121" s="118"/>
      <c r="N121" s="118"/>
    </row>
    <row r="122" spans="2:14" x14ac:dyDescent="0.2">
      <c r="B122" s="129" t="s">
        <v>189</v>
      </c>
      <c r="C122" s="118">
        <v>23498</v>
      </c>
      <c r="D122" s="118">
        <v>0</v>
      </c>
      <c r="E122" s="118">
        <v>0</v>
      </c>
      <c r="F122" s="118">
        <f>+SUM(C122:E122)</f>
        <v>23498</v>
      </c>
      <c r="G122" s="600"/>
      <c r="H122" s="600"/>
      <c r="J122" s="129" t="s">
        <v>189</v>
      </c>
      <c r="K122" s="118">
        <v>18342</v>
      </c>
      <c r="L122" s="118">
        <v>0</v>
      </c>
      <c r="M122" s="118">
        <v>10391</v>
      </c>
      <c r="N122" s="118">
        <v>28733</v>
      </c>
    </row>
    <row r="123" spans="2:14" x14ac:dyDescent="0.2">
      <c r="B123" s="129" t="s">
        <v>823</v>
      </c>
      <c r="C123" s="118">
        <v>0</v>
      </c>
      <c r="D123" s="118">
        <v>0</v>
      </c>
      <c r="E123" s="118">
        <v>0</v>
      </c>
      <c r="F123" s="118">
        <f>+SUM(C123:E123)</f>
        <v>0</v>
      </c>
      <c r="G123" s="600"/>
      <c r="H123" s="600"/>
      <c r="J123" s="129" t="s">
        <v>823</v>
      </c>
      <c r="K123" s="118">
        <v>0</v>
      </c>
      <c r="L123" s="118">
        <v>0</v>
      </c>
      <c r="M123" s="118">
        <v>0</v>
      </c>
      <c r="N123" s="118">
        <v>0</v>
      </c>
    </row>
    <row r="124" spans="2:14" x14ac:dyDescent="0.2">
      <c r="B124" s="129" t="s">
        <v>247</v>
      </c>
      <c r="C124" s="118">
        <v>-6805</v>
      </c>
      <c r="D124" s="118">
        <v>-166</v>
      </c>
      <c r="E124" s="118">
        <v>0</v>
      </c>
      <c r="F124" s="118">
        <f>+SUM(C124:E124)</f>
        <v>-6971</v>
      </c>
      <c r="G124" s="600"/>
      <c r="H124" s="600"/>
      <c r="J124" s="129" t="s">
        <v>247</v>
      </c>
      <c r="K124" s="118">
        <v>-7425</v>
      </c>
      <c r="L124" s="118">
        <v>-180</v>
      </c>
      <c r="M124" s="118">
        <v>-523</v>
      </c>
      <c r="N124" s="118">
        <v>-8128</v>
      </c>
    </row>
    <row r="125" spans="2:14" x14ac:dyDescent="0.2">
      <c r="B125" s="126" t="s">
        <v>1183</v>
      </c>
      <c r="C125" s="120">
        <f>SUM(C118:C124)</f>
        <v>68930</v>
      </c>
      <c r="D125" s="120">
        <f>SUM(D118:D124)</f>
        <v>410</v>
      </c>
      <c r="E125" s="120">
        <f>SUM(E118:E124)</f>
        <v>-1</v>
      </c>
      <c r="F125" s="120">
        <f>SUM(F118:F124)</f>
        <v>69340</v>
      </c>
      <c r="G125" s="600"/>
      <c r="H125" s="600"/>
      <c r="J125" s="126" t="s">
        <v>1183</v>
      </c>
      <c r="K125" s="120">
        <f>SUM(K118:K124)</f>
        <v>58758</v>
      </c>
      <c r="L125" s="120">
        <f>SUM(L118:L124)</f>
        <v>445</v>
      </c>
      <c r="M125" s="120">
        <f>SUM(M118:M124)</f>
        <v>9868</v>
      </c>
      <c r="N125" s="120">
        <f>SUM(N118:N124)</f>
        <v>69071</v>
      </c>
    </row>
    <row r="127" spans="2:14" x14ac:dyDescent="0.2">
      <c r="B127" s="129" t="s">
        <v>822</v>
      </c>
      <c r="C127" s="118"/>
      <c r="D127" s="118"/>
      <c r="E127" s="118"/>
      <c r="F127" s="118"/>
      <c r="G127" s="600"/>
      <c r="H127" s="600"/>
      <c r="J127" s="129" t="s">
        <v>822</v>
      </c>
      <c r="K127" s="118"/>
      <c r="L127" s="118"/>
      <c r="M127" s="118"/>
      <c r="N127" s="118"/>
    </row>
    <row r="128" spans="2:14" x14ac:dyDescent="0.2">
      <c r="B128" s="129" t="s">
        <v>858</v>
      </c>
      <c r="C128" s="118"/>
      <c r="D128" s="118"/>
      <c r="E128" s="118"/>
      <c r="F128" s="118"/>
      <c r="G128" s="600"/>
      <c r="H128" s="600"/>
      <c r="J128" s="129" t="s">
        <v>858</v>
      </c>
      <c r="K128" s="118"/>
      <c r="L128" s="118"/>
      <c r="M128" s="118"/>
      <c r="N128" s="118"/>
    </row>
    <row r="129" spans="2:14" x14ac:dyDescent="0.2">
      <c r="B129" s="129" t="s">
        <v>189</v>
      </c>
      <c r="C129" s="118">
        <v>8036</v>
      </c>
      <c r="D129" s="118">
        <v>0</v>
      </c>
      <c r="E129" s="118">
        <v>0</v>
      </c>
      <c r="F129" s="118">
        <f>+SUM(C129:E129)</f>
        <v>8036</v>
      </c>
      <c r="G129" s="600"/>
      <c r="H129" s="600"/>
      <c r="J129" s="129" t="s">
        <v>189</v>
      </c>
      <c r="K129" s="118">
        <v>13077</v>
      </c>
      <c r="L129" s="118">
        <v>0</v>
      </c>
      <c r="M129" s="118">
        <v>0</v>
      </c>
      <c r="N129" s="118">
        <f>+SUM(K129:M129)</f>
        <v>13077</v>
      </c>
    </row>
    <row r="130" spans="2:14" x14ac:dyDescent="0.2">
      <c r="B130" s="129" t="s">
        <v>823</v>
      </c>
      <c r="C130" s="118">
        <v>0</v>
      </c>
      <c r="D130" s="118">
        <v>0</v>
      </c>
      <c r="E130" s="118">
        <v>0</v>
      </c>
      <c r="F130" s="118">
        <f>+SUM(C130:E130)</f>
        <v>0</v>
      </c>
      <c r="G130" s="600"/>
      <c r="H130" s="600"/>
      <c r="J130" s="129" t="s">
        <v>823</v>
      </c>
      <c r="K130" s="118">
        <v>0</v>
      </c>
      <c r="L130" s="118">
        <v>0</v>
      </c>
      <c r="M130" s="118">
        <v>0</v>
      </c>
      <c r="N130" s="118">
        <f>+SUM(K130:M130)</f>
        <v>0</v>
      </c>
    </row>
    <row r="131" spans="2:14" x14ac:dyDescent="0.2">
      <c r="B131" s="129" t="s">
        <v>247</v>
      </c>
      <c r="C131" s="118">
        <v>-6531</v>
      </c>
      <c r="D131" s="118">
        <v>-166</v>
      </c>
      <c r="E131" s="118">
        <v>0</v>
      </c>
      <c r="F131" s="118">
        <f>+SUM(C131:E131)</f>
        <v>-6697</v>
      </c>
      <c r="G131" s="600"/>
      <c r="H131" s="600"/>
      <c r="J131" s="129" t="s">
        <v>247</v>
      </c>
      <c r="K131" s="118">
        <v>-7372</v>
      </c>
      <c r="L131" s="118">
        <v>-183</v>
      </c>
      <c r="M131" s="118">
        <v>-522</v>
      </c>
      <c r="N131" s="118">
        <f>+SUM(K131:M131)</f>
        <v>-8077</v>
      </c>
    </row>
    <row r="132" spans="2:14" x14ac:dyDescent="0.2">
      <c r="B132" s="126" t="s">
        <v>1210</v>
      </c>
      <c r="C132" s="120">
        <f>SUM(C125:C131)</f>
        <v>70435</v>
      </c>
      <c r="D132" s="120">
        <f>SUM(D125:D131)</f>
        <v>244</v>
      </c>
      <c r="E132" s="120">
        <f>SUM(E125:E131)</f>
        <v>-1</v>
      </c>
      <c r="F132" s="120">
        <f>SUM(F125:F131)</f>
        <v>70679</v>
      </c>
      <c r="G132" s="600"/>
      <c r="H132" s="600"/>
      <c r="J132" s="126" t="s">
        <v>1210</v>
      </c>
      <c r="K132" s="120">
        <f>SUM(K125:K131)</f>
        <v>64463</v>
      </c>
      <c r="L132" s="120">
        <f>SUM(L125:L131)</f>
        <v>262</v>
      </c>
      <c r="M132" s="120">
        <f>SUM(M125:M131)</f>
        <v>9346</v>
      </c>
      <c r="N132" s="120">
        <f>SUM(N125:N131)</f>
        <v>74071</v>
      </c>
    </row>
    <row r="134" spans="2:14" x14ac:dyDescent="0.2">
      <c r="B134" s="129" t="s">
        <v>822</v>
      </c>
      <c r="C134" s="118"/>
      <c r="D134" s="118"/>
      <c r="E134" s="118"/>
      <c r="F134" s="118"/>
      <c r="G134" s="600"/>
      <c r="H134" s="600"/>
      <c r="J134" s="129" t="s">
        <v>822</v>
      </c>
      <c r="K134" s="118"/>
      <c r="L134" s="118"/>
      <c r="M134" s="118"/>
      <c r="N134" s="118"/>
    </row>
    <row r="135" spans="2:14" x14ac:dyDescent="0.2">
      <c r="B135" s="129" t="s">
        <v>858</v>
      </c>
      <c r="C135" s="118"/>
      <c r="D135" s="118"/>
      <c r="E135" s="118"/>
      <c r="F135" s="118"/>
      <c r="G135" s="600"/>
      <c r="H135" s="600"/>
      <c r="J135" s="129" t="s">
        <v>858</v>
      </c>
      <c r="K135" s="118"/>
      <c r="L135" s="118"/>
      <c r="M135" s="118"/>
      <c r="N135" s="118"/>
    </row>
    <row r="136" spans="2:14" x14ac:dyDescent="0.2">
      <c r="B136" s="129" t="s">
        <v>189</v>
      </c>
      <c r="C136" s="118">
        <v>1023</v>
      </c>
      <c r="D136" s="118">
        <v>0</v>
      </c>
      <c r="E136" s="118">
        <v>976</v>
      </c>
      <c r="F136" s="118">
        <f>+SUM(C136:E136)</f>
        <v>1999</v>
      </c>
      <c r="G136" s="600"/>
      <c r="H136" s="600"/>
      <c r="J136" s="129" t="s">
        <v>189</v>
      </c>
      <c r="K136" s="118">
        <v>1037</v>
      </c>
      <c r="L136" s="118">
        <v>0</v>
      </c>
      <c r="M136" s="118">
        <v>1275</v>
      </c>
      <c r="N136" s="118">
        <f>+SUM(K136:M136)</f>
        <v>2312</v>
      </c>
    </row>
    <row r="137" spans="2:14" x14ac:dyDescent="0.2">
      <c r="B137" s="129" t="s">
        <v>823</v>
      </c>
      <c r="C137" s="118">
        <v>0</v>
      </c>
      <c r="D137" s="118">
        <v>0</v>
      </c>
      <c r="E137" s="118">
        <v>0</v>
      </c>
      <c r="F137" s="118">
        <f>+SUM(C137:E137)</f>
        <v>0</v>
      </c>
      <c r="G137" s="600"/>
      <c r="H137" s="600"/>
      <c r="J137" s="129" t="s">
        <v>823</v>
      </c>
      <c r="K137" s="118">
        <v>0</v>
      </c>
      <c r="L137" s="118">
        <v>0</v>
      </c>
      <c r="M137" s="118">
        <v>-292</v>
      </c>
      <c r="N137" s="118">
        <f>+SUM(K137:M137)</f>
        <v>-292</v>
      </c>
    </row>
    <row r="138" spans="2:14" x14ac:dyDescent="0.2">
      <c r="B138" s="129" t="s">
        <v>247</v>
      </c>
      <c r="C138" s="118">
        <v>-6688</v>
      </c>
      <c r="D138" s="118">
        <v>-166</v>
      </c>
      <c r="E138" s="118">
        <v>-67</v>
      </c>
      <c r="F138" s="118">
        <f>+SUM(C138:E138)</f>
        <v>-6921</v>
      </c>
      <c r="G138" s="600"/>
      <c r="H138" s="600"/>
      <c r="J138" s="129" t="s">
        <v>247</v>
      </c>
      <c r="K138" s="118">
        <v>-7579</v>
      </c>
      <c r="L138" s="118">
        <v>-178</v>
      </c>
      <c r="M138" s="118">
        <v>-635</v>
      </c>
      <c r="N138" s="118">
        <f>+SUM(K138:M138)</f>
        <v>-8392</v>
      </c>
    </row>
    <row r="139" spans="2:14" x14ac:dyDescent="0.2">
      <c r="B139" s="126" t="s">
        <v>1222</v>
      </c>
      <c r="C139" s="120">
        <f>SUM(C132:C138)</f>
        <v>64770</v>
      </c>
      <c r="D139" s="120">
        <f>SUM(D132:D138)</f>
        <v>78</v>
      </c>
      <c r="E139" s="120">
        <f>SUM(E132:E138)</f>
        <v>908</v>
      </c>
      <c r="F139" s="120">
        <f>SUM(F132:F138)</f>
        <v>65757</v>
      </c>
      <c r="G139" s="600"/>
      <c r="H139" s="600"/>
      <c r="J139" s="126" t="s">
        <v>1222</v>
      </c>
      <c r="K139" s="120">
        <f>SUM(K132:K138)</f>
        <v>57921</v>
      </c>
      <c r="L139" s="120">
        <f>SUM(L132:L138)</f>
        <v>84</v>
      </c>
      <c r="M139" s="120">
        <f>SUM(M132:M138)</f>
        <v>9694</v>
      </c>
      <c r="N139" s="120">
        <f>SUM(N132:N138)</f>
        <v>67699</v>
      </c>
    </row>
    <row r="141" spans="2:14" x14ac:dyDescent="0.2">
      <c r="B141" s="129" t="s">
        <v>822</v>
      </c>
      <c r="C141" s="118"/>
      <c r="D141" s="118"/>
      <c r="E141" s="118"/>
      <c r="F141" s="118"/>
      <c r="G141" s="600"/>
      <c r="H141" s="600"/>
      <c r="J141" s="129" t="s">
        <v>822</v>
      </c>
      <c r="K141" s="118"/>
      <c r="L141" s="118"/>
      <c r="M141" s="118"/>
      <c r="N141" s="118"/>
    </row>
    <row r="142" spans="2:14" x14ac:dyDescent="0.2">
      <c r="B142" s="129" t="s">
        <v>858</v>
      </c>
      <c r="C142" s="118"/>
      <c r="D142" s="118"/>
      <c r="E142" s="118"/>
      <c r="F142" s="118"/>
      <c r="G142" s="600"/>
      <c r="H142" s="600"/>
      <c r="J142" s="129" t="s">
        <v>858</v>
      </c>
      <c r="K142" s="118"/>
      <c r="L142" s="118"/>
      <c r="M142" s="118"/>
      <c r="N142" s="118"/>
    </row>
    <row r="143" spans="2:14" x14ac:dyDescent="0.2">
      <c r="B143" s="129" t="s">
        <v>189</v>
      </c>
      <c r="C143" s="118">
        <v>3998</v>
      </c>
      <c r="D143" s="118">
        <v>640</v>
      </c>
      <c r="E143" s="118">
        <v>0</v>
      </c>
      <c r="F143" s="118">
        <f>+SUM(C143:E143)</f>
        <v>4638</v>
      </c>
      <c r="G143" s="600"/>
      <c r="H143" s="600"/>
      <c r="J143" s="129" t="s">
        <v>189</v>
      </c>
      <c r="K143" s="118">
        <v>5594</v>
      </c>
      <c r="L143" s="118">
        <v>698</v>
      </c>
      <c r="M143" s="118">
        <v>-17</v>
      </c>
      <c r="N143" s="118">
        <f>+SUM(K143:M143)</f>
        <v>6275</v>
      </c>
    </row>
    <row r="144" spans="2:14" x14ac:dyDescent="0.2">
      <c r="B144" s="129" t="s">
        <v>823</v>
      </c>
      <c r="C144" s="118">
        <v>0</v>
      </c>
      <c r="D144" s="118">
        <v>0</v>
      </c>
      <c r="E144" s="118">
        <v>0</v>
      </c>
      <c r="F144" s="118">
        <f>+SUM(C144:E144)</f>
        <v>0</v>
      </c>
      <c r="G144" s="600"/>
      <c r="H144" s="600"/>
      <c r="J144" s="129" t="s">
        <v>823</v>
      </c>
      <c r="K144" s="118">
        <v>0</v>
      </c>
      <c r="L144" s="118">
        <v>0</v>
      </c>
      <c r="M144" s="118">
        <v>0</v>
      </c>
      <c r="N144" s="118">
        <f>+SUM(K144:M144)</f>
        <v>0</v>
      </c>
    </row>
    <row r="145" spans="2:14" x14ac:dyDescent="0.2">
      <c r="B145" s="129" t="s">
        <v>247</v>
      </c>
      <c r="C145" s="118">
        <v>-7125</v>
      </c>
      <c r="D145" s="118">
        <v>-169</v>
      </c>
      <c r="E145" s="118">
        <v>-101</v>
      </c>
      <c r="F145" s="118">
        <f>+SUM(C145:E145)</f>
        <v>-7395</v>
      </c>
      <c r="G145" s="600"/>
      <c r="H145" s="600"/>
      <c r="J145" s="129" t="s">
        <v>247</v>
      </c>
      <c r="K145" s="118">
        <v>-8009</v>
      </c>
      <c r="L145" s="118">
        <v>-182</v>
      </c>
      <c r="M145" s="118">
        <v>-634</v>
      </c>
      <c r="N145" s="118">
        <f>+SUM(K145:M145)</f>
        <v>-8825</v>
      </c>
    </row>
    <row r="146" spans="2:14" x14ac:dyDescent="0.2">
      <c r="B146" s="126" t="s">
        <v>1245</v>
      </c>
      <c r="C146" s="120">
        <f>SUM(C139:C145)</f>
        <v>61643</v>
      </c>
      <c r="D146" s="120">
        <f>SUM(D139:D145)</f>
        <v>549</v>
      </c>
      <c r="E146" s="120">
        <f>SUM(E139:E145)</f>
        <v>807</v>
      </c>
      <c r="F146" s="120">
        <f>SUM(F139:F145)</f>
        <v>63000</v>
      </c>
      <c r="G146" s="600"/>
      <c r="H146" s="600"/>
      <c r="J146" s="126" t="s">
        <v>1245</v>
      </c>
      <c r="K146" s="120">
        <f>SUM(K139:K145)</f>
        <v>55506</v>
      </c>
      <c r="L146" s="120">
        <f>SUM(L139:L145)</f>
        <v>600</v>
      </c>
      <c r="M146" s="120">
        <f>SUM(M139:M145)</f>
        <v>9043</v>
      </c>
      <c r="N146" s="120">
        <f>SUM(N139:N145)</f>
        <v>65149</v>
      </c>
    </row>
    <row r="148" spans="2:14" x14ac:dyDescent="0.2">
      <c r="B148" s="129" t="s">
        <v>822</v>
      </c>
      <c r="C148" s="118"/>
      <c r="D148" s="118"/>
      <c r="E148" s="118"/>
      <c r="F148" s="118"/>
      <c r="G148" s="600"/>
      <c r="H148" s="600"/>
      <c r="J148" s="129" t="s">
        <v>822</v>
      </c>
      <c r="K148" s="118"/>
      <c r="L148" s="118"/>
      <c r="M148" s="118"/>
      <c r="N148" s="118"/>
    </row>
    <row r="149" spans="2:14" x14ac:dyDescent="0.2">
      <c r="B149" s="129" t="s">
        <v>858</v>
      </c>
      <c r="C149" s="118"/>
      <c r="D149" s="118"/>
      <c r="E149" s="118"/>
      <c r="F149" s="118"/>
      <c r="G149" s="600"/>
      <c r="H149" s="600"/>
      <c r="J149" s="129" t="s">
        <v>858</v>
      </c>
      <c r="K149" s="118"/>
      <c r="L149" s="118"/>
      <c r="M149" s="118"/>
      <c r="N149" s="118"/>
    </row>
    <row r="150" spans="2:14" x14ac:dyDescent="0.2">
      <c r="B150" s="129" t="s">
        <v>189</v>
      </c>
      <c r="C150" s="118">
        <v>3664</v>
      </c>
      <c r="D150" s="118">
        <v>0</v>
      </c>
      <c r="E150" s="118">
        <v>0</v>
      </c>
      <c r="F150" s="118">
        <f>+SUM(C150:E150)</f>
        <v>3664</v>
      </c>
      <c r="G150" s="600"/>
      <c r="H150" s="600"/>
      <c r="J150" s="129" t="s">
        <v>189</v>
      </c>
      <c r="K150" s="118">
        <v>3224</v>
      </c>
      <c r="L150" s="118">
        <v>0</v>
      </c>
      <c r="M150" s="118">
        <v>-57</v>
      </c>
      <c r="N150" s="118">
        <f>+SUM(K150:M150)</f>
        <v>3167</v>
      </c>
    </row>
    <row r="151" spans="2:14" x14ac:dyDescent="0.2">
      <c r="B151" s="129" t="s">
        <v>823</v>
      </c>
      <c r="C151" s="118">
        <v>0</v>
      </c>
      <c r="D151" s="118">
        <v>0</v>
      </c>
      <c r="E151" s="118">
        <v>0</v>
      </c>
      <c r="F151" s="118">
        <f>+SUM(C151:E151)</f>
        <v>0</v>
      </c>
      <c r="G151" s="600"/>
      <c r="H151" s="600"/>
      <c r="J151" s="129" t="s">
        <v>823</v>
      </c>
      <c r="K151" s="118">
        <v>0</v>
      </c>
      <c r="L151" s="118">
        <v>0</v>
      </c>
      <c r="M151" s="118">
        <v>0</v>
      </c>
      <c r="N151" s="118">
        <f>+SUM(K151:M151)</f>
        <v>0</v>
      </c>
    </row>
    <row r="152" spans="2:14" x14ac:dyDescent="0.2">
      <c r="B152" s="129" t="s">
        <v>247</v>
      </c>
      <c r="C152" s="118">
        <v>-6573</v>
      </c>
      <c r="D152" s="118">
        <v>-161</v>
      </c>
      <c r="E152" s="118">
        <v>-100</v>
      </c>
      <c r="F152" s="118">
        <f>+SUM(C152:E152)</f>
        <v>-6834</v>
      </c>
      <c r="G152" s="600"/>
      <c r="H152" s="600"/>
      <c r="J152" s="129" t="s">
        <v>247</v>
      </c>
      <c r="K152" s="118">
        <v>-7446</v>
      </c>
      <c r="L152" s="118">
        <v>-176</v>
      </c>
      <c r="M152" s="118">
        <v>-627</v>
      </c>
      <c r="N152" s="118">
        <f>+SUM(K152:M152)</f>
        <v>-8249</v>
      </c>
    </row>
    <row r="153" spans="2:14" x14ac:dyDescent="0.2">
      <c r="B153" s="126" t="s">
        <v>1262</v>
      </c>
      <c r="C153" s="120">
        <f>SUM(C146:C152)</f>
        <v>58734</v>
      </c>
      <c r="D153" s="120">
        <f>SUM(D146:D152)</f>
        <v>388</v>
      </c>
      <c r="E153" s="120">
        <f>SUM(E146:E152)</f>
        <v>707</v>
      </c>
      <c r="F153" s="120">
        <f>SUM(F146:F152)</f>
        <v>59830</v>
      </c>
      <c r="G153" s="600"/>
      <c r="H153" s="600"/>
      <c r="J153" s="126" t="s">
        <v>1262</v>
      </c>
      <c r="K153" s="120">
        <f>SUM(K146:K152)</f>
        <v>51284</v>
      </c>
      <c r="L153" s="120">
        <f>SUM(L146:L152)</f>
        <v>424</v>
      </c>
      <c r="M153" s="120">
        <f>SUM(M146:M152)</f>
        <v>8359</v>
      </c>
      <c r="N153" s="120">
        <f>SUM(N146:N152)</f>
        <v>60067</v>
      </c>
    </row>
    <row r="155" spans="2:14" x14ac:dyDescent="0.2">
      <c r="B155" s="129" t="s">
        <v>822</v>
      </c>
      <c r="C155" s="118"/>
      <c r="D155" s="118"/>
      <c r="E155" s="118"/>
      <c r="F155" s="118"/>
      <c r="G155" s="600"/>
      <c r="H155" s="600"/>
      <c r="J155" s="129" t="s">
        <v>822</v>
      </c>
      <c r="K155" s="118"/>
      <c r="L155" s="118"/>
      <c r="M155" s="118"/>
      <c r="N155" s="118"/>
    </row>
    <row r="156" spans="2:14" x14ac:dyDescent="0.2">
      <c r="B156" s="129" t="s">
        <v>858</v>
      </c>
      <c r="C156" s="118"/>
      <c r="D156" s="118"/>
      <c r="E156" s="118"/>
      <c r="F156" s="118"/>
      <c r="G156" s="600"/>
      <c r="H156" s="600"/>
      <c r="J156" s="129" t="s">
        <v>858</v>
      </c>
      <c r="K156" s="118"/>
      <c r="L156" s="118"/>
      <c r="M156" s="118"/>
      <c r="N156" s="118"/>
    </row>
    <row r="157" spans="2:14" x14ac:dyDescent="0.2">
      <c r="B157" s="129" t="s">
        <v>189</v>
      </c>
      <c r="C157" s="118">
        <v>9214</v>
      </c>
      <c r="D157" s="118">
        <v>0</v>
      </c>
      <c r="E157" s="118">
        <v>0</v>
      </c>
      <c r="F157" s="118">
        <v>9214</v>
      </c>
      <c r="G157" s="600"/>
      <c r="H157" s="600"/>
      <c r="J157" s="129" t="s">
        <v>189</v>
      </c>
      <c r="K157" s="118">
        <v>9159</v>
      </c>
      <c r="L157" s="118">
        <v>0</v>
      </c>
      <c r="M157" s="118">
        <v>-115</v>
      </c>
      <c r="N157" s="118">
        <v>9044</v>
      </c>
    </row>
    <row r="158" spans="2:14" x14ac:dyDescent="0.2">
      <c r="B158" s="129" t="s">
        <v>823</v>
      </c>
      <c r="C158" s="118">
        <v>0</v>
      </c>
      <c r="D158" s="118">
        <v>0</v>
      </c>
      <c r="E158" s="118">
        <v>0</v>
      </c>
      <c r="F158" s="118">
        <v>2884</v>
      </c>
      <c r="G158" s="600"/>
      <c r="H158" s="600"/>
      <c r="J158" s="129" t="s">
        <v>823</v>
      </c>
      <c r="K158" s="118">
        <v>0</v>
      </c>
      <c r="L158" s="118">
        <v>0</v>
      </c>
      <c r="M158" s="118">
        <v>0</v>
      </c>
      <c r="N158" s="118">
        <v>0</v>
      </c>
    </row>
    <row r="159" spans="2:14" x14ac:dyDescent="0.2">
      <c r="B159" s="129" t="s">
        <v>247</v>
      </c>
      <c r="C159" s="118">
        <v>-6708</v>
      </c>
      <c r="D159" s="118">
        <v>-136</v>
      </c>
      <c r="E159" s="118">
        <v>-102</v>
      </c>
      <c r="F159" s="118">
        <v>-6946</v>
      </c>
      <c r="G159" s="600"/>
      <c r="H159" s="600"/>
      <c r="J159" s="129" t="s">
        <v>247</v>
      </c>
      <c r="K159" s="118">
        <v>-7407</v>
      </c>
      <c r="L159" s="118">
        <v>-153</v>
      </c>
      <c r="M159" s="118">
        <v>-621</v>
      </c>
      <c r="N159" s="118">
        <v>-8181</v>
      </c>
    </row>
    <row r="160" spans="2:14" x14ac:dyDescent="0.2">
      <c r="B160" s="126" t="s">
        <v>1273</v>
      </c>
      <c r="C160" s="120">
        <f>SUM(C153:C159)</f>
        <v>61240</v>
      </c>
      <c r="D160" s="120">
        <f>SUM(D153:D159)</f>
        <v>252</v>
      </c>
      <c r="E160" s="120">
        <f>SUM(E153:E159)</f>
        <v>605</v>
      </c>
      <c r="F160" s="120">
        <f>SUM(F153:F159)</f>
        <v>64982</v>
      </c>
      <c r="G160" s="600"/>
      <c r="H160" s="600"/>
      <c r="J160" s="126" t="s">
        <v>1273</v>
      </c>
      <c r="K160" s="120">
        <f>SUM(K153:K159)</f>
        <v>53036</v>
      </c>
      <c r="L160" s="120">
        <f>SUM(L153:L159)</f>
        <v>271</v>
      </c>
      <c r="M160" s="120">
        <f>SUM(M153:M159)</f>
        <v>7623</v>
      </c>
      <c r="N160" s="120">
        <f>SUM(N153:N159)</f>
        <v>60930</v>
      </c>
    </row>
    <row r="162" spans="2:14" x14ac:dyDescent="0.2">
      <c r="B162" s="129" t="s">
        <v>822</v>
      </c>
      <c r="C162" s="118"/>
      <c r="D162" s="118"/>
      <c r="E162" s="118"/>
      <c r="F162" s="118"/>
      <c r="G162" s="600"/>
      <c r="H162" s="600"/>
      <c r="J162" s="129" t="s">
        <v>822</v>
      </c>
      <c r="K162" s="118"/>
      <c r="L162" s="118"/>
      <c r="M162" s="118"/>
      <c r="N162" s="118"/>
    </row>
    <row r="163" spans="2:14" x14ac:dyDescent="0.2">
      <c r="B163" s="129" t="s">
        <v>858</v>
      </c>
      <c r="C163" s="118"/>
      <c r="D163" s="118"/>
      <c r="E163" s="118"/>
      <c r="F163" s="118"/>
      <c r="G163" s="600"/>
      <c r="H163" s="600"/>
      <c r="J163" s="129" t="s">
        <v>858</v>
      </c>
      <c r="K163" s="118"/>
      <c r="L163" s="118"/>
      <c r="M163" s="118"/>
      <c r="N163" s="118"/>
    </row>
    <row r="164" spans="2:14" x14ac:dyDescent="0.2">
      <c r="B164" s="129" t="s">
        <v>189</v>
      </c>
      <c r="C164" s="118">
        <v>468</v>
      </c>
      <c r="D164" s="118">
        <v>0</v>
      </c>
      <c r="E164" s="118">
        <v>177</v>
      </c>
      <c r="F164" s="118">
        <v>645</v>
      </c>
      <c r="G164" s="600"/>
      <c r="H164" s="600"/>
      <c r="J164" s="129" t="s">
        <v>189</v>
      </c>
      <c r="K164" s="118">
        <v>332</v>
      </c>
      <c r="L164" s="118">
        <v>0</v>
      </c>
      <c r="M164" s="118">
        <v>-136</v>
      </c>
      <c r="N164" s="118">
        <f>+SUM(K164:M164)</f>
        <v>196</v>
      </c>
    </row>
    <row r="165" spans="2:14" x14ac:dyDescent="0.2">
      <c r="B165" s="129" t="s">
        <v>823</v>
      </c>
      <c r="C165" s="118">
        <v>1</v>
      </c>
      <c r="D165" s="118">
        <v>0</v>
      </c>
      <c r="E165" s="118">
        <v>0</v>
      </c>
      <c r="F165" s="118">
        <v>1</v>
      </c>
      <c r="G165" s="600"/>
      <c r="H165" s="600"/>
      <c r="J165" s="129" t="s">
        <v>823</v>
      </c>
      <c r="K165" s="118">
        <v>0</v>
      </c>
      <c r="L165" s="118">
        <v>0</v>
      </c>
      <c r="M165" s="118">
        <v>0</v>
      </c>
      <c r="N165" s="118">
        <f>+SUM(K165:M165)</f>
        <v>0</v>
      </c>
    </row>
    <row r="166" spans="2:14" x14ac:dyDescent="0.2">
      <c r="B166" s="129" t="s">
        <v>247</v>
      </c>
      <c r="C166" s="118">
        <v>-6519</v>
      </c>
      <c r="D166" s="118">
        <v>-162</v>
      </c>
      <c r="E166" s="118">
        <v>-99</v>
      </c>
      <c r="F166" s="118">
        <v>-6780</v>
      </c>
      <c r="G166" s="600"/>
      <c r="H166" s="600"/>
      <c r="J166" s="129" t="s">
        <v>247</v>
      </c>
      <c r="K166" s="118">
        <v>-7134</v>
      </c>
      <c r="L166" s="118">
        <v>-176</v>
      </c>
      <c r="M166" s="118">
        <v>-613</v>
      </c>
      <c r="N166" s="118">
        <f>+SUM(K166:M166)</f>
        <v>-7923</v>
      </c>
    </row>
    <row r="167" spans="2:14" x14ac:dyDescent="0.2">
      <c r="B167" s="126" t="s">
        <v>1293</v>
      </c>
      <c r="C167" s="120">
        <f>SUM(C160:C166)</f>
        <v>55190</v>
      </c>
      <c r="D167" s="120">
        <f>SUM(D160:D166)</f>
        <v>90</v>
      </c>
      <c r="E167" s="120">
        <f>SUM(E160:E166)</f>
        <v>683</v>
      </c>
      <c r="F167" s="120">
        <f>SUM(F160:F166)</f>
        <v>58848</v>
      </c>
      <c r="G167" s="600"/>
      <c r="H167" s="600"/>
      <c r="J167" s="126" t="s">
        <v>1293</v>
      </c>
      <c r="K167" s="120">
        <f>SUM(K160:K166)</f>
        <v>46234</v>
      </c>
      <c r="L167" s="120">
        <f>SUM(L160:L166)</f>
        <v>95</v>
      </c>
      <c r="M167" s="120">
        <f>SUM(M160:M166)</f>
        <v>6874</v>
      </c>
      <c r="N167" s="120">
        <f>SUM(N160:N166)</f>
        <v>53203</v>
      </c>
    </row>
    <row r="169" spans="2:14" x14ac:dyDescent="0.2">
      <c r="B169" s="129" t="s">
        <v>822</v>
      </c>
      <c r="C169" s="118"/>
      <c r="D169" s="118"/>
      <c r="E169" s="118"/>
      <c r="F169" s="118"/>
      <c r="G169" s="600"/>
      <c r="H169" s="600"/>
      <c r="J169" s="129" t="s">
        <v>822</v>
      </c>
      <c r="K169" s="118"/>
      <c r="L169" s="118"/>
      <c r="M169" s="118"/>
      <c r="N169" s="118"/>
    </row>
    <row r="170" spans="2:14" x14ac:dyDescent="0.2">
      <c r="B170" s="129" t="s">
        <v>858</v>
      </c>
      <c r="C170" s="118"/>
      <c r="D170" s="118"/>
      <c r="E170" s="118"/>
      <c r="F170" s="118"/>
      <c r="G170" s="600"/>
      <c r="H170" s="600"/>
      <c r="J170" s="129" t="s">
        <v>858</v>
      </c>
      <c r="K170" s="118"/>
      <c r="L170" s="118"/>
      <c r="M170" s="118"/>
      <c r="N170" s="118"/>
    </row>
    <row r="171" spans="2:14" x14ac:dyDescent="0.2">
      <c r="B171" s="129" t="s">
        <v>189</v>
      </c>
      <c r="C171" s="118">
        <v>20095</v>
      </c>
      <c r="D171" s="118">
        <v>0</v>
      </c>
      <c r="E171" s="118">
        <v>0</v>
      </c>
      <c r="F171" s="118">
        <v>20095</v>
      </c>
      <c r="G171" s="600"/>
      <c r="H171" s="600"/>
      <c r="J171" s="129" t="s">
        <v>189</v>
      </c>
      <c r="K171" s="118">
        <v>20177</v>
      </c>
      <c r="L171" s="118">
        <v>0</v>
      </c>
      <c r="M171" s="118">
        <v>3</v>
      </c>
      <c r="N171" s="118">
        <v>20180</v>
      </c>
    </row>
    <row r="172" spans="2:14" x14ac:dyDescent="0.2">
      <c r="B172" s="129" t="s">
        <v>823</v>
      </c>
      <c r="C172" s="118">
        <v>0</v>
      </c>
      <c r="D172" s="118">
        <v>0</v>
      </c>
      <c r="E172" s="118">
        <v>-475</v>
      </c>
      <c r="F172" s="118">
        <v>-475</v>
      </c>
      <c r="G172" s="600"/>
      <c r="H172" s="600"/>
      <c r="J172" s="129" t="s">
        <v>823</v>
      </c>
      <c r="K172" s="118">
        <v>0</v>
      </c>
      <c r="L172" s="118">
        <v>0</v>
      </c>
      <c r="M172" s="118">
        <v>-594</v>
      </c>
      <c r="N172" s="118">
        <v>-594</v>
      </c>
    </row>
    <row r="173" spans="2:14" x14ac:dyDescent="0.2">
      <c r="B173" s="129" t="s">
        <v>1291</v>
      </c>
      <c r="C173" s="118">
        <v>2885</v>
      </c>
      <c r="D173" s="118"/>
      <c r="E173" s="118">
        <v>0</v>
      </c>
      <c r="F173" s="118"/>
      <c r="G173" s="600"/>
      <c r="H173" s="600"/>
      <c r="J173" s="129" t="s">
        <v>1291</v>
      </c>
      <c r="K173" s="118"/>
      <c r="L173" s="118"/>
      <c r="M173" s="118"/>
      <c r="N173" s="118"/>
    </row>
    <row r="174" spans="2:14" x14ac:dyDescent="0.2">
      <c r="B174" s="129" t="s">
        <v>247</v>
      </c>
      <c r="C174" s="118">
        <v>-6546</v>
      </c>
      <c r="D174" s="118">
        <v>-90</v>
      </c>
      <c r="E174" s="118">
        <v>-208</v>
      </c>
      <c r="F174" s="118">
        <v>-6843</v>
      </c>
      <c r="G174" s="600"/>
      <c r="H174" s="600"/>
      <c r="J174" s="129" t="s">
        <v>247</v>
      </c>
      <c r="K174" s="118">
        <v>-7152</v>
      </c>
      <c r="L174" s="118">
        <v>-95</v>
      </c>
      <c r="M174" s="118">
        <v>-523</v>
      </c>
      <c r="N174" s="118">
        <v>-7770</v>
      </c>
    </row>
    <row r="175" spans="2:14" x14ac:dyDescent="0.2">
      <c r="B175" s="126" t="s">
        <v>1305</v>
      </c>
      <c r="C175" s="120">
        <f>SUM(C167:C174)</f>
        <v>71624</v>
      </c>
      <c r="D175" s="120">
        <f>SUM(D167:D174)</f>
        <v>0</v>
      </c>
      <c r="E175" s="120">
        <f>SUM(E167:E174)</f>
        <v>0</v>
      </c>
      <c r="F175" s="120">
        <f>SUM(F167:F174)</f>
        <v>71625</v>
      </c>
      <c r="G175" s="600"/>
      <c r="H175" s="600"/>
      <c r="J175" s="126" t="s">
        <v>1305</v>
      </c>
      <c r="K175" s="120">
        <f>SUM(K167:K174)</f>
        <v>59259</v>
      </c>
      <c r="L175" s="120">
        <f>SUM(L167:L174)</f>
        <v>0</v>
      </c>
      <c r="M175" s="120">
        <f>SUM(M167:M174)</f>
        <v>5760</v>
      </c>
      <c r="N175" s="120">
        <f>SUM(N167:N174)</f>
        <v>65019</v>
      </c>
    </row>
    <row r="177" spans="2:14" x14ac:dyDescent="0.2">
      <c r="B177" s="129" t="s">
        <v>822</v>
      </c>
      <c r="C177" s="118"/>
      <c r="D177" s="118"/>
      <c r="E177" s="118"/>
      <c r="F177" s="118"/>
      <c r="G177" s="600"/>
      <c r="H177" s="600"/>
      <c r="J177" s="129" t="s">
        <v>822</v>
      </c>
      <c r="K177" s="118"/>
      <c r="L177" s="118"/>
      <c r="M177" s="118"/>
      <c r="N177" s="118"/>
    </row>
    <row r="178" spans="2:14" x14ac:dyDescent="0.2">
      <c r="B178" s="129" t="s">
        <v>858</v>
      </c>
      <c r="C178" s="118"/>
      <c r="D178" s="118"/>
      <c r="E178" s="118"/>
      <c r="F178" s="118"/>
      <c r="G178" s="600"/>
      <c r="H178" s="600"/>
      <c r="J178" s="129" t="s">
        <v>858</v>
      </c>
      <c r="K178" s="118"/>
      <c r="L178" s="118"/>
      <c r="M178" s="118"/>
      <c r="N178" s="118"/>
    </row>
    <row r="179" spans="2:14" x14ac:dyDescent="0.2">
      <c r="B179" s="129" t="s">
        <v>189</v>
      </c>
      <c r="C179" s="118">
        <v>3217</v>
      </c>
      <c r="D179" s="118">
        <v>0</v>
      </c>
      <c r="E179" s="118">
        <v>0</v>
      </c>
      <c r="F179" s="118">
        <v>3217</v>
      </c>
      <c r="G179" s="600"/>
      <c r="H179" s="600"/>
      <c r="J179" s="129" t="s">
        <v>189</v>
      </c>
      <c r="K179" s="118">
        <v>19985</v>
      </c>
      <c r="L179" s="118">
        <v>0</v>
      </c>
      <c r="M179" s="118">
        <v>4809</v>
      </c>
      <c r="N179" s="118">
        <v>24794</v>
      </c>
    </row>
    <row r="180" spans="2:14" x14ac:dyDescent="0.2">
      <c r="B180" s="129" t="s">
        <v>823</v>
      </c>
      <c r="C180" s="118">
        <v>0</v>
      </c>
      <c r="D180" s="118">
        <v>0</v>
      </c>
      <c r="E180" s="118">
        <v>0</v>
      </c>
      <c r="F180" s="118">
        <v>0</v>
      </c>
      <c r="G180" s="600"/>
      <c r="H180" s="600"/>
      <c r="J180" s="129" t="s">
        <v>823</v>
      </c>
      <c r="K180" s="118">
        <v>0</v>
      </c>
      <c r="L180" s="118">
        <v>0</v>
      </c>
      <c r="M180" s="118" t="s">
        <v>160</v>
      </c>
      <c r="N180" s="118" t="s">
        <v>160</v>
      </c>
    </row>
    <row r="181" spans="2:14" x14ac:dyDescent="0.2">
      <c r="B181" s="129" t="s">
        <v>1291</v>
      </c>
      <c r="C181" s="118">
        <v>0</v>
      </c>
      <c r="D181" s="118"/>
      <c r="E181" s="118">
        <v>0</v>
      </c>
      <c r="F181" s="118"/>
      <c r="G181" s="600"/>
      <c r="H181" s="600"/>
      <c r="J181" s="129" t="s">
        <v>1291</v>
      </c>
      <c r="K181" s="118"/>
      <c r="L181" s="118"/>
      <c r="M181" s="118"/>
      <c r="N181" s="118"/>
    </row>
    <row r="182" spans="2:14" x14ac:dyDescent="0.2">
      <c r="B182" s="129" t="s">
        <v>247</v>
      </c>
      <c r="C182" s="118">
        <v>-6691</v>
      </c>
      <c r="D182" s="118">
        <v>0</v>
      </c>
      <c r="E182" s="118">
        <v>0</v>
      </c>
      <c r="F182" s="118">
        <v>-6691</v>
      </c>
      <c r="G182" s="600"/>
      <c r="H182" s="600"/>
      <c r="J182" s="129" t="s">
        <v>247</v>
      </c>
      <c r="K182" s="118">
        <v>-7104</v>
      </c>
      <c r="L182" s="118">
        <v>0</v>
      </c>
      <c r="M182" s="118">
        <v>-903</v>
      </c>
      <c r="N182" s="118">
        <v>-8007</v>
      </c>
    </row>
    <row r="183" spans="2:14" x14ac:dyDescent="0.2">
      <c r="B183" s="126" t="s">
        <v>1326</v>
      </c>
      <c r="C183" s="120">
        <f>SUM(C175:C182)</f>
        <v>68150</v>
      </c>
      <c r="D183" s="120">
        <f>SUM(D175:D182)</f>
        <v>0</v>
      </c>
      <c r="E183" s="120">
        <f>SUM(E175:E182)</f>
        <v>0</v>
      </c>
      <c r="F183" s="120">
        <f>SUM(F175:F182)</f>
        <v>68151</v>
      </c>
      <c r="G183" s="600"/>
      <c r="H183" s="600"/>
      <c r="J183" s="126" t="s">
        <v>1326</v>
      </c>
      <c r="K183" s="120">
        <f>SUM(K175:K182)</f>
        <v>72140</v>
      </c>
      <c r="L183" s="120">
        <f>SUM(L175:L182)</f>
        <v>0</v>
      </c>
      <c r="M183" s="120">
        <f>SUM(M175:M182)</f>
        <v>9666</v>
      </c>
      <c r="N183" s="120">
        <f>SUM(N175:N182)</f>
        <v>81806</v>
      </c>
    </row>
    <row r="185" spans="2:14" x14ac:dyDescent="0.2">
      <c r="B185" s="129" t="s">
        <v>822</v>
      </c>
      <c r="C185" s="118">
        <v>0</v>
      </c>
      <c r="D185" s="118">
        <v>0</v>
      </c>
      <c r="E185" s="118">
        <v>0</v>
      </c>
      <c r="F185" s="118">
        <v>0</v>
      </c>
      <c r="G185" s="600"/>
      <c r="H185" s="600"/>
      <c r="J185" s="129" t="s">
        <v>822</v>
      </c>
      <c r="K185" s="118"/>
      <c r="L185" s="118"/>
      <c r="M185" s="118"/>
      <c r="N185" s="118"/>
    </row>
    <row r="186" spans="2:14" x14ac:dyDescent="0.2">
      <c r="B186" s="129" t="s">
        <v>858</v>
      </c>
      <c r="C186" s="118">
        <v>0</v>
      </c>
      <c r="D186" s="118">
        <v>0</v>
      </c>
      <c r="E186" s="118">
        <v>0</v>
      </c>
      <c r="F186" s="118">
        <v>0</v>
      </c>
      <c r="G186" s="600"/>
      <c r="H186" s="600"/>
      <c r="J186" s="129" t="s">
        <v>858</v>
      </c>
      <c r="K186" s="118"/>
      <c r="L186" s="118"/>
      <c r="M186" s="118"/>
      <c r="N186" s="118"/>
    </row>
    <row r="187" spans="2:14" x14ac:dyDescent="0.2">
      <c r="B187" s="129" t="s">
        <v>189</v>
      </c>
      <c r="C187" s="118">
        <v>4859</v>
      </c>
      <c r="D187" s="118">
        <v>0</v>
      </c>
      <c r="E187" s="118">
        <v>0</v>
      </c>
      <c r="F187" s="118">
        <v>4859</v>
      </c>
      <c r="G187" s="600"/>
      <c r="H187" s="600"/>
      <c r="J187" s="129" t="s">
        <v>189</v>
      </c>
      <c r="K187" s="118">
        <v>4850</v>
      </c>
      <c r="L187" s="118">
        <v>0</v>
      </c>
      <c r="M187" s="118">
        <v>265</v>
      </c>
      <c r="N187" s="118">
        <v>5115</v>
      </c>
    </row>
    <row r="188" spans="2:14" x14ac:dyDescent="0.2">
      <c r="B188" s="129" t="s">
        <v>823</v>
      </c>
      <c r="C188" s="118">
        <v>0</v>
      </c>
      <c r="D188" s="118">
        <v>0</v>
      </c>
      <c r="E188" s="118">
        <v>0</v>
      </c>
      <c r="F188" s="118">
        <v>0</v>
      </c>
      <c r="G188" s="600"/>
      <c r="H188" s="600"/>
      <c r="J188" s="129" t="s">
        <v>823</v>
      </c>
      <c r="K188" s="118">
        <v>0</v>
      </c>
      <c r="L188" s="118">
        <v>0</v>
      </c>
      <c r="M188" s="118">
        <v>0</v>
      </c>
      <c r="N188" s="118">
        <v>0</v>
      </c>
    </row>
    <row r="189" spans="2:14" x14ac:dyDescent="0.2">
      <c r="B189" s="129" t="s">
        <v>1291</v>
      </c>
      <c r="C189" s="118">
        <v>0</v>
      </c>
      <c r="D189" s="118">
        <v>0</v>
      </c>
      <c r="E189" s="118">
        <v>0</v>
      </c>
      <c r="F189" s="118">
        <v>0</v>
      </c>
      <c r="G189" s="600"/>
      <c r="H189" s="600"/>
      <c r="J189" s="129" t="s">
        <v>1291</v>
      </c>
      <c r="K189" s="118"/>
      <c r="L189" s="118"/>
      <c r="M189" s="118"/>
      <c r="N189" s="118"/>
    </row>
    <row r="190" spans="2:14" x14ac:dyDescent="0.2">
      <c r="B190" s="129" t="s">
        <v>247</v>
      </c>
      <c r="C190" s="118">
        <v>-6822</v>
      </c>
      <c r="D190" s="118">
        <v>0</v>
      </c>
      <c r="E190" s="118">
        <v>0</v>
      </c>
      <c r="F190" s="118">
        <v>-6822</v>
      </c>
      <c r="G190" s="600"/>
      <c r="H190" s="600"/>
      <c r="J190" s="129" t="s">
        <v>247</v>
      </c>
      <c r="K190" s="118">
        <v>-7354</v>
      </c>
      <c r="L190" s="118">
        <v>0</v>
      </c>
      <c r="M190" s="118">
        <v>-921</v>
      </c>
      <c r="N190" s="118">
        <v>-8275</v>
      </c>
    </row>
    <row r="191" spans="2:14" x14ac:dyDescent="0.2">
      <c r="B191" s="126" t="s">
        <v>1334</v>
      </c>
      <c r="C191" s="120">
        <f>SUM(C183:C190)</f>
        <v>66187</v>
      </c>
      <c r="D191" s="120">
        <f>SUM(D183:D190)</f>
        <v>0</v>
      </c>
      <c r="E191" s="120">
        <f>SUM(E183:E190)</f>
        <v>0</v>
      </c>
      <c r="F191" s="120">
        <f>SUM(F183:F190)</f>
        <v>66188</v>
      </c>
      <c r="G191" s="600"/>
      <c r="H191" s="600"/>
      <c r="J191" s="126" t="s">
        <v>1334</v>
      </c>
      <c r="K191" s="120">
        <f>SUM(K183:K190)</f>
        <v>69636</v>
      </c>
      <c r="L191" s="120">
        <f>SUM(L183:L190)</f>
        <v>0</v>
      </c>
      <c r="M191" s="120">
        <f>SUM(M183:M190)</f>
        <v>9010</v>
      </c>
      <c r="N191" s="120">
        <f>SUM(N183:N190)</f>
        <v>78646</v>
      </c>
    </row>
    <row r="193" spans="2:14" x14ac:dyDescent="0.2">
      <c r="B193" s="129" t="s">
        <v>822</v>
      </c>
      <c r="C193" s="118">
        <v>0</v>
      </c>
      <c r="D193" s="118">
        <v>0</v>
      </c>
      <c r="E193" s="118">
        <v>0</v>
      </c>
      <c r="F193" s="118">
        <v>0</v>
      </c>
      <c r="G193" s="600"/>
      <c r="H193" s="600"/>
      <c r="J193" s="129" t="s">
        <v>822</v>
      </c>
      <c r="K193" s="118"/>
      <c r="L193" s="118"/>
      <c r="M193" s="118"/>
      <c r="N193" s="118"/>
    </row>
    <row r="194" spans="2:14" x14ac:dyDescent="0.2">
      <c r="B194" s="129" t="s">
        <v>858</v>
      </c>
      <c r="C194" s="118">
        <v>0</v>
      </c>
      <c r="D194" s="118">
        <v>0</v>
      </c>
      <c r="E194" s="118">
        <v>0</v>
      </c>
      <c r="F194" s="118">
        <v>0</v>
      </c>
      <c r="G194" s="600"/>
      <c r="H194" s="600"/>
      <c r="J194" s="129" t="s">
        <v>858</v>
      </c>
      <c r="K194" s="118"/>
      <c r="L194" s="118"/>
      <c r="M194" s="118"/>
      <c r="N194" s="118"/>
    </row>
    <row r="195" spans="2:14" x14ac:dyDescent="0.2">
      <c r="B195" s="129" t="s">
        <v>189</v>
      </c>
      <c r="C195" s="118">
        <v>2225</v>
      </c>
      <c r="D195" s="118">
        <v>0</v>
      </c>
      <c r="E195" s="118">
        <v>0</v>
      </c>
      <c r="F195" s="118">
        <v>2225</v>
      </c>
      <c r="G195" s="600"/>
      <c r="H195" s="600"/>
      <c r="J195" s="129" t="s">
        <v>189</v>
      </c>
      <c r="K195" s="118">
        <v>2992</v>
      </c>
      <c r="L195" s="118">
        <v>0</v>
      </c>
      <c r="M195" s="118">
        <v>0</v>
      </c>
      <c r="N195" s="118">
        <v>2992</v>
      </c>
    </row>
    <row r="196" spans="2:14" x14ac:dyDescent="0.2">
      <c r="B196" s="129" t="s">
        <v>823</v>
      </c>
      <c r="C196" s="118">
        <v>0</v>
      </c>
      <c r="D196" s="118">
        <v>0</v>
      </c>
      <c r="E196" s="118">
        <v>0</v>
      </c>
      <c r="F196" s="118">
        <v>0</v>
      </c>
      <c r="G196" s="600"/>
      <c r="H196" s="600"/>
      <c r="J196" s="129" t="s">
        <v>823</v>
      </c>
      <c r="K196" s="118">
        <v>0</v>
      </c>
      <c r="L196" s="118">
        <v>0</v>
      </c>
      <c r="M196" s="118">
        <v>0</v>
      </c>
      <c r="N196" s="118">
        <v>0</v>
      </c>
    </row>
    <row r="197" spans="2:14" x14ac:dyDescent="0.2">
      <c r="B197" s="129" t="s">
        <v>1291</v>
      </c>
      <c r="C197" s="118">
        <v>0</v>
      </c>
      <c r="D197" s="118">
        <v>0</v>
      </c>
      <c r="E197" s="118">
        <v>0</v>
      </c>
      <c r="F197" s="118">
        <v>0</v>
      </c>
      <c r="G197" s="600"/>
      <c r="H197" s="600"/>
      <c r="J197" s="129" t="s">
        <v>1291</v>
      </c>
      <c r="K197" s="118"/>
      <c r="L197" s="118"/>
      <c r="M197" s="118"/>
      <c r="N197" s="118"/>
    </row>
    <row r="198" spans="2:14" x14ac:dyDescent="0.2">
      <c r="B198" s="129" t="s">
        <v>247</v>
      </c>
      <c r="C198" s="118">
        <v>-6896</v>
      </c>
      <c r="D198" s="118">
        <v>0</v>
      </c>
      <c r="E198" s="118">
        <v>0</v>
      </c>
      <c r="F198" s="118">
        <v>-6896</v>
      </c>
      <c r="G198" s="600"/>
      <c r="H198" s="600"/>
      <c r="J198" s="129" t="s">
        <v>247</v>
      </c>
      <c r="K198" s="118">
        <v>-7516</v>
      </c>
      <c r="L198" s="118">
        <v>0</v>
      </c>
      <c r="M198" s="118">
        <v>-927</v>
      </c>
      <c r="N198" s="118">
        <v>-8443</v>
      </c>
    </row>
    <row r="199" spans="2:14" x14ac:dyDescent="0.2">
      <c r="B199" s="126" t="s">
        <v>1341</v>
      </c>
      <c r="C199" s="120">
        <f>SUM(C191:C198)</f>
        <v>61516</v>
      </c>
      <c r="D199" s="120">
        <f>SUM(D175:D198)</f>
        <v>0</v>
      </c>
      <c r="E199" s="120">
        <f>SUM(E175:E198)</f>
        <v>0</v>
      </c>
      <c r="F199" s="120">
        <f>SUM(F191:F198)</f>
        <v>61517</v>
      </c>
      <c r="G199" s="600"/>
      <c r="H199" s="600"/>
      <c r="J199" s="126" t="s">
        <v>1341</v>
      </c>
      <c r="K199" s="120">
        <f>SUM(K191:K198)</f>
        <v>65112</v>
      </c>
      <c r="L199" s="120">
        <f>SUM(L183:L198)</f>
        <v>0</v>
      </c>
      <c r="M199" s="120">
        <f>SUM(M191:M198)</f>
        <v>8083</v>
      </c>
      <c r="N199" s="120">
        <f>SUM(N191:N198)</f>
        <v>73195</v>
      </c>
    </row>
    <row r="201" spans="2:14" x14ac:dyDescent="0.2">
      <c r="B201" s="129" t="s">
        <v>822</v>
      </c>
      <c r="C201" s="118">
        <v>0</v>
      </c>
      <c r="D201" s="118">
        <v>0</v>
      </c>
      <c r="E201" s="118">
        <v>0</v>
      </c>
      <c r="F201" s="118">
        <v>0</v>
      </c>
      <c r="G201" s="600"/>
      <c r="H201" s="600"/>
      <c r="J201" s="129" t="s">
        <v>822</v>
      </c>
      <c r="K201" s="118">
        <v>0</v>
      </c>
      <c r="L201" s="118">
        <v>0</v>
      </c>
      <c r="M201" s="118">
        <v>0</v>
      </c>
      <c r="N201" s="118">
        <v>0</v>
      </c>
    </row>
    <row r="202" spans="2:14" x14ac:dyDescent="0.2">
      <c r="B202" s="129" t="s">
        <v>858</v>
      </c>
      <c r="C202" s="118">
        <v>0</v>
      </c>
      <c r="D202" s="118">
        <v>0</v>
      </c>
      <c r="E202" s="118">
        <v>0</v>
      </c>
      <c r="F202" s="118">
        <v>0</v>
      </c>
      <c r="G202" s="600"/>
      <c r="H202" s="600"/>
      <c r="J202" s="129" t="s">
        <v>858</v>
      </c>
      <c r="K202" s="118">
        <v>0</v>
      </c>
      <c r="L202" s="118">
        <v>0</v>
      </c>
      <c r="M202" s="118">
        <v>0</v>
      </c>
      <c r="N202" s="118">
        <v>0</v>
      </c>
    </row>
    <row r="203" spans="2:14" x14ac:dyDescent="0.2">
      <c r="B203" s="129" t="s">
        <v>189</v>
      </c>
      <c r="C203" s="118">
        <v>761</v>
      </c>
      <c r="D203" s="118">
        <v>0</v>
      </c>
      <c r="E203" s="118">
        <v>0</v>
      </c>
      <c r="F203" s="118">
        <v>761</v>
      </c>
      <c r="G203" s="600"/>
      <c r="H203" s="600"/>
      <c r="J203" s="129" t="s">
        <v>189</v>
      </c>
      <c r="K203" s="118">
        <v>3554</v>
      </c>
      <c r="L203" s="118">
        <v>0</v>
      </c>
      <c r="M203" s="118">
        <v>0</v>
      </c>
      <c r="N203" s="118">
        <v>3554</v>
      </c>
    </row>
    <row r="204" spans="2:14" x14ac:dyDescent="0.2">
      <c r="B204" s="129" t="s">
        <v>823</v>
      </c>
      <c r="C204" s="118">
        <v>0</v>
      </c>
      <c r="D204" s="118">
        <v>0</v>
      </c>
      <c r="E204" s="118">
        <v>0</v>
      </c>
      <c r="F204" s="118">
        <v>0</v>
      </c>
      <c r="G204" s="600"/>
      <c r="H204" s="600"/>
      <c r="J204" s="129" t="s">
        <v>823</v>
      </c>
      <c r="K204" s="118">
        <v>0</v>
      </c>
      <c r="L204" s="118">
        <v>0</v>
      </c>
      <c r="M204" s="118">
        <v>0</v>
      </c>
      <c r="N204" s="118">
        <v>0</v>
      </c>
    </row>
    <row r="205" spans="2:14" x14ac:dyDescent="0.2">
      <c r="B205" s="129" t="s">
        <v>1291</v>
      </c>
      <c r="C205" s="118">
        <v>0</v>
      </c>
      <c r="D205" s="118">
        <v>0</v>
      </c>
      <c r="E205" s="118">
        <v>0</v>
      </c>
      <c r="F205" s="118">
        <v>0</v>
      </c>
      <c r="G205" s="600"/>
      <c r="H205" s="600"/>
      <c r="J205" s="129" t="s">
        <v>1291</v>
      </c>
      <c r="K205" s="118">
        <v>0</v>
      </c>
      <c r="L205" s="118">
        <v>0</v>
      </c>
      <c r="M205" s="118">
        <v>0</v>
      </c>
      <c r="N205" s="118">
        <v>0</v>
      </c>
    </row>
    <row r="206" spans="2:14" x14ac:dyDescent="0.2">
      <c r="B206" s="129" t="s">
        <v>247</v>
      </c>
      <c r="C206" s="118">
        <v>-6966</v>
      </c>
      <c r="D206" s="118">
        <v>0</v>
      </c>
      <c r="E206" s="118">
        <v>0</v>
      </c>
      <c r="F206" s="118">
        <v>-6966</v>
      </c>
      <c r="G206" s="600"/>
      <c r="H206" s="600"/>
      <c r="J206" s="129" t="s">
        <v>247</v>
      </c>
      <c r="K206" s="118">
        <v>-7573</v>
      </c>
      <c r="L206" s="118">
        <v>0</v>
      </c>
      <c r="M206" s="118">
        <v>-926</v>
      </c>
      <c r="N206" s="118">
        <v>-8499</v>
      </c>
    </row>
    <row r="207" spans="2:14" x14ac:dyDescent="0.2">
      <c r="B207" s="126" t="s">
        <v>1356</v>
      </c>
      <c r="C207" s="120">
        <f>SUM(C199:C206)</f>
        <v>55311</v>
      </c>
      <c r="D207" s="120">
        <f>SUM(D183:D206)</f>
        <v>0</v>
      </c>
      <c r="E207" s="120">
        <f>SUM(E183:E206)</f>
        <v>0</v>
      </c>
      <c r="F207" s="120">
        <f>SUM(F199:F206)-1</f>
        <v>55311</v>
      </c>
      <c r="G207" s="600"/>
      <c r="H207" s="600"/>
      <c r="J207" s="126" t="s">
        <v>1356</v>
      </c>
      <c r="K207" s="120">
        <f>SUM(K199:K206)</f>
        <v>61093</v>
      </c>
      <c r="L207" s="120">
        <f>SUM(L191:L206)</f>
        <v>0</v>
      </c>
      <c r="M207" s="120">
        <f>SUM(M199:M206)</f>
        <v>7157</v>
      </c>
      <c r="N207" s="120">
        <f>SUM(N199:N206)</f>
        <v>68250</v>
      </c>
    </row>
    <row r="209" spans="2:14" x14ac:dyDescent="0.2">
      <c r="B209" s="129" t="s">
        <v>822</v>
      </c>
      <c r="C209" s="118">
        <v>0</v>
      </c>
      <c r="D209" s="118">
        <v>0</v>
      </c>
      <c r="E209" s="118">
        <v>0</v>
      </c>
      <c r="F209" s="118">
        <f t="shared" ref="F209:F214" si="0">+SUM(C209:E209)</f>
        <v>0</v>
      </c>
      <c r="G209" s="600"/>
      <c r="H209" s="600"/>
      <c r="J209" s="129" t="s">
        <v>822</v>
      </c>
      <c r="K209" s="118">
        <v>0</v>
      </c>
      <c r="L209" s="118">
        <v>0</v>
      </c>
      <c r="M209" s="118">
        <v>0</v>
      </c>
      <c r="N209" s="118">
        <f t="shared" ref="N209:N214" si="1">+SUM(K209:M209)</f>
        <v>0</v>
      </c>
    </row>
    <row r="210" spans="2:14" x14ac:dyDescent="0.2">
      <c r="B210" s="129" t="s">
        <v>858</v>
      </c>
      <c r="C210" s="118">
        <v>0</v>
      </c>
      <c r="D210" s="118">
        <v>0</v>
      </c>
      <c r="E210" s="118">
        <v>0</v>
      </c>
      <c r="F210" s="118">
        <f t="shared" si="0"/>
        <v>0</v>
      </c>
      <c r="G210" s="600"/>
      <c r="H210" s="600"/>
      <c r="J210" s="129" t="s">
        <v>858</v>
      </c>
      <c r="K210" s="118">
        <v>0</v>
      </c>
      <c r="L210" s="118">
        <v>0</v>
      </c>
      <c r="M210" s="118">
        <v>0</v>
      </c>
      <c r="N210" s="118">
        <f t="shared" si="1"/>
        <v>0</v>
      </c>
    </row>
    <row r="211" spans="2:14" x14ac:dyDescent="0.2">
      <c r="B211" s="129" t="s">
        <v>189</v>
      </c>
      <c r="C211" s="118">
        <v>1177</v>
      </c>
      <c r="D211" s="118">
        <v>0</v>
      </c>
      <c r="E211" s="118">
        <v>0</v>
      </c>
      <c r="F211" s="118">
        <f t="shared" si="0"/>
        <v>1177</v>
      </c>
      <c r="G211" s="600"/>
      <c r="H211" s="600"/>
      <c r="J211" s="129" t="s">
        <v>189</v>
      </c>
      <c r="K211" s="118">
        <v>777</v>
      </c>
      <c r="L211" s="118">
        <v>0</v>
      </c>
      <c r="M211" s="118">
        <v>126</v>
      </c>
      <c r="N211" s="118">
        <f t="shared" si="1"/>
        <v>903</v>
      </c>
    </row>
    <row r="212" spans="2:14" x14ac:dyDescent="0.2">
      <c r="B212" s="129" t="s">
        <v>823</v>
      </c>
      <c r="C212" s="118">
        <v>0</v>
      </c>
      <c r="D212" s="118">
        <v>0</v>
      </c>
      <c r="E212" s="118">
        <v>0</v>
      </c>
      <c r="F212" s="118">
        <f t="shared" si="0"/>
        <v>0</v>
      </c>
      <c r="G212" s="600"/>
      <c r="H212" s="600"/>
      <c r="J212" s="129" t="s">
        <v>823</v>
      </c>
      <c r="K212" s="118">
        <v>0</v>
      </c>
      <c r="L212" s="118">
        <v>0</v>
      </c>
      <c r="M212" s="118">
        <v>-1265</v>
      </c>
      <c r="N212" s="118">
        <f t="shared" si="1"/>
        <v>-1265</v>
      </c>
    </row>
    <row r="213" spans="2:14" x14ac:dyDescent="0.2">
      <c r="B213" s="129" t="s">
        <v>1291</v>
      </c>
      <c r="C213" s="118">
        <v>0</v>
      </c>
      <c r="D213" s="118">
        <v>0</v>
      </c>
      <c r="E213" s="118">
        <v>0</v>
      </c>
      <c r="F213" s="118">
        <f t="shared" si="0"/>
        <v>0</v>
      </c>
      <c r="G213" s="600"/>
      <c r="H213" s="600"/>
      <c r="J213" s="129" t="s">
        <v>1291</v>
      </c>
      <c r="K213" s="118">
        <v>0</v>
      </c>
      <c r="L213" s="118">
        <v>0</v>
      </c>
      <c r="M213" s="118">
        <v>-1265</v>
      </c>
      <c r="N213" s="118">
        <f t="shared" si="1"/>
        <v>-1265</v>
      </c>
    </row>
    <row r="214" spans="2:14" x14ac:dyDescent="0.2">
      <c r="B214" s="129" t="s">
        <v>247</v>
      </c>
      <c r="C214" s="118">
        <v>-7184</v>
      </c>
      <c r="D214" s="118">
        <v>0</v>
      </c>
      <c r="E214" s="118">
        <v>0</v>
      </c>
      <c r="F214" s="118">
        <f t="shared" si="0"/>
        <v>-7184</v>
      </c>
      <c r="G214" s="600"/>
      <c r="H214" s="600"/>
      <c r="J214" s="129" t="s">
        <v>247</v>
      </c>
      <c r="K214" s="118">
        <v>-7768</v>
      </c>
      <c r="L214" s="118">
        <v>0</v>
      </c>
      <c r="M214" s="118">
        <v>-782</v>
      </c>
      <c r="N214" s="118">
        <f t="shared" si="1"/>
        <v>-8550</v>
      </c>
    </row>
    <row r="215" spans="2:14" x14ac:dyDescent="0.2">
      <c r="B215" s="126" t="s">
        <v>1374</v>
      </c>
      <c r="C215" s="120">
        <f>SUM(C207:C214)</f>
        <v>49304</v>
      </c>
      <c r="D215" s="120">
        <f>SUM(D191:D214)</f>
        <v>0</v>
      </c>
      <c r="E215" s="120">
        <f>SUM(E191:E214)</f>
        <v>0</v>
      </c>
      <c r="F215" s="120">
        <f>SUM(F207:F214)-1</f>
        <v>49303</v>
      </c>
      <c r="G215" s="600"/>
      <c r="H215" s="600"/>
      <c r="J215" s="126" t="s">
        <v>1374</v>
      </c>
      <c r="K215" s="120">
        <f>SUM(K207:K214)</f>
        <v>54102</v>
      </c>
      <c r="L215" s="120">
        <f>SUM(L199:L214)</f>
        <v>0</v>
      </c>
      <c r="M215" s="120">
        <f>SUM(M207:M214)</f>
        <v>3971</v>
      </c>
      <c r="N215" s="120">
        <f>SUM(N207:N214)</f>
        <v>58073</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ilha8">
    <pageSetUpPr autoPageBreaks="0"/>
  </sheetPr>
  <dimension ref="A1:AF1712"/>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ColWidth="9.140625" defaultRowHeight="14.25" x14ac:dyDescent="0.2"/>
  <cols>
    <col min="1" max="1" width="1.140625" style="51" customWidth="1"/>
    <col min="2" max="2" width="37.85546875" style="51" customWidth="1"/>
    <col min="3" max="11" width="10.85546875" style="51" customWidth="1"/>
    <col min="12" max="32" width="10.85546875" style="1190" customWidth="1"/>
    <col min="33" max="16384" width="9.140625" style="51"/>
  </cols>
  <sheetData>
    <row r="1" spans="1:32" s="549" customFormat="1" ht="7.5" customHeight="1" x14ac:dyDescent="0.2">
      <c r="C1" s="796"/>
      <c r="D1" s="796"/>
      <c r="E1" s="796"/>
      <c r="F1" s="796"/>
      <c r="G1" s="796"/>
      <c r="H1" s="796"/>
      <c r="I1" s="796"/>
      <c r="J1" s="796"/>
      <c r="K1" s="796"/>
      <c r="L1" s="796"/>
      <c r="M1" s="796"/>
      <c r="N1" s="796"/>
      <c r="O1" s="796"/>
      <c r="P1" s="796"/>
      <c r="Q1" s="796"/>
      <c r="R1" s="796"/>
      <c r="S1" s="796"/>
      <c r="T1" s="796"/>
      <c r="U1" s="796"/>
      <c r="V1" s="796"/>
      <c r="W1" s="796"/>
      <c r="X1" s="796"/>
      <c r="Y1" s="796"/>
      <c r="Z1" s="796"/>
      <c r="AA1" s="796"/>
      <c r="AB1" s="796"/>
      <c r="AC1" s="796"/>
      <c r="AD1" s="796"/>
      <c r="AE1" s="796"/>
      <c r="AF1" s="796"/>
    </row>
    <row r="2" spans="1:32" s="549" customFormat="1" ht="12.75" customHeight="1" x14ac:dyDescent="0.2">
      <c r="C2" s="796"/>
      <c r="D2" s="796"/>
      <c r="E2" s="796"/>
      <c r="F2" s="796"/>
      <c r="G2" s="796"/>
      <c r="H2" s="796"/>
      <c r="I2" s="796"/>
      <c r="J2" s="796"/>
      <c r="K2" s="796"/>
      <c r="L2" s="796"/>
      <c r="M2" s="796"/>
      <c r="N2" s="796"/>
      <c r="O2" s="796"/>
      <c r="P2" s="796"/>
      <c r="Q2" s="796"/>
      <c r="R2" s="796"/>
      <c r="S2" s="796"/>
      <c r="T2" s="796"/>
      <c r="U2" s="796"/>
      <c r="V2" s="796"/>
      <c r="W2" s="796"/>
      <c r="X2" s="796"/>
      <c r="Y2" s="796"/>
      <c r="Z2" s="796"/>
      <c r="AA2" s="796"/>
      <c r="AB2" s="796"/>
      <c r="AC2" s="796"/>
      <c r="AD2" s="796"/>
      <c r="AE2" s="796"/>
      <c r="AF2" s="796"/>
    </row>
    <row r="3" spans="1:32" s="25" customFormat="1" ht="12.75" customHeight="1" x14ac:dyDescent="0.2">
      <c r="L3" s="796"/>
      <c r="M3" s="796"/>
      <c r="N3" s="796"/>
      <c r="O3" s="796"/>
      <c r="P3" s="796"/>
      <c r="Q3" s="796"/>
      <c r="R3" s="796"/>
      <c r="S3" s="796"/>
      <c r="T3" s="796"/>
      <c r="U3" s="796"/>
      <c r="V3" s="1165"/>
      <c r="W3" s="1165"/>
      <c r="X3" s="1165"/>
      <c r="Y3" s="1165"/>
      <c r="Z3" s="1165"/>
      <c r="AA3" s="1165"/>
      <c r="AB3" s="1165"/>
      <c r="AC3" s="1165"/>
      <c r="AD3" s="1165"/>
      <c r="AE3" s="1165"/>
      <c r="AF3" s="1165"/>
    </row>
    <row r="4" spans="1:32" s="25" customFormat="1" ht="12.75" customHeight="1" x14ac:dyDescent="0.2">
      <c r="B4" s="795"/>
      <c r="L4" s="353"/>
      <c r="M4" s="353"/>
      <c r="N4" s="353"/>
      <c r="O4" s="353"/>
      <c r="P4" s="353"/>
      <c r="Q4" s="353"/>
      <c r="R4" s="353"/>
      <c r="S4" s="353"/>
      <c r="T4" s="353"/>
      <c r="U4" s="353"/>
      <c r="V4" s="353"/>
      <c r="W4" s="353"/>
      <c r="X4" s="353"/>
      <c r="Y4" s="353"/>
      <c r="Z4" s="353"/>
      <c r="AA4" s="353"/>
      <c r="AB4" s="353"/>
      <c r="AC4" s="353"/>
      <c r="AD4" s="353"/>
      <c r="AE4" s="353"/>
      <c r="AF4" s="353"/>
    </row>
    <row r="5" spans="1:32" s="25" customFormat="1" x14ac:dyDescent="0.2">
      <c r="B5" s="115" t="s">
        <v>96</v>
      </c>
      <c r="C5" s="115" t="s">
        <v>626</v>
      </c>
      <c r="D5" s="115" t="s">
        <v>798</v>
      </c>
      <c r="E5" s="115" t="s">
        <v>799</v>
      </c>
      <c r="F5" s="115" t="s">
        <v>800</v>
      </c>
      <c r="G5" s="115" t="s">
        <v>801</v>
      </c>
      <c r="H5" s="115" t="s">
        <v>913</v>
      </c>
      <c r="I5" s="115" t="s">
        <v>914</v>
      </c>
      <c r="J5" s="115" t="s">
        <v>923</v>
      </c>
      <c r="K5" s="115" t="s">
        <v>924</v>
      </c>
      <c r="L5" s="115" t="s">
        <v>1049</v>
      </c>
      <c r="M5" s="115" t="s">
        <v>1023</v>
      </c>
      <c r="N5" s="115" t="s">
        <v>1024</v>
      </c>
      <c r="O5" s="115" t="s">
        <v>1050</v>
      </c>
      <c r="P5" s="115" t="s">
        <v>1114</v>
      </c>
      <c r="Q5" s="115" t="s">
        <v>1119</v>
      </c>
      <c r="R5" s="115" t="s">
        <v>1121</v>
      </c>
      <c r="S5" s="115" t="s">
        <v>1123</v>
      </c>
      <c r="T5" s="115" t="s">
        <v>1176</v>
      </c>
      <c r="U5" s="115" t="s">
        <v>1177</v>
      </c>
      <c r="V5" s="115" t="s">
        <v>1179</v>
      </c>
      <c r="W5" s="115" t="s">
        <v>1181</v>
      </c>
      <c r="X5" s="115" t="s">
        <v>1243</v>
      </c>
      <c r="Y5" s="115" t="s">
        <v>1250</v>
      </c>
      <c r="Z5" s="115" t="s">
        <v>1251</v>
      </c>
      <c r="AA5" s="115" t="s">
        <v>1252</v>
      </c>
      <c r="AB5" s="115" t="s">
        <v>1311</v>
      </c>
      <c r="AC5" s="115" t="s">
        <v>1313</v>
      </c>
      <c r="AD5" s="115" t="s">
        <v>1315</v>
      </c>
      <c r="AE5" s="115" t="s">
        <v>1317</v>
      </c>
      <c r="AF5" s="115" t="s">
        <v>1344</v>
      </c>
    </row>
    <row r="6" spans="1:32" s="25" customFormat="1" x14ac:dyDescent="0.2">
      <c r="B6" s="129" t="s">
        <v>858</v>
      </c>
      <c r="C6" s="118">
        <v>0</v>
      </c>
      <c r="D6" s="118">
        <v>68087.002500000002</v>
      </c>
      <c r="E6" s="118">
        <v>-2.5000000023283064E-3</v>
      </c>
      <c r="F6" s="118">
        <v>16721.932959999947</v>
      </c>
      <c r="G6" s="118">
        <v>6.7040000052656978E-2</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0</v>
      </c>
      <c r="AA6" s="118">
        <v>0</v>
      </c>
      <c r="AB6" s="118">
        <v>0</v>
      </c>
      <c r="AC6" s="118">
        <v>0</v>
      </c>
      <c r="AD6" s="118">
        <v>0</v>
      </c>
      <c r="AE6" s="118">
        <v>0</v>
      </c>
      <c r="AF6" s="118">
        <v>0</v>
      </c>
    </row>
    <row r="7" spans="1:32" s="25" customFormat="1" x14ac:dyDescent="0.2">
      <c r="B7" s="129" t="s">
        <v>189</v>
      </c>
      <c r="C7" s="118">
        <v>0</v>
      </c>
      <c r="D7" s="118">
        <v>6637.4549999999999</v>
      </c>
      <c r="E7" s="118">
        <v>23255.544999999998</v>
      </c>
      <c r="F7" s="118">
        <v>-8897.9329599999455</v>
      </c>
      <c r="G7" s="118">
        <v>2728.9329599999455</v>
      </c>
      <c r="H7" s="118">
        <v>16075</v>
      </c>
      <c r="I7" s="118">
        <v>1059</v>
      </c>
      <c r="J7" s="118">
        <v>-1356</v>
      </c>
      <c r="K7" s="118">
        <v>314</v>
      </c>
      <c r="L7" s="118">
        <v>37627</v>
      </c>
      <c r="M7" s="118">
        <v>1736</v>
      </c>
      <c r="N7" s="118">
        <v>1212</v>
      </c>
      <c r="O7" s="118">
        <v>1940</v>
      </c>
      <c r="P7" s="118">
        <v>5248</v>
      </c>
      <c r="Q7" s="118">
        <v>4685</v>
      </c>
      <c r="R7" s="118">
        <v>9766</v>
      </c>
      <c r="S7" s="118">
        <v>508</v>
      </c>
      <c r="T7" s="118">
        <v>28733</v>
      </c>
      <c r="U7" s="118">
        <v>13077</v>
      </c>
      <c r="V7" s="118">
        <v>2312</v>
      </c>
      <c r="W7" s="118">
        <v>6272</v>
      </c>
      <c r="X7" s="118">
        <v>3167</v>
      </c>
      <c r="Y7" s="118">
        <v>9044</v>
      </c>
      <c r="Z7" s="118">
        <v>196</v>
      </c>
      <c r="AA7" s="118">
        <v>20180</v>
      </c>
      <c r="AB7" s="118">
        <v>24794</v>
      </c>
      <c r="AC7" s="118">
        <v>5115</v>
      </c>
      <c r="AD7" s="118">
        <v>2992</v>
      </c>
      <c r="AE7" s="118">
        <v>3554</v>
      </c>
      <c r="AF7" s="118">
        <v>903</v>
      </c>
    </row>
    <row r="8" spans="1:32" s="25" customFormat="1" x14ac:dyDescent="0.2">
      <c r="B8" s="129" t="s">
        <v>823</v>
      </c>
      <c r="C8" s="118">
        <v>0</v>
      </c>
      <c r="D8" s="118">
        <v>0</v>
      </c>
      <c r="E8" s="118">
        <v>-279</v>
      </c>
      <c r="F8" s="118">
        <v>-102</v>
      </c>
      <c r="G8" s="118">
        <v>-1657</v>
      </c>
      <c r="H8" s="118">
        <v>-204</v>
      </c>
      <c r="I8" s="118">
        <v>-2246</v>
      </c>
      <c r="J8" s="118">
        <v>514</v>
      </c>
      <c r="K8" s="118">
        <v>-529</v>
      </c>
      <c r="L8" s="118">
        <v>-22</v>
      </c>
      <c r="M8" s="118">
        <v>-468</v>
      </c>
      <c r="N8" s="118">
        <v>0</v>
      </c>
      <c r="O8" s="118">
        <v>0</v>
      </c>
      <c r="P8" s="118">
        <v>0</v>
      </c>
      <c r="Q8" s="118">
        <v>0</v>
      </c>
      <c r="R8" s="118">
        <v>0</v>
      </c>
      <c r="S8" s="118">
        <v>0</v>
      </c>
      <c r="T8" s="118">
        <v>0</v>
      </c>
      <c r="U8" s="118">
        <v>0</v>
      </c>
      <c r="V8" s="118">
        <v>-292</v>
      </c>
      <c r="W8" s="118">
        <v>0</v>
      </c>
      <c r="X8" s="118">
        <v>0</v>
      </c>
      <c r="Y8" s="118">
        <v>0</v>
      </c>
      <c r="Z8" s="118">
        <v>0</v>
      </c>
      <c r="AA8" s="118">
        <v>-643</v>
      </c>
      <c r="AB8" s="118">
        <v>-5</v>
      </c>
      <c r="AC8" s="118">
        <v>0</v>
      </c>
      <c r="AD8" s="118">
        <v>0</v>
      </c>
      <c r="AE8" s="118">
        <v>0</v>
      </c>
      <c r="AF8" s="118">
        <v>-1264</v>
      </c>
    </row>
    <row r="9" spans="1:32" s="25" customFormat="1" x14ac:dyDescent="0.2">
      <c r="B9" s="129" t="s">
        <v>824</v>
      </c>
      <c r="C9" s="118">
        <v>0</v>
      </c>
      <c r="D9" s="118">
        <v>1307</v>
      </c>
      <c r="E9" s="118">
        <v>1616</v>
      </c>
      <c r="F9" s="118">
        <v>1718</v>
      </c>
      <c r="G9" s="118">
        <v>1874</v>
      </c>
      <c r="H9" s="118">
        <v>1599</v>
      </c>
      <c r="I9" s="118">
        <v>1475</v>
      </c>
      <c r="J9" s="118">
        <v>1276</v>
      </c>
      <c r="K9" s="118">
        <v>1141</v>
      </c>
      <c r="L9" s="118">
        <v>1609</v>
      </c>
      <c r="M9" s="118">
        <v>1229</v>
      </c>
      <c r="N9" s="118">
        <v>1359</v>
      </c>
      <c r="O9" s="118">
        <v>1143</v>
      </c>
      <c r="P9" s="118">
        <v>1380</v>
      </c>
      <c r="Q9" s="118">
        <v>1320</v>
      </c>
      <c r="R9" s="118">
        <v>1394</v>
      </c>
      <c r="S9" s="118">
        <v>1643</v>
      </c>
      <c r="T9" s="118">
        <v>1764</v>
      </c>
      <c r="U9" s="118">
        <v>2469</v>
      </c>
      <c r="V9" s="118">
        <v>1865</v>
      </c>
      <c r="W9" s="118">
        <v>3194</v>
      </c>
      <c r="X9" s="118">
        <v>2421</v>
      </c>
      <c r="Y9" s="118">
        <v>2306</v>
      </c>
      <c r="Z9" s="118">
        <v>2130</v>
      </c>
      <c r="AA9" s="118">
        <v>1987</v>
      </c>
      <c r="AB9" s="118">
        <v>3265</v>
      </c>
      <c r="AC9" s="118">
        <v>3402</v>
      </c>
      <c r="AD9" s="118">
        <v>3229</v>
      </c>
      <c r="AE9" s="118">
        <v>3013</v>
      </c>
      <c r="AF9" s="118">
        <v>2660</v>
      </c>
    </row>
    <row r="10" spans="1:32" s="25" customFormat="1" x14ac:dyDescent="0.2">
      <c r="B10" s="129" t="s">
        <v>825</v>
      </c>
      <c r="C10" s="118">
        <v>0</v>
      </c>
      <c r="D10" s="118">
        <v>-5514</v>
      </c>
      <c r="E10" s="118">
        <v>-6540</v>
      </c>
      <c r="F10" s="118">
        <v>-7697</v>
      </c>
      <c r="G10" s="118">
        <v>-10243</v>
      </c>
      <c r="H10" s="118">
        <v>-8318</v>
      </c>
      <c r="I10" s="118">
        <v>-6744</v>
      </c>
      <c r="J10" s="118">
        <v>-7498</v>
      </c>
      <c r="K10" s="118">
        <v>-7879</v>
      </c>
      <c r="L10" s="118">
        <v>-8938</v>
      </c>
      <c r="M10" s="118">
        <v>-7989</v>
      </c>
      <c r="N10" s="118">
        <v>-7821</v>
      </c>
      <c r="O10" s="118">
        <v>-7801</v>
      </c>
      <c r="P10" s="118">
        <v>-7337</v>
      </c>
      <c r="Q10" s="118">
        <v>-7711</v>
      </c>
      <c r="R10" s="118">
        <v>-11299</v>
      </c>
      <c r="S10" s="118">
        <v>-8738</v>
      </c>
      <c r="T10" s="118">
        <v>-8139</v>
      </c>
      <c r="U10" s="118">
        <v>-7850</v>
      </c>
      <c r="V10" s="118">
        <v>-8241</v>
      </c>
      <c r="W10" s="118">
        <v>-8760</v>
      </c>
      <c r="X10" s="118">
        <v>-7662</v>
      </c>
      <c r="Y10" s="118">
        <v>-7743</v>
      </c>
      <c r="Z10" s="118">
        <v>-8056</v>
      </c>
      <c r="AA10" s="118">
        <v>-8107</v>
      </c>
      <c r="AB10" s="118">
        <v>-7443</v>
      </c>
      <c r="AC10" s="118">
        <v>-7680</v>
      </c>
      <c r="AD10" s="118">
        <v>-7862</v>
      </c>
      <c r="AE10" s="118">
        <v>-8476</v>
      </c>
      <c r="AF10" s="118">
        <v>-8516</v>
      </c>
    </row>
    <row r="11" spans="1:32" s="25" customFormat="1" ht="13.5" customHeight="1" x14ac:dyDescent="0.2">
      <c r="B11" s="129" t="s">
        <v>826</v>
      </c>
      <c r="C11" s="118">
        <v>0</v>
      </c>
      <c r="D11" s="118">
        <v>-766</v>
      </c>
      <c r="E11" s="118">
        <v>-1609</v>
      </c>
      <c r="F11" s="118">
        <v>-1624</v>
      </c>
      <c r="G11" s="118">
        <v>-2095</v>
      </c>
      <c r="H11" s="118">
        <v>-1556</v>
      </c>
      <c r="I11" s="118">
        <v>-1192</v>
      </c>
      <c r="J11" s="118">
        <v>-1085</v>
      </c>
      <c r="K11" s="118">
        <v>-1227</v>
      </c>
      <c r="L11" s="118">
        <v>-1547</v>
      </c>
      <c r="M11" s="118">
        <v>-1607</v>
      </c>
      <c r="N11" s="118">
        <v>-1313</v>
      </c>
      <c r="O11" s="118">
        <v>-1163</v>
      </c>
      <c r="P11" s="118">
        <v>-1700</v>
      </c>
      <c r="Q11" s="118">
        <v>-1688</v>
      </c>
      <c r="R11" s="118">
        <v>-1994</v>
      </c>
      <c r="S11" s="118">
        <v>-1641</v>
      </c>
      <c r="T11" s="118">
        <v>-1768</v>
      </c>
      <c r="U11" s="118">
        <v>-2470</v>
      </c>
      <c r="V11" s="118">
        <v>-1865</v>
      </c>
      <c r="W11" s="118">
        <v>-3194</v>
      </c>
      <c r="X11" s="118">
        <v>-2421</v>
      </c>
      <c r="Y11" s="118">
        <v>-2305</v>
      </c>
      <c r="Z11" s="118">
        <v>-2131</v>
      </c>
      <c r="AA11" s="118">
        <v>-1956</v>
      </c>
      <c r="AB11" s="118">
        <v>-3265</v>
      </c>
      <c r="AC11" s="118">
        <v>-3402</v>
      </c>
      <c r="AD11" s="118">
        <v>-3228</v>
      </c>
      <c r="AE11" s="118">
        <v>-3013</v>
      </c>
      <c r="AF11" s="118">
        <v>-2659</v>
      </c>
    </row>
    <row r="12" spans="1:32" s="25" customFormat="1" x14ac:dyDescent="0.2">
      <c r="A12" s="27"/>
      <c r="B12" s="126" t="s">
        <v>73</v>
      </c>
      <c r="C12" s="120">
        <f>SUM(C7:C11)</f>
        <v>0</v>
      </c>
      <c r="D12" s="120">
        <f>SUM(D6:D11)</f>
        <v>69751.457500000004</v>
      </c>
      <c r="E12" s="120">
        <f>D12+SUM(E7:E11)</f>
        <v>86195.002500000002</v>
      </c>
      <c r="F12" s="120">
        <f>E12+SUM(F6:F11)</f>
        <v>86314.002500000002</v>
      </c>
      <c r="G12" s="120">
        <f t="shared" ref="G12:P12" si="0">F12+SUM(G7:G11)</f>
        <v>76921.93545999995</v>
      </c>
      <c r="H12" s="120">
        <f t="shared" si="0"/>
        <v>84517.93545999995</v>
      </c>
      <c r="I12" s="120">
        <f t="shared" si="0"/>
        <v>76869.93545999995</v>
      </c>
      <c r="J12" s="120">
        <f t="shared" si="0"/>
        <v>68720.93545999995</v>
      </c>
      <c r="K12" s="120">
        <f t="shared" si="0"/>
        <v>60540.93545999995</v>
      </c>
      <c r="L12" s="120">
        <f t="shared" si="0"/>
        <v>89269.93545999995</v>
      </c>
      <c r="M12" s="120">
        <f t="shared" si="0"/>
        <v>82170.93545999995</v>
      </c>
      <c r="N12" s="120">
        <f t="shared" si="0"/>
        <v>75607.93545999995</v>
      </c>
      <c r="O12" s="120">
        <f t="shared" si="0"/>
        <v>69726.93545999995</v>
      </c>
      <c r="P12" s="120">
        <f t="shared" si="0"/>
        <v>67317.93545999995</v>
      </c>
      <c r="Q12" s="120">
        <f t="shared" ref="Q12:Y12" si="1">P12+SUM(Q7:Q11)</f>
        <v>63923.93545999995</v>
      </c>
      <c r="R12" s="120">
        <f t="shared" si="1"/>
        <v>61790.93545999995</v>
      </c>
      <c r="S12" s="120">
        <f t="shared" si="1"/>
        <v>53562.93545999995</v>
      </c>
      <c r="T12" s="120">
        <f t="shared" si="1"/>
        <v>74152.93545999995</v>
      </c>
      <c r="U12" s="120">
        <f t="shared" si="1"/>
        <v>79378.93545999995</v>
      </c>
      <c r="V12" s="120">
        <f t="shared" si="1"/>
        <v>73157.93545999995</v>
      </c>
      <c r="W12" s="120">
        <f t="shared" si="1"/>
        <v>70669.93545999995</v>
      </c>
      <c r="X12" s="120">
        <f t="shared" si="1"/>
        <v>66174.93545999995</v>
      </c>
      <c r="Y12" s="120">
        <f t="shared" si="1"/>
        <v>67476.93545999995</v>
      </c>
      <c r="Z12" s="120">
        <f t="shared" ref="Z12:AF12" si="2">Y12+SUM(Z7:Z11)</f>
        <v>59615.93545999995</v>
      </c>
      <c r="AA12" s="120">
        <f t="shared" si="2"/>
        <v>71076.93545999995</v>
      </c>
      <c r="AB12" s="120">
        <f t="shared" si="2"/>
        <v>88422.93545999995</v>
      </c>
      <c r="AC12" s="120">
        <f t="shared" si="2"/>
        <v>85857.93545999995</v>
      </c>
      <c r="AD12" s="120">
        <f t="shared" si="2"/>
        <v>80988.93545999995</v>
      </c>
      <c r="AE12" s="120">
        <f t="shared" si="2"/>
        <v>76066.93545999995</v>
      </c>
      <c r="AF12" s="120">
        <f t="shared" si="2"/>
        <v>67190.93545999995</v>
      </c>
    </row>
    <row r="13" spans="1:32" s="25" customFormat="1" x14ac:dyDescent="0.2">
      <c r="A13" s="27"/>
      <c r="B13" s="129" t="s">
        <v>39</v>
      </c>
      <c r="C13" s="118">
        <v>0</v>
      </c>
      <c r="D13" s="118">
        <v>27189.977855734931</v>
      </c>
      <c r="E13" s="118">
        <v>29052</v>
      </c>
      <c r="F13" s="118">
        <v>30545</v>
      </c>
      <c r="G13" s="118">
        <v>28867</v>
      </c>
      <c r="H13" s="118">
        <v>33535</v>
      </c>
      <c r="I13" s="118">
        <v>31676</v>
      </c>
      <c r="J13" s="118">
        <v>29614</v>
      </c>
      <c r="K13" s="118">
        <v>26980</v>
      </c>
      <c r="L13" s="118">
        <v>32082</v>
      </c>
      <c r="M13" s="118">
        <v>31287</v>
      </c>
      <c r="N13" s="118">
        <v>28458</v>
      </c>
      <c r="O13" s="118">
        <v>30845</v>
      </c>
      <c r="P13" s="118">
        <v>29942</v>
      </c>
      <c r="Q13" s="118">
        <v>32743</v>
      </c>
      <c r="R13" s="118">
        <v>33765</v>
      </c>
      <c r="S13" s="118">
        <v>33050</v>
      </c>
      <c r="T13" s="118">
        <v>29874</v>
      </c>
      <c r="U13" s="118">
        <v>27382</v>
      </c>
      <c r="V13" s="118">
        <v>26895</v>
      </c>
      <c r="W13" s="118">
        <v>29340</v>
      </c>
      <c r="X13" s="118">
        <v>26366</v>
      </c>
      <c r="Y13" s="118">
        <v>26338</v>
      </c>
      <c r="Z13" s="118">
        <v>23134</v>
      </c>
      <c r="AA13" s="118">
        <v>28680</v>
      </c>
      <c r="AB13" s="118">
        <v>37103</v>
      </c>
      <c r="AC13" s="118">
        <v>39288</v>
      </c>
      <c r="AD13" s="118">
        <v>39779</v>
      </c>
      <c r="AE13" s="118">
        <v>40031</v>
      </c>
      <c r="AF13" s="118">
        <v>35940</v>
      </c>
    </row>
    <row r="14" spans="1:32" s="25" customFormat="1" x14ac:dyDescent="0.2">
      <c r="A14" s="27"/>
      <c r="B14" s="129" t="s">
        <v>42</v>
      </c>
      <c r="C14" s="118">
        <v>0</v>
      </c>
      <c r="D14" s="118">
        <v>42561.47964426507</v>
      </c>
      <c r="E14" s="118">
        <v>57143</v>
      </c>
      <c r="F14" s="118">
        <v>55769</v>
      </c>
      <c r="G14" s="118">
        <v>48055</v>
      </c>
      <c r="H14" s="118">
        <v>50983</v>
      </c>
      <c r="I14" s="118">
        <v>45194</v>
      </c>
      <c r="J14" s="118">
        <v>39107</v>
      </c>
      <c r="K14" s="118">
        <v>33561</v>
      </c>
      <c r="L14" s="118">
        <v>57188</v>
      </c>
      <c r="M14" s="118">
        <v>50884</v>
      </c>
      <c r="N14" s="118">
        <v>47150</v>
      </c>
      <c r="O14" s="118">
        <v>38882</v>
      </c>
      <c r="P14" s="118">
        <v>37376</v>
      </c>
      <c r="Q14" s="118">
        <v>31181</v>
      </c>
      <c r="R14" s="118">
        <v>28026</v>
      </c>
      <c r="S14" s="118">
        <v>20513</v>
      </c>
      <c r="T14" s="118">
        <v>44279</v>
      </c>
      <c r="U14" s="118">
        <v>51997</v>
      </c>
      <c r="V14" s="118">
        <v>46263</v>
      </c>
      <c r="W14" s="118">
        <v>41330</v>
      </c>
      <c r="X14" s="118">
        <v>39809</v>
      </c>
      <c r="Y14" s="118">
        <v>41139</v>
      </c>
      <c r="Z14" s="118">
        <v>36482</v>
      </c>
      <c r="AA14" s="118">
        <v>42397</v>
      </c>
      <c r="AB14" s="118">
        <v>51320</v>
      </c>
      <c r="AC14" s="118">
        <v>46570</v>
      </c>
      <c r="AD14" s="118">
        <v>41210</v>
      </c>
      <c r="AE14" s="118">
        <v>36036</v>
      </c>
      <c r="AF14" s="118">
        <v>31251</v>
      </c>
    </row>
    <row r="15" spans="1:32" s="25" customFormat="1" x14ac:dyDescent="0.2">
      <c r="A15" s="27"/>
      <c r="B15" s="126" t="s">
        <v>73</v>
      </c>
      <c r="C15" s="120">
        <f t="shared" ref="C15:H15" si="3">SUM(C13:C14)</f>
        <v>0</v>
      </c>
      <c r="D15" s="120">
        <f t="shared" si="3"/>
        <v>69751.457500000004</v>
      </c>
      <c r="E15" s="120">
        <f t="shared" si="3"/>
        <v>86195</v>
      </c>
      <c r="F15" s="120">
        <f t="shared" si="3"/>
        <v>86314</v>
      </c>
      <c r="G15" s="120">
        <f t="shared" si="3"/>
        <v>76922</v>
      </c>
      <c r="H15" s="120">
        <f t="shared" si="3"/>
        <v>84518</v>
      </c>
      <c r="I15" s="120">
        <f t="shared" ref="I15:P15" si="4">SUM(I13:I14)</f>
        <v>76870</v>
      </c>
      <c r="J15" s="120">
        <f t="shared" si="4"/>
        <v>68721</v>
      </c>
      <c r="K15" s="120">
        <f t="shared" si="4"/>
        <v>60541</v>
      </c>
      <c r="L15" s="120">
        <f t="shared" si="4"/>
        <v>89270</v>
      </c>
      <c r="M15" s="120">
        <f t="shared" si="4"/>
        <v>82171</v>
      </c>
      <c r="N15" s="120">
        <f t="shared" si="4"/>
        <v>75608</v>
      </c>
      <c r="O15" s="120">
        <f t="shared" si="4"/>
        <v>69727</v>
      </c>
      <c r="P15" s="120">
        <f t="shared" si="4"/>
        <v>67318</v>
      </c>
      <c r="Q15" s="120">
        <f t="shared" ref="Q15:V15" si="5">SUM(Q13:Q14)</f>
        <v>63924</v>
      </c>
      <c r="R15" s="120">
        <f t="shared" si="5"/>
        <v>61791</v>
      </c>
      <c r="S15" s="120">
        <f t="shared" si="5"/>
        <v>53563</v>
      </c>
      <c r="T15" s="120">
        <f t="shared" si="5"/>
        <v>74153</v>
      </c>
      <c r="U15" s="120">
        <f t="shared" si="5"/>
        <v>79379</v>
      </c>
      <c r="V15" s="120">
        <f t="shared" si="5"/>
        <v>73158</v>
      </c>
      <c r="W15" s="120">
        <f t="shared" ref="W15:AC15" si="6">SUM(W13:W14)</f>
        <v>70670</v>
      </c>
      <c r="X15" s="120">
        <f t="shared" si="6"/>
        <v>66175</v>
      </c>
      <c r="Y15" s="120">
        <f t="shared" si="6"/>
        <v>67477</v>
      </c>
      <c r="Z15" s="120">
        <f t="shared" si="6"/>
        <v>59616</v>
      </c>
      <c r="AA15" s="120">
        <f t="shared" si="6"/>
        <v>71077</v>
      </c>
      <c r="AB15" s="120">
        <f t="shared" si="6"/>
        <v>88423</v>
      </c>
      <c r="AC15" s="120">
        <f t="shared" si="6"/>
        <v>85858</v>
      </c>
      <c r="AD15" s="120">
        <f>SUM(AD13:AD14)</f>
        <v>80989</v>
      </c>
      <c r="AE15" s="120">
        <f>SUM(AE13:AE14)</f>
        <v>76067</v>
      </c>
      <c r="AF15" s="120">
        <f>SUM(AF13:AF14)</f>
        <v>67191</v>
      </c>
    </row>
    <row r="16" spans="1:32" s="25" customFormat="1" x14ac:dyDescent="0.2">
      <c r="A16" s="27"/>
      <c r="B16" s="129" t="s">
        <v>827</v>
      </c>
      <c r="C16" s="118">
        <v>0</v>
      </c>
      <c r="D16" s="118">
        <v>58809.73</v>
      </c>
      <c r="E16" s="118">
        <v>76160</v>
      </c>
      <c r="F16" s="118">
        <v>77714</v>
      </c>
      <c r="G16" s="118">
        <v>76589</v>
      </c>
      <c r="H16" s="118">
        <v>71510</v>
      </c>
      <c r="I16" s="118">
        <v>68468</v>
      </c>
      <c r="J16" s="118">
        <v>58029</v>
      </c>
      <c r="K16" s="118">
        <v>51041</v>
      </c>
      <c r="L16" s="118">
        <v>77481</v>
      </c>
      <c r="M16" s="118">
        <v>71177</v>
      </c>
      <c r="N16" s="118">
        <v>65701</v>
      </c>
      <c r="O16" s="118">
        <v>60211</v>
      </c>
      <c r="P16" s="118">
        <v>58847</v>
      </c>
      <c r="Q16" s="118">
        <v>55865</v>
      </c>
      <c r="R16" s="118">
        <v>45892</v>
      </c>
      <c r="S16" s="118">
        <v>38444</v>
      </c>
      <c r="T16" s="118">
        <v>59043</v>
      </c>
      <c r="U16" s="118">
        <v>65149</v>
      </c>
      <c r="V16" s="118">
        <v>59627</v>
      </c>
      <c r="W16" s="118">
        <v>58247</v>
      </c>
      <c r="X16" s="118">
        <v>50392</v>
      </c>
      <c r="Y16" s="118">
        <v>53017</v>
      </c>
      <c r="Z16" s="118">
        <v>46578</v>
      </c>
      <c r="AA16" s="118">
        <v>59504</v>
      </c>
      <c r="AB16" s="118">
        <v>77901</v>
      </c>
      <c r="AC16" s="118">
        <v>76989</v>
      </c>
      <c r="AD16" s="118">
        <v>71715</v>
      </c>
      <c r="AE16" s="118">
        <v>68471</v>
      </c>
      <c r="AF16" s="118">
        <v>61091</v>
      </c>
    </row>
    <row r="17" spans="1:32" s="25" customFormat="1" x14ac:dyDescent="0.2">
      <c r="A17" s="27"/>
      <c r="B17" s="129" t="s">
        <v>828</v>
      </c>
      <c r="C17" s="118">
        <v>0</v>
      </c>
      <c r="D17" s="118">
        <v>10941.727499999999</v>
      </c>
      <c r="E17" s="118">
        <v>10035</v>
      </c>
      <c r="F17" s="118">
        <v>8600</v>
      </c>
      <c r="G17" s="118">
        <v>333</v>
      </c>
      <c r="H17" s="118">
        <v>13008</v>
      </c>
      <c r="I17" s="118">
        <v>8402</v>
      </c>
      <c r="J17" s="118">
        <v>10692</v>
      </c>
      <c r="K17" s="118">
        <v>9500</v>
      </c>
      <c r="L17" s="118">
        <v>11789</v>
      </c>
      <c r="M17" s="118">
        <v>10994</v>
      </c>
      <c r="N17" s="118">
        <v>9907</v>
      </c>
      <c r="O17" s="118">
        <v>9516</v>
      </c>
      <c r="P17" s="118">
        <v>8471</v>
      </c>
      <c r="Q17" s="118">
        <v>8059</v>
      </c>
      <c r="R17" s="118">
        <v>15899</v>
      </c>
      <c r="S17" s="118">
        <v>15119</v>
      </c>
      <c r="T17" s="118">
        <v>15110</v>
      </c>
      <c r="U17" s="118">
        <v>14230</v>
      </c>
      <c r="V17" s="118">
        <v>13531</v>
      </c>
      <c r="W17" s="118">
        <v>12423</v>
      </c>
      <c r="X17" s="118">
        <v>15783</v>
      </c>
      <c r="Y17" s="118">
        <v>14460</v>
      </c>
      <c r="Z17" s="118">
        <v>13038</v>
      </c>
      <c r="AA17" s="118">
        <v>11573</v>
      </c>
      <c r="AB17" s="118">
        <v>10522</v>
      </c>
      <c r="AC17" s="118">
        <v>8869</v>
      </c>
      <c r="AD17" s="118">
        <v>9274</v>
      </c>
      <c r="AE17" s="118">
        <v>7596</v>
      </c>
      <c r="AF17" s="118">
        <v>6100</v>
      </c>
    </row>
    <row r="18" spans="1:32" s="25" customFormat="1" x14ac:dyDescent="0.2">
      <c r="A18" s="27"/>
      <c r="B18" s="126" t="s">
        <v>73</v>
      </c>
      <c r="C18" s="120">
        <f t="shared" ref="C18:H18" si="7">SUM(C16:C17)</f>
        <v>0</v>
      </c>
      <c r="D18" s="120">
        <f t="shared" si="7"/>
        <v>69751.457500000004</v>
      </c>
      <c r="E18" s="120">
        <f t="shared" si="7"/>
        <v>86195</v>
      </c>
      <c r="F18" s="120">
        <f t="shared" si="7"/>
        <v>86314</v>
      </c>
      <c r="G18" s="120">
        <f t="shared" si="7"/>
        <v>76922</v>
      </c>
      <c r="H18" s="120">
        <f t="shared" si="7"/>
        <v>84518</v>
      </c>
      <c r="I18" s="120">
        <f t="shared" ref="I18:P18" si="8">SUM(I16:I17)</f>
        <v>76870</v>
      </c>
      <c r="J18" s="120">
        <f t="shared" si="8"/>
        <v>68721</v>
      </c>
      <c r="K18" s="120">
        <f t="shared" si="8"/>
        <v>60541</v>
      </c>
      <c r="L18" s="120">
        <f t="shared" si="8"/>
        <v>89270</v>
      </c>
      <c r="M18" s="120">
        <f t="shared" si="8"/>
        <v>82171</v>
      </c>
      <c r="N18" s="120">
        <f t="shared" si="8"/>
        <v>75608</v>
      </c>
      <c r="O18" s="120">
        <f t="shared" si="8"/>
        <v>69727</v>
      </c>
      <c r="P18" s="120">
        <f t="shared" si="8"/>
        <v>67318</v>
      </c>
      <c r="Q18" s="120">
        <f t="shared" ref="Q18:V18" si="9">SUM(Q16:Q17)</f>
        <v>63924</v>
      </c>
      <c r="R18" s="120">
        <f t="shared" si="9"/>
        <v>61791</v>
      </c>
      <c r="S18" s="120">
        <f t="shared" si="9"/>
        <v>53563</v>
      </c>
      <c r="T18" s="120">
        <f t="shared" si="9"/>
        <v>74153</v>
      </c>
      <c r="U18" s="120">
        <f t="shared" si="9"/>
        <v>79379</v>
      </c>
      <c r="V18" s="120">
        <f t="shared" si="9"/>
        <v>73158</v>
      </c>
      <c r="W18" s="120">
        <f t="shared" ref="W18:AC18" si="10">SUM(W16:W17)</f>
        <v>70670</v>
      </c>
      <c r="X18" s="120">
        <f t="shared" si="10"/>
        <v>66175</v>
      </c>
      <c r="Y18" s="120">
        <f t="shared" si="10"/>
        <v>67477</v>
      </c>
      <c r="Z18" s="120">
        <f t="shared" si="10"/>
        <v>59616</v>
      </c>
      <c r="AA18" s="120">
        <f t="shared" si="10"/>
        <v>71077</v>
      </c>
      <c r="AB18" s="120">
        <f t="shared" si="10"/>
        <v>88423</v>
      </c>
      <c r="AC18" s="120">
        <f t="shared" si="10"/>
        <v>85858</v>
      </c>
      <c r="AD18" s="120">
        <f>SUM(AD16:AD17)</f>
        <v>80989</v>
      </c>
      <c r="AE18" s="120">
        <f>SUM(AE16:AE17)</f>
        <v>76067</v>
      </c>
      <c r="AF18" s="120">
        <f>SUM(AF16:AF17)</f>
        <v>67191</v>
      </c>
    </row>
    <row r="19" spans="1:32" ht="15.75" customHeight="1" x14ac:dyDescent="0.2">
      <c r="A19" s="1189"/>
    </row>
    <row r="20" spans="1:32" customFormat="1" ht="15.75" customHeight="1" x14ac:dyDescent="0.2"/>
    <row r="21" spans="1:32" customFormat="1" ht="12.75" x14ac:dyDescent="0.2"/>
    <row r="22" spans="1:32" customFormat="1" ht="12.75" x14ac:dyDescent="0.2"/>
    <row r="23" spans="1:32" customFormat="1" ht="12.75" x14ac:dyDescent="0.2"/>
    <row r="24" spans="1:32" customFormat="1" ht="12.75" x14ac:dyDescent="0.2"/>
    <row r="25" spans="1:32" customFormat="1" ht="12.75" x14ac:dyDescent="0.2"/>
    <row r="26" spans="1:32" customFormat="1" ht="12.75" x14ac:dyDescent="0.2"/>
    <row r="27" spans="1:32" customFormat="1" ht="12.75" x14ac:dyDescent="0.2"/>
    <row r="28" spans="1:32" customFormat="1" ht="12.75" x14ac:dyDescent="0.2"/>
    <row r="29" spans="1:32" customFormat="1" ht="12.75" x14ac:dyDescent="0.2"/>
    <row r="30" spans="1:32" customFormat="1" ht="12.75" x14ac:dyDescent="0.2"/>
    <row r="31" spans="1:32" customFormat="1" ht="12.75" x14ac:dyDescent="0.2"/>
    <row r="32" spans="1:32" customFormat="1" ht="12.75" x14ac:dyDescent="0.2"/>
    <row r="33" spans="1:1" customFormat="1" ht="12.75" x14ac:dyDescent="0.2"/>
    <row r="34" spans="1:1" customFormat="1" ht="12.75" x14ac:dyDescent="0.2"/>
    <row r="35" spans="1:1" x14ac:dyDescent="0.2">
      <c r="A35"/>
    </row>
    <row r="36" spans="1:1" x14ac:dyDescent="0.2">
      <c r="A36"/>
    </row>
    <row r="37" spans="1:1" x14ac:dyDescent="0.2">
      <c r="A37"/>
    </row>
    <row r="38" spans="1:1" x14ac:dyDescent="0.2">
      <c r="A38"/>
    </row>
    <row r="39" spans="1:1" x14ac:dyDescent="0.2">
      <c r="A39"/>
    </row>
    <row r="40" spans="1:1" x14ac:dyDescent="0.2">
      <c r="A40"/>
    </row>
    <row r="41" spans="1:1" x14ac:dyDescent="0.2">
      <c r="A41"/>
    </row>
    <row r="42" spans="1:1" x14ac:dyDescent="0.2">
      <c r="A42"/>
    </row>
    <row r="43" spans="1:1" x14ac:dyDescent="0.2">
      <c r="A43"/>
    </row>
    <row r="44" spans="1:1" x14ac:dyDescent="0.2">
      <c r="A44"/>
    </row>
    <row r="45" spans="1:1" x14ac:dyDescent="0.2">
      <c r="A45"/>
    </row>
    <row r="46" spans="1:1" x14ac:dyDescent="0.2">
      <c r="A46"/>
    </row>
    <row r="47" spans="1:1" x14ac:dyDescent="0.2">
      <c r="A47"/>
    </row>
    <row r="48" spans="1:1" x14ac:dyDescent="0.2">
      <c r="A48"/>
    </row>
    <row r="49" spans="1:1" x14ac:dyDescent="0.2">
      <c r="A49"/>
    </row>
    <row r="50" spans="1:1" x14ac:dyDescent="0.2">
      <c r="A50"/>
    </row>
    <row r="51" spans="1:1" x14ac:dyDescent="0.2">
      <c r="A51"/>
    </row>
    <row r="52" spans="1:1" x14ac:dyDescent="0.2">
      <c r="A52"/>
    </row>
    <row r="53" spans="1:1" x14ac:dyDescent="0.2">
      <c r="A53"/>
    </row>
    <row r="54" spans="1:1" x14ac:dyDescent="0.2">
      <c r="A54"/>
    </row>
    <row r="55" spans="1:1" x14ac:dyDescent="0.2">
      <c r="A55"/>
    </row>
    <row r="56" spans="1:1" x14ac:dyDescent="0.2">
      <c r="A56"/>
    </row>
    <row r="57" spans="1:1" x14ac:dyDescent="0.2">
      <c r="A57"/>
    </row>
    <row r="58" spans="1:1" x14ac:dyDescent="0.2">
      <c r="A58"/>
    </row>
    <row r="59" spans="1:1" x14ac:dyDescent="0.2">
      <c r="A59"/>
    </row>
    <row r="60" spans="1:1" x14ac:dyDescent="0.2">
      <c r="A60"/>
    </row>
    <row r="61" spans="1:1" x14ac:dyDescent="0.2">
      <c r="A61"/>
    </row>
    <row r="62" spans="1:1" x14ac:dyDescent="0.2">
      <c r="A62"/>
    </row>
    <row r="63" spans="1:1" x14ac:dyDescent="0.2">
      <c r="A63"/>
    </row>
    <row r="64" spans="1:1" x14ac:dyDescent="0.2">
      <c r="A64"/>
    </row>
    <row r="65" spans="1:1" x14ac:dyDescent="0.2">
      <c r="A65"/>
    </row>
    <row r="66" spans="1:1" x14ac:dyDescent="0.2">
      <c r="A66"/>
    </row>
    <row r="67" spans="1:1" x14ac:dyDescent="0.2">
      <c r="A67"/>
    </row>
    <row r="68" spans="1:1" x14ac:dyDescent="0.2">
      <c r="A68"/>
    </row>
    <row r="69" spans="1:1" x14ac:dyDescent="0.2">
      <c r="A69"/>
    </row>
    <row r="70" spans="1:1" x14ac:dyDescent="0.2">
      <c r="A70"/>
    </row>
    <row r="71" spans="1:1" x14ac:dyDescent="0.2">
      <c r="A71"/>
    </row>
    <row r="72" spans="1:1" x14ac:dyDescent="0.2">
      <c r="A72"/>
    </row>
    <row r="73" spans="1:1" x14ac:dyDescent="0.2">
      <c r="A73"/>
    </row>
    <row r="74" spans="1:1" x14ac:dyDescent="0.2">
      <c r="A74"/>
    </row>
    <row r="75" spans="1:1" x14ac:dyDescent="0.2">
      <c r="A75"/>
    </row>
    <row r="76" spans="1:1" x14ac:dyDescent="0.2">
      <c r="A76"/>
    </row>
    <row r="77" spans="1:1" x14ac:dyDescent="0.2">
      <c r="A77"/>
    </row>
    <row r="78" spans="1:1" x14ac:dyDescent="0.2">
      <c r="A78"/>
    </row>
    <row r="79" spans="1:1" x14ac:dyDescent="0.2">
      <c r="A79"/>
    </row>
    <row r="80" spans="1:1" x14ac:dyDescent="0.2">
      <c r="A80"/>
    </row>
    <row r="81" spans="1:1" x14ac:dyDescent="0.2">
      <c r="A81"/>
    </row>
    <row r="82" spans="1:1" x14ac:dyDescent="0.2">
      <c r="A82"/>
    </row>
    <row r="83" spans="1:1" x14ac:dyDescent="0.2">
      <c r="A83"/>
    </row>
    <row r="84" spans="1:1" x14ac:dyDescent="0.2">
      <c r="A84"/>
    </row>
    <row r="85" spans="1:1" x14ac:dyDescent="0.2">
      <c r="A85"/>
    </row>
    <row r="86" spans="1:1" x14ac:dyDescent="0.2">
      <c r="A86"/>
    </row>
    <row r="87" spans="1:1" ht="15" customHeight="1" x14ac:dyDescent="0.2">
      <c r="A87"/>
    </row>
    <row r="88" spans="1:1" x14ac:dyDescent="0.2">
      <c r="A88"/>
    </row>
    <row r="89" spans="1:1" x14ac:dyDescent="0.2">
      <c r="A89"/>
    </row>
    <row r="90" spans="1:1" x14ac:dyDescent="0.2">
      <c r="A90"/>
    </row>
    <row r="91" spans="1:1" ht="14.25" customHeight="1" x14ac:dyDescent="0.2">
      <c r="A91"/>
    </row>
    <row r="92" spans="1:1" x14ac:dyDescent="0.2">
      <c r="A92"/>
    </row>
    <row r="93" spans="1:1" x14ac:dyDescent="0.2">
      <c r="A93"/>
    </row>
    <row r="94" spans="1:1" x14ac:dyDescent="0.2">
      <c r="A94"/>
    </row>
    <row r="95" spans="1:1" x14ac:dyDescent="0.2">
      <c r="A95"/>
    </row>
    <row r="96" spans="1:1" x14ac:dyDescent="0.2">
      <c r="A96"/>
    </row>
    <row r="97" spans="1:1" x14ac:dyDescent="0.2">
      <c r="A97"/>
    </row>
    <row r="98" spans="1:1" x14ac:dyDescent="0.2">
      <c r="A98"/>
    </row>
    <row r="99" spans="1:1" x14ac:dyDescent="0.2">
      <c r="A99"/>
    </row>
    <row r="100" spans="1:1" x14ac:dyDescent="0.2">
      <c r="A100"/>
    </row>
    <row r="101" spans="1:1" x14ac:dyDescent="0.2">
      <c r="A101"/>
    </row>
    <row r="102" spans="1:1" x14ac:dyDescent="0.2">
      <c r="A102"/>
    </row>
    <row r="103" spans="1:1" x14ac:dyDescent="0.2">
      <c r="A103"/>
    </row>
    <row r="104" spans="1:1" x14ac:dyDescent="0.2">
      <c r="A104"/>
    </row>
    <row r="105" spans="1:1" x14ac:dyDescent="0.2">
      <c r="A105"/>
    </row>
    <row r="106" spans="1:1" x14ac:dyDescent="0.2">
      <c r="A106"/>
    </row>
    <row r="107" spans="1:1" x14ac:dyDescent="0.2">
      <c r="A107"/>
    </row>
    <row r="108" spans="1:1" x14ac:dyDescent="0.2">
      <c r="A108"/>
    </row>
    <row r="109" spans="1:1" x14ac:dyDescent="0.2">
      <c r="A109"/>
    </row>
    <row r="110" spans="1:1" x14ac:dyDescent="0.2">
      <c r="A110"/>
    </row>
    <row r="111" spans="1:1" x14ac:dyDescent="0.2">
      <c r="A111"/>
    </row>
    <row r="112" spans="1:1" x14ac:dyDescent="0.2">
      <c r="A112"/>
    </row>
    <row r="113" spans="1:1" x14ac:dyDescent="0.2">
      <c r="A113"/>
    </row>
    <row r="114" spans="1:1" ht="15" customHeight="1" x14ac:dyDescent="0.2">
      <c r="A114"/>
    </row>
    <row r="115" spans="1:1" x14ac:dyDescent="0.2">
      <c r="A115"/>
    </row>
    <row r="116" spans="1:1" x14ac:dyDescent="0.2">
      <c r="A116"/>
    </row>
    <row r="117" spans="1:1" x14ac:dyDescent="0.2">
      <c r="A117"/>
    </row>
    <row r="118" spans="1:1" ht="20.25" customHeight="1" x14ac:dyDescent="0.2">
      <c r="A118"/>
    </row>
    <row r="119" spans="1:1" x14ac:dyDescent="0.2">
      <c r="A119"/>
    </row>
    <row r="120" spans="1:1" x14ac:dyDescent="0.2">
      <c r="A120"/>
    </row>
    <row r="121" spans="1:1" x14ac:dyDescent="0.2">
      <c r="A121"/>
    </row>
    <row r="122" spans="1:1" x14ac:dyDescent="0.2">
      <c r="A122"/>
    </row>
    <row r="123" spans="1:1" x14ac:dyDescent="0.2">
      <c r="A123"/>
    </row>
    <row r="124" spans="1:1" x14ac:dyDescent="0.2">
      <c r="A124"/>
    </row>
    <row r="125" spans="1:1" x14ac:dyDescent="0.2">
      <c r="A125"/>
    </row>
    <row r="126" spans="1:1" x14ac:dyDescent="0.2">
      <c r="A126"/>
    </row>
    <row r="127" spans="1:1" x14ac:dyDescent="0.2">
      <c r="A127"/>
    </row>
    <row r="128" spans="1:1" x14ac:dyDescent="0.2">
      <c r="A128"/>
    </row>
    <row r="129" spans="1:1" x14ac:dyDescent="0.2">
      <c r="A129"/>
    </row>
    <row r="130" spans="1:1" x14ac:dyDescent="0.2">
      <c r="A130"/>
    </row>
    <row r="131" spans="1:1" x14ac:dyDescent="0.2">
      <c r="A131"/>
    </row>
    <row r="132" spans="1:1" x14ac:dyDescent="0.2">
      <c r="A132"/>
    </row>
    <row r="133" spans="1:1" x14ac:dyDescent="0.2">
      <c r="A133"/>
    </row>
    <row r="134" spans="1:1" x14ac:dyDescent="0.2">
      <c r="A134"/>
    </row>
    <row r="135" spans="1:1" x14ac:dyDescent="0.2">
      <c r="A135"/>
    </row>
    <row r="136" spans="1:1" x14ac:dyDescent="0.2">
      <c r="A136"/>
    </row>
    <row r="137" spans="1:1" x14ac:dyDescent="0.2">
      <c r="A137"/>
    </row>
    <row r="138" spans="1:1" x14ac:dyDescent="0.2">
      <c r="A138"/>
    </row>
    <row r="139" spans="1:1" x14ac:dyDescent="0.2">
      <c r="A139"/>
    </row>
    <row r="140" spans="1:1" x14ac:dyDescent="0.2">
      <c r="A140"/>
    </row>
    <row r="141" spans="1:1" x14ac:dyDescent="0.2">
      <c r="A141"/>
    </row>
    <row r="142" spans="1:1" x14ac:dyDescent="0.2">
      <c r="A142"/>
    </row>
    <row r="143" spans="1:1" x14ac:dyDescent="0.2">
      <c r="A143"/>
    </row>
    <row r="144" spans="1:1" ht="15" customHeight="1" x14ac:dyDescent="0.2">
      <c r="A144"/>
    </row>
    <row r="145" spans="1:1" x14ac:dyDescent="0.2">
      <c r="A145"/>
    </row>
    <row r="146" spans="1:1" x14ac:dyDescent="0.2">
      <c r="A146"/>
    </row>
    <row r="147" spans="1:1" x14ac:dyDescent="0.2">
      <c r="A147"/>
    </row>
    <row r="148" spans="1:1" x14ac:dyDescent="0.2">
      <c r="A148"/>
    </row>
    <row r="149" spans="1:1" x14ac:dyDescent="0.2">
      <c r="A149"/>
    </row>
    <row r="150" spans="1:1" x14ac:dyDescent="0.2">
      <c r="A150"/>
    </row>
    <row r="151" spans="1:1" x14ac:dyDescent="0.2">
      <c r="A151"/>
    </row>
    <row r="152" spans="1:1" x14ac:dyDescent="0.2">
      <c r="A152"/>
    </row>
    <row r="153" spans="1:1" x14ac:dyDescent="0.2">
      <c r="A153"/>
    </row>
    <row r="154" spans="1:1" x14ac:dyDescent="0.2">
      <c r="A154"/>
    </row>
    <row r="155" spans="1:1" x14ac:dyDescent="0.2">
      <c r="A155"/>
    </row>
    <row r="156" spans="1:1" x14ac:dyDescent="0.2">
      <c r="A156"/>
    </row>
    <row r="157" spans="1:1" x14ac:dyDescent="0.2">
      <c r="A157"/>
    </row>
    <row r="158" spans="1:1" x14ac:dyDescent="0.2">
      <c r="A158"/>
    </row>
    <row r="159" spans="1:1" x14ac:dyDescent="0.2">
      <c r="A159"/>
    </row>
    <row r="160" spans="1:1" x14ac:dyDescent="0.2">
      <c r="A160"/>
    </row>
    <row r="161" spans="1:32" x14ac:dyDescent="0.2">
      <c r="A161"/>
    </row>
    <row r="162" spans="1:32" x14ac:dyDescent="0.2">
      <c r="A162"/>
    </row>
    <row r="163" spans="1:32" x14ac:dyDescent="0.2">
      <c r="A163"/>
    </row>
    <row r="164" spans="1:32" x14ac:dyDescent="0.2">
      <c r="A164"/>
    </row>
    <row r="165" spans="1:32" x14ac:dyDescent="0.2">
      <c r="A165"/>
    </row>
    <row r="166" spans="1:32" s="1191" customFormat="1" ht="26.25" customHeight="1" x14ac:dyDescent="0.2">
      <c r="A166"/>
      <c r="L166" s="1192"/>
      <c r="M166" s="1192"/>
      <c r="N166" s="1192"/>
      <c r="O166" s="1192"/>
      <c r="P166" s="1192"/>
      <c r="Q166" s="1192"/>
      <c r="R166" s="1192"/>
      <c r="S166" s="1192"/>
      <c r="T166" s="1192"/>
      <c r="U166" s="1192"/>
      <c r="V166" s="1192"/>
      <c r="W166" s="1192"/>
      <c r="X166" s="1192"/>
      <c r="Y166" s="1192"/>
      <c r="Z166" s="1192"/>
      <c r="AA166" s="1192"/>
      <c r="AB166" s="1192"/>
      <c r="AC166" s="1192"/>
      <c r="AD166" s="1192"/>
      <c r="AE166" s="1192"/>
      <c r="AF166" s="1192"/>
    </row>
    <row r="167" spans="1:32" ht="14.25" customHeight="1" x14ac:dyDescent="0.2">
      <c r="A167"/>
    </row>
    <row r="168" spans="1:32" x14ac:dyDescent="0.2">
      <c r="A168"/>
    </row>
    <row r="169" spans="1:32" x14ac:dyDescent="0.2">
      <c r="A169"/>
    </row>
    <row r="170" spans="1:32" x14ac:dyDescent="0.2">
      <c r="A170"/>
    </row>
    <row r="171" spans="1:32" x14ac:dyDescent="0.2">
      <c r="A171"/>
    </row>
    <row r="172" spans="1:32" x14ac:dyDescent="0.2">
      <c r="A172"/>
    </row>
    <row r="173" spans="1:32" x14ac:dyDescent="0.2">
      <c r="A173"/>
    </row>
    <row r="174" spans="1:32" ht="14.25" customHeight="1" x14ac:dyDescent="0.2">
      <c r="A174"/>
    </row>
    <row r="175" spans="1:32" x14ac:dyDescent="0.2">
      <c r="A175"/>
    </row>
    <row r="176" spans="1:32" x14ac:dyDescent="0.2">
      <c r="A176"/>
    </row>
    <row r="177" spans="1:1" x14ac:dyDescent="0.2">
      <c r="A177"/>
    </row>
    <row r="178" spans="1:1" x14ac:dyDescent="0.2">
      <c r="A178"/>
    </row>
    <row r="179" spans="1:1" x14ac:dyDescent="0.2">
      <c r="A179"/>
    </row>
    <row r="180" spans="1:1" x14ac:dyDescent="0.2">
      <c r="A180"/>
    </row>
    <row r="181" spans="1:1" x14ac:dyDescent="0.2">
      <c r="A181"/>
    </row>
    <row r="182" spans="1:1" x14ac:dyDescent="0.2">
      <c r="A182"/>
    </row>
    <row r="183" spans="1:1" x14ac:dyDescent="0.2">
      <c r="A183"/>
    </row>
    <row r="184" spans="1:1" x14ac:dyDescent="0.2">
      <c r="A184"/>
    </row>
    <row r="185" spans="1:1" x14ac:dyDescent="0.2">
      <c r="A185"/>
    </row>
    <row r="186" spans="1:1" x14ac:dyDescent="0.2">
      <c r="A186"/>
    </row>
    <row r="187" spans="1:1" x14ac:dyDescent="0.2">
      <c r="A187"/>
    </row>
    <row r="188" spans="1:1" x14ac:dyDescent="0.2">
      <c r="A188"/>
    </row>
    <row r="189" spans="1:1" x14ac:dyDescent="0.2">
      <c r="A189"/>
    </row>
    <row r="190" spans="1:1" x14ac:dyDescent="0.2">
      <c r="A190"/>
    </row>
    <row r="191" spans="1:1" x14ac:dyDescent="0.2">
      <c r="A191"/>
    </row>
    <row r="192" spans="1:1" x14ac:dyDescent="0.2">
      <c r="A192"/>
    </row>
    <row r="193" spans="1:1" x14ac:dyDescent="0.2">
      <c r="A193"/>
    </row>
    <row r="194" spans="1:1" x14ac:dyDescent="0.2">
      <c r="A194"/>
    </row>
    <row r="195" spans="1:1" x14ac:dyDescent="0.2">
      <c r="A195"/>
    </row>
    <row r="196" spans="1:1" x14ac:dyDescent="0.2">
      <c r="A196"/>
    </row>
    <row r="197" spans="1:1" x14ac:dyDescent="0.2">
      <c r="A197"/>
    </row>
    <row r="198" spans="1:1" x14ac:dyDescent="0.2">
      <c r="A198"/>
    </row>
    <row r="199" spans="1:1" x14ac:dyDescent="0.2">
      <c r="A199"/>
    </row>
    <row r="200" spans="1:1" x14ac:dyDescent="0.2">
      <c r="A200"/>
    </row>
    <row r="201" spans="1:1" x14ac:dyDescent="0.2">
      <c r="A201"/>
    </row>
    <row r="202" spans="1:1" x14ac:dyDescent="0.2">
      <c r="A202"/>
    </row>
    <row r="203" spans="1:1" x14ac:dyDescent="0.2">
      <c r="A203"/>
    </row>
    <row r="204" spans="1:1" x14ac:dyDescent="0.2">
      <c r="A204"/>
    </row>
    <row r="205" spans="1:1" x14ac:dyDescent="0.2">
      <c r="A205"/>
    </row>
    <row r="206" spans="1:1" x14ac:dyDescent="0.2">
      <c r="A206"/>
    </row>
    <row r="207" spans="1:1" x14ac:dyDescent="0.2">
      <c r="A207"/>
    </row>
    <row r="208" spans="1:1" x14ac:dyDescent="0.2">
      <c r="A208"/>
    </row>
    <row r="209" spans="1:1" x14ac:dyDescent="0.2">
      <c r="A209"/>
    </row>
    <row r="210" spans="1:1" x14ac:dyDescent="0.2">
      <c r="A210"/>
    </row>
    <row r="211" spans="1:1" x14ac:dyDescent="0.2">
      <c r="A211"/>
    </row>
    <row r="212" spans="1:1" x14ac:dyDescent="0.2">
      <c r="A212"/>
    </row>
    <row r="213" spans="1:1" x14ac:dyDescent="0.2">
      <c r="A213"/>
    </row>
    <row r="214" spans="1:1" x14ac:dyDescent="0.2">
      <c r="A214"/>
    </row>
    <row r="215" spans="1:1" x14ac:dyDescent="0.2">
      <c r="A215"/>
    </row>
    <row r="216" spans="1:1" x14ac:dyDescent="0.2">
      <c r="A216"/>
    </row>
    <row r="217" spans="1:1" x14ac:dyDescent="0.2">
      <c r="A217"/>
    </row>
    <row r="218" spans="1:1" x14ac:dyDescent="0.2">
      <c r="A218"/>
    </row>
    <row r="219" spans="1:1" x14ac:dyDescent="0.2">
      <c r="A219"/>
    </row>
    <row r="220" spans="1:1" x14ac:dyDescent="0.2">
      <c r="A220"/>
    </row>
    <row r="221" spans="1:1" x14ac:dyDescent="0.2">
      <c r="A221"/>
    </row>
    <row r="222" spans="1:1" x14ac:dyDescent="0.2">
      <c r="A222"/>
    </row>
    <row r="223" spans="1:1" x14ac:dyDescent="0.2">
      <c r="A223"/>
    </row>
    <row r="224" spans="1:1" x14ac:dyDescent="0.2">
      <c r="A224"/>
    </row>
    <row r="225" spans="1:1" x14ac:dyDescent="0.2">
      <c r="A225"/>
    </row>
    <row r="226" spans="1:1" x14ac:dyDescent="0.2">
      <c r="A226"/>
    </row>
    <row r="227" spans="1:1" x14ac:dyDescent="0.2">
      <c r="A227"/>
    </row>
    <row r="228" spans="1:1" x14ac:dyDescent="0.2">
      <c r="A228"/>
    </row>
    <row r="229" spans="1:1" x14ac:dyDescent="0.2">
      <c r="A229"/>
    </row>
    <row r="230" spans="1:1" x14ac:dyDescent="0.2">
      <c r="A230"/>
    </row>
    <row r="231" spans="1:1" x14ac:dyDescent="0.2">
      <c r="A231"/>
    </row>
    <row r="232" spans="1:1" x14ac:dyDescent="0.2">
      <c r="A232"/>
    </row>
    <row r="233" spans="1:1" x14ac:dyDescent="0.2">
      <c r="A233"/>
    </row>
    <row r="234" spans="1:1" x14ac:dyDescent="0.2">
      <c r="A234"/>
    </row>
    <row r="235" spans="1:1" x14ac:dyDescent="0.2">
      <c r="A235"/>
    </row>
    <row r="236" spans="1:1" x14ac:dyDescent="0.2">
      <c r="A236"/>
    </row>
    <row r="237" spans="1:1" x14ac:dyDescent="0.2">
      <c r="A237"/>
    </row>
    <row r="238" spans="1:1" x14ac:dyDescent="0.2">
      <c r="A238"/>
    </row>
    <row r="239" spans="1:1" x14ac:dyDescent="0.2">
      <c r="A239"/>
    </row>
    <row r="240" spans="1:1" x14ac:dyDescent="0.2">
      <c r="A240"/>
    </row>
    <row r="241" spans="1:1" x14ac:dyDescent="0.2">
      <c r="A241"/>
    </row>
    <row r="242" spans="1:1" x14ac:dyDescent="0.2">
      <c r="A242"/>
    </row>
    <row r="243" spans="1:1" x14ac:dyDescent="0.2">
      <c r="A243"/>
    </row>
    <row r="244" spans="1:1" x14ac:dyDescent="0.2">
      <c r="A244"/>
    </row>
    <row r="245" spans="1:1" x14ac:dyDescent="0.2">
      <c r="A245"/>
    </row>
    <row r="246" spans="1:1" x14ac:dyDescent="0.2">
      <c r="A246"/>
    </row>
    <row r="247" spans="1:1" x14ac:dyDescent="0.2">
      <c r="A247"/>
    </row>
    <row r="248" spans="1:1" x14ac:dyDescent="0.2">
      <c r="A248"/>
    </row>
    <row r="249" spans="1:1" x14ac:dyDescent="0.2">
      <c r="A249"/>
    </row>
    <row r="250" spans="1:1" x14ac:dyDescent="0.2">
      <c r="A250"/>
    </row>
    <row r="251" spans="1:1" x14ac:dyDescent="0.2">
      <c r="A251"/>
    </row>
    <row r="252" spans="1:1" x14ac:dyDescent="0.2">
      <c r="A252"/>
    </row>
    <row r="253" spans="1:1" x14ac:dyDescent="0.2">
      <c r="A253"/>
    </row>
    <row r="254" spans="1:1" x14ac:dyDescent="0.2">
      <c r="A254"/>
    </row>
    <row r="255" spans="1:1" x14ac:dyDescent="0.2">
      <c r="A255"/>
    </row>
    <row r="256" spans="1:1" x14ac:dyDescent="0.2">
      <c r="A256"/>
    </row>
    <row r="257" spans="1:1" x14ac:dyDescent="0.2">
      <c r="A257"/>
    </row>
    <row r="258" spans="1:1" x14ac:dyDescent="0.2">
      <c r="A258"/>
    </row>
    <row r="259" spans="1:1" x14ac:dyDescent="0.2">
      <c r="A259"/>
    </row>
    <row r="260" spans="1:1" x14ac:dyDescent="0.2">
      <c r="A260"/>
    </row>
    <row r="261" spans="1:1" x14ac:dyDescent="0.2">
      <c r="A261"/>
    </row>
    <row r="262" spans="1:1" x14ac:dyDescent="0.2">
      <c r="A262"/>
    </row>
    <row r="263" spans="1:1" x14ac:dyDescent="0.2">
      <c r="A263"/>
    </row>
    <row r="264" spans="1:1" x14ac:dyDescent="0.2">
      <c r="A264"/>
    </row>
    <row r="265" spans="1:1" x14ac:dyDescent="0.2">
      <c r="A265"/>
    </row>
    <row r="266" spans="1:1" x14ac:dyDescent="0.2">
      <c r="A266"/>
    </row>
    <row r="267" spans="1:1" x14ac:dyDescent="0.2">
      <c r="A267"/>
    </row>
    <row r="268" spans="1:1" x14ac:dyDescent="0.2">
      <c r="A268"/>
    </row>
    <row r="269" spans="1:1" x14ac:dyDescent="0.2">
      <c r="A269"/>
    </row>
    <row r="270" spans="1:1" x14ac:dyDescent="0.2">
      <c r="A270"/>
    </row>
    <row r="271" spans="1:1" x14ac:dyDescent="0.2">
      <c r="A271"/>
    </row>
    <row r="272" spans="1:1" x14ac:dyDescent="0.2">
      <c r="A272"/>
    </row>
    <row r="273" spans="1:1" x14ac:dyDescent="0.2">
      <c r="A273"/>
    </row>
    <row r="274" spans="1:1" x14ac:dyDescent="0.2">
      <c r="A274"/>
    </row>
    <row r="275" spans="1:1" x14ac:dyDescent="0.2">
      <c r="A275"/>
    </row>
    <row r="276" spans="1:1" x14ac:dyDescent="0.2">
      <c r="A276"/>
    </row>
    <row r="277" spans="1:1" x14ac:dyDescent="0.2">
      <c r="A277"/>
    </row>
    <row r="278" spans="1:1" x14ac:dyDescent="0.2">
      <c r="A278"/>
    </row>
    <row r="279" spans="1:1" x14ac:dyDescent="0.2">
      <c r="A279"/>
    </row>
    <row r="280" spans="1:1" x14ac:dyDescent="0.2">
      <c r="A280"/>
    </row>
    <row r="281" spans="1:1" x14ac:dyDescent="0.2">
      <c r="A281"/>
    </row>
    <row r="282" spans="1:1" x14ac:dyDescent="0.2">
      <c r="A282"/>
    </row>
    <row r="283" spans="1:1" x14ac:dyDescent="0.2">
      <c r="A283"/>
    </row>
    <row r="284" spans="1:1" x14ac:dyDescent="0.2">
      <c r="A284"/>
    </row>
    <row r="285" spans="1:1" x14ac:dyDescent="0.2">
      <c r="A285"/>
    </row>
    <row r="286" spans="1:1" x14ac:dyDescent="0.2">
      <c r="A286"/>
    </row>
    <row r="287" spans="1:1" x14ac:dyDescent="0.2">
      <c r="A287"/>
    </row>
    <row r="288" spans="1:1" x14ac:dyDescent="0.2">
      <c r="A288"/>
    </row>
    <row r="289" spans="1:1" x14ac:dyDescent="0.2">
      <c r="A289"/>
    </row>
    <row r="290" spans="1:1" x14ac:dyDescent="0.2">
      <c r="A290"/>
    </row>
    <row r="291" spans="1:1" x14ac:dyDescent="0.2">
      <c r="A291"/>
    </row>
    <row r="292" spans="1:1" x14ac:dyDescent="0.2">
      <c r="A292"/>
    </row>
    <row r="293" spans="1:1" x14ac:dyDescent="0.2">
      <c r="A293"/>
    </row>
    <row r="294" spans="1:1" x14ac:dyDescent="0.2">
      <c r="A294"/>
    </row>
    <row r="295" spans="1:1" x14ac:dyDescent="0.2">
      <c r="A295"/>
    </row>
    <row r="296" spans="1:1" x14ac:dyDescent="0.2">
      <c r="A296"/>
    </row>
    <row r="297" spans="1:1" x14ac:dyDescent="0.2">
      <c r="A297"/>
    </row>
    <row r="298" spans="1:1" x14ac:dyDescent="0.2">
      <c r="A298"/>
    </row>
    <row r="299" spans="1:1" x14ac:dyDescent="0.2">
      <c r="A299"/>
    </row>
    <row r="300" spans="1:1" x14ac:dyDescent="0.2">
      <c r="A300"/>
    </row>
    <row r="301" spans="1:1" x14ac:dyDescent="0.2">
      <c r="A301"/>
    </row>
    <row r="302" spans="1:1" x14ac:dyDescent="0.2">
      <c r="A302"/>
    </row>
    <row r="303" spans="1:1" x14ac:dyDescent="0.2">
      <c r="A303"/>
    </row>
    <row r="304" spans="1:1" x14ac:dyDescent="0.2">
      <c r="A304"/>
    </row>
    <row r="305" spans="1:1" x14ac:dyDescent="0.2">
      <c r="A305"/>
    </row>
    <row r="306" spans="1:1" x14ac:dyDescent="0.2">
      <c r="A306"/>
    </row>
    <row r="307" spans="1:1" x14ac:dyDescent="0.2">
      <c r="A307"/>
    </row>
    <row r="308" spans="1:1" x14ac:dyDescent="0.2">
      <c r="A308"/>
    </row>
    <row r="309" spans="1:1" x14ac:dyDescent="0.2">
      <c r="A309"/>
    </row>
    <row r="310" spans="1:1" x14ac:dyDescent="0.2">
      <c r="A310"/>
    </row>
    <row r="311" spans="1:1" x14ac:dyDescent="0.2">
      <c r="A311"/>
    </row>
    <row r="312" spans="1:1" x14ac:dyDescent="0.2">
      <c r="A312"/>
    </row>
    <row r="313" spans="1:1" x14ac:dyDescent="0.2">
      <c r="A313"/>
    </row>
    <row r="314" spans="1:1" x14ac:dyDescent="0.2">
      <c r="A314"/>
    </row>
    <row r="315" spans="1:1" x14ac:dyDescent="0.2">
      <c r="A315"/>
    </row>
    <row r="316" spans="1:1" x14ac:dyDescent="0.2">
      <c r="A316"/>
    </row>
    <row r="317" spans="1:1" x14ac:dyDescent="0.2">
      <c r="A317"/>
    </row>
    <row r="318" spans="1:1" x14ac:dyDescent="0.2">
      <c r="A318"/>
    </row>
    <row r="319" spans="1:1" x14ac:dyDescent="0.2">
      <c r="A319"/>
    </row>
    <row r="320" spans="1:1" x14ac:dyDescent="0.2">
      <c r="A320"/>
    </row>
    <row r="321" spans="1:1" x14ac:dyDescent="0.2">
      <c r="A321"/>
    </row>
    <row r="322" spans="1:1" x14ac:dyDescent="0.2">
      <c r="A322"/>
    </row>
    <row r="323" spans="1:1" x14ac:dyDescent="0.2">
      <c r="A323"/>
    </row>
    <row r="324" spans="1:1" x14ac:dyDescent="0.2">
      <c r="A324"/>
    </row>
    <row r="325" spans="1:1" x14ac:dyDescent="0.2">
      <c r="A325"/>
    </row>
    <row r="326" spans="1:1" x14ac:dyDescent="0.2">
      <c r="A326"/>
    </row>
    <row r="327" spans="1:1" x14ac:dyDescent="0.2">
      <c r="A327"/>
    </row>
    <row r="328" spans="1:1" x14ac:dyDescent="0.2">
      <c r="A328"/>
    </row>
    <row r="329" spans="1:1" x14ac:dyDescent="0.2">
      <c r="A329"/>
    </row>
    <row r="330" spans="1:1" x14ac:dyDescent="0.2">
      <c r="A330"/>
    </row>
    <row r="331" spans="1:1" x14ac:dyDescent="0.2">
      <c r="A331"/>
    </row>
    <row r="332" spans="1:1" x14ac:dyDescent="0.2">
      <c r="A332"/>
    </row>
    <row r="333" spans="1:1" x14ac:dyDescent="0.2">
      <c r="A333"/>
    </row>
    <row r="334" spans="1:1" x14ac:dyDescent="0.2">
      <c r="A334"/>
    </row>
    <row r="335" spans="1:1" x14ac:dyDescent="0.2">
      <c r="A335"/>
    </row>
    <row r="336" spans="1:1" x14ac:dyDescent="0.2">
      <c r="A336"/>
    </row>
    <row r="337" spans="1:1" x14ac:dyDescent="0.2">
      <c r="A337"/>
    </row>
    <row r="338" spans="1:1" x14ac:dyDescent="0.2">
      <c r="A338"/>
    </row>
    <row r="339" spans="1:1" x14ac:dyDescent="0.2">
      <c r="A339"/>
    </row>
    <row r="340" spans="1:1" x14ac:dyDescent="0.2">
      <c r="A340"/>
    </row>
    <row r="341" spans="1:1" x14ac:dyDescent="0.2">
      <c r="A341"/>
    </row>
    <row r="342" spans="1:1" x14ac:dyDescent="0.2">
      <c r="A342"/>
    </row>
    <row r="343" spans="1:1" x14ac:dyDescent="0.2">
      <c r="A343"/>
    </row>
    <row r="344" spans="1:1" x14ac:dyDescent="0.2">
      <c r="A344"/>
    </row>
    <row r="345" spans="1:1" x14ac:dyDescent="0.2">
      <c r="A345"/>
    </row>
    <row r="346" spans="1:1" x14ac:dyDescent="0.2">
      <c r="A346"/>
    </row>
    <row r="347" spans="1:1" x14ac:dyDescent="0.2">
      <c r="A347"/>
    </row>
    <row r="348" spans="1:1" x14ac:dyDescent="0.2">
      <c r="A348"/>
    </row>
    <row r="349" spans="1:1" x14ac:dyDescent="0.2">
      <c r="A349"/>
    </row>
    <row r="350" spans="1:1" x14ac:dyDescent="0.2">
      <c r="A350"/>
    </row>
    <row r="351" spans="1:1" x14ac:dyDescent="0.2">
      <c r="A351"/>
    </row>
    <row r="352" spans="1:1" x14ac:dyDescent="0.2">
      <c r="A352"/>
    </row>
    <row r="353" spans="1:1" x14ac:dyDescent="0.2">
      <c r="A353"/>
    </row>
    <row r="354" spans="1:1" x14ac:dyDescent="0.2">
      <c r="A354"/>
    </row>
    <row r="355" spans="1:1" x14ac:dyDescent="0.2">
      <c r="A355"/>
    </row>
    <row r="356" spans="1:1" x14ac:dyDescent="0.2">
      <c r="A356"/>
    </row>
    <row r="357" spans="1:1" x14ac:dyDescent="0.2">
      <c r="A357"/>
    </row>
    <row r="358" spans="1:1" x14ac:dyDescent="0.2">
      <c r="A358"/>
    </row>
    <row r="359" spans="1:1" x14ac:dyDescent="0.2">
      <c r="A359"/>
    </row>
    <row r="360" spans="1:1" x14ac:dyDescent="0.2">
      <c r="A360"/>
    </row>
    <row r="361" spans="1:1" x14ac:dyDescent="0.2">
      <c r="A361"/>
    </row>
    <row r="362" spans="1:1" x14ac:dyDescent="0.2">
      <c r="A362"/>
    </row>
    <row r="363" spans="1:1" x14ac:dyDescent="0.2">
      <c r="A363"/>
    </row>
    <row r="364" spans="1:1" x14ac:dyDescent="0.2">
      <c r="A364"/>
    </row>
    <row r="365" spans="1:1" x14ac:dyDescent="0.2">
      <c r="A365"/>
    </row>
    <row r="366" spans="1:1" x14ac:dyDescent="0.2">
      <c r="A366"/>
    </row>
    <row r="367" spans="1:1" x14ac:dyDescent="0.2">
      <c r="A367"/>
    </row>
    <row r="368" spans="1:1" x14ac:dyDescent="0.2">
      <c r="A368"/>
    </row>
    <row r="369" spans="1:1" x14ac:dyDescent="0.2">
      <c r="A369"/>
    </row>
    <row r="370" spans="1:1" x14ac:dyDescent="0.2">
      <c r="A370"/>
    </row>
    <row r="371" spans="1:1" x14ac:dyDescent="0.2">
      <c r="A371"/>
    </row>
    <row r="372" spans="1:1" x14ac:dyDescent="0.2">
      <c r="A372"/>
    </row>
    <row r="373" spans="1:1" x14ac:dyDescent="0.2">
      <c r="A373"/>
    </row>
    <row r="374" spans="1:1" x14ac:dyDescent="0.2">
      <c r="A374"/>
    </row>
    <row r="375" spans="1:1" x14ac:dyDescent="0.2">
      <c r="A375"/>
    </row>
    <row r="376" spans="1:1" x14ac:dyDescent="0.2">
      <c r="A376"/>
    </row>
    <row r="377" spans="1:1" x14ac:dyDescent="0.2">
      <c r="A377"/>
    </row>
    <row r="378" spans="1:1" x14ac:dyDescent="0.2">
      <c r="A378"/>
    </row>
    <row r="379" spans="1:1" x14ac:dyDescent="0.2">
      <c r="A379"/>
    </row>
    <row r="380" spans="1:1" x14ac:dyDescent="0.2">
      <c r="A380"/>
    </row>
    <row r="381" spans="1:1" x14ac:dyDescent="0.2">
      <c r="A381"/>
    </row>
    <row r="382" spans="1:1" x14ac:dyDescent="0.2">
      <c r="A382"/>
    </row>
    <row r="383" spans="1:1" x14ac:dyDescent="0.2">
      <c r="A383"/>
    </row>
    <row r="384" spans="1:1" x14ac:dyDescent="0.2">
      <c r="A384"/>
    </row>
    <row r="385" spans="1:1" x14ac:dyDescent="0.2">
      <c r="A385"/>
    </row>
    <row r="386" spans="1:1" x14ac:dyDescent="0.2">
      <c r="A386"/>
    </row>
    <row r="387" spans="1:1" x14ac:dyDescent="0.2">
      <c r="A387"/>
    </row>
    <row r="388" spans="1:1" x14ac:dyDescent="0.2">
      <c r="A388"/>
    </row>
    <row r="389" spans="1:1" x14ac:dyDescent="0.2">
      <c r="A389"/>
    </row>
    <row r="390" spans="1:1" x14ac:dyDescent="0.2">
      <c r="A390"/>
    </row>
    <row r="391" spans="1:1" x14ac:dyDescent="0.2">
      <c r="A391"/>
    </row>
    <row r="392" spans="1:1" x14ac:dyDescent="0.2">
      <c r="A392"/>
    </row>
    <row r="393" spans="1:1" x14ac:dyDescent="0.2">
      <c r="A393"/>
    </row>
    <row r="394" spans="1:1" x14ac:dyDescent="0.2">
      <c r="A394"/>
    </row>
    <row r="395" spans="1:1" x14ac:dyDescent="0.2">
      <c r="A395"/>
    </row>
    <row r="396" spans="1:1" x14ac:dyDescent="0.2">
      <c r="A396"/>
    </row>
    <row r="397" spans="1:1" x14ac:dyDescent="0.2">
      <c r="A397"/>
    </row>
    <row r="398" spans="1:1" x14ac:dyDescent="0.2">
      <c r="A398"/>
    </row>
    <row r="399" spans="1:1" x14ac:dyDescent="0.2">
      <c r="A399"/>
    </row>
    <row r="400" spans="1:1" x14ac:dyDescent="0.2">
      <c r="A400"/>
    </row>
    <row r="401" spans="1:1" x14ac:dyDescent="0.2">
      <c r="A401"/>
    </row>
    <row r="402" spans="1:1" x14ac:dyDescent="0.2">
      <c r="A402"/>
    </row>
    <row r="403" spans="1:1" x14ac:dyDescent="0.2">
      <c r="A403"/>
    </row>
    <row r="404" spans="1:1" x14ac:dyDescent="0.2">
      <c r="A404"/>
    </row>
    <row r="405" spans="1:1" x14ac:dyDescent="0.2">
      <c r="A405"/>
    </row>
    <row r="406" spans="1:1" x14ac:dyDescent="0.2">
      <c r="A406"/>
    </row>
    <row r="407" spans="1:1" x14ac:dyDescent="0.2">
      <c r="A407"/>
    </row>
    <row r="408" spans="1:1" x14ac:dyDescent="0.2">
      <c r="A408"/>
    </row>
    <row r="409" spans="1:1" x14ac:dyDescent="0.2">
      <c r="A409"/>
    </row>
    <row r="410" spans="1:1" x14ac:dyDescent="0.2">
      <c r="A410"/>
    </row>
    <row r="411" spans="1:1" x14ac:dyDescent="0.2">
      <c r="A411"/>
    </row>
    <row r="412" spans="1:1" x14ac:dyDescent="0.2">
      <c r="A412"/>
    </row>
    <row r="413" spans="1:1" x14ac:dyDescent="0.2">
      <c r="A413"/>
    </row>
    <row r="414" spans="1:1" x14ac:dyDescent="0.2">
      <c r="A414"/>
    </row>
    <row r="415" spans="1:1" x14ac:dyDescent="0.2">
      <c r="A415"/>
    </row>
    <row r="416" spans="1:1" x14ac:dyDescent="0.2">
      <c r="A416"/>
    </row>
    <row r="417" spans="1:1" x14ac:dyDescent="0.2">
      <c r="A417"/>
    </row>
    <row r="418" spans="1:1" x14ac:dyDescent="0.2">
      <c r="A418"/>
    </row>
    <row r="419" spans="1:1" x14ac:dyDescent="0.2">
      <c r="A419"/>
    </row>
    <row r="420" spans="1:1" x14ac:dyDescent="0.2">
      <c r="A420"/>
    </row>
    <row r="421" spans="1:1" x14ac:dyDescent="0.2">
      <c r="A421"/>
    </row>
    <row r="422" spans="1:1" x14ac:dyDescent="0.2">
      <c r="A422"/>
    </row>
    <row r="423" spans="1:1" x14ac:dyDescent="0.2">
      <c r="A423"/>
    </row>
    <row r="424" spans="1:1" x14ac:dyDescent="0.2">
      <c r="A424"/>
    </row>
    <row r="425" spans="1:1" x14ac:dyDescent="0.2">
      <c r="A425"/>
    </row>
    <row r="426" spans="1:1" x14ac:dyDescent="0.2">
      <c r="A426"/>
    </row>
    <row r="427" spans="1:1" x14ac:dyDescent="0.2">
      <c r="A427"/>
    </row>
    <row r="428" spans="1:1" x14ac:dyDescent="0.2">
      <c r="A428"/>
    </row>
    <row r="429" spans="1:1" x14ac:dyDescent="0.2">
      <c r="A429"/>
    </row>
    <row r="430" spans="1:1" x14ac:dyDescent="0.2">
      <c r="A430"/>
    </row>
    <row r="431" spans="1:1" x14ac:dyDescent="0.2">
      <c r="A431"/>
    </row>
    <row r="432" spans="1:1" x14ac:dyDescent="0.2">
      <c r="A432"/>
    </row>
    <row r="433" spans="1:1" x14ac:dyDescent="0.2">
      <c r="A433"/>
    </row>
    <row r="434" spans="1:1" x14ac:dyDescent="0.2">
      <c r="A434"/>
    </row>
    <row r="435" spans="1:1" x14ac:dyDescent="0.2">
      <c r="A435"/>
    </row>
    <row r="436" spans="1:1" x14ac:dyDescent="0.2">
      <c r="A436"/>
    </row>
    <row r="437" spans="1:1" x14ac:dyDescent="0.2">
      <c r="A437"/>
    </row>
    <row r="438" spans="1:1" x14ac:dyDescent="0.2">
      <c r="A438"/>
    </row>
    <row r="439" spans="1:1" x14ac:dyDescent="0.2">
      <c r="A439"/>
    </row>
    <row r="440" spans="1:1" x14ac:dyDescent="0.2">
      <c r="A440"/>
    </row>
    <row r="441" spans="1:1" x14ac:dyDescent="0.2">
      <c r="A441"/>
    </row>
    <row r="442" spans="1:1" x14ac:dyDescent="0.2">
      <c r="A442"/>
    </row>
    <row r="443" spans="1:1" x14ac:dyDescent="0.2">
      <c r="A443"/>
    </row>
    <row r="444" spans="1:1" x14ac:dyDescent="0.2">
      <c r="A444"/>
    </row>
    <row r="445" spans="1:1" x14ac:dyDescent="0.2">
      <c r="A445"/>
    </row>
    <row r="446" spans="1:1" x14ac:dyDescent="0.2">
      <c r="A446"/>
    </row>
    <row r="447" spans="1:1" x14ac:dyDescent="0.2">
      <c r="A447"/>
    </row>
    <row r="448" spans="1:1" x14ac:dyDescent="0.2">
      <c r="A448"/>
    </row>
    <row r="449" spans="1:1" x14ac:dyDescent="0.2">
      <c r="A449"/>
    </row>
    <row r="450" spans="1:1" x14ac:dyDescent="0.2">
      <c r="A450"/>
    </row>
    <row r="451" spans="1:1" x14ac:dyDescent="0.2">
      <c r="A451"/>
    </row>
    <row r="452" spans="1:1" x14ac:dyDescent="0.2">
      <c r="A452"/>
    </row>
    <row r="453" spans="1:1" x14ac:dyDescent="0.2">
      <c r="A453"/>
    </row>
    <row r="454" spans="1:1" x14ac:dyDescent="0.2">
      <c r="A454"/>
    </row>
    <row r="455" spans="1:1" x14ac:dyDescent="0.2">
      <c r="A455"/>
    </row>
    <row r="456" spans="1:1" x14ac:dyDescent="0.2">
      <c r="A456"/>
    </row>
    <row r="457" spans="1:1" x14ac:dyDescent="0.2">
      <c r="A457"/>
    </row>
    <row r="458" spans="1:1" x14ac:dyDescent="0.2">
      <c r="A458"/>
    </row>
    <row r="459" spans="1:1" x14ac:dyDescent="0.2">
      <c r="A459"/>
    </row>
    <row r="460" spans="1:1" x14ac:dyDescent="0.2">
      <c r="A460"/>
    </row>
    <row r="461" spans="1:1" x14ac:dyDescent="0.2">
      <c r="A461"/>
    </row>
    <row r="462" spans="1:1" x14ac:dyDescent="0.2">
      <c r="A462"/>
    </row>
    <row r="463" spans="1:1" x14ac:dyDescent="0.2">
      <c r="A463"/>
    </row>
    <row r="464" spans="1:1" x14ac:dyDescent="0.2">
      <c r="A464"/>
    </row>
    <row r="465" spans="1:1" x14ac:dyDescent="0.2">
      <c r="A465"/>
    </row>
    <row r="466" spans="1:1" x14ac:dyDescent="0.2">
      <c r="A466"/>
    </row>
    <row r="467" spans="1:1" x14ac:dyDescent="0.2">
      <c r="A467"/>
    </row>
    <row r="468" spans="1:1" x14ac:dyDescent="0.2">
      <c r="A468"/>
    </row>
    <row r="469" spans="1:1" x14ac:dyDescent="0.2">
      <c r="A469"/>
    </row>
    <row r="470" spans="1:1" x14ac:dyDescent="0.2">
      <c r="A470"/>
    </row>
    <row r="471" spans="1:1" x14ac:dyDescent="0.2">
      <c r="A471"/>
    </row>
    <row r="472" spans="1:1" x14ac:dyDescent="0.2">
      <c r="A472"/>
    </row>
    <row r="473" spans="1:1" x14ac:dyDescent="0.2">
      <c r="A473"/>
    </row>
    <row r="474" spans="1:1" x14ac:dyDescent="0.2">
      <c r="A474"/>
    </row>
    <row r="475" spans="1:1" x14ac:dyDescent="0.2">
      <c r="A475"/>
    </row>
    <row r="476" spans="1:1" x14ac:dyDescent="0.2">
      <c r="A476"/>
    </row>
    <row r="477" spans="1:1" x14ac:dyDescent="0.2">
      <c r="A477"/>
    </row>
    <row r="478" spans="1:1" x14ac:dyDescent="0.2">
      <c r="A478"/>
    </row>
    <row r="479" spans="1:1" x14ac:dyDescent="0.2">
      <c r="A479"/>
    </row>
    <row r="480" spans="1:1" x14ac:dyDescent="0.2">
      <c r="A480"/>
    </row>
    <row r="481" spans="1:1" x14ac:dyDescent="0.2">
      <c r="A481"/>
    </row>
    <row r="482" spans="1:1" x14ac:dyDescent="0.2">
      <c r="A482"/>
    </row>
    <row r="483" spans="1:1" x14ac:dyDescent="0.2">
      <c r="A483"/>
    </row>
    <row r="484" spans="1:1" x14ac:dyDescent="0.2">
      <c r="A484"/>
    </row>
    <row r="485" spans="1:1" x14ac:dyDescent="0.2">
      <c r="A485"/>
    </row>
    <row r="486" spans="1:1" x14ac:dyDescent="0.2">
      <c r="A486"/>
    </row>
    <row r="487" spans="1:1" x14ac:dyDescent="0.2">
      <c r="A487"/>
    </row>
    <row r="488" spans="1:1" x14ac:dyDescent="0.2">
      <c r="A488"/>
    </row>
    <row r="489" spans="1:1" x14ac:dyDescent="0.2">
      <c r="A489"/>
    </row>
    <row r="490" spans="1:1" x14ac:dyDescent="0.2">
      <c r="A490"/>
    </row>
    <row r="491" spans="1:1" x14ac:dyDescent="0.2">
      <c r="A491"/>
    </row>
    <row r="492" spans="1:1" x14ac:dyDescent="0.2">
      <c r="A492"/>
    </row>
    <row r="493" spans="1:1" x14ac:dyDescent="0.2">
      <c r="A493"/>
    </row>
    <row r="494" spans="1:1" x14ac:dyDescent="0.2">
      <c r="A494"/>
    </row>
    <row r="495" spans="1:1" x14ac:dyDescent="0.2">
      <c r="A495"/>
    </row>
    <row r="496" spans="1:1" x14ac:dyDescent="0.2">
      <c r="A496"/>
    </row>
    <row r="497" spans="1:1" x14ac:dyDescent="0.2">
      <c r="A497"/>
    </row>
    <row r="498" spans="1:1" x14ac:dyDescent="0.2">
      <c r="A498"/>
    </row>
    <row r="499" spans="1:1" x14ac:dyDescent="0.2">
      <c r="A499"/>
    </row>
    <row r="500" spans="1:1" x14ac:dyDescent="0.2">
      <c r="A500"/>
    </row>
    <row r="501" spans="1:1" x14ac:dyDescent="0.2">
      <c r="A501"/>
    </row>
    <row r="502" spans="1:1" x14ac:dyDescent="0.2">
      <c r="A502"/>
    </row>
    <row r="503" spans="1:1" x14ac:dyDescent="0.2">
      <c r="A503"/>
    </row>
    <row r="504" spans="1:1" x14ac:dyDescent="0.2">
      <c r="A504"/>
    </row>
    <row r="505" spans="1:1" x14ac:dyDescent="0.2">
      <c r="A505"/>
    </row>
    <row r="506" spans="1:1" x14ac:dyDescent="0.2">
      <c r="A506"/>
    </row>
    <row r="507" spans="1:1" x14ac:dyDescent="0.2">
      <c r="A507"/>
    </row>
    <row r="508" spans="1:1" x14ac:dyDescent="0.2">
      <c r="A508"/>
    </row>
    <row r="509" spans="1:1" x14ac:dyDescent="0.2">
      <c r="A509"/>
    </row>
    <row r="510" spans="1:1" x14ac:dyDescent="0.2">
      <c r="A510"/>
    </row>
    <row r="511" spans="1:1" x14ac:dyDescent="0.2">
      <c r="A511"/>
    </row>
    <row r="512" spans="1:1" x14ac:dyDescent="0.2">
      <c r="A512"/>
    </row>
    <row r="513" spans="1:1" x14ac:dyDescent="0.2">
      <c r="A513"/>
    </row>
    <row r="514" spans="1:1" x14ac:dyDescent="0.2">
      <c r="A514"/>
    </row>
    <row r="515" spans="1:1" x14ac:dyDescent="0.2">
      <c r="A515"/>
    </row>
    <row r="516" spans="1:1" x14ac:dyDescent="0.2">
      <c r="A516"/>
    </row>
    <row r="517" spans="1:1" x14ac:dyDescent="0.2">
      <c r="A517"/>
    </row>
    <row r="518" spans="1:1" x14ac:dyDescent="0.2">
      <c r="A518"/>
    </row>
    <row r="519" spans="1:1" x14ac:dyDescent="0.2">
      <c r="A519"/>
    </row>
    <row r="520" spans="1:1" x14ac:dyDescent="0.2">
      <c r="A520"/>
    </row>
    <row r="521" spans="1:1" x14ac:dyDescent="0.2">
      <c r="A521"/>
    </row>
    <row r="522" spans="1:1" x14ac:dyDescent="0.2">
      <c r="A522"/>
    </row>
    <row r="523" spans="1:1" x14ac:dyDescent="0.2">
      <c r="A523"/>
    </row>
    <row r="524" spans="1:1" x14ac:dyDescent="0.2">
      <c r="A524"/>
    </row>
    <row r="525" spans="1:1" x14ac:dyDescent="0.2">
      <c r="A525"/>
    </row>
    <row r="526" spans="1:1" x14ac:dyDescent="0.2">
      <c r="A526"/>
    </row>
    <row r="527" spans="1:1" x14ac:dyDescent="0.2">
      <c r="A527"/>
    </row>
    <row r="528" spans="1:1" x14ac:dyDescent="0.2">
      <c r="A528"/>
    </row>
    <row r="529" spans="1:1" x14ac:dyDescent="0.2">
      <c r="A529"/>
    </row>
    <row r="530" spans="1:1" x14ac:dyDescent="0.2">
      <c r="A530"/>
    </row>
    <row r="531" spans="1:1" x14ac:dyDescent="0.2">
      <c r="A531"/>
    </row>
    <row r="532" spans="1:1" x14ac:dyDescent="0.2">
      <c r="A532"/>
    </row>
    <row r="533" spans="1:1" x14ac:dyDescent="0.2">
      <c r="A533"/>
    </row>
    <row r="534" spans="1:1" x14ac:dyDescent="0.2">
      <c r="A534"/>
    </row>
    <row r="535" spans="1:1" x14ac:dyDescent="0.2">
      <c r="A535"/>
    </row>
    <row r="536" spans="1:1" x14ac:dyDescent="0.2">
      <c r="A536"/>
    </row>
    <row r="537" spans="1:1" x14ac:dyDescent="0.2">
      <c r="A537"/>
    </row>
    <row r="538" spans="1:1" x14ac:dyDescent="0.2">
      <c r="A538"/>
    </row>
    <row r="539" spans="1:1" x14ac:dyDescent="0.2">
      <c r="A539"/>
    </row>
    <row r="540" spans="1:1" x14ac:dyDescent="0.2">
      <c r="A540"/>
    </row>
    <row r="541" spans="1:1" x14ac:dyDescent="0.2">
      <c r="A541"/>
    </row>
    <row r="542" spans="1:1" x14ac:dyDescent="0.2">
      <c r="A542"/>
    </row>
    <row r="543" spans="1:1" x14ac:dyDescent="0.2">
      <c r="A543"/>
    </row>
    <row r="544" spans="1:1" x14ac:dyDescent="0.2">
      <c r="A544"/>
    </row>
    <row r="545" spans="1:1" x14ac:dyDescent="0.2">
      <c r="A545"/>
    </row>
    <row r="546" spans="1:1" x14ac:dyDescent="0.2">
      <c r="A546"/>
    </row>
    <row r="547" spans="1:1" x14ac:dyDescent="0.2">
      <c r="A547"/>
    </row>
    <row r="548" spans="1:1" x14ac:dyDescent="0.2">
      <c r="A548"/>
    </row>
    <row r="549" spans="1:1" x14ac:dyDescent="0.2">
      <c r="A549"/>
    </row>
    <row r="550" spans="1:1" x14ac:dyDescent="0.2">
      <c r="A550"/>
    </row>
    <row r="551" spans="1:1" x14ac:dyDescent="0.2">
      <c r="A551"/>
    </row>
    <row r="552" spans="1:1" x14ac:dyDescent="0.2">
      <c r="A552"/>
    </row>
    <row r="553" spans="1:1" x14ac:dyDescent="0.2">
      <c r="A553"/>
    </row>
    <row r="554" spans="1:1" x14ac:dyDescent="0.2">
      <c r="A554"/>
    </row>
    <row r="555" spans="1:1" x14ac:dyDescent="0.2">
      <c r="A555"/>
    </row>
    <row r="556" spans="1:1" x14ac:dyDescent="0.2">
      <c r="A556"/>
    </row>
    <row r="557" spans="1:1" x14ac:dyDescent="0.2">
      <c r="A557"/>
    </row>
    <row r="558" spans="1:1" x14ac:dyDescent="0.2">
      <c r="A558"/>
    </row>
    <row r="559" spans="1:1" x14ac:dyDescent="0.2">
      <c r="A559"/>
    </row>
    <row r="560" spans="1:1" x14ac:dyDescent="0.2">
      <c r="A560"/>
    </row>
    <row r="561" spans="1:1" x14ac:dyDescent="0.2">
      <c r="A561"/>
    </row>
    <row r="562" spans="1:1" x14ac:dyDescent="0.2">
      <c r="A562"/>
    </row>
    <row r="563" spans="1:1" x14ac:dyDescent="0.2">
      <c r="A563"/>
    </row>
    <row r="564" spans="1:1" x14ac:dyDescent="0.2">
      <c r="A564"/>
    </row>
    <row r="565" spans="1:1" x14ac:dyDescent="0.2">
      <c r="A565"/>
    </row>
    <row r="566" spans="1:1" x14ac:dyDescent="0.2">
      <c r="A566"/>
    </row>
    <row r="567" spans="1:1" x14ac:dyDescent="0.2">
      <c r="A567"/>
    </row>
    <row r="568" spans="1:1" x14ac:dyDescent="0.2">
      <c r="A568"/>
    </row>
    <row r="569" spans="1:1" x14ac:dyDescent="0.2">
      <c r="A569"/>
    </row>
    <row r="570" spans="1:1" x14ac:dyDescent="0.2">
      <c r="A570"/>
    </row>
    <row r="571" spans="1:1" x14ac:dyDescent="0.2">
      <c r="A571"/>
    </row>
    <row r="572" spans="1:1" x14ac:dyDescent="0.2">
      <c r="A572"/>
    </row>
    <row r="573" spans="1:1" x14ac:dyDescent="0.2">
      <c r="A573"/>
    </row>
    <row r="574" spans="1:1" x14ac:dyDescent="0.2">
      <c r="A574"/>
    </row>
    <row r="575" spans="1:1" x14ac:dyDescent="0.2">
      <c r="A575"/>
    </row>
    <row r="576" spans="1:1" x14ac:dyDescent="0.2">
      <c r="A576"/>
    </row>
    <row r="577" spans="1:1" x14ac:dyDescent="0.2">
      <c r="A577"/>
    </row>
    <row r="578" spans="1:1" x14ac:dyDescent="0.2">
      <c r="A578"/>
    </row>
    <row r="579" spans="1:1" x14ac:dyDescent="0.2">
      <c r="A579"/>
    </row>
    <row r="580" spans="1:1" x14ac:dyDescent="0.2">
      <c r="A580"/>
    </row>
    <row r="581" spans="1:1" x14ac:dyDescent="0.2">
      <c r="A581"/>
    </row>
    <row r="582" spans="1:1" x14ac:dyDescent="0.2">
      <c r="A582"/>
    </row>
    <row r="583" spans="1:1" x14ac:dyDescent="0.2">
      <c r="A583"/>
    </row>
    <row r="584" spans="1:1" x14ac:dyDescent="0.2">
      <c r="A584"/>
    </row>
    <row r="585" spans="1:1" x14ac:dyDescent="0.2">
      <c r="A585"/>
    </row>
    <row r="586" spans="1:1" x14ac:dyDescent="0.2">
      <c r="A586"/>
    </row>
    <row r="587" spans="1:1" x14ac:dyDescent="0.2">
      <c r="A587"/>
    </row>
    <row r="588" spans="1:1" x14ac:dyDescent="0.2">
      <c r="A588"/>
    </row>
    <row r="589" spans="1:1" x14ac:dyDescent="0.2">
      <c r="A589"/>
    </row>
    <row r="590" spans="1:1" x14ac:dyDescent="0.2">
      <c r="A590"/>
    </row>
    <row r="591" spans="1:1" x14ac:dyDescent="0.2">
      <c r="A591"/>
    </row>
    <row r="592" spans="1:1" x14ac:dyDescent="0.2">
      <c r="A592"/>
    </row>
    <row r="593" spans="1:1" x14ac:dyDescent="0.2">
      <c r="A593"/>
    </row>
    <row r="594" spans="1:1" x14ac:dyDescent="0.2">
      <c r="A594"/>
    </row>
    <row r="595" spans="1:1" x14ac:dyDescent="0.2">
      <c r="A595"/>
    </row>
    <row r="596" spans="1:1" x14ac:dyDescent="0.2">
      <c r="A596"/>
    </row>
    <row r="597" spans="1:1" x14ac:dyDescent="0.2">
      <c r="A597"/>
    </row>
    <row r="598" spans="1:1" x14ac:dyDescent="0.2">
      <c r="A598"/>
    </row>
    <row r="599" spans="1:1" x14ac:dyDescent="0.2">
      <c r="A599"/>
    </row>
    <row r="600" spans="1:1" x14ac:dyDescent="0.2">
      <c r="A600"/>
    </row>
    <row r="601" spans="1:1" x14ac:dyDescent="0.2">
      <c r="A601"/>
    </row>
    <row r="602" spans="1:1" x14ac:dyDescent="0.2">
      <c r="A602"/>
    </row>
    <row r="603" spans="1:1" x14ac:dyDescent="0.2">
      <c r="A603"/>
    </row>
    <row r="604" spans="1:1" x14ac:dyDescent="0.2">
      <c r="A604"/>
    </row>
    <row r="605" spans="1:1" x14ac:dyDescent="0.2">
      <c r="A605"/>
    </row>
    <row r="606" spans="1:1" x14ac:dyDescent="0.2">
      <c r="A606"/>
    </row>
    <row r="607" spans="1:1" x14ac:dyDescent="0.2">
      <c r="A607"/>
    </row>
    <row r="608" spans="1:1" x14ac:dyDescent="0.2">
      <c r="A608"/>
    </row>
    <row r="609" spans="1:1" x14ac:dyDescent="0.2">
      <c r="A609"/>
    </row>
    <row r="610" spans="1:1" x14ac:dyDescent="0.2">
      <c r="A610"/>
    </row>
    <row r="611" spans="1:1" x14ac:dyDescent="0.2">
      <c r="A611"/>
    </row>
    <row r="612" spans="1:1" x14ac:dyDescent="0.2">
      <c r="A612"/>
    </row>
    <row r="613" spans="1:1" x14ac:dyDescent="0.2">
      <c r="A613"/>
    </row>
    <row r="614" spans="1:1" x14ac:dyDescent="0.2">
      <c r="A614"/>
    </row>
    <row r="615" spans="1:1" x14ac:dyDescent="0.2">
      <c r="A615"/>
    </row>
    <row r="616" spans="1:1" x14ac:dyDescent="0.2">
      <c r="A616"/>
    </row>
    <row r="617" spans="1:1" x14ac:dyDescent="0.2">
      <c r="A617"/>
    </row>
    <row r="618" spans="1:1" x14ac:dyDescent="0.2">
      <c r="A618"/>
    </row>
    <row r="619" spans="1:1" x14ac:dyDescent="0.2">
      <c r="A619"/>
    </row>
    <row r="620" spans="1:1" x14ac:dyDescent="0.2">
      <c r="A620"/>
    </row>
    <row r="621" spans="1:1" x14ac:dyDescent="0.2">
      <c r="A621"/>
    </row>
    <row r="622" spans="1:1" x14ac:dyDescent="0.2">
      <c r="A622"/>
    </row>
    <row r="623" spans="1:1" x14ac:dyDescent="0.2">
      <c r="A623"/>
    </row>
    <row r="624" spans="1:1" x14ac:dyDescent="0.2">
      <c r="A624"/>
    </row>
    <row r="625" spans="1:1" x14ac:dyDescent="0.2">
      <c r="A625"/>
    </row>
    <row r="626" spans="1:1" x14ac:dyDescent="0.2">
      <c r="A626"/>
    </row>
    <row r="627" spans="1:1" x14ac:dyDescent="0.2">
      <c r="A627"/>
    </row>
    <row r="628" spans="1:1" x14ac:dyDescent="0.2">
      <c r="A628"/>
    </row>
    <row r="629" spans="1:1" x14ac:dyDescent="0.2">
      <c r="A629"/>
    </row>
    <row r="630" spans="1:1" x14ac:dyDescent="0.2">
      <c r="A630"/>
    </row>
    <row r="631" spans="1:1" x14ac:dyDescent="0.2">
      <c r="A631"/>
    </row>
    <row r="632" spans="1:1" x14ac:dyDescent="0.2">
      <c r="A632"/>
    </row>
    <row r="633" spans="1:1" x14ac:dyDescent="0.2">
      <c r="A633"/>
    </row>
    <row r="634" spans="1:1" x14ac:dyDescent="0.2">
      <c r="A634"/>
    </row>
    <row r="635" spans="1:1" x14ac:dyDescent="0.2">
      <c r="A635"/>
    </row>
    <row r="636" spans="1:1" x14ac:dyDescent="0.2">
      <c r="A636"/>
    </row>
    <row r="637" spans="1:1" x14ac:dyDescent="0.2">
      <c r="A637"/>
    </row>
    <row r="638" spans="1:1" x14ac:dyDescent="0.2">
      <c r="A638"/>
    </row>
    <row r="639" spans="1:1" x14ac:dyDescent="0.2">
      <c r="A639"/>
    </row>
    <row r="640" spans="1:1" x14ac:dyDescent="0.2">
      <c r="A640"/>
    </row>
    <row r="641" spans="1:1" x14ac:dyDescent="0.2">
      <c r="A641"/>
    </row>
    <row r="642" spans="1:1" x14ac:dyDescent="0.2">
      <c r="A642"/>
    </row>
    <row r="643" spans="1:1" x14ac:dyDescent="0.2">
      <c r="A643"/>
    </row>
    <row r="644" spans="1:1" x14ac:dyDescent="0.2">
      <c r="A644"/>
    </row>
    <row r="645" spans="1:1" x14ac:dyDescent="0.2">
      <c r="A645"/>
    </row>
    <row r="646" spans="1:1" x14ac:dyDescent="0.2">
      <c r="A646"/>
    </row>
    <row r="647" spans="1:1" x14ac:dyDescent="0.2">
      <c r="A647"/>
    </row>
    <row r="648" spans="1:1" x14ac:dyDescent="0.2">
      <c r="A648"/>
    </row>
    <row r="649" spans="1:1" x14ac:dyDescent="0.2">
      <c r="A649"/>
    </row>
    <row r="650" spans="1:1" x14ac:dyDescent="0.2">
      <c r="A650"/>
    </row>
    <row r="651" spans="1:1" x14ac:dyDescent="0.2">
      <c r="A651"/>
    </row>
    <row r="652" spans="1:1" x14ac:dyDescent="0.2">
      <c r="A652"/>
    </row>
    <row r="653" spans="1:1" x14ac:dyDescent="0.2">
      <c r="A653"/>
    </row>
    <row r="654" spans="1:1" x14ac:dyDescent="0.2">
      <c r="A654"/>
    </row>
    <row r="655" spans="1:1" x14ac:dyDescent="0.2">
      <c r="A655"/>
    </row>
    <row r="656" spans="1:1" x14ac:dyDescent="0.2">
      <c r="A656"/>
    </row>
    <row r="657" spans="1:1" x14ac:dyDescent="0.2">
      <c r="A657"/>
    </row>
    <row r="658" spans="1:1" x14ac:dyDescent="0.2">
      <c r="A658"/>
    </row>
    <row r="659" spans="1:1" x14ac:dyDescent="0.2">
      <c r="A659"/>
    </row>
    <row r="660" spans="1:1" x14ac:dyDescent="0.2">
      <c r="A660"/>
    </row>
    <row r="661" spans="1:1" x14ac:dyDescent="0.2">
      <c r="A661"/>
    </row>
    <row r="662" spans="1:1" x14ac:dyDescent="0.2">
      <c r="A662"/>
    </row>
    <row r="663" spans="1:1" x14ac:dyDescent="0.2">
      <c r="A663"/>
    </row>
    <row r="664" spans="1:1" x14ac:dyDescent="0.2">
      <c r="A664"/>
    </row>
    <row r="665" spans="1:1" x14ac:dyDescent="0.2">
      <c r="A665"/>
    </row>
    <row r="666" spans="1:1" x14ac:dyDescent="0.2">
      <c r="A666"/>
    </row>
    <row r="667" spans="1:1" x14ac:dyDescent="0.2">
      <c r="A667"/>
    </row>
    <row r="668" spans="1:1" x14ac:dyDescent="0.2">
      <c r="A668"/>
    </row>
    <row r="669" spans="1:1" x14ac:dyDescent="0.2">
      <c r="A669"/>
    </row>
    <row r="670" spans="1:1" x14ac:dyDescent="0.2">
      <c r="A670"/>
    </row>
    <row r="671" spans="1:1" x14ac:dyDescent="0.2">
      <c r="A671"/>
    </row>
    <row r="672" spans="1:1" x14ac:dyDescent="0.2">
      <c r="A672"/>
    </row>
    <row r="673" spans="1:1" x14ac:dyDescent="0.2">
      <c r="A673"/>
    </row>
    <row r="674" spans="1:1" x14ac:dyDescent="0.2">
      <c r="A674"/>
    </row>
    <row r="675" spans="1:1" x14ac:dyDescent="0.2">
      <c r="A675"/>
    </row>
    <row r="676" spans="1:1" x14ac:dyDescent="0.2">
      <c r="A676"/>
    </row>
    <row r="677" spans="1:1" x14ac:dyDescent="0.2">
      <c r="A677"/>
    </row>
    <row r="678" spans="1:1" x14ac:dyDescent="0.2">
      <c r="A678"/>
    </row>
    <row r="679" spans="1:1" x14ac:dyDescent="0.2">
      <c r="A679"/>
    </row>
    <row r="680" spans="1:1" x14ac:dyDescent="0.2">
      <c r="A680"/>
    </row>
    <row r="681" spans="1:1" x14ac:dyDescent="0.2">
      <c r="A681"/>
    </row>
    <row r="682" spans="1:1" x14ac:dyDescent="0.2">
      <c r="A682"/>
    </row>
    <row r="683" spans="1:1" x14ac:dyDescent="0.2">
      <c r="A683"/>
    </row>
    <row r="684" spans="1:1" x14ac:dyDescent="0.2">
      <c r="A684"/>
    </row>
    <row r="685" spans="1:1" x14ac:dyDescent="0.2">
      <c r="A685"/>
    </row>
    <row r="686" spans="1:1" x14ac:dyDescent="0.2">
      <c r="A686"/>
    </row>
    <row r="687" spans="1:1" x14ac:dyDescent="0.2">
      <c r="A687"/>
    </row>
    <row r="688" spans="1:1" x14ac:dyDescent="0.2">
      <c r="A688"/>
    </row>
    <row r="689" spans="1:1" x14ac:dyDescent="0.2">
      <c r="A689"/>
    </row>
    <row r="690" spans="1:1" x14ac:dyDescent="0.2">
      <c r="A690"/>
    </row>
    <row r="691" spans="1:1" x14ac:dyDescent="0.2">
      <c r="A691"/>
    </row>
    <row r="692" spans="1:1" x14ac:dyDescent="0.2">
      <c r="A692"/>
    </row>
    <row r="693" spans="1:1" x14ac:dyDescent="0.2">
      <c r="A693"/>
    </row>
    <row r="694" spans="1:1" x14ac:dyDescent="0.2">
      <c r="A694"/>
    </row>
    <row r="695" spans="1:1" x14ac:dyDescent="0.2">
      <c r="A695"/>
    </row>
    <row r="696" spans="1:1" x14ac:dyDescent="0.2">
      <c r="A696"/>
    </row>
    <row r="697" spans="1:1" x14ac:dyDescent="0.2">
      <c r="A697"/>
    </row>
    <row r="698" spans="1:1" x14ac:dyDescent="0.2">
      <c r="A698"/>
    </row>
    <row r="699" spans="1:1" x14ac:dyDescent="0.2">
      <c r="A699"/>
    </row>
    <row r="700" spans="1:1" x14ac:dyDescent="0.2">
      <c r="A700"/>
    </row>
    <row r="701" spans="1:1" x14ac:dyDescent="0.2">
      <c r="A701"/>
    </row>
    <row r="702" spans="1:1" x14ac:dyDescent="0.2">
      <c r="A702"/>
    </row>
    <row r="703" spans="1:1" x14ac:dyDescent="0.2">
      <c r="A703"/>
    </row>
    <row r="704" spans="1:1" x14ac:dyDescent="0.2">
      <c r="A704"/>
    </row>
    <row r="705" spans="1:1" x14ac:dyDescent="0.2">
      <c r="A705"/>
    </row>
    <row r="706" spans="1:1" x14ac:dyDescent="0.2">
      <c r="A706"/>
    </row>
    <row r="707" spans="1:1" x14ac:dyDescent="0.2">
      <c r="A707"/>
    </row>
    <row r="708" spans="1:1" x14ac:dyDescent="0.2">
      <c r="A708"/>
    </row>
    <row r="709" spans="1:1" x14ac:dyDescent="0.2">
      <c r="A709"/>
    </row>
    <row r="710" spans="1:1" x14ac:dyDescent="0.2">
      <c r="A710"/>
    </row>
    <row r="711" spans="1:1" x14ac:dyDescent="0.2">
      <c r="A711"/>
    </row>
    <row r="712" spans="1:1" x14ac:dyDescent="0.2">
      <c r="A712"/>
    </row>
    <row r="713" spans="1:1" x14ac:dyDescent="0.2">
      <c r="A713"/>
    </row>
    <row r="714" spans="1:1" x14ac:dyDescent="0.2">
      <c r="A714"/>
    </row>
    <row r="715" spans="1:1" x14ac:dyDescent="0.2">
      <c r="A715"/>
    </row>
    <row r="716" spans="1:1" x14ac:dyDescent="0.2">
      <c r="A716"/>
    </row>
    <row r="717" spans="1:1" x14ac:dyDescent="0.2">
      <c r="A717"/>
    </row>
    <row r="718" spans="1:1" x14ac:dyDescent="0.2">
      <c r="A718"/>
    </row>
    <row r="719" spans="1:1" x14ac:dyDescent="0.2">
      <c r="A719"/>
    </row>
    <row r="720" spans="1:1" x14ac:dyDescent="0.2">
      <c r="A720"/>
    </row>
    <row r="721" spans="1:1" x14ac:dyDescent="0.2">
      <c r="A721"/>
    </row>
    <row r="722" spans="1:1" x14ac:dyDescent="0.2">
      <c r="A722"/>
    </row>
    <row r="723" spans="1:1" x14ac:dyDescent="0.2">
      <c r="A723"/>
    </row>
    <row r="724" spans="1:1" x14ac:dyDescent="0.2">
      <c r="A724"/>
    </row>
    <row r="725" spans="1:1" x14ac:dyDescent="0.2">
      <c r="A725"/>
    </row>
    <row r="726" spans="1:1" x14ac:dyDescent="0.2">
      <c r="A726"/>
    </row>
    <row r="727" spans="1:1" x14ac:dyDescent="0.2">
      <c r="A727"/>
    </row>
    <row r="728" spans="1:1" x14ac:dyDescent="0.2">
      <c r="A728"/>
    </row>
    <row r="729" spans="1:1" x14ac:dyDescent="0.2">
      <c r="A729"/>
    </row>
    <row r="730" spans="1:1" x14ac:dyDescent="0.2">
      <c r="A730"/>
    </row>
    <row r="731" spans="1:1" x14ac:dyDescent="0.2">
      <c r="A731"/>
    </row>
    <row r="732" spans="1:1" x14ac:dyDescent="0.2">
      <c r="A732"/>
    </row>
    <row r="733" spans="1:1" x14ac:dyDescent="0.2">
      <c r="A733"/>
    </row>
    <row r="734" spans="1:1" x14ac:dyDescent="0.2">
      <c r="A734"/>
    </row>
    <row r="735" spans="1:1" x14ac:dyDescent="0.2">
      <c r="A735"/>
    </row>
    <row r="736" spans="1:1" x14ac:dyDescent="0.2">
      <c r="A736"/>
    </row>
    <row r="737" spans="1:1" x14ac:dyDescent="0.2">
      <c r="A737"/>
    </row>
    <row r="738" spans="1:1" x14ac:dyDescent="0.2">
      <c r="A738"/>
    </row>
    <row r="739" spans="1:1" x14ac:dyDescent="0.2">
      <c r="A739"/>
    </row>
    <row r="740" spans="1:1" x14ac:dyDescent="0.2">
      <c r="A740"/>
    </row>
    <row r="741" spans="1:1" x14ac:dyDescent="0.2">
      <c r="A741"/>
    </row>
    <row r="742" spans="1:1" x14ac:dyDescent="0.2">
      <c r="A742"/>
    </row>
    <row r="743" spans="1:1" x14ac:dyDescent="0.2">
      <c r="A743"/>
    </row>
    <row r="744" spans="1:1" x14ac:dyDescent="0.2">
      <c r="A744"/>
    </row>
    <row r="745" spans="1:1" x14ac:dyDescent="0.2">
      <c r="A745"/>
    </row>
    <row r="746" spans="1:1" x14ac:dyDescent="0.2">
      <c r="A746"/>
    </row>
    <row r="747" spans="1:1" x14ac:dyDescent="0.2">
      <c r="A747"/>
    </row>
    <row r="748" spans="1:1" x14ac:dyDescent="0.2">
      <c r="A748"/>
    </row>
    <row r="749" spans="1:1" x14ac:dyDescent="0.2">
      <c r="A749"/>
    </row>
    <row r="750" spans="1:1" x14ac:dyDescent="0.2">
      <c r="A750"/>
    </row>
    <row r="751" spans="1:1" x14ac:dyDescent="0.2">
      <c r="A751"/>
    </row>
    <row r="752" spans="1:1" x14ac:dyDescent="0.2">
      <c r="A752"/>
    </row>
    <row r="753" spans="1:1" x14ac:dyDescent="0.2">
      <c r="A753"/>
    </row>
    <row r="754" spans="1:1" x14ac:dyDescent="0.2">
      <c r="A754"/>
    </row>
    <row r="755" spans="1:1" x14ac:dyDescent="0.2">
      <c r="A755"/>
    </row>
    <row r="756" spans="1:1" x14ac:dyDescent="0.2">
      <c r="A756"/>
    </row>
    <row r="757" spans="1:1" x14ac:dyDescent="0.2">
      <c r="A757"/>
    </row>
    <row r="758" spans="1:1" x14ac:dyDescent="0.2">
      <c r="A758"/>
    </row>
    <row r="759" spans="1:1" x14ac:dyDescent="0.2">
      <c r="A759"/>
    </row>
    <row r="760" spans="1:1" x14ac:dyDescent="0.2">
      <c r="A760"/>
    </row>
    <row r="761" spans="1:1" x14ac:dyDescent="0.2">
      <c r="A761"/>
    </row>
    <row r="762" spans="1:1" x14ac:dyDescent="0.2">
      <c r="A762"/>
    </row>
    <row r="763" spans="1:1" x14ac:dyDescent="0.2">
      <c r="A763"/>
    </row>
    <row r="764" spans="1:1" x14ac:dyDescent="0.2">
      <c r="A764"/>
    </row>
    <row r="765" spans="1:1" x14ac:dyDescent="0.2">
      <c r="A765"/>
    </row>
    <row r="766" spans="1:1" x14ac:dyDescent="0.2">
      <c r="A766"/>
    </row>
    <row r="767" spans="1:1" x14ac:dyDescent="0.2">
      <c r="A767"/>
    </row>
    <row r="768" spans="1:1" x14ac:dyDescent="0.2">
      <c r="A768"/>
    </row>
    <row r="769" spans="1:1" x14ac:dyDescent="0.2">
      <c r="A769"/>
    </row>
    <row r="770" spans="1:1" x14ac:dyDescent="0.2">
      <c r="A770"/>
    </row>
    <row r="771" spans="1:1" x14ac:dyDescent="0.2">
      <c r="A771"/>
    </row>
    <row r="772" spans="1:1" x14ac:dyDescent="0.2">
      <c r="A772"/>
    </row>
    <row r="773" spans="1:1" x14ac:dyDescent="0.2">
      <c r="A773"/>
    </row>
    <row r="774" spans="1:1" x14ac:dyDescent="0.2">
      <c r="A774"/>
    </row>
    <row r="775" spans="1:1" x14ac:dyDescent="0.2">
      <c r="A775"/>
    </row>
    <row r="776" spans="1:1" x14ac:dyDescent="0.2">
      <c r="A776"/>
    </row>
    <row r="777" spans="1:1" x14ac:dyDescent="0.2">
      <c r="A777"/>
    </row>
    <row r="778" spans="1:1" x14ac:dyDescent="0.2">
      <c r="A778"/>
    </row>
    <row r="779" spans="1:1" x14ac:dyDescent="0.2">
      <c r="A779"/>
    </row>
    <row r="780" spans="1:1" x14ac:dyDescent="0.2">
      <c r="A780"/>
    </row>
    <row r="781" spans="1:1" x14ac:dyDescent="0.2">
      <c r="A781"/>
    </row>
    <row r="782" spans="1:1" x14ac:dyDescent="0.2">
      <c r="A782"/>
    </row>
    <row r="783" spans="1:1" x14ac:dyDescent="0.2">
      <c r="A783"/>
    </row>
    <row r="784" spans="1:1" x14ac:dyDescent="0.2">
      <c r="A784"/>
    </row>
    <row r="785" spans="1:1" x14ac:dyDescent="0.2">
      <c r="A785"/>
    </row>
    <row r="786" spans="1:1" x14ac:dyDescent="0.2">
      <c r="A786"/>
    </row>
    <row r="787" spans="1:1" x14ac:dyDescent="0.2">
      <c r="A787"/>
    </row>
    <row r="788" spans="1:1" x14ac:dyDescent="0.2">
      <c r="A788"/>
    </row>
    <row r="789" spans="1:1" x14ac:dyDescent="0.2">
      <c r="A789"/>
    </row>
    <row r="790" spans="1:1" x14ac:dyDescent="0.2">
      <c r="A790"/>
    </row>
    <row r="791" spans="1:1" x14ac:dyDescent="0.2">
      <c r="A791"/>
    </row>
    <row r="792" spans="1:1" x14ac:dyDescent="0.2">
      <c r="A792"/>
    </row>
    <row r="793" spans="1:1" x14ac:dyDescent="0.2">
      <c r="A793"/>
    </row>
    <row r="794" spans="1:1" x14ac:dyDescent="0.2">
      <c r="A794"/>
    </row>
    <row r="795" spans="1:1" x14ac:dyDescent="0.2">
      <c r="A795"/>
    </row>
    <row r="796" spans="1:1" x14ac:dyDescent="0.2">
      <c r="A796"/>
    </row>
    <row r="797" spans="1:1" x14ac:dyDescent="0.2">
      <c r="A797"/>
    </row>
    <row r="798" spans="1:1" x14ac:dyDescent="0.2">
      <c r="A798"/>
    </row>
    <row r="799" spans="1:1" x14ac:dyDescent="0.2">
      <c r="A799"/>
    </row>
    <row r="800" spans="1:1" x14ac:dyDescent="0.2">
      <c r="A800"/>
    </row>
    <row r="801" spans="1:1" x14ac:dyDescent="0.2">
      <c r="A801"/>
    </row>
    <row r="802" spans="1:1" x14ac:dyDescent="0.2">
      <c r="A802"/>
    </row>
    <row r="803" spans="1:1" x14ac:dyDescent="0.2">
      <c r="A803"/>
    </row>
    <row r="804" spans="1:1" x14ac:dyDescent="0.2">
      <c r="A804"/>
    </row>
    <row r="805" spans="1:1" x14ac:dyDescent="0.2">
      <c r="A805"/>
    </row>
    <row r="806" spans="1:1" x14ac:dyDescent="0.2">
      <c r="A806"/>
    </row>
    <row r="807" spans="1:1" x14ac:dyDescent="0.2">
      <c r="A807"/>
    </row>
    <row r="808" spans="1:1" x14ac:dyDescent="0.2">
      <c r="A808"/>
    </row>
    <row r="809" spans="1:1" x14ac:dyDescent="0.2">
      <c r="A809"/>
    </row>
    <row r="810" spans="1:1" x14ac:dyDescent="0.2">
      <c r="A810"/>
    </row>
    <row r="811" spans="1:1" x14ac:dyDescent="0.2">
      <c r="A811"/>
    </row>
    <row r="812" spans="1:1" x14ac:dyDescent="0.2">
      <c r="A812"/>
    </row>
    <row r="813" spans="1:1" x14ac:dyDescent="0.2">
      <c r="A813"/>
    </row>
    <row r="814" spans="1:1" x14ac:dyDescent="0.2">
      <c r="A814"/>
    </row>
    <row r="815" spans="1:1" x14ac:dyDescent="0.2">
      <c r="A815"/>
    </row>
    <row r="816" spans="1:1" x14ac:dyDescent="0.2">
      <c r="A816"/>
    </row>
    <row r="817" spans="1:1" x14ac:dyDescent="0.2">
      <c r="A817"/>
    </row>
    <row r="818" spans="1:1" x14ac:dyDescent="0.2">
      <c r="A818"/>
    </row>
    <row r="819" spans="1:1" x14ac:dyDescent="0.2">
      <c r="A819"/>
    </row>
    <row r="820" spans="1:1" x14ac:dyDescent="0.2">
      <c r="A820"/>
    </row>
    <row r="821" spans="1:1" x14ac:dyDescent="0.2">
      <c r="A821"/>
    </row>
    <row r="822" spans="1:1" x14ac:dyDescent="0.2">
      <c r="A822"/>
    </row>
    <row r="823" spans="1:1" x14ac:dyDescent="0.2">
      <c r="A823"/>
    </row>
    <row r="824" spans="1:1" x14ac:dyDescent="0.2">
      <c r="A824"/>
    </row>
    <row r="825" spans="1:1" x14ac:dyDescent="0.2">
      <c r="A825"/>
    </row>
    <row r="826" spans="1:1" x14ac:dyDescent="0.2">
      <c r="A826"/>
    </row>
    <row r="827" spans="1:1" x14ac:dyDescent="0.2">
      <c r="A827"/>
    </row>
    <row r="828" spans="1:1" x14ac:dyDescent="0.2">
      <c r="A828"/>
    </row>
    <row r="829" spans="1:1" x14ac:dyDescent="0.2">
      <c r="A829"/>
    </row>
    <row r="830" spans="1:1" x14ac:dyDescent="0.2">
      <c r="A830"/>
    </row>
    <row r="831" spans="1:1" x14ac:dyDescent="0.2">
      <c r="A831"/>
    </row>
    <row r="832" spans="1:1" x14ac:dyDescent="0.2">
      <c r="A832"/>
    </row>
    <row r="833" spans="1:1" x14ac:dyDescent="0.2">
      <c r="A833"/>
    </row>
    <row r="834" spans="1:1" x14ac:dyDescent="0.2">
      <c r="A834"/>
    </row>
    <row r="835" spans="1:1" x14ac:dyDescent="0.2">
      <c r="A835"/>
    </row>
    <row r="836" spans="1:1" x14ac:dyDescent="0.2">
      <c r="A836"/>
    </row>
    <row r="837" spans="1:1" x14ac:dyDescent="0.2">
      <c r="A837"/>
    </row>
    <row r="838" spans="1:1" x14ac:dyDescent="0.2">
      <c r="A838"/>
    </row>
    <row r="839" spans="1:1" x14ac:dyDescent="0.2">
      <c r="A839"/>
    </row>
    <row r="840" spans="1:1" x14ac:dyDescent="0.2">
      <c r="A840"/>
    </row>
    <row r="841" spans="1:1" x14ac:dyDescent="0.2">
      <c r="A841"/>
    </row>
    <row r="842" spans="1:1" x14ac:dyDescent="0.2">
      <c r="A842"/>
    </row>
    <row r="843" spans="1:1" x14ac:dyDescent="0.2">
      <c r="A843"/>
    </row>
    <row r="844" spans="1:1" x14ac:dyDescent="0.2">
      <c r="A844"/>
    </row>
    <row r="845" spans="1:1" x14ac:dyDescent="0.2">
      <c r="A845"/>
    </row>
    <row r="846" spans="1:1" x14ac:dyDescent="0.2">
      <c r="A846"/>
    </row>
    <row r="847" spans="1:1" x14ac:dyDescent="0.2">
      <c r="A847"/>
    </row>
    <row r="848" spans="1:1" x14ac:dyDescent="0.2">
      <c r="A848"/>
    </row>
    <row r="849" spans="1:1" x14ac:dyDescent="0.2">
      <c r="A849"/>
    </row>
    <row r="850" spans="1:1" x14ac:dyDescent="0.2">
      <c r="A850"/>
    </row>
    <row r="851" spans="1:1" x14ac:dyDescent="0.2">
      <c r="A851"/>
    </row>
    <row r="852" spans="1:1" x14ac:dyDescent="0.2">
      <c r="A852"/>
    </row>
    <row r="853" spans="1:1" x14ac:dyDescent="0.2">
      <c r="A853"/>
    </row>
    <row r="854" spans="1:1" x14ac:dyDescent="0.2">
      <c r="A854"/>
    </row>
    <row r="855" spans="1:1" x14ac:dyDescent="0.2">
      <c r="A855"/>
    </row>
    <row r="856" spans="1:1" x14ac:dyDescent="0.2">
      <c r="A856"/>
    </row>
    <row r="857" spans="1:1" x14ac:dyDescent="0.2">
      <c r="A857"/>
    </row>
    <row r="858" spans="1:1" x14ac:dyDescent="0.2">
      <c r="A858"/>
    </row>
    <row r="859" spans="1:1" x14ac:dyDescent="0.2">
      <c r="A859"/>
    </row>
    <row r="860" spans="1:1" x14ac:dyDescent="0.2">
      <c r="A860"/>
    </row>
    <row r="861" spans="1:1" x14ac:dyDescent="0.2">
      <c r="A861"/>
    </row>
    <row r="862" spans="1:1" x14ac:dyDescent="0.2">
      <c r="A862"/>
    </row>
    <row r="863" spans="1:1" x14ac:dyDescent="0.2">
      <c r="A863"/>
    </row>
    <row r="864" spans="1:1" x14ac:dyDescent="0.2">
      <c r="A864"/>
    </row>
    <row r="865" spans="1:1" x14ac:dyDescent="0.2">
      <c r="A865"/>
    </row>
    <row r="866" spans="1:1" x14ac:dyDescent="0.2">
      <c r="A866"/>
    </row>
    <row r="867" spans="1:1" x14ac:dyDescent="0.2">
      <c r="A867"/>
    </row>
    <row r="868" spans="1:1" x14ac:dyDescent="0.2">
      <c r="A868"/>
    </row>
    <row r="869" spans="1:1" x14ac:dyDescent="0.2">
      <c r="A869"/>
    </row>
    <row r="870" spans="1:1" x14ac:dyDescent="0.2">
      <c r="A870"/>
    </row>
    <row r="871" spans="1:1" x14ac:dyDescent="0.2">
      <c r="A871"/>
    </row>
    <row r="872" spans="1:1" x14ac:dyDescent="0.2">
      <c r="A872"/>
    </row>
    <row r="873" spans="1:1" x14ac:dyDescent="0.2">
      <c r="A873"/>
    </row>
    <row r="874" spans="1:1" x14ac:dyDescent="0.2">
      <c r="A874"/>
    </row>
    <row r="875" spans="1:1" x14ac:dyDescent="0.2">
      <c r="A875"/>
    </row>
    <row r="876" spans="1:1" x14ac:dyDescent="0.2">
      <c r="A876"/>
    </row>
    <row r="877" spans="1:1" x14ac:dyDescent="0.2">
      <c r="A877"/>
    </row>
    <row r="878" spans="1:1" x14ac:dyDescent="0.2">
      <c r="A878"/>
    </row>
    <row r="879" spans="1:1" x14ac:dyDescent="0.2">
      <c r="A879"/>
    </row>
    <row r="880" spans="1:1" x14ac:dyDescent="0.2">
      <c r="A880"/>
    </row>
    <row r="881" spans="1:1" x14ac:dyDescent="0.2">
      <c r="A881"/>
    </row>
    <row r="882" spans="1:1" x14ac:dyDescent="0.2">
      <c r="A882"/>
    </row>
    <row r="883" spans="1:1" x14ac:dyDescent="0.2">
      <c r="A883"/>
    </row>
    <row r="884" spans="1:1" x14ac:dyDescent="0.2">
      <c r="A884"/>
    </row>
    <row r="885" spans="1:1" x14ac:dyDescent="0.2">
      <c r="A885"/>
    </row>
    <row r="886" spans="1:1" x14ac:dyDescent="0.2">
      <c r="A886"/>
    </row>
    <row r="887" spans="1:1" x14ac:dyDescent="0.2">
      <c r="A887"/>
    </row>
    <row r="888" spans="1:1" x14ac:dyDescent="0.2">
      <c r="A888"/>
    </row>
    <row r="889" spans="1:1" x14ac:dyDescent="0.2">
      <c r="A889"/>
    </row>
    <row r="890" spans="1:1" x14ac:dyDescent="0.2">
      <c r="A890"/>
    </row>
    <row r="891" spans="1:1" x14ac:dyDescent="0.2">
      <c r="A891"/>
    </row>
    <row r="892" spans="1:1" x14ac:dyDescent="0.2">
      <c r="A892"/>
    </row>
    <row r="893" spans="1:1" x14ac:dyDescent="0.2">
      <c r="A893"/>
    </row>
    <row r="894" spans="1:1" x14ac:dyDescent="0.2">
      <c r="A894"/>
    </row>
    <row r="895" spans="1:1" x14ac:dyDescent="0.2">
      <c r="A895"/>
    </row>
    <row r="896" spans="1:1" x14ac:dyDescent="0.2">
      <c r="A896"/>
    </row>
    <row r="897" spans="1:1" x14ac:dyDescent="0.2">
      <c r="A897"/>
    </row>
    <row r="898" spans="1:1" x14ac:dyDescent="0.2">
      <c r="A898"/>
    </row>
    <row r="899" spans="1:1" x14ac:dyDescent="0.2">
      <c r="A899"/>
    </row>
    <row r="900" spans="1:1" x14ac:dyDescent="0.2">
      <c r="A900"/>
    </row>
    <row r="901" spans="1:1" x14ac:dyDescent="0.2">
      <c r="A901"/>
    </row>
    <row r="902" spans="1:1" x14ac:dyDescent="0.2">
      <c r="A902"/>
    </row>
    <row r="903" spans="1:1" x14ac:dyDescent="0.2">
      <c r="A903"/>
    </row>
    <row r="904" spans="1:1" x14ac:dyDescent="0.2">
      <c r="A904"/>
    </row>
    <row r="905" spans="1:1" x14ac:dyDescent="0.2">
      <c r="A905"/>
    </row>
    <row r="906" spans="1:1" x14ac:dyDescent="0.2">
      <c r="A906"/>
    </row>
    <row r="907" spans="1:1" x14ac:dyDescent="0.2">
      <c r="A907"/>
    </row>
    <row r="908" spans="1:1" x14ac:dyDescent="0.2">
      <c r="A908"/>
    </row>
    <row r="909" spans="1:1" x14ac:dyDescent="0.2">
      <c r="A909"/>
    </row>
    <row r="910" spans="1:1" x14ac:dyDescent="0.2">
      <c r="A910"/>
    </row>
    <row r="911" spans="1:1" x14ac:dyDescent="0.2">
      <c r="A911"/>
    </row>
    <row r="912" spans="1:1" x14ac:dyDescent="0.2">
      <c r="A912"/>
    </row>
    <row r="913" spans="1:1" x14ac:dyDescent="0.2">
      <c r="A913"/>
    </row>
    <row r="914" spans="1:1" x14ac:dyDescent="0.2">
      <c r="A914"/>
    </row>
    <row r="915" spans="1:1" x14ac:dyDescent="0.2">
      <c r="A915"/>
    </row>
    <row r="916" spans="1:1" x14ac:dyDescent="0.2">
      <c r="A916"/>
    </row>
    <row r="917" spans="1:1" x14ac:dyDescent="0.2">
      <c r="A917"/>
    </row>
    <row r="918" spans="1:1" x14ac:dyDescent="0.2">
      <c r="A918"/>
    </row>
    <row r="919" spans="1:1" x14ac:dyDescent="0.2">
      <c r="A919"/>
    </row>
    <row r="920" spans="1:1" x14ac:dyDescent="0.2">
      <c r="A920"/>
    </row>
    <row r="921" spans="1:1" x14ac:dyDescent="0.2">
      <c r="A921"/>
    </row>
    <row r="922" spans="1:1" x14ac:dyDescent="0.2">
      <c r="A922"/>
    </row>
    <row r="923" spans="1:1" x14ac:dyDescent="0.2">
      <c r="A923"/>
    </row>
    <row r="924" spans="1:1" x14ac:dyDescent="0.2">
      <c r="A924"/>
    </row>
    <row r="925" spans="1:1" x14ac:dyDescent="0.2">
      <c r="A925"/>
    </row>
    <row r="926" spans="1:1" x14ac:dyDescent="0.2">
      <c r="A926"/>
    </row>
    <row r="927" spans="1:1" x14ac:dyDescent="0.2">
      <c r="A927"/>
    </row>
    <row r="928" spans="1:1" x14ac:dyDescent="0.2">
      <c r="A928"/>
    </row>
    <row r="929" spans="1:1" x14ac:dyDescent="0.2">
      <c r="A929"/>
    </row>
    <row r="930" spans="1:1" x14ac:dyDescent="0.2">
      <c r="A930"/>
    </row>
    <row r="931" spans="1:1" x14ac:dyDescent="0.2">
      <c r="A931"/>
    </row>
    <row r="932" spans="1:1" x14ac:dyDescent="0.2">
      <c r="A932"/>
    </row>
    <row r="933" spans="1:1" x14ac:dyDescent="0.2">
      <c r="A933"/>
    </row>
    <row r="934" spans="1:1" x14ac:dyDescent="0.2">
      <c r="A934"/>
    </row>
    <row r="935" spans="1:1" x14ac:dyDescent="0.2">
      <c r="A935"/>
    </row>
    <row r="936" spans="1:1" x14ac:dyDescent="0.2">
      <c r="A936"/>
    </row>
    <row r="937" spans="1:1" x14ac:dyDescent="0.2">
      <c r="A937"/>
    </row>
    <row r="938" spans="1:1" x14ac:dyDescent="0.2">
      <c r="A938"/>
    </row>
    <row r="939" spans="1:1" x14ac:dyDescent="0.2">
      <c r="A939"/>
    </row>
    <row r="940" spans="1:1" x14ac:dyDescent="0.2">
      <c r="A940"/>
    </row>
    <row r="941" spans="1:1" x14ac:dyDescent="0.2">
      <c r="A941"/>
    </row>
    <row r="942" spans="1:1" x14ac:dyDescent="0.2">
      <c r="A942"/>
    </row>
    <row r="943" spans="1:1" x14ac:dyDescent="0.2">
      <c r="A943"/>
    </row>
    <row r="944" spans="1:1" x14ac:dyDescent="0.2">
      <c r="A944"/>
    </row>
    <row r="945" spans="1:1" x14ac:dyDescent="0.2">
      <c r="A945"/>
    </row>
    <row r="946" spans="1:1" x14ac:dyDescent="0.2">
      <c r="A946"/>
    </row>
    <row r="947" spans="1:1" x14ac:dyDescent="0.2">
      <c r="A947"/>
    </row>
    <row r="948" spans="1:1" x14ac:dyDescent="0.2">
      <c r="A948"/>
    </row>
    <row r="949" spans="1:1" x14ac:dyDescent="0.2">
      <c r="A949"/>
    </row>
    <row r="950" spans="1:1" x14ac:dyDescent="0.2">
      <c r="A950"/>
    </row>
    <row r="951" spans="1:1" x14ac:dyDescent="0.2">
      <c r="A951"/>
    </row>
    <row r="952" spans="1:1" x14ac:dyDescent="0.2">
      <c r="A952"/>
    </row>
    <row r="953" spans="1:1" x14ac:dyDescent="0.2">
      <c r="A953"/>
    </row>
    <row r="954" spans="1:1" x14ac:dyDescent="0.2">
      <c r="A954"/>
    </row>
    <row r="955" spans="1:1" x14ac:dyDescent="0.2">
      <c r="A955"/>
    </row>
    <row r="956" spans="1:1" x14ac:dyDescent="0.2">
      <c r="A956"/>
    </row>
    <row r="957" spans="1:1" x14ac:dyDescent="0.2">
      <c r="A957"/>
    </row>
    <row r="958" spans="1:1" x14ac:dyDescent="0.2">
      <c r="A958"/>
    </row>
    <row r="959" spans="1:1" x14ac:dyDescent="0.2">
      <c r="A959"/>
    </row>
    <row r="960" spans="1:1" x14ac:dyDescent="0.2">
      <c r="A960"/>
    </row>
    <row r="961" spans="1:1" x14ac:dyDescent="0.2">
      <c r="A961"/>
    </row>
    <row r="962" spans="1:1" x14ac:dyDescent="0.2">
      <c r="A962"/>
    </row>
    <row r="963" spans="1:1" x14ac:dyDescent="0.2">
      <c r="A963"/>
    </row>
    <row r="964" spans="1:1" x14ac:dyDescent="0.2">
      <c r="A964"/>
    </row>
    <row r="965" spans="1:1" x14ac:dyDescent="0.2">
      <c r="A965"/>
    </row>
    <row r="966" spans="1:1" x14ac:dyDescent="0.2">
      <c r="A966"/>
    </row>
    <row r="967" spans="1:1" x14ac:dyDescent="0.2">
      <c r="A967"/>
    </row>
    <row r="968" spans="1:1" x14ac:dyDescent="0.2">
      <c r="A968"/>
    </row>
    <row r="969" spans="1:1" x14ac:dyDescent="0.2">
      <c r="A969"/>
    </row>
    <row r="970" spans="1:1" x14ac:dyDescent="0.2">
      <c r="A970"/>
    </row>
    <row r="971" spans="1:1" x14ac:dyDescent="0.2">
      <c r="A971"/>
    </row>
    <row r="972" spans="1:1" x14ac:dyDescent="0.2">
      <c r="A972"/>
    </row>
    <row r="973" spans="1:1" x14ac:dyDescent="0.2">
      <c r="A973"/>
    </row>
    <row r="974" spans="1:1" x14ac:dyDescent="0.2">
      <c r="A974"/>
    </row>
    <row r="975" spans="1:1" x14ac:dyDescent="0.2">
      <c r="A975"/>
    </row>
    <row r="976" spans="1:1" x14ac:dyDescent="0.2">
      <c r="A976"/>
    </row>
    <row r="977" spans="1:1" x14ac:dyDescent="0.2">
      <c r="A977"/>
    </row>
    <row r="978" spans="1:1" x14ac:dyDescent="0.2">
      <c r="A978"/>
    </row>
    <row r="979" spans="1:1" x14ac:dyDescent="0.2">
      <c r="A979"/>
    </row>
    <row r="980" spans="1:1" x14ac:dyDescent="0.2">
      <c r="A980"/>
    </row>
    <row r="981" spans="1:1" x14ac:dyDescent="0.2">
      <c r="A981"/>
    </row>
    <row r="982" spans="1:1" x14ac:dyDescent="0.2">
      <c r="A982"/>
    </row>
    <row r="983" spans="1:1" x14ac:dyDescent="0.2">
      <c r="A983"/>
    </row>
    <row r="984" spans="1:1" x14ac:dyDescent="0.2">
      <c r="A984"/>
    </row>
    <row r="985" spans="1:1" x14ac:dyDescent="0.2">
      <c r="A985"/>
    </row>
    <row r="986" spans="1:1" x14ac:dyDescent="0.2">
      <c r="A986"/>
    </row>
    <row r="987" spans="1:1" x14ac:dyDescent="0.2">
      <c r="A987"/>
    </row>
    <row r="988" spans="1:1" x14ac:dyDescent="0.2">
      <c r="A988"/>
    </row>
    <row r="989" spans="1:1" x14ac:dyDescent="0.2">
      <c r="A989"/>
    </row>
    <row r="990" spans="1:1" x14ac:dyDescent="0.2">
      <c r="A990"/>
    </row>
    <row r="991" spans="1:1" x14ac:dyDescent="0.2">
      <c r="A991"/>
    </row>
    <row r="992" spans="1:1" x14ac:dyDescent="0.2">
      <c r="A992"/>
    </row>
    <row r="993" spans="1:1" x14ac:dyDescent="0.2">
      <c r="A993"/>
    </row>
    <row r="994" spans="1:1" x14ac:dyDescent="0.2">
      <c r="A994"/>
    </row>
    <row r="995" spans="1:1" x14ac:dyDescent="0.2">
      <c r="A995"/>
    </row>
    <row r="996" spans="1:1" x14ac:dyDescent="0.2">
      <c r="A996"/>
    </row>
    <row r="997" spans="1:1" x14ac:dyDescent="0.2">
      <c r="A997"/>
    </row>
    <row r="998" spans="1:1" x14ac:dyDescent="0.2">
      <c r="A998"/>
    </row>
    <row r="999" spans="1:1" x14ac:dyDescent="0.2">
      <c r="A999"/>
    </row>
    <row r="1000" spans="1:1" x14ac:dyDescent="0.2">
      <c r="A1000"/>
    </row>
    <row r="1001" spans="1:1" x14ac:dyDescent="0.2">
      <c r="A1001"/>
    </row>
    <row r="1002" spans="1:1" x14ac:dyDescent="0.2">
      <c r="A1002"/>
    </row>
    <row r="1003" spans="1:1" x14ac:dyDescent="0.2">
      <c r="A1003"/>
    </row>
    <row r="1004" spans="1:1" x14ac:dyDescent="0.2">
      <c r="A1004"/>
    </row>
    <row r="1005" spans="1:1" x14ac:dyDescent="0.2">
      <c r="A1005"/>
    </row>
    <row r="1006" spans="1:1" x14ac:dyDescent="0.2">
      <c r="A1006"/>
    </row>
    <row r="1007" spans="1:1" x14ac:dyDescent="0.2">
      <c r="A1007"/>
    </row>
    <row r="1008" spans="1:1" x14ac:dyDescent="0.2">
      <c r="A1008"/>
    </row>
    <row r="1009" spans="1:1" x14ac:dyDescent="0.2">
      <c r="A1009"/>
    </row>
    <row r="1010" spans="1:1" x14ac:dyDescent="0.2">
      <c r="A1010"/>
    </row>
    <row r="1011" spans="1:1" x14ac:dyDescent="0.2">
      <c r="A1011"/>
    </row>
    <row r="1012" spans="1:1" x14ac:dyDescent="0.2">
      <c r="A1012"/>
    </row>
    <row r="1013" spans="1:1" x14ac:dyDescent="0.2">
      <c r="A1013"/>
    </row>
    <row r="1014" spans="1:1" x14ac:dyDescent="0.2">
      <c r="A1014"/>
    </row>
    <row r="1015" spans="1:1" x14ac:dyDescent="0.2">
      <c r="A1015"/>
    </row>
    <row r="1016" spans="1:1" x14ac:dyDescent="0.2">
      <c r="A1016"/>
    </row>
    <row r="1017" spans="1:1" x14ac:dyDescent="0.2">
      <c r="A1017"/>
    </row>
    <row r="1018" spans="1:1" x14ac:dyDescent="0.2">
      <c r="A1018"/>
    </row>
    <row r="1019" spans="1:1" x14ac:dyDescent="0.2">
      <c r="A1019"/>
    </row>
    <row r="1020" spans="1:1" x14ac:dyDescent="0.2">
      <c r="A1020"/>
    </row>
    <row r="1021" spans="1:1" x14ac:dyDescent="0.2">
      <c r="A1021"/>
    </row>
    <row r="1022" spans="1:1" x14ac:dyDescent="0.2">
      <c r="A1022"/>
    </row>
    <row r="1023" spans="1:1" x14ac:dyDescent="0.2">
      <c r="A1023"/>
    </row>
    <row r="1024" spans="1:1" x14ac:dyDescent="0.2">
      <c r="A1024"/>
    </row>
    <row r="1025" spans="1:1" x14ac:dyDescent="0.2">
      <c r="A1025"/>
    </row>
    <row r="1026" spans="1:1" x14ac:dyDescent="0.2">
      <c r="A1026"/>
    </row>
    <row r="1027" spans="1:1" x14ac:dyDescent="0.2">
      <c r="A1027"/>
    </row>
    <row r="1028" spans="1:1" x14ac:dyDescent="0.2">
      <c r="A1028"/>
    </row>
    <row r="1029" spans="1:1" x14ac:dyDescent="0.2">
      <c r="A1029"/>
    </row>
    <row r="1030" spans="1:1" x14ac:dyDescent="0.2">
      <c r="A1030"/>
    </row>
    <row r="1031" spans="1:1" x14ac:dyDescent="0.2">
      <c r="A1031"/>
    </row>
    <row r="1032" spans="1:1" x14ac:dyDescent="0.2">
      <c r="A1032"/>
    </row>
    <row r="1033" spans="1:1" x14ac:dyDescent="0.2">
      <c r="A1033"/>
    </row>
    <row r="1034" spans="1:1" x14ac:dyDescent="0.2">
      <c r="A1034"/>
    </row>
    <row r="1035" spans="1:1" x14ac:dyDescent="0.2">
      <c r="A1035"/>
    </row>
    <row r="1036" spans="1:1" x14ac:dyDescent="0.2">
      <c r="A1036"/>
    </row>
    <row r="1037" spans="1:1" x14ac:dyDescent="0.2">
      <c r="A1037"/>
    </row>
    <row r="1038" spans="1:1" x14ac:dyDescent="0.2">
      <c r="A1038"/>
    </row>
    <row r="1039" spans="1:1" x14ac:dyDescent="0.2">
      <c r="A1039"/>
    </row>
    <row r="1040" spans="1:1" x14ac:dyDescent="0.2">
      <c r="A1040"/>
    </row>
    <row r="1041" spans="1:1" x14ac:dyDescent="0.2">
      <c r="A1041"/>
    </row>
    <row r="1042" spans="1:1" x14ac:dyDescent="0.2">
      <c r="A1042"/>
    </row>
    <row r="1043" spans="1:1" x14ac:dyDescent="0.2">
      <c r="A1043"/>
    </row>
    <row r="1044" spans="1:1" x14ac:dyDescent="0.2">
      <c r="A1044"/>
    </row>
    <row r="1045" spans="1:1" x14ac:dyDescent="0.2">
      <c r="A1045"/>
    </row>
    <row r="1046" spans="1:1" x14ac:dyDescent="0.2">
      <c r="A1046"/>
    </row>
    <row r="1047" spans="1:1" x14ac:dyDescent="0.2">
      <c r="A1047"/>
    </row>
    <row r="1048" spans="1:1" x14ac:dyDescent="0.2">
      <c r="A1048"/>
    </row>
    <row r="1049" spans="1:1" x14ac:dyDescent="0.2">
      <c r="A1049"/>
    </row>
    <row r="1050" spans="1:1" x14ac:dyDescent="0.2">
      <c r="A1050"/>
    </row>
    <row r="1051" spans="1:1" x14ac:dyDescent="0.2">
      <c r="A1051"/>
    </row>
    <row r="1052" spans="1:1" x14ac:dyDescent="0.2">
      <c r="A1052"/>
    </row>
    <row r="1053" spans="1:1" x14ac:dyDescent="0.2">
      <c r="A1053"/>
    </row>
    <row r="1054" spans="1:1" x14ac:dyDescent="0.2">
      <c r="A1054"/>
    </row>
    <row r="1055" spans="1:1" x14ac:dyDescent="0.2">
      <c r="A1055"/>
    </row>
    <row r="1056" spans="1:1" x14ac:dyDescent="0.2">
      <c r="A1056"/>
    </row>
    <row r="1057" spans="1:1" x14ac:dyDescent="0.2">
      <c r="A1057"/>
    </row>
    <row r="1058" spans="1:1" x14ac:dyDescent="0.2">
      <c r="A1058"/>
    </row>
    <row r="1059" spans="1:1" x14ac:dyDescent="0.2">
      <c r="A1059"/>
    </row>
    <row r="1060" spans="1:1" x14ac:dyDescent="0.2">
      <c r="A1060"/>
    </row>
    <row r="1061" spans="1:1" x14ac:dyDescent="0.2">
      <c r="A1061"/>
    </row>
    <row r="1062" spans="1:1" x14ac:dyDescent="0.2">
      <c r="A1062"/>
    </row>
    <row r="1063" spans="1:1" x14ac:dyDescent="0.2">
      <c r="A1063"/>
    </row>
    <row r="1064" spans="1:1" x14ac:dyDescent="0.2">
      <c r="A1064"/>
    </row>
    <row r="1065" spans="1:1" x14ac:dyDescent="0.2">
      <c r="A1065"/>
    </row>
    <row r="1066" spans="1:1" x14ac:dyDescent="0.2">
      <c r="A1066"/>
    </row>
    <row r="1067" spans="1:1" x14ac:dyDescent="0.2">
      <c r="A1067"/>
    </row>
    <row r="1068" spans="1:1" x14ac:dyDescent="0.2">
      <c r="A1068"/>
    </row>
    <row r="1069" spans="1:1" x14ac:dyDescent="0.2">
      <c r="A1069"/>
    </row>
    <row r="1070" spans="1:1" x14ac:dyDescent="0.2">
      <c r="A1070"/>
    </row>
    <row r="1071" spans="1:1" x14ac:dyDescent="0.2">
      <c r="A1071"/>
    </row>
    <row r="1072" spans="1:1" x14ac:dyDescent="0.2">
      <c r="A1072"/>
    </row>
    <row r="1073" spans="1:1" x14ac:dyDescent="0.2">
      <c r="A1073"/>
    </row>
    <row r="1074" spans="1:1" x14ac:dyDescent="0.2">
      <c r="A1074"/>
    </row>
    <row r="1075" spans="1:1" x14ac:dyDescent="0.2">
      <c r="A1075"/>
    </row>
    <row r="1076" spans="1:1" x14ac:dyDescent="0.2">
      <c r="A1076"/>
    </row>
    <row r="1077" spans="1:1" x14ac:dyDescent="0.2">
      <c r="A1077"/>
    </row>
    <row r="1078" spans="1:1" x14ac:dyDescent="0.2">
      <c r="A1078"/>
    </row>
    <row r="1079" spans="1:1" x14ac:dyDescent="0.2">
      <c r="A1079"/>
    </row>
    <row r="1080" spans="1:1" x14ac:dyDescent="0.2">
      <c r="A1080"/>
    </row>
    <row r="1081" spans="1:1" x14ac:dyDescent="0.2">
      <c r="A1081"/>
    </row>
    <row r="1082" spans="1:1" x14ac:dyDescent="0.2">
      <c r="A1082"/>
    </row>
    <row r="1083" spans="1:1" x14ac:dyDescent="0.2">
      <c r="A1083"/>
    </row>
    <row r="1084" spans="1:1" x14ac:dyDescent="0.2">
      <c r="A1084"/>
    </row>
    <row r="1085" spans="1:1" x14ac:dyDescent="0.2">
      <c r="A1085"/>
    </row>
    <row r="1086" spans="1:1" x14ac:dyDescent="0.2">
      <c r="A1086"/>
    </row>
    <row r="1087" spans="1:1" x14ac:dyDescent="0.2">
      <c r="A1087"/>
    </row>
    <row r="1088" spans="1:1" x14ac:dyDescent="0.2">
      <c r="A1088"/>
    </row>
    <row r="1089" spans="1:1" x14ac:dyDescent="0.2">
      <c r="A1089"/>
    </row>
    <row r="1090" spans="1:1" x14ac:dyDescent="0.2">
      <c r="A1090"/>
    </row>
    <row r="1091" spans="1:1" x14ac:dyDescent="0.2">
      <c r="A1091"/>
    </row>
    <row r="1092" spans="1:1" x14ac:dyDescent="0.2">
      <c r="A1092"/>
    </row>
    <row r="1093" spans="1:1" x14ac:dyDescent="0.2">
      <c r="A1093"/>
    </row>
    <row r="1094" spans="1:1" x14ac:dyDescent="0.2">
      <c r="A1094"/>
    </row>
    <row r="1095" spans="1:1" x14ac:dyDescent="0.2">
      <c r="A1095"/>
    </row>
    <row r="1096" spans="1:1" x14ac:dyDescent="0.2">
      <c r="A1096"/>
    </row>
    <row r="1097" spans="1:1" x14ac:dyDescent="0.2">
      <c r="A1097"/>
    </row>
    <row r="1098" spans="1:1" x14ac:dyDescent="0.2">
      <c r="A1098"/>
    </row>
    <row r="1099" spans="1:1" x14ac:dyDescent="0.2">
      <c r="A1099"/>
    </row>
    <row r="1100" spans="1:1" x14ac:dyDescent="0.2">
      <c r="A1100"/>
    </row>
    <row r="1101" spans="1:1" x14ac:dyDescent="0.2">
      <c r="A1101"/>
    </row>
    <row r="1102" spans="1:1" x14ac:dyDescent="0.2">
      <c r="A1102"/>
    </row>
    <row r="1103" spans="1:1" x14ac:dyDescent="0.2">
      <c r="A1103"/>
    </row>
    <row r="1104" spans="1:1" x14ac:dyDescent="0.2">
      <c r="A1104"/>
    </row>
    <row r="1105" spans="1:1" x14ac:dyDescent="0.2">
      <c r="A1105"/>
    </row>
    <row r="1106" spans="1:1" x14ac:dyDescent="0.2">
      <c r="A1106"/>
    </row>
    <row r="1107" spans="1:1" x14ac:dyDescent="0.2">
      <c r="A1107"/>
    </row>
    <row r="1108" spans="1:1" x14ac:dyDescent="0.2">
      <c r="A1108"/>
    </row>
    <row r="1109" spans="1:1" x14ac:dyDescent="0.2">
      <c r="A1109"/>
    </row>
    <row r="1110" spans="1:1" x14ac:dyDescent="0.2">
      <c r="A1110"/>
    </row>
    <row r="1111" spans="1:1" x14ac:dyDescent="0.2">
      <c r="A1111"/>
    </row>
    <row r="1112" spans="1:1" x14ac:dyDescent="0.2">
      <c r="A1112"/>
    </row>
    <row r="1113" spans="1:1" x14ac:dyDescent="0.2">
      <c r="A1113"/>
    </row>
    <row r="1114" spans="1:1" x14ac:dyDescent="0.2">
      <c r="A1114"/>
    </row>
    <row r="1115" spans="1:1" x14ac:dyDescent="0.2">
      <c r="A1115"/>
    </row>
    <row r="1116" spans="1:1" x14ac:dyDescent="0.2">
      <c r="A1116"/>
    </row>
    <row r="1117" spans="1:1" x14ac:dyDescent="0.2">
      <c r="A1117"/>
    </row>
    <row r="1118" spans="1:1" x14ac:dyDescent="0.2">
      <c r="A1118"/>
    </row>
    <row r="1119" spans="1:1" x14ac:dyDescent="0.2">
      <c r="A1119"/>
    </row>
    <row r="1120" spans="1:1" x14ac:dyDescent="0.2">
      <c r="A1120"/>
    </row>
    <row r="1121" spans="1:1" x14ac:dyDescent="0.2">
      <c r="A1121"/>
    </row>
    <row r="1122" spans="1:1" x14ac:dyDescent="0.2">
      <c r="A1122"/>
    </row>
    <row r="1123" spans="1:1" x14ac:dyDescent="0.2">
      <c r="A1123"/>
    </row>
    <row r="1124" spans="1:1" x14ac:dyDescent="0.2">
      <c r="A1124"/>
    </row>
    <row r="1125" spans="1:1" x14ac:dyDescent="0.2">
      <c r="A1125"/>
    </row>
    <row r="1126" spans="1:1" x14ac:dyDescent="0.2">
      <c r="A1126"/>
    </row>
    <row r="1127" spans="1:1" x14ac:dyDescent="0.2">
      <c r="A1127"/>
    </row>
    <row r="1128" spans="1:1" x14ac:dyDescent="0.2">
      <c r="A1128"/>
    </row>
    <row r="1129" spans="1:1" x14ac:dyDescent="0.2">
      <c r="A1129"/>
    </row>
    <row r="1130" spans="1:1" x14ac:dyDescent="0.2">
      <c r="A1130"/>
    </row>
    <row r="1131" spans="1:1" x14ac:dyDescent="0.2">
      <c r="A1131"/>
    </row>
    <row r="1132" spans="1:1" x14ac:dyDescent="0.2">
      <c r="A1132"/>
    </row>
    <row r="1133" spans="1:1" x14ac:dyDescent="0.2">
      <c r="A1133"/>
    </row>
    <row r="1134" spans="1:1" x14ac:dyDescent="0.2">
      <c r="A1134"/>
    </row>
    <row r="1135" spans="1:1" x14ac:dyDescent="0.2">
      <c r="A1135"/>
    </row>
    <row r="1136" spans="1:1" x14ac:dyDescent="0.2">
      <c r="A1136"/>
    </row>
    <row r="1137" spans="1:1" x14ac:dyDescent="0.2">
      <c r="A1137"/>
    </row>
    <row r="1138" spans="1:1" x14ac:dyDescent="0.2">
      <c r="A1138"/>
    </row>
    <row r="1139" spans="1:1" x14ac:dyDescent="0.2">
      <c r="A1139"/>
    </row>
    <row r="1140" spans="1:1" x14ac:dyDescent="0.2">
      <c r="A1140"/>
    </row>
    <row r="1141" spans="1:1" x14ac:dyDescent="0.2">
      <c r="A1141"/>
    </row>
    <row r="1142" spans="1:1" x14ac:dyDescent="0.2">
      <c r="A1142"/>
    </row>
    <row r="1143" spans="1:1" x14ac:dyDescent="0.2">
      <c r="A1143"/>
    </row>
    <row r="1144" spans="1:1" x14ac:dyDescent="0.2">
      <c r="A1144"/>
    </row>
    <row r="1145" spans="1:1" x14ac:dyDescent="0.2">
      <c r="A1145"/>
    </row>
    <row r="1146" spans="1:1" x14ac:dyDescent="0.2">
      <c r="A1146"/>
    </row>
    <row r="1147" spans="1:1" x14ac:dyDescent="0.2">
      <c r="A1147"/>
    </row>
    <row r="1148" spans="1:1" x14ac:dyDescent="0.2">
      <c r="A1148"/>
    </row>
    <row r="1149" spans="1:1" x14ac:dyDescent="0.2">
      <c r="A1149"/>
    </row>
    <row r="1150" spans="1:1" x14ac:dyDescent="0.2">
      <c r="A1150"/>
    </row>
    <row r="1151" spans="1:1" x14ac:dyDescent="0.2">
      <c r="A1151"/>
    </row>
    <row r="1152" spans="1:1" x14ac:dyDescent="0.2">
      <c r="A1152"/>
    </row>
    <row r="1153" spans="1:1" x14ac:dyDescent="0.2">
      <c r="A1153"/>
    </row>
    <row r="1154" spans="1:1" x14ac:dyDescent="0.2">
      <c r="A1154"/>
    </row>
    <row r="1155" spans="1:1" x14ac:dyDescent="0.2">
      <c r="A1155"/>
    </row>
    <row r="1156" spans="1:1" x14ac:dyDescent="0.2">
      <c r="A1156"/>
    </row>
    <row r="1157" spans="1:1" x14ac:dyDescent="0.2">
      <c r="A1157"/>
    </row>
    <row r="1158" spans="1:1" x14ac:dyDescent="0.2">
      <c r="A1158"/>
    </row>
    <row r="1159" spans="1:1" x14ac:dyDescent="0.2">
      <c r="A1159"/>
    </row>
    <row r="1160" spans="1:1" x14ac:dyDescent="0.2">
      <c r="A1160"/>
    </row>
    <row r="1161" spans="1:1" x14ac:dyDescent="0.2">
      <c r="A1161"/>
    </row>
    <row r="1162" spans="1:1" x14ac:dyDescent="0.2">
      <c r="A1162"/>
    </row>
    <row r="1163" spans="1:1" x14ac:dyDescent="0.2">
      <c r="A1163"/>
    </row>
    <row r="1164" spans="1:1" x14ac:dyDescent="0.2">
      <c r="A1164"/>
    </row>
    <row r="1165" spans="1:1" x14ac:dyDescent="0.2">
      <c r="A1165"/>
    </row>
    <row r="1166" spans="1:1" x14ac:dyDescent="0.2">
      <c r="A1166"/>
    </row>
    <row r="1167" spans="1:1" x14ac:dyDescent="0.2">
      <c r="A1167"/>
    </row>
    <row r="1168" spans="1:1" x14ac:dyDescent="0.2">
      <c r="A1168"/>
    </row>
    <row r="1169" spans="1:1" x14ac:dyDescent="0.2">
      <c r="A1169"/>
    </row>
    <row r="1170" spans="1:1" x14ac:dyDescent="0.2">
      <c r="A1170"/>
    </row>
    <row r="1171" spans="1:1" x14ac:dyDescent="0.2">
      <c r="A1171"/>
    </row>
    <row r="1172" spans="1:1" x14ac:dyDescent="0.2">
      <c r="A1172"/>
    </row>
    <row r="1173" spans="1:1" x14ac:dyDescent="0.2">
      <c r="A1173"/>
    </row>
    <row r="1174" spans="1:1" x14ac:dyDescent="0.2">
      <c r="A1174"/>
    </row>
    <row r="1175" spans="1:1" x14ac:dyDescent="0.2">
      <c r="A1175"/>
    </row>
    <row r="1176" spans="1:1" x14ac:dyDescent="0.2">
      <c r="A1176"/>
    </row>
    <row r="1177" spans="1:1" x14ac:dyDescent="0.2">
      <c r="A1177"/>
    </row>
    <row r="1178" spans="1:1" x14ac:dyDescent="0.2">
      <c r="A1178"/>
    </row>
    <row r="1179" spans="1:1" x14ac:dyDescent="0.2">
      <c r="A1179"/>
    </row>
    <row r="1180" spans="1:1" x14ac:dyDescent="0.2">
      <c r="A1180"/>
    </row>
    <row r="1181" spans="1:1" x14ac:dyDescent="0.2">
      <c r="A1181"/>
    </row>
    <row r="1182" spans="1:1" x14ac:dyDescent="0.2">
      <c r="A1182"/>
    </row>
    <row r="1183" spans="1:1" x14ac:dyDescent="0.2">
      <c r="A1183"/>
    </row>
    <row r="1184" spans="1:1" x14ac:dyDescent="0.2">
      <c r="A1184"/>
    </row>
    <row r="1185" spans="1:1" x14ac:dyDescent="0.2">
      <c r="A1185"/>
    </row>
    <row r="1186" spans="1:1" x14ac:dyDescent="0.2">
      <c r="A1186"/>
    </row>
    <row r="1187" spans="1:1" x14ac:dyDescent="0.2">
      <c r="A1187"/>
    </row>
    <row r="1188" spans="1:1" x14ac:dyDescent="0.2">
      <c r="A1188"/>
    </row>
    <row r="1189" spans="1:1" x14ac:dyDescent="0.2">
      <c r="A1189"/>
    </row>
    <row r="1190" spans="1:1" x14ac:dyDescent="0.2">
      <c r="A1190"/>
    </row>
    <row r="1191" spans="1:1" x14ac:dyDescent="0.2">
      <c r="A1191"/>
    </row>
    <row r="1192" spans="1:1" x14ac:dyDescent="0.2">
      <c r="A1192"/>
    </row>
    <row r="1193" spans="1:1" x14ac:dyDescent="0.2">
      <c r="A1193"/>
    </row>
    <row r="1194" spans="1:1" x14ac:dyDescent="0.2">
      <c r="A1194"/>
    </row>
    <row r="1195" spans="1:1" x14ac:dyDescent="0.2">
      <c r="A1195"/>
    </row>
    <row r="1196" spans="1:1" x14ac:dyDescent="0.2">
      <c r="A1196"/>
    </row>
    <row r="1197" spans="1:1" x14ac:dyDescent="0.2">
      <c r="A1197"/>
    </row>
    <row r="1198" spans="1:1" x14ac:dyDescent="0.2">
      <c r="A1198"/>
    </row>
    <row r="1199" spans="1:1" x14ac:dyDescent="0.2">
      <c r="A1199"/>
    </row>
    <row r="1200" spans="1:1" x14ac:dyDescent="0.2">
      <c r="A1200"/>
    </row>
    <row r="1201" spans="1:1" x14ac:dyDescent="0.2">
      <c r="A1201"/>
    </row>
    <row r="1202" spans="1:1" x14ac:dyDescent="0.2">
      <c r="A1202"/>
    </row>
    <row r="1203" spans="1:1" x14ac:dyDescent="0.2">
      <c r="A1203"/>
    </row>
    <row r="1204" spans="1:1" x14ac:dyDescent="0.2">
      <c r="A1204"/>
    </row>
    <row r="1205" spans="1:1" x14ac:dyDescent="0.2">
      <c r="A1205"/>
    </row>
    <row r="1206" spans="1:1" x14ac:dyDescent="0.2">
      <c r="A1206"/>
    </row>
    <row r="1207" spans="1:1" x14ac:dyDescent="0.2">
      <c r="A1207"/>
    </row>
    <row r="1208" spans="1:1" x14ac:dyDescent="0.2">
      <c r="A1208"/>
    </row>
    <row r="1209" spans="1:1" x14ac:dyDescent="0.2">
      <c r="A1209"/>
    </row>
    <row r="1210" spans="1:1" x14ac:dyDescent="0.2">
      <c r="A1210"/>
    </row>
    <row r="1211" spans="1:1" x14ac:dyDescent="0.2">
      <c r="A1211"/>
    </row>
    <row r="1212" spans="1:1" x14ac:dyDescent="0.2">
      <c r="A1212"/>
    </row>
    <row r="1213" spans="1:1" x14ac:dyDescent="0.2">
      <c r="A1213"/>
    </row>
    <row r="1214" spans="1:1" x14ac:dyDescent="0.2">
      <c r="A1214"/>
    </row>
    <row r="1215" spans="1:1" x14ac:dyDescent="0.2">
      <c r="A1215"/>
    </row>
    <row r="1216" spans="1:1" x14ac:dyDescent="0.2">
      <c r="A1216"/>
    </row>
    <row r="1217" spans="1:1" x14ac:dyDescent="0.2">
      <c r="A1217"/>
    </row>
    <row r="1218" spans="1:1" x14ac:dyDescent="0.2">
      <c r="A1218"/>
    </row>
    <row r="1219" spans="1:1" x14ac:dyDescent="0.2">
      <c r="A1219"/>
    </row>
    <row r="1220" spans="1:1" x14ac:dyDescent="0.2">
      <c r="A1220"/>
    </row>
    <row r="1221" spans="1:1" x14ac:dyDescent="0.2">
      <c r="A1221"/>
    </row>
    <row r="1222" spans="1:1" x14ac:dyDescent="0.2">
      <c r="A1222"/>
    </row>
    <row r="1223" spans="1:1" x14ac:dyDescent="0.2">
      <c r="A1223"/>
    </row>
    <row r="1224" spans="1:1" x14ac:dyDescent="0.2">
      <c r="A1224"/>
    </row>
    <row r="1225" spans="1:1" x14ac:dyDescent="0.2">
      <c r="A1225"/>
    </row>
    <row r="1226" spans="1:1" x14ac:dyDescent="0.2">
      <c r="A1226"/>
    </row>
    <row r="1227" spans="1:1" x14ac:dyDescent="0.2">
      <c r="A1227"/>
    </row>
    <row r="1228" spans="1:1" x14ac:dyDescent="0.2">
      <c r="A1228"/>
    </row>
    <row r="1229" spans="1:1" x14ac:dyDescent="0.2">
      <c r="A1229"/>
    </row>
    <row r="1230" spans="1:1" x14ac:dyDescent="0.2">
      <c r="A1230"/>
    </row>
    <row r="1231" spans="1:1" x14ac:dyDescent="0.2">
      <c r="A1231"/>
    </row>
    <row r="1232" spans="1:1" x14ac:dyDescent="0.2">
      <c r="A1232"/>
    </row>
    <row r="1233" spans="1:1" x14ac:dyDescent="0.2">
      <c r="A1233"/>
    </row>
    <row r="1234" spans="1:1" x14ac:dyDescent="0.2">
      <c r="A1234"/>
    </row>
    <row r="1235" spans="1:1" x14ac:dyDescent="0.2">
      <c r="A1235"/>
    </row>
    <row r="1236" spans="1:1" x14ac:dyDescent="0.2">
      <c r="A1236"/>
    </row>
    <row r="1237" spans="1:1" x14ac:dyDescent="0.2">
      <c r="A1237"/>
    </row>
    <row r="1238" spans="1:1" x14ac:dyDescent="0.2">
      <c r="A1238"/>
    </row>
    <row r="1239" spans="1:1" x14ac:dyDescent="0.2">
      <c r="A1239"/>
    </row>
    <row r="1240" spans="1:1" x14ac:dyDescent="0.2">
      <c r="A1240"/>
    </row>
    <row r="1241" spans="1:1" x14ac:dyDescent="0.2">
      <c r="A1241"/>
    </row>
    <row r="1242" spans="1:1" x14ac:dyDescent="0.2">
      <c r="A1242"/>
    </row>
    <row r="1243" spans="1:1" x14ac:dyDescent="0.2">
      <c r="A1243"/>
    </row>
    <row r="1244" spans="1:1" x14ac:dyDescent="0.2">
      <c r="A1244"/>
    </row>
    <row r="1245" spans="1:1" x14ac:dyDescent="0.2">
      <c r="A1245"/>
    </row>
    <row r="1246" spans="1:1" x14ac:dyDescent="0.2">
      <c r="A1246"/>
    </row>
    <row r="1247" spans="1:1" x14ac:dyDescent="0.2">
      <c r="A1247"/>
    </row>
    <row r="1248" spans="1:1" x14ac:dyDescent="0.2">
      <c r="A1248"/>
    </row>
    <row r="1249" spans="1:1" x14ac:dyDescent="0.2">
      <c r="A1249"/>
    </row>
    <row r="1250" spans="1:1" x14ac:dyDescent="0.2">
      <c r="A1250"/>
    </row>
    <row r="1251" spans="1:1" x14ac:dyDescent="0.2">
      <c r="A1251"/>
    </row>
    <row r="1252" spans="1:1" x14ac:dyDescent="0.2">
      <c r="A1252"/>
    </row>
    <row r="1253" spans="1:1" x14ac:dyDescent="0.2">
      <c r="A1253"/>
    </row>
    <row r="1254" spans="1:1" x14ac:dyDescent="0.2">
      <c r="A1254"/>
    </row>
    <row r="1255" spans="1:1" x14ac:dyDescent="0.2">
      <c r="A1255"/>
    </row>
    <row r="1256" spans="1:1" x14ac:dyDescent="0.2">
      <c r="A1256"/>
    </row>
    <row r="1257" spans="1:1" x14ac:dyDescent="0.2">
      <c r="A1257"/>
    </row>
    <row r="1258" spans="1:1" x14ac:dyDescent="0.2">
      <c r="A1258"/>
    </row>
    <row r="1259" spans="1:1" x14ac:dyDescent="0.2">
      <c r="A1259"/>
    </row>
    <row r="1260" spans="1:1" x14ac:dyDescent="0.2">
      <c r="A1260"/>
    </row>
    <row r="1261" spans="1:1" x14ac:dyDescent="0.2">
      <c r="A1261"/>
    </row>
    <row r="1262" spans="1:1" x14ac:dyDescent="0.2">
      <c r="A1262"/>
    </row>
    <row r="1263" spans="1:1" x14ac:dyDescent="0.2">
      <c r="A1263"/>
    </row>
    <row r="1264" spans="1:1" x14ac:dyDescent="0.2">
      <c r="A1264"/>
    </row>
    <row r="1265" spans="1:1" x14ac:dyDescent="0.2">
      <c r="A1265"/>
    </row>
    <row r="1266" spans="1:1" x14ac:dyDescent="0.2">
      <c r="A1266"/>
    </row>
    <row r="1267" spans="1:1" x14ac:dyDescent="0.2">
      <c r="A1267"/>
    </row>
    <row r="1268" spans="1:1" x14ac:dyDescent="0.2">
      <c r="A1268"/>
    </row>
    <row r="1269" spans="1:1" x14ac:dyDescent="0.2">
      <c r="A1269"/>
    </row>
    <row r="1270" spans="1:1" x14ac:dyDescent="0.2">
      <c r="A1270"/>
    </row>
    <row r="1271" spans="1:1" x14ac:dyDescent="0.2">
      <c r="A1271"/>
    </row>
    <row r="1272" spans="1:1" x14ac:dyDescent="0.2">
      <c r="A1272"/>
    </row>
    <row r="1273" spans="1:1" x14ac:dyDescent="0.2">
      <c r="A1273"/>
    </row>
    <row r="1274" spans="1:1" x14ac:dyDescent="0.2">
      <c r="A1274"/>
    </row>
    <row r="1275" spans="1:1" x14ac:dyDescent="0.2">
      <c r="A1275"/>
    </row>
    <row r="1276" spans="1:1" x14ac:dyDescent="0.2">
      <c r="A1276"/>
    </row>
    <row r="1277" spans="1:1" x14ac:dyDescent="0.2">
      <c r="A1277"/>
    </row>
    <row r="1278" spans="1:1" x14ac:dyDescent="0.2">
      <c r="A1278"/>
    </row>
    <row r="1279" spans="1:1" x14ac:dyDescent="0.2">
      <c r="A1279"/>
    </row>
    <row r="1280" spans="1:1" x14ac:dyDescent="0.2">
      <c r="A1280"/>
    </row>
    <row r="1281" spans="1:1" x14ac:dyDescent="0.2">
      <c r="A1281"/>
    </row>
    <row r="1282" spans="1:1" x14ac:dyDescent="0.2">
      <c r="A1282"/>
    </row>
    <row r="1283" spans="1:1" x14ac:dyDescent="0.2">
      <c r="A1283"/>
    </row>
    <row r="1284" spans="1:1" x14ac:dyDescent="0.2">
      <c r="A1284"/>
    </row>
    <row r="1285" spans="1:1" x14ac:dyDescent="0.2">
      <c r="A1285"/>
    </row>
    <row r="1286" spans="1:1" x14ac:dyDescent="0.2">
      <c r="A1286"/>
    </row>
    <row r="1287" spans="1:1" x14ac:dyDescent="0.2">
      <c r="A1287"/>
    </row>
    <row r="1288" spans="1:1" x14ac:dyDescent="0.2">
      <c r="A1288"/>
    </row>
    <row r="1289" spans="1:1" x14ac:dyDescent="0.2">
      <c r="A1289"/>
    </row>
    <row r="1290" spans="1:1" x14ac:dyDescent="0.2">
      <c r="A1290"/>
    </row>
    <row r="1291" spans="1:1" x14ac:dyDescent="0.2">
      <c r="A1291"/>
    </row>
    <row r="1292" spans="1:1" x14ac:dyDescent="0.2">
      <c r="A1292"/>
    </row>
    <row r="1293" spans="1:1" x14ac:dyDescent="0.2">
      <c r="A1293"/>
    </row>
    <row r="1294" spans="1:1" x14ac:dyDescent="0.2">
      <c r="A1294"/>
    </row>
    <row r="1295" spans="1:1" x14ac:dyDescent="0.2">
      <c r="A1295"/>
    </row>
    <row r="1296" spans="1:1" x14ac:dyDescent="0.2">
      <c r="A1296"/>
    </row>
    <row r="1297" spans="1:1" x14ac:dyDescent="0.2">
      <c r="A1297"/>
    </row>
    <row r="1298" spans="1:1" x14ac:dyDescent="0.2">
      <c r="A1298"/>
    </row>
    <row r="1299" spans="1:1" x14ac:dyDescent="0.2">
      <c r="A1299"/>
    </row>
    <row r="1300" spans="1:1" x14ac:dyDescent="0.2">
      <c r="A1300"/>
    </row>
    <row r="1301" spans="1:1" x14ac:dyDescent="0.2">
      <c r="A1301"/>
    </row>
    <row r="1302" spans="1:1" x14ac:dyDescent="0.2">
      <c r="A1302"/>
    </row>
    <row r="1303" spans="1:1" x14ac:dyDescent="0.2">
      <c r="A1303"/>
    </row>
    <row r="1304" spans="1:1" x14ac:dyDescent="0.2">
      <c r="A1304"/>
    </row>
    <row r="1305" spans="1:1" x14ac:dyDescent="0.2">
      <c r="A1305"/>
    </row>
    <row r="1306" spans="1:1" x14ac:dyDescent="0.2">
      <c r="A1306"/>
    </row>
    <row r="1307" spans="1:1" x14ac:dyDescent="0.2">
      <c r="A1307"/>
    </row>
    <row r="1308" spans="1:1" x14ac:dyDescent="0.2">
      <c r="A1308"/>
    </row>
    <row r="1309" spans="1:1" x14ac:dyDescent="0.2">
      <c r="A1309"/>
    </row>
    <row r="1310" spans="1:1" x14ac:dyDescent="0.2">
      <c r="A1310"/>
    </row>
    <row r="1311" spans="1:1" x14ac:dyDescent="0.2">
      <c r="A1311"/>
    </row>
    <row r="1312" spans="1:1" x14ac:dyDescent="0.2">
      <c r="A1312"/>
    </row>
    <row r="1313" spans="1:1" x14ac:dyDescent="0.2">
      <c r="A1313"/>
    </row>
    <row r="1314" spans="1:1" x14ac:dyDescent="0.2">
      <c r="A1314"/>
    </row>
    <row r="1315" spans="1:1" x14ac:dyDescent="0.2">
      <c r="A1315"/>
    </row>
    <row r="1316" spans="1:1" x14ac:dyDescent="0.2">
      <c r="A1316"/>
    </row>
    <row r="1317" spans="1:1" x14ac:dyDescent="0.2">
      <c r="A1317"/>
    </row>
    <row r="1318" spans="1:1" x14ac:dyDescent="0.2">
      <c r="A1318"/>
    </row>
    <row r="1319" spans="1:1" x14ac:dyDescent="0.2">
      <c r="A1319"/>
    </row>
    <row r="1320" spans="1:1" x14ac:dyDescent="0.2">
      <c r="A1320"/>
    </row>
    <row r="1321" spans="1:1" x14ac:dyDescent="0.2">
      <c r="A1321"/>
    </row>
    <row r="1322" spans="1:1" x14ac:dyDescent="0.2">
      <c r="A1322"/>
    </row>
    <row r="1323" spans="1:1" x14ac:dyDescent="0.2">
      <c r="A1323"/>
    </row>
    <row r="1324" spans="1:1" x14ac:dyDescent="0.2">
      <c r="A1324"/>
    </row>
    <row r="1325" spans="1:1" x14ac:dyDescent="0.2">
      <c r="A1325"/>
    </row>
    <row r="1326" spans="1:1" x14ac:dyDescent="0.2">
      <c r="A1326"/>
    </row>
    <row r="1327" spans="1:1" x14ac:dyDescent="0.2">
      <c r="A1327"/>
    </row>
    <row r="1328" spans="1:1" x14ac:dyDescent="0.2">
      <c r="A1328"/>
    </row>
    <row r="1329" spans="1:1" x14ac:dyDescent="0.2">
      <c r="A1329"/>
    </row>
    <row r="1330" spans="1:1" x14ac:dyDescent="0.2">
      <c r="A1330"/>
    </row>
    <row r="1331" spans="1:1" x14ac:dyDescent="0.2">
      <c r="A1331"/>
    </row>
    <row r="1332" spans="1:1" x14ac:dyDescent="0.2">
      <c r="A1332"/>
    </row>
    <row r="1333" spans="1:1" x14ac:dyDescent="0.2">
      <c r="A1333"/>
    </row>
    <row r="1334" spans="1:1" x14ac:dyDescent="0.2">
      <c r="A1334"/>
    </row>
    <row r="1335" spans="1:1" x14ac:dyDescent="0.2">
      <c r="A1335"/>
    </row>
    <row r="1336" spans="1:1" x14ac:dyDescent="0.2">
      <c r="A1336"/>
    </row>
    <row r="1337" spans="1:1" x14ac:dyDescent="0.2">
      <c r="A1337"/>
    </row>
    <row r="1338" spans="1:1" x14ac:dyDescent="0.2">
      <c r="A1338"/>
    </row>
    <row r="1339" spans="1:1" x14ac:dyDescent="0.2">
      <c r="A1339"/>
    </row>
    <row r="1340" spans="1:1" x14ac:dyDescent="0.2">
      <c r="A1340"/>
    </row>
    <row r="1341" spans="1:1" x14ac:dyDescent="0.2">
      <c r="A1341"/>
    </row>
    <row r="1342" spans="1:1" x14ac:dyDescent="0.2">
      <c r="A1342"/>
    </row>
    <row r="1343" spans="1:1" x14ac:dyDescent="0.2">
      <c r="A1343"/>
    </row>
    <row r="1344" spans="1:1" x14ac:dyDescent="0.2">
      <c r="A1344"/>
    </row>
    <row r="1345" spans="1:1" x14ac:dyDescent="0.2">
      <c r="A1345"/>
    </row>
    <row r="1346" spans="1:1" x14ac:dyDescent="0.2">
      <c r="A1346"/>
    </row>
    <row r="1347" spans="1:1" x14ac:dyDescent="0.2">
      <c r="A1347"/>
    </row>
    <row r="1348" spans="1:1" x14ac:dyDescent="0.2">
      <c r="A1348"/>
    </row>
    <row r="1349" spans="1:1" x14ac:dyDescent="0.2">
      <c r="A1349"/>
    </row>
    <row r="1350" spans="1:1" x14ac:dyDescent="0.2">
      <c r="A1350"/>
    </row>
    <row r="1351" spans="1:1" x14ac:dyDescent="0.2">
      <c r="A1351"/>
    </row>
    <row r="1352" spans="1:1" x14ac:dyDescent="0.2">
      <c r="A1352"/>
    </row>
    <row r="1353" spans="1:1" x14ac:dyDescent="0.2">
      <c r="A1353"/>
    </row>
    <row r="1354" spans="1:1" x14ac:dyDescent="0.2">
      <c r="A1354"/>
    </row>
    <row r="1355" spans="1:1" x14ac:dyDescent="0.2">
      <c r="A1355"/>
    </row>
    <row r="1356" spans="1:1" x14ac:dyDescent="0.2">
      <c r="A1356"/>
    </row>
    <row r="1357" spans="1:1" x14ac:dyDescent="0.2">
      <c r="A1357"/>
    </row>
    <row r="1358" spans="1:1" x14ac:dyDescent="0.2">
      <c r="A1358"/>
    </row>
    <row r="1359" spans="1:1" x14ac:dyDescent="0.2">
      <c r="A1359"/>
    </row>
    <row r="1360" spans="1:1" x14ac:dyDescent="0.2">
      <c r="A1360"/>
    </row>
    <row r="1361" spans="1:1" x14ac:dyDescent="0.2">
      <c r="A1361"/>
    </row>
    <row r="1362" spans="1:1" x14ac:dyDescent="0.2">
      <c r="A1362"/>
    </row>
    <row r="1363" spans="1:1" x14ac:dyDescent="0.2">
      <c r="A1363"/>
    </row>
    <row r="1364" spans="1:1" x14ac:dyDescent="0.2">
      <c r="A1364"/>
    </row>
    <row r="1365" spans="1:1" x14ac:dyDescent="0.2">
      <c r="A1365"/>
    </row>
    <row r="1366" spans="1:1" x14ac:dyDescent="0.2">
      <c r="A1366"/>
    </row>
    <row r="1367" spans="1:1" x14ac:dyDescent="0.2">
      <c r="A1367"/>
    </row>
    <row r="1368" spans="1:1" x14ac:dyDescent="0.2">
      <c r="A1368"/>
    </row>
    <row r="1369" spans="1:1" x14ac:dyDescent="0.2">
      <c r="A1369"/>
    </row>
    <row r="1370" spans="1:1" x14ac:dyDescent="0.2">
      <c r="A1370"/>
    </row>
    <row r="1371" spans="1:1" x14ac:dyDescent="0.2">
      <c r="A1371"/>
    </row>
    <row r="1372" spans="1:1" x14ac:dyDescent="0.2">
      <c r="A1372"/>
    </row>
    <row r="1373" spans="1:1" x14ac:dyDescent="0.2">
      <c r="A1373"/>
    </row>
    <row r="1374" spans="1:1" x14ac:dyDescent="0.2">
      <c r="A1374"/>
    </row>
    <row r="1375" spans="1:1" x14ac:dyDescent="0.2">
      <c r="A1375"/>
    </row>
    <row r="1376" spans="1:1" x14ac:dyDescent="0.2">
      <c r="A1376"/>
    </row>
    <row r="1377" spans="1:1" x14ac:dyDescent="0.2">
      <c r="A1377"/>
    </row>
    <row r="1378" spans="1:1" x14ac:dyDescent="0.2">
      <c r="A1378"/>
    </row>
    <row r="1379" spans="1:1" x14ac:dyDescent="0.2">
      <c r="A1379"/>
    </row>
    <row r="1380" spans="1:1" x14ac:dyDescent="0.2">
      <c r="A1380"/>
    </row>
    <row r="1381" spans="1:1" x14ac:dyDescent="0.2">
      <c r="A1381"/>
    </row>
    <row r="1382" spans="1:1" x14ac:dyDescent="0.2">
      <c r="A1382"/>
    </row>
    <row r="1383" spans="1:1" x14ac:dyDescent="0.2">
      <c r="A1383"/>
    </row>
    <row r="1384" spans="1:1" x14ac:dyDescent="0.2">
      <c r="A1384"/>
    </row>
    <row r="1385" spans="1:1" x14ac:dyDescent="0.2">
      <c r="A1385"/>
    </row>
    <row r="1386" spans="1:1" x14ac:dyDescent="0.2">
      <c r="A1386"/>
    </row>
    <row r="1387" spans="1:1" x14ac:dyDescent="0.2">
      <c r="A1387"/>
    </row>
    <row r="1388" spans="1:1" x14ac:dyDescent="0.2">
      <c r="A1388"/>
    </row>
    <row r="1389" spans="1:1" x14ac:dyDescent="0.2">
      <c r="A1389"/>
    </row>
    <row r="1390" spans="1:1" x14ac:dyDescent="0.2">
      <c r="A1390"/>
    </row>
    <row r="1391" spans="1:1" x14ac:dyDescent="0.2">
      <c r="A1391"/>
    </row>
    <row r="1392" spans="1:1" x14ac:dyDescent="0.2">
      <c r="A1392"/>
    </row>
    <row r="1393" spans="1:1" x14ac:dyDescent="0.2">
      <c r="A1393"/>
    </row>
    <row r="1394" spans="1:1" x14ac:dyDescent="0.2">
      <c r="A1394"/>
    </row>
    <row r="1395" spans="1:1" x14ac:dyDescent="0.2">
      <c r="A1395"/>
    </row>
    <row r="1396" spans="1:1" x14ac:dyDescent="0.2">
      <c r="A1396"/>
    </row>
    <row r="1397" spans="1:1" x14ac:dyDescent="0.2">
      <c r="A1397"/>
    </row>
    <row r="1398" spans="1:1" x14ac:dyDescent="0.2">
      <c r="A1398"/>
    </row>
    <row r="1399" spans="1:1" x14ac:dyDescent="0.2">
      <c r="A1399"/>
    </row>
    <row r="1400" spans="1:1" x14ac:dyDescent="0.2">
      <c r="A1400"/>
    </row>
    <row r="1401" spans="1:1" x14ac:dyDescent="0.2">
      <c r="A1401"/>
    </row>
    <row r="1402" spans="1:1" x14ac:dyDescent="0.2">
      <c r="A1402"/>
    </row>
    <row r="1403" spans="1:1" x14ac:dyDescent="0.2">
      <c r="A1403"/>
    </row>
    <row r="1404" spans="1:1" x14ac:dyDescent="0.2">
      <c r="A1404"/>
    </row>
    <row r="1405" spans="1:1" x14ac:dyDescent="0.2">
      <c r="A1405"/>
    </row>
    <row r="1406" spans="1:1" x14ac:dyDescent="0.2">
      <c r="A1406"/>
    </row>
    <row r="1407" spans="1:1" x14ac:dyDescent="0.2">
      <c r="A1407"/>
    </row>
    <row r="1408" spans="1:1" x14ac:dyDescent="0.2">
      <c r="A1408"/>
    </row>
    <row r="1409" spans="1:1" x14ac:dyDescent="0.2">
      <c r="A1409"/>
    </row>
    <row r="1410" spans="1:1" x14ac:dyDescent="0.2">
      <c r="A1410"/>
    </row>
    <row r="1411" spans="1:1" x14ac:dyDescent="0.2">
      <c r="A1411"/>
    </row>
    <row r="1412" spans="1:1" x14ac:dyDescent="0.2">
      <c r="A1412"/>
    </row>
    <row r="1413" spans="1:1" x14ac:dyDescent="0.2">
      <c r="A1413"/>
    </row>
    <row r="1414" spans="1:1" x14ac:dyDescent="0.2">
      <c r="A1414"/>
    </row>
    <row r="1415" spans="1:1" x14ac:dyDescent="0.2">
      <c r="A1415"/>
    </row>
    <row r="1416" spans="1:1" x14ac:dyDescent="0.2">
      <c r="A1416"/>
    </row>
    <row r="1417" spans="1:1" x14ac:dyDescent="0.2">
      <c r="A1417"/>
    </row>
    <row r="1418" spans="1:1" x14ac:dyDescent="0.2">
      <c r="A1418"/>
    </row>
    <row r="1419" spans="1:1" x14ac:dyDescent="0.2">
      <c r="A1419"/>
    </row>
    <row r="1420" spans="1:1" x14ac:dyDescent="0.2">
      <c r="A1420"/>
    </row>
    <row r="1421" spans="1:1" x14ac:dyDescent="0.2">
      <c r="A1421"/>
    </row>
    <row r="1422" spans="1:1" x14ac:dyDescent="0.2">
      <c r="A1422"/>
    </row>
    <row r="1423" spans="1:1" x14ac:dyDescent="0.2">
      <c r="A1423"/>
    </row>
    <row r="1424" spans="1:1" x14ac:dyDescent="0.2">
      <c r="A1424"/>
    </row>
    <row r="1425" spans="1:1" x14ac:dyDescent="0.2">
      <c r="A1425"/>
    </row>
    <row r="1426" spans="1:1" x14ac:dyDescent="0.2">
      <c r="A1426"/>
    </row>
    <row r="1427" spans="1:1" x14ac:dyDescent="0.2">
      <c r="A1427"/>
    </row>
    <row r="1428" spans="1:1" x14ac:dyDescent="0.2">
      <c r="A1428"/>
    </row>
    <row r="1429" spans="1:1" x14ac:dyDescent="0.2">
      <c r="A1429"/>
    </row>
    <row r="1430" spans="1:1" x14ac:dyDescent="0.2">
      <c r="A1430"/>
    </row>
    <row r="1431" spans="1:1" x14ac:dyDescent="0.2">
      <c r="A1431"/>
    </row>
    <row r="1432" spans="1:1" x14ac:dyDescent="0.2">
      <c r="A1432"/>
    </row>
    <row r="1433" spans="1:1" x14ac:dyDescent="0.2">
      <c r="A1433"/>
    </row>
    <row r="1434" spans="1:1" x14ac:dyDescent="0.2">
      <c r="A1434"/>
    </row>
    <row r="1435" spans="1:1" x14ac:dyDescent="0.2">
      <c r="A1435"/>
    </row>
    <row r="1436" spans="1:1" x14ac:dyDescent="0.2">
      <c r="A1436"/>
    </row>
    <row r="1437" spans="1:1" x14ac:dyDescent="0.2">
      <c r="A1437"/>
    </row>
    <row r="1438" spans="1:1" x14ac:dyDescent="0.2">
      <c r="A1438"/>
    </row>
    <row r="1439" spans="1:1" x14ac:dyDescent="0.2">
      <c r="A1439"/>
    </row>
    <row r="1440" spans="1:1" x14ac:dyDescent="0.2">
      <c r="A1440"/>
    </row>
    <row r="1441" spans="1:1" x14ac:dyDescent="0.2">
      <c r="A1441"/>
    </row>
    <row r="1442" spans="1:1" x14ac:dyDescent="0.2">
      <c r="A1442"/>
    </row>
    <row r="1443" spans="1:1" x14ac:dyDescent="0.2">
      <c r="A1443"/>
    </row>
    <row r="1444" spans="1:1" x14ac:dyDescent="0.2">
      <c r="A1444"/>
    </row>
    <row r="1445" spans="1:1" x14ac:dyDescent="0.2">
      <c r="A1445"/>
    </row>
    <row r="1446" spans="1:1" x14ac:dyDescent="0.2">
      <c r="A1446"/>
    </row>
    <row r="1447" spans="1:1" x14ac:dyDescent="0.2">
      <c r="A1447"/>
    </row>
    <row r="1448" spans="1:1" x14ac:dyDescent="0.2">
      <c r="A1448"/>
    </row>
    <row r="1449" spans="1:1" x14ac:dyDescent="0.2">
      <c r="A1449"/>
    </row>
    <row r="1450" spans="1:1" x14ac:dyDescent="0.2">
      <c r="A1450"/>
    </row>
    <row r="1451" spans="1:1" x14ac:dyDescent="0.2">
      <c r="A1451"/>
    </row>
    <row r="1452" spans="1:1" x14ac:dyDescent="0.2">
      <c r="A1452"/>
    </row>
    <row r="1453" spans="1:1" x14ac:dyDescent="0.2">
      <c r="A1453"/>
    </row>
    <row r="1454" spans="1:1" x14ac:dyDescent="0.2">
      <c r="A1454"/>
    </row>
    <row r="1455" spans="1:1" x14ac:dyDescent="0.2">
      <c r="A1455"/>
    </row>
    <row r="1456" spans="1:1" x14ac:dyDescent="0.2">
      <c r="A1456"/>
    </row>
    <row r="1457" spans="1:1" x14ac:dyDescent="0.2">
      <c r="A1457"/>
    </row>
    <row r="1458" spans="1:1" x14ac:dyDescent="0.2">
      <c r="A1458"/>
    </row>
    <row r="1459" spans="1:1" x14ac:dyDescent="0.2">
      <c r="A1459"/>
    </row>
    <row r="1460" spans="1:1" x14ac:dyDescent="0.2">
      <c r="A1460"/>
    </row>
    <row r="1461" spans="1:1" x14ac:dyDescent="0.2">
      <c r="A1461"/>
    </row>
    <row r="1462" spans="1:1" x14ac:dyDescent="0.2">
      <c r="A1462"/>
    </row>
    <row r="1463" spans="1:1" x14ac:dyDescent="0.2">
      <c r="A1463"/>
    </row>
    <row r="1464" spans="1:1" x14ac:dyDescent="0.2">
      <c r="A1464"/>
    </row>
    <row r="1465" spans="1:1" x14ac:dyDescent="0.2">
      <c r="A1465"/>
    </row>
    <row r="1466" spans="1:1" x14ac:dyDescent="0.2">
      <c r="A1466"/>
    </row>
    <row r="1467" spans="1:1" x14ac:dyDescent="0.2">
      <c r="A1467"/>
    </row>
    <row r="1468" spans="1:1" x14ac:dyDescent="0.2">
      <c r="A1468"/>
    </row>
    <row r="1469" spans="1:1" x14ac:dyDescent="0.2">
      <c r="A1469"/>
    </row>
    <row r="1470" spans="1:1" x14ac:dyDescent="0.2">
      <c r="A1470"/>
    </row>
    <row r="1471" spans="1:1" x14ac:dyDescent="0.2">
      <c r="A1471"/>
    </row>
    <row r="1472" spans="1:1" x14ac:dyDescent="0.2">
      <c r="A1472"/>
    </row>
    <row r="1473" spans="1:1" x14ac:dyDescent="0.2">
      <c r="A1473"/>
    </row>
    <row r="1474" spans="1:1" x14ac:dyDescent="0.2">
      <c r="A1474"/>
    </row>
    <row r="1475" spans="1:1" x14ac:dyDescent="0.2">
      <c r="A1475"/>
    </row>
    <row r="1476" spans="1:1" x14ac:dyDescent="0.2">
      <c r="A1476"/>
    </row>
    <row r="1477" spans="1:1" x14ac:dyDescent="0.2">
      <c r="A1477"/>
    </row>
    <row r="1478" spans="1:1" x14ac:dyDescent="0.2">
      <c r="A1478"/>
    </row>
    <row r="1479" spans="1:1" x14ac:dyDescent="0.2">
      <c r="A1479"/>
    </row>
    <row r="1480" spans="1:1" x14ac:dyDescent="0.2">
      <c r="A1480"/>
    </row>
    <row r="1481" spans="1:1" x14ac:dyDescent="0.2">
      <c r="A1481"/>
    </row>
    <row r="1482" spans="1:1" x14ac:dyDescent="0.2">
      <c r="A1482"/>
    </row>
    <row r="1483" spans="1:1" x14ac:dyDescent="0.2">
      <c r="A1483"/>
    </row>
    <row r="1484" spans="1:1" x14ac:dyDescent="0.2">
      <c r="A1484"/>
    </row>
    <row r="1485" spans="1:1" x14ac:dyDescent="0.2">
      <c r="A1485"/>
    </row>
    <row r="1486" spans="1:1" x14ac:dyDescent="0.2">
      <c r="A1486"/>
    </row>
    <row r="1487" spans="1:1" x14ac:dyDescent="0.2">
      <c r="A1487"/>
    </row>
    <row r="1488" spans="1:1" x14ac:dyDescent="0.2">
      <c r="A1488"/>
    </row>
    <row r="1489" spans="1:1" x14ac:dyDescent="0.2">
      <c r="A1489"/>
    </row>
    <row r="1490" spans="1:1" x14ac:dyDescent="0.2">
      <c r="A1490"/>
    </row>
    <row r="1491" spans="1:1" x14ac:dyDescent="0.2">
      <c r="A1491"/>
    </row>
    <row r="1492" spans="1:1" x14ac:dyDescent="0.2">
      <c r="A1492"/>
    </row>
    <row r="1493" spans="1:1" x14ac:dyDescent="0.2">
      <c r="A1493"/>
    </row>
    <row r="1494" spans="1:1" x14ac:dyDescent="0.2">
      <c r="A1494"/>
    </row>
    <row r="1495" spans="1:1" x14ac:dyDescent="0.2">
      <c r="A1495"/>
    </row>
    <row r="1496" spans="1:1" x14ac:dyDescent="0.2">
      <c r="A1496"/>
    </row>
    <row r="1497" spans="1:1" x14ac:dyDescent="0.2">
      <c r="A1497"/>
    </row>
    <row r="1498" spans="1:1" x14ac:dyDescent="0.2">
      <c r="A1498"/>
    </row>
    <row r="1499" spans="1:1" x14ac:dyDescent="0.2">
      <c r="A1499"/>
    </row>
    <row r="1500" spans="1:1" x14ac:dyDescent="0.2">
      <c r="A1500"/>
    </row>
    <row r="1501" spans="1:1" x14ac:dyDescent="0.2">
      <c r="A1501"/>
    </row>
    <row r="1502" spans="1:1" x14ac:dyDescent="0.2">
      <c r="A1502"/>
    </row>
    <row r="1503" spans="1:1" x14ac:dyDescent="0.2">
      <c r="A1503"/>
    </row>
    <row r="1504" spans="1:1" x14ac:dyDescent="0.2">
      <c r="A1504"/>
    </row>
    <row r="1505" spans="1:1" x14ac:dyDescent="0.2">
      <c r="A1505"/>
    </row>
    <row r="1506" spans="1:1" x14ac:dyDescent="0.2">
      <c r="A1506"/>
    </row>
    <row r="1507" spans="1:1" x14ac:dyDescent="0.2">
      <c r="A1507"/>
    </row>
    <row r="1508" spans="1:1" x14ac:dyDescent="0.2">
      <c r="A1508"/>
    </row>
    <row r="1509" spans="1:1" x14ac:dyDescent="0.2">
      <c r="A1509"/>
    </row>
    <row r="1510" spans="1:1" x14ac:dyDescent="0.2">
      <c r="A1510"/>
    </row>
    <row r="1511" spans="1:1" x14ac:dyDescent="0.2">
      <c r="A1511"/>
    </row>
    <row r="1512" spans="1:1" x14ac:dyDescent="0.2">
      <c r="A1512"/>
    </row>
    <row r="1513" spans="1:1" x14ac:dyDescent="0.2">
      <c r="A1513"/>
    </row>
    <row r="1514" spans="1:1" x14ac:dyDescent="0.2">
      <c r="A1514"/>
    </row>
    <row r="1515" spans="1:1" x14ac:dyDescent="0.2">
      <c r="A1515"/>
    </row>
    <row r="1516" spans="1:1" x14ac:dyDescent="0.2">
      <c r="A1516"/>
    </row>
    <row r="1517" spans="1:1" x14ac:dyDescent="0.2">
      <c r="A1517"/>
    </row>
    <row r="1518" spans="1:1" x14ac:dyDescent="0.2">
      <c r="A1518"/>
    </row>
    <row r="1519" spans="1:1" x14ac:dyDescent="0.2">
      <c r="A1519"/>
    </row>
    <row r="1520" spans="1:1" x14ac:dyDescent="0.2">
      <c r="A1520"/>
    </row>
    <row r="1521" spans="1:1" x14ac:dyDescent="0.2">
      <c r="A1521"/>
    </row>
    <row r="1522" spans="1:1" x14ac:dyDescent="0.2">
      <c r="A1522"/>
    </row>
    <row r="1523" spans="1:1" x14ac:dyDescent="0.2">
      <c r="A1523"/>
    </row>
    <row r="1524" spans="1:1" x14ac:dyDescent="0.2">
      <c r="A1524"/>
    </row>
    <row r="1525" spans="1:1" x14ac:dyDescent="0.2">
      <c r="A1525"/>
    </row>
    <row r="1526" spans="1:1" x14ac:dyDescent="0.2">
      <c r="A1526"/>
    </row>
    <row r="1527" spans="1:1" x14ac:dyDescent="0.2">
      <c r="A1527"/>
    </row>
    <row r="1528" spans="1:1" x14ac:dyDescent="0.2">
      <c r="A1528"/>
    </row>
    <row r="1529" spans="1:1" x14ac:dyDescent="0.2">
      <c r="A1529"/>
    </row>
    <row r="1530" spans="1:1" x14ac:dyDescent="0.2">
      <c r="A1530"/>
    </row>
    <row r="1531" spans="1:1" x14ac:dyDescent="0.2">
      <c r="A1531"/>
    </row>
    <row r="1532" spans="1:1" x14ac:dyDescent="0.2">
      <c r="A1532"/>
    </row>
    <row r="1533" spans="1:1" x14ac:dyDescent="0.2">
      <c r="A1533"/>
    </row>
    <row r="1534" spans="1:1" x14ac:dyDescent="0.2">
      <c r="A1534"/>
    </row>
    <row r="1535" spans="1:1" x14ac:dyDescent="0.2">
      <c r="A1535"/>
    </row>
    <row r="1536" spans="1:1" x14ac:dyDescent="0.2">
      <c r="A1536"/>
    </row>
    <row r="1537" spans="1:1" x14ac:dyDescent="0.2">
      <c r="A1537"/>
    </row>
    <row r="1538" spans="1:1" x14ac:dyDescent="0.2">
      <c r="A1538"/>
    </row>
    <row r="1539" spans="1:1" x14ac:dyDescent="0.2">
      <c r="A1539"/>
    </row>
    <row r="1540" spans="1:1" x14ac:dyDescent="0.2">
      <c r="A1540"/>
    </row>
    <row r="1541" spans="1:1" x14ac:dyDescent="0.2">
      <c r="A1541"/>
    </row>
    <row r="1542" spans="1:1" x14ac:dyDescent="0.2">
      <c r="A1542"/>
    </row>
    <row r="1543" spans="1:1" x14ac:dyDescent="0.2">
      <c r="A1543"/>
    </row>
    <row r="1544" spans="1:1" x14ac:dyDescent="0.2">
      <c r="A1544"/>
    </row>
    <row r="1545" spans="1:1" x14ac:dyDescent="0.2">
      <c r="A1545"/>
    </row>
    <row r="1546" spans="1:1" x14ac:dyDescent="0.2">
      <c r="A1546"/>
    </row>
    <row r="1547" spans="1:1" x14ac:dyDescent="0.2">
      <c r="A1547"/>
    </row>
    <row r="1548" spans="1:1" x14ac:dyDescent="0.2">
      <c r="A1548"/>
    </row>
    <row r="1549" spans="1:1" x14ac:dyDescent="0.2">
      <c r="A1549"/>
    </row>
    <row r="1550" spans="1:1" x14ac:dyDescent="0.2">
      <c r="A1550"/>
    </row>
    <row r="1551" spans="1:1" x14ac:dyDescent="0.2">
      <c r="A1551"/>
    </row>
    <row r="1552" spans="1:1" x14ac:dyDescent="0.2">
      <c r="A1552"/>
    </row>
    <row r="1553" spans="1:1" x14ac:dyDescent="0.2">
      <c r="A1553"/>
    </row>
    <row r="1554" spans="1:1" x14ac:dyDescent="0.2">
      <c r="A1554"/>
    </row>
    <row r="1555" spans="1:1" x14ac:dyDescent="0.2">
      <c r="A1555"/>
    </row>
    <row r="1556" spans="1:1" x14ac:dyDescent="0.2">
      <c r="A1556"/>
    </row>
    <row r="1557" spans="1:1" x14ac:dyDescent="0.2">
      <c r="A1557"/>
    </row>
    <row r="1558" spans="1:1" x14ac:dyDescent="0.2">
      <c r="A1558"/>
    </row>
    <row r="1559" spans="1:1" x14ac:dyDescent="0.2">
      <c r="A1559"/>
    </row>
    <row r="1560" spans="1:1" x14ac:dyDescent="0.2">
      <c r="A1560"/>
    </row>
    <row r="1561" spans="1:1" x14ac:dyDescent="0.2">
      <c r="A1561"/>
    </row>
    <row r="1562" spans="1:1" x14ac:dyDescent="0.2">
      <c r="A1562"/>
    </row>
    <row r="1563" spans="1:1" x14ac:dyDescent="0.2">
      <c r="A1563"/>
    </row>
    <row r="1564" spans="1:1" x14ac:dyDescent="0.2">
      <c r="A1564"/>
    </row>
    <row r="1565" spans="1:1" x14ac:dyDescent="0.2">
      <c r="A1565"/>
    </row>
    <row r="1566" spans="1:1" x14ac:dyDescent="0.2">
      <c r="A1566"/>
    </row>
    <row r="1567" spans="1:1" x14ac:dyDescent="0.2">
      <c r="A1567"/>
    </row>
    <row r="1568" spans="1:1" x14ac:dyDescent="0.2">
      <c r="A1568"/>
    </row>
    <row r="1569" spans="1:1" x14ac:dyDescent="0.2">
      <c r="A1569"/>
    </row>
    <row r="1570" spans="1:1" x14ac:dyDescent="0.2">
      <c r="A1570"/>
    </row>
    <row r="1571" spans="1:1" x14ac:dyDescent="0.2">
      <c r="A1571"/>
    </row>
    <row r="1572" spans="1:1" x14ac:dyDescent="0.2">
      <c r="A1572"/>
    </row>
    <row r="1573" spans="1:1" x14ac:dyDescent="0.2">
      <c r="A1573"/>
    </row>
    <row r="1574" spans="1:1" x14ac:dyDescent="0.2">
      <c r="A1574"/>
    </row>
    <row r="1575" spans="1:1" x14ac:dyDescent="0.2">
      <c r="A1575"/>
    </row>
    <row r="1576" spans="1:1" x14ac:dyDescent="0.2">
      <c r="A1576"/>
    </row>
    <row r="1577" spans="1:1" x14ac:dyDescent="0.2">
      <c r="A1577"/>
    </row>
    <row r="1578" spans="1:1" x14ac:dyDescent="0.2">
      <c r="A1578"/>
    </row>
    <row r="1579" spans="1:1" x14ac:dyDescent="0.2">
      <c r="A1579"/>
    </row>
    <row r="1580" spans="1:1" x14ac:dyDescent="0.2">
      <c r="A1580"/>
    </row>
    <row r="1581" spans="1:1" x14ac:dyDescent="0.2">
      <c r="A1581"/>
    </row>
    <row r="1582" spans="1:1" x14ac:dyDescent="0.2">
      <c r="A1582"/>
    </row>
    <row r="1583" spans="1:1" x14ac:dyDescent="0.2">
      <c r="A1583"/>
    </row>
    <row r="1584" spans="1:1" x14ac:dyDescent="0.2">
      <c r="A1584"/>
    </row>
    <row r="1585" spans="1:1" x14ac:dyDescent="0.2">
      <c r="A1585"/>
    </row>
    <row r="1586" spans="1:1" x14ac:dyDescent="0.2">
      <c r="A1586"/>
    </row>
    <row r="1587" spans="1:1" x14ac:dyDescent="0.2">
      <c r="A1587"/>
    </row>
    <row r="1588" spans="1:1" x14ac:dyDescent="0.2">
      <c r="A1588"/>
    </row>
    <row r="1589" spans="1:1" x14ac:dyDescent="0.2">
      <c r="A1589"/>
    </row>
    <row r="1590" spans="1:1" x14ac:dyDescent="0.2">
      <c r="A1590"/>
    </row>
    <row r="1591" spans="1:1" x14ac:dyDescent="0.2">
      <c r="A1591"/>
    </row>
    <row r="1592" spans="1:1" x14ac:dyDescent="0.2">
      <c r="A1592"/>
    </row>
    <row r="1593" spans="1:1" x14ac:dyDescent="0.2">
      <c r="A1593"/>
    </row>
    <row r="1594" spans="1:1" x14ac:dyDescent="0.2">
      <c r="A1594"/>
    </row>
    <row r="1595" spans="1:1" x14ac:dyDescent="0.2">
      <c r="A1595"/>
    </row>
    <row r="1596" spans="1:1" x14ac:dyDescent="0.2">
      <c r="A1596"/>
    </row>
    <row r="1597" spans="1:1" x14ac:dyDescent="0.2">
      <c r="A1597"/>
    </row>
    <row r="1598" spans="1:1" x14ac:dyDescent="0.2">
      <c r="A1598"/>
    </row>
    <row r="1599" spans="1:1" x14ac:dyDescent="0.2">
      <c r="A1599"/>
    </row>
    <row r="1600" spans="1:1" x14ac:dyDescent="0.2">
      <c r="A1600"/>
    </row>
    <row r="1601" spans="1:1" x14ac:dyDescent="0.2">
      <c r="A1601"/>
    </row>
    <row r="1602" spans="1:1" x14ac:dyDescent="0.2">
      <c r="A1602"/>
    </row>
    <row r="1603" spans="1:1" x14ac:dyDescent="0.2">
      <c r="A1603"/>
    </row>
    <row r="1604" spans="1:1" x14ac:dyDescent="0.2">
      <c r="A1604"/>
    </row>
    <row r="1605" spans="1:1" x14ac:dyDescent="0.2">
      <c r="A1605"/>
    </row>
    <row r="1606" spans="1:1" x14ac:dyDescent="0.2">
      <c r="A1606"/>
    </row>
    <row r="1607" spans="1:1" x14ac:dyDescent="0.2">
      <c r="A1607"/>
    </row>
    <row r="1608" spans="1:1" x14ac:dyDescent="0.2">
      <c r="A1608"/>
    </row>
    <row r="1609" spans="1:1" x14ac:dyDescent="0.2">
      <c r="A1609"/>
    </row>
    <row r="1610" spans="1:1" x14ac:dyDescent="0.2">
      <c r="A1610"/>
    </row>
    <row r="1611" spans="1:1" x14ac:dyDescent="0.2">
      <c r="A1611"/>
    </row>
    <row r="1612" spans="1:1" x14ac:dyDescent="0.2">
      <c r="A1612"/>
    </row>
    <row r="1613" spans="1:1" x14ac:dyDescent="0.2">
      <c r="A1613"/>
    </row>
    <row r="1614" spans="1:1" x14ac:dyDescent="0.2">
      <c r="A1614"/>
    </row>
    <row r="1615" spans="1:1" x14ac:dyDescent="0.2">
      <c r="A1615"/>
    </row>
    <row r="1616" spans="1:1" x14ac:dyDescent="0.2">
      <c r="A1616"/>
    </row>
    <row r="1617" spans="1:1" x14ac:dyDescent="0.2">
      <c r="A1617"/>
    </row>
    <row r="1618" spans="1:1" x14ac:dyDescent="0.2">
      <c r="A1618"/>
    </row>
    <row r="1619" spans="1:1" x14ac:dyDescent="0.2">
      <c r="A1619"/>
    </row>
    <row r="1620" spans="1:1" x14ac:dyDescent="0.2">
      <c r="A1620"/>
    </row>
    <row r="1621" spans="1:1" x14ac:dyDescent="0.2">
      <c r="A1621"/>
    </row>
    <row r="1622" spans="1:1" x14ac:dyDescent="0.2">
      <c r="A1622"/>
    </row>
    <row r="1623" spans="1:1" x14ac:dyDescent="0.2">
      <c r="A1623"/>
    </row>
    <row r="1624" spans="1:1" x14ac:dyDescent="0.2">
      <c r="A1624"/>
    </row>
    <row r="1625" spans="1:1" x14ac:dyDescent="0.2">
      <c r="A1625"/>
    </row>
    <row r="1626" spans="1:1" x14ac:dyDescent="0.2">
      <c r="A1626"/>
    </row>
    <row r="1627" spans="1:1" x14ac:dyDescent="0.2">
      <c r="A1627"/>
    </row>
    <row r="1628" spans="1:1" x14ac:dyDescent="0.2">
      <c r="A1628"/>
    </row>
    <row r="1629" spans="1:1" x14ac:dyDescent="0.2">
      <c r="A1629"/>
    </row>
    <row r="1630" spans="1:1" x14ac:dyDescent="0.2">
      <c r="A1630"/>
    </row>
    <row r="1631" spans="1:1" x14ac:dyDescent="0.2">
      <c r="A1631"/>
    </row>
    <row r="1632" spans="1:1" x14ac:dyDescent="0.2">
      <c r="A1632"/>
    </row>
    <row r="1633" spans="1:1" x14ac:dyDescent="0.2">
      <c r="A1633"/>
    </row>
    <row r="1634" spans="1:1" x14ac:dyDescent="0.2">
      <c r="A1634"/>
    </row>
    <row r="1635" spans="1:1" x14ac:dyDescent="0.2">
      <c r="A1635"/>
    </row>
    <row r="1636" spans="1:1" x14ac:dyDescent="0.2">
      <c r="A1636"/>
    </row>
    <row r="1637" spans="1:1" x14ac:dyDescent="0.2">
      <c r="A1637"/>
    </row>
    <row r="1638" spans="1:1" x14ac:dyDescent="0.2">
      <c r="A1638"/>
    </row>
    <row r="1639" spans="1:1" x14ac:dyDescent="0.2">
      <c r="A1639"/>
    </row>
    <row r="1640" spans="1:1" x14ac:dyDescent="0.2">
      <c r="A1640"/>
    </row>
    <row r="1641" spans="1:1" x14ac:dyDescent="0.2">
      <c r="A1641"/>
    </row>
    <row r="1642" spans="1:1" x14ac:dyDescent="0.2">
      <c r="A1642"/>
    </row>
    <row r="1643" spans="1:1" x14ac:dyDescent="0.2">
      <c r="A1643"/>
    </row>
    <row r="1644" spans="1:1" x14ac:dyDescent="0.2">
      <c r="A1644"/>
    </row>
    <row r="1645" spans="1:1" x14ac:dyDescent="0.2">
      <c r="A1645"/>
    </row>
    <row r="1646" spans="1:1" x14ac:dyDescent="0.2">
      <c r="A1646"/>
    </row>
    <row r="1647" spans="1:1" x14ac:dyDescent="0.2">
      <c r="A1647"/>
    </row>
    <row r="1648" spans="1:1" x14ac:dyDescent="0.2">
      <c r="A1648"/>
    </row>
    <row r="1649" spans="1:1" x14ac:dyDescent="0.2">
      <c r="A1649"/>
    </row>
    <row r="1650" spans="1:1" x14ac:dyDescent="0.2">
      <c r="A1650"/>
    </row>
    <row r="1651" spans="1:1" x14ac:dyDescent="0.2">
      <c r="A1651"/>
    </row>
    <row r="1652" spans="1:1" x14ac:dyDescent="0.2">
      <c r="A1652"/>
    </row>
    <row r="1653" spans="1:1" x14ac:dyDescent="0.2">
      <c r="A1653"/>
    </row>
    <row r="1654" spans="1:1" x14ac:dyDescent="0.2">
      <c r="A1654"/>
    </row>
    <row r="1655" spans="1:1" x14ac:dyDescent="0.2">
      <c r="A1655"/>
    </row>
    <row r="1656" spans="1:1" x14ac:dyDescent="0.2">
      <c r="A1656"/>
    </row>
    <row r="1657" spans="1:1" x14ac:dyDescent="0.2">
      <c r="A1657"/>
    </row>
    <row r="1658" spans="1:1" x14ac:dyDescent="0.2">
      <c r="A1658"/>
    </row>
    <row r="1659" spans="1:1" x14ac:dyDescent="0.2">
      <c r="A1659"/>
    </row>
    <row r="1660" spans="1:1" x14ac:dyDescent="0.2">
      <c r="A1660"/>
    </row>
    <row r="1661" spans="1:1" x14ac:dyDescent="0.2">
      <c r="A1661"/>
    </row>
    <row r="1662" spans="1:1" x14ac:dyDescent="0.2">
      <c r="A1662"/>
    </row>
    <row r="1663" spans="1:1" x14ac:dyDescent="0.2">
      <c r="A1663"/>
    </row>
    <row r="1664" spans="1:1" x14ac:dyDescent="0.2">
      <c r="A1664"/>
    </row>
    <row r="1665" spans="1:1" x14ac:dyDescent="0.2">
      <c r="A1665"/>
    </row>
    <row r="1666" spans="1:1" x14ac:dyDescent="0.2">
      <c r="A1666"/>
    </row>
    <row r="1667" spans="1:1" x14ac:dyDescent="0.2">
      <c r="A1667"/>
    </row>
    <row r="1668" spans="1:1" x14ac:dyDescent="0.2">
      <c r="A1668"/>
    </row>
    <row r="1669" spans="1:1" x14ac:dyDescent="0.2">
      <c r="A1669"/>
    </row>
    <row r="1670" spans="1:1" x14ac:dyDescent="0.2">
      <c r="A1670"/>
    </row>
    <row r="1671" spans="1:1" x14ac:dyDescent="0.2">
      <c r="A1671"/>
    </row>
    <row r="1672" spans="1:1" x14ac:dyDescent="0.2">
      <c r="A1672"/>
    </row>
    <row r="1673" spans="1:1" x14ac:dyDescent="0.2">
      <c r="A1673"/>
    </row>
    <row r="1674" spans="1:1" x14ac:dyDescent="0.2">
      <c r="A1674"/>
    </row>
    <row r="1675" spans="1:1" x14ac:dyDescent="0.2">
      <c r="A1675"/>
    </row>
    <row r="1676" spans="1:1" x14ac:dyDescent="0.2">
      <c r="A1676"/>
    </row>
    <row r="1677" spans="1:1" x14ac:dyDescent="0.2">
      <c r="A1677"/>
    </row>
    <row r="1678" spans="1:1" x14ac:dyDescent="0.2">
      <c r="A1678"/>
    </row>
    <row r="1679" spans="1:1" x14ac:dyDescent="0.2">
      <c r="A1679"/>
    </row>
    <row r="1680" spans="1:1" x14ac:dyDescent="0.2">
      <c r="A1680"/>
    </row>
    <row r="1681" spans="1:1" x14ac:dyDescent="0.2">
      <c r="A1681"/>
    </row>
    <row r="1682" spans="1:1" x14ac:dyDescent="0.2">
      <c r="A1682"/>
    </row>
    <row r="1683" spans="1:1" x14ac:dyDescent="0.2">
      <c r="A1683"/>
    </row>
    <row r="1684" spans="1:1" x14ac:dyDescent="0.2">
      <c r="A1684"/>
    </row>
    <row r="1685" spans="1:1" x14ac:dyDescent="0.2">
      <c r="A1685"/>
    </row>
    <row r="1686" spans="1:1" x14ac:dyDescent="0.2">
      <c r="A1686"/>
    </row>
    <row r="1687" spans="1:1" x14ac:dyDescent="0.2">
      <c r="A1687"/>
    </row>
    <row r="1688" spans="1:1" x14ac:dyDescent="0.2">
      <c r="A1688"/>
    </row>
    <row r="1689" spans="1:1" x14ac:dyDescent="0.2">
      <c r="A1689"/>
    </row>
    <row r="1690" spans="1:1" x14ac:dyDescent="0.2">
      <c r="A1690"/>
    </row>
    <row r="1691" spans="1:1" x14ac:dyDescent="0.2">
      <c r="A1691"/>
    </row>
    <row r="1692" spans="1:1" x14ac:dyDescent="0.2">
      <c r="A1692"/>
    </row>
    <row r="1693" spans="1:1" x14ac:dyDescent="0.2">
      <c r="A1693"/>
    </row>
    <row r="1694" spans="1:1" x14ac:dyDescent="0.2">
      <c r="A1694"/>
    </row>
    <row r="1695" spans="1:1" x14ac:dyDescent="0.2">
      <c r="A1695"/>
    </row>
    <row r="1696" spans="1:1" x14ac:dyDescent="0.2">
      <c r="A1696"/>
    </row>
    <row r="1697" spans="1:1" x14ac:dyDescent="0.2">
      <c r="A1697"/>
    </row>
    <row r="1698" spans="1:1" x14ac:dyDescent="0.2">
      <c r="A1698"/>
    </row>
    <row r="1699" spans="1:1" x14ac:dyDescent="0.2">
      <c r="A1699"/>
    </row>
    <row r="1700" spans="1:1" x14ac:dyDescent="0.2">
      <c r="A1700"/>
    </row>
    <row r="1701" spans="1:1" x14ac:dyDescent="0.2">
      <c r="A1701"/>
    </row>
    <row r="1702" spans="1:1" x14ac:dyDescent="0.2">
      <c r="A1702"/>
    </row>
    <row r="1703" spans="1:1" x14ac:dyDescent="0.2">
      <c r="A1703"/>
    </row>
    <row r="1704" spans="1:1" x14ac:dyDescent="0.2">
      <c r="A1704"/>
    </row>
    <row r="1705" spans="1:1" x14ac:dyDescent="0.2">
      <c r="A1705"/>
    </row>
    <row r="1706" spans="1:1" x14ac:dyDescent="0.2">
      <c r="A1706"/>
    </row>
    <row r="1707" spans="1:1" x14ac:dyDescent="0.2">
      <c r="A1707"/>
    </row>
    <row r="1708" spans="1:1" x14ac:dyDescent="0.2">
      <c r="A1708"/>
    </row>
    <row r="1709" spans="1:1" x14ac:dyDescent="0.2">
      <c r="A1709"/>
    </row>
    <row r="1710" spans="1:1" x14ac:dyDescent="0.2">
      <c r="A1710"/>
    </row>
    <row r="1711" spans="1:1" x14ac:dyDescent="0.2">
      <c r="A1711"/>
    </row>
    <row r="1712" spans="1:1" x14ac:dyDescent="0.2">
      <c r="A1712"/>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C15 AC18" formulaRange="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56">
    <pageSetUpPr autoPageBreaks="0"/>
  </sheetPr>
  <dimension ref="A1:AC28"/>
  <sheetViews>
    <sheetView showGridLines="0" zoomScaleNormal="100" workbookViewId="0">
      <selection activeCell="E2" sqref="E2"/>
    </sheetView>
  </sheetViews>
  <sheetFormatPr defaultRowHeight="12.75" x14ac:dyDescent="0.2"/>
  <cols>
    <col min="1" max="1" width="1.42578125" customWidth="1"/>
    <col min="2" max="2" width="45.42578125" bestFit="1" customWidth="1"/>
    <col min="3" max="4" width="10.85546875" customWidth="1"/>
    <col min="5" max="5" width="1.85546875" style="28" customWidth="1"/>
    <col min="6" max="6" width="41.140625" bestFit="1" customWidth="1"/>
    <col min="7" max="8" width="10.85546875" customWidth="1"/>
    <col min="9" max="9" width="1.85546875" style="28" customWidth="1"/>
    <col min="10" max="10" width="48.85546875" bestFit="1" customWidth="1"/>
    <col min="11" max="17" width="10.85546875" customWidth="1"/>
    <col min="18" max="18" width="1.85546875" style="28" customWidth="1"/>
    <col min="19" max="19" width="25.85546875" bestFit="1" customWidth="1"/>
    <col min="20" max="25" width="10.85546875" customWidth="1"/>
    <col min="26" max="26" width="1.85546875" style="28" customWidth="1"/>
    <col min="27" max="27" width="41.85546875" bestFit="1" customWidth="1"/>
    <col min="28" max="29" width="10.85546875" customWidth="1"/>
    <col min="30" max="31" width="12" bestFit="1" customWidth="1"/>
  </cols>
  <sheetData>
    <row r="1" spans="1:29" s="544" customFormat="1" ht="7.5" customHeight="1" x14ac:dyDescent="0.2">
      <c r="E1" s="550"/>
      <c r="I1" s="550"/>
      <c r="R1" s="550"/>
      <c r="Z1" s="550"/>
    </row>
    <row r="2" spans="1:29" s="544" customFormat="1" ht="12.75" customHeight="1" x14ac:dyDescent="0.2">
      <c r="E2" s="550"/>
      <c r="I2" s="550"/>
      <c r="R2" s="550"/>
      <c r="Z2" s="550"/>
    </row>
    <row r="3" spans="1:29" ht="12.75" customHeight="1" x14ac:dyDescent="0.2"/>
    <row r="4" spans="1:29" ht="12.75" customHeight="1" x14ac:dyDescent="0.2"/>
    <row r="5" spans="1:29" ht="37.5" customHeight="1" x14ac:dyDescent="0.2">
      <c r="B5" s="246" t="s">
        <v>234</v>
      </c>
      <c r="C5" s="246" t="s">
        <v>272</v>
      </c>
      <c r="D5" s="246" t="s">
        <v>305</v>
      </c>
      <c r="E5" s="167"/>
      <c r="F5" s="246" t="s">
        <v>239</v>
      </c>
      <c r="G5" s="246" t="s">
        <v>272</v>
      </c>
      <c r="H5" s="246" t="s">
        <v>305</v>
      </c>
      <c r="I5" s="167"/>
      <c r="J5" s="115" t="s">
        <v>89</v>
      </c>
      <c r="K5" s="539" t="s">
        <v>306</v>
      </c>
      <c r="L5" s="145" t="s">
        <v>307</v>
      </c>
      <c r="M5" s="145" t="s">
        <v>308</v>
      </c>
      <c r="N5" s="145" t="s">
        <v>309</v>
      </c>
      <c r="O5" s="145" t="s">
        <v>310</v>
      </c>
      <c r="P5" s="145" t="s">
        <v>311</v>
      </c>
      <c r="Q5" s="145" t="s">
        <v>312</v>
      </c>
      <c r="R5" s="167"/>
      <c r="S5" s="115"/>
      <c r="T5" s="145" t="s">
        <v>313</v>
      </c>
      <c r="U5" s="145" t="s">
        <v>306</v>
      </c>
      <c r="V5" s="145" t="s">
        <v>308</v>
      </c>
      <c r="W5" s="145" t="s">
        <v>309</v>
      </c>
      <c r="X5" s="145" t="s">
        <v>310</v>
      </c>
      <c r="Y5" s="145" t="s">
        <v>312</v>
      </c>
      <c r="Z5" s="167"/>
      <c r="AA5" s="246" t="s">
        <v>97</v>
      </c>
      <c r="AB5" s="246" t="s">
        <v>272</v>
      </c>
      <c r="AC5" s="246" t="s">
        <v>315</v>
      </c>
    </row>
    <row r="6" spans="1:29" x14ac:dyDescent="0.2">
      <c r="B6" s="129" t="s">
        <v>75</v>
      </c>
      <c r="C6" s="118">
        <v>1873</v>
      </c>
      <c r="D6" s="118">
        <v>18587</v>
      </c>
      <c r="E6" s="169"/>
      <c r="F6" s="129" t="s">
        <v>75</v>
      </c>
      <c r="G6" s="118">
        <v>16667</v>
      </c>
      <c r="H6" s="118">
        <v>0</v>
      </c>
      <c r="I6" s="169"/>
      <c r="J6" s="129" t="s">
        <v>317</v>
      </c>
      <c r="K6" s="118">
        <v>48855</v>
      </c>
      <c r="L6" s="118">
        <v>145725</v>
      </c>
      <c r="M6" s="118">
        <v>194580</v>
      </c>
      <c r="N6" s="118">
        <v>51117</v>
      </c>
      <c r="O6" s="118">
        <v>100336</v>
      </c>
      <c r="P6" s="118">
        <v>30748</v>
      </c>
      <c r="Q6" s="118">
        <v>131084</v>
      </c>
      <c r="R6" s="169"/>
      <c r="S6" s="129" t="s">
        <v>314</v>
      </c>
      <c r="T6" s="118">
        <v>-44703</v>
      </c>
      <c r="U6" s="118">
        <v>-66383</v>
      </c>
      <c r="V6" s="118">
        <v>-82690</v>
      </c>
      <c r="W6" s="118">
        <v>-12823.90581893086</v>
      </c>
      <c r="X6" s="118">
        <v>-19839</v>
      </c>
      <c r="Y6" s="118">
        <v>-37566</v>
      </c>
      <c r="Z6" s="169"/>
      <c r="AA6" s="129" t="s">
        <v>320</v>
      </c>
      <c r="AB6" s="118">
        <v>185913</v>
      </c>
      <c r="AC6" s="118">
        <v>132435</v>
      </c>
    </row>
    <row r="7" spans="1:29" x14ac:dyDescent="0.2">
      <c r="B7" s="129" t="s">
        <v>36</v>
      </c>
      <c r="C7" s="118">
        <v>59396</v>
      </c>
      <c r="D7" s="118">
        <v>41205</v>
      </c>
      <c r="E7" s="169"/>
      <c r="F7" s="129" t="s">
        <v>36</v>
      </c>
      <c r="G7" s="118"/>
      <c r="H7" s="118">
        <v>4765</v>
      </c>
      <c r="I7" s="169"/>
      <c r="J7" s="129" t="s">
        <v>242</v>
      </c>
      <c r="K7" s="118">
        <v>-54122</v>
      </c>
      <c r="L7" s="118">
        <v>-171581</v>
      </c>
      <c r="M7" s="118">
        <v>-225703</v>
      </c>
      <c r="N7" s="118">
        <v>-52342</v>
      </c>
      <c r="O7" s="118">
        <v>-107725</v>
      </c>
      <c r="P7" s="118">
        <v>-34426</v>
      </c>
      <c r="Q7" s="118">
        <v>-142151</v>
      </c>
      <c r="R7" s="169"/>
      <c r="S7" s="129" t="s">
        <v>318</v>
      </c>
      <c r="T7" s="118">
        <v>-2307</v>
      </c>
      <c r="U7" s="118">
        <v>-12763</v>
      </c>
      <c r="V7" s="118">
        <v>-19498</v>
      </c>
      <c r="W7" s="118">
        <v>-6014</v>
      </c>
      <c r="X7" s="118">
        <v>-9467</v>
      </c>
      <c r="Y7" s="118">
        <v>11831</v>
      </c>
      <c r="Z7" s="169"/>
      <c r="AA7" s="129" t="s">
        <v>321</v>
      </c>
      <c r="AB7" s="118">
        <v>80911</v>
      </c>
      <c r="AC7" s="118">
        <v>80911</v>
      </c>
    </row>
    <row r="8" spans="1:29" x14ac:dyDescent="0.2">
      <c r="A8" s="108"/>
      <c r="B8" s="129" t="s">
        <v>25</v>
      </c>
      <c r="C8" s="118">
        <v>692</v>
      </c>
      <c r="D8" s="118">
        <v>0</v>
      </c>
      <c r="E8" s="169"/>
      <c r="F8" s="129" t="s">
        <v>25</v>
      </c>
      <c r="G8" s="118">
        <v>2553</v>
      </c>
      <c r="H8" s="118">
        <v>2145</v>
      </c>
      <c r="I8" s="169"/>
      <c r="J8" s="126" t="s">
        <v>322</v>
      </c>
      <c r="K8" s="120">
        <f>SUM(K6:K7)</f>
        <v>-5267</v>
      </c>
      <c r="L8" s="120">
        <f t="shared" ref="L8:Q8" si="0">SUM(L6:L7)</f>
        <v>-25856</v>
      </c>
      <c r="M8" s="120">
        <f t="shared" si="0"/>
        <v>-31123</v>
      </c>
      <c r="N8" s="120">
        <f t="shared" si="0"/>
        <v>-1225</v>
      </c>
      <c r="O8" s="120">
        <f t="shared" si="0"/>
        <v>-7389</v>
      </c>
      <c r="P8" s="120">
        <f t="shared" si="0"/>
        <v>-3678</v>
      </c>
      <c r="Q8" s="120">
        <f t="shared" si="0"/>
        <v>-11067</v>
      </c>
      <c r="R8" s="169"/>
      <c r="S8" s="129" t="s">
        <v>319</v>
      </c>
      <c r="T8" s="118">
        <v>47378</v>
      </c>
      <c r="U8" s="118">
        <v>80721</v>
      </c>
      <c r="V8" s="118">
        <v>106757</v>
      </c>
      <c r="W8" s="118">
        <v>-1832.3703369329819</v>
      </c>
      <c r="X8" s="118">
        <v>4447</v>
      </c>
      <c r="Y8" s="118">
        <v>17591</v>
      </c>
      <c r="Z8" s="169"/>
      <c r="AA8" s="129" t="s">
        <v>324</v>
      </c>
      <c r="AB8" s="118">
        <v>0</v>
      </c>
      <c r="AC8" s="118">
        <v>0</v>
      </c>
    </row>
    <row r="9" spans="1:29" x14ac:dyDescent="0.2">
      <c r="A9" s="109"/>
      <c r="B9" s="129" t="s">
        <v>19</v>
      </c>
      <c r="C9" s="118">
        <v>4454</v>
      </c>
      <c r="D9" s="118">
        <v>2712</v>
      </c>
      <c r="E9" s="169"/>
      <c r="F9" s="129" t="s">
        <v>19</v>
      </c>
      <c r="G9" s="118">
        <v>532</v>
      </c>
      <c r="H9" s="118">
        <v>0</v>
      </c>
      <c r="I9" s="169"/>
      <c r="J9" s="129" t="s">
        <v>243</v>
      </c>
      <c r="K9" s="118">
        <v>-5233</v>
      </c>
      <c r="L9" s="118">
        <v>-13728</v>
      </c>
      <c r="M9" s="118">
        <v>-18961</v>
      </c>
      <c r="N9" s="118">
        <v>-3899</v>
      </c>
      <c r="O9" s="118">
        <v>-9506</v>
      </c>
      <c r="P9" s="118">
        <v>12418</v>
      </c>
      <c r="Q9" s="118">
        <v>2912</v>
      </c>
      <c r="R9" s="169"/>
      <c r="S9" s="126" t="s">
        <v>323</v>
      </c>
      <c r="T9" s="120">
        <f t="shared" ref="T9:Y9" si="1">SUM(T6:T8)</f>
        <v>368</v>
      </c>
      <c r="U9" s="120">
        <f t="shared" si="1"/>
        <v>1575</v>
      </c>
      <c r="V9" s="120">
        <f t="shared" si="1"/>
        <v>4569</v>
      </c>
      <c r="W9" s="120">
        <f t="shared" si="1"/>
        <v>-20670.276155863841</v>
      </c>
      <c r="X9" s="120">
        <f t="shared" si="1"/>
        <v>-24859</v>
      </c>
      <c r="Y9" s="120">
        <f t="shared" si="1"/>
        <v>-8144</v>
      </c>
      <c r="Z9" s="169"/>
      <c r="AA9" s="129" t="s">
        <v>325</v>
      </c>
      <c r="AB9" s="118">
        <v>-43911</v>
      </c>
      <c r="AC9" s="118">
        <v>-43911</v>
      </c>
    </row>
    <row r="10" spans="1:29" x14ac:dyDescent="0.2">
      <c r="A10" s="108"/>
      <c r="B10" s="129" t="s">
        <v>26</v>
      </c>
      <c r="C10" s="118">
        <v>3024</v>
      </c>
      <c r="D10" s="118">
        <v>3245</v>
      </c>
      <c r="E10" s="169"/>
      <c r="F10" s="129" t="s">
        <v>40</v>
      </c>
      <c r="G10" s="118">
        <v>5827</v>
      </c>
      <c r="H10" s="118">
        <v>4207</v>
      </c>
      <c r="I10" s="169"/>
      <c r="J10" s="129" t="s">
        <v>129</v>
      </c>
      <c r="K10" s="118">
        <v>-337</v>
      </c>
      <c r="L10" s="118">
        <v>-1027</v>
      </c>
      <c r="M10" s="118">
        <v>-1364</v>
      </c>
      <c r="N10" s="118">
        <v>993</v>
      </c>
      <c r="O10" s="118">
        <v>1821</v>
      </c>
      <c r="P10" s="118">
        <v>-17453</v>
      </c>
      <c r="Q10" s="118">
        <v>-15632</v>
      </c>
      <c r="R10" s="169"/>
      <c r="S10" s="108"/>
      <c r="T10" s="59"/>
      <c r="Z10" s="169"/>
      <c r="AA10" s="126" t="s">
        <v>326</v>
      </c>
      <c r="AB10" s="120">
        <f>SUM(AB6:AB9)</f>
        <v>222913</v>
      </c>
      <c r="AC10" s="120">
        <f>SUM(AC6:AC9)</f>
        <v>169435</v>
      </c>
    </row>
    <row r="11" spans="1:29" ht="25.5" x14ac:dyDescent="0.2">
      <c r="A11" s="43"/>
      <c r="B11" s="129" t="s">
        <v>22</v>
      </c>
      <c r="C11" s="118">
        <v>851</v>
      </c>
      <c r="D11" s="118">
        <v>811</v>
      </c>
      <c r="E11" s="169"/>
      <c r="F11" s="129" t="s">
        <v>18</v>
      </c>
      <c r="G11" s="118">
        <v>213</v>
      </c>
      <c r="H11" s="118">
        <v>0</v>
      </c>
      <c r="I11" s="169"/>
      <c r="J11" s="126" t="s">
        <v>373</v>
      </c>
      <c r="K11" s="120">
        <f>SUM(K8:K10)</f>
        <v>-10837</v>
      </c>
      <c r="L11" s="120">
        <f t="shared" ref="L11:Q11" si="2">SUM(L8:L10)</f>
        <v>-40611</v>
      </c>
      <c r="M11" s="120">
        <f t="shared" si="2"/>
        <v>-51448</v>
      </c>
      <c r="N11" s="120">
        <f t="shared" si="2"/>
        <v>-4131</v>
      </c>
      <c r="O11" s="120">
        <f t="shared" si="2"/>
        <v>-15074</v>
      </c>
      <c r="P11" s="120">
        <f t="shared" si="2"/>
        <v>-8713</v>
      </c>
      <c r="Q11" s="120">
        <f t="shared" si="2"/>
        <v>-23787</v>
      </c>
      <c r="R11" s="169"/>
      <c r="S11" s="108"/>
      <c r="T11" s="59"/>
      <c r="Z11" s="169"/>
      <c r="AA11" s="129" t="s">
        <v>327</v>
      </c>
      <c r="AB11" s="118">
        <v>149042</v>
      </c>
      <c r="AC11" s="118">
        <v>26267</v>
      </c>
    </row>
    <row r="12" spans="1:29" x14ac:dyDescent="0.2">
      <c r="A12" s="108"/>
      <c r="B12" s="126" t="s">
        <v>201</v>
      </c>
      <c r="C12" s="120">
        <f>SUM(C6:C11)</f>
        <v>70290</v>
      </c>
      <c r="D12" s="120">
        <f>SUM(D6:D11)</f>
        <v>66560</v>
      </c>
      <c r="E12" s="154"/>
      <c r="F12" s="129" t="s">
        <v>20</v>
      </c>
      <c r="G12" s="118">
        <v>8023</v>
      </c>
      <c r="H12" s="118">
        <v>7625</v>
      </c>
      <c r="I12" s="154"/>
      <c r="J12" s="129" t="s">
        <v>295</v>
      </c>
      <c r="K12" s="118">
        <v>22056</v>
      </c>
      <c r="L12" s="118">
        <v>30959</v>
      </c>
      <c r="M12" s="118">
        <v>53015</v>
      </c>
      <c r="N12" s="118">
        <v>18483</v>
      </c>
      <c r="O12" s="118">
        <v>24248</v>
      </c>
      <c r="P12" s="118">
        <v>2034</v>
      </c>
      <c r="Q12" s="118">
        <v>26282</v>
      </c>
      <c r="R12" s="154"/>
      <c r="S12" s="108"/>
      <c r="T12" s="59"/>
      <c r="Z12" s="154"/>
      <c r="AA12" s="126" t="s">
        <v>330</v>
      </c>
      <c r="AB12" s="120">
        <f>SUM(AB11)</f>
        <v>149042</v>
      </c>
      <c r="AC12" s="120">
        <f>SUM(AC11)</f>
        <v>26267</v>
      </c>
    </row>
    <row r="13" spans="1:29" ht="25.5" x14ac:dyDescent="0.2">
      <c r="A13" s="108"/>
      <c r="B13" s="129" t="s">
        <v>276</v>
      </c>
      <c r="C13" s="118">
        <v>13487</v>
      </c>
      <c r="D13" s="118">
        <v>0</v>
      </c>
      <c r="E13" s="169"/>
      <c r="F13" s="129" t="s">
        <v>81</v>
      </c>
      <c r="G13" s="118">
        <v>621</v>
      </c>
      <c r="H13" s="118">
        <v>403</v>
      </c>
      <c r="I13" s="169"/>
      <c r="J13" s="129" t="s">
        <v>294</v>
      </c>
      <c r="K13" s="118">
        <v>-30349</v>
      </c>
      <c r="L13" s="118">
        <v>-43215</v>
      </c>
      <c r="M13" s="118">
        <v>-73564</v>
      </c>
      <c r="N13" s="118">
        <v>-22622</v>
      </c>
      <c r="O13" s="118">
        <v>-29503</v>
      </c>
      <c r="P13" s="118">
        <v>-4152</v>
      </c>
      <c r="Q13" s="118">
        <v>-33655</v>
      </c>
      <c r="R13" s="169"/>
      <c r="S13" s="108"/>
      <c r="T13" s="59"/>
      <c r="Z13" s="169"/>
      <c r="AA13" s="126" t="s">
        <v>374</v>
      </c>
      <c r="AB13" s="120">
        <f>SUM(AB6:AB9)-AB11</f>
        <v>73871</v>
      </c>
      <c r="AC13" s="120">
        <f>SUM(AC6:AC9)-AC11</f>
        <v>143168</v>
      </c>
    </row>
    <row r="14" spans="1:29" ht="15" x14ac:dyDescent="0.2">
      <c r="A14" s="108"/>
      <c r="B14" s="129" t="s">
        <v>80</v>
      </c>
      <c r="C14" s="118">
        <v>52414</v>
      </c>
      <c r="D14" s="118">
        <v>38224</v>
      </c>
      <c r="E14" s="169"/>
      <c r="F14" s="129" t="s">
        <v>24</v>
      </c>
      <c r="G14" s="118">
        <v>18552</v>
      </c>
      <c r="H14" s="118">
        <v>7122</v>
      </c>
      <c r="I14" s="169"/>
      <c r="J14" s="126" t="s">
        <v>331</v>
      </c>
      <c r="K14" s="120">
        <f>SUM(K12:K13)</f>
        <v>-8293</v>
      </c>
      <c r="L14" s="120">
        <f t="shared" ref="L14:Q14" si="3">SUM(L12:L13)</f>
        <v>-12256</v>
      </c>
      <c r="M14" s="120">
        <f t="shared" si="3"/>
        <v>-20549</v>
      </c>
      <c r="N14" s="120">
        <f t="shared" si="3"/>
        <v>-4139</v>
      </c>
      <c r="O14" s="120">
        <f t="shared" si="3"/>
        <v>-5255</v>
      </c>
      <c r="P14" s="120">
        <f t="shared" si="3"/>
        <v>-2118</v>
      </c>
      <c r="Q14" s="120">
        <f t="shared" si="3"/>
        <v>-7373</v>
      </c>
      <c r="R14" s="169"/>
      <c r="S14" s="108"/>
      <c r="T14" s="59"/>
      <c r="Z14" s="169"/>
      <c r="AC14" s="110"/>
    </row>
    <row r="15" spans="1:29" x14ac:dyDescent="0.2">
      <c r="B15" s="129" t="s">
        <v>27</v>
      </c>
      <c r="C15" s="118">
        <v>5304</v>
      </c>
      <c r="D15" s="118">
        <v>6192</v>
      </c>
      <c r="E15" s="169"/>
      <c r="F15" s="126" t="s">
        <v>316</v>
      </c>
      <c r="G15" s="120">
        <f>SUM(G6:G14)</f>
        <v>52988</v>
      </c>
      <c r="H15" s="120">
        <f>SUM(H6:H14)</f>
        <v>26267</v>
      </c>
      <c r="I15" s="169"/>
      <c r="J15" s="126" t="s">
        <v>372</v>
      </c>
      <c r="K15" s="120">
        <f>SUM(K11:K13)</f>
        <v>-19130</v>
      </c>
      <c r="L15" s="120">
        <f t="shared" ref="L15:Q15" si="4">SUM(L11:L13)</f>
        <v>-52867</v>
      </c>
      <c r="M15" s="120">
        <f t="shared" si="4"/>
        <v>-71997</v>
      </c>
      <c r="N15" s="120">
        <f t="shared" si="4"/>
        <v>-8270</v>
      </c>
      <c r="O15" s="120">
        <f t="shared" si="4"/>
        <v>-20329</v>
      </c>
      <c r="P15" s="120">
        <f t="shared" si="4"/>
        <v>-10831</v>
      </c>
      <c r="Q15" s="120">
        <f t="shared" si="4"/>
        <v>-31160</v>
      </c>
      <c r="R15" s="169"/>
      <c r="S15" s="108"/>
      <c r="T15" s="59"/>
      <c r="Z15" s="169"/>
      <c r="AA15" s="115" t="s">
        <v>96</v>
      </c>
      <c r="AB15" s="145" t="s">
        <v>272</v>
      </c>
      <c r="AC15" s="145" t="s">
        <v>315</v>
      </c>
    </row>
    <row r="16" spans="1:29" x14ac:dyDescent="0.2">
      <c r="B16" s="126" t="s">
        <v>329</v>
      </c>
      <c r="C16" s="120">
        <f>SUM(C13:C15)</f>
        <v>71205</v>
      </c>
      <c r="D16" s="120">
        <f>SUM(D13:D15)</f>
        <v>44416</v>
      </c>
      <c r="E16" s="154"/>
      <c r="F16" s="129" t="s">
        <v>16</v>
      </c>
      <c r="G16" s="118">
        <v>72856</v>
      </c>
      <c r="H16" s="118">
        <v>0</v>
      </c>
      <c r="I16" s="154"/>
      <c r="J16" s="129" t="s">
        <v>332</v>
      </c>
      <c r="K16" s="118">
        <v>6123</v>
      </c>
      <c r="L16" s="118">
        <v>15956</v>
      </c>
      <c r="M16" s="118">
        <v>22079</v>
      </c>
      <c r="N16" s="118">
        <v>2767</v>
      </c>
      <c r="O16" s="118">
        <v>6793</v>
      </c>
      <c r="P16" s="118">
        <v>-14306</v>
      </c>
      <c r="Q16" s="118">
        <v>-7513</v>
      </c>
      <c r="R16" s="154"/>
      <c r="S16" s="108"/>
      <c r="T16" s="59"/>
      <c r="Z16" s="154"/>
      <c r="AA16" s="129" t="s">
        <v>320</v>
      </c>
      <c r="AB16" s="118">
        <v>185913</v>
      </c>
      <c r="AC16" s="118">
        <v>132435</v>
      </c>
    </row>
    <row r="17" spans="1:29" x14ac:dyDescent="0.2">
      <c r="A17" s="108"/>
      <c r="B17" s="129" t="s">
        <v>28</v>
      </c>
      <c r="C17" s="118">
        <v>21571</v>
      </c>
      <c r="D17" s="118"/>
      <c r="E17" s="169"/>
      <c r="F17" s="129" t="s">
        <v>82</v>
      </c>
      <c r="G17" s="118">
        <v>17271</v>
      </c>
      <c r="H17" s="118">
        <v>0</v>
      </c>
      <c r="I17" s="169"/>
      <c r="J17" s="126" t="s">
        <v>333</v>
      </c>
      <c r="K17" s="120">
        <f>SUM(K15:K16)</f>
        <v>-13007</v>
      </c>
      <c r="L17" s="120">
        <f t="shared" ref="L17:Q17" si="5">SUM(L15:L16)</f>
        <v>-36911</v>
      </c>
      <c r="M17" s="120">
        <f t="shared" si="5"/>
        <v>-49918</v>
      </c>
      <c r="N17" s="120">
        <f t="shared" si="5"/>
        <v>-5503</v>
      </c>
      <c r="O17" s="120">
        <f t="shared" si="5"/>
        <v>-13536</v>
      </c>
      <c r="P17" s="120">
        <f t="shared" si="5"/>
        <v>-25137</v>
      </c>
      <c r="Q17" s="120">
        <f t="shared" si="5"/>
        <v>-38673</v>
      </c>
      <c r="R17" s="169"/>
      <c r="S17" s="108"/>
      <c r="T17" s="59"/>
      <c r="Z17" s="169"/>
      <c r="AA17" s="129" t="s">
        <v>321</v>
      </c>
      <c r="AB17" s="118">
        <v>0</v>
      </c>
      <c r="AC17" s="118">
        <v>0</v>
      </c>
    </row>
    <row r="18" spans="1:29" x14ac:dyDescent="0.2">
      <c r="A18" s="108"/>
      <c r="B18" s="129" t="s">
        <v>29</v>
      </c>
      <c r="C18" s="118">
        <v>21179</v>
      </c>
      <c r="D18" s="118">
        <v>19863</v>
      </c>
      <c r="E18" s="169"/>
      <c r="F18" s="129" t="s">
        <v>18</v>
      </c>
      <c r="G18" s="118">
        <v>333</v>
      </c>
      <c r="H18" s="118">
        <v>0</v>
      </c>
      <c r="I18" s="169"/>
      <c r="J18" s="129" t="s">
        <v>335</v>
      </c>
      <c r="K18" s="118"/>
      <c r="L18" s="118">
        <v>0</v>
      </c>
      <c r="M18" s="118">
        <v>0</v>
      </c>
      <c r="N18" s="118"/>
      <c r="O18" s="118">
        <v>-43911</v>
      </c>
      <c r="P18" s="118">
        <v>-16168</v>
      </c>
      <c r="Q18" s="118">
        <v>-60079</v>
      </c>
      <c r="R18" s="169"/>
      <c r="S18" s="108"/>
      <c r="T18" s="59"/>
      <c r="Z18" s="169"/>
      <c r="AA18" s="129" t="s">
        <v>324</v>
      </c>
      <c r="AB18" s="118">
        <v>80911</v>
      </c>
      <c r="AC18" s="118">
        <v>80911</v>
      </c>
    </row>
    <row r="19" spans="1:29" x14ac:dyDescent="0.2">
      <c r="A19" s="108"/>
      <c r="B19" s="129" t="s">
        <v>30</v>
      </c>
      <c r="C19" s="118">
        <v>1668</v>
      </c>
      <c r="D19" s="118">
        <v>1596</v>
      </c>
      <c r="E19" s="169"/>
      <c r="F19" s="126" t="s">
        <v>187</v>
      </c>
      <c r="G19" s="120">
        <f>SUM(G16:G18)</f>
        <v>90460</v>
      </c>
      <c r="H19" s="120">
        <v>0</v>
      </c>
      <c r="I19" s="169"/>
      <c r="J19" s="126" t="s">
        <v>336</v>
      </c>
      <c r="K19" s="120">
        <f>SUM(K17:K18)</f>
        <v>-13007</v>
      </c>
      <c r="L19" s="120">
        <v>-36911</v>
      </c>
      <c r="M19" s="120">
        <v>-49918</v>
      </c>
      <c r="N19" s="120"/>
      <c r="O19" s="120">
        <v>-57447</v>
      </c>
      <c r="P19" s="120">
        <f>SUM(P17:P18)</f>
        <v>-41305</v>
      </c>
      <c r="Q19" s="120">
        <f>SUM(Q17:Q18)</f>
        <v>-98752</v>
      </c>
      <c r="R19" s="169"/>
      <c r="S19" s="108"/>
      <c r="T19" s="59"/>
      <c r="Z19" s="169"/>
      <c r="AA19" s="129" t="s">
        <v>325</v>
      </c>
      <c r="AB19" s="118">
        <v>-43911</v>
      </c>
      <c r="AC19" s="118">
        <v>-43911</v>
      </c>
    </row>
    <row r="20" spans="1:29" x14ac:dyDescent="0.2">
      <c r="A20" s="108"/>
      <c r="B20" s="126" t="s">
        <v>328</v>
      </c>
      <c r="C20" s="120">
        <f>SUM(C17:C19,C13:C15)</f>
        <v>115623</v>
      </c>
      <c r="D20" s="120">
        <f>SUM(D17:D19,D13:D15)</f>
        <v>65875</v>
      </c>
      <c r="E20" s="154"/>
      <c r="F20" s="126" t="s">
        <v>296</v>
      </c>
      <c r="G20" s="120">
        <f>G15+G19</f>
        <v>143448</v>
      </c>
      <c r="H20" s="120">
        <f>H15+H19</f>
        <v>26267</v>
      </c>
      <c r="I20" s="154"/>
      <c r="R20" s="154"/>
      <c r="S20" s="108"/>
      <c r="T20" s="59"/>
      <c r="Z20" s="154"/>
      <c r="AA20" s="126" t="s">
        <v>326</v>
      </c>
      <c r="AB20" s="120">
        <f>SUM(AB16:AB19)</f>
        <v>222913</v>
      </c>
      <c r="AC20" s="120">
        <f>SUM(AC16:AC19)</f>
        <v>169435</v>
      </c>
    </row>
    <row r="21" spans="1:29" x14ac:dyDescent="0.2">
      <c r="A21" s="108"/>
      <c r="B21" s="126" t="s">
        <v>38</v>
      </c>
      <c r="C21" s="120">
        <f>C20+C12</f>
        <v>185913</v>
      </c>
      <c r="D21" s="120">
        <f>D20+D12</f>
        <v>132435</v>
      </c>
      <c r="E21" s="154"/>
      <c r="F21" s="129" t="s">
        <v>43</v>
      </c>
      <c r="G21" s="118">
        <v>36871</v>
      </c>
      <c r="H21" s="118">
        <v>106168</v>
      </c>
      <c r="I21" s="154"/>
      <c r="R21" s="154"/>
      <c r="S21" s="108"/>
      <c r="T21" s="59"/>
      <c r="Z21" s="154"/>
      <c r="AA21" s="129" t="s">
        <v>327</v>
      </c>
      <c r="AB21" s="118">
        <v>149042</v>
      </c>
      <c r="AC21" s="118">
        <v>26267</v>
      </c>
    </row>
    <row r="22" spans="1:29" x14ac:dyDescent="0.2">
      <c r="B22" s="112"/>
      <c r="F22" s="126" t="s">
        <v>334</v>
      </c>
      <c r="G22" s="120">
        <f>G21+G19+G15</f>
        <v>180319</v>
      </c>
      <c r="H22" s="120">
        <f>H21+H19+H15</f>
        <v>132435</v>
      </c>
      <c r="S22" s="108"/>
      <c r="T22" s="59"/>
      <c r="AA22" s="126" t="s">
        <v>330</v>
      </c>
      <c r="AB22" s="120">
        <f>SUM(AB21)</f>
        <v>149042</v>
      </c>
      <c r="AC22" s="120">
        <f>SUM(AC21)</f>
        <v>26267</v>
      </c>
    </row>
    <row r="23" spans="1:29" ht="25.5" x14ac:dyDescent="0.2">
      <c r="B23" s="112"/>
      <c r="F23" s="112"/>
      <c r="S23" s="108"/>
      <c r="T23" s="59"/>
      <c r="W23" s="111"/>
      <c r="AA23" s="126" t="s">
        <v>374</v>
      </c>
      <c r="AB23" s="120">
        <f>AB20-AB22</f>
        <v>73871</v>
      </c>
      <c r="AC23" s="120">
        <f>AC20-AC22</f>
        <v>143168</v>
      </c>
    </row>
    <row r="24" spans="1:29" x14ac:dyDescent="0.2">
      <c r="B24" s="112"/>
      <c r="F24" s="112"/>
      <c r="S24" s="108"/>
      <c r="T24" s="59"/>
      <c r="W24" s="111"/>
    </row>
    <row r="25" spans="1:29" x14ac:dyDescent="0.2">
      <c r="B25" s="112"/>
      <c r="F25" s="112"/>
      <c r="G25" s="88"/>
      <c r="H25" s="88"/>
      <c r="S25" s="108"/>
      <c r="T25" s="59"/>
      <c r="W25" s="111"/>
    </row>
    <row r="26" spans="1:29" x14ac:dyDescent="0.2">
      <c r="B26" s="112"/>
      <c r="F26" s="112"/>
      <c r="S26" s="108"/>
      <c r="T26" s="59"/>
      <c r="W26" s="111"/>
    </row>
    <row r="27" spans="1:29" x14ac:dyDescent="0.2">
      <c r="D27" s="88"/>
      <c r="E27" s="181"/>
      <c r="I27" s="181"/>
      <c r="R27" s="181"/>
      <c r="S27" s="108"/>
      <c r="T27" s="59"/>
      <c r="W27" s="88"/>
      <c r="Z27" s="181"/>
    </row>
    <row r="28" spans="1:29" x14ac:dyDescent="0.2">
      <c r="F28" s="112"/>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2">
    <tabColor rgb="FF70AD47"/>
    <pageSetUpPr autoPageBreaks="0"/>
  </sheetPr>
  <dimension ref="A1:BS39"/>
  <sheetViews>
    <sheetView showGridLines="0" zoomScaleNormal="100" workbookViewId="0">
      <pane xSplit="2" ySplit="5" topLeftCell="C6" activePane="bottomRight" state="frozen"/>
      <selection activeCell="F56" sqref="F56"/>
      <selection pane="topRight" activeCell="F56" sqref="F56"/>
      <selection pane="bottomLeft" activeCell="F56" sqref="F56"/>
      <selection pane="bottomRight" activeCell="E2" sqref="E2"/>
    </sheetView>
  </sheetViews>
  <sheetFormatPr defaultColWidth="9.140625" defaultRowHeight="12.75" outlineLevelRow="1" x14ac:dyDescent="0.2"/>
  <cols>
    <col min="1" max="1" width="1.42578125" style="633" customWidth="1"/>
    <col min="2" max="2" width="45" style="1052" customWidth="1"/>
    <col min="3" max="38" width="10.85546875" style="541" customWidth="1"/>
    <col min="39" max="64" width="10" style="1053" customWidth="1"/>
    <col min="65" max="65" width="11.140625" style="568" bestFit="1" customWidth="1"/>
    <col min="66" max="16384" width="9.140625" style="568"/>
  </cols>
  <sheetData>
    <row r="1" spans="1:71" ht="7.5" customHeight="1" x14ac:dyDescent="0.2">
      <c r="B1" s="569"/>
      <c r="AM1" s="541"/>
      <c r="AN1" s="541"/>
      <c r="AO1" s="541"/>
      <c r="AP1" s="541"/>
      <c r="AQ1" s="541"/>
      <c r="AR1" s="541"/>
      <c r="AS1" s="541"/>
      <c r="AT1" s="541"/>
      <c r="AU1" s="541"/>
      <c r="AV1" s="541"/>
      <c r="AW1" s="541"/>
      <c r="AX1" s="541"/>
      <c r="AY1" s="541"/>
      <c r="AZ1" s="541"/>
      <c r="BA1" s="541"/>
      <c r="BB1" s="541"/>
      <c r="BC1" s="541"/>
      <c r="BD1" s="541"/>
      <c r="BE1" s="541"/>
      <c r="BF1" s="541"/>
      <c r="BG1" s="541"/>
      <c r="BH1" s="541"/>
      <c r="BI1" s="541"/>
      <c r="BJ1" s="541"/>
      <c r="BK1" s="541"/>
      <c r="BL1" s="541"/>
      <c r="BM1" s="541"/>
    </row>
    <row r="2" spans="1:71" s="570" customFormat="1" ht="12.75" customHeight="1" x14ac:dyDescent="0.2">
      <c r="A2" s="626"/>
      <c r="C2" s="541"/>
      <c r="D2" s="541"/>
      <c r="E2" s="541"/>
      <c r="F2" s="541"/>
      <c r="G2" s="541"/>
      <c r="H2" s="541"/>
      <c r="I2" s="541"/>
      <c r="J2" s="541"/>
      <c r="K2" s="541"/>
      <c r="L2" s="541"/>
      <c r="M2" s="541"/>
      <c r="N2" s="541"/>
      <c r="O2" s="541"/>
      <c r="P2" s="541"/>
      <c r="Q2" s="541"/>
      <c r="R2" s="541"/>
      <c r="S2" s="541"/>
      <c r="T2" s="541"/>
      <c r="U2" s="541"/>
      <c r="V2" s="541"/>
      <c r="W2" s="541"/>
      <c r="X2" s="541"/>
      <c r="Y2" s="541"/>
      <c r="Z2" s="541"/>
      <c r="AA2" s="541"/>
      <c r="AB2" s="541"/>
      <c r="AC2" s="541"/>
      <c r="AD2" s="541"/>
      <c r="AE2" s="541"/>
      <c r="AF2" s="541"/>
      <c r="AG2" s="541"/>
      <c r="AH2" s="541"/>
      <c r="AI2" s="541"/>
      <c r="AJ2" s="541"/>
      <c r="AK2" s="541"/>
      <c r="AL2" s="541"/>
      <c r="AM2" s="541"/>
      <c r="AN2" s="541"/>
      <c r="AO2" s="541"/>
      <c r="AP2" s="541"/>
      <c r="AQ2" s="541"/>
      <c r="AR2" s="541"/>
      <c r="AS2" s="541"/>
      <c r="AT2" s="541"/>
      <c r="AU2" s="541"/>
      <c r="AV2" s="541"/>
      <c r="AW2" s="541"/>
      <c r="AX2" s="541"/>
      <c r="AY2" s="541"/>
      <c r="AZ2" s="541"/>
      <c r="BA2" s="541"/>
      <c r="BB2" s="541"/>
      <c r="BC2" s="541"/>
      <c r="BD2" s="541"/>
      <c r="BE2" s="541"/>
      <c r="BF2" s="541"/>
      <c r="BG2" s="541"/>
      <c r="BH2" s="541"/>
      <c r="BI2" s="541"/>
      <c r="BJ2" s="541"/>
      <c r="BK2" s="541"/>
      <c r="BL2" s="541"/>
      <c r="BM2" s="541"/>
    </row>
    <row r="3" spans="1:71" s="570" customFormat="1" ht="12.75" customHeight="1" x14ac:dyDescent="0.2">
      <c r="A3" s="626"/>
      <c r="B3" s="516"/>
      <c r="C3" s="515"/>
      <c r="D3" s="515"/>
      <c r="E3" s="515"/>
      <c r="F3" s="515"/>
      <c r="G3" s="515"/>
      <c r="H3" s="515"/>
      <c r="I3" s="515"/>
      <c r="J3" s="515"/>
      <c r="K3" s="515"/>
      <c r="L3" s="515"/>
      <c r="M3" s="515"/>
      <c r="N3" s="515"/>
      <c r="O3" s="515"/>
      <c r="P3" s="515"/>
      <c r="Q3" s="515"/>
      <c r="R3" s="515"/>
      <c r="S3" s="515"/>
      <c r="T3" s="515"/>
      <c r="U3" s="515"/>
      <c r="V3" s="515"/>
      <c r="W3" s="515"/>
      <c r="X3" s="515"/>
      <c r="Y3" s="515"/>
      <c r="Z3" s="515"/>
      <c r="AA3" s="515"/>
      <c r="AB3" s="515"/>
      <c r="AC3" s="515"/>
      <c r="AD3" s="515"/>
      <c r="AE3" s="515"/>
      <c r="AF3" s="515"/>
      <c r="AG3" s="515"/>
      <c r="AH3" s="515"/>
      <c r="AI3" s="515"/>
      <c r="AJ3" s="515"/>
      <c r="AK3" s="515"/>
      <c r="AL3" s="515"/>
      <c r="AM3" s="515"/>
      <c r="AN3" s="515"/>
      <c r="AO3" s="541"/>
      <c r="AP3" s="541"/>
      <c r="AQ3" s="515"/>
      <c r="AR3" s="515"/>
      <c r="AS3" s="515"/>
      <c r="AT3" s="515"/>
      <c r="AU3" s="515"/>
      <c r="AV3" s="515"/>
      <c r="AW3" s="515"/>
      <c r="AX3" s="515"/>
      <c r="AY3" s="515"/>
      <c r="AZ3" s="515"/>
      <c r="BA3" s="515"/>
      <c r="BB3" s="515"/>
      <c r="BC3" s="515"/>
      <c r="BD3" s="515"/>
      <c r="BE3" s="515"/>
      <c r="BF3" s="515"/>
      <c r="BG3" s="515"/>
      <c r="BH3" s="515"/>
      <c r="BI3" s="515"/>
      <c r="BJ3" s="515"/>
      <c r="BK3" s="515"/>
      <c r="BL3" s="515"/>
      <c r="BM3" s="515"/>
    </row>
    <row r="4" spans="1:71" s="570" customFormat="1" ht="12.75" customHeight="1" x14ac:dyDescent="0.2">
      <c r="A4" s="626"/>
      <c r="B4" s="516" t="s">
        <v>337</v>
      </c>
      <c r="C4" s="515"/>
      <c r="D4" s="515"/>
      <c r="E4" s="515"/>
      <c r="F4" s="515"/>
      <c r="G4" s="515"/>
      <c r="H4" s="515"/>
      <c r="I4" s="515"/>
      <c r="J4" s="515"/>
      <c r="K4" s="515"/>
      <c r="L4" s="515"/>
      <c r="M4" s="515"/>
      <c r="N4" s="515"/>
      <c r="O4" s="515"/>
      <c r="P4" s="515"/>
      <c r="Q4" s="515"/>
      <c r="R4" s="515"/>
      <c r="S4" s="515"/>
      <c r="T4" s="515"/>
      <c r="U4" s="515"/>
      <c r="V4" s="515"/>
      <c r="W4" s="515"/>
      <c r="X4" s="515"/>
      <c r="Y4" s="515"/>
      <c r="Z4" s="515"/>
      <c r="AA4" s="515"/>
      <c r="AB4" s="515"/>
      <c r="AC4" s="515"/>
      <c r="AD4" s="515"/>
      <c r="AE4" s="515"/>
      <c r="AF4" s="515"/>
      <c r="AG4" s="515"/>
      <c r="AH4" s="515"/>
      <c r="AI4" s="515"/>
      <c r="AJ4" s="741" t="s">
        <v>809</v>
      </c>
      <c r="AK4" s="515"/>
      <c r="AL4" s="515"/>
      <c r="AM4" s="740"/>
      <c r="AN4" s="740"/>
      <c r="AO4" s="740"/>
      <c r="AP4" s="740"/>
      <c r="AQ4" s="740"/>
      <c r="AR4" s="740"/>
      <c r="AS4" s="740"/>
      <c r="AT4" s="740"/>
      <c r="AU4" s="740"/>
      <c r="AV4" s="740"/>
      <c r="AW4" s="740"/>
      <c r="AX4" s="740"/>
      <c r="AY4" s="740"/>
      <c r="AZ4" s="740"/>
      <c r="BA4" s="740"/>
      <c r="BB4" s="740"/>
      <c r="BC4" s="740"/>
      <c r="BD4" s="740"/>
      <c r="BE4" s="740"/>
      <c r="BF4" s="740"/>
      <c r="BG4" s="740"/>
      <c r="BH4" s="740"/>
      <c r="BI4" s="740"/>
      <c r="BJ4" s="740"/>
      <c r="BK4" s="740"/>
      <c r="BL4" s="740"/>
    </row>
    <row r="5" spans="1:71" ht="12.75" customHeight="1" x14ac:dyDescent="0.2">
      <c r="A5" s="626"/>
      <c r="B5" s="517" t="s">
        <v>456</v>
      </c>
      <c r="C5" s="532" t="s">
        <v>539</v>
      </c>
      <c r="D5" s="479" t="s">
        <v>540</v>
      </c>
      <c r="E5" s="479" t="s">
        <v>541</v>
      </c>
      <c r="F5" s="479" t="s">
        <v>485</v>
      </c>
      <c r="G5" s="479" t="s">
        <v>484</v>
      </c>
      <c r="H5" s="518" t="s">
        <v>7</v>
      </c>
      <c r="I5" s="518" t="s">
        <v>6</v>
      </c>
      <c r="J5" s="518" t="s">
        <v>5</v>
      </c>
      <c r="K5" s="518" t="s">
        <v>4</v>
      </c>
      <c r="L5" s="479" t="s">
        <v>3</v>
      </c>
      <c r="M5" s="479" t="s">
        <v>2</v>
      </c>
      <c r="N5" s="479" t="s">
        <v>1</v>
      </c>
      <c r="O5" s="479" t="s">
        <v>0</v>
      </c>
      <c r="P5" s="479" t="s">
        <v>45</v>
      </c>
      <c r="Q5" s="519" t="s">
        <v>55</v>
      </c>
      <c r="R5" s="519" t="s">
        <v>71</v>
      </c>
      <c r="S5" s="479" t="s">
        <v>77</v>
      </c>
      <c r="T5" s="479" t="s">
        <v>87</v>
      </c>
      <c r="U5" s="479" t="s">
        <v>88</v>
      </c>
      <c r="V5" s="479" t="s">
        <v>378</v>
      </c>
      <c r="W5" s="479" t="s">
        <v>406</v>
      </c>
      <c r="X5" s="479" t="s">
        <v>467</v>
      </c>
      <c r="Y5" s="479" t="s">
        <v>501</v>
      </c>
      <c r="Z5" s="479" t="s">
        <v>511</v>
      </c>
      <c r="AA5" s="479" t="s">
        <v>538</v>
      </c>
      <c r="AB5" s="479" t="s">
        <v>567</v>
      </c>
      <c r="AC5" s="479" t="s">
        <v>575</v>
      </c>
      <c r="AD5" s="479" t="s">
        <v>595</v>
      </c>
      <c r="AE5" s="479" t="s">
        <v>596</v>
      </c>
      <c r="AF5" s="479" t="s">
        <v>623</v>
      </c>
      <c r="AG5" s="479" t="s">
        <v>624</v>
      </c>
      <c r="AH5" s="479" t="s">
        <v>625</v>
      </c>
      <c r="AI5" s="479" t="s">
        <v>626</v>
      </c>
      <c r="AJ5" s="480" t="s">
        <v>798</v>
      </c>
      <c r="AK5" s="479" t="s">
        <v>799</v>
      </c>
      <c r="AL5" s="479" t="s">
        <v>800</v>
      </c>
      <c r="AM5" s="479" t="s">
        <v>801</v>
      </c>
      <c r="AN5" s="479" t="s">
        <v>913</v>
      </c>
      <c r="AO5" s="479" t="s">
        <v>914</v>
      </c>
      <c r="AP5" s="479" t="s">
        <v>923</v>
      </c>
      <c r="AQ5" s="479" t="s">
        <v>924</v>
      </c>
      <c r="AR5" s="479" t="s">
        <v>1049</v>
      </c>
      <c r="AS5" s="479" t="s">
        <v>1023</v>
      </c>
      <c r="AT5" s="479" t="s">
        <v>1024</v>
      </c>
      <c r="AU5" s="479" t="s">
        <v>1050</v>
      </c>
      <c r="AV5" s="479" t="s">
        <v>1114</v>
      </c>
      <c r="AW5" s="479" t="s">
        <v>1119</v>
      </c>
      <c r="AX5" s="479" t="s">
        <v>1121</v>
      </c>
      <c r="AY5" s="479" t="s">
        <v>1123</v>
      </c>
      <c r="AZ5" s="479" t="s">
        <v>1176</v>
      </c>
      <c r="BA5" s="479" t="s">
        <v>1177</v>
      </c>
      <c r="BB5" s="479" t="s">
        <v>1179</v>
      </c>
      <c r="BC5" s="479" t="s">
        <v>1181</v>
      </c>
      <c r="BD5" s="479" t="s">
        <v>1243</v>
      </c>
      <c r="BE5" s="479" t="s">
        <v>1250</v>
      </c>
      <c r="BF5" s="479" t="s">
        <v>1251</v>
      </c>
      <c r="BG5" s="479" t="s">
        <v>1252</v>
      </c>
      <c r="BH5" s="479" t="s">
        <v>1311</v>
      </c>
      <c r="BI5" s="479" t="s">
        <v>1313</v>
      </c>
      <c r="BJ5" s="479" t="s">
        <v>1315</v>
      </c>
      <c r="BK5" s="479" t="s">
        <v>1317</v>
      </c>
      <c r="BL5" s="479" t="s">
        <v>1344</v>
      </c>
    </row>
    <row r="6" spans="1:71" x14ac:dyDescent="0.2">
      <c r="A6" s="626"/>
      <c r="B6" s="520" t="s">
        <v>66</v>
      </c>
      <c r="C6" s="521">
        <f>SUM(C7:C8)</f>
        <v>860656</v>
      </c>
      <c r="D6" s="521">
        <f>SUM(D7:D8)</f>
        <v>1141144</v>
      </c>
      <c r="E6" s="521">
        <f>SUM(E7:E8)</f>
        <v>1331123</v>
      </c>
      <c r="F6" s="521">
        <v>1449176</v>
      </c>
      <c r="G6" s="521">
        <v>1886117</v>
      </c>
      <c r="H6" s="521">
        <v>423401</v>
      </c>
      <c r="I6" s="521">
        <v>478102</v>
      </c>
      <c r="J6" s="521">
        <v>557628</v>
      </c>
      <c r="K6" s="521">
        <v>554820</v>
      </c>
      <c r="L6" s="521">
        <v>467402</v>
      </c>
      <c r="M6" s="521">
        <v>565167</v>
      </c>
      <c r="N6" s="521">
        <v>575517</v>
      </c>
      <c r="O6" s="521">
        <v>571830</v>
      </c>
      <c r="P6" s="521">
        <v>473707</v>
      </c>
      <c r="Q6" s="521">
        <v>504301</v>
      </c>
      <c r="R6" s="521">
        <v>483485</v>
      </c>
      <c r="S6" s="521">
        <v>492847</v>
      </c>
      <c r="T6" s="521">
        <v>352881</v>
      </c>
      <c r="U6" s="521">
        <v>342164</v>
      </c>
      <c r="V6" s="521">
        <v>343147.99199999997</v>
      </c>
      <c r="W6" s="521">
        <f t="shared" ref="W6:AC6" si="0">+SUM(W7:W8)</f>
        <v>353863.47408000001</v>
      </c>
      <c r="X6" s="521">
        <f t="shared" si="0"/>
        <v>251045.03344000003</v>
      </c>
      <c r="Y6" s="521">
        <f t="shared" si="0"/>
        <v>283051.75686000002</v>
      </c>
      <c r="Z6" s="521">
        <f t="shared" si="0"/>
        <v>292570.58199999999</v>
      </c>
      <c r="AA6" s="521">
        <f t="shared" si="0"/>
        <v>313561.64393000002</v>
      </c>
      <c r="AB6" s="521">
        <f t="shared" si="0"/>
        <v>263139.49319000001</v>
      </c>
      <c r="AC6" s="521">
        <f t="shared" si="0"/>
        <v>316766.97174999997</v>
      </c>
      <c r="AD6" s="521">
        <f t="shared" ref="AD6:AM6" si="1">+SUM(AD7:AD8)</f>
        <v>355630.59041000006</v>
      </c>
      <c r="AE6" s="521">
        <f t="shared" si="1"/>
        <v>394652.87448999996</v>
      </c>
      <c r="AF6" s="521">
        <f t="shared" si="1"/>
        <v>322849.44328000001</v>
      </c>
      <c r="AG6" s="521">
        <f t="shared" si="1"/>
        <v>360398.53693999996</v>
      </c>
      <c r="AH6" s="521">
        <f t="shared" si="1"/>
        <v>415845.59081999998</v>
      </c>
      <c r="AI6" s="521">
        <f t="shared" si="1"/>
        <v>439626.19826000003</v>
      </c>
      <c r="AJ6" s="736">
        <f t="shared" si="1"/>
        <v>367282.45629</v>
      </c>
      <c r="AK6" s="521">
        <f t="shared" si="1"/>
        <v>406330.85576000006</v>
      </c>
      <c r="AL6" s="521">
        <f t="shared" si="1"/>
        <v>415849.18766000005</v>
      </c>
      <c r="AM6" s="521">
        <f t="shared" si="1"/>
        <v>463847.30074000004</v>
      </c>
      <c r="AN6" s="521">
        <f t="shared" ref="AN6:AT6" si="2">+SUM(AN7:AN8)</f>
        <v>345453.34173999995</v>
      </c>
      <c r="AO6" s="521">
        <f t="shared" si="2"/>
        <v>160265.12508</v>
      </c>
      <c r="AP6" s="521">
        <f t="shared" si="2"/>
        <v>358316.07078000001</v>
      </c>
      <c r="AQ6" s="521">
        <f t="shared" si="2"/>
        <v>386729.15333999996</v>
      </c>
      <c r="AR6" s="521">
        <f t="shared" si="2"/>
        <v>290764.73402999999</v>
      </c>
      <c r="AS6" s="521">
        <f t="shared" si="2"/>
        <v>294711.26993999997</v>
      </c>
      <c r="AT6" s="521">
        <f t="shared" si="2"/>
        <v>289282.03484000004</v>
      </c>
      <c r="AU6" s="521">
        <f>+SUM(AU7:AU8)</f>
        <v>379482.27760999993</v>
      </c>
      <c r="AV6" s="521">
        <f>+SUM(AV7:AV8)</f>
        <v>298338.78965999995</v>
      </c>
      <c r="AW6" s="521">
        <f>+SUM(AW7:AW8)</f>
        <v>375831.22440000001</v>
      </c>
      <c r="AX6" s="521">
        <f t="shared" ref="AX6:BG6" si="3">+SUM(AX7:AX8)</f>
        <v>511410.33604000002</v>
      </c>
      <c r="AY6" s="521">
        <f t="shared" si="3"/>
        <v>506300.46126999997</v>
      </c>
      <c r="AZ6" s="521">
        <f t="shared" si="3"/>
        <v>417226.32456999982</v>
      </c>
      <c r="BA6" s="521">
        <f t="shared" si="3"/>
        <v>457143.44667000009</v>
      </c>
      <c r="BB6" s="521">
        <f t="shared" si="3"/>
        <v>531099.36146000004</v>
      </c>
      <c r="BC6" s="521">
        <f t="shared" si="3"/>
        <v>565970.18728000007</v>
      </c>
      <c r="BD6" s="521">
        <f t="shared" si="3"/>
        <v>483235.76516999991</v>
      </c>
      <c r="BE6" s="521">
        <f t="shared" si="3"/>
        <v>584888.07593000005</v>
      </c>
      <c r="BF6" s="521">
        <f t="shared" si="3"/>
        <v>746758.51612000004</v>
      </c>
      <c r="BG6" s="521">
        <f t="shared" si="3"/>
        <v>770341.37877999991</v>
      </c>
      <c r="BH6" s="521">
        <f>+SUM(BH7:BH8)</f>
        <v>545149.88712999993</v>
      </c>
      <c r="BI6" s="521">
        <f>+SUM(BI7:BI8)</f>
        <v>675686.34489999991</v>
      </c>
      <c r="BJ6" s="521">
        <f>+SUM(BJ7:BJ8)</f>
        <v>786431.47054000001</v>
      </c>
      <c r="BK6" s="521">
        <f>+SUM(BK7:BK8)</f>
        <v>764752.75194999995</v>
      </c>
      <c r="BL6" s="521">
        <f>+SUM(BL7:BL8)</f>
        <v>650034.98392000014</v>
      </c>
    </row>
    <row r="7" spans="1:71" s="570" customFormat="1" ht="13.5" customHeight="1" outlineLevel="1" x14ac:dyDescent="0.2">
      <c r="A7" s="626" t="s">
        <v>33</v>
      </c>
      <c r="B7" s="971" t="s">
        <v>33</v>
      </c>
      <c r="C7" s="485">
        <v>745495</v>
      </c>
      <c r="D7" s="485">
        <v>1006490</v>
      </c>
      <c r="E7" s="485">
        <v>1199171</v>
      </c>
      <c r="F7" s="485">
        <v>1249234</v>
      </c>
      <c r="G7" s="485">
        <v>1443787</v>
      </c>
      <c r="H7" s="485">
        <v>295825</v>
      </c>
      <c r="I7" s="485">
        <v>334929</v>
      </c>
      <c r="J7" s="485">
        <v>396308</v>
      </c>
      <c r="K7" s="485">
        <v>398907</v>
      </c>
      <c r="L7" s="485">
        <v>352522</v>
      </c>
      <c r="M7" s="485">
        <v>449684</v>
      </c>
      <c r="N7" s="485">
        <v>458071</v>
      </c>
      <c r="O7" s="485">
        <v>438447</v>
      </c>
      <c r="P7" s="485">
        <v>353100</v>
      </c>
      <c r="Q7" s="485">
        <v>387721</v>
      </c>
      <c r="R7" s="485">
        <v>384907</v>
      </c>
      <c r="S7" s="485">
        <v>431261</v>
      </c>
      <c r="T7" s="485">
        <v>296153</v>
      </c>
      <c r="U7" s="485">
        <v>282208</v>
      </c>
      <c r="V7" s="485">
        <v>279188.13734000002</v>
      </c>
      <c r="W7" s="485">
        <f>+Auto!R9</f>
        <v>291665.83533000003</v>
      </c>
      <c r="X7" s="485">
        <f>+Auto!S9</f>
        <v>198606.12298000001</v>
      </c>
      <c r="Y7" s="485">
        <f>+Auto!T9</f>
        <v>232426.84667</v>
      </c>
      <c r="Z7" s="485">
        <f>+Auto!U9</f>
        <v>244388.95153000002</v>
      </c>
      <c r="AA7" s="485">
        <f>+Auto!V9</f>
        <v>264784.09666000004</v>
      </c>
      <c r="AB7" s="485">
        <f>+Auto!W9</f>
        <v>214422.15101999999</v>
      </c>
      <c r="AC7" s="485">
        <f>+Auto!X9</f>
        <v>268717.10787999997</v>
      </c>
      <c r="AD7" s="485">
        <f>+Auto!Y9</f>
        <v>305185.31597000005</v>
      </c>
      <c r="AE7" s="485">
        <f>+Auto!Z9</f>
        <v>340565.25495999999</v>
      </c>
      <c r="AF7" s="485">
        <f>+Auto!AA9</f>
        <v>275057.54545999999</v>
      </c>
      <c r="AG7" s="485">
        <f>+Auto!AB9</f>
        <v>315279.75394999998</v>
      </c>
      <c r="AH7" s="485">
        <v>365789.47778999998</v>
      </c>
      <c r="AI7" s="485">
        <v>391684.40824000002</v>
      </c>
      <c r="AJ7" s="486">
        <v>321706.25628999999</v>
      </c>
      <c r="AK7" s="485">
        <f>+Auto!AF9</f>
        <v>360853.55104000005</v>
      </c>
      <c r="AL7" s="485">
        <f>+Auto!AG9</f>
        <v>366405.11531000002</v>
      </c>
      <c r="AM7" s="485">
        <f>+Auto!AH9</f>
        <v>414841.17645000003</v>
      </c>
      <c r="AN7" s="485">
        <f>+Auto!AI9</f>
        <v>298654.90463999996</v>
      </c>
      <c r="AO7" s="485">
        <f>+Auto!AJ9</f>
        <v>108624.88222</v>
      </c>
      <c r="AP7" s="485">
        <f>+Auto!AK9</f>
        <v>305501.52506000001</v>
      </c>
      <c r="AQ7" s="485">
        <f>+Auto!AL9</f>
        <v>337571.33675999998</v>
      </c>
      <c r="AR7" s="485">
        <f>+Auto!AM9</f>
        <v>250078.92903</v>
      </c>
      <c r="AS7" s="485">
        <f>+Auto!AN9</f>
        <v>249944.68143999999</v>
      </c>
      <c r="AT7" s="485">
        <f>+Auto!AO9</f>
        <v>243798.95912000004</v>
      </c>
      <c r="AU7" s="485">
        <f>+Auto!AP9</f>
        <v>339046.03587999992</v>
      </c>
      <c r="AV7" s="485">
        <f>+Auto!AQ9</f>
        <v>249984.01542999997</v>
      </c>
      <c r="AW7" s="485">
        <v>329187.05628000002</v>
      </c>
      <c r="AX7" s="485">
        <f>+Auto!AS9</f>
        <v>460036.70981000003</v>
      </c>
      <c r="AY7" s="485">
        <f>+Auto!AT9</f>
        <v>461462.62537999998</v>
      </c>
      <c r="AZ7" s="485">
        <f>+Auto!AU9</f>
        <v>369902.34818999982</v>
      </c>
      <c r="BA7" s="485">
        <f>+Auto!AV9</f>
        <v>413999.29704000009</v>
      </c>
      <c r="BB7" s="485">
        <f>+Auto!AW9</f>
        <v>481071.89130000008</v>
      </c>
      <c r="BC7" s="485">
        <f>+Auto!AX9</f>
        <v>516751.48728000012</v>
      </c>
      <c r="BD7" s="485">
        <v>432552.07787999994</v>
      </c>
      <c r="BE7" s="485">
        <v>529168.94435000001</v>
      </c>
      <c r="BF7" s="485">
        <v>695890.14059000008</v>
      </c>
      <c r="BG7" s="485">
        <v>720353.22578999994</v>
      </c>
      <c r="BH7" s="485">
        <v>489547.18824999995</v>
      </c>
      <c r="BI7" s="485">
        <v>621439.08457999991</v>
      </c>
      <c r="BJ7" s="485">
        <v>744445.99184999999</v>
      </c>
      <c r="BK7" s="485">
        <v>717391.32421999995</v>
      </c>
      <c r="BL7" s="485">
        <f>+Auto!BG9</f>
        <v>599235.4249000001</v>
      </c>
      <c r="BM7" s="1162"/>
      <c r="BN7" s="1162"/>
      <c r="BQ7" s="1162"/>
      <c r="BR7" s="1162"/>
      <c r="BS7" s="1162"/>
    </row>
    <row r="8" spans="1:71" ht="13.5" customHeight="1" outlineLevel="1" x14ac:dyDescent="0.2">
      <c r="A8" s="626" t="s">
        <v>34</v>
      </c>
      <c r="B8" s="971" t="str">
        <f>HYPERLINK(Menu!$AY$5,A8)</f>
        <v>Logística integrada</v>
      </c>
      <c r="C8" s="485">
        <v>115161</v>
      </c>
      <c r="D8" s="485">
        <v>134654</v>
      </c>
      <c r="E8" s="485">
        <v>131952</v>
      </c>
      <c r="F8" s="485">
        <v>199942</v>
      </c>
      <c r="G8" s="485">
        <v>442331</v>
      </c>
      <c r="H8" s="485">
        <v>127576</v>
      </c>
      <c r="I8" s="485">
        <v>143173</v>
      </c>
      <c r="J8" s="485">
        <v>161320</v>
      </c>
      <c r="K8" s="485">
        <v>155913</v>
      </c>
      <c r="L8" s="485">
        <v>114880</v>
      </c>
      <c r="M8" s="485">
        <v>115483</v>
      </c>
      <c r="N8" s="485">
        <v>117446</v>
      </c>
      <c r="O8" s="485">
        <v>133383</v>
      </c>
      <c r="P8" s="485">
        <v>120607</v>
      </c>
      <c r="Q8" s="485">
        <v>116580</v>
      </c>
      <c r="R8" s="485">
        <v>98578</v>
      </c>
      <c r="S8" s="485">
        <v>61586</v>
      </c>
      <c r="T8" s="485">
        <f>+LI!O10</f>
        <v>56728</v>
      </c>
      <c r="U8" s="485">
        <f>+LI!P10</f>
        <v>59956</v>
      </c>
      <c r="V8" s="485">
        <f>+LI!Q10</f>
        <v>63960</v>
      </c>
      <c r="W8" s="485">
        <f>+LI!R10</f>
        <v>62197.638749999998</v>
      </c>
      <c r="X8" s="485">
        <f>+LI!S10</f>
        <v>52438.910459999999</v>
      </c>
      <c r="Y8" s="485">
        <f>+LI!T10</f>
        <v>50624.91019000001</v>
      </c>
      <c r="Z8" s="485">
        <f>+LI!U10</f>
        <v>48181.630469999996</v>
      </c>
      <c r="AA8" s="485">
        <f>+LI!V10</f>
        <v>48777.547270000003</v>
      </c>
      <c r="AB8" s="485">
        <f>+LI!W10</f>
        <v>48717.342169999996</v>
      </c>
      <c r="AC8" s="485">
        <f>+LI!X10</f>
        <v>48049.863870000001</v>
      </c>
      <c r="AD8" s="485">
        <f>+LI!Y10</f>
        <v>50445.274439999994</v>
      </c>
      <c r="AE8" s="485">
        <f>+LI!Z10</f>
        <v>54087.619529999996</v>
      </c>
      <c r="AF8" s="485">
        <f>+LI!AA10</f>
        <v>47791.897820000006</v>
      </c>
      <c r="AG8" s="485">
        <f>+LI!AB10</f>
        <v>45118.782989999992</v>
      </c>
      <c r="AH8" s="485">
        <f>+LI!AC10</f>
        <v>50056.113029999993</v>
      </c>
      <c r="AI8" s="485">
        <f>+LI!AD10</f>
        <v>47941.790019999993</v>
      </c>
      <c r="AJ8" s="486">
        <f>+LI!AE10</f>
        <v>45576.200000000004</v>
      </c>
      <c r="AK8" s="485">
        <f>+LI!AF10</f>
        <v>45477.30472</v>
      </c>
      <c r="AL8" s="485">
        <f>+LI!AG10</f>
        <v>49444.072350000002</v>
      </c>
      <c r="AM8" s="485">
        <f>+LI!AH10</f>
        <v>49006.12429</v>
      </c>
      <c r="AN8" s="485">
        <f>+LI!AI10</f>
        <v>46798.437100000003</v>
      </c>
      <c r="AO8" s="485">
        <f>+LI!AJ10</f>
        <v>51640.242859999998</v>
      </c>
      <c r="AP8" s="485">
        <f>+LI!AK10</f>
        <v>52814.545720000002</v>
      </c>
      <c r="AQ8" s="485">
        <f>+LI!AL10</f>
        <v>49157.816579999999</v>
      </c>
      <c r="AR8" s="485">
        <f>+LI!AM10</f>
        <v>40685.805</v>
      </c>
      <c r="AS8" s="485">
        <f>+LI!AN10</f>
        <v>44766.588499999998</v>
      </c>
      <c r="AT8" s="485">
        <f>+LI!AO10</f>
        <v>45483.075720000001</v>
      </c>
      <c r="AU8" s="485">
        <f>+LI!AP10</f>
        <v>40436.241730000009</v>
      </c>
      <c r="AV8" s="485">
        <f>+LI!AQ10</f>
        <v>48354.774229999995</v>
      </c>
      <c r="AW8" s="485">
        <v>46644.168120000002</v>
      </c>
      <c r="AX8" s="485">
        <f>+LI!AS10</f>
        <v>51373.626230000002</v>
      </c>
      <c r="AY8" s="485">
        <f>+LI!AT10</f>
        <v>44837.835890000002</v>
      </c>
      <c r="AZ8" s="485">
        <f>+LI!AU10</f>
        <v>47323.97638</v>
      </c>
      <c r="BA8" s="485">
        <f>+LI!AV10</f>
        <v>43144.14963</v>
      </c>
      <c r="BB8" s="485">
        <f>+LI!AW10</f>
        <v>50027.470160000004</v>
      </c>
      <c r="BC8" s="485">
        <f>+LI!AX10</f>
        <v>49218.7</v>
      </c>
      <c r="BD8" s="485">
        <v>50683.687290000002</v>
      </c>
      <c r="BE8" s="485">
        <v>55719.131580000001</v>
      </c>
      <c r="BF8" s="485">
        <v>50868.375529999998</v>
      </c>
      <c r="BG8" s="485">
        <v>49988.152990000002</v>
      </c>
      <c r="BH8" s="485">
        <v>55602.698880000004</v>
      </c>
      <c r="BI8" s="485">
        <v>54247.260320000001</v>
      </c>
      <c r="BJ8" s="485">
        <v>41985.478689999996</v>
      </c>
      <c r="BK8" s="485">
        <v>47361.427729999996</v>
      </c>
      <c r="BL8" s="485">
        <f>+LI!BG10</f>
        <v>50799.559019999993</v>
      </c>
    </row>
    <row r="9" spans="1:71" ht="13.5" customHeight="1" x14ac:dyDescent="0.2">
      <c r="A9" s="626"/>
      <c r="B9" s="524" t="s">
        <v>744</v>
      </c>
      <c r="C9" s="485">
        <v>-115715</v>
      </c>
      <c r="D9" s="485">
        <v>-162197</v>
      </c>
      <c r="E9" s="485">
        <v>-196827</v>
      </c>
      <c r="F9" s="485">
        <v>-282004</v>
      </c>
      <c r="G9" s="485">
        <v>-376754</v>
      </c>
      <c r="H9" s="523">
        <v>-81333</v>
      </c>
      <c r="I9" s="523">
        <v>-91588</v>
      </c>
      <c r="J9" s="523">
        <v>-105829</v>
      </c>
      <c r="K9" s="523">
        <v>-101172</v>
      </c>
      <c r="L9" s="523">
        <v>-88558</v>
      </c>
      <c r="M9" s="523">
        <v>-104115</v>
      </c>
      <c r="N9" s="523">
        <v>-108268</v>
      </c>
      <c r="O9" s="523">
        <v>-106483</v>
      </c>
      <c r="P9" s="523">
        <v>-95225</v>
      </c>
      <c r="Q9" s="523">
        <v>-98774</v>
      </c>
      <c r="R9" s="523">
        <v>-95407</v>
      </c>
      <c r="S9" s="523">
        <v>-95805</v>
      </c>
      <c r="T9" s="485">
        <v>-67982</v>
      </c>
      <c r="U9" s="485">
        <v>-67058</v>
      </c>
      <c r="V9" s="485">
        <v>-67762.035959999994</v>
      </c>
      <c r="W9" s="485">
        <v>-66690.16750000001</v>
      </c>
      <c r="X9" s="485">
        <v>-48151.203300000008</v>
      </c>
      <c r="Y9" s="485">
        <v>-54394.151560000006</v>
      </c>
      <c r="Z9" s="485">
        <v>-54752.565559999995</v>
      </c>
      <c r="AA9" s="485">
        <v>-59039.896559999994</v>
      </c>
      <c r="AB9" s="485">
        <v>-49624.916320000004</v>
      </c>
      <c r="AC9" s="488">
        <v>-51660.569389999997</v>
      </c>
      <c r="AD9" s="485">
        <v>-69751.736579999997</v>
      </c>
      <c r="AE9" s="485">
        <v>-75177.268309999999</v>
      </c>
      <c r="AF9" s="485">
        <v>-60777.078840000002</v>
      </c>
      <c r="AG9" s="485">
        <v>-67123.213439999992</v>
      </c>
      <c r="AH9" s="488">
        <v>-84639.923620000001</v>
      </c>
      <c r="AI9" s="488">
        <v>-72400.729330000002</v>
      </c>
      <c r="AJ9" s="486">
        <v>-70601.664730000004</v>
      </c>
      <c r="AK9" s="485">
        <v>-74742.844069999992</v>
      </c>
      <c r="AL9" s="485">
        <v>-75126.040760000004</v>
      </c>
      <c r="AM9" s="485">
        <v>-85518.781180000005</v>
      </c>
      <c r="AN9" s="485">
        <v>-65706.918319999997</v>
      </c>
      <c r="AO9" s="485">
        <v>-30124.582640000004</v>
      </c>
      <c r="AP9" s="485">
        <v>-69134.587800000008</v>
      </c>
      <c r="AQ9" s="485">
        <v>-73762.623570000011</v>
      </c>
      <c r="AR9" s="485">
        <v>-56852.589730000007</v>
      </c>
      <c r="AS9" s="485">
        <v>-57645.011709999992</v>
      </c>
      <c r="AT9" s="485">
        <v>-57843.520080000009</v>
      </c>
      <c r="AU9" s="485">
        <v>-74556.185990000027</v>
      </c>
      <c r="AV9" s="485">
        <v>-57272.68054999999</v>
      </c>
      <c r="AW9" s="485">
        <v>-71296.049839999992</v>
      </c>
      <c r="AX9" s="485">
        <v>-95901.644959999947</v>
      </c>
      <c r="AY9" s="485">
        <v>-96900.989789999963</v>
      </c>
      <c r="AZ9" s="485">
        <v>-81188.375400000019</v>
      </c>
      <c r="BA9" s="488">
        <v>-90492.716629999981</v>
      </c>
      <c r="BB9" s="485">
        <v>-104121.76996999996</v>
      </c>
      <c r="BC9" s="488">
        <v>-112168.91354999994</v>
      </c>
      <c r="BD9" s="488">
        <v>-94064.972370000032</v>
      </c>
      <c r="BE9" s="485">
        <v>-112045.88618999999</v>
      </c>
      <c r="BF9" s="485">
        <v>-143004.25520999997</v>
      </c>
      <c r="BG9" s="485">
        <v>-145981.20510000002</v>
      </c>
      <c r="BH9" s="485">
        <v>-104792.60045000003</v>
      </c>
      <c r="BI9" s="118">
        <v>-135146.78451999999</v>
      </c>
      <c r="BJ9" s="118">
        <v>-152208.45935999998</v>
      </c>
      <c r="BK9" s="118">
        <v>-154444.44125000003</v>
      </c>
      <c r="BL9" s="118">
        <v>-128756.31159000006</v>
      </c>
    </row>
    <row r="10" spans="1:71" ht="13.5" customHeight="1" x14ac:dyDescent="0.2">
      <c r="A10" s="626"/>
      <c r="B10" s="520" t="s">
        <v>56</v>
      </c>
      <c r="C10" s="521">
        <f>+SUM(C9,C6)</f>
        <v>744941</v>
      </c>
      <c r="D10" s="521">
        <f>+SUM(D9,D6)</f>
        <v>978947</v>
      </c>
      <c r="E10" s="521">
        <f>+SUM(E9,E6)</f>
        <v>1134296</v>
      </c>
      <c r="F10" s="521">
        <f>+SUM(F9,F6)</f>
        <v>1167172</v>
      </c>
      <c r="G10" s="521">
        <f>+SUM(G9,G6)</f>
        <v>1509363</v>
      </c>
      <c r="H10" s="521">
        <v>342068</v>
      </c>
      <c r="I10" s="521">
        <v>386514</v>
      </c>
      <c r="J10" s="521">
        <v>451799</v>
      </c>
      <c r="K10" s="521">
        <v>453648</v>
      </c>
      <c r="L10" s="521">
        <v>378844</v>
      </c>
      <c r="M10" s="521">
        <v>461052</v>
      </c>
      <c r="N10" s="521">
        <v>467249</v>
      </c>
      <c r="O10" s="521">
        <v>465347</v>
      </c>
      <c r="P10" s="521">
        <v>378482</v>
      </c>
      <c r="Q10" s="521">
        <v>405527</v>
      </c>
      <c r="R10" s="521">
        <v>388078</v>
      </c>
      <c r="S10" s="521">
        <v>397042</v>
      </c>
      <c r="T10" s="521">
        <f>+SUM(T9,T6)</f>
        <v>284899</v>
      </c>
      <c r="U10" s="521">
        <f t="shared" ref="U10:AD10" si="4">+SUM(U9,U6)</f>
        <v>275106</v>
      </c>
      <c r="V10" s="521">
        <f t="shared" si="4"/>
        <v>275385.95603999996</v>
      </c>
      <c r="W10" s="521">
        <f t="shared" si="4"/>
        <v>287173.30657999997</v>
      </c>
      <c r="X10" s="521">
        <f t="shared" si="4"/>
        <v>202893.83014000003</v>
      </c>
      <c r="Y10" s="521">
        <f t="shared" si="4"/>
        <v>228657.60530000002</v>
      </c>
      <c r="Z10" s="521">
        <f t="shared" si="4"/>
        <v>237818.01644000001</v>
      </c>
      <c r="AA10" s="521">
        <f t="shared" si="4"/>
        <v>254521.74737000003</v>
      </c>
      <c r="AB10" s="521">
        <f t="shared" si="4"/>
        <v>213514.57686999999</v>
      </c>
      <c r="AC10" s="521">
        <f t="shared" si="4"/>
        <v>265106.40235999995</v>
      </c>
      <c r="AD10" s="521">
        <f t="shared" si="4"/>
        <v>285878.85383000004</v>
      </c>
      <c r="AE10" s="521">
        <f t="shared" ref="AE10:AM10" si="5">+SUM(AE9,AE6)</f>
        <v>319475.60617999994</v>
      </c>
      <c r="AF10" s="521">
        <f t="shared" si="5"/>
        <v>262072.36444</v>
      </c>
      <c r="AG10" s="521">
        <f t="shared" si="5"/>
        <v>293275.32349999994</v>
      </c>
      <c r="AH10" s="521">
        <f>+SUM(AH9,AH6)</f>
        <v>331205.66719999997</v>
      </c>
      <c r="AI10" s="521">
        <f t="shared" si="5"/>
        <v>367225.46893000003</v>
      </c>
      <c r="AJ10" s="736">
        <f t="shared" si="5"/>
        <v>296680.79155999998</v>
      </c>
      <c r="AK10" s="521">
        <f t="shared" si="5"/>
        <v>331588.01169000007</v>
      </c>
      <c r="AL10" s="521">
        <f t="shared" si="5"/>
        <v>340723.14690000005</v>
      </c>
      <c r="AM10" s="521">
        <f t="shared" si="5"/>
        <v>378328.51956000004</v>
      </c>
      <c r="AN10" s="521">
        <f t="shared" ref="AN10:AW10" si="6">+SUM(AN9,AN6)</f>
        <v>279746.42341999995</v>
      </c>
      <c r="AO10" s="521">
        <f t="shared" si="6"/>
        <v>130140.54243999999</v>
      </c>
      <c r="AP10" s="521">
        <f t="shared" si="6"/>
        <v>289181.48297999997</v>
      </c>
      <c r="AQ10" s="521">
        <f t="shared" si="6"/>
        <v>312966.52976999996</v>
      </c>
      <c r="AR10" s="521">
        <f t="shared" si="6"/>
        <v>233912.14429999999</v>
      </c>
      <c r="AS10" s="521">
        <f t="shared" si="6"/>
        <v>237066.25822999998</v>
      </c>
      <c r="AT10" s="521">
        <f t="shared" si="6"/>
        <v>231438.51476000002</v>
      </c>
      <c r="AU10" s="521">
        <f t="shared" si="6"/>
        <v>304926.0916199999</v>
      </c>
      <c r="AV10" s="521">
        <f t="shared" si="6"/>
        <v>241066.10910999996</v>
      </c>
      <c r="AW10" s="521">
        <f t="shared" si="6"/>
        <v>304535.17456000001</v>
      </c>
      <c r="AX10" s="521">
        <f t="shared" ref="AX10:BI10" si="7">+SUM(AX9,AX6)</f>
        <v>415508.69108000008</v>
      </c>
      <c r="AY10" s="521">
        <f t="shared" si="7"/>
        <v>409399.47148000001</v>
      </c>
      <c r="AZ10" s="521">
        <f t="shared" si="7"/>
        <v>336037.9491699998</v>
      </c>
      <c r="BA10" s="521">
        <f t="shared" si="7"/>
        <v>366650.73004000011</v>
      </c>
      <c r="BB10" s="521">
        <f t="shared" si="7"/>
        <v>426977.59149000008</v>
      </c>
      <c r="BC10" s="521">
        <f t="shared" si="7"/>
        <v>453801.27373000013</v>
      </c>
      <c r="BD10" s="521">
        <f t="shared" si="7"/>
        <v>389170.79279999988</v>
      </c>
      <c r="BE10" s="521">
        <f t="shared" si="7"/>
        <v>472842.18974000006</v>
      </c>
      <c r="BF10" s="521">
        <f t="shared" si="7"/>
        <v>603754.26091000007</v>
      </c>
      <c r="BG10" s="521">
        <f t="shared" si="7"/>
        <v>624360.17367999989</v>
      </c>
      <c r="BH10" s="521">
        <f t="shared" si="7"/>
        <v>440357.2866799999</v>
      </c>
      <c r="BI10" s="521">
        <f t="shared" si="7"/>
        <v>540539.56037999992</v>
      </c>
      <c r="BJ10" s="521">
        <f>+SUM(BJ9,BJ6)</f>
        <v>634223.01118000003</v>
      </c>
      <c r="BK10" s="521">
        <f>+SUM(BK9,BK6)</f>
        <v>610308.31069999991</v>
      </c>
      <c r="BL10" s="521">
        <f>+SUM(BL9,BL6)</f>
        <v>521278.67233000009</v>
      </c>
      <c r="BM10" s="1209"/>
    </row>
    <row r="11" spans="1:71" ht="13.5" customHeight="1" x14ac:dyDescent="0.2">
      <c r="A11" s="626" t="s">
        <v>242</v>
      </c>
      <c r="B11" s="972" t="str">
        <f>HYPERLINK(Menu!$AY$38,A11)</f>
        <v>Custo dos serviços prestados</v>
      </c>
      <c r="C11" s="485">
        <f>SUM(C12:C15)</f>
        <v>-623456</v>
      </c>
      <c r="D11" s="485">
        <f>SUM(D12:D15)</f>
        <v>-853850</v>
      </c>
      <c r="E11" s="485">
        <f>SUM(E12:E15)</f>
        <v>-973343</v>
      </c>
      <c r="F11" s="485">
        <f>SUM(F12:F15)</f>
        <v>-957287</v>
      </c>
      <c r="G11" s="485">
        <f>SUM(G12:G15)</f>
        <v>-1249718</v>
      </c>
      <c r="H11" s="523">
        <v>-284294</v>
      </c>
      <c r="I11" s="523">
        <v>-325780</v>
      </c>
      <c r="J11" s="523">
        <v>-384437</v>
      </c>
      <c r="K11" s="523">
        <v>-400493</v>
      </c>
      <c r="L11" s="523">
        <v>-343442</v>
      </c>
      <c r="M11" s="523">
        <v>-396401</v>
      </c>
      <c r="N11" s="523">
        <v>-411773</v>
      </c>
      <c r="O11" s="523">
        <v>-400422</v>
      </c>
      <c r="P11" s="523">
        <v>-339378</v>
      </c>
      <c r="Q11" s="523">
        <v>-351415</v>
      </c>
      <c r="R11" s="523">
        <v>-313019</v>
      </c>
      <c r="S11" s="523">
        <v>-321521</v>
      </c>
      <c r="T11" s="485">
        <v>-247035.00000000003</v>
      </c>
      <c r="U11" s="485">
        <v>-247029.00000000003</v>
      </c>
      <c r="V11" s="485">
        <v>-236878.60298999998</v>
      </c>
      <c r="W11" s="485">
        <f t="shared" ref="W11:AC11" si="8">+SUM(W12:W15)</f>
        <v>-243492.94226000001</v>
      </c>
      <c r="X11" s="485">
        <f t="shared" si="8"/>
        <v>-178905.39563000001</v>
      </c>
      <c r="Y11" s="485">
        <f t="shared" si="8"/>
        <v>-197418.37862</v>
      </c>
      <c r="Z11" s="485">
        <f>+SUM(Z12:Z15)</f>
        <v>-198283.67272000003</v>
      </c>
      <c r="AA11" s="488">
        <f t="shared" si="8"/>
        <v>-206688.96572000001</v>
      </c>
      <c r="AB11" s="485">
        <f t="shared" si="8"/>
        <v>-180714.9791</v>
      </c>
      <c r="AC11" s="485">
        <f t="shared" si="8"/>
        <v>-211911.74471999999</v>
      </c>
      <c r="AD11" s="485">
        <f t="shared" ref="AD11:AK11" si="9">+SUM(AD12:AD15)</f>
        <v>-232694.54853</v>
      </c>
      <c r="AE11" s="488">
        <f t="shared" si="9"/>
        <v>-224722.46987</v>
      </c>
      <c r="AF11" s="485">
        <f>+SUM(AF12:AF15)</f>
        <v>-213228.31930999999</v>
      </c>
      <c r="AG11" s="485">
        <f t="shared" si="9"/>
        <v>-238039.59187999999</v>
      </c>
      <c r="AH11" s="485">
        <f t="shared" si="9"/>
        <v>-264362.28104000003</v>
      </c>
      <c r="AI11" s="485">
        <f t="shared" si="9"/>
        <v>-280172.36882999999</v>
      </c>
      <c r="AJ11" s="486">
        <f t="shared" si="9"/>
        <v>-234140.82363</v>
      </c>
      <c r="AK11" s="485">
        <f t="shared" si="9"/>
        <v>-262264.80955000001</v>
      </c>
      <c r="AL11" s="485">
        <f t="shared" ref="AL11:AV11" si="10">+SUM(AL12:AL15)</f>
        <v>-271445.67736999993</v>
      </c>
      <c r="AM11" s="485">
        <f t="shared" si="10"/>
        <v>-292621.11552000005</v>
      </c>
      <c r="AN11" s="485">
        <f t="shared" si="10"/>
        <v>-220891.82191999999</v>
      </c>
      <c r="AO11" s="485">
        <f t="shared" si="10"/>
        <v>-118660.94420999999</v>
      </c>
      <c r="AP11" s="485">
        <f t="shared" si="10"/>
        <v>-224485.70899000001</v>
      </c>
      <c r="AQ11" s="485">
        <f t="shared" si="10"/>
        <v>-247859.12856999994</v>
      </c>
      <c r="AR11" s="485">
        <f t="shared" si="10"/>
        <v>-191340.41950000005</v>
      </c>
      <c r="AS11" s="485">
        <f t="shared" si="10"/>
        <v>-192684.99836</v>
      </c>
      <c r="AT11" s="485">
        <f t="shared" si="10"/>
        <v>-189555.95867000002</v>
      </c>
      <c r="AU11" s="485">
        <f t="shared" si="10"/>
        <v>-245817.87784999996</v>
      </c>
      <c r="AV11" s="485">
        <f t="shared" si="10"/>
        <v>-201997.4</v>
      </c>
      <c r="AW11" s="485">
        <v>-247120.71317000006</v>
      </c>
      <c r="AX11" s="485">
        <f>+SUM(AX12:AX15)</f>
        <v>-319903.41505000007</v>
      </c>
      <c r="AY11" s="485">
        <f>+SUM(AY12:AY15)</f>
        <v>-326804.36535000004</v>
      </c>
      <c r="AZ11" s="485">
        <f>+SUM(AZ12:AZ15)</f>
        <v>-276115.87622999999</v>
      </c>
      <c r="BA11" s="485">
        <f>+SUM(BA12:BA15)</f>
        <v>-297703.84976999991</v>
      </c>
      <c r="BB11" s="485">
        <v>-335588.38546999998</v>
      </c>
      <c r="BC11" s="485">
        <f t="shared" ref="BC11:BK11" si="11">+SUM(BC12:BC15)</f>
        <v>-362293.63800999994</v>
      </c>
      <c r="BD11" s="485">
        <f t="shared" si="11"/>
        <v>-315601.6468300001</v>
      </c>
      <c r="BE11" s="485">
        <f t="shared" si="11"/>
        <v>-376757.38668</v>
      </c>
      <c r="BF11" s="485">
        <f t="shared" si="11"/>
        <v>-464225.44626999996</v>
      </c>
      <c r="BG11" s="485">
        <f t="shared" si="11"/>
        <v>-482497.53223000001</v>
      </c>
      <c r="BH11" s="485">
        <f t="shared" si="11"/>
        <v>-356018.85042000003</v>
      </c>
      <c r="BI11" s="485">
        <f t="shared" si="11"/>
        <v>-429189.3385500001</v>
      </c>
      <c r="BJ11" s="485">
        <f t="shared" si="11"/>
        <v>-502428.92554999999</v>
      </c>
      <c r="BK11" s="485">
        <f t="shared" si="11"/>
        <v>-508614.57857000013</v>
      </c>
      <c r="BL11" s="485">
        <f>+SUM(BL12:BL15)</f>
        <v>-437355.65777999995</v>
      </c>
      <c r="BM11" s="1210"/>
    </row>
    <row r="12" spans="1:71" ht="13.5" customHeight="1" outlineLevel="1" x14ac:dyDescent="0.2">
      <c r="A12" s="626"/>
      <c r="B12" s="524" t="s">
        <v>48</v>
      </c>
      <c r="C12" s="485">
        <v>-73586</v>
      </c>
      <c r="D12" s="485">
        <v>-113512</v>
      </c>
      <c r="E12" s="485">
        <v>-116818</v>
      </c>
      <c r="F12" s="485">
        <v>-124097</v>
      </c>
      <c r="G12" s="485">
        <v>-191999</v>
      </c>
      <c r="H12" s="485">
        <v>-50504</v>
      </c>
      <c r="I12" s="485">
        <v>-58915</v>
      </c>
      <c r="J12" s="485">
        <v>-59533</v>
      </c>
      <c r="K12" s="485">
        <v>-60733</v>
      </c>
      <c r="L12" s="485">
        <v>-54782</v>
      </c>
      <c r="M12" s="485">
        <v>-58984</v>
      </c>
      <c r="N12" s="485">
        <v>-75103</v>
      </c>
      <c r="O12" s="485">
        <v>-53013</v>
      </c>
      <c r="P12" s="485">
        <v>-44180</v>
      </c>
      <c r="Q12" s="485">
        <v>-50019</v>
      </c>
      <c r="R12" s="485">
        <v>-42291</v>
      </c>
      <c r="S12" s="485">
        <v>-34535</v>
      </c>
      <c r="T12" s="485">
        <v>-30126</v>
      </c>
      <c r="U12" s="485">
        <v>-31462</v>
      </c>
      <c r="V12" s="485">
        <v>-30415.602929999997</v>
      </c>
      <c r="W12" s="485">
        <v>-29278.403539999999</v>
      </c>
      <c r="X12" s="485">
        <v>-27045</v>
      </c>
      <c r="Y12" s="485">
        <v>-27510.90511</v>
      </c>
      <c r="Z12" s="485">
        <v>-26640.882160000001</v>
      </c>
      <c r="AA12" s="488">
        <v>-24200.35223</v>
      </c>
      <c r="AB12" s="485">
        <v>-25332.397140000001</v>
      </c>
      <c r="AC12" s="485">
        <v>-28152.51153</v>
      </c>
      <c r="AD12" s="485">
        <v>-28100.153870000002</v>
      </c>
      <c r="AE12" s="485">
        <v>-29254.050369999997</v>
      </c>
      <c r="AF12" s="639">
        <v>-26709.697579999996</v>
      </c>
      <c r="AG12" s="639">
        <v>-28750.822249999997</v>
      </c>
      <c r="AH12" s="639">
        <v>-29253.035080000001</v>
      </c>
      <c r="AI12" s="639">
        <v>-31391.000749999999</v>
      </c>
      <c r="AJ12" s="738">
        <v>-28159.214309999999</v>
      </c>
      <c r="AK12" s="639">
        <v>-32977.39589</v>
      </c>
      <c r="AL12" s="639">
        <v>-32062.927030000003</v>
      </c>
      <c r="AM12" s="639">
        <v>-34105.228929999997</v>
      </c>
      <c r="AN12" s="639">
        <v>-30172.747609999999</v>
      </c>
      <c r="AO12" s="639">
        <v>-25554.856690000001</v>
      </c>
      <c r="AP12" s="639">
        <v>-24833.953700000005</v>
      </c>
      <c r="AQ12" s="639">
        <v>-25343.942609999998</v>
      </c>
      <c r="AR12" s="639">
        <v>-23791.35844</v>
      </c>
      <c r="AS12" s="639">
        <v>-24314.450710000001</v>
      </c>
      <c r="AT12" s="639">
        <v>-22503.438300000002</v>
      </c>
      <c r="AU12" s="639">
        <v>-27151.511640000001</v>
      </c>
      <c r="AV12" s="639">
        <v>-25291.377799999998</v>
      </c>
      <c r="AW12" s="639">
        <v>-28655.762189999998</v>
      </c>
      <c r="AX12" s="639">
        <v>-29478.236100000006</v>
      </c>
      <c r="AY12" s="639">
        <v>-32609.726740000006</v>
      </c>
      <c r="AZ12" s="639">
        <v>-29583.930219999995</v>
      </c>
      <c r="BA12" s="639">
        <v>-32869.703969999995</v>
      </c>
      <c r="BB12" s="639">
        <v>-34311.26442</v>
      </c>
      <c r="BC12" s="639">
        <v>-37388.499660000001</v>
      </c>
      <c r="BD12" s="639">
        <v>-34596.562979999995</v>
      </c>
      <c r="BE12" s="639">
        <v>-37569.685750000004</v>
      </c>
      <c r="BF12" s="639">
        <v>-43360.949100000013</v>
      </c>
      <c r="BG12" s="639">
        <v>-45809.890619999998</v>
      </c>
      <c r="BH12" s="639">
        <v>-42858.327780000007</v>
      </c>
      <c r="BI12" s="639">
        <v>-48948.639220000012</v>
      </c>
      <c r="BJ12" s="639">
        <v>-51367.416250000009</v>
      </c>
      <c r="BK12" s="639">
        <v>-55881.774020000012</v>
      </c>
      <c r="BL12" s="639">
        <v>-48899.43043</v>
      </c>
      <c r="BM12" s="1188"/>
    </row>
    <row r="13" spans="1:71" ht="13.5" customHeight="1" outlineLevel="1" x14ac:dyDescent="0.2">
      <c r="A13" s="626"/>
      <c r="B13" s="524" t="s">
        <v>891</v>
      </c>
      <c r="C13" s="485">
        <v>-425205</v>
      </c>
      <c r="D13" s="485">
        <v>-558475</v>
      </c>
      <c r="E13" s="485">
        <v>-659226</v>
      </c>
      <c r="F13" s="485">
        <v>-743020</v>
      </c>
      <c r="G13" s="485">
        <v>-944089</v>
      </c>
      <c r="H13" s="485">
        <v>-195094</v>
      </c>
      <c r="I13" s="485">
        <v>-226288</v>
      </c>
      <c r="J13" s="485">
        <v>-282286</v>
      </c>
      <c r="K13" s="485">
        <v>-286962</v>
      </c>
      <c r="L13" s="485">
        <v>-237488</v>
      </c>
      <c r="M13" s="485">
        <v>-291999</v>
      </c>
      <c r="N13" s="485">
        <v>-292155</v>
      </c>
      <c r="O13" s="485">
        <v>-297072</v>
      </c>
      <c r="P13" s="485">
        <v>-244263</v>
      </c>
      <c r="Q13" s="485">
        <v>-260823</v>
      </c>
      <c r="R13" s="485">
        <v>-251395</v>
      </c>
      <c r="S13" s="485">
        <v>-265286</v>
      </c>
      <c r="T13" s="485">
        <v>-188963</v>
      </c>
      <c r="U13" s="485">
        <v>-179035</v>
      </c>
      <c r="V13" s="485">
        <v>-176202.69563</v>
      </c>
      <c r="W13" s="485">
        <v>-181951.65448</v>
      </c>
      <c r="X13" s="485">
        <v>-123965.59921</v>
      </c>
      <c r="Y13" s="485">
        <v>-143614.484</v>
      </c>
      <c r="Z13" s="485">
        <v>-148287.40933000002</v>
      </c>
      <c r="AA13" s="485">
        <v>-158008.18849</v>
      </c>
      <c r="AB13" s="485">
        <v>-130644.52497</v>
      </c>
      <c r="AC13" s="485">
        <v>-160730.03547</v>
      </c>
      <c r="AD13" s="485">
        <v>-181937.42799999999</v>
      </c>
      <c r="AE13" s="485">
        <v>-200729.15807999999</v>
      </c>
      <c r="AF13" s="639">
        <v>-165476.19539000001</v>
      </c>
      <c r="AG13" s="639">
        <v>-188242.09412000002</v>
      </c>
      <c r="AH13" s="639">
        <v>-218673.27177000002</v>
      </c>
      <c r="AI13" s="639">
        <v>-230673.85034999999</v>
      </c>
      <c r="AJ13" s="738">
        <v>-186759.01255000001</v>
      </c>
      <c r="AK13" s="639">
        <v>-211124.44077999998</v>
      </c>
      <c r="AL13" s="639">
        <v>-213640.75033999997</v>
      </c>
      <c r="AM13" s="639">
        <v>-240466.60517000002</v>
      </c>
      <c r="AN13" s="639">
        <v>-174725.55974</v>
      </c>
      <c r="AO13" s="639">
        <v>-71319.314889999994</v>
      </c>
      <c r="AP13" s="639">
        <v>-186851.12969</v>
      </c>
      <c r="AQ13" s="639">
        <v>-207649.31079999998</v>
      </c>
      <c r="AR13" s="639">
        <v>-153174.51411000002</v>
      </c>
      <c r="AS13" s="639">
        <v>-153626.14840000001</v>
      </c>
      <c r="AT13" s="639">
        <v>-149147.37083000003</v>
      </c>
      <c r="AU13" s="639">
        <v>-201799.07110999996</v>
      </c>
      <c r="AV13" s="639">
        <v>-155796.98894000001</v>
      </c>
      <c r="AW13" s="639">
        <v>-198293.92922000005</v>
      </c>
      <c r="AX13" s="639">
        <v>-277941.54501000006</v>
      </c>
      <c r="AY13" s="639">
        <v>-275590.46846</v>
      </c>
      <c r="AZ13" s="639">
        <v>-222953.00284999999</v>
      </c>
      <c r="BA13" s="639">
        <v>-245740.91349999997</v>
      </c>
      <c r="BB13" s="639">
        <v>-286980.28524999996</v>
      </c>
      <c r="BC13" s="639">
        <v>-309845.51879999996</v>
      </c>
      <c r="BD13" s="639">
        <v>-262320.49262000009</v>
      </c>
      <c r="BE13" s="639">
        <v>-318742.87725000002</v>
      </c>
      <c r="BF13" s="639">
        <v>-398356.78345999995</v>
      </c>
      <c r="BG13" s="639">
        <v>-415149.18809000007</v>
      </c>
      <c r="BH13" s="639">
        <v>-289083.35814000003</v>
      </c>
      <c r="BI13" s="639">
        <v>-357794.75947000005</v>
      </c>
      <c r="BJ13" s="639">
        <v>-429015.29191999999</v>
      </c>
      <c r="BK13" s="639">
        <v>-428323.75004000007</v>
      </c>
      <c r="BL13" s="639">
        <v>-365482.29929</v>
      </c>
      <c r="BM13" s="1188"/>
    </row>
    <row r="14" spans="1:71" ht="13.5" customHeight="1" outlineLevel="1" x14ac:dyDescent="0.2">
      <c r="A14" s="626"/>
      <c r="B14" s="524" t="s">
        <v>49</v>
      </c>
      <c r="C14" s="485">
        <v>-124665</v>
      </c>
      <c r="D14" s="485">
        <v>-181863</v>
      </c>
      <c r="E14" s="485">
        <v>-197299</v>
      </c>
      <c r="F14" s="485">
        <v>-90170</v>
      </c>
      <c r="G14" s="485">
        <v>-113630</v>
      </c>
      <c r="H14" s="485">
        <v>-38696</v>
      </c>
      <c r="I14" s="485">
        <v>-40577</v>
      </c>
      <c r="J14" s="485">
        <v>-42618</v>
      </c>
      <c r="K14" s="485">
        <v>-52798</v>
      </c>
      <c r="L14" s="485">
        <v>-51172</v>
      </c>
      <c r="M14" s="485">
        <v>-45418</v>
      </c>
      <c r="N14" s="485">
        <v>-44515</v>
      </c>
      <c r="O14" s="485">
        <v>-50337</v>
      </c>
      <c r="P14" s="485">
        <v>-50935</v>
      </c>
      <c r="Q14" s="485">
        <v>-40573</v>
      </c>
      <c r="R14" s="485">
        <v>-19333</v>
      </c>
      <c r="S14" s="485">
        <v>-21700</v>
      </c>
      <c r="T14" s="485">
        <v>-49081.909540000001</v>
      </c>
      <c r="U14" s="488">
        <v>-55743.666649999999</v>
      </c>
      <c r="V14" s="485">
        <v>-48790.067859999996</v>
      </c>
      <c r="W14" s="488">
        <f>-54805.33866-113</f>
        <v>-54918.338660000001</v>
      </c>
      <c r="X14" s="485">
        <v>-41593.595139999998</v>
      </c>
      <c r="Y14" s="485">
        <v>-41386.996889999995</v>
      </c>
      <c r="Z14" s="485">
        <v>-39161.032990000007</v>
      </c>
      <c r="AA14" s="485">
        <v>-39908.47552</v>
      </c>
      <c r="AB14" s="485">
        <v>-38576.118199999997</v>
      </c>
      <c r="AC14" s="485">
        <v>-39679.981599999999</v>
      </c>
      <c r="AD14" s="485">
        <v>-40980.170559999999</v>
      </c>
      <c r="AE14" s="485">
        <v>-44435.658860000003</v>
      </c>
      <c r="AF14" s="639">
        <v>-39041.823279999997</v>
      </c>
      <c r="AG14" s="639">
        <v>-41571.193379999997</v>
      </c>
      <c r="AH14" s="639">
        <v>-39675.05906</v>
      </c>
      <c r="AI14" s="639">
        <v>-42372.672919999997</v>
      </c>
      <c r="AJ14" s="738">
        <v>-39500.30816</v>
      </c>
      <c r="AK14" s="639">
        <v>-41026.242910000001</v>
      </c>
      <c r="AL14" s="488">
        <v>-46620</v>
      </c>
      <c r="AM14" s="485">
        <v>-42858.712419999996</v>
      </c>
      <c r="AN14" s="485">
        <v>-34540.348570000002</v>
      </c>
      <c r="AO14" s="485">
        <v>-29530.36463</v>
      </c>
      <c r="AP14" s="485">
        <v>-32057.278600000001</v>
      </c>
      <c r="AQ14" s="488">
        <v>-35847.613160000001</v>
      </c>
      <c r="AR14" s="639">
        <v>-30595.164949999998</v>
      </c>
      <c r="AS14" s="639">
        <v>-32427.974249999999</v>
      </c>
      <c r="AT14" s="639">
        <v>-35588.72454000001</v>
      </c>
      <c r="AU14" s="639">
        <v>-37656.524219999999</v>
      </c>
      <c r="AV14" s="639">
        <v>-37650.457930000004</v>
      </c>
      <c r="AW14" s="639">
        <v>-40550.782790000005</v>
      </c>
      <c r="AX14" s="639">
        <v>-40973.168869999994</v>
      </c>
      <c r="AY14" s="639">
        <v>-46984.660920000009</v>
      </c>
      <c r="AZ14" s="639">
        <v>-46625.644209999999</v>
      </c>
      <c r="BA14" s="639">
        <v>-43591.954849999995</v>
      </c>
      <c r="BB14" s="639">
        <v>-42308.77751</v>
      </c>
      <c r="BC14" s="639">
        <v>-46048.720580000001</v>
      </c>
      <c r="BD14" s="639">
        <v>-44584.854600000006</v>
      </c>
      <c r="BE14" s="639">
        <v>-51069.605229999994</v>
      </c>
      <c r="BF14" s="639">
        <v>-62006.626470000003</v>
      </c>
      <c r="BG14" s="639">
        <v>-60323.889880000002</v>
      </c>
      <c r="BH14" s="639">
        <v>-51998.904050000005</v>
      </c>
      <c r="BI14" s="639">
        <v>-57416.130240000006</v>
      </c>
      <c r="BJ14" s="639">
        <v>-61840.95403999999</v>
      </c>
      <c r="BK14" s="639">
        <v>-64767.640399999997</v>
      </c>
      <c r="BL14" s="639">
        <v>-57308.707149999995</v>
      </c>
      <c r="BM14" s="1188"/>
    </row>
    <row r="15" spans="1:71" ht="13.5" customHeight="1" outlineLevel="1" x14ac:dyDescent="0.2">
      <c r="A15" s="626"/>
      <c r="B15" s="524" t="s">
        <v>388</v>
      </c>
      <c r="C15" s="485" t="s">
        <v>160</v>
      </c>
      <c r="D15" s="485" t="s">
        <v>160</v>
      </c>
      <c r="E15" s="485" t="s">
        <v>160</v>
      </c>
      <c r="F15" s="485" t="s">
        <v>160</v>
      </c>
      <c r="G15" s="485" t="s">
        <v>160</v>
      </c>
      <c r="H15" s="485"/>
      <c r="I15" s="485"/>
      <c r="J15" s="485"/>
      <c r="K15" s="485"/>
      <c r="L15" s="485"/>
      <c r="M15" s="485"/>
      <c r="N15" s="485"/>
      <c r="O15" s="485"/>
      <c r="P15" s="485"/>
      <c r="Q15" s="485"/>
      <c r="R15" s="485"/>
      <c r="S15" s="485"/>
      <c r="T15" s="485">
        <v>21135.909540000001</v>
      </c>
      <c r="U15" s="485">
        <v>19211.666649999999</v>
      </c>
      <c r="V15" s="485">
        <v>18529.763429999999</v>
      </c>
      <c r="W15" s="485">
        <v>22655.454419999998</v>
      </c>
      <c r="X15" s="485">
        <v>13698.798720000001</v>
      </c>
      <c r="Y15" s="485">
        <v>15094.007379999999</v>
      </c>
      <c r="Z15" s="485">
        <v>15805.651760000002</v>
      </c>
      <c r="AA15" s="485">
        <v>15428.050519999999</v>
      </c>
      <c r="AB15" s="485">
        <v>13838.06121</v>
      </c>
      <c r="AC15" s="485">
        <v>16650.783880000003</v>
      </c>
      <c r="AD15" s="485">
        <v>18323.2039</v>
      </c>
      <c r="AE15" s="488">
        <v>49696.397440000001</v>
      </c>
      <c r="AF15" s="639">
        <v>17999.396940000002</v>
      </c>
      <c r="AG15" s="639">
        <v>20524.51787</v>
      </c>
      <c r="AH15" s="639">
        <v>23239.084869999999</v>
      </c>
      <c r="AI15" s="639">
        <v>24265.155189999998</v>
      </c>
      <c r="AJ15" s="738">
        <v>20277.71139</v>
      </c>
      <c r="AK15" s="639">
        <v>22863.270030000003</v>
      </c>
      <c r="AL15" s="767">
        <v>20878</v>
      </c>
      <c r="AM15" s="639">
        <v>24809.431</v>
      </c>
      <c r="AN15" s="639">
        <v>18546.834000000003</v>
      </c>
      <c r="AO15" s="639">
        <v>7743.5920000000006</v>
      </c>
      <c r="AP15" s="639">
        <v>19256.652999999998</v>
      </c>
      <c r="AQ15" s="639">
        <v>20981.738000000001</v>
      </c>
      <c r="AR15" s="639">
        <v>16220.617999999999</v>
      </c>
      <c r="AS15" s="639">
        <v>17683.575000000001</v>
      </c>
      <c r="AT15" s="639">
        <v>17683.575000000001</v>
      </c>
      <c r="AU15" s="639">
        <v>20789.22912</v>
      </c>
      <c r="AV15" s="639">
        <v>16741.424669999997</v>
      </c>
      <c r="AW15" s="639">
        <v>20379.761029999987</v>
      </c>
      <c r="AX15" s="639">
        <v>28489.53492999998</v>
      </c>
      <c r="AY15" s="639">
        <v>28380.490769999975</v>
      </c>
      <c r="AZ15" s="639">
        <v>23046.701049999992</v>
      </c>
      <c r="BA15" s="639">
        <v>24498.722549999999</v>
      </c>
      <c r="BB15" s="639">
        <v>28011.941709999996</v>
      </c>
      <c r="BC15" s="639">
        <v>30989.101029999998</v>
      </c>
      <c r="BD15" s="639">
        <v>25900.263369999997</v>
      </c>
      <c r="BE15" s="639">
        <v>30624.781550000003</v>
      </c>
      <c r="BF15" s="639">
        <v>39498.912760000028</v>
      </c>
      <c r="BG15" s="639">
        <v>38785.436360000029</v>
      </c>
      <c r="BH15" s="639">
        <v>27921.739549999991</v>
      </c>
      <c r="BI15" s="639">
        <v>34970.190379999993</v>
      </c>
      <c r="BJ15" s="639">
        <v>39794.736660000002</v>
      </c>
      <c r="BK15" s="639">
        <v>40358.585890000017</v>
      </c>
      <c r="BL15" s="639">
        <v>34334.779090000011</v>
      </c>
      <c r="BM15" s="1188"/>
    </row>
    <row r="16" spans="1:71" ht="13.5" customHeight="1" x14ac:dyDescent="0.2">
      <c r="A16" s="626"/>
      <c r="B16" s="520" t="s">
        <v>13</v>
      </c>
      <c r="C16" s="521">
        <f>C11+C10</f>
        <v>121485</v>
      </c>
      <c r="D16" s="521">
        <f>D11+D10</f>
        <v>125097</v>
      </c>
      <c r="E16" s="521">
        <f>E11+E10</f>
        <v>160953</v>
      </c>
      <c r="F16" s="521">
        <f>F11+F10</f>
        <v>209885</v>
      </c>
      <c r="G16" s="521">
        <f>G11+G10</f>
        <v>259645</v>
      </c>
      <c r="H16" s="521">
        <v>57774</v>
      </c>
      <c r="I16" s="521">
        <v>60734</v>
      </c>
      <c r="J16" s="521">
        <v>67362</v>
      </c>
      <c r="K16" s="521">
        <v>53155</v>
      </c>
      <c r="L16" s="521">
        <v>35402</v>
      </c>
      <c r="M16" s="521">
        <v>64651</v>
      </c>
      <c r="N16" s="521">
        <v>55476</v>
      </c>
      <c r="O16" s="521">
        <v>64925</v>
      </c>
      <c r="P16" s="521">
        <v>39104</v>
      </c>
      <c r="Q16" s="521">
        <v>54112</v>
      </c>
      <c r="R16" s="521">
        <v>75059</v>
      </c>
      <c r="S16" s="521">
        <v>75521</v>
      </c>
      <c r="T16" s="521">
        <v>37863.999999999971</v>
      </c>
      <c r="U16" s="521">
        <v>28076.999999999971</v>
      </c>
      <c r="V16" s="521">
        <v>38507.353049999947</v>
      </c>
      <c r="W16" s="521">
        <f t="shared" ref="W16:AC16" si="12">+SUM(W10:W11)</f>
        <v>43680.364319999964</v>
      </c>
      <c r="X16" s="521">
        <f t="shared" si="12"/>
        <v>23988.434510000021</v>
      </c>
      <c r="Y16" s="521">
        <f t="shared" si="12"/>
        <v>31239.226680000022</v>
      </c>
      <c r="Z16" s="521">
        <f t="shared" si="12"/>
        <v>39534.343719999975</v>
      </c>
      <c r="AA16" s="521">
        <f t="shared" si="12"/>
        <v>47832.781650000019</v>
      </c>
      <c r="AB16" s="521">
        <f t="shared" si="12"/>
        <v>32799.597769999993</v>
      </c>
      <c r="AC16" s="521">
        <f t="shared" si="12"/>
        <v>53194.657639999961</v>
      </c>
      <c r="AD16" s="521">
        <f t="shared" ref="AD16:AM16" si="13">+SUM(AD10:AD11)</f>
        <v>53184.305300000036</v>
      </c>
      <c r="AE16" s="521">
        <f t="shared" si="13"/>
        <v>94753.136309999943</v>
      </c>
      <c r="AF16" s="521">
        <f t="shared" si="13"/>
        <v>48844.045130000013</v>
      </c>
      <c r="AG16" s="521">
        <f t="shared" si="13"/>
        <v>55235.731619999948</v>
      </c>
      <c r="AH16" s="521">
        <f t="shared" si="13"/>
        <v>66843.386159999936</v>
      </c>
      <c r="AI16" s="521">
        <f t="shared" si="13"/>
        <v>87053.10010000004</v>
      </c>
      <c r="AJ16" s="736">
        <f t="shared" si="13"/>
        <v>62539.967929999984</v>
      </c>
      <c r="AK16" s="521">
        <f t="shared" si="13"/>
        <v>69323.202140000067</v>
      </c>
      <c r="AL16" s="521">
        <f t="shared" si="13"/>
        <v>69277.469530000119</v>
      </c>
      <c r="AM16" s="521">
        <f t="shared" si="13"/>
        <v>85707.404039999994</v>
      </c>
      <c r="AN16" s="521">
        <f t="shared" ref="AN16:AW16" si="14">+SUM(AN10:AN11)</f>
        <v>58854.601499999961</v>
      </c>
      <c r="AO16" s="521">
        <f t="shared" si="14"/>
        <v>11479.598230000003</v>
      </c>
      <c r="AP16" s="521">
        <f t="shared" si="14"/>
        <v>64695.773989999958</v>
      </c>
      <c r="AQ16" s="521">
        <f t="shared" si="14"/>
        <v>65107.401200000022</v>
      </c>
      <c r="AR16" s="521">
        <f t="shared" si="14"/>
        <v>42571.724799999938</v>
      </c>
      <c r="AS16" s="521">
        <f t="shared" si="14"/>
        <v>44381.25986999998</v>
      </c>
      <c r="AT16" s="521">
        <f t="shared" si="14"/>
        <v>41882.556089999998</v>
      </c>
      <c r="AU16" s="521">
        <f t="shared" si="14"/>
        <v>59108.213769999944</v>
      </c>
      <c r="AV16" s="521">
        <f t="shared" si="14"/>
        <v>39068.709109999967</v>
      </c>
      <c r="AW16" s="521">
        <f t="shared" si="14"/>
        <v>57414.461389999953</v>
      </c>
      <c r="AX16" s="521">
        <f t="shared" ref="AX16:BI16" si="15">+SUM(AX10:AX11)</f>
        <v>95605.276030000008</v>
      </c>
      <c r="AY16" s="521">
        <f t="shared" si="15"/>
        <v>82595.106129999971</v>
      </c>
      <c r="AZ16" s="521">
        <f t="shared" si="15"/>
        <v>59922.072939999809</v>
      </c>
      <c r="BA16" s="521">
        <f t="shared" si="15"/>
        <v>68946.880270000198</v>
      </c>
      <c r="BB16" s="521">
        <f t="shared" si="15"/>
        <v>91389.2060200001</v>
      </c>
      <c r="BC16" s="521">
        <f t="shared" si="15"/>
        <v>91507.635720000195</v>
      </c>
      <c r="BD16" s="521">
        <f t="shared" si="15"/>
        <v>73569.145969999779</v>
      </c>
      <c r="BE16" s="521">
        <f t="shared" si="15"/>
        <v>96084.803060000064</v>
      </c>
      <c r="BF16" s="521">
        <f t="shared" si="15"/>
        <v>139528.81464000011</v>
      </c>
      <c r="BG16" s="521">
        <f t="shared" si="15"/>
        <v>141862.64144999988</v>
      </c>
      <c r="BH16" s="521">
        <f t="shared" si="15"/>
        <v>84338.436259999871</v>
      </c>
      <c r="BI16" s="521">
        <f t="shared" si="15"/>
        <v>111350.22182999982</v>
      </c>
      <c r="BJ16" s="521">
        <f>+SUM(BJ10:BJ11)</f>
        <v>131794.08563000005</v>
      </c>
      <c r="BK16" s="521">
        <f>+SUM(BK10:BK11)</f>
        <v>101693.73212999979</v>
      </c>
      <c r="BL16" s="521">
        <f>+SUM(BL10:BL11)</f>
        <v>83923.014550000138</v>
      </c>
      <c r="BM16" s="1183"/>
    </row>
    <row r="17" spans="1:67" ht="13.5" customHeight="1" x14ac:dyDescent="0.2">
      <c r="A17" s="626" t="s">
        <v>243</v>
      </c>
      <c r="B17" s="972" t="str">
        <f>HYPERLINK(Menu!$AY$38,A17)</f>
        <v>Despesas gerais e administrativas</v>
      </c>
      <c r="C17" s="485">
        <v>-30735</v>
      </c>
      <c r="D17" s="485">
        <v>-34706</v>
      </c>
      <c r="E17" s="485">
        <v>-34799</v>
      </c>
      <c r="F17" s="485">
        <f>-41447-F18</f>
        <v>-50150</v>
      </c>
      <c r="G17" s="485">
        <f>-81393-G18</f>
        <v>-84942</v>
      </c>
      <c r="H17" s="523">
        <v>-27216</v>
      </c>
      <c r="I17" s="523">
        <v>-24635</v>
      </c>
      <c r="J17" s="523">
        <v>-18383</v>
      </c>
      <c r="K17" s="523">
        <v>-16411</v>
      </c>
      <c r="L17" s="523">
        <v>-24570</v>
      </c>
      <c r="M17" s="523">
        <v>-34977</v>
      </c>
      <c r="N17" s="523">
        <v>-15131</v>
      </c>
      <c r="O17" s="523">
        <v>-35030</v>
      </c>
      <c r="P17" s="523">
        <v>-27771</v>
      </c>
      <c r="Q17" s="523">
        <v>-24310</v>
      </c>
      <c r="R17" s="523">
        <v>-39431</v>
      </c>
      <c r="S17" s="523">
        <v>-22477</v>
      </c>
      <c r="T17" s="485">
        <v>-22273</v>
      </c>
      <c r="U17" s="485">
        <v>-21512</v>
      </c>
      <c r="V17" s="485">
        <v>-20283.748820000001</v>
      </c>
      <c r="W17" s="485">
        <f>-19631.21106+42</f>
        <v>-19589.211060000001</v>
      </c>
      <c r="X17" s="485">
        <v>-17549</v>
      </c>
      <c r="Y17" s="485">
        <v>-20994.139640000001</v>
      </c>
      <c r="Z17" s="485">
        <v>-19150</v>
      </c>
      <c r="AA17" s="488">
        <v>-18013.740309999997</v>
      </c>
      <c r="AB17" s="485">
        <v>-16220.708200000001</v>
      </c>
      <c r="AC17" s="485">
        <v>-15820.48993</v>
      </c>
      <c r="AD17" s="485">
        <v>-17063.53327</v>
      </c>
      <c r="AE17" s="485">
        <f>-31433.74334+Consolidado!Z23</f>
        <v>-25702.743340000001</v>
      </c>
      <c r="AF17" s="485">
        <v>-20601.551750000002</v>
      </c>
      <c r="AG17" s="485">
        <v>-16196.816349999999</v>
      </c>
      <c r="AH17" s="485">
        <v>-17903.029560000003</v>
      </c>
      <c r="AI17" s="488">
        <v>-21720.076709999998</v>
      </c>
      <c r="AJ17" s="486">
        <v>-18819.274789999996</v>
      </c>
      <c r="AK17" s="485">
        <v>-20303.640930000001</v>
      </c>
      <c r="AL17" s="485">
        <v>-20509.335719999999</v>
      </c>
      <c r="AM17" s="485">
        <f>-25806.73165+2107.26448</f>
        <v>-23699.467170000004</v>
      </c>
      <c r="AN17" s="488">
        <f>-26934.10246+86</f>
        <v>-26848.102459999998</v>
      </c>
      <c r="AO17" s="485">
        <v>-18679.037840000001</v>
      </c>
      <c r="AP17" s="485">
        <v>-17291.9074</v>
      </c>
      <c r="AQ17" s="485">
        <v>-21382.454249999999</v>
      </c>
      <c r="AR17" s="485">
        <v>-18067.067870000003</v>
      </c>
      <c r="AS17" s="485">
        <v>-19037.44154</v>
      </c>
      <c r="AT17" s="485">
        <v>-18386.381400000002</v>
      </c>
      <c r="AU17" s="485">
        <v>-22263.858070000002</v>
      </c>
      <c r="AV17" s="485">
        <v>-18051.912059999999</v>
      </c>
      <c r="AW17" s="485">
        <v>-21799.205010000001</v>
      </c>
      <c r="AX17" s="485">
        <v>-20751.262449999998</v>
      </c>
      <c r="AY17" s="488">
        <v>-23680.224430000002</v>
      </c>
      <c r="AZ17" s="485">
        <v>-20521.264250000004</v>
      </c>
      <c r="BA17" s="485">
        <v>-23597.755149999997</v>
      </c>
      <c r="BB17" s="485">
        <v>-25948.967650000002</v>
      </c>
      <c r="BC17" s="485">
        <v>-29164.700199999999</v>
      </c>
      <c r="BD17" s="485">
        <v>-28514.985760000007</v>
      </c>
      <c r="BE17" s="485">
        <v>-25062.511210000001</v>
      </c>
      <c r="BF17" s="485">
        <v>-26949.604289999996</v>
      </c>
      <c r="BG17" s="485">
        <v>-29886.641280000003</v>
      </c>
      <c r="BH17" s="485">
        <v>-30285.684409999998</v>
      </c>
      <c r="BI17" s="485">
        <v>-32176.004999999997</v>
      </c>
      <c r="BJ17" s="485">
        <v>-31673.987059999999</v>
      </c>
      <c r="BK17" s="485">
        <v>-35708.760969999988</v>
      </c>
      <c r="BL17" s="485">
        <v>-29785.524400000006</v>
      </c>
      <c r="BM17" s="1184"/>
    </row>
    <row r="18" spans="1:67" ht="13.5" customHeight="1" x14ac:dyDescent="0.2">
      <c r="A18" s="626" t="s">
        <v>867</v>
      </c>
      <c r="B18" s="972" t="str">
        <f>HYPERLINK(Menu!$AY$35,A18)</f>
        <v>Outras despesas e receitas</v>
      </c>
      <c r="C18" s="485">
        <v>-20841</v>
      </c>
      <c r="D18" s="485">
        <f>-4369-3831+1543</f>
        <v>-6657</v>
      </c>
      <c r="E18" s="485">
        <f>-6183-1033+233</f>
        <v>-6983</v>
      </c>
      <c r="F18" s="485">
        <v>8703</v>
      </c>
      <c r="G18" s="485">
        <v>3549</v>
      </c>
      <c r="H18" s="523"/>
      <c r="I18" s="523"/>
      <c r="J18" s="523"/>
      <c r="K18" s="523"/>
      <c r="L18" s="523"/>
      <c r="M18" s="523"/>
      <c r="N18" s="523"/>
      <c r="O18" s="523"/>
      <c r="P18" s="523"/>
      <c r="Q18" s="523"/>
      <c r="R18" s="523"/>
      <c r="S18" s="523"/>
      <c r="T18" s="485">
        <v>2443</v>
      </c>
      <c r="U18" s="485">
        <v>72</v>
      </c>
      <c r="V18" s="485">
        <v>-2343.6182199999998</v>
      </c>
      <c r="W18" s="488">
        <f>-22449.33556+71</f>
        <v>-22378.33556</v>
      </c>
      <c r="X18" s="488">
        <v>1065</v>
      </c>
      <c r="Y18" s="485">
        <v>-2609.84591</v>
      </c>
      <c r="Z18" s="485">
        <v>-2272.9788399999998</v>
      </c>
      <c r="AA18" s="488">
        <v>-4204.1514299999999</v>
      </c>
      <c r="AB18" s="485">
        <v>-2218.3438599999999</v>
      </c>
      <c r="AC18" s="488">
        <v>-24271.061309999997</v>
      </c>
      <c r="AD18" s="488">
        <v>-8184.9259600000005</v>
      </c>
      <c r="AE18" s="488">
        <v>-14977.99042</v>
      </c>
      <c r="AF18" s="639">
        <v>-5699</v>
      </c>
      <c r="AG18" s="639">
        <v>-2800.8364899999997</v>
      </c>
      <c r="AH18" s="639">
        <v>-3254.1783700000001</v>
      </c>
      <c r="AI18" s="488">
        <v>-16756.498950000001</v>
      </c>
      <c r="AJ18" s="486">
        <v>-3095.5930700000008</v>
      </c>
      <c r="AK18" s="485">
        <v>-3216.3714100000002</v>
      </c>
      <c r="AL18" s="488">
        <v>51308</v>
      </c>
      <c r="AM18" s="485">
        <f>-6790.77104-2107.26448</f>
        <v>-8898.0355199999995</v>
      </c>
      <c r="AN18" s="485">
        <f>-5170.04344-86</f>
        <v>-5256.0434400000004</v>
      </c>
      <c r="AO18" s="485">
        <v>-1987.0434299999999</v>
      </c>
      <c r="AP18" s="485">
        <v>-5290.0947800000004</v>
      </c>
      <c r="AQ18" s="488">
        <v>-3469.8977</v>
      </c>
      <c r="AR18" s="488">
        <v>5727.5650300000007</v>
      </c>
      <c r="AS18" s="488">
        <v>2871.8959400000008</v>
      </c>
      <c r="AT18" s="488">
        <v>231.54531000000048</v>
      </c>
      <c r="AU18" s="488">
        <v>-853.97310999999991</v>
      </c>
      <c r="AV18" s="485">
        <v>584.91206000000034</v>
      </c>
      <c r="AW18" s="485">
        <v>-156.7665400000003</v>
      </c>
      <c r="AX18" s="488">
        <v>-6119.8388900000009</v>
      </c>
      <c r="AY18" s="488">
        <v>5900.2687499999965</v>
      </c>
      <c r="AZ18" s="485">
        <v>838.50439000000006</v>
      </c>
      <c r="BA18" s="485">
        <v>-727.10802000000024</v>
      </c>
      <c r="BB18" s="485">
        <v>28.826159999999959</v>
      </c>
      <c r="BC18" s="485">
        <v>-2390.11366</v>
      </c>
      <c r="BD18" s="485">
        <v>-573.41901999999993</v>
      </c>
      <c r="BE18" s="485">
        <v>217.70587999999989</v>
      </c>
      <c r="BF18" s="485">
        <v>-850.78683999999998</v>
      </c>
      <c r="BG18" s="485">
        <v>4.1399699999992663</v>
      </c>
      <c r="BH18" s="485">
        <v>-198.55453999999986</v>
      </c>
      <c r="BI18" s="485">
        <v>469.68790999999999</v>
      </c>
      <c r="BJ18" s="485">
        <v>1120.9739499999998</v>
      </c>
      <c r="BK18" s="485">
        <v>-651.08033000000046</v>
      </c>
      <c r="BL18" s="488">
        <v>3375.0105600000006</v>
      </c>
      <c r="BM18" s="1182"/>
    </row>
    <row r="19" spans="1:67" ht="13.5" customHeight="1" x14ac:dyDescent="0.2">
      <c r="A19" s="626"/>
      <c r="B19" s="520" t="s">
        <v>9</v>
      </c>
      <c r="C19" s="521">
        <f t="shared" ref="C19:AW19" si="16">+SUM(C16:C18)</f>
        <v>69909</v>
      </c>
      <c r="D19" s="521">
        <f t="shared" si="16"/>
        <v>83734</v>
      </c>
      <c r="E19" s="521">
        <f t="shared" si="16"/>
        <v>119171</v>
      </c>
      <c r="F19" s="521">
        <f t="shared" si="16"/>
        <v>168438</v>
      </c>
      <c r="G19" s="521">
        <f t="shared" si="16"/>
        <v>178252</v>
      </c>
      <c r="H19" s="521">
        <f t="shared" si="16"/>
        <v>30558</v>
      </c>
      <c r="I19" s="521">
        <f t="shared" si="16"/>
        <v>36099</v>
      </c>
      <c r="J19" s="521">
        <f t="shared" si="16"/>
        <v>48979</v>
      </c>
      <c r="K19" s="521">
        <f t="shared" si="16"/>
        <v>36744</v>
      </c>
      <c r="L19" s="521">
        <f t="shared" si="16"/>
        <v>10832</v>
      </c>
      <c r="M19" s="521">
        <f t="shared" si="16"/>
        <v>29674</v>
      </c>
      <c r="N19" s="521">
        <f t="shared" si="16"/>
        <v>40345</v>
      </c>
      <c r="O19" s="521">
        <f t="shared" si="16"/>
        <v>29895</v>
      </c>
      <c r="P19" s="521">
        <f t="shared" si="16"/>
        <v>11333</v>
      </c>
      <c r="Q19" s="521">
        <f t="shared" si="16"/>
        <v>29802</v>
      </c>
      <c r="R19" s="521">
        <f t="shared" si="16"/>
        <v>35628</v>
      </c>
      <c r="S19" s="521">
        <f t="shared" si="16"/>
        <v>53044</v>
      </c>
      <c r="T19" s="521">
        <f t="shared" si="16"/>
        <v>18033.999999999971</v>
      </c>
      <c r="U19" s="521">
        <f t="shared" si="16"/>
        <v>6636.9999999999709</v>
      </c>
      <c r="V19" s="521">
        <f t="shared" si="16"/>
        <v>15879.986009999946</v>
      </c>
      <c r="W19" s="521">
        <f t="shared" si="16"/>
        <v>1712.8176999999632</v>
      </c>
      <c r="X19" s="521">
        <f t="shared" si="16"/>
        <v>7504.434510000021</v>
      </c>
      <c r="Y19" s="521">
        <f t="shared" si="16"/>
        <v>7635.2411300000203</v>
      </c>
      <c r="Z19" s="521">
        <f t="shared" si="16"/>
        <v>18111.364879999976</v>
      </c>
      <c r="AA19" s="521">
        <f t="shared" si="16"/>
        <v>25614.88991000002</v>
      </c>
      <c r="AB19" s="521">
        <f t="shared" si="16"/>
        <v>14360.545709999991</v>
      </c>
      <c r="AC19" s="521">
        <f t="shared" si="16"/>
        <v>13103.106399999968</v>
      </c>
      <c r="AD19" s="521">
        <f t="shared" si="16"/>
        <v>27935.846070000036</v>
      </c>
      <c r="AE19" s="521">
        <f t="shared" si="16"/>
        <v>54072.402549999941</v>
      </c>
      <c r="AF19" s="521">
        <f t="shared" si="16"/>
        <v>22543.493380000011</v>
      </c>
      <c r="AG19" s="521">
        <f t="shared" si="16"/>
        <v>36238.078779999945</v>
      </c>
      <c r="AH19" s="521">
        <f t="shared" si="16"/>
        <v>45686.178229999932</v>
      </c>
      <c r="AI19" s="521">
        <f t="shared" si="16"/>
        <v>48576.524440000045</v>
      </c>
      <c r="AJ19" s="736">
        <f t="shared" si="16"/>
        <v>40625.100069999986</v>
      </c>
      <c r="AK19" s="521">
        <f t="shared" si="16"/>
        <v>45803.189800000066</v>
      </c>
      <c r="AL19" s="521">
        <f t="shared" si="16"/>
        <v>100076.13381000012</v>
      </c>
      <c r="AM19" s="521">
        <f t="shared" si="16"/>
        <v>53109.901349999993</v>
      </c>
      <c r="AN19" s="521">
        <f t="shared" si="16"/>
        <v>26750.455599999961</v>
      </c>
      <c r="AO19" s="521">
        <f t="shared" si="16"/>
        <v>-9186.4830399999973</v>
      </c>
      <c r="AP19" s="521">
        <f t="shared" si="16"/>
        <v>42113.771809999962</v>
      </c>
      <c r="AQ19" s="521">
        <f t="shared" si="16"/>
        <v>40255.049250000025</v>
      </c>
      <c r="AR19" s="521">
        <f t="shared" si="16"/>
        <v>30232.221959999937</v>
      </c>
      <c r="AS19" s="521">
        <f t="shared" si="16"/>
        <v>28215.714269999982</v>
      </c>
      <c r="AT19" s="521">
        <f t="shared" si="16"/>
        <v>23727.719999999998</v>
      </c>
      <c r="AU19" s="521">
        <f t="shared" si="16"/>
        <v>35990.382589999943</v>
      </c>
      <c r="AV19" s="521">
        <f t="shared" si="16"/>
        <v>21601.709109999967</v>
      </c>
      <c r="AW19" s="521">
        <f t="shared" si="16"/>
        <v>35458.489839999951</v>
      </c>
      <c r="AX19" s="521">
        <f t="shared" ref="AX19:BH19" si="17">+SUM(AX16:AX18)</f>
        <v>68734.174690000014</v>
      </c>
      <c r="AY19" s="521">
        <f t="shared" si="17"/>
        <v>64815.150449999965</v>
      </c>
      <c r="AZ19" s="521">
        <f t="shared" si="17"/>
        <v>40239.313079999803</v>
      </c>
      <c r="BA19" s="521">
        <f t="shared" si="17"/>
        <v>44622.017100000201</v>
      </c>
      <c r="BB19" s="521">
        <f t="shared" si="17"/>
        <v>65469.064530000091</v>
      </c>
      <c r="BC19" s="521">
        <f t="shared" si="17"/>
        <v>59952.821860000193</v>
      </c>
      <c r="BD19" s="521">
        <f t="shared" si="17"/>
        <v>44480.741189999768</v>
      </c>
      <c r="BE19" s="521">
        <f t="shared" si="17"/>
        <v>71239.997730000061</v>
      </c>
      <c r="BF19" s="521">
        <f t="shared" si="17"/>
        <v>111728.42351000012</v>
      </c>
      <c r="BG19" s="521">
        <f t="shared" si="17"/>
        <v>111980.14013999987</v>
      </c>
      <c r="BH19" s="521">
        <f t="shared" si="17"/>
        <v>53854.197309999872</v>
      </c>
      <c r="BI19" s="521">
        <f>+SUM(BI16:BI18)</f>
        <v>79643.904739999809</v>
      </c>
      <c r="BJ19" s="521">
        <f>+SUM(BJ16:BJ18)</f>
        <v>101241.07252000005</v>
      </c>
      <c r="BK19" s="521">
        <f>+SUM(BK16:BK18)</f>
        <v>65333.8908299998</v>
      </c>
      <c r="BL19" s="521">
        <f>+SUM(BL16:BL18)</f>
        <v>57512.500710000131</v>
      </c>
      <c r="BM19" s="1182"/>
    </row>
    <row r="20" spans="1:67" ht="13.5" customHeight="1" x14ac:dyDescent="0.2">
      <c r="A20" s="626" t="s">
        <v>225</v>
      </c>
      <c r="B20" s="972" t="str">
        <f>HYPERLINK(Menu!$AY$26,A20)</f>
        <v>Equivalência patrimonial</v>
      </c>
      <c r="C20" s="485">
        <v>0</v>
      </c>
      <c r="D20" s="485">
        <v>-4979</v>
      </c>
      <c r="E20" s="485">
        <v>0</v>
      </c>
      <c r="F20" s="485">
        <v>0</v>
      </c>
      <c r="G20" s="485">
        <v>0</v>
      </c>
      <c r="H20" s="485">
        <v>98</v>
      </c>
      <c r="I20" s="485">
        <v>732</v>
      </c>
      <c r="J20" s="485">
        <v>65</v>
      </c>
      <c r="K20" s="485">
        <v>859</v>
      </c>
      <c r="L20" s="485">
        <v>-728</v>
      </c>
      <c r="M20" s="485">
        <v>-219</v>
      </c>
      <c r="N20" s="485">
        <v>727</v>
      </c>
      <c r="O20" s="485">
        <v>319</v>
      </c>
      <c r="P20" s="485">
        <v>-200</v>
      </c>
      <c r="Q20" s="485">
        <v>68</v>
      </c>
      <c r="R20" s="485">
        <v>409</v>
      </c>
      <c r="S20" s="485">
        <v>2100</v>
      </c>
      <c r="T20" s="485">
        <v>373</v>
      </c>
      <c r="U20" s="485">
        <v>257</v>
      </c>
      <c r="V20" s="485">
        <v>784.93416000000127</v>
      </c>
      <c r="W20" s="485">
        <v>453.33573000000024</v>
      </c>
      <c r="X20" s="485">
        <v>-797.43479000000002</v>
      </c>
      <c r="Y20" s="485">
        <v>-908.26922999999999</v>
      </c>
      <c r="Z20" s="485">
        <v>-18.84490000000001</v>
      </c>
      <c r="AA20" s="485">
        <v>-465.49157000000025</v>
      </c>
      <c r="AB20" s="485">
        <v>-322.19973999999996</v>
      </c>
      <c r="AC20" s="485">
        <v>-379.92368999999991</v>
      </c>
      <c r="AD20" s="485">
        <v>-656.57451999999967</v>
      </c>
      <c r="AE20" s="485">
        <v>595.71961999999996</v>
      </c>
      <c r="AF20" s="485">
        <v>-425</v>
      </c>
      <c r="AG20" s="485">
        <v>-226.81720999999999</v>
      </c>
      <c r="AH20" s="485">
        <v>341.39789999999994</v>
      </c>
      <c r="AI20" s="485">
        <v>681.55288999999982</v>
      </c>
      <c r="AJ20" s="486">
        <v>-528.95529999999997</v>
      </c>
      <c r="AK20" s="485">
        <v>322.18200999999976</v>
      </c>
      <c r="AL20" s="485">
        <v>843.61563999999998</v>
      </c>
      <c r="AM20" s="485">
        <v>2349.8983000000007</v>
      </c>
      <c r="AN20" s="485">
        <v>1394.2409299999999</v>
      </c>
      <c r="AO20" s="485">
        <v>2411.7455300000011</v>
      </c>
      <c r="AP20" s="485">
        <v>2631.5309200000002</v>
      </c>
      <c r="AQ20" s="485">
        <f>-44.1788199999996-117</f>
        <v>-161.1788199999996</v>
      </c>
      <c r="AR20" s="485">
        <v>810.82394999999951</v>
      </c>
      <c r="AS20" s="485">
        <v>2401.2292212000002</v>
      </c>
      <c r="AT20" s="485">
        <v>1798.9342100000003</v>
      </c>
      <c r="AU20" s="485">
        <v>4231.8650900000002</v>
      </c>
      <c r="AV20" s="485">
        <v>3013</v>
      </c>
      <c r="AW20" s="485">
        <v>3005.671455575</v>
      </c>
      <c r="AX20" s="485">
        <v>2435.9022784000003</v>
      </c>
      <c r="AY20" s="485">
        <v>2116.9677172000002</v>
      </c>
      <c r="AZ20" s="485">
        <v>3837.9019078000001</v>
      </c>
      <c r="BA20" s="485">
        <v>2883.4226600000002</v>
      </c>
      <c r="BB20" s="485">
        <v>5093.8337000000001</v>
      </c>
      <c r="BC20" s="485">
        <v>4439.7830400000003</v>
      </c>
      <c r="BD20" s="485">
        <v>6603.9437900000003</v>
      </c>
      <c r="BE20" s="485">
        <v>9362.2939999999999</v>
      </c>
      <c r="BF20" s="485">
        <v>7432.3453100000006</v>
      </c>
      <c r="BG20" s="485">
        <v>5865.9073797000001</v>
      </c>
      <c r="BH20" s="485">
        <v>6307.3868199999988</v>
      </c>
      <c r="BI20" s="485">
        <v>8941.1631000000052</v>
      </c>
      <c r="BJ20" s="485">
        <v>7375.3358299999982</v>
      </c>
      <c r="BK20" s="485">
        <v>4187.0581799999964</v>
      </c>
      <c r="BL20" s="485">
        <v>1431.1688000000004</v>
      </c>
      <c r="BM20" s="1182"/>
      <c r="BN20" s="514"/>
      <c r="BO20" s="514"/>
    </row>
    <row r="21" spans="1:67" ht="13.5" customHeight="1" x14ac:dyDescent="0.2">
      <c r="A21" s="626" t="s">
        <v>331</v>
      </c>
      <c r="B21" s="972" t="str">
        <f>HYPERLINK(Menu!$AY$39,A21)</f>
        <v>Resultado financeiro</v>
      </c>
      <c r="C21" s="485">
        <v>275</v>
      </c>
      <c r="D21" s="485">
        <f>D22+D23</f>
        <v>7919</v>
      </c>
      <c r="E21" s="485">
        <f>E22+E23</f>
        <v>-11744</v>
      </c>
      <c r="F21" s="485">
        <v>-9727</v>
      </c>
      <c r="G21" s="485">
        <v>-30988</v>
      </c>
      <c r="H21" s="485">
        <v>-8328</v>
      </c>
      <c r="I21" s="485">
        <v>-9030</v>
      </c>
      <c r="J21" s="485">
        <v>-9951</v>
      </c>
      <c r="K21" s="485">
        <v>-6009</v>
      </c>
      <c r="L21" s="485">
        <v>-7799</v>
      </c>
      <c r="M21" s="485">
        <v>107</v>
      </c>
      <c r="N21" s="485">
        <v>-18842</v>
      </c>
      <c r="O21" s="485">
        <v>-12345</v>
      </c>
      <c r="P21" s="485">
        <v>-10235</v>
      </c>
      <c r="Q21" s="485">
        <v>-9164</v>
      </c>
      <c r="R21" s="485">
        <v>-12594</v>
      </c>
      <c r="S21" s="485">
        <v>-14225</v>
      </c>
      <c r="T21" s="485">
        <f>SUM(T22:T23)</f>
        <v>-7678</v>
      </c>
      <c r="U21" s="485">
        <f>SUM(U22:U23)</f>
        <v>-5199</v>
      </c>
      <c r="V21" s="485">
        <f>SUM(V22:V23)</f>
        <v>-8493</v>
      </c>
      <c r="W21" s="488">
        <f>SUM(W22:W23)</f>
        <v>-11585</v>
      </c>
      <c r="X21" s="488">
        <f>SUM(X22:X23)</f>
        <v>-8795</v>
      </c>
      <c r="Y21" s="485">
        <f t="shared" ref="Y21:AO21" si="18">SUM(Y22:Y23)</f>
        <v>-6205.3005300000004</v>
      </c>
      <c r="Z21" s="488">
        <f t="shared" si="18"/>
        <v>-11073.155569999999</v>
      </c>
      <c r="AA21" s="488">
        <f t="shared" si="18"/>
        <v>-3803.2308699999994</v>
      </c>
      <c r="AB21" s="485">
        <f t="shared" si="18"/>
        <v>-4287.1967700000005</v>
      </c>
      <c r="AC21" s="488">
        <f t="shared" si="18"/>
        <v>3566.6795899999997</v>
      </c>
      <c r="AD21" s="485">
        <f t="shared" si="18"/>
        <v>-3113.1098000000002</v>
      </c>
      <c r="AE21" s="488">
        <f t="shared" si="18"/>
        <v>12617.618369999998</v>
      </c>
      <c r="AF21" s="485">
        <f t="shared" si="18"/>
        <v>-1889.4519500000006</v>
      </c>
      <c r="AG21" s="485">
        <f t="shared" si="18"/>
        <v>-825.25070000000005</v>
      </c>
      <c r="AH21" s="488">
        <f t="shared" si="18"/>
        <v>-4991.2516099999993</v>
      </c>
      <c r="AI21" s="488">
        <f t="shared" si="18"/>
        <v>-1413.8592499999995</v>
      </c>
      <c r="AJ21" s="486">
        <f t="shared" si="18"/>
        <v>-1898</v>
      </c>
      <c r="AK21" s="485">
        <f t="shared" si="18"/>
        <v>-2688</v>
      </c>
      <c r="AL21" s="485">
        <f t="shared" si="18"/>
        <v>30529</v>
      </c>
      <c r="AM21" s="485">
        <f t="shared" si="18"/>
        <v>-3245.5405300000002</v>
      </c>
      <c r="AN21" s="485">
        <f t="shared" si="18"/>
        <v>-2007.30314</v>
      </c>
      <c r="AO21" s="485">
        <f t="shared" si="18"/>
        <v>-2212.7467099999976</v>
      </c>
      <c r="AP21" s="485">
        <f>SUM(AP22:AP23)</f>
        <v>-2784.8866099999996</v>
      </c>
      <c r="AQ21" s="485">
        <f>SUM(AQ22:AQ23)</f>
        <v>-2152.0314800000006</v>
      </c>
      <c r="AR21" s="485">
        <f>SUM(AR22:AR23)</f>
        <v>-2893.5208399999997</v>
      </c>
      <c r="AS21" s="485">
        <v>1719.5772200000001</v>
      </c>
      <c r="AT21" s="485">
        <v>-896.09401000000025</v>
      </c>
      <c r="AU21" s="485">
        <f>SUM(AU22:AU23)</f>
        <v>-952.37159000000065</v>
      </c>
      <c r="AV21" s="485">
        <v>-540.99999999999909</v>
      </c>
      <c r="AW21" s="485">
        <v>164.84838000000036</v>
      </c>
      <c r="AX21" s="485">
        <f>SUM(AX22:AX23)</f>
        <v>-52.790259999998852</v>
      </c>
      <c r="AY21" s="485">
        <v>7143.2795999999998</v>
      </c>
      <c r="AZ21" s="485">
        <f>SUM(AZ22:AZ23)</f>
        <v>1279.2891100000006</v>
      </c>
      <c r="BA21" s="485">
        <v>2933.0279499999979</v>
      </c>
      <c r="BB21" s="485">
        <v>2517.9430699999984</v>
      </c>
      <c r="BC21" s="485">
        <f>SUM(BC22:BC23)</f>
        <v>2208.5117899999996</v>
      </c>
      <c r="BD21" s="485">
        <f>SUM(BD22:BD23)</f>
        <v>2039.7343800000008</v>
      </c>
      <c r="BE21" s="488">
        <f>SUM(BE22:BE23)</f>
        <v>4056.5603300000002</v>
      </c>
      <c r="BF21" s="485">
        <f>SUM(BF22:BF23)</f>
        <v>1218.2220500000021</v>
      </c>
      <c r="BG21" s="485">
        <f>SUM(BG22:BG23)</f>
        <v>1460.4212000000007</v>
      </c>
      <c r="BH21" s="485">
        <v>2351.3270400000001</v>
      </c>
      <c r="BI21" s="485">
        <v>3260.8603000000021</v>
      </c>
      <c r="BJ21" s="485">
        <v>3306.933340000005</v>
      </c>
      <c r="BK21" s="485">
        <v>2568.8136299999987</v>
      </c>
      <c r="BL21" s="485">
        <f>SUM(BL22:BL23)</f>
        <v>-1121.6847399999997</v>
      </c>
      <c r="BM21" s="1182"/>
      <c r="BN21" s="514"/>
      <c r="BO21" s="514"/>
    </row>
    <row r="22" spans="1:67" ht="13.5" customHeight="1" outlineLevel="1" x14ac:dyDescent="0.2">
      <c r="A22" s="626" t="s">
        <v>294</v>
      </c>
      <c r="B22" s="973" t="s">
        <v>294</v>
      </c>
      <c r="C22" s="485">
        <v>0</v>
      </c>
      <c r="D22" s="485">
        <v>-10961</v>
      </c>
      <c r="E22" s="485">
        <v>-21093</v>
      </c>
      <c r="F22" s="485">
        <v>0</v>
      </c>
      <c r="G22" s="485">
        <v>0</v>
      </c>
      <c r="H22" s="523" t="s">
        <v>160</v>
      </c>
      <c r="I22" s="523" t="s">
        <v>160</v>
      </c>
      <c r="J22" s="523" t="s">
        <v>160</v>
      </c>
      <c r="K22" s="523" t="s">
        <v>160</v>
      </c>
      <c r="L22" s="523" t="s">
        <v>160</v>
      </c>
      <c r="M22" s="523" t="s">
        <v>160</v>
      </c>
      <c r="N22" s="523" t="s">
        <v>160</v>
      </c>
      <c r="O22" s="523" t="s">
        <v>160</v>
      </c>
      <c r="P22" s="523" t="s">
        <v>160</v>
      </c>
      <c r="Q22" s="523" t="s">
        <v>160</v>
      </c>
      <c r="R22" s="523" t="s">
        <v>160</v>
      </c>
      <c r="S22" s="523" t="s">
        <v>160</v>
      </c>
      <c r="T22" s="485">
        <v>-17705</v>
      </c>
      <c r="U22" s="485">
        <v>-16495</v>
      </c>
      <c r="V22" s="485">
        <v>-14912</v>
      </c>
      <c r="W22" s="488">
        <v>-19635</v>
      </c>
      <c r="X22" s="488">
        <v>-16296</v>
      </c>
      <c r="Y22" s="485">
        <v>-13907</v>
      </c>
      <c r="Z22" s="488">
        <v>-18994.62141</v>
      </c>
      <c r="AA22" s="488">
        <v>-13158.85471</v>
      </c>
      <c r="AB22" s="485">
        <v>-9593.7638100000004</v>
      </c>
      <c r="AC22" s="485">
        <v>-8091.4878599999993</v>
      </c>
      <c r="AD22" s="485">
        <v>-8691.5884399999995</v>
      </c>
      <c r="AE22" s="485">
        <v>-1529.8947799999999</v>
      </c>
      <c r="AF22" s="485">
        <v>-4564.3026500000005</v>
      </c>
      <c r="AG22" s="485">
        <v>-3828.47154</v>
      </c>
      <c r="AH22" s="485">
        <v>-15149.87408</v>
      </c>
      <c r="AI22" s="485">
        <v>-10293.400669999999</v>
      </c>
      <c r="AJ22" s="486">
        <v>-5694</v>
      </c>
      <c r="AK22" s="485">
        <v>-4049</v>
      </c>
      <c r="AL22" s="488">
        <v>-9818</v>
      </c>
      <c r="AM22" s="485">
        <v>-13645.773789999999</v>
      </c>
      <c r="AN22" s="485">
        <v>-19086.04146</v>
      </c>
      <c r="AO22" s="485">
        <v>-11166.114489999998</v>
      </c>
      <c r="AP22" s="485">
        <v>-8161.8321499999993</v>
      </c>
      <c r="AQ22" s="485">
        <v>-4033.9628000000002</v>
      </c>
      <c r="AR22" s="485">
        <v>-4430.6220699999994</v>
      </c>
      <c r="AS22" s="485">
        <v>-4001.6024600000001</v>
      </c>
      <c r="AT22" s="485">
        <v>-4355.9090100000003</v>
      </c>
      <c r="AU22" s="485">
        <v>-8571.3697200000006</v>
      </c>
      <c r="AV22" s="485">
        <v>-6749.6398200000003</v>
      </c>
      <c r="AW22" s="485">
        <v>-6908.3586099999984</v>
      </c>
      <c r="AX22" s="485">
        <v>-5248.6184800000001</v>
      </c>
      <c r="AY22" s="485">
        <v>-4599.2150500000007</v>
      </c>
      <c r="AZ22" s="485">
        <v>-6875.40067</v>
      </c>
      <c r="BA22" s="485">
        <v>-7593.7834900000016</v>
      </c>
      <c r="BB22" s="485">
        <v>-6072.336760000001</v>
      </c>
      <c r="BC22" s="485">
        <v>-7185.5800499999996</v>
      </c>
      <c r="BD22" s="485">
        <v>-6627.8497899999993</v>
      </c>
      <c r="BE22" s="485">
        <v>-6492.406930000001</v>
      </c>
      <c r="BF22" s="485">
        <v>-6743.5508199999995</v>
      </c>
      <c r="BG22" s="485">
        <v>-6905.99863</v>
      </c>
      <c r="BH22" s="485">
        <v>-9106.8237899999986</v>
      </c>
      <c r="BI22" s="485">
        <v>-9041.2498599999999</v>
      </c>
      <c r="BJ22" s="485">
        <v>-9341.6976099999956</v>
      </c>
      <c r="BK22" s="485">
        <v>-8100.294100000001</v>
      </c>
      <c r="BL22" s="485">
        <v>-8957.7325500000006</v>
      </c>
      <c r="BM22" s="1182"/>
      <c r="BN22" s="514"/>
      <c r="BO22" s="514"/>
    </row>
    <row r="23" spans="1:67" ht="13.5" customHeight="1" outlineLevel="1" x14ac:dyDescent="0.2">
      <c r="A23" s="626"/>
      <c r="B23" s="973" t="s">
        <v>295</v>
      </c>
      <c r="C23" s="485">
        <v>0</v>
      </c>
      <c r="D23" s="485">
        <v>18880</v>
      </c>
      <c r="E23" s="485">
        <v>9349</v>
      </c>
      <c r="F23" s="485">
        <v>0</v>
      </c>
      <c r="G23" s="485">
        <v>0</v>
      </c>
      <c r="H23" s="523" t="s">
        <v>160</v>
      </c>
      <c r="I23" s="523" t="s">
        <v>160</v>
      </c>
      <c r="J23" s="523" t="s">
        <v>160</v>
      </c>
      <c r="K23" s="523" t="s">
        <v>160</v>
      </c>
      <c r="L23" s="523" t="s">
        <v>160</v>
      </c>
      <c r="M23" s="523" t="s">
        <v>160</v>
      </c>
      <c r="N23" s="523" t="s">
        <v>160</v>
      </c>
      <c r="O23" s="523" t="s">
        <v>160</v>
      </c>
      <c r="P23" s="523" t="s">
        <v>160</v>
      </c>
      <c r="Q23" s="523" t="s">
        <v>160</v>
      </c>
      <c r="R23" s="523" t="s">
        <v>160</v>
      </c>
      <c r="S23" s="523" t="s">
        <v>160</v>
      </c>
      <c r="T23" s="485">
        <v>10027</v>
      </c>
      <c r="U23" s="485">
        <v>11296</v>
      </c>
      <c r="V23" s="485">
        <v>6419</v>
      </c>
      <c r="W23" s="485">
        <v>8050</v>
      </c>
      <c r="X23" s="485">
        <v>7501</v>
      </c>
      <c r="Y23" s="485">
        <v>7701.6994699999996</v>
      </c>
      <c r="Z23" s="485">
        <v>7921.4658400000008</v>
      </c>
      <c r="AA23" s="485">
        <v>9355.6238400000002</v>
      </c>
      <c r="AB23" s="485">
        <v>5306.5670399999999</v>
      </c>
      <c r="AC23" s="485">
        <v>11658.167449999999</v>
      </c>
      <c r="AD23" s="485">
        <v>5578.4786399999994</v>
      </c>
      <c r="AE23" s="485">
        <v>14147.513149999999</v>
      </c>
      <c r="AF23" s="485">
        <v>2674.8507</v>
      </c>
      <c r="AG23" s="485">
        <v>3003.22084</v>
      </c>
      <c r="AH23" s="485">
        <v>10158.62247</v>
      </c>
      <c r="AI23" s="485">
        <v>8879.5414199999996</v>
      </c>
      <c r="AJ23" s="486">
        <v>3796</v>
      </c>
      <c r="AK23" s="485">
        <v>1361</v>
      </c>
      <c r="AL23" s="488">
        <v>40347</v>
      </c>
      <c r="AM23" s="485">
        <v>10400.233259999999</v>
      </c>
      <c r="AN23" s="485">
        <v>17078.73832</v>
      </c>
      <c r="AO23" s="485">
        <v>8953.3677800000005</v>
      </c>
      <c r="AP23" s="485">
        <v>5376.9455399999997</v>
      </c>
      <c r="AQ23" s="485">
        <v>1881.9313199999999</v>
      </c>
      <c r="AR23" s="485">
        <v>1537.1012299999998</v>
      </c>
      <c r="AS23" s="488">
        <v>5721.1796800000002</v>
      </c>
      <c r="AT23" s="485">
        <v>3459.8150000000001</v>
      </c>
      <c r="AU23" s="485">
        <v>7618.9981299999999</v>
      </c>
      <c r="AV23" s="485">
        <v>6208.6398200000012</v>
      </c>
      <c r="AW23" s="485">
        <v>7073.2069899999988</v>
      </c>
      <c r="AX23" s="485">
        <v>5195.8282200000012</v>
      </c>
      <c r="AY23" s="488">
        <v>11742.494650000001</v>
      </c>
      <c r="AZ23" s="485">
        <v>8154.6897800000006</v>
      </c>
      <c r="BA23" s="488">
        <v>10526.811439999999</v>
      </c>
      <c r="BB23" s="485">
        <v>8590.2798299999995</v>
      </c>
      <c r="BC23" s="485">
        <v>9394.0918399999991</v>
      </c>
      <c r="BD23" s="485">
        <v>8667.5841700000001</v>
      </c>
      <c r="BE23" s="488">
        <v>10548.967260000001</v>
      </c>
      <c r="BF23" s="485">
        <v>7961.7728700000016</v>
      </c>
      <c r="BG23" s="485">
        <v>8366.4198300000007</v>
      </c>
      <c r="BH23" s="485">
        <v>11458.150829999999</v>
      </c>
      <c r="BI23" s="485">
        <v>12302.110160000002</v>
      </c>
      <c r="BJ23" s="485">
        <v>12648.630950000001</v>
      </c>
      <c r="BK23" s="485">
        <v>10669.10773</v>
      </c>
      <c r="BL23" s="485">
        <v>7836.0478100000009</v>
      </c>
      <c r="BM23" s="1182"/>
      <c r="BN23" s="514"/>
      <c r="BO23" s="514"/>
    </row>
    <row r="24" spans="1:67" ht="13.5" customHeight="1" x14ac:dyDescent="0.2">
      <c r="A24" s="626"/>
      <c r="B24" s="520" t="s">
        <v>14</v>
      </c>
      <c r="C24" s="521">
        <f t="shared" ref="C24:AW24" si="19">C19+C21+C20</f>
        <v>70184</v>
      </c>
      <c r="D24" s="521">
        <f t="shared" si="19"/>
        <v>86674</v>
      </c>
      <c r="E24" s="521">
        <f t="shared" si="19"/>
        <v>107427</v>
      </c>
      <c r="F24" s="521">
        <f t="shared" si="19"/>
        <v>158711</v>
      </c>
      <c r="G24" s="521">
        <f t="shared" si="19"/>
        <v>147264</v>
      </c>
      <c r="H24" s="521">
        <f t="shared" si="19"/>
        <v>22328</v>
      </c>
      <c r="I24" s="521">
        <f t="shared" si="19"/>
        <v>27801</v>
      </c>
      <c r="J24" s="521">
        <f t="shared" si="19"/>
        <v>39093</v>
      </c>
      <c r="K24" s="521">
        <f t="shared" si="19"/>
        <v>31594</v>
      </c>
      <c r="L24" s="521">
        <f t="shared" si="19"/>
        <v>2305</v>
      </c>
      <c r="M24" s="521">
        <f t="shared" si="19"/>
        <v>29562</v>
      </c>
      <c r="N24" s="521">
        <f t="shared" si="19"/>
        <v>22230</v>
      </c>
      <c r="O24" s="521">
        <f t="shared" si="19"/>
        <v>17869</v>
      </c>
      <c r="P24" s="521">
        <f t="shared" si="19"/>
        <v>898</v>
      </c>
      <c r="Q24" s="521">
        <f t="shared" si="19"/>
        <v>20706</v>
      </c>
      <c r="R24" s="521">
        <f t="shared" si="19"/>
        <v>23443</v>
      </c>
      <c r="S24" s="521">
        <f t="shared" si="19"/>
        <v>40919</v>
      </c>
      <c r="T24" s="521">
        <f t="shared" si="19"/>
        <v>10728.999999999971</v>
      </c>
      <c r="U24" s="521">
        <f t="shared" si="19"/>
        <v>1694.9999999999709</v>
      </c>
      <c r="V24" s="521">
        <f t="shared" si="19"/>
        <v>8171.9201699999476</v>
      </c>
      <c r="W24" s="521">
        <f t="shared" si="19"/>
        <v>-9418.8465700000361</v>
      </c>
      <c r="X24" s="521">
        <f t="shared" si="19"/>
        <v>-2088.0002799999793</v>
      </c>
      <c r="Y24" s="521">
        <f t="shared" si="19"/>
        <v>521.67137000001992</v>
      </c>
      <c r="Z24" s="521">
        <f t="shared" si="19"/>
        <v>7019.3644099999765</v>
      </c>
      <c r="AA24" s="521">
        <f t="shared" si="19"/>
        <v>21346.167470000019</v>
      </c>
      <c r="AB24" s="521">
        <f t="shared" si="19"/>
        <v>9751.1491999999907</v>
      </c>
      <c r="AC24" s="521">
        <f t="shared" si="19"/>
        <v>16289.862299999968</v>
      </c>
      <c r="AD24" s="521">
        <f t="shared" si="19"/>
        <v>24166.161750000039</v>
      </c>
      <c r="AE24" s="521">
        <f t="shared" si="19"/>
        <v>67285.740539999941</v>
      </c>
      <c r="AF24" s="521">
        <f t="shared" si="19"/>
        <v>20229.041430000012</v>
      </c>
      <c r="AG24" s="521">
        <f t="shared" si="19"/>
        <v>35186.010869999947</v>
      </c>
      <c r="AH24" s="521">
        <f t="shared" si="19"/>
        <v>41036.324519999936</v>
      </c>
      <c r="AI24" s="521">
        <f t="shared" si="19"/>
        <v>47844.218080000042</v>
      </c>
      <c r="AJ24" s="736">
        <f t="shared" si="19"/>
        <v>38198.144769999984</v>
      </c>
      <c r="AK24" s="521">
        <f t="shared" si="19"/>
        <v>43437.371810000062</v>
      </c>
      <c r="AL24" s="521">
        <f t="shared" si="19"/>
        <v>131448.74945000012</v>
      </c>
      <c r="AM24" s="521">
        <f t="shared" si="19"/>
        <v>52214.259119999995</v>
      </c>
      <c r="AN24" s="521">
        <f t="shared" si="19"/>
        <v>26137.393389999961</v>
      </c>
      <c r="AO24" s="521">
        <f t="shared" si="19"/>
        <v>-8987.4842199999948</v>
      </c>
      <c r="AP24" s="521">
        <f t="shared" si="19"/>
        <v>41960.416119999958</v>
      </c>
      <c r="AQ24" s="521">
        <f t="shared" si="19"/>
        <v>37941.838950000027</v>
      </c>
      <c r="AR24" s="521">
        <f t="shared" si="19"/>
        <v>28149.525069999934</v>
      </c>
      <c r="AS24" s="521">
        <f t="shared" si="19"/>
        <v>32336.520711199981</v>
      </c>
      <c r="AT24" s="521">
        <f t="shared" si="19"/>
        <v>24630.560199999996</v>
      </c>
      <c r="AU24" s="521">
        <f t="shared" si="19"/>
        <v>39269.87608999994</v>
      </c>
      <c r="AV24" s="521">
        <f t="shared" si="19"/>
        <v>24073.709109999967</v>
      </c>
      <c r="AW24" s="521">
        <f t="shared" si="19"/>
        <v>38629.009675574955</v>
      </c>
      <c r="AX24" s="521">
        <f t="shared" ref="AX24:BG24" si="20">AX19+AX21+AX20</f>
        <v>71117.286708400017</v>
      </c>
      <c r="AY24" s="521">
        <f t="shared" si="20"/>
        <v>74075.39776719996</v>
      </c>
      <c r="AZ24" s="521">
        <f t="shared" si="20"/>
        <v>45356.5040977998</v>
      </c>
      <c r="BA24" s="521">
        <f t="shared" si="20"/>
        <v>50438.467710000201</v>
      </c>
      <c r="BB24" s="521">
        <f t="shared" si="20"/>
        <v>73080.841300000087</v>
      </c>
      <c r="BC24" s="521">
        <f t="shared" si="20"/>
        <v>66601.116690000184</v>
      </c>
      <c r="BD24" s="521">
        <f t="shared" si="20"/>
        <v>53124.419359999767</v>
      </c>
      <c r="BE24" s="521">
        <f t="shared" si="20"/>
        <v>84658.852060000063</v>
      </c>
      <c r="BF24" s="521">
        <f t="shared" si="20"/>
        <v>120378.99087000013</v>
      </c>
      <c r="BG24" s="521">
        <f t="shared" si="20"/>
        <v>119306.46871969987</v>
      </c>
      <c r="BH24" s="521">
        <f>BH19+BH21+BH20</f>
        <v>62512.911169999876</v>
      </c>
      <c r="BI24" s="521">
        <f>BI19+BI21+BI20</f>
        <v>91845.928139999814</v>
      </c>
      <c r="BJ24" s="521">
        <f>BJ19+BJ21+BJ20</f>
        <v>111923.34169000004</v>
      </c>
      <c r="BK24" s="521">
        <f>BK19+BK21+BK20</f>
        <v>72089.762639999797</v>
      </c>
      <c r="BL24" s="521">
        <f>BL19+BL21+BL20</f>
        <v>57821.984770000134</v>
      </c>
      <c r="BM24" s="1183"/>
      <c r="BN24" s="514"/>
      <c r="BO24" s="514"/>
    </row>
    <row r="25" spans="1:67" ht="13.5" customHeight="1" x14ac:dyDescent="0.2">
      <c r="A25" s="626" t="s">
        <v>15</v>
      </c>
      <c r="B25" s="972" t="str">
        <f>HYPERLINK(Menu!$AY$32,A25)</f>
        <v>Imposto de renda e contribuição social</v>
      </c>
      <c r="C25" s="485">
        <f>-21995-7846</f>
        <v>-29841</v>
      </c>
      <c r="D25" s="485">
        <v>-33691</v>
      </c>
      <c r="E25" s="485">
        <v>-30958</v>
      </c>
      <c r="F25" s="485">
        <v>-46409</v>
      </c>
      <c r="G25" s="485">
        <v>-48195</v>
      </c>
      <c r="H25" s="523">
        <v>-8014</v>
      </c>
      <c r="I25" s="523">
        <v>-8880</v>
      </c>
      <c r="J25" s="523">
        <v>-8831</v>
      </c>
      <c r="K25" s="523">
        <v>-14616</v>
      </c>
      <c r="L25" s="523">
        <v>-1306</v>
      </c>
      <c r="M25" s="523">
        <v>-14353</v>
      </c>
      <c r="N25" s="523">
        <v>-3882</v>
      </c>
      <c r="O25" s="523">
        <v>-12950</v>
      </c>
      <c r="P25" s="523">
        <v>405</v>
      </c>
      <c r="Q25" s="523">
        <v>-1432</v>
      </c>
      <c r="R25" s="523">
        <v>-24998</v>
      </c>
      <c r="S25" s="523">
        <v>-27524</v>
      </c>
      <c r="T25" s="485">
        <v>-3229</v>
      </c>
      <c r="U25" s="485">
        <v>-512</v>
      </c>
      <c r="V25" s="485">
        <v>-3070.77151</v>
      </c>
      <c r="W25" s="488">
        <v>5565.3430946000008</v>
      </c>
      <c r="X25" s="485">
        <v>185</v>
      </c>
      <c r="Y25" s="485">
        <v>-1210</v>
      </c>
      <c r="Z25" s="485">
        <v>-3177.8091100000011</v>
      </c>
      <c r="AA25" s="485">
        <v>-8770.0601499999993</v>
      </c>
      <c r="AB25" s="485">
        <v>-4298.9160000000002</v>
      </c>
      <c r="AC25" s="488">
        <v>7766.8676799999994</v>
      </c>
      <c r="AD25" s="485">
        <v>-8879.3011299999998</v>
      </c>
      <c r="AE25" s="488">
        <v>-8319.4488999999994</v>
      </c>
      <c r="AF25" s="639">
        <v>-6233</v>
      </c>
      <c r="AG25" s="639">
        <v>-7000.1369300000006</v>
      </c>
      <c r="AH25" s="639">
        <v>-9929.7333699999999</v>
      </c>
      <c r="AI25" s="488">
        <v>-12883.216170000002</v>
      </c>
      <c r="AJ25" s="486">
        <v>-11575.73976</v>
      </c>
      <c r="AK25" s="485">
        <v>-10923.94203</v>
      </c>
      <c r="AL25" s="488">
        <v>-40057.514449999995</v>
      </c>
      <c r="AM25" s="485">
        <v>-8769.3005799999992</v>
      </c>
      <c r="AN25" s="485">
        <v>-6850.96893</v>
      </c>
      <c r="AO25" s="485">
        <v>4624.6438899999994</v>
      </c>
      <c r="AP25" s="485">
        <v>-12021.130280000001</v>
      </c>
      <c r="AQ25" s="485">
        <v>-9295.3423600000006</v>
      </c>
      <c r="AR25" s="485">
        <v>-7991.2797200000005</v>
      </c>
      <c r="AS25" s="485">
        <v>-8180.5598599999994</v>
      </c>
      <c r="AT25" s="488">
        <v>9562.4</v>
      </c>
      <c r="AU25" s="485">
        <v>-9991.3930700000001</v>
      </c>
      <c r="AV25" s="485">
        <v>-5291</v>
      </c>
      <c r="AW25" s="485">
        <v>-8048.3106200000002</v>
      </c>
      <c r="AX25" s="485">
        <v>-17648.283640000001</v>
      </c>
      <c r="AY25" s="485">
        <v>-17243.035919999998</v>
      </c>
      <c r="AZ25" s="485">
        <v>-10633.6551</v>
      </c>
      <c r="BA25" s="485">
        <v>-10582.149069999999</v>
      </c>
      <c r="BB25" s="485">
        <v>-16768.140070000001</v>
      </c>
      <c r="BC25" s="485">
        <v>-15580.425179999998</v>
      </c>
      <c r="BD25" s="485">
        <v>-15609.352519999997</v>
      </c>
      <c r="BE25" s="485">
        <v>-21144.194380000001</v>
      </c>
      <c r="BF25" s="485">
        <v>-35933.303370000001</v>
      </c>
      <c r="BG25" s="485">
        <v>-34169.50647</v>
      </c>
      <c r="BH25" s="485">
        <v>-18778.226869999999</v>
      </c>
      <c r="BI25" s="485">
        <v>-24727.419260000002</v>
      </c>
      <c r="BJ25" s="485">
        <v>-32032.358809999994</v>
      </c>
      <c r="BK25" s="485">
        <v>-19871.384720000002</v>
      </c>
      <c r="BL25" s="485">
        <v>-19037.088649999998</v>
      </c>
      <c r="BM25" s="1183"/>
      <c r="BN25" s="514"/>
      <c r="BO25" s="514"/>
    </row>
    <row r="26" spans="1:67" hidden="1" outlineLevel="1" x14ac:dyDescent="0.2">
      <c r="A26" s="626"/>
      <c r="B26" s="520" t="s">
        <v>57</v>
      </c>
      <c r="C26" s="521">
        <f>+SUM(C24:C25)</f>
        <v>40343</v>
      </c>
      <c r="D26" s="521">
        <f>+SUM(D24:D25)</f>
        <v>52983</v>
      </c>
      <c r="E26" s="521">
        <f>+SUM(E24:E25)</f>
        <v>76469</v>
      </c>
      <c r="F26" s="521">
        <f>+SUM(F24:F25)</f>
        <v>112302</v>
      </c>
      <c r="G26" s="521">
        <f>+SUM(G24:G25)</f>
        <v>99069</v>
      </c>
      <c r="H26" s="521">
        <v>14314</v>
      </c>
      <c r="I26" s="521">
        <v>18921</v>
      </c>
      <c r="J26" s="521">
        <v>30262</v>
      </c>
      <c r="K26" s="521">
        <v>16978</v>
      </c>
      <c r="L26" s="521">
        <v>999</v>
      </c>
      <c r="M26" s="521">
        <v>15209</v>
      </c>
      <c r="N26" s="521">
        <v>18348</v>
      </c>
      <c r="O26" s="521">
        <v>4919</v>
      </c>
      <c r="P26" s="521">
        <v>1303</v>
      </c>
      <c r="Q26" s="521">
        <v>19274</v>
      </c>
      <c r="R26" s="521">
        <v>-1555</v>
      </c>
      <c r="S26" s="521">
        <v>13395</v>
      </c>
      <c r="T26" s="521">
        <f>+SUM(T24:T25)</f>
        <v>7499.9999999999709</v>
      </c>
      <c r="U26" s="521">
        <f>+SUM(U24:U25)</f>
        <v>1182.9999999999709</v>
      </c>
      <c r="V26" s="521">
        <f>+SUM(V24:V25)</f>
        <v>5101.148659999948</v>
      </c>
      <c r="W26" s="521">
        <f>+SUM(W24:W25)</f>
        <v>-3853.5034754000353</v>
      </c>
      <c r="X26" s="521">
        <f>+SUM(X24:X25)</f>
        <v>-1903.0002799999793</v>
      </c>
      <c r="Y26" s="521">
        <f t="shared" ref="Y26:AD26" si="21">+SUM(Y24:Y25)</f>
        <v>-688.32862999998008</v>
      </c>
      <c r="Z26" s="521">
        <f t="shared" si="21"/>
        <v>3841.5552999999754</v>
      </c>
      <c r="AA26" s="521">
        <f t="shared" si="21"/>
        <v>12576.107320000019</v>
      </c>
      <c r="AB26" s="521">
        <f t="shared" si="21"/>
        <v>5452.2331999999906</v>
      </c>
      <c r="AC26" s="521">
        <f t="shared" si="21"/>
        <v>24056.729979999967</v>
      </c>
      <c r="AD26" s="521">
        <f t="shared" si="21"/>
        <v>15286.860620000039</v>
      </c>
      <c r="AE26" s="521">
        <f t="shared" ref="AE26:AK26" si="22">+SUM(AE24:AE25)</f>
        <v>58966.291639999938</v>
      </c>
      <c r="AF26" s="521">
        <f t="shared" si="22"/>
        <v>13996.041430000012</v>
      </c>
      <c r="AG26" s="521">
        <f t="shared" si="22"/>
        <v>28185.873939999947</v>
      </c>
      <c r="AH26" s="521">
        <f t="shared" si="22"/>
        <v>31106.591149999935</v>
      </c>
      <c r="AI26" s="521">
        <f t="shared" si="22"/>
        <v>34961.001910000043</v>
      </c>
      <c r="AJ26" s="736">
        <f t="shared" si="22"/>
        <v>26622.405009999984</v>
      </c>
      <c r="AK26" s="521">
        <f t="shared" si="22"/>
        <v>32513.429780000064</v>
      </c>
      <c r="AL26" s="521">
        <v>91391.468380000093</v>
      </c>
      <c r="AM26" s="521">
        <v>43444.958539999992</v>
      </c>
      <c r="AN26" s="521">
        <f t="shared" ref="AN26:AV26" si="23">+SUM(AN24:AN25)</f>
        <v>19286.424459999962</v>
      </c>
      <c r="AO26" s="521">
        <f t="shared" si="23"/>
        <v>-4362.8403299999954</v>
      </c>
      <c r="AP26" s="521">
        <f t="shared" si="23"/>
        <v>29939.285839999957</v>
      </c>
      <c r="AQ26" s="521">
        <f t="shared" si="23"/>
        <v>28646.496590000024</v>
      </c>
      <c r="AR26" s="521">
        <f t="shared" si="23"/>
        <v>20158.245349999932</v>
      </c>
      <c r="AS26" s="521">
        <f t="shared" si="23"/>
        <v>24155.960851199983</v>
      </c>
      <c r="AT26" s="521">
        <f t="shared" si="23"/>
        <v>34192.960199999994</v>
      </c>
      <c r="AU26" s="521">
        <f t="shared" si="23"/>
        <v>29278.483019999941</v>
      </c>
      <c r="AV26" s="521">
        <f t="shared" si="23"/>
        <v>18782.709109999967</v>
      </c>
      <c r="AW26" s="521">
        <v>30580.699055574954</v>
      </c>
      <c r="AX26" s="521">
        <f t="shared" ref="AX26:BI26" si="24">+SUM(AX24:AX25)</f>
        <v>53469.003068400016</v>
      </c>
      <c r="AY26" s="521">
        <f t="shared" si="24"/>
        <v>56832.361847199965</v>
      </c>
      <c r="AZ26" s="521">
        <f t="shared" si="24"/>
        <v>34722.848997799796</v>
      </c>
      <c r="BA26" s="521">
        <f t="shared" si="24"/>
        <v>39856.318640000201</v>
      </c>
      <c r="BB26" s="521">
        <f t="shared" si="24"/>
        <v>56312.701230000086</v>
      </c>
      <c r="BC26" s="521">
        <f t="shared" si="24"/>
        <v>51020.691510000186</v>
      </c>
      <c r="BD26" s="521">
        <f t="shared" si="24"/>
        <v>37515.066839999767</v>
      </c>
      <c r="BE26" s="521">
        <f t="shared" si="24"/>
        <v>63514.657680000062</v>
      </c>
      <c r="BF26" s="521">
        <f t="shared" si="24"/>
        <v>84445.687500000116</v>
      </c>
      <c r="BG26" s="521">
        <v>85136.962249699864</v>
      </c>
      <c r="BH26" s="521">
        <f t="shared" si="24"/>
        <v>43734.684299999877</v>
      </c>
      <c r="BI26" s="521">
        <f t="shared" si="24"/>
        <v>67118.508879999805</v>
      </c>
      <c r="BJ26" s="521">
        <f>+SUM(BJ24:BJ25)</f>
        <v>79890.982880000054</v>
      </c>
      <c r="BK26" s="521">
        <f>+SUM(BK24:BK25)</f>
        <v>52218.377919999795</v>
      </c>
      <c r="BL26" s="521">
        <f>+SUM(BL24:BL25)</f>
        <v>38784.896120000136</v>
      </c>
      <c r="BM26" s="1182"/>
      <c r="BN26" s="514"/>
      <c r="BO26" s="514"/>
    </row>
    <row r="27" spans="1:67" hidden="1" outlineLevel="1" x14ac:dyDescent="0.2">
      <c r="A27" s="626"/>
      <c r="B27" s="524" t="s">
        <v>869</v>
      </c>
      <c r="C27" s="526"/>
      <c r="D27" s="526"/>
      <c r="E27" s="526"/>
      <c r="F27" s="526"/>
      <c r="G27" s="526"/>
      <c r="H27" s="526">
        <v>0</v>
      </c>
      <c r="I27" s="526">
        <v>0</v>
      </c>
      <c r="J27" s="526">
        <v>0</v>
      </c>
      <c r="K27" s="526">
        <v>0</v>
      </c>
      <c r="L27" s="526">
        <v>0</v>
      </c>
      <c r="M27" s="526">
        <v>0</v>
      </c>
      <c r="N27" s="526">
        <v>0</v>
      </c>
      <c r="O27" s="526">
        <v>0</v>
      </c>
      <c r="P27" s="526">
        <v>0</v>
      </c>
      <c r="Q27" s="526">
        <v>-29236</v>
      </c>
      <c r="R27" s="526">
        <v>-26127</v>
      </c>
      <c r="S27" s="526">
        <v>0</v>
      </c>
      <c r="T27" s="526">
        <v>0</v>
      </c>
      <c r="U27" s="526">
        <v>0</v>
      </c>
      <c r="V27" s="526">
        <v>0</v>
      </c>
      <c r="W27" s="526">
        <v>0</v>
      </c>
      <c r="X27" s="526">
        <v>0</v>
      </c>
      <c r="Y27" s="526">
        <v>0</v>
      </c>
      <c r="Z27" s="526">
        <v>0</v>
      </c>
      <c r="AA27" s="526">
        <v>0</v>
      </c>
      <c r="AB27" s="526">
        <v>0</v>
      </c>
      <c r="AC27" s="526">
        <v>0</v>
      </c>
      <c r="AD27" s="526">
        <v>0</v>
      </c>
      <c r="AE27" s="526">
        <v>0</v>
      </c>
      <c r="AF27" s="526">
        <v>0</v>
      </c>
      <c r="AG27" s="526">
        <v>0</v>
      </c>
      <c r="AH27" s="526">
        <v>0</v>
      </c>
      <c r="AI27" s="526">
        <v>0</v>
      </c>
      <c r="AJ27" s="737">
        <v>0</v>
      </c>
      <c r="AK27" s="523">
        <v>0</v>
      </c>
      <c r="AL27" s="523">
        <v>0</v>
      </c>
      <c r="AM27" s="526">
        <v>0</v>
      </c>
      <c r="AN27" s="526">
        <v>0</v>
      </c>
      <c r="AO27" s="526">
        <v>0</v>
      </c>
      <c r="AP27" s="526">
        <v>0</v>
      </c>
      <c r="AQ27" s="526">
        <v>0</v>
      </c>
      <c r="AR27" s="526">
        <v>0</v>
      </c>
      <c r="AS27" s="526">
        <v>0</v>
      </c>
      <c r="AT27" s="526">
        <v>0</v>
      </c>
      <c r="AU27" s="526"/>
      <c r="AV27" s="526">
        <v>0</v>
      </c>
      <c r="AW27" s="526">
        <v>0</v>
      </c>
      <c r="AX27" s="526">
        <v>0</v>
      </c>
      <c r="AY27" s="526">
        <v>0</v>
      </c>
      <c r="AZ27" s="526">
        <v>0</v>
      </c>
      <c r="BA27" s="526">
        <v>0</v>
      </c>
      <c r="BB27" s="526">
        <v>0</v>
      </c>
      <c r="BC27" s="526">
        <v>0</v>
      </c>
      <c r="BD27" s="526"/>
      <c r="BE27" s="526"/>
      <c r="BF27" s="526"/>
      <c r="BG27" s="526">
        <v>0</v>
      </c>
      <c r="BH27" s="526"/>
      <c r="BI27" s="526">
        <v>0</v>
      </c>
      <c r="BJ27" s="526">
        <v>0</v>
      </c>
      <c r="BK27" s="526">
        <v>0</v>
      </c>
      <c r="BL27" s="526">
        <v>0</v>
      </c>
      <c r="BM27" s="1182"/>
      <c r="BN27" s="514"/>
      <c r="BO27" s="514"/>
    </row>
    <row r="28" spans="1:67" collapsed="1" x14ac:dyDescent="0.2">
      <c r="B28" s="525" t="s">
        <v>72</v>
      </c>
      <c r="C28" s="521">
        <f>SUM(C26:C27)</f>
        <v>40343</v>
      </c>
      <c r="D28" s="521">
        <f>SUM(D26:D27)</f>
        <v>52983</v>
      </c>
      <c r="E28" s="521">
        <f>SUM(E26:E27)</f>
        <v>76469</v>
      </c>
      <c r="F28" s="521">
        <f>SUM(F26:F27)</f>
        <v>112302</v>
      </c>
      <c r="G28" s="521">
        <f>SUM(G26:G27)</f>
        <v>99069</v>
      </c>
      <c r="H28" s="521">
        <v>13897</v>
      </c>
      <c r="I28" s="521">
        <v>19138</v>
      </c>
      <c r="J28" s="521">
        <v>32920</v>
      </c>
      <c r="K28" s="521">
        <v>17412</v>
      </c>
      <c r="L28" s="521">
        <v>4222</v>
      </c>
      <c r="M28" s="521">
        <v>17912.999999999942</v>
      </c>
      <c r="N28" s="521">
        <v>21092</v>
      </c>
      <c r="O28" s="521">
        <v>6228</v>
      </c>
      <c r="P28" s="521">
        <v>1299</v>
      </c>
      <c r="Q28" s="521">
        <v>-9969</v>
      </c>
      <c r="R28" s="521">
        <v>-27686</v>
      </c>
      <c r="S28" s="521">
        <v>13393</v>
      </c>
      <c r="T28" s="521">
        <v>7499.9999999999709</v>
      </c>
      <c r="U28" s="521">
        <v>1183</v>
      </c>
      <c r="V28" s="521">
        <v>5101.3234399999501</v>
      </c>
      <c r="W28" s="521">
        <f t="shared" ref="W28:AU28" si="25">+W26</f>
        <v>-3853.5034754000353</v>
      </c>
      <c r="X28" s="521">
        <f t="shared" si="25"/>
        <v>-1903.0002799999793</v>
      </c>
      <c r="Y28" s="521">
        <f t="shared" si="25"/>
        <v>-688.32862999998008</v>
      </c>
      <c r="Z28" s="521">
        <f t="shared" si="25"/>
        <v>3841.5552999999754</v>
      </c>
      <c r="AA28" s="521">
        <f t="shared" si="25"/>
        <v>12576.107320000019</v>
      </c>
      <c r="AB28" s="521">
        <f t="shared" si="25"/>
        <v>5452.2331999999906</v>
      </c>
      <c r="AC28" s="521">
        <f t="shared" si="25"/>
        <v>24056.729979999967</v>
      </c>
      <c r="AD28" s="521">
        <f t="shared" si="25"/>
        <v>15286.860620000039</v>
      </c>
      <c r="AE28" s="521">
        <f t="shared" si="25"/>
        <v>58966.291639999938</v>
      </c>
      <c r="AF28" s="521">
        <f t="shared" si="25"/>
        <v>13996.041430000012</v>
      </c>
      <c r="AG28" s="521">
        <f t="shared" si="25"/>
        <v>28185.873939999947</v>
      </c>
      <c r="AH28" s="521">
        <f t="shared" si="25"/>
        <v>31106.591149999935</v>
      </c>
      <c r="AI28" s="521">
        <f t="shared" si="25"/>
        <v>34961.001910000043</v>
      </c>
      <c r="AJ28" s="736">
        <f t="shared" si="25"/>
        <v>26622.405009999984</v>
      </c>
      <c r="AK28" s="521">
        <f t="shared" si="25"/>
        <v>32513.429780000064</v>
      </c>
      <c r="AL28" s="521">
        <f t="shared" si="25"/>
        <v>91391.468380000093</v>
      </c>
      <c r="AM28" s="521">
        <f t="shared" si="25"/>
        <v>43444.958539999992</v>
      </c>
      <c r="AN28" s="521">
        <f t="shared" si="25"/>
        <v>19286.424459999962</v>
      </c>
      <c r="AO28" s="521">
        <f t="shared" si="25"/>
        <v>-4362.8403299999954</v>
      </c>
      <c r="AP28" s="521">
        <f t="shared" si="25"/>
        <v>29939.285839999957</v>
      </c>
      <c r="AQ28" s="521">
        <f t="shared" si="25"/>
        <v>28646.496590000024</v>
      </c>
      <c r="AR28" s="521">
        <f t="shared" si="25"/>
        <v>20158.245349999932</v>
      </c>
      <c r="AS28" s="521">
        <f t="shared" si="25"/>
        <v>24155.960851199983</v>
      </c>
      <c r="AT28" s="521">
        <f t="shared" si="25"/>
        <v>34192.960199999994</v>
      </c>
      <c r="AU28" s="521">
        <f t="shared" si="25"/>
        <v>29278.483019999941</v>
      </c>
      <c r="AV28" s="521">
        <v>18782.709109999967</v>
      </c>
      <c r="AW28" s="521">
        <v>30580.699055574954</v>
      </c>
      <c r="AX28" s="521">
        <f t="shared" ref="AX28:BI28" si="26">+AX26</f>
        <v>53469.003068400016</v>
      </c>
      <c r="AY28" s="521">
        <f t="shared" si="26"/>
        <v>56832.361847199965</v>
      </c>
      <c r="AZ28" s="521">
        <f t="shared" si="26"/>
        <v>34722.848997799796</v>
      </c>
      <c r="BA28" s="521">
        <f t="shared" si="26"/>
        <v>39856.318640000201</v>
      </c>
      <c r="BB28" s="521">
        <f t="shared" si="26"/>
        <v>56312.701230000086</v>
      </c>
      <c r="BC28" s="521">
        <f t="shared" si="26"/>
        <v>51020.691510000186</v>
      </c>
      <c r="BD28" s="521">
        <f t="shared" si="26"/>
        <v>37515.066839999767</v>
      </c>
      <c r="BE28" s="521">
        <f t="shared" si="26"/>
        <v>63514.657680000062</v>
      </c>
      <c r="BF28" s="521">
        <f t="shared" si="26"/>
        <v>84445.687500000116</v>
      </c>
      <c r="BG28" s="521">
        <f t="shared" si="26"/>
        <v>85136.962249699864</v>
      </c>
      <c r="BH28" s="521">
        <f>+BH26</f>
        <v>43734.684299999877</v>
      </c>
      <c r="BI28" s="521">
        <f t="shared" si="26"/>
        <v>67118.508879999805</v>
      </c>
      <c r="BJ28" s="521">
        <f>+BJ26</f>
        <v>79890.982880000054</v>
      </c>
      <c r="BK28" s="521">
        <f>+BK26</f>
        <v>52218.377919999795</v>
      </c>
      <c r="BL28" s="521">
        <f>+BL26</f>
        <v>38784.896120000136</v>
      </c>
      <c r="BM28" s="1182"/>
      <c r="BN28" s="514"/>
      <c r="BO28" s="514"/>
    </row>
    <row r="29" spans="1:67" ht="13.5" customHeight="1" x14ac:dyDescent="0.2">
      <c r="A29" s="626"/>
      <c r="B29" s="524" t="s">
        <v>1061</v>
      </c>
      <c r="C29" s="485">
        <v>1</v>
      </c>
      <c r="D29" s="485">
        <v>27</v>
      </c>
      <c r="E29" s="485">
        <v>11</v>
      </c>
      <c r="F29" s="485">
        <v>-9</v>
      </c>
      <c r="G29" s="485">
        <v>-1691</v>
      </c>
      <c r="H29" s="485">
        <v>417</v>
      </c>
      <c r="I29" s="485">
        <v>-217</v>
      </c>
      <c r="J29" s="485">
        <v>-2658</v>
      </c>
      <c r="K29" s="485">
        <v>-434</v>
      </c>
      <c r="L29" s="485">
        <v>-3223</v>
      </c>
      <c r="M29" s="485">
        <v>-2704</v>
      </c>
      <c r="N29" s="485">
        <v>-2744</v>
      </c>
      <c r="O29" s="485">
        <v>-1309</v>
      </c>
      <c r="P29" s="485">
        <v>4</v>
      </c>
      <c r="Q29" s="485">
        <v>7</v>
      </c>
      <c r="R29" s="485">
        <v>4</v>
      </c>
      <c r="S29" s="485">
        <v>2</v>
      </c>
      <c r="T29" s="485">
        <v>0</v>
      </c>
      <c r="U29" s="485">
        <v>0</v>
      </c>
      <c r="V29" s="485">
        <v>0</v>
      </c>
      <c r="W29" s="485">
        <v>0</v>
      </c>
      <c r="X29" s="485">
        <v>0</v>
      </c>
      <c r="Y29" s="485">
        <v>0</v>
      </c>
      <c r="Z29" s="485">
        <v>0</v>
      </c>
      <c r="AA29" s="485">
        <v>0</v>
      </c>
      <c r="AB29" s="485">
        <v>0</v>
      </c>
      <c r="AC29" s="485">
        <v>0</v>
      </c>
      <c r="AD29" s="485">
        <v>0</v>
      </c>
      <c r="AE29" s="485">
        <v>0</v>
      </c>
      <c r="AF29" s="485">
        <v>0</v>
      </c>
      <c r="AG29" s="485">
        <v>0</v>
      </c>
      <c r="AH29" s="485">
        <v>0</v>
      </c>
      <c r="AI29" s="485">
        <v>0</v>
      </c>
      <c r="AJ29" s="486">
        <v>0</v>
      </c>
      <c r="AK29" s="485">
        <v>0</v>
      </c>
      <c r="AL29" s="485">
        <v>0</v>
      </c>
      <c r="AM29" s="485">
        <v>0</v>
      </c>
      <c r="AN29" s="485">
        <v>0</v>
      </c>
      <c r="AO29" s="485">
        <v>0</v>
      </c>
      <c r="AP29" s="485">
        <v>0</v>
      </c>
      <c r="AQ29" s="485">
        <v>-117</v>
      </c>
      <c r="AR29" s="485">
        <v>-90</v>
      </c>
      <c r="AS29" s="485">
        <v>-27.967488799999987</v>
      </c>
      <c r="AT29" s="485">
        <v>-44</v>
      </c>
      <c r="AU29" s="485">
        <v>-146.40199999999999</v>
      </c>
      <c r="AV29" s="485">
        <v>73</v>
      </c>
      <c r="AW29" s="485">
        <v>111.34514557500006</v>
      </c>
      <c r="AX29" s="485">
        <v>74.033388400000135</v>
      </c>
      <c r="AY29" s="485">
        <v>109.679</v>
      </c>
      <c r="AZ29" s="485">
        <v>224.09200000000001</v>
      </c>
      <c r="BA29" s="485">
        <v>196.09647000000001</v>
      </c>
      <c r="BB29" s="485">
        <v>136.32814999999999</v>
      </c>
      <c r="BC29" s="485">
        <v>-56.032869999999996</v>
      </c>
      <c r="BD29" s="485">
        <v>232.13898999999998</v>
      </c>
      <c r="BE29" s="485">
        <v>262.44155999999998</v>
      </c>
      <c r="BF29" s="485">
        <v>224.55350000000001</v>
      </c>
      <c r="BG29" s="485">
        <v>75.921869999999998</v>
      </c>
      <c r="BH29" s="485">
        <v>0</v>
      </c>
      <c r="BI29" s="485">
        <v>0</v>
      </c>
      <c r="BJ29" s="485">
        <v>0</v>
      </c>
      <c r="BK29" s="485">
        <v>0</v>
      </c>
      <c r="BL29" s="485">
        <v>0</v>
      </c>
      <c r="BM29" s="1183"/>
      <c r="BN29" s="522"/>
      <c r="BO29" s="514"/>
    </row>
    <row r="30" spans="1:67" x14ac:dyDescent="0.2">
      <c r="B30" s="527" t="s">
        <v>1060</v>
      </c>
      <c r="C30" s="482">
        <f t="shared" ref="C30:AL30" si="27">C28+C29</f>
        <v>40344</v>
      </c>
      <c r="D30" s="482">
        <f t="shared" si="27"/>
        <v>53010</v>
      </c>
      <c r="E30" s="482">
        <f t="shared" si="27"/>
        <v>76480</v>
      </c>
      <c r="F30" s="482">
        <f t="shared" si="27"/>
        <v>112293</v>
      </c>
      <c r="G30" s="482">
        <f t="shared" si="27"/>
        <v>97378</v>
      </c>
      <c r="H30" s="482">
        <f t="shared" si="27"/>
        <v>14314</v>
      </c>
      <c r="I30" s="482">
        <f t="shared" si="27"/>
        <v>18921</v>
      </c>
      <c r="J30" s="482">
        <f t="shared" si="27"/>
        <v>30262</v>
      </c>
      <c r="K30" s="482">
        <f t="shared" si="27"/>
        <v>16978</v>
      </c>
      <c r="L30" s="482">
        <f t="shared" si="27"/>
        <v>999</v>
      </c>
      <c r="M30" s="482">
        <f t="shared" si="27"/>
        <v>15208.999999999942</v>
      </c>
      <c r="N30" s="482">
        <f t="shared" si="27"/>
        <v>18348</v>
      </c>
      <c r="O30" s="482">
        <f t="shared" si="27"/>
        <v>4919</v>
      </c>
      <c r="P30" s="482">
        <f t="shared" si="27"/>
        <v>1303</v>
      </c>
      <c r="Q30" s="482">
        <f t="shared" si="27"/>
        <v>-9962</v>
      </c>
      <c r="R30" s="482">
        <f t="shared" si="27"/>
        <v>-27682</v>
      </c>
      <c r="S30" s="482">
        <f t="shared" si="27"/>
        <v>13395</v>
      </c>
      <c r="T30" s="482">
        <f t="shared" si="27"/>
        <v>7499.9999999999709</v>
      </c>
      <c r="U30" s="482">
        <f t="shared" si="27"/>
        <v>1183</v>
      </c>
      <c r="V30" s="482">
        <f t="shared" si="27"/>
        <v>5101.3234399999501</v>
      </c>
      <c r="W30" s="482">
        <f t="shared" si="27"/>
        <v>-3853.5034754000353</v>
      </c>
      <c r="X30" s="482">
        <f t="shared" si="27"/>
        <v>-1903.0002799999793</v>
      </c>
      <c r="Y30" s="482">
        <f t="shared" si="27"/>
        <v>-688.32862999998008</v>
      </c>
      <c r="Z30" s="482">
        <f t="shared" si="27"/>
        <v>3841.5552999999754</v>
      </c>
      <c r="AA30" s="482">
        <f t="shared" si="27"/>
        <v>12576.107320000019</v>
      </c>
      <c r="AB30" s="482">
        <f t="shared" si="27"/>
        <v>5452.2331999999906</v>
      </c>
      <c r="AC30" s="482">
        <f t="shared" si="27"/>
        <v>24056.729979999967</v>
      </c>
      <c r="AD30" s="482">
        <f t="shared" si="27"/>
        <v>15286.860620000039</v>
      </c>
      <c r="AE30" s="482">
        <f t="shared" si="27"/>
        <v>58966.291639999938</v>
      </c>
      <c r="AF30" s="482">
        <f t="shared" si="27"/>
        <v>13996.041430000012</v>
      </c>
      <c r="AG30" s="482">
        <f t="shared" si="27"/>
        <v>28185.873939999947</v>
      </c>
      <c r="AH30" s="482">
        <f t="shared" si="27"/>
        <v>31106.591149999935</v>
      </c>
      <c r="AI30" s="482">
        <f t="shared" si="27"/>
        <v>34961.001910000043</v>
      </c>
      <c r="AJ30" s="483">
        <f t="shared" si="27"/>
        <v>26622.405009999984</v>
      </c>
      <c r="AK30" s="482">
        <f t="shared" si="27"/>
        <v>32513.429780000064</v>
      </c>
      <c r="AL30" s="482">
        <f t="shared" si="27"/>
        <v>91391.468380000093</v>
      </c>
      <c r="AM30" s="482">
        <f>AM28+AM29</f>
        <v>43444.958539999992</v>
      </c>
      <c r="AN30" s="482">
        <f>AN28+AN29</f>
        <v>19286.424459999962</v>
      </c>
      <c r="AO30" s="482">
        <f>AO28+AO29</f>
        <v>-4362.8403299999954</v>
      </c>
      <c r="AP30" s="482">
        <f>AP28+AP29</f>
        <v>29939.285839999957</v>
      </c>
      <c r="AQ30" s="482">
        <f t="shared" ref="AQ30:AV30" si="28">AQ28-AQ29</f>
        <v>28763.496590000024</v>
      </c>
      <c r="AR30" s="482">
        <f t="shared" si="28"/>
        <v>20248.245349999932</v>
      </c>
      <c r="AS30" s="482">
        <f t="shared" si="28"/>
        <v>24183.928339999984</v>
      </c>
      <c r="AT30" s="482">
        <f t="shared" si="28"/>
        <v>34236.960199999994</v>
      </c>
      <c r="AU30" s="482">
        <f t="shared" si="28"/>
        <v>29424.88501999994</v>
      </c>
      <c r="AV30" s="482">
        <f t="shared" si="28"/>
        <v>18709.709109999967</v>
      </c>
      <c r="AW30" s="482">
        <v>30469.353909999954</v>
      </c>
      <c r="AX30" s="482">
        <f t="shared" ref="AX30:BI30" si="29">AX28-AX29</f>
        <v>53394.969680000017</v>
      </c>
      <c r="AY30" s="482">
        <f t="shared" si="29"/>
        <v>56722.682847199969</v>
      </c>
      <c r="AZ30" s="482">
        <f t="shared" si="29"/>
        <v>34498.756997799799</v>
      </c>
      <c r="BA30" s="482">
        <f t="shared" si="29"/>
        <v>39660.222170000205</v>
      </c>
      <c r="BB30" s="482">
        <f t="shared" si="29"/>
        <v>56176.373080000085</v>
      </c>
      <c r="BC30" s="482">
        <f t="shared" si="29"/>
        <v>51076.724380000189</v>
      </c>
      <c r="BD30" s="482">
        <f t="shared" si="29"/>
        <v>37282.927849999767</v>
      </c>
      <c r="BE30" s="482">
        <f t="shared" si="29"/>
        <v>63252.216120000063</v>
      </c>
      <c r="BF30" s="482">
        <f t="shared" si="29"/>
        <v>84221.134000000122</v>
      </c>
      <c r="BG30" s="482">
        <f t="shared" si="29"/>
        <v>85061.040379699858</v>
      </c>
      <c r="BH30" s="482">
        <f t="shared" si="29"/>
        <v>43734.684299999877</v>
      </c>
      <c r="BI30" s="482">
        <f t="shared" si="29"/>
        <v>67118.508879999805</v>
      </c>
      <c r="BJ30" s="482">
        <f>BJ28-BJ29</f>
        <v>79890.982880000054</v>
      </c>
      <c r="BK30" s="482">
        <f>BK28-BK29</f>
        <v>52218.377919999795</v>
      </c>
      <c r="BL30" s="482">
        <f>BL28-BL29</f>
        <v>38784.896120000136</v>
      </c>
      <c r="BM30" s="1182"/>
      <c r="BN30" s="522"/>
      <c r="BO30" s="514"/>
    </row>
    <row r="31" spans="1:67" s="570" customFormat="1" ht="13.5" customHeight="1" x14ac:dyDescent="0.2">
      <c r="A31" s="634"/>
      <c r="B31" s="528" t="s">
        <v>74</v>
      </c>
      <c r="C31" s="1136"/>
      <c r="D31" s="1136"/>
      <c r="E31" s="1136"/>
      <c r="F31" s="1136"/>
      <c r="G31" s="1136"/>
      <c r="H31" s="1136"/>
      <c r="I31" s="1136"/>
      <c r="J31" s="1136"/>
      <c r="K31" s="1136"/>
      <c r="L31" s="1136"/>
      <c r="M31" s="1136"/>
      <c r="N31" s="1136"/>
      <c r="O31" s="1136"/>
      <c r="P31" s="1136"/>
      <c r="Q31" s="1136"/>
      <c r="R31" s="1136"/>
      <c r="S31" s="1136"/>
      <c r="T31" s="1136"/>
      <c r="U31" s="1136"/>
      <c r="V31" s="1136"/>
      <c r="W31" s="1136"/>
      <c r="X31" s="1136"/>
      <c r="Y31" s="1136"/>
      <c r="Z31" s="1136"/>
      <c r="AA31" s="1136"/>
      <c r="AB31" s="1136"/>
      <c r="AC31" s="1136"/>
      <c r="AD31" s="1136"/>
      <c r="AE31" s="1136"/>
      <c r="AF31" s="1136"/>
      <c r="AG31" s="1136"/>
      <c r="AH31" s="1136"/>
      <c r="AI31" s="1136"/>
      <c r="AJ31" s="1136"/>
      <c r="AK31" s="1136"/>
      <c r="AL31" s="1136"/>
      <c r="AM31" s="1136"/>
      <c r="AN31" s="1136"/>
      <c r="AO31" s="1136"/>
      <c r="AP31" s="1136"/>
      <c r="AQ31" s="1136"/>
      <c r="AR31" s="1136"/>
      <c r="AS31" s="1136"/>
      <c r="AT31" s="1136"/>
      <c r="AU31" s="1136"/>
      <c r="AV31" s="1136"/>
      <c r="AW31" s="1136"/>
      <c r="AX31" s="1136"/>
      <c r="AY31" s="1136"/>
      <c r="AZ31" s="1136"/>
      <c r="BA31" s="1136"/>
      <c r="BB31" s="1136"/>
      <c r="BC31" s="1136"/>
      <c r="BD31" s="1136"/>
      <c r="BE31" s="1136"/>
      <c r="BF31" s="1136"/>
      <c r="BG31" s="1136"/>
      <c r="BH31" s="1136"/>
      <c r="BI31" s="1136"/>
      <c r="BJ31" s="1136"/>
      <c r="BK31" s="1136"/>
      <c r="BL31" s="1136"/>
    </row>
    <row r="32" spans="1:67" x14ac:dyDescent="0.2">
      <c r="AZ32" s="1135"/>
      <c r="BE32" s="1204"/>
      <c r="BF32" s="1204"/>
      <c r="BG32" s="1204"/>
      <c r="BH32" s="1204"/>
      <c r="BI32" s="1204"/>
      <c r="BJ32" s="1204"/>
      <c r="BK32" s="1204"/>
      <c r="BL32" s="1204"/>
    </row>
    <row r="33" spans="8:64" x14ac:dyDescent="0.2">
      <c r="AQ33" s="1124"/>
      <c r="AU33" s="1124"/>
      <c r="AY33" s="1124"/>
      <c r="BE33" s="1204"/>
      <c r="BF33" s="1204"/>
      <c r="BG33" s="1204"/>
      <c r="BH33" s="1204"/>
      <c r="BI33" s="1204"/>
      <c r="BJ33" s="1204"/>
      <c r="BK33" s="1204"/>
      <c r="BL33" s="1204"/>
    </row>
    <row r="34" spans="8:64" x14ac:dyDescent="0.2">
      <c r="BE34" s="1204"/>
      <c r="BF34" s="1204"/>
      <c r="BG34" s="1204"/>
      <c r="BH34" s="1204"/>
      <c r="BI34" s="1204"/>
      <c r="BJ34" s="1204"/>
      <c r="BK34" s="1204"/>
      <c r="BL34" s="1204"/>
    </row>
    <row r="35" spans="8:64" x14ac:dyDescent="0.2">
      <c r="BE35" s="1204"/>
      <c r="BF35" s="1204"/>
      <c r="BG35" s="1204"/>
      <c r="BH35" s="1204"/>
      <c r="BI35" s="1204"/>
      <c r="BJ35" s="1204"/>
      <c r="BK35" s="1204"/>
      <c r="BL35" s="1204"/>
    </row>
    <row r="36" spans="8:64" x14ac:dyDescent="0.2">
      <c r="BE36" s="1204"/>
      <c r="BF36" s="1204"/>
      <c r="BG36" s="1204"/>
      <c r="BH36" s="1204"/>
      <c r="BI36" s="1204"/>
      <c r="BJ36" s="1204"/>
      <c r="BK36" s="1204"/>
      <c r="BL36" s="1204"/>
    </row>
    <row r="37" spans="8:64" x14ac:dyDescent="0.2">
      <c r="H37" s="267"/>
      <c r="I37" s="267"/>
      <c r="J37" s="267"/>
      <c r="K37" s="267"/>
      <c r="L37" s="627"/>
      <c r="M37" s="627"/>
      <c r="N37" s="1051"/>
      <c r="O37" s="1051"/>
      <c r="P37" s="1051"/>
      <c r="Q37" s="1051"/>
      <c r="R37" s="1051"/>
      <c r="S37" s="1051"/>
      <c r="T37" s="627"/>
      <c r="U37" s="627"/>
      <c r="V37" s="627"/>
      <c r="W37" s="267"/>
      <c r="X37" s="267"/>
      <c r="Y37" s="267"/>
      <c r="Z37" s="267"/>
      <c r="AA37" s="267"/>
      <c r="AB37" s="267"/>
      <c r="AC37" s="267"/>
      <c r="AD37" s="267"/>
      <c r="AE37" s="267"/>
      <c r="AF37" s="267" t="s">
        <v>885</v>
      </c>
      <c r="AG37" s="267" t="s">
        <v>885</v>
      </c>
      <c r="AH37" s="267"/>
      <c r="AI37" s="267"/>
      <c r="AJ37" s="267" t="s">
        <v>884</v>
      </c>
      <c r="AK37" s="267" t="s">
        <v>884</v>
      </c>
      <c r="AL37" s="267"/>
      <c r="AM37" s="267"/>
      <c r="AN37" s="267" t="s">
        <v>928</v>
      </c>
      <c r="AO37" s="267" t="s">
        <v>928</v>
      </c>
      <c r="AP37" s="267"/>
      <c r="AQ37" s="267"/>
      <c r="AR37" s="267" t="s">
        <v>1074</v>
      </c>
      <c r="AS37" s="267" t="s">
        <v>1074</v>
      </c>
      <c r="AT37" s="267"/>
      <c r="AU37" s="267"/>
      <c r="AV37" s="267"/>
      <c r="AW37" s="267"/>
      <c r="AX37" s="267"/>
      <c r="AY37" s="267"/>
      <c r="AZ37" s="267"/>
      <c r="BA37" s="267"/>
      <c r="BB37" s="267"/>
      <c r="BC37" s="267"/>
      <c r="BD37" s="267"/>
      <c r="BE37" s="267"/>
      <c r="BF37" s="267"/>
      <c r="BG37" s="267"/>
      <c r="BH37" s="267"/>
      <c r="BI37" s="267"/>
      <c r="BJ37" s="267"/>
      <c r="BK37" s="267"/>
      <c r="BL37" s="267"/>
    </row>
    <row r="38" spans="8:64" x14ac:dyDescent="0.2">
      <c r="H38" s="267"/>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t="s">
        <v>926</v>
      </c>
      <c r="AG38" s="267" t="s">
        <v>926</v>
      </c>
      <c r="AH38" s="267" t="s">
        <v>926</v>
      </c>
      <c r="AI38" s="267"/>
      <c r="AJ38" s="267" t="s">
        <v>925</v>
      </c>
      <c r="AK38" s="267" t="s">
        <v>925</v>
      </c>
      <c r="AL38" s="267" t="s">
        <v>925</v>
      </c>
      <c r="AM38" s="267"/>
      <c r="AN38" s="267" t="s">
        <v>927</v>
      </c>
      <c r="AO38" s="267" t="s">
        <v>927</v>
      </c>
      <c r="AP38" s="267" t="s">
        <v>927</v>
      </c>
      <c r="AQ38" s="267"/>
      <c r="AR38" s="267" t="s">
        <v>1075</v>
      </c>
      <c r="AS38" s="267" t="s">
        <v>1075</v>
      </c>
      <c r="AT38" s="267" t="s">
        <v>1075</v>
      </c>
      <c r="AU38" s="267"/>
      <c r="AV38" s="267" t="s">
        <v>1126</v>
      </c>
      <c r="AW38" s="267" t="s">
        <v>1126</v>
      </c>
      <c r="AX38" s="267" t="s">
        <v>1126</v>
      </c>
      <c r="AY38" s="267"/>
      <c r="AZ38" s="267" t="s">
        <v>1209</v>
      </c>
      <c r="BA38" s="267" t="s">
        <v>1209</v>
      </c>
      <c r="BB38" s="267" t="s">
        <v>1209</v>
      </c>
      <c r="BC38" s="267" t="s">
        <v>1209</v>
      </c>
      <c r="BD38" s="267"/>
      <c r="BE38" s="267"/>
      <c r="BF38" s="267"/>
      <c r="BG38" s="267"/>
      <c r="BH38" s="267"/>
      <c r="BI38" s="267" t="s">
        <v>1209</v>
      </c>
      <c r="BJ38" s="267" t="s">
        <v>1209</v>
      </c>
      <c r="BK38" s="267" t="s">
        <v>1209</v>
      </c>
      <c r="BL38" s="267" t="s">
        <v>1209</v>
      </c>
    </row>
    <row r="39" spans="8:64" x14ac:dyDescent="0.2">
      <c r="H39" s="824">
        <f>I39</f>
        <v>2012</v>
      </c>
      <c r="I39" s="824">
        <f>J39</f>
        <v>2012</v>
      </c>
      <c r="J39" s="824">
        <f>K39</f>
        <v>2012</v>
      </c>
      <c r="K39" s="824">
        <f>L39-1</f>
        <v>2012</v>
      </c>
      <c r="L39" s="824">
        <f>M39</f>
        <v>2013</v>
      </c>
      <c r="M39" s="824">
        <f>N39</f>
        <v>2013</v>
      </c>
      <c r="N39" s="824">
        <f>O39</f>
        <v>2013</v>
      </c>
      <c r="O39" s="824">
        <f>P39-1</f>
        <v>2013</v>
      </c>
      <c r="P39" s="824">
        <f>Q39</f>
        <v>2014</v>
      </c>
      <c r="Q39" s="824">
        <f>R39</f>
        <v>2014</v>
      </c>
      <c r="R39" s="824">
        <f>S39</f>
        <v>2014</v>
      </c>
      <c r="S39" s="824">
        <f>T39-1</f>
        <v>2014</v>
      </c>
      <c r="T39" s="824">
        <f>U39</f>
        <v>2015</v>
      </c>
      <c r="U39" s="824">
        <f>V39</f>
        <v>2015</v>
      </c>
      <c r="V39" s="824">
        <f>W39</f>
        <v>2015</v>
      </c>
      <c r="W39" s="824">
        <f>X39-1</f>
        <v>2015</v>
      </c>
      <c r="X39" s="824">
        <f>Y39</f>
        <v>2016</v>
      </c>
      <c r="Y39" s="824">
        <f>Z39</f>
        <v>2016</v>
      </c>
      <c r="Z39" s="824">
        <f>AA39</f>
        <v>2016</v>
      </c>
      <c r="AA39" s="824">
        <f>AB39-1</f>
        <v>2016</v>
      </c>
      <c r="AB39" s="824">
        <f>AC39</f>
        <v>2017</v>
      </c>
      <c r="AC39" s="824">
        <f>AD39</f>
        <v>2017</v>
      </c>
      <c r="AD39" s="824">
        <f>AE39</f>
        <v>2017</v>
      </c>
      <c r="AE39" s="824">
        <f>AF39-1</f>
        <v>2017</v>
      </c>
      <c r="AF39" s="824">
        <f>AG39</f>
        <v>2018</v>
      </c>
      <c r="AG39" s="824">
        <f>AH39</f>
        <v>2018</v>
      </c>
      <c r="AH39" s="824">
        <f>AI39</f>
        <v>2018</v>
      </c>
      <c r="AI39" s="824">
        <f>AJ39-1</f>
        <v>2018</v>
      </c>
      <c r="AJ39" s="825">
        <v>2019</v>
      </c>
      <c r="AK39" s="825">
        <v>2019</v>
      </c>
      <c r="AL39" s="825">
        <v>2019</v>
      </c>
      <c r="AM39" s="825">
        <v>2019</v>
      </c>
      <c r="AN39" s="825">
        <v>2020</v>
      </c>
      <c r="AO39" s="825">
        <v>2020</v>
      </c>
      <c r="AP39" s="825">
        <v>2020</v>
      </c>
      <c r="AQ39" s="825">
        <v>2020</v>
      </c>
      <c r="AR39" s="825">
        <v>2021</v>
      </c>
      <c r="AS39" s="825">
        <v>2021</v>
      </c>
      <c r="AT39" s="825">
        <v>2021</v>
      </c>
      <c r="AU39" s="825">
        <v>2021</v>
      </c>
      <c r="AV39" s="825">
        <v>2022</v>
      </c>
      <c r="AW39" s="825">
        <v>2022</v>
      </c>
      <c r="AX39" s="825">
        <v>2022</v>
      </c>
      <c r="AY39" s="825">
        <v>2022</v>
      </c>
      <c r="AZ39" s="825">
        <v>2023</v>
      </c>
      <c r="BA39" s="825">
        <v>2023</v>
      </c>
      <c r="BB39" s="825">
        <v>2023</v>
      </c>
      <c r="BC39" s="825">
        <v>2023</v>
      </c>
      <c r="BD39" s="825"/>
      <c r="BE39" s="825"/>
      <c r="BF39" s="825"/>
      <c r="BG39" s="825"/>
      <c r="BH39" s="825"/>
      <c r="BI39" s="825">
        <v>2023</v>
      </c>
      <c r="BJ39" s="825">
        <v>2023</v>
      </c>
      <c r="BK39" s="825">
        <v>2023</v>
      </c>
      <c r="BL39" s="825">
        <v>2023</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3">
    <tabColor theme="9"/>
    <pageSetUpPr autoPageBreaks="0" fitToPage="1"/>
  </sheetPr>
  <dimension ref="A1:BI112"/>
  <sheetViews>
    <sheetView showGridLines="0" zoomScaleNormal="100" workbookViewId="0">
      <pane xSplit="2" ySplit="5" topLeftCell="C6" activePane="bottomRight" state="frozen"/>
      <selection activeCell="AV12" sqref="AV12"/>
      <selection pane="topRight" activeCell="AV12" sqref="AV12"/>
      <selection pane="bottomLeft" activeCell="AV12" sqref="AV12"/>
      <selection pane="bottomRight" activeCell="E2" sqref="E2"/>
    </sheetView>
  </sheetViews>
  <sheetFormatPr defaultColWidth="9.140625" defaultRowHeight="14.25" customHeight="1" outlineLevelRow="1" x14ac:dyDescent="0.2"/>
  <cols>
    <col min="1" max="1" width="1.42578125" style="2" customWidth="1"/>
    <col min="2" max="2" width="39.85546875" style="2" customWidth="1"/>
    <col min="3" max="24" width="10.85546875" style="2" customWidth="1"/>
    <col min="25" max="28" width="10.140625" style="2" bestFit="1" customWidth="1"/>
    <col min="29" max="31" width="10.140625" style="2" customWidth="1"/>
    <col min="32" max="32" width="11.140625" style="2" bestFit="1" customWidth="1"/>
    <col min="33" max="33" width="11.140625" style="2" customWidth="1"/>
    <col min="34" max="38" width="9.140625" style="2"/>
    <col min="39" max="39" width="10.140625" style="2" bestFit="1" customWidth="1"/>
    <col min="40" max="42" width="9.140625" style="2"/>
    <col min="43" max="43" width="10.140625" style="2" bestFit="1" customWidth="1"/>
    <col min="44" max="49" width="9.140625" style="2"/>
    <col min="50" max="50" width="9.140625" style="2" bestFit="1" customWidth="1"/>
    <col min="51" max="55" width="9.42578125" style="2" bestFit="1" customWidth="1"/>
    <col min="56" max="59" width="10.140625" style="2" bestFit="1" customWidth="1"/>
    <col min="60" max="60" width="10.85546875" style="2" bestFit="1" customWidth="1"/>
    <col min="61" max="16384" width="9.140625" style="2"/>
  </cols>
  <sheetData>
    <row r="1" spans="1:61" ht="16.5" customHeight="1" x14ac:dyDescent="0.2">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267"/>
      <c r="BF1" s="267"/>
      <c r="BG1" s="267"/>
      <c r="BH1" s="267"/>
    </row>
    <row r="2" spans="1:61" ht="12.75" customHeight="1" x14ac:dyDescent="0.2">
      <c r="A2" s="16"/>
      <c r="C2" s="542"/>
      <c r="D2" s="542"/>
      <c r="E2" s="542"/>
      <c r="F2" s="542"/>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c r="AG2" s="542"/>
      <c r="AH2" s="542"/>
      <c r="AI2" s="542"/>
      <c r="AJ2" s="542"/>
      <c r="AK2" s="542"/>
      <c r="AL2" s="542"/>
      <c r="AM2" s="542"/>
      <c r="AN2" s="542"/>
      <c r="AO2" s="542"/>
      <c r="AP2" s="542"/>
      <c r="AQ2" s="542"/>
      <c r="AR2" s="542"/>
      <c r="AS2" s="542"/>
      <c r="AT2" s="542"/>
      <c r="AU2" s="542"/>
      <c r="AV2" s="542"/>
      <c r="AW2" s="542"/>
      <c r="AX2" s="542"/>
      <c r="AY2" s="542"/>
      <c r="AZ2" s="542"/>
      <c r="BA2" s="542"/>
      <c r="BB2" s="542"/>
      <c r="BC2" s="542"/>
      <c r="BD2" s="542"/>
      <c r="BE2" s="542"/>
      <c r="BF2" s="542"/>
      <c r="BG2" s="542"/>
      <c r="BH2" s="267"/>
    </row>
    <row r="3" spans="1:61" s="267" customFormat="1" ht="12.75" customHeight="1" x14ac:dyDescent="0.2">
      <c r="A3" s="623"/>
      <c r="B3" s="628"/>
      <c r="C3" s="542"/>
      <c r="D3" s="542"/>
      <c r="E3" s="542"/>
      <c r="F3" s="542"/>
      <c r="G3" s="625"/>
      <c r="H3" s="625"/>
      <c r="I3" s="542"/>
      <c r="J3" s="542"/>
      <c r="K3" s="542"/>
      <c r="L3" s="625"/>
      <c r="M3" s="1232" t="s">
        <v>552</v>
      </c>
      <c r="N3" s="267" t="s">
        <v>551</v>
      </c>
      <c r="O3" s="270"/>
      <c r="P3" s="270"/>
      <c r="Q3" s="270"/>
      <c r="R3" s="270"/>
      <c r="S3" s="270"/>
      <c r="T3" s="270"/>
      <c r="U3" s="270"/>
      <c r="V3" s="270"/>
      <c r="W3" s="270"/>
      <c r="X3" s="270"/>
      <c r="Y3" s="270"/>
      <c r="Z3" s="270"/>
      <c r="AA3" s="270"/>
      <c r="AB3" s="270"/>
      <c r="AC3" s="788"/>
      <c r="AD3" s="788"/>
      <c r="AE3" s="788"/>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row>
    <row r="4" spans="1:61" s="267" customFormat="1" ht="12.75" customHeight="1" x14ac:dyDescent="0.2">
      <c r="A4" s="623"/>
      <c r="B4" s="624" t="s">
        <v>337</v>
      </c>
      <c r="C4" s="542"/>
      <c r="D4" s="542"/>
      <c r="E4" s="542"/>
      <c r="F4" s="542"/>
      <c r="G4" s="625"/>
      <c r="H4" s="625"/>
      <c r="I4" s="542"/>
      <c r="J4" s="542"/>
      <c r="K4" s="542"/>
      <c r="L4" s="625"/>
      <c r="M4" s="1232"/>
      <c r="N4" s="267" t="s">
        <v>180</v>
      </c>
      <c r="O4" s="270"/>
      <c r="P4" s="270"/>
      <c r="Q4" s="270"/>
      <c r="R4" s="270"/>
      <c r="S4" s="998"/>
      <c r="T4" s="270"/>
      <c r="U4" s="270"/>
      <c r="V4" s="270"/>
      <c r="W4" s="270"/>
      <c r="X4" s="270"/>
      <c r="Y4" s="270"/>
      <c r="Z4" s="270"/>
      <c r="AA4" s="270"/>
      <c r="AB4" s="270"/>
      <c r="AC4" s="270">
        <f>+(SUMIFS(Auto!$107:$107,Auto!$5:$5,#REF!)+SUMIFS(Auto!$35:$35,Auto!$5:$5,#REF!))</f>
        <v>0</v>
      </c>
      <c r="AD4" s="270"/>
      <c r="AE4" s="742" t="s">
        <v>809</v>
      </c>
      <c r="AF4" s="762"/>
      <c r="AG4" s="762"/>
      <c r="AH4" s="1016"/>
      <c r="AI4" s="1016"/>
      <c r="AJ4" s="1016"/>
      <c r="AK4" s="1016"/>
      <c r="AL4" s="1016"/>
      <c r="AM4" s="1017"/>
      <c r="AN4" s="1016"/>
      <c r="AO4" s="1016"/>
      <c r="AP4" s="1016"/>
      <c r="AQ4" s="1016"/>
      <c r="AR4" s="1016"/>
      <c r="AS4" s="1016"/>
      <c r="AT4" s="1016"/>
      <c r="AU4" s="1016"/>
      <c r="AV4" s="1016"/>
      <c r="AW4" s="1016"/>
      <c r="AX4" s="1016"/>
      <c r="AY4" s="1016"/>
      <c r="AZ4" s="1016"/>
      <c r="BA4" s="1016"/>
      <c r="BB4" s="1016"/>
      <c r="BC4" s="1016"/>
      <c r="BD4" s="1016"/>
      <c r="BE4" s="1016"/>
      <c r="BF4" s="1016"/>
      <c r="BG4" s="1016"/>
    </row>
    <row r="5" spans="1:61" ht="12.75" customHeight="1" x14ac:dyDescent="0.2">
      <c r="A5" s="23"/>
      <c r="B5" s="113" t="s">
        <v>638</v>
      </c>
      <c r="C5" s="246" t="s">
        <v>7</v>
      </c>
      <c r="D5" s="114" t="s">
        <v>6</v>
      </c>
      <c r="E5" s="114" t="s">
        <v>5</v>
      </c>
      <c r="F5" s="114" t="s">
        <v>4</v>
      </c>
      <c r="G5" s="115" t="s">
        <v>3</v>
      </c>
      <c r="H5" s="115" t="s">
        <v>2</v>
      </c>
      <c r="I5" s="115" t="s">
        <v>1</v>
      </c>
      <c r="J5" s="115" t="s">
        <v>0</v>
      </c>
      <c r="K5" s="115" t="s">
        <v>45</v>
      </c>
      <c r="L5" s="116" t="s">
        <v>55</v>
      </c>
      <c r="M5" s="116" t="s">
        <v>71</v>
      </c>
      <c r="N5" s="115" t="s">
        <v>77</v>
      </c>
      <c r="O5" s="115" t="s">
        <v>87</v>
      </c>
      <c r="P5" s="115" t="s">
        <v>88</v>
      </c>
      <c r="Q5" s="115" t="s">
        <v>378</v>
      </c>
      <c r="R5" s="115" t="s">
        <v>406</v>
      </c>
      <c r="S5" s="115" t="s">
        <v>467</v>
      </c>
      <c r="T5" s="115" t="s">
        <v>501</v>
      </c>
      <c r="U5" s="115" t="s">
        <v>511</v>
      </c>
      <c r="V5" s="115" t="s">
        <v>538</v>
      </c>
      <c r="W5" s="115" t="s">
        <v>567</v>
      </c>
      <c r="X5" s="115" t="s">
        <v>575</v>
      </c>
      <c r="Y5" s="115" t="s">
        <v>595</v>
      </c>
      <c r="Z5" s="115" t="s">
        <v>596</v>
      </c>
      <c r="AA5" s="115" t="s">
        <v>623</v>
      </c>
      <c r="AB5" s="115" t="s">
        <v>624</v>
      </c>
      <c r="AC5" s="115" t="s">
        <v>625</v>
      </c>
      <c r="AD5" s="115" t="s">
        <v>626</v>
      </c>
      <c r="AE5" s="115" t="s">
        <v>798</v>
      </c>
      <c r="AF5" s="115" t="s">
        <v>799</v>
      </c>
      <c r="AG5" s="115" t="s">
        <v>800</v>
      </c>
      <c r="AH5" s="115" t="s">
        <v>801</v>
      </c>
      <c r="AI5" s="115" t="s">
        <v>913</v>
      </c>
      <c r="AJ5" s="115" t="s">
        <v>914</v>
      </c>
      <c r="AK5" s="115" t="s">
        <v>923</v>
      </c>
      <c r="AL5" s="115" t="s">
        <v>924</v>
      </c>
      <c r="AM5" s="115" t="s">
        <v>1049</v>
      </c>
      <c r="AN5" s="115" t="s">
        <v>1023</v>
      </c>
      <c r="AO5" s="115" t="s">
        <v>1024</v>
      </c>
      <c r="AP5" s="115" t="s">
        <v>1050</v>
      </c>
      <c r="AQ5" s="115" t="s">
        <v>1114</v>
      </c>
      <c r="AR5" s="115" t="s">
        <v>1119</v>
      </c>
      <c r="AS5" s="115" t="s">
        <v>1121</v>
      </c>
      <c r="AT5" s="115" t="s">
        <v>1123</v>
      </c>
      <c r="AU5" s="115" t="s">
        <v>1176</v>
      </c>
      <c r="AV5" s="115" t="s">
        <v>1177</v>
      </c>
      <c r="AW5" s="115" t="s">
        <v>1179</v>
      </c>
      <c r="AX5" s="115" t="s">
        <v>1181</v>
      </c>
      <c r="AY5" s="115" t="s">
        <v>1243</v>
      </c>
      <c r="AZ5" s="115" t="s">
        <v>1250</v>
      </c>
      <c r="BA5" s="115" t="s">
        <v>1251</v>
      </c>
      <c r="BB5" s="115" t="s">
        <v>1252</v>
      </c>
      <c r="BC5" s="115" t="s">
        <v>1311</v>
      </c>
      <c r="BD5" s="115" t="s">
        <v>1313</v>
      </c>
      <c r="BE5" s="115" t="s">
        <v>1315</v>
      </c>
      <c r="BF5" s="115" t="s">
        <v>1317</v>
      </c>
      <c r="BG5" s="115" t="s">
        <v>1344</v>
      </c>
    </row>
    <row r="6" spans="1:61" ht="14.1" customHeight="1" x14ac:dyDescent="0.2">
      <c r="A6" s="24"/>
      <c r="B6" s="117" t="s">
        <v>513</v>
      </c>
      <c r="C6" s="118">
        <v>245495</v>
      </c>
      <c r="D6" s="118">
        <v>282182</v>
      </c>
      <c r="E6" s="118">
        <v>337723</v>
      </c>
      <c r="F6" s="118">
        <v>342491</v>
      </c>
      <c r="G6" s="118">
        <v>297440</v>
      </c>
      <c r="H6" s="118">
        <v>384050</v>
      </c>
      <c r="I6" s="118">
        <v>399608</v>
      </c>
      <c r="J6" s="118">
        <v>390273</v>
      </c>
      <c r="K6" s="118">
        <v>309111</v>
      </c>
      <c r="L6" s="118">
        <v>351673</v>
      </c>
      <c r="M6" s="118">
        <v>350189</v>
      </c>
      <c r="N6" s="118">
        <v>406150</v>
      </c>
      <c r="O6" s="118">
        <v>275085</v>
      </c>
      <c r="P6" s="118">
        <v>266852</v>
      </c>
      <c r="Q6" s="118">
        <v>264426</v>
      </c>
      <c r="R6" s="118">
        <v>280869.32981999998</v>
      </c>
      <c r="S6" s="118">
        <v>195391.63875000001</v>
      </c>
      <c r="T6" s="118">
        <v>232421.88584</v>
      </c>
      <c r="U6" s="118">
        <v>244388.95153000002</v>
      </c>
      <c r="V6" s="118">
        <v>264784.09666000004</v>
      </c>
      <c r="W6" s="118">
        <v>214422.15101999999</v>
      </c>
      <c r="X6" s="118">
        <v>268717.10787999997</v>
      </c>
      <c r="Y6" s="118">
        <v>305185.31597000005</v>
      </c>
      <c r="Z6" s="118">
        <v>340565.25495999999</v>
      </c>
      <c r="AA6" s="118">
        <v>275057.54545999999</v>
      </c>
      <c r="AB6" s="118">
        <v>315279.75394999998</v>
      </c>
      <c r="AC6" s="118">
        <v>365789.47778999998</v>
      </c>
      <c r="AD6" s="118">
        <v>391684.40824000002</v>
      </c>
      <c r="AE6" s="160">
        <v>321706.25628999999</v>
      </c>
      <c r="AF6" s="118">
        <v>360853.55104000005</v>
      </c>
      <c r="AG6" s="118">
        <v>366405.11531000002</v>
      </c>
      <c r="AH6" s="118">
        <v>414841.17645000003</v>
      </c>
      <c r="AI6" s="118">
        <v>298654.90463999996</v>
      </c>
      <c r="AJ6" s="118">
        <v>108624.88222</v>
      </c>
      <c r="AK6" s="118">
        <v>305501.52506000001</v>
      </c>
      <c r="AL6" s="118">
        <v>337571.33675999998</v>
      </c>
      <c r="AM6" s="118">
        <v>250078.92903</v>
      </c>
      <c r="AN6" s="118">
        <v>249944.68143999999</v>
      </c>
      <c r="AO6" s="118">
        <v>243798.95912000004</v>
      </c>
      <c r="AP6" s="118">
        <v>339046.03587999992</v>
      </c>
      <c r="AQ6" s="118">
        <v>249984.01542999997</v>
      </c>
      <c r="AR6" s="118">
        <v>329187.05628000002</v>
      </c>
      <c r="AS6" s="118">
        <v>460036.70981000003</v>
      </c>
      <c r="AT6" s="118">
        <v>461462.62537999998</v>
      </c>
      <c r="AU6" s="118">
        <v>369902.34818999982</v>
      </c>
      <c r="AV6" s="118">
        <v>413999.29704000009</v>
      </c>
      <c r="AW6" s="118">
        <v>481071.89130000008</v>
      </c>
      <c r="AX6" s="118">
        <v>516751.48728000012</v>
      </c>
      <c r="AY6" s="118">
        <v>432552.07787999994</v>
      </c>
      <c r="AZ6" s="118">
        <v>529168.94435000001</v>
      </c>
      <c r="BA6" s="118">
        <v>695890.14059000008</v>
      </c>
      <c r="BB6" s="118">
        <v>720353.22578999994</v>
      </c>
      <c r="BC6" s="118">
        <v>489547.18824999995</v>
      </c>
      <c r="BD6" s="118">
        <v>621439.08457999991</v>
      </c>
      <c r="BE6" s="118">
        <v>744446</v>
      </c>
      <c r="BF6" s="118">
        <v>717391.32421999995</v>
      </c>
      <c r="BG6" s="118">
        <v>599235.4249000001</v>
      </c>
    </row>
    <row r="7" spans="1:61" s="220" customFormat="1" ht="14.1" hidden="1" customHeight="1" outlineLevel="1" x14ac:dyDescent="0.2">
      <c r="A7" s="226"/>
      <c r="B7" s="227" t="s">
        <v>514</v>
      </c>
      <c r="C7" s="218">
        <v>48002</v>
      </c>
      <c r="D7" s="218">
        <v>50547</v>
      </c>
      <c r="E7" s="218">
        <v>56528</v>
      </c>
      <c r="F7" s="218">
        <v>54632</v>
      </c>
      <c r="G7" s="218">
        <v>53380</v>
      </c>
      <c r="H7" s="218">
        <v>64067</v>
      </c>
      <c r="I7" s="218">
        <v>56736</v>
      </c>
      <c r="J7" s="218">
        <v>47704</v>
      </c>
      <c r="K7" s="218">
        <v>43989</v>
      </c>
      <c r="L7" s="218">
        <v>36048</v>
      </c>
      <c r="M7" s="218">
        <v>34718</v>
      </c>
      <c r="N7" s="218">
        <v>25111</v>
      </c>
      <c r="O7" s="218">
        <v>21068</v>
      </c>
      <c r="P7" s="218">
        <v>15356</v>
      </c>
      <c r="Q7" s="218">
        <v>14763</v>
      </c>
      <c r="R7" s="218">
        <v>10796.505510000032</v>
      </c>
      <c r="S7" s="218">
        <v>3214.48423</v>
      </c>
      <c r="T7" s="218">
        <v>4.9608300000000014</v>
      </c>
      <c r="U7" s="218">
        <v>0</v>
      </c>
      <c r="V7" s="218">
        <v>0</v>
      </c>
      <c r="W7" s="218">
        <v>0</v>
      </c>
      <c r="X7" s="218">
        <v>0</v>
      </c>
      <c r="Y7" s="218">
        <v>0</v>
      </c>
      <c r="Z7" s="218">
        <v>0</v>
      </c>
      <c r="AA7" s="218">
        <v>0</v>
      </c>
      <c r="AB7" s="218">
        <v>0</v>
      </c>
      <c r="AC7" s="218">
        <v>0</v>
      </c>
      <c r="AD7" s="218">
        <v>0</v>
      </c>
      <c r="AE7" s="160">
        <v>0</v>
      </c>
      <c r="AF7" s="118">
        <v>0</v>
      </c>
      <c r="AG7" s="218">
        <v>0</v>
      </c>
      <c r="AH7" s="218">
        <v>0</v>
      </c>
      <c r="AI7" s="218">
        <v>0</v>
      </c>
      <c r="AJ7" s="218">
        <v>0</v>
      </c>
      <c r="AK7" s="218">
        <v>0</v>
      </c>
      <c r="AL7" s="218">
        <v>0</v>
      </c>
      <c r="AM7" s="218">
        <v>0</v>
      </c>
      <c r="AN7" s="218">
        <v>0</v>
      </c>
      <c r="AO7" s="218">
        <v>0</v>
      </c>
      <c r="AP7" s="218"/>
      <c r="AQ7" s="218">
        <v>0</v>
      </c>
      <c r="AR7" s="218">
        <v>0</v>
      </c>
      <c r="AS7" s="218">
        <v>0</v>
      </c>
      <c r="AT7" s="218">
        <v>0</v>
      </c>
      <c r="AU7" s="218">
        <v>0</v>
      </c>
      <c r="AV7" s="218">
        <v>0</v>
      </c>
      <c r="AW7" s="218">
        <v>0</v>
      </c>
      <c r="AX7" s="218">
        <v>0</v>
      </c>
      <c r="AY7" s="218"/>
      <c r="AZ7" s="218"/>
      <c r="BA7" s="218"/>
      <c r="BB7" s="218">
        <v>0</v>
      </c>
      <c r="BC7" s="218"/>
      <c r="BD7" s="218">
        <v>0</v>
      </c>
      <c r="BE7" s="218">
        <v>0</v>
      </c>
      <c r="BF7" s="218">
        <v>0</v>
      </c>
      <c r="BG7" s="218">
        <v>0</v>
      </c>
    </row>
    <row r="8" spans="1:61" s="220" customFormat="1" ht="14.1" hidden="1" customHeight="1" outlineLevel="1" x14ac:dyDescent="0.2">
      <c r="A8" s="226"/>
      <c r="B8" s="227" t="s">
        <v>515</v>
      </c>
      <c r="C8" s="218">
        <v>2328</v>
      </c>
      <c r="D8" s="218">
        <v>2200</v>
      </c>
      <c r="E8" s="218">
        <v>2057</v>
      </c>
      <c r="F8" s="218">
        <v>1784</v>
      </c>
      <c r="G8" s="218">
        <v>1702</v>
      </c>
      <c r="H8" s="218">
        <v>1567</v>
      </c>
      <c r="I8" s="218">
        <v>1727</v>
      </c>
      <c r="J8" s="218">
        <v>470</v>
      </c>
      <c r="K8" s="218">
        <v>0</v>
      </c>
      <c r="L8" s="218">
        <v>0</v>
      </c>
      <c r="M8" s="218">
        <v>0</v>
      </c>
      <c r="N8" s="218">
        <v>0</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160">
        <v>0</v>
      </c>
      <c r="AF8" s="118">
        <v>0</v>
      </c>
      <c r="AG8" s="218">
        <v>0</v>
      </c>
      <c r="AH8" s="218">
        <v>0</v>
      </c>
      <c r="AI8" s="218">
        <v>0</v>
      </c>
      <c r="AJ8" s="218">
        <v>0</v>
      </c>
      <c r="AK8" s="218">
        <v>0</v>
      </c>
      <c r="AL8" s="218">
        <v>0</v>
      </c>
      <c r="AM8" s="218">
        <v>0</v>
      </c>
      <c r="AN8" s="218">
        <v>0</v>
      </c>
      <c r="AO8" s="218">
        <v>0</v>
      </c>
      <c r="AP8" s="218"/>
      <c r="AQ8" s="218">
        <v>0</v>
      </c>
      <c r="AR8" s="218">
        <v>0</v>
      </c>
      <c r="AS8" s="218">
        <v>0</v>
      </c>
      <c r="AT8" s="218">
        <v>0</v>
      </c>
      <c r="AU8" s="218">
        <v>0</v>
      </c>
      <c r="AV8" s="218">
        <v>0</v>
      </c>
      <c r="AW8" s="218">
        <v>0</v>
      </c>
      <c r="AX8" s="218">
        <v>0</v>
      </c>
      <c r="AY8" s="218"/>
      <c r="AZ8" s="218"/>
      <c r="BA8" s="218"/>
      <c r="BB8" s="218">
        <v>0</v>
      </c>
      <c r="BC8" s="218"/>
      <c r="BD8" s="218">
        <v>0</v>
      </c>
      <c r="BE8" s="218">
        <v>0</v>
      </c>
      <c r="BF8" s="218">
        <v>0</v>
      </c>
      <c r="BG8" s="218">
        <v>0</v>
      </c>
    </row>
    <row r="9" spans="1:61" ht="14.1" customHeight="1" collapsed="1" x14ac:dyDescent="0.2">
      <c r="A9" s="24"/>
      <c r="B9" s="119" t="s">
        <v>66</v>
      </c>
      <c r="C9" s="120">
        <f t="shared" ref="C9:AR9" si="0">SUM(C6:C8)</f>
        <v>295825</v>
      </c>
      <c r="D9" s="120">
        <f t="shared" si="0"/>
        <v>334929</v>
      </c>
      <c r="E9" s="120">
        <f t="shared" si="0"/>
        <v>396308</v>
      </c>
      <c r="F9" s="120">
        <f t="shared" si="0"/>
        <v>398907</v>
      </c>
      <c r="G9" s="120">
        <f t="shared" si="0"/>
        <v>352522</v>
      </c>
      <c r="H9" s="120">
        <f t="shared" si="0"/>
        <v>449684</v>
      </c>
      <c r="I9" s="120">
        <f t="shared" si="0"/>
        <v>458071</v>
      </c>
      <c r="J9" s="120">
        <f t="shared" si="0"/>
        <v>438447</v>
      </c>
      <c r="K9" s="120">
        <f t="shared" si="0"/>
        <v>353100</v>
      </c>
      <c r="L9" s="120">
        <f t="shared" si="0"/>
        <v>387721</v>
      </c>
      <c r="M9" s="120">
        <f t="shared" si="0"/>
        <v>384907</v>
      </c>
      <c r="N9" s="120">
        <f t="shared" si="0"/>
        <v>431261</v>
      </c>
      <c r="O9" s="120">
        <f t="shared" si="0"/>
        <v>296153</v>
      </c>
      <c r="P9" s="120">
        <f t="shared" si="0"/>
        <v>282208</v>
      </c>
      <c r="Q9" s="120">
        <f t="shared" si="0"/>
        <v>279189</v>
      </c>
      <c r="R9" s="120">
        <f t="shared" si="0"/>
        <v>291665.83533000003</v>
      </c>
      <c r="S9" s="120">
        <f t="shared" si="0"/>
        <v>198606.12298000001</v>
      </c>
      <c r="T9" s="120">
        <f t="shared" si="0"/>
        <v>232426.84667</v>
      </c>
      <c r="U9" s="120">
        <f t="shared" si="0"/>
        <v>244388.95153000002</v>
      </c>
      <c r="V9" s="120">
        <f t="shared" si="0"/>
        <v>264784.09666000004</v>
      </c>
      <c r="W9" s="120">
        <f t="shared" si="0"/>
        <v>214422.15101999999</v>
      </c>
      <c r="X9" s="120">
        <f t="shared" si="0"/>
        <v>268717.10787999997</v>
      </c>
      <c r="Y9" s="120">
        <f t="shared" si="0"/>
        <v>305185.31597000005</v>
      </c>
      <c r="Z9" s="120">
        <f t="shared" si="0"/>
        <v>340565.25495999999</v>
      </c>
      <c r="AA9" s="120">
        <f t="shared" si="0"/>
        <v>275057.54545999999</v>
      </c>
      <c r="AB9" s="120">
        <f t="shared" si="0"/>
        <v>315279.75394999998</v>
      </c>
      <c r="AC9" s="120">
        <f t="shared" si="0"/>
        <v>365789.47778999998</v>
      </c>
      <c r="AD9" s="120">
        <f t="shared" si="0"/>
        <v>391684.40824000002</v>
      </c>
      <c r="AE9" s="162">
        <f t="shared" si="0"/>
        <v>321706.25628999999</v>
      </c>
      <c r="AF9" s="120">
        <f t="shared" si="0"/>
        <v>360853.55104000005</v>
      </c>
      <c r="AG9" s="120">
        <f t="shared" si="0"/>
        <v>366405.11531000002</v>
      </c>
      <c r="AH9" s="120">
        <f t="shared" si="0"/>
        <v>414841.17645000003</v>
      </c>
      <c r="AI9" s="120">
        <f t="shared" si="0"/>
        <v>298654.90463999996</v>
      </c>
      <c r="AJ9" s="120">
        <f t="shared" si="0"/>
        <v>108624.88222</v>
      </c>
      <c r="AK9" s="120">
        <f t="shared" si="0"/>
        <v>305501.52506000001</v>
      </c>
      <c r="AL9" s="120">
        <f t="shared" si="0"/>
        <v>337571.33675999998</v>
      </c>
      <c r="AM9" s="120">
        <f t="shared" si="0"/>
        <v>250078.92903</v>
      </c>
      <c r="AN9" s="120">
        <f t="shared" si="0"/>
        <v>249944.68143999999</v>
      </c>
      <c r="AO9" s="120">
        <f t="shared" si="0"/>
        <v>243798.95912000004</v>
      </c>
      <c r="AP9" s="120">
        <f t="shared" si="0"/>
        <v>339046.03587999992</v>
      </c>
      <c r="AQ9" s="120">
        <f t="shared" si="0"/>
        <v>249984.01542999997</v>
      </c>
      <c r="AR9" s="120">
        <f t="shared" si="0"/>
        <v>329187.05628000002</v>
      </c>
      <c r="AS9" s="120">
        <f t="shared" ref="AS9:BD9" si="1">SUM(AS6:AS8)</f>
        <v>460036.70981000003</v>
      </c>
      <c r="AT9" s="120">
        <f t="shared" si="1"/>
        <v>461462.62537999998</v>
      </c>
      <c r="AU9" s="120">
        <f t="shared" si="1"/>
        <v>369902.34818999982</v>
      </c>
      <c r="AV9" s="120">
        <f t="shared" si="1"/>
        <v>413999.29704000009</v>
      </c>
      <c r="AW9" s="120">
        <f t="shared" si="1"/>
        <v>481071.89130000008</v>
      </c>
      <c r="AX9" s="120">
        <f t="shared" si="1"/>
        <v>516751.48728000012</v>
      </c>
      <c r="AY9" s="120">
        <f t="shared" si="1"/>
        <v>432552.07787999994</v>
      </c>
      <c r="AZ9" s="120">
        <f t="shared" si="1"/>
        <v>529168.94435000001</v>
      </c>
      <c r="BA9" s="120">
        <f t="shared" si="1"/>
        <v>695890.14059000008</v>
      </c>
      <c r="BB9" s="120">
        <f>SUM(BB6:BB8)</f>
        <v>720353.22578999994</v>
      </c>
      <c r="BC9" s="120">
        <f t="shared" si="1"/>
        <v>489547.18824999995</v>
      </c>
      <c r="BD9" s="120">
        <f t="shared" si="1"/>
        <v>621439.08457999991</v>
      </c>
      <c r="BE9" s="120">
        <f>SUM(BE6:BE8)</f>
        <v>744446</v>
      </c>
      <c r="BF9" s="120">
        <f>SUM(BF6:BF8)</f>
        <v>717391.32421999995</v>
      </c>
      <c r="BG9" s="120">
        <f>SUM(BG6:BG8)</f>
        <v>599235.4249000001</v>
      </c>
    </row>
    <row r="10" spans="1:61" ht="14.1" customHeight="1" x14ac:dyDescent="0.2">
      <c r="A10" s="24"/>
      <c r="B10" s="117" t="s">
        <v>744</v>
      </c>
      <c r="C10" s="118">
        <f>+C11-C9</f>
        <v>-57512</v>
      </c>
      <c r="D10" s="118">
        <f t="shared" ref="D10:N10" si="2">+D11-D9</f>
        <v>-64176</v>
      </c>
      <c r="E10" s="118">
        <f t="shared" si="2"/>
        <v>-76074</v>
      </c>
      <c r="F10" s="118">
        <f t="shared" si="2"/>
        <v>-71276</v>
      </c>
      <c r="G10" s="118">
        <f t="shared" si="2"/>
        <v>-66905</v>
      </c>
      <c r="H10" s="118">
        <f t="shared" si="2"/>
        <v>-82322</v>
      </c>
      <c r="I10" s="118">
        <f t="shared" si="2"/>
        <v>-84395</v>
      </c>
      <c r="J10" s="118">
        <f t="shared" si="2"/>
        <v>-79736</v>
      </c>
      <c r="K10" s="118">
        <f t="shared" si="2"/>
        <v>-69616</v>
      </c>
      <c r="L10" s="118">
        <f t="shared" si="2"/>
        <v>-75456</v>
      </c>
      <c r="M10" s="118">
        <f t="shared" si="2"/>
        <v>-74942</v>
      </c>
      <c r="N10" s="118">
        <f t="shared" si="2"/>
        <v>-84359</v>
      </c>
      <c r="O10" s="118">
        <v>-57401</v>
      </c>
      <c r="P10" s="118">
        <v>-55703</v>
      </c>
      <c r="Q10" s="118">
        <v>-55798</v>
      </c>
      <c r="R10" s="118">
        <v>-55034.690800000069</v>
      </c>
      <c r="S10" s="118">
        <v>-38776.00688000003</v>
      </c>
      <c r="T10" s="118">
        <v>-45468.952340000018</v>
      </c>
      <c r="U10" s="118">
        <v>-46470.153370000015</v>
      </c>
      <c r="V10" s="118">
        <v>-50614.433350000036</v>
      </c>
      <c r="W10" s="118">
        <v>-41103.315629999997</v>
      </c>
      <c r="X10" s="118">
        <v>-52946.743019999965</v>
      </c>
      <c r="Y10" s="118">
        <v>-61019.876960000052</v>
      </c>
      <c r="Z10" s="118">
        <v>-65737.152109999966</v>
      </c>
      <c r="AA10" s="118">
        <v>-52596.962559999985</v>
      </c>
      <c r="AB10" s="118">
        <v>-59289.149159999972</v>
      </c>
      <c r="AC10" s="118">
        <v>-69708.742150000005</v>
      </c>
      <c r="AD10" s="261">
        <v>-65409.641249999986</v>
      </c>
      <c r="AE10" s="160">
        <v>-62799.635449999972</v>
      </c>
      <c r="AF10" s="118">
        <v>-66748.686060000036</v>
      </c>
      <c r="AG10" s="118">
        <v>-66613.590469999996</v>
      </c>
      <c r="AH10" s="118">
        <v>-77497.233100000012</v>
      </c>
      <c r="AI10" s="118">
        <v>-57894.401809999952</v>
      </c>
      <c r="AJ10" s="118">
        <v>-21747.188200000004</v>
      </c>
      <c r="AK10" s="118">
        <v>-60044.146310000011</v>
      </c>
      <c r="AL10" s="118">
        <v>-65009.129129999958</v>
      </c>
      <c r="AM10" s="118">
        <v>-49254.193539999978</v>
      </c>
      <c r="AN10" s="118">
        <v>-49517.74914</v>
      </c>
      <c r="AO10" s="118">
        <v>-49478.775009999998</v>
      </c>
      <c r="AP10" s="118">
        <v>-67104.971710000013</v>
      </c>
      <c r="AQ10" s="118">
        <v>-48189.471709999983</v>
      </c>
      <c r="AR10" s="118">
        <v>-63085.022420000052</v>
      </c>
      <c r="AS10" s="118">
        <v>-86906.629780000017</v>
      </c>
      <c r="AT10" s="118">
        <v>-89050.690640000044</v>
      </c>
      <c r="AU10" s="118">
        <v>-72862.59156000003</v>
      </c>
      <c r="AV10" s="261">
        <v>-83095.65155000001</v>
      </c>
      <c r="AW10" s="118">
        <v>-95247.513340000005</v>
      </c>
      <c r="AX10" s="261">
        <v>-103380.24767999997</v>
      </c>
      <c r="AY10" s="118">
        <v>-85040.23550000001</v>
      </c>
      <c r="AZ10" s="118">
        <v>-101889.77088999999</v>
      </c>
      <c r="BA10" s="118">
        <v>-133957.97138</v>
      </c>
      <c r="BB10" s="118">
        <v>-137016.65207999991</v>
      </c>
      <c r="BC10" s="118">
        <v>-95011.771950000024</v>
      </c>
      <c r="BD10" s="118">
        <v>-125532.80691</v>
      </c>
      <c r="BE10" s="118">
        <v>-144587</v>
      </c>
      <c r="BF10" s="118">
        <v>-145533.56065999996</v>
      </c>
      <c r="BG10" s="118">
        <v>-119134.43191999994</v>
      </c>
    </row>
    <row r="11" spans="1:61" ht="14.1" customHeight="1" x14ac:dyDescent="0.2">
      <c r="A11" s="24"/>
      <c r="B11" s="119" t="s">
        <v>56</v>
      </c>
      <c r="C11" s="120">
        <v>238313</v>
      </c>
      <c r="D11" s="120">
        <v>270753</v>
      </c>
      <c r="E11" s="120">
        <v>320234</v>
      </c>
      <c r="F11" s="120">
        <v>327631</v>
      </c>
      <c r="G11" s="120">
        <v>285617</v>
      </c>
      <c r="H11" s="120">
        <v>367362</v>
      </c>
      <c r="I11" s="120">
        <v>373676</v>
      </c>
      <c r="J11" s="120">
        <v>358711</v>
      </c>
      <c r="K11" s="120">
        <v>283484</v>
      </c>
      <c r="L11" s="120">
        <v>312265</v>
      </c>
      <c r="M11" s="120">
        <v>309965</v>
      </c>
      <c r="N11" s="120">
        <v>346902</v>
      </c>
      <c r="O11" s="120">
        <f t="shared" ref="O11:AO11" si="3">+O9+O10</f>
        <v>238752</v>
      </c>
      <c r="P11" s="120">
        <f t="shared" si="3"/>
        <v>226505</v>
      </c>
      <c r="Q11" s="120">
        <f t="shared" si="3"/>
        <v>223391</v>
      </c>
      <c r="R11" s="120">
        <f t="shared" si="3"/>
        <v>236631.14452999996</v>
      </c>
      <c r="S11" s="120">
        <f t="shared" si="3"/>
        <v>159830.11609999998</v>
      </c>
      <c r="T11" s="120">
        <f t="shared" si="3"/>
        <v>186957.89432999998</v>
      </c>
      <c r="U11" s="120">
        <f t="shared" si="3"/>
        <v>197918.79816000001</v>
      </c>
      <c r="V11" s="120">
        <f t="shared" si="3"/>
        <v>214169.66331</v>
      </c>
      <c r="W11" s="120">
        <f t="shared" si="3"/>
        <v>173318.83538999999</v>
      </c>
      <c r="X11" s="120">
        <f t="shared" si="3"/>
        <v>215770.36486</v>
      </c>
      <c r="Y11" s="120">
        <f t="shared" si="3"/>
        <v>244165.43901</v>
      </c>
      <c r="Z11" s="120">
        <f t="shared" si="3"/>
        <v>274828.10285000002</v>
      </c>
      <c r="AA11" s="120">
        <f t="shared" si="3"/>
        <v>222460.58290000001</v>
      </c>
      <c r="AB11" s="120">
        <f t="shared" si="3"/>
        <v>255990.60479000001</v>
      </c>
      <c r="AC11" s="120">
        <f t="shared" si="3"/>
        <v>296080.73563999997</v>
      </c>
      <c r="AD11" s="120">
        <f t="shared" si="3"/>
        <v>326274.76699000003</v>
      </c>
      <c r="AE11" s="162">
        <f t="shared" si="3"/>
        <v>258906.62084000002</v>
      </c>
      <c r="AF11" s="120">
        <f t="shared" si="3"/>
        <v>294104.86498000001</v>
      </c>
      <c r="AG11" s="120">
        <f t="shared" si="3"/>
        <v>299791.52484000003</v>
      </c>
      <c r="AH11" s="120">
        <f t="shared" si="3"/>
        <v>337343.94335000002</v>
      </c>
      <c r="AI11" s="120">
        <f t="shared" si="3"/>
        <v>240760.50283000001</v>
      </c>
      <c r="AJ11" s="120">
        <f t="shared" si="3"/>
        <v>86877.694019999995</v>
      </c>
      <c r="AK11" s="120">
        <f t="shared" si="3"/>
        <v>245457.37875</v>
      </c>
      <c r="AL11" s="120">
        <f t="shared" si="3"/>
        <v>272562.20763000002</v>
      </c>
      <c r="AM11" s="120">
        <f t="shared" si="3"/>
        <v>200824.73549000002</v>
      </c>
      <c r="AN11" s="120">
        <f t="shared" si="3"/>
        <v>200426.93229999999</v>
      </c>
      <c r="AO11" s="120">
        <f t="shared" si="3"/>
        <v>194320.18411000003</v>
      </c>
      <c r="AP11" s="120">
        <f t="shared" ref="AP11:AU11" si="4">+AP9+AP10</f>
        <v>271941.06416999991</v>
      </c>
      <c r="AQ11" s="120">
        <f t="shared" si="4"/>
        <v>201794.54371999999</v>
      </c>
      <c r="AR11" s="120">
        <f t="shared" si="4"/>
        <v>266102.03385999997</v>
      </c>
      <c r="AS11" s="120">
        <f t="shared" si="4"/>
        <v>373130.08003000001</v>
      </c>
      <c r="AT11" s="120">
        <f t="shared" si="4"/>
        <v>372411.93473999994</v>
      </c>
      <c r="AU11" s="120">
        <f t="shared" si="4"/>
        <v>297039.75662999979</v>
      </c>
      <c r="AV11" s="120">
        <f t="shared" ref="AV11:BD11" si="5">+AV9+AV10</f>
        <v>330903.64549000008</v>
      </c>
      <c r="AW11" s="120">
        <f t="shared" si="5"/>
        <v>385824.37796000007</v>
      </c>
      <c r="AX11" s="120">
        <f t="shared" si="5"/>
        <v>413371.23960000015</v>
      </c>
      <c r="AY11" s="120">
        <f t="shared" si="5"/>
        <v>347511.84237999993</v>
      </c>
      <c r="AZ11" s="120">
        <f t="shared" si="5"/>
        <v>427279.17346000002</v>
      </c>
      <c r="BA11" s="120">
        <f t="shared" si="5"/>
        <v>561932.16921000008</v>
      </c>
      <c r="BB11" s="120">
        <f t="shared" si="5"/>
        <v>583336.57371000003</v>
      </c>
      <c r="BC11" s="120">
        <f t="shared" si="5"/>
        <v>394535.41629999992</v>
      </c>
      <c r="BD11" s="120">
        <f t="shared" si="5"/>
        <v>495906.27766999992</v>
      </c>
      <c r="BE11" s="120">
        <f>+BE9+BE10</f>
        <v>599859</v>
      </c>
      <c r="BF11" s="120">
        <f>+BF9+BF10</f>
        <v>571857.76355999999</v>
      </c>
      <c r="BG11" s="120">
        <f>+BG9+BG10</f>
        <v>480100.99298000016</v>
      </c>
    </row>
    <row r="12" spans="1:61" ht="14.1" customHeight="1" x14ac:dyDescent="0.2">
      <c r="A12" s="24"/>
      <c r="B12" s="117" t="s">
        <v>871</v>
      </c>
      <c r="C12" s="121">
        <v>-189436</v>
      </c>
      <c r="D12" s="121">
        <v>-216679</v>
      </c>
      <c r="E12" s="121">
        <v>-249204</v>
      </c>
      <c r="F12" s="121">
        <v>-267047</v>
      </c>
      <c r="G12" s="121">
        <v>-228868</v>
      </c>
      <c r="H12" s="121">
        <v>-286835</v>
      </c>
      <c r="I12" s="121">
        <v>-287067</v>
      </c>
      <c r="J12" s="121">
        <v>-277479</v>
      </c>
      <c r="K12" s="121">
        <v>-228204</v>
      </c>
      <c r="L12" s="121">
        <v>-249534</v>
      </c>
      <c r="M12" s="121">
        <v>-240311</v>
      </c>
      <c r="N12" s="121">
        <v>-270316</v>
      </c>
      <c r="O12" s="118">
        <v>-194818</v>
      </c>
      <c r="P12" s="118">
        <v>-186806</v>
      </c>
      <c r="Q12" s="118">
        <v>-182158</v>
      </c>
      <c r="R12" s="118">
        <f>-188388.95358-113</f>
        <v>-188501.95358</v>
      </c>
      <c r="S12" s="118">
        <v>-133450.33483000001</v>
      </c>
      <c r="T12" s="118">
        <v>-151593.04390999998</v>
      </c>
      <c r="U12" s="118">
        <v>-156079.47986000002</v>
      </c>
      <c r="V12" s="118">
        <v>-166209.06307</v>
      </c>
      <c r="W12" s="118">
        <v>-141121.33221999998</v>
      </c>
      <c r="X12" s="118">
        <v>-170858.86447999999</v>
      </c>
      <c r="Y12" s="118">
        <v>-191017.84543999998</v>
      </c>
      <c r="Z12" s="118">
        <v>-184235.34417</v>
      </c>
      <c r="AA12" s="118">
        <v>-175042.63430000001</v>
      </c>
      <c r="AB12" s="118">
        <v>-200153.55509000004</v>
      </c>
      <c r="AC12" s="118">
        <v>-226765.28566000002</v>
      </c>
      <c r="AD12" s="118">
        <v>-241697.69333000001</v>
      </c>
      <c r="AE12" s="160">
        <v>-195011.17071999999</v>
      </c>
      <c r="AF12" s="118">
        <v>-222627.48254999999</v>
      </c>
      <c r="AG12" s="261">
        <v>-231521.17430999997</v>
      </c>
      <c r="AH12" s="118">
        <v>-251808.91704</v>
      </c>
      <c r="AI12" s="118">
        <v>-183937.82206000001</v>
      </c>
      <c r="AJ12" s="118">
        <v>-79168.829530000003</v>
      </c>
      <c r="AK12" s="118">
        <v>-185716.21622999999</v>
      </c>
      <c r="AL12" s="118">
        <v>-207385.10715999999</v>
      </c>
      <c r="AM12" s="118">
        <v>-156515.03270000001</v>
      </c>
      <c r="AN12" s="118">
        <v>-156748.70746000001</v>
      </c>
      <c r="AO12" s="118">
        <v>-152863.65859000004</v>
      </c>
      <c r="AP12" s="118">
        <v>-211529.13235</v>
      </c>
      <c r="AQ12" s="118">
        <v>-164595.84351000001</v>
      </c>
      <c r="AR12" s="118">
        <v>-208320.34273</v>
      </c>
      <c r="AS12" s="118">
        <v>-280064.63664000004</v>
      </c>
      <c r="AT12" s="118">
        <v>-288983.05945</v>
      </c>
      <c r="AU12" s="118">
        <v>-235868.56953999994</v>
      </c>
      <c r="AV12" s="118">
        <v>-261388.94050999999</v>
      </c>
      <c r="AW12" s="118">
        <v>-294365.07498999999</v>
      </c>
      <c r="AX12" s="118">
        <v>-322356.92486999987</v>
      </c>
      <c r="AY12" s="118">
        <v>-272212.08776000008</v>
      </c>
      <c r="AZ12" s="118">
        <v>-330865.52973000001</v>
      </c>
      <c r="BA12" s="118">
        <v>-421044.66129999998</v>
      </c>
      <c r="BB12" s="118">
        <v>-438055.93491000007</v>
      </c>
      <c r="BC12" s="118">
        <v>-308836.84028999996</v>
      </c>
      <c r="BD12" s="118">
        <v>-383234.3390700001</v>
      </c>
      <c r="BE12" s="118">
        <v>-462122.52695999987</v>
      </c>
      <c r="BF12" s="118">
        <v>-463638.68320000003</v>
      </c>
      <c r="BG12" s="118">
        <v>-392335.67630000005</v>
      </c>
    </row>
    <row r="13" spans="1:61" ht="14.1" customHeight="1" x14ac:dyDescent="0.2">
      <c r="A13" s="24"/>
      <c r="B13" s="119" t="s">
        <v>393</v>
      </c>
      <c r="C13" s="120">
        <f t="shared" ref="C13:N13" si="6">SUM(C11,C12)</f>
        <v>48877</v>
      </c>
      <c r="D13" s="120">
        <f t="shared" si="6"/>
        <v>54074</v>
      </c>
      <c r="E13" s="120">
        <f t="shared" si="6"/>
        <v>71030</v>
      </c>
      <c r="F13" s="120">
        <f t="shared" si="6"/>
        <v>60584</v>
      </c>
      <c r="G13" s="120">
        <f t="shared" si="6"/>
        <v>56749</v>
      </c>
      <c r="H13" s="120">
        <f t="shared" si="6"/>
        <v>80527</v>
      </c>
      <c r="I13" s="120">
        <f t="shared" si="6"/>
        <v>86609</v>
      </c>
      <c r="J13" s="120">
        <f t="shared" si="6"/>
        <v>81232</v>
      </c>
      <c r="K13" s="120">
        <f t="shared" si="6"/>
        <v>55280</v>
      </c>
      <c r="L13" s="120">
        <f t="shared" si="6"/>
        <v>62731</v>
      </c>
      <c r="M13" s="120">
        <f t="shared" si="6"/>
        <v>69654</v>
      </c>
      <c r="N13" s="120">
        <f t="shared" si="6"/>
        <v>76586</v>
      </c>
      <c r="O13" s="120">
        <f t="shared" ref="O13:AJ13" si="7">O11+O12</f>
        <v>43934</v>
      </c>
      <c r="P13" s="120">
        <f t="shared" si="7"/>
        <v>39699</v>
      </c>
      <c r="Q13" s="120">
        <f t="shared" si="7"/>
        <v>41233</v>
      </c>
      <c r="R13" s="120">
        <f t="shared" si="7"/>
        <v>48129.19094999996</v>
      </c>
      <c r="S13" s="120">
        <f t="shared" si="7"/>
        <v>26379.781269999978</v>
      </c>
      <c r="T13" s="120">
        <f t="shared" si="7"/>
        <v>35364.850420000002</v>
      </c>
      <c r="U13" s="120">
        <f t="shared" si="7"/>
        <v>41839.318299999984</v>
      </c>
      <c r="V13" s="120">
        <f t="shared" si="7"/>
        <v>47960.60024</v>
      </c>
      <c r="W13" s="120">
        <f t="shared" si="7"/>
        <v>32197.503170000011</v>
      </c>
      <c r="X13" s="120">
        <f t="shared" si="7"/>
        <v>44911.500380000012</v>
      </c>
      <c r="Y13" s="120">
        <f t="shared" si="7"/>
        <v>53147.593570000026</v>
      </c>
      <c r="Z13" s="120">
        <f t="shared" si="7"/>
        <v>90592.758680000028</v>
      </c>
      <c r="AA13" s="120">
        <f t="shared" si="7"/>
        <v>47417.948600000003</v>
      </c>
      <c r="AB13" s="120">
        <f t="shared" si="7"/>
        <v>55837.049699999974</v>
      </c>
      <c r="AC13" s="120">
        <f t="shared" si="7"/>
        <v>69315.449979999947</v>
      </c>
      <c r="AD13" s="120">
        <f t="shared" si="7"/>
        <v>84577.073660000024</v>
      </c>
      <c r="AE13" s="162">
        <f t="shared" si="7"/>
        <v>63895.450120000023</v>
      </c>
      <c r="AF13" s="120">
        <f t="shared" si="7"/>
        <v>71477.382430000027</v>
      </c>
      <c r="AG13" s="120">
        <f t="shared" si="7"/>
        <v>68270.350530000054</v>
      </c>
      <c r="AH13" s="120">
        <f t="shared" si="7"/>
        <v>85535.026310000016</v>
      </c>
      <c r="AI13" s="120">
        <f t="shared" si="7"/>
        <v>56822.680770000006</v>
      </c>
      <c r="AJ13" s="120">
        <f t="shared" si="7"/>
        <v>7708.8644899999927</v>
      </c>
      <c r="AK13" s="120">
        <f t="shared" ref="AK13:AR13" si="8">AK11+AK12</f>
        <v>59741.162520000013</v>
      </c>
      <c r="AL13" s="120">
        <f t="shared" si="8"/>
        <v>65177.100470000034</v>
      </c>
      <c r="AM13" s="120">
        <f t="shared" si="8"/>
        <v>44309.70279000001</v>
      </c>
      <c r="AN13" s="120">
        <f t="shared" si="8"/>
        <v>43678.224839999981</v>
      </c>
      <c r="AO13" s="120">
        <f t="shared" si="8"/>
        <v>41456.525519999996</v>
      </c>
      <c r="AP13" s="120">
        <f t="shared" si="8"/>
        <v>60411.931819999911</v>
      </c>
      <c r="AQ13" s="120">
        <f t="shared" si="8"/>
        <v>37198.700209999981</v>
      </c>
      <c r="AR13" s="120">
        <f t="shared" si="8"/>
        <v>57781.691129999963</v>
      </c>
      <c r="AS13" s="120">
        <f t="shared" ref="AS13:BD13" si="9">AS11+AS12</f>
        <v>93065.443389999971</v>
      </c>
      <c r="AT13" s="120">
        <f t="shared" si="9"/>
        <v>83428.875289999938</v>
      </c>
      <c r="AU13" s="120">
        <f t="shared" si="9"/>
        <v>61171.187089999847</v>
      </c>
      <c r="AV13" s="120">
        <f t="shared" si="9"/>
        <v>69514.704980000097</v>
      </c>
      <c r="AW13" s="120">
        <f t="shared" si="9"/>
        <v>91459.302970000077</v>
      </c>
      <c r="AX13" s="120">
        <f t="shared" si="9"/>
        <v>91014.314730000275</v>
      </c>
      <c r="AY13" s="120">
        <f t="shared" si="9"/>
        <v>75299.754619999847</v>
      </c>
      <c r="AZ13" s="120">
        <f t="shared" si="9"/>
        <v>96413.643730000011</v>
      </c>
      <c r="BA13" s="120">
        <f t="shared" si="9"/>
        <v>140887.5079100001</v>
      </c>
      <c r="BB13" s="120">
        <f t="shared" si="9"/>
        <v>145280.63879999996</v>
      </c>
      <c r="BC13" s="120">
        <f t="shared" si="9"/>
        <v>85698.576009999961</v>
      </c>
      <c r="BD13" s="120">
        <f t="shared" si="9"/>
        <v>112671.93859999982</v>
      </c>
      <c r="BE13" s="120">
        <f>BE11+BE12</f>
        <v>137736.47304000013</v>
      </c>
      <c r="BF13" s="120">
        <f>BF11+BF12</f>
        <v>108219.08035999996</v>
      </c>
      <c r="BG13" s="120">
        <f>BG11+BG12</f>
        <v>87765.316680000105</v>
      </c>
      <c r="BH13" s="1133"/>
    </row>
    <row r="14" spans="1:61" ht="14.1" customHeight="1" x14ac:dyDescent="0.2">
      <c r="A14" s="24"/>
      <c r="B14" s="117" t="s">
        <v>872</v>
      </c>
      <c r="C14" s="121">
        <v>-21074</v>
      </c>
      <c r="D14" s="121">
        <v>-16677</v>
      </c>
      <c r="E14" s="121">
        <v>-9112</v>
      </c>
      <c r="F14" s="121">
        <v>-17676</v>
      </c>
      <c r="G14" s="121">
        <v>-20244</v>
      </c>
      <c r="H14" s="121">
        <v>-23578</v>
      </c>
      <c r="I14" s="121">
        <v>-10037</v>
      </c>
      <c r="J14" s="121">
        <v>-31133</v>
      </c>
      <c r="K14" s="121">
        <v>-24798</v>
      </c>
      <c r="L14" s="121">
        <v>-19902</v>
      </c>
      <c r="M14" s="121">
        <v>-23008</v>
      </c>
      <c r="N14" s="121">
        <v>-23555</v>
      </c>
      <c r="O14" s="118">
        <f>-18551-1558</f>
        <v>-20109</v>
      </c>
      <c r="P14" s="118">
        <v>-18551</v>
      </c>
      <c r="Q14" s="118">
        <v>-18755</v>
      </c>
      <c r="R14" s="118">
        <f>-24141.83187+113</f>
        <v>-24028.831870000002</v>
      </c>
      <c r="S14" s="118">
        <f>-15191.89146</f>
        <v>-15191.891460000001</v>
      </c>
      <c r="T14" s="118">
        <v>-21353.169100000003</v>
      </c>
      <c r="U14" s="118">
        <v>-18774.009830000003</v>
      </c>
      <c r="V14" s="118">
        <v>-18589.330899999997</v>
      </c>
      <c r="W14" s="118">
        <v>-16353.04853</v>
      </c>
      <c r="X14" s="118">
        <v>-34622.371769999998</v>
      </c>
      <c r="Y14" s="118">
        <v>-18277.272819999998</v>
      </c>
      <c r="Z14" s="118">
        <v>-30661.90698</v>
      </c>
      <c r="AA14" s="118">
        <v>-24805.271980000001</v>
      </c>
      <c r="AB14" s="118">
        <v>-17589.50963</v>
      </c>
      <c r="AC14" s="118">
        <v>-19911.637070000001</v>
      </c>
      <c r="AD14" s="261">
        <v>-33013.308089999999</v>
      </c>
      <c r="AE14" s="160">
        <v>-21396.712169999999</v>
      </c>
      <c r="AF14" s="118">
        <v>-22826.147920000003</v>
      </c>
      <c r="AG14" s="261">
        <v>30380.544190000001</v>
      </c>
      <c r="AH14" s="118">
        <v>-30316.098229999996</v>
      </c>
      <c r="AI14" s="261">
        <v>-30860.54089</v>
      </c>
      <c r="AJ14" s="118">
        <v>-19363.556400000001</v>
      </c>
      <c r="AK14" s="118">
        <v>-20948.943660000001</v>
      </c>
      <c r="AL14" s="118">
        <v>-21931.721740000001</v>
      </c>
      <c r="AM14" s="261">
        <v>-11188.241210000004</v>
      </c>
      <c r="AN14" s="118">
        <v>-20227.155319999998</v>
      </c>
      <c r="AO14" s="261">
        <v>-17093.422470000005</v>
      </c>
      <c r="AP14" s="118">
        <v>-23864.233980000005</v>
      </c>
      <c r="AQ14" s="118">
        <v>-16134.47566</v>
      </c>
      <c r="AR14" s="118">
        <v>-19986.929600000003</v>
      </c>
      <c r="AS14" s="261">
        <v>-25756.751630000006</v>
      </c>
      <c r="AT14" s="261">
        <v>-16507.290939999999</v>
      </c>
      <c r="AU14" s="118">
        <v>-18645.184150000001</v>
      </c>
      <c r="AV14" s="118">
        <v>-23068.069059999994</v>
      </c>
      <c r="AW14" s="118">
        <v>-24624.235850000005</v>
      </c>
      <c r="AX14" s="118">
        <v>-28623.659970000001</v>
      </c>
      <c r="AY14" s="261">
        <v>-25337.884590000005</v>
      </c>
      <c r="AZ14" s="261">
        <v>-21782.948499999999</v>
      </c>
      <c r="BA14" s="261">
        <v>-23322.650829999999</v>
      </c>
      <c r="BB14" s="261">
        <v>-25002.788710000008</v>
      </c>
      <c r="BC14" s="118">
        <v>-25180.730210000005</v>
      </c>
      <c r="BD14" s="118">
        <v>-26323.649750000008</v>
      </c>
      <c r="BE14" s="118">
        <v>-25720.035740000003</v>
      </c>
      <c r="BF14" s="118">
        <v>-30240.550179999998</v>
      </c>
      <c r="BG14" s="261">
        <v>-22213.325930000003</v>
      </c>
      <c r="BI14" s="1149"/>
    </row>
    <row r="15" spans="1:61" ht="14.1" customHeight="1" x14ac:dyDescent="0.2">
      <c r="A15" s="24"/>
      <c r="B15" s="119" t="s">
        <v>8</v>
      </c>
      <c r="C15" s="120">
        <f t="shared" ref="C15:AP15" si="10">+C13+C14</f>
        <v>27803</v>
      </c>
      <c r="D15" s="120">
        <f t="shared" si="10"/>
        <v>37397</v>
      </c>
      <c r="E15" s="120">
        <f t="shared" si="10"/>
        <v>61918</v>
      </c>
      <c r="F15" s="120">
        <f t="shared" si="10"/>
        <v>42908</v>
      </c>
      <c r="G15" s="120">
        <f t="shared" si="10"/>
        <v>36505</v>
      </c>
      <c r="H15" s="120">
        <f t="shared" si="10"/>
        <v>56949</v>
      </c>
      <c r="I15" s="120">
        <f t="shared" si="10"/>
        <v>76572</v>
      </c>
      <c r="J15" s="120">
        <f t="shared" si="10"/>
        <v>50099</v>
      </c>
      <c r="K15" s="120">
        <f t="shared" si="10"/>
        <v>30482</v>
      </c>
      <c r="L15" s="120">
        <f t="shared" si="10"/>
        <v>42829</v>
      </c>
      <c r="M15" s="120">
        <f t="shared" si="10"/>
        <v>46646</v>
      </c>
      <c r="N15" s="120">
        <f t="shared" si="10"/>
        <v>53031</v>
      </c>
      <c r="O15" s="120">
        <f t="shared" si="10"/>
        <v>23825</v>
      </c>
      <c r="P15" s="120">
        <f t="shared" si="10"/>
        <v>21148</v>
      </c>
      <c r="Q15" s="120">
        <f t="shared" si="10"/>
        <v>22478</v>
      </c>
      <c r="R15" s="120">
        <f t="shared" si="10"/>
        <v>24100.359079999958</v>
      </c>
      <c r="S15" s="120">
        <f t="shared" si="10"/>
        <v>11187.889809999977</v>
      </c>
      <c r="T15" s="120">
        <f t="shared" si="10"/>
        <v>14011.68132</v>
      </c>
      <c r="U15" s="120">
        <f t="shared" si="10"/>
        <v>23065.308469999982</v>
      </c>
      <c r="V15" s="120">
        <f t="shared" si="10"/>
        <v>29371.269340000003</v>
      </c>
      <c r="W15" s="120">
        <f t="shared" si="10"/>
        <v>15844.454640000011</v>
      </c>
      <c r="X15" s="120">
        <f t="shared" si="10"/>
        <v>10289.128610000014</v>
      </c>
      <c r="Y15" s="120">
        <f t="shared" si="10"/>
        <v>34870.320750000028</v>
      </c>
      <c r="Z15" s="120">
        <f t="shared" si="10"/>
        <v>59930.851700000028</v>
      </c>
      <c r="AA15" s="120">
        <f t="shared" si="10"/>
        <v>22612.676620000002</v>
      </c>
      <c r="AB15" s="120">
        <f t="shared" si="10"/>
        <v>38247.540069999974</v>
      </c>
      <c r="AC15" s="120">
        <f t="shared" si="10"/>
        <v>49403.81290999995</v>
      </c>
      <c r="AD15" s="120">
        <f t="shared" si="10"/>
        <v>51563.765570000025</v>
      </c>
      <c r="AE15" s="162">
        <f t="shared" si="10"/>
        <v>42498.737950000024</v>
      </c>
      <c r="AF15" s="120">
        <f t="shared" si="10"/>
        <v>48651.234510000024</v>
      </c>
      <c r="AG15" s="120">
        <f t="shared" si="10"/>
        <v>98650.894720000055</v>
      </c>
      <c r="AH15" s="120">
        <f t="shared" si="10"/>
        <v>55218.92808000002</v>
      </c>
      <c r="AI15" s="120">
        <f t="shared" si="10"/>
        <v>25962.139880000006</v>
      </c>
      <c r="AJ15" s="120">
        <f t="shared" si="10"/>
        <v>-11654.691910000009</v>
      </c>
      <c r="AK15" s="120">
        <f t="shared" si="10"/>
        <v>38792.218860000008</v>
      </c>
      <c r="AL15" s="120">
        <f t="shared" si="10"/>
        <v>43245.378730000033</v>
      </c>
      <c r="AM15" s="120">
        <f t="shared" si="10"/>
        <v>33121.461580000003</v>
      </c>
      <c r="AN15" s="120">
        <f t="shared" si="10"/>
        <v>23451.069519999983</v>
      </c>
      <c r="AO15" s="120">
        <f t="shared" si="10"/>
        <v>24363.103049999991</v>
      </c>
      <c r="AP15" s="120">
        <f t="shared" si="10"/>
        <v>36547.697839999906</v>
      </c>
      <c r="AQ15" s="120">
        <f t="shared" ref="AQ15:AV15" si="11">+AQ13+AQ14</f>
        <v>21064.224549999981</v>
      </c>
      <c r="AR15" s="120">
        <f t="shared" si="11"/>
        <v>37794.76152999996</v>
      </c>
      <c r="AS15" s="120">
        <f t="shared" si="11"/>
        <v>67308.691759999958</v>
      </c>
      <c r="AT15" s="120">
        <f t="shared" si="11"/>
        <v>66921.584349999932</v>
      </c>
      <c r="AU15" s="120">
        <f t="shared" si="11"/>
        <v>42526.002939999846</v>
      </c>
      <c r="AV15" s="120">
        <f t="shared" si="11"/>
        <v>46446.635920000102</v>
      </c>
      <c r="AW15" s="120">
        <f t="shared" ref="AW15:BD15" si="12">+AW13+AW14</f>
        <v>66835.06712000008</v>
      </c>
      <c r="AX15" s="120">
        <f t="shared" si="12"/>
        <v>62390.654760000274</v>
      </c>
      <c r="AY15" s="120">
        <f t="shared" si="12"/>
        <v>49961.870029999845</v>
      </c>
      <c r="AZ15" s="120">
        <f t="shared" si="12"/>
        <v>74630.695230000012</v>
      </c>
      <c r="BA15" s="120">
        <f t="shared" si="12"/>
        <v>117564.8570800001</v>
      </c>
      <c r="BB15" s="120">
        <f t="shared" si="12"/>
        <v>120277.85008999995</v>
      </c>
      <c r="BC15" s="120">
        <f t="shared" si="12"/>
        <v>60517.845799999952</v>
      </c>
      <c r="BD15" s="120">
        <f t="shared" si="12"/>
        <v>86348.288849999808</v>
      </c>
      <c r="BE15" s="120">
        <f>+BE13+BE14</f>
        <v>112016.43730000012</v>
      </c>
      <c r="BF15" s="120">
        <f>+BF13+BF14</f>
        <v>77978.530179999972</v>
      </c>
      <c r="BG15" s="120">
        <f>+BG13+BG14</f>
        <v>65551.990750000099</v>
      </c>
      <c r="BH15" s="1137"/>
    </row>
    <row r="16" spans="1:61" ht="14.1" customHeight="1" x14ac:dyDescent="0.2">
      <c r="A16" s="23"/>
      <c r="B16" s="336" t="s">
        <v>865</v>
      </c>
      <c r="C16" s="118" t="s">
        <v>160</v>
      </c>
      <c r="D16" s="118" t="s">
        <v>160</v>
      </c>
      <c r="E16" s="118" t="s">
        <v>160</v>
      </c>
      <c r="F16" s="118" t="s">
        <v>160</v>
      </c>
      <c r="G16" s="118" t="s">
        <v>160</v>
      </c>
      <c r="H16" s="118" t="s">
        <v>160</v>
      </c>
      <c r="I16" s="118" t="s">
        <v>160</v>
      </c>
      <c r="J16" s="118" t="s">
        <v>160</v>
      </c>
      <c r="K16" s="118" t="s">
        <v>160</v>
      </c>
      <c r="L16" s="118" t="s">
        <v>160</v>
      </c>
      <c r="M16" s="118" t="s">
        <v>160</v>
      </c>
      <c r="N16" s="118" t="s">
        <v>160</v>
      </c>
      <c r="O16" s="118" t="s">
        <v>160</v>
      </c>
      <c r="P16" s="118" t="s">
        <v>160</v>
      </c>
      <c r="Q16" s="118" t="s">
        <v>160</v>
      </c>
      <c r="R16" s="118" t="s">
        <v>160</v>
      </c>
      <c r="S16" s="118" t="s">
        <v>160</v>
      </c>
      <c r="T16" s="118" t="s">
        <v>160</v>
      </c>
      <c r="U16" s="118" t="s">
        <v>160</v>
      </c>
      <c r="V16" s="118" t="s">
        <v>160</v>
      </c>
      <c r="W16" s="118" t="s">
        <v>160</v>
      </c>
      <c r="X16" s="118" t="s">
        <v>160</v>
      </c>
      <c r="Y16" s="118" t="s">
        <v>160</v>
      </c>
      <c r="Z16" s="118" t="s">
        <v>160</v>
      </c>
      <c r="AA16" s="118" t="s">
        <v>160</v>
      </c>
      <c r="AB16" s="118" t="s">
        <v>160</v>
      </c>
      <c r="AC16" s="118" t="s">
        <v>160</v>
      </c>
      <c r="AD16" s="118">
        <v>-4105.6676015284993</v>
      </c>
      <c r="AE16" s="160" t="s">
        <v>160</v>
      </c>
      <c r="AF16" s="118" t="s">
        <v>160</v>
      </c>
      <c r="AG16" s="118">
        <v>-48790.526178841319</v>
      </c>
      <c r="AH16" s="118">
        <v>0</v>
      </c>
      <c r="AI16" s="118">
        <v>0</v>
      </c>
      <c r="AJ16" s="118">
        <v>0</v>
      </c>
      <c r="AK16" s="118">
        <v>0</v>
      </c>
      <c r="AL16" s="118">
        <v>0</v>
      </c>
      <c r="AM16" s="118">
        <v>0</v>
      </c>
      <c r="AN16" s="118">
        <v>0</v>
      </c>
      <c r="AO16" s="118">
        <v>0</v>
      </c>
      <c r="AP16" s="118">
        <v>0</v>
      </c>
      <c r="AQ16" s="118">
        <v>0</v>
      </c>
      <c r="AR16" s="118">
        <v>0</v>
      </c>
      <c r="AS16" s="118">
        <v>0</v>
      </c>
      <c r="AT16" s="118">
        <v>0</v>
      </c>
      <c r="AU16" s="118">
        <v>0</v>
      </c>
      <c r="AV16" s="118">
        <v>0</v>
      </c>
      <c r="AW16" s="118">
        <v>0</v>
      </c>
      <c r="AX16" s="118">
        <v>0</v>
      </c>
      <c r="AY16" s="118" t="s">
        <v>160</v>
      </c>
      <c r="AZ16" s="118">
        <v>0</v>
      </c>
      <c r="BA16" s="118">
        <v>0</v>
      </c>
      <c r="BB16" s="118">
        <v>0</v>
      </c>
      <c r="BC16" s="118">
        <v>0</v>
      </c>
      <c r="BD16" s="118">
        <v>0</v>
      </c>
      <c r="BE16" s="118">
        <v>0</v>
      </c>
      <c r="BF16" s="118">
        <v>0</v>
      </c>
      <c r="BG16" s="118">
        <v>0</v>
      </c>
    </row>
    <row r="17" spans="1:59" ht="14.1" customHeight="1" x14ac:dyDescent="0.2">
      <c r="A17" s="23"/>
      <c r="B17" s="336" t="s">
        <v>1112</v>
      </c>
      <c r="C17" s="118" t="s">
        <v>160</v>
      </c>
      <c r="D17" s="118" t="s">
        <v>160</v>
      </c>
      <c r="E17" s="118" t="s">
        <v>160</v>
      </c>
      <c r="F17" s="118" t="s">
        <v>160</v>
      </c>
      <c r="G17" s="118" t="s">
        <v>160</v>
      </c>
      <c r="H17" s="118" t="s">
        <v>160</v>
      </c>
      <c r="I17" s="118" t="s">
        <v>160</v>
      </c>
      <c r="J17" s="118" t="s">
        <v>160</v>
      </c>
      <c r="K17" s="118" t="s">
        <v>160</v>
      </c>
      <c r="L17" s="118" t="s">
        <v>160</v>
      </c>
      <c r="M17" s="118" t="s">
        <v>160</v>
      </c>
      <c r="N17" s="118" t="s">
        <v>160</v>
      </c>
      <c r="O17" s="118" t="s">
        <v>160</v>
      </c>
      <c r="P17" s="118" t="s">
        <v>160</v>
      </c>
      <c r="Q17" s="118" t="s">
        <v>160</v>
      </c>
      <c r="R17" s="118" t="s">
        <v>160</v>
      </c>
      <c r="S17" s="118" t="s">
        <v>160</v>
      </c>
      <c r="T17" s="118" t="s">
        <v>160</v>
      </c>
      <c r="U17" s="118" t="s">
        <v>160</v>
      </c>
      <c r="V17" s="118" t="s">
        <v>160</v>
      </c>
      <c r="W17" s="118" t="s">
        <v>160</v>
      </c>
      <c r="X17" s="118" t="s">
        <v>160</v>
      </c>
      <c r="Y17" s="118" t="s">
        <v>160</v>
      </c>
      <c r="Z17" s="118" t="s">
        <v>160</v>
      </c>
      <c r="AA17" s="118" t="s">
        <v>160</v>
      </c>
      <c r="AB17" s="118" t="s">
        <v>160</v>
      </c>
      <c r="AC17" s="118" t="s">
        <v>160</v>
      </c>
      <c r="AD17" s="118" t="s">
        <v>160</v>
      </c>
      <c r="AE17" s="160" t="s">
        <v>160</v>
      </c>
      <c r="AF17" s="118" t="s">
        <v>160</v>
      </c>
      <c r="AG17" s="118" t="s">
        <v>160</v>
      </c>
      <c r="AH17" s="118" t="s">
        <v>160</v>
      </c>
      <c r="AI17" s="118" t="s">
        <v>160</v>
      </c>
      <c r="AJ17" s="118" t="s">
        <v>160</v>
      </c>
      <c r="AK17" s="118" t="s">
        <v>160</v>
      </c>
      <c r="AL17" s="118" t="s">
        <v>160</v>
      </c>
      <c r="AM17" s="118" t="s">
        <v>160</v>
      </c>
      <c r="AN17" s="118" t="s">
        <v>160</v>
      </c>
      <c r="AO17" s="118" t="s">
        <v>160</v>
      </c>
      <c r="AP17" s="118" t="s">
        <v>160</v>
      </c>
      <c r="AQ17" s="118" t="s">
        <v>160</v>
      </c>
      <c r="AR17" s="118" t="s">
        <v>160</v>
      </c>
      <c r="AS17" s="118" t="s">
        <v>160</v>
      </c>
      <c r="AT17" s="118" t="s">
        <v>160</v>
      </c>
      <c r="AU17" s="118" t="s">
        <v>160</v>
      </c>
      <c r="AV17" s="118" t="s">
        <v>160</v>
      </c>
      <c r="AW17" s="118" t="s">
        <v>160</v>
      </c>
      <c r="AX17" s="118" t="s">
        <v>160</v>
      </c>
      <c r="AY17" s="118" t="s">
        <v>160</v>
      </c>
      <c r="AZ17" s="118" t="s">
        <v>160</v>
      </c>
      <c r="BA17" s="118" t="s">
        <v>160</v>
      </c>
      <c r="BB17" s="118" t="s">
        <v>160</v>
      </c>
      <c r="BC17" s="118" t="s">
        <v>160</v>
      </c>
      <c r="BD17" s="118" t="s">
        <v>160</v>
      </c>
      <c r="BE17" s="118" t="s">
        <v>160</v>
      </c>
      <c r="BF17" s="118" t="s">
        <v>160</v>
      </c>
      <c r="BG17" s="118" t="s">
        <v>160</v>
      </c>
    </row>
    <row r="18" spans="1:59" ht="14.1" customHeight="1" x14ac:dyDescent="0.2">
      <c r="A18" s="23"/>
      <c r="B18" s="336" t="s">
        <v>1102</v>
      </c>
      <c r="C18" s="118" t="s">
        <v>160</v>
      </c>
      <c r="D18" s="118" t="s">
        <v>160</v>
      </c>
      <c r="E18" s="118" t="s">
        <v>160</v>
      </c>
      <c r="F18" s="118" t="s">
        <v>160</v>
      </c>
      <c r="G18" s="118" t="s">
        <v>160</v>
      </c>
      <c r="H18" s="118" t="s">
        <v>160</v>
      </c>
      <c r="I18" s="118" t="s">
        <v>160</v>
      </c>
      <c r="J18" s="118" t="s">
        <v>160</v>
      </c>
      <c r="K18" s="118" t="s">
        <v>160</v>
      </c>
      <c r="L18" s="118" t="s">
        <v>160</v>
      </c>
      <c r="M18" s="118" t="s">
        <v>160</v>
      </c>
      <c r="N18" s="118" t="s">
        <v>160</v>
      </c>
      <c r="O18" s="118" t="s">
        <v>160</v>
      </c>
      <c r="P18" s="118" t="s">
        <v>160</v>
      </c>
      <c r="Q18" s="118" t="s">
        <v>160</v>
      </c>
      <c r="R18" s="118" t="s">
        <v>160</v>
      </c>
      <c r="S18" s="118" t="s">
        <v>160</v>
      </c>
      <c r="T18" s="118" t="s">
        <v>160</v>
      </c>
      <c r="U18" s="118" t="s">
        <v>160</v>
      </c>
      <c r="V18" s="118" t="s">
        <v>160</v>
      </c>
      <c r="W18" s="118" t="s">
        <v>160</v>
      </c>
      <c r="X18" s="118" t="s">
        <v>160</v>
      </c>
      <c r="Y18" s="118" t="s">
        <v>160</v>
      </c>
      <c r="Z18" s="118" t="s">
        <v>160</v>
      </c>
      <c r="AA18" s="118" t="s">
        <v>160</v>
      </c>
      <c r="AB18" s="118" t="s">
        <v>160</v>
      </c>
      <c r="AC18" s="118" t="s">
        <v>160</v>
      </c>
      <c r="AD18" s="118" t="s">
        <v>160</v>
      </c>
      <c r="AE18" s="160" t="s">
        <v>160</v>
      </c>
      <c r="AF18" s="118" t="s">
        <v>160</v>
      </c>
      <c r="AG18" s="118" t="s">
        <v>160</v>
      </c>
      <c r="AH18" s="118" t="s">
        <v>160</v>
      </c>
      <c r="AI18" s="118" t="s">
        <v>160</v>
      </c>
      <c r="AJ18" s="118" t="s">
        <v>160</v>
      </c>
      <c r="AK18" s="118" t="s">
        <v>160</v>
      </c>
      <c r="AL18" s="118" t="s">
        <v>160</v>
      </c>
      <c r="AM18" s="118" t="s">
        <v>160</v>
      </c>
      <c r="AN18" s="118" t="s">
        <v>160</v>
      </c>
      <c r="AO18" s="118">
        <v>1159</v>
      </c>
      <c r="AP18" s="118">
        <v>0</v>
      </c>
      <c r="AQ18" s="118">
        <v>0</v>
      </c>
      <c r="AR18" s="118">
        <v>0</v>
      </c>
      <c r="AS18" s="118">
        <v>0</v>
      </c>
      <c r="AT18" s="118">
        <v>0</v>
      </c>
      <c r="AU18" s="118">
        <v>0</v>
      </c>
      <c r="AV18" s="118">
        <v>0</v>
      </c>
      <c r="AW18" s="118">
        <v>0</v>
      </c>
      <c r="AX18" s="118">
        <v>0</v>
      </c>
      <c r="AY18" s="118" t="s">
        <v>160</v>
      </c>
      <c r="AZ18" s="118">
        <v>0</v>
      </c>
      <c r="BA18" s="118">
        <v>0</v>
      </c>
      <c r="BB18" s="118">
        <v>0</v>
      </c>
      <c r="BC18" s="118">
        <v>0</v>
      </c>
      <c r="BD18" s="118">
        <v>0</v>
      </c>
      <c r="BE18" s="118">
        <v>0</v>
      </c>
      <c r="BF18" s="118">
        <v>0</v>
      </c>
      <c r="BG18" s="118">
        <v>0</v>
      </c>
    </row>
    <row r="19" spans="1:59" ht="14.1" customHeight="1" x14ac:dyDescent="0.2">
      <c r="A19" s="23"/>
      <c r="B19" s="336" t="s">
        <v>892</v>
      </c>
      <c r="C19" s="118">
        <v>0</v>
      </c>
      <c r="D19" s="118">
        <v>0</v>
      </c>
      <c r="E19" s="118">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18">
        <v>0</v>
      </c>
      <c r="AD19" s="118">
        <v>0</v>
      </c>
      <c r="AE19" s="160">
        <v>0</v>
      </c>
      <c r="AF19" s="118">
        <v>0</v>
      </c>
      <c r="AG19" s="118">
        <v>0</v>
      </c>
      <c r="AH19" s="118">
        <v>2254</v>
      </c>
      <c r="AI19" s="118">
        <v>3317</v>
      </c>
      <c r="AJ19" s="118">
        <v>0</v>
      </c>
      <c r="AK19" s="118">
        <v>0</v>
      </c>
      <c r="AL19" s="118">
        <v>0</v>
      </c>
      <c r="AM19" s="118">
        <v>0</v>
      </c>
      <c r="AN19" s="118">
        <v>0</v>
      </c>
      <c r="AO19" s="118">
        <v>0</v>
      </c>
      <c r="AP19" s="118">
        <v>0</v>
      </c>
      <c r="AQ19" s="118">
        <v>0</v>
      </c>
      <c r="AR19" s="118">
        <v>0</v>
      </c>
      <c r="AS19" s="118">
        <v>0</v>
      </c>
      <c r="AT19" s="118">
        <v>0</v>
      </c>
      <c r="AU19" s="118">
        <v>0</v>
      </c>
      <c r="AV19" s="118">
        <v>0</v>
      </c>
      <c r="AW19" s="118">
        <v>0</v>
      </c>
      <c r="AX19" s="118">
        <v>0</v>
      </c>
      <c r="AY19" s="118" t="s">
        <v>160</v>
      </c>
      <c r="AZ19" s="118">
        <v>0</v>
      </c>
      <c r="BA19" s="118">
        <v>0</v>
      </c>
      <c r="BB19" s="118">
        <v>0</v>
      </c>
      <c r="BC19" s="118">
        <v>0</v>
      </c>
      <c r="BD19" s="118">
        <v>0</v>
      </c>
      <c r="BE19" s="118">
        <v>0</v>
      </c>
      <c r="BF19" s="118">
        <v>0</v>
      </c>
      <c r="BG19" s="118">
        <v>0</v>
      </c>
    </row>
    <row r="20" spans="1:59" ht="14.1" customHeight="1" x14ac:dyDescent="0.2">
      <c r="A20" s="23"/>
      <c r="B20" s="336" t="s">
        <v>388</v>
      </c>
      <c r="C20" s="118">
        <v>0</v>
      </c>
      <c r="D20" s="118">
        <v>0</v>
      </c>
      <c r="E20" s="118">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261">
        <v>0</v>
      </c>
      <c r="Y20" s="118">
        <v>0</v>
      </c>
      <c r="Z20" s="118">
        <v>-24082.774269999951</v>
      </c>
      <c r="AA20" s="118" t="s">
        <v>160</v>
      </c>
      <c r="AB20" s="118" t="s">
        <v>160</v>
      </c>
      <c r="AC20" s="118" t="s">
        <v>160</v>
      </c>
      <c r="AD20" s="118">
        <v>0</v>
      </c>
      <c r="AE20" s="160" t="s">
        <v>160</v>
      </c>
      <c r="AF20" s="118" t="s">
        <v>160</v>
      </c>
      <c r="AG20" s="118">
        <v>0</v>
      </c>
      <c r="AH20" s="118">
        <v>0</v>
      </c>
      <c r="AI20" s="118">
        <v>0</v>
      </c>
      <c r="AJ20" s="118">
        <v>0</v>
      </c>
      <c r="AK20" s="118">
        <v>0</v>
      </c>
      <c r="AL20" s="118">
        <v>0</v>
      </c>
      <c r="AM20" s="118">
        <v>0</v>
      </c>
      <c r="AN20" s="118">
        <v>0</v>
      </c>
      <c r="AO20" s="118">
        <v>0</v>
      </c>
      <c r="AP20" s="118">
        <v>0</v>
      </c>
      <c r="AQ20" s="118">
        <v>0</v>
      </c>
      <c r="AR20" s="118">
        <v>0</v>
      </c>
      <c r="AS20" s="118">
        <v>0</v>
      </c>
      <c r="AT20" s="118">
        <v>0</v>
      </c>
      <c r="AU20" s="118">
        <v>0</v>
      </c>
      <c r="AV20" s="118">
        <v>0</v>
      </c>
      <c r="AW20" s="118">
        <v>0</v>
      </c>
      <c r="AX20" s="118">
        <v>0</v>
      </c>
      <c r="AY20" s="118" t="s">
        <v>160</v>
      </c>
      <c r="AZ20" s="118">
        <v>0</v>
      </c>
      <c r="BA20" s="118">
        <v>0</v>
      </c>
      <c r="BB20" s="118">
        <v>0</v>
      </c>
      <c r="BC20" s="118">
        <v>0</v>
      </c>
      <c r="BD20" s="118">
        <v>0</v>
      </c>
      <c r="BE20" s="118">
        <v>0</v>
      </c>
      <c r="BF20" s="118">
        <v>0</v>
      </c>
      <c r="BG20" s="118">
        <v>0</v>
      </c>
    </row>
    <row r="21" spans="1:59" ht="14.1" customHeight="1" x14ac:dyDescent="0.2">
      <c r="A21" s="23"/>
      <c r="B21" s="336" t="s">
        <v>1131</v>
      </c>
      <c r="C21" s="118">
        <v>0</v>
      </c>
      <c r="D21" s="118">
        <v>0</v>
      </c>
      <c r="E21" s="118">
        <v>0</v>
      </c>
      <c r="F21" s="118">
        <v>0</v>
      </c>
      <c r="G21" s="118">
        <v>0</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261">
        <v>15000</v>
      </c>
      <c r="Y21" s="118">
        <v>0</v>
      </c>
      <c r="Z21" s="118">
        <v>0</v>
      </c>
      <c r="AA21" s="118" t="s">
        <v>160</v>
      </c>
      <c r="AB21" s="118" t="s">
        <v>160</v>
      </c>
      <c r="AC21" s="118" t="s">
        <v>160</v>
      </c>
      <c r="AD21" s="118">
        <v>14500</v>
      </c>
      <c r="AE21" s="160" t="s">
        <v>160</v>
      </c>
      <c r="AF21" s="118" t="s">
        <v>160</v>
      </c>
      <c r="AG21" s="118" t="s">
        <v>160</v>
      </c>
      <c r="AH21" s="118" t="s">
        <v>160</v>
      </c>
      <c r="AI21" s="118" t="s">
        <v>160</v>
      </c>
      <c r="AJ21" s="118" t="s">
        <v>160</v>
      </c>
      <c r="AK21" s="118" t="s">
        <v>160</v>
      </c>
      <c r="AL21" s="118" t="s">
        <v>160</v>
      </c>
      <c r="AM21" s="118">
        <v>0</v>
      </c>
      <c r="AN21" s="118">
        <v>0</v>
      </c>
      <c r="AO21" s="118">
        <v>0</v>
      </c>
      <c r="AP21" s="118">
        <v>0</v>
      </c>
      <c r="AQ21" s="118">
        <v>0</v>
      </c>
      <c r="AR21" s="118">
        <v>0</v>
      </c>
      <c r="AS21" s="118">
        <v>6645.02</v>
      </c>
      <c r="AT21" s="118">
        <v>0</v>
      </c>
      <c r="AU21" s="118">
        <v>0</v>
      </c>
      <c r="AV21" s="118">
        <v>0</v>
      </c>
      <c r="AW21" s="118">
        <v>0</v>
      </c>
      <c r="AX21" s="118">
        <v>0</v>
      </c>
      <c r="AY21" s="118" t="s">
        <v>160</v>
      </c>
      <c r="AZ21" s="118">
        <v>0</v>
      </c>
      <c r="BA21" s="118">
        <v>0</v>
      </c>
      <c r="BB21" s="118">
        <v>0</v>
      </c>
      <c r="BC21" s="118">
        <v>0</v>
      </c>
      <c r="BD21" s="118">
        <v>0</v>
      </c>
      <c r="BE21" s="118">
        <v>0</v>
      </c>
      <c r="BF21" s="118">
        <v>0</v>
      </c>
      <c r="BG21" s="118">
        <v>0</v>
      </c>
    </row>
    <row r="22" spans="1:59" ht="14.1" customHeight="1" x14ac:dyDescent="0.2">
      <c r="A22" s="23"/>
      <c r="B22" s="336" t="s">
        <v>779</v>
      </c>
      <c r="C22" s="118" t="s">
        <v>160</v>
      </c>
      <c r="D22" s="118" t="s">
        <v>160</v>
      </c>
      <c r="E22" s="118" t="s">
        <v>160</v>
      </c>
      <c r="F22" s="118" t="s">
        <v>160</v>
      </c>
      <c r="G22" s="118" t="s">
        <v>160</v>
      </c>
      <c r="H22" s="118" t="s">
        <v>160</v>
      </c>
      <c r="I22" s="118" t="s">
        <v>160</v>
      </c>
      <c r="J22" s="118" t="s">
        <v>160</v>
      </c>
      <c r="K22" s="118" t="s">
        <v>160</v>
      </c>
      <c r="L22" s="118" t="s">
        <v>160</v>
      </c>
      <c r="M22" s="118" t="s">
        <v>160</v>
      </c>
      <c r="N22" s="118" t="s">
        <v>160</v>
      </c>
      <c r="O22" s="118" t="s">
        <v>160</v>
      </c>
      <c r="P22" s="118" t="s">
        <v>160</v>
      </c>
      <c r="Q22" s="118" t="s">
        <v>160</v>
      </c>
      <c r="R22" s="118" t="s">
        <v>160</v>
      </c>
      <c r="S22" s="118" t="s">
        <v>160</v>
      </c>
      <c r="T22" s="118" t="s">
        <v>160</v>
      </c>
      <c r="U22" s="118" t="s">
        <v>160</v>
      </c>
      <c r="V22" s="118" t="s">
        <v>160</v>
      </c>
      <c r="W22" s="118" t="s">
        <v>160</v>
      </c>
      <c r="X22" s="118" t="s">
        <v>160</v>
      </c>
      <c r="Y22" s="118" t="s">
        <v>160</v>
      </c>
      <c r="Z22" s="118" t="s">
        <v>160</v>
      </c>
      <c r="AA22" s="118" t="s">
        <v>160</v>
      </c>
      <c r="AB22" s="118" t="s">
        <v>160</v>
      </c>
      <c r="AC22" s="118">
        <v>0</v>
      </c>
      <c r="AD22" s="118">
        <v>0</v>
      </c>
      <c r="AE22" s="160">
        <v>0</v>
      </c>
      <c r="AF22" s="118">
        <v>0</v>
      </c>
      <c r="AG22" s="118">
        <v>0</v>
      </c>
      <c r="AH22" s="118">
        <v>0</v>
      </c>
      <c r="AI22" s="118">
        <v>0</v>
      </c>
      <c r="AJ22" s="118">
        <v>0</v>
      </c>
      <c r="AK22" s="118">
        <v>0</v>
      </c>
      <c r="AL22" s="118">
        <v>0</v>
      </c>
      <c r="AM22" s="118">
        <v>0</v>
      </c>
      <c r="AN22" s="118">
        <v>0</v>
      </c>
      <c r="AO22" s="118">
        <v>0</v>
      </c>
      <c r="AP22" s="118">
        <v>0</v>
      </c>
      <c r="AQ22" s="118">
        <v>0</v>
      </c>
      <c r="AR22" s="118">
        <v>0</v>
      </c>
      <c r="AS22" s="118">
        <v>0</v>
      </c>
      <c r="AT22" s="118">
        <v>0</v>
      </c>
      <c r="AU22" s="118">
        <v>0</v>
      </c>
      <c r="AV22" s="118">
        <v>0</v>
      </c>
      <c r="AW22" s="118">
        <v>0</v>
      </c>
      <c r="AX22" s="118">
        <v>0</v>
      </c>
      <c r="AY22" s="118" t="s">
        <v>160</v>
      </c>
      <c r="AZ22" s="118">
        <v>0</v>
      </c>
      <c r="BA22" s="118">
        <v>0</v>
      </c>
      <c r="BB22" s="118">
        <v>0</v>
      </c>
      <c r="BC22" s="118">
        <v>0</v>
      </c>
      <c r="BD22" s="118">
        <v>0</v>
      </c>
      <c r="BE22" s="118">
        <v>0</v>
      </c>
      <c r="BF22" s="118">
        <v>0</v>
      </c>
      <c r="BG22" s="118">
        <v>0</v>
      </c>
    </row>
    <row r="23" spans="1:59" ht="14.1" customHeight="1" x14ac:dyDescent="0.2">
      <c r="A23" s="23"/>
      <c r="B23" s="336" t="s">
        <v>630</v>
      </c>
      <c r="C23" s="118">
        <v>0</v>
      </c>
      <c r="D23" s="118">
        <v>0</v>
      </c>
      <c r="E23" s="118">
        <v>0</v>
      </c>
      <c r="F23" s="118">
        <v>0</v>
      </c>
      <c r="G23" s="118">
        <v>0</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18">
        <v>0</v>
      </c>
      <c r="AD23" s="118">
        <v>0</v>
      </c>
      <c r="AE23" s="160" t="s">
        <v>160</v>
      </c>
      <c r="AF23" s="118" t="s">
        <v>160</v>
      </c>
      <c r="AG23" s="118" t="s">
        <v>160</v>
      </c>
      <c r="AH23" s="118" t="s">
        <v>160</v>
      </c>
      <c r="AI23" s="118" t="s">
        <v>160</v>
      </c>
      <c r="AJ23" s="118" t="s">
        <v>160</v>
      </c>
      <c r="AK23" s="118" t="s">
        <v>160</v>
      </c>
      <c r="AL23" s="118" t="s">
        <v>160</v>
      </c>
      <c r="AM23" s="118" t="s">
        <v>160</v>
      </c>
      <c r="AN23" s="118" t="s">
        <v>160</v>
      </c>
      <c r="AO23" s="118" t="s">
        <v>160</v>
      </c>
      <c r="AP23" s="118" t="s">
        <v>160</v>
      </c>
      <c r="AQ23" s="118" t="s">
        <v>160</v>
      </c>
      <c r="AR23" s="118" t="s">
        <v>160</v>
      </c>
      <c r="AS23" s="118" t="s">
        <v>160</v>
      </c>
      <c r="AT23" s="118" t="s">
        <v>160</v>
      </c>
      <c r="AU23" s="118" t="s">
        <v>160</v>
      </c>
      <c r="AV23" s="118" t="s">
        <v>160</v>
      </c>
      <c r="AW23" s="118" t="s">
        <v>160</v>
      </c>
      <c r="AX23" s="118" t="s">
        <v>160</v>
      </c>
      <c r="AY23" s="118" t="s">
        <v>160</v>
      </c>
      <c r="AZ23" s="118" t="s">
        <v>160</v>
      </c>
      <c r="BA23" s="118" t="s">
        <v>160</v>
      </c>
      <c r="BB23" s="118" t="s">
        <v>160</v>
      </c>
      <c r="BC23" s="118" t="s">
        <v>160</v>
      </c>
      <c r="BD23" s="118" t="s">
        <v>160</v>
      </c>
      <c r="BE23" s="118" t="s">
        <v>160</v>
      </c>
      <c r="BF23" s="118" t="s">
        <v>160</v>
      </c>
      <c r="BG23" s="118" t="s">
        <v>160</v>
      </c>
    </row>
    <row r="24" spans="1:59" ht="14.1" customHeight="1" x14ac:dyDescent="0.2">
      <c r="A24" s="23"/>
      <c r="B24" s="336" t="s">
        <v>1159</v>
      </c>
      <c r="C24" s="118">
        <v>0</v>
      </c>
      <c r="D24" s="118">
        <v>0</v>
      </c>
      <c r="E24" s="118">
        <v>0</v>
      </c>
      <c r="F24" s="118">
        <v>0</v>
      </c>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0</v>
      </c>
      <c r="Y24" s="118">
        <v>0</v>
      </c>
      <c r="Z24" s="118">
        <v>0</v>
      </c>
      <c r="AA24" s="118">
        <v>0</v>
      </c>
      <c r="AB24" s="118">
        <v>0</v>
      </c>
      <c r="AC24" s="118">
        <v>0</v>
      </c>
      <c r="AD24" s="118">
        <v>0</v>
      </c>
      <c r="AE24" s="118">
        <v>0</v>
      </c>
      <c r="AF24" s="118">
        <v>0</v>
      </c>
      <c r="AG24" s="118">
        <v>0</v>
      </c>
      <c r="AH24" s="118">
        <v>0</v>
      </c>
      <c r="AI24" s="118">
        <v>0</v>
      </c>
      <c r="AJ24" s="118">
        <v>0</v>
      </c>
      <c r="AK24" s="118">
        <v>0</v>
      </c>
      <c r="AL24" s="118">
        <v>0</v>
      </c>
      <c r="AM24" s="118">
        <v>0</v>
      </c>
      <c r="AN24" s="118">
        <v>0</v>
      </c>
      <c r="AO24" s="118">
        <v>0</v>
      </c>
      <c r="AP24" s="118">
        <v>0</v>
      </c>
      <c r="AQ24" s="118">
        <v>0</v>
      </c>
      <c r="AR24" s="118">
        <v>0</v>
      </c>
      <c r="AS24" s="118">
        <v>0</v>
      </c>
      <c r="AT24" s="118">
        <v>-5458.7727579526618</v>
      </c>
      <c r="AU24" s="118">
        <v>0</v>
      </c>
      <c r="AV24" s="118">
        <v>0</v>
      </c>
      <c r="AW24" s="118">
        <v>0</v>
      </c>
      <c r="AX24" s="118">
        <v>0</v>
      </c>
      <c r="AY24" s="118" t="s">
        <v>160</v>
      </c>
      <c r="AZ24" s="118">
        <v>0</v>
      </c>
      <c r="BA24" s="118">
        <v>0</v>
      </c>
      <c r="BB24" s="118">
        <v>0</v>
      </c>
      <c r="BC24" s="118">
        <v>0</v>
      </c>
      <c r="BD24" s="118">
        <v>0</v>
      </c>
      <c r="BE24" s="118">
        <v>0</v>
      </c>
      <c r="BF24" s="118">
        <v>0</v>
      </c>
      <c r="BG24" s="118">
        <v>0</v>
      </c>
    </row>
    <row r="25" spans="1:59" s="619" customFormat="1" ht="13.5" hidden="1" customHeight="1" outlineLevel="1" x14ac:dyDescent="0.2">
      <c r="A25" s="764"/>
      <c r="B25" s="765" t="s">
        <v>586</v>
      </c>
      <c r="C25" s="118">
        <v>0</v>
      </c>
      <c r="D25" s="118">
        <v>0</v>
      </c>
      <c r="E25" s="118">
        <v>0</v>
      </c>
      <c r="F25" s="118">
        <v>0</v>
      </c>
      <c r="G25" s="118">
        <v>0</v>
      </c>
      <c r="H25" s="118">
        <v>0</v>
      </c>
      <c r="I25" s="118">
        <v>0</v>
      </c>
      <c r="J25" s="118">
        <v>0</v>
      </c>
      <c r="K25" s="118">
        <v>0</v>
      </c>
      <c r="L25" s="118">
        <v>0</v>
      </c>
      <c r="M25" s="118">
        <v>0</v>
      </c>
      <c r="N25" s="118">
        <v>0</v>
      </c>
      <c r="O25" s="312">
        <v>0</v>
      </c>
      <c r="P25" s="312">
        <v>0</v>
      </c>
      <c r="Q25" s="312">
        <v>0</v>
      </c>
      <c r="R25" s="312">
        <v>0</v>
      </c>
      <c r="S25" s="312">
        <v>0</v>
      </c>
      <c r="T25" s="312">
        <v>0</v>
      </c>
      <c r="U25" s="312">
        <v>0</v>
      </c>
      <c r="V25" s="312">
        <v>0</v>
      </c>
      <c r="W25" s="312">
        <v>0</v>
      </c>
      <c r="X25" s="312">
        <v>0</v>
      </c>
      <c r="Y25" s="312">
        <v>0</v>
      </c>
      <c r="Z25" s="312">
        <v>0</v>
      </c>
      <c r="AA25" s="312">
        <v>0</v>
      </c>
      <c r="AB25" s="312">
        <v>0</v>
      </c>
      <c r="AC25" s="312">
        <v>0</v>
      </c>
      <c r="AD25" s="312">
        <v>0</v>
      </c>
      <c r="AE25" s="319">
        <v>0</v>
      </c>
      <c r="AF25" s="312">
        <v>0</v>
      </c>
      <c r="AG25" s="312">
        <v>0</v>
      </c>
      <c r="AH25" s="312">
        <v>0</v>
      </c>
      <c r="AI25" s="312">
        <v>0</v>
      </c>
      <c r="AJ25" s="312">
        <v>0</v>
      </c>
      <c r="AK25" s="312">
        <v>0</v>
      </c>
      <c r="AL25" s="312">
        <v>0</v>
      </c>
      <c r="AM25" s="312">
        <v>0</v>
      </c>
      <c r="AN25" s="312">
        <v>0</v>
      </c>
      <c r="AO25" s="312">
        <v>0</v>
      </c>
      <c r="AP25" s="312"/>
      <c r="AQ25" s="312">
        <v>0</v>
      </c>
      <c r="AR25" s="312">
        <v>0</v>
      </c>
      <c r="AS25" s="312">
        <v>0</v>
      </c>
      <c r="AT25" s="312">
        <v>0</v>
      </c>
      <c r="AU25" s="312">
        <v>0</v>
      </c>
      <c r="AV25" s="312">
        <v>0</v>
      </c>
      <c r="AW25" s="312">
        <v>0</v>
      </c>
      <c r="AX25" s="312">
        <v>0</v>
      </c>
      <c r="AY25" s="312"/>
      <c r="AZ25" s="312"/>
      <c r="BA25" s="312"/>
      <c r="BB25" s="312">
        <v>0</v>
      </c>
      <c r="BC25" s="312"/>
      <c r="BD25" s="312">
        <v>0</v>
      </c>
      <c r="BE25" s="312">
        <v>0</v>
      </c>
      <c r="BF25" s="312">
        <v>0</v>
      </c>
      <c r="BG25" s="312">
        <v>0</v>
      </c>
    </row>
    <row r="26" spans="1:59" s="619" customFormat="1" ht="13.5" hidden="1" customHeight="1" outlineLevel="1" x14ac:dyDescent="0.2">
      <c r="A26" s="764"/>
      <c r="B26" s="765" t="s">
        <v>585</v>
      </c>
      <c r="C26" s="118">
        <v>0</v>
      </c>
      <c r="D26" s="118">
        <v>0</v>
      </c>
      <c r="E26" s="118">
        <v>0</v>
      </c>
      <c r="F26" s="118">
        <v>0</v>
      </c>
      <c r="G26" s="118">
        <v>0</v>
      </c>
      <c r="H26" s="118">
        <v>0</v>
      </c>
      <c r="I26" s="118">
        <v>0</v>
      </c>
      <c r="J26" s="118">
        <v>0</v>
      </c>
      <c r="K26" s="118">
        <v>0</v>
      </c>
      <c r="L26" s="118">
        <v>0</v>
      </c>
      <c r="M26" s="118">
        <v>0</v>
      </c>
      <c r="N26" s="118">
        <v>0</v>
      </c>
      <c r="O26" s="312">
        <v>0</v>
      </c>
      <c r="P26" s="312">
        <v>0</v>
      </c>
      <c r="Q26" s="312">
        <v>0</v>
      </c>
      <c r="R26" s="312">
        <v>0</v>
      </c>
      <c r="S26" s="312">
        <v>0</v>
      </c>
      <c r="T26" s="312">
        <v>0</v>
      </c>
      <c r="U26" s="312">
        <v>0</v>
      </c>
      <c r="V26" s="312">
        <v>0</v>
      </c>
      <c r="W26" s="312">
        <v>0</v>
      </c>
      <c r="X26" s="312">
        <f>+'Investimentos A'!AQ26</f>
        <v>1365</v>
      </c>
      <c r="Y26" s="312">
        <v>0</v>
      </c>
      <c r="Z26" s="312">
        <v>0</v>
      </c>
      <c r="AA26" s="312">
        <v>0</v>
      </c>
      <c r="AB26" s="312">
        <v>0</v>
      </c>
      <c r="AC26" s="312">
        <v>0</v>
      </c>
      <c r="AD26" s="312">
        <v>0</v>
      </c>
      <c r="AE26" s="319" t="s">
        <v>160</v>
      </c>
      <c r="AF26" s="312" t="s">
        <v>160</v>
      </c>
      <c r="AG26" s="312" t="s">
        <v>160</v>
      </c>
      <c r="AH26" s="312" t="s">
        <v>160</v>
      </c>
      <c r="AI26" s="312" t="s">
        <v>160</v>
      </c>
      <c r="AJ26" s="312" t="s">
        <v>160</v>
      </c>
      <c r="AK26" s="312" t="s">
        <v>160</v>
      </c>
      <c r="AL26" s="312" t="s">
        <v>160</v>
      </c>
      <c r="AM26" s="312" t="s">
        <v>160</v>
      </c>
      <c r="AN26" s="312" t="s">
        <v>160</v>
      </c>
      <c r="AO26" s="312" t="s">
        <v>160</v>
      </c>
      <c r="AP26" s="312"/>
      <c r="AQ26" s="312" t="s">
        <v>160</v>
      </c>
      <c r="AR26" s="312" t="s">
        <v>160</v>
      </c>
      <c r="AS26" s="312" t="s">
        <v>160</v>
      </c>
      <c r="AT26" s="312" t="s">
        <v>160</v>
      </c>
      <c r="AU26" s="312" t="s">
        <v>160</v>
      </c>
      <c r="AV26" s="312" t="s">
        <v>160</v>
      </c>
      <c r="AW26" s="312" t="s">
        <v>160</v>
      </c>
      <c r="AX26" s="312" t="s">
        <v>160</v>
      </c>
      <c r="AY26" s="312"/>
      <c r="AZ26" s="312"/>
      <c r="BA26" s="312"/>
      <c r="BB26" s="312" t="s">
        <v>160</v>
      </c>
      <c r="BC26" s="312"/>
      <c r="BD26" s="312" t="s">
        <v>160</v>
      </c>
      <c r="BE26" s="312" t="s">
        <v>160</v>
      </c>
      <c r="BF26" s="312" t="s">
        <v>160</v>
      </c>
      <c r="BG26" s="312" t="s">
        <v>160</v>
      </c>
    </row>
    <row r="27" spans="1:59" s="619" customFormat="1" ht="13.5" hidden="1" customHeight="1" outlineLevel="1" x14ac:dyDescent="0.2">
      <c r="A27" s="764"/>
      <c r="B27" s="765" t="s">
        <v>684</v>
      </c>
      <c r="C27" s="118">
        <v>0</v>
      </c>
      <c r="D27" s="118">
        <v>0</v>
      </c>
      <c r="E27" s="118">
        <v>0</v>
      </c>
      <c r="F27" s="118">
        <v>0</v>
      </c>
      <c r="G27" s="118">
        <v>0</v>
      </c>
      <c r="H27" s="118">
        <v>0</v>
      </c>
      <c r="I27" s="118">
        <v>0</v>
      </c>
      <c r="J27" s="118">
        <v>0</v>
      </c>
      <c r="K27" s="118">
        <v>0</v>
      </c>
      <c r="L27" s="118">
        <v>0</v>
      </c>
      <c r="M27" s="118">
        <v>0</v>
      </c>
      <c r="N27" s="118">
        <v>0</v>
      </c>
      <c r="O27" s="312">
        <v>0</v>
      </c>
      <c r="P27" s="312">
        <v>0</v>
      </c>
      <c r="Q27" s="312">
        <v>0</v>
      </c>
      <c r="R27" s="312">
        <v>0</v>
      </c>
      <c r="S27" s="312">
        <v>0</v>
      </c>
      <c r="T27" s="312">
        <v>0</v>
      </c>
      <c r="U27" s="312">
        <v>0</v>
      </c>
      <c r="V27" s="312">
        <v>0</v>
      </c>
      <c r="W27" s="312">
        <v>0</v>
      </c>
      <c r="X27" s="312">
        <v>0</v>
      </c>
      <c r="Y27" s="312">
        <v>0</v>
      </c>
      <c r="Z27" s="312">
        <v>4967.1447199999993</v>
      </c>
      <c r="AA27" s="312" t="s">
        <v>160</v>
      </c>
      <c r="AB27" s="312" t="s">
        <v>160</v>
      </c>
      <c r="AC27" s="312" t="s">
        <v>160</v>
      </c>
      <c r="AD27" s="312">
        <v>0</v>
      </c>
      <c r="AE27" s="319" t="s">
        <v>160</v>
      </c>
      <c r="AF27" s="312" t="s">
        <v>160</v>
      </c>
      <c r="AG27" s="312" t="s">
        <v>160</v>
      </c>
      <c r="AH27" s="312" t="s">
        <v>160</v>
      </c>
      <c r="AI27" s="312" t="s">
        <v>160</v>
      </c>
      <c r="AJ27" s="312" t="s">
        <v>160</v>
      </c>
      <c r="AK27" s="312" t="s">
        <v>160</v>
      </c>
      <c r="AL27" s="312" t="s">
        <v>160</v>
      </c>
      <c r="AM27" s="312" t="s">
        <v>160</v>
      </c>
      <c r="AN27" s="312" t="s">
        <v>160</v>
      </c>
      <c r="AO27" s="312" t="s">
        <v>160</v>
      </c>
      <c r="AP27" s="312"/>
      <c r="AQ27" s="312" t="s">
        <v>160</v>
      </c>
      <c r="AR27" s="312" t="s">
        <v>160</v>
      </c>
      <c r="AS27" s="312" t="s">
        <v>160</v>
      </c>
      <c r="AT27" s="312" t="s">
        <v>160</v>
      </c>
      <c r="AU27" s="312" t="s">
        <v>160</v>
      </c>
      <c r="AV27" s="312" t="s">
        <v>160</v>
      </c>
      <c r="AW27" s="312" t="s">
        <v>160</v>
      </c>
      <c r="AX27" s="312" t="s">
        <v>160</v>
      </c>
      <c r="AY27" s="312"/>
      <c r="AZ27" s="312"/>
      <c r="BA27" s="312"/>
      <c r="BB27" s="312" t="s">
        <v>160</v>
      </c>
      <c r="BC27" s="312"/>
      <c r="BD27" s="312" t="s">
        <v>160</v>
      </c>
      <c r="BE27" s="312" t="s">
        <v>160</v>
      </c>
      <c r="BF27" s="312" t="s">
        <v>160</v>
      </c>
      <c r="BG27" s="312" t="s">
        <v>160</v>
      </c>
    </row>
    <row r="28" spans="1:59" s="619" customFormat="1" ht="14.1" hidden="1" customHeight="1" outlineLevel="1" x14ac:dyDescent="0.2">
      <c r="A28" s="764"/>
      <c r="B28" s="765" t="s">
        <v>587</v>
      </c>
      <c r="C28" s="118">
        <v>0</v>
      </c>
      <c r="D28" s="118">
        <v>0</v>
      </c>
      <c r="E28" s="118">
        <v>0</v>
      </c>
      <c r="F28" s="118">
        <v>0</v>
      </c>
      <c r="G28" s="118">
        <v>0</v>
      </c>
      <c r="H28" s="118">
        <v>0</v>
      </c>
      <c r="I28" s="118">
        <v>0</v>
      </c>
      <c r="J28" s="118">
        <v>0</v>
      </c>
      <c r="K28" s="118">
        <v>0</v>
      </c>
      <c r="L28" s="118">
        <v>0</v>
      </c>
      <c r="M28" s="118">
        <v>0</v>
      </c>
      <c r="N28" s="118">
        <v>0</v>
      </c>
      <c r="O28" s="312">
        <v>0</v>
      </c>
      <c r="P28" s="312">
        <v>0</v>
      </c>
      <c r="Q28" s="312">
        <v>0</v>
      </c>
      <c r="R28" s="312">
        <v>0</v>
      </c>
      <c r="S28" s="312">
        <v>0</v>
      </c>
      <c r="T28" s="312">
        <v>0</v>
      </c>
      <c r="U28" s="312">
        <v>0</v>
      </c>
      <c r="V28" s="312">
        <v>0</v>
      </c>
      <c r="W28" s="312">
        <v>0</v>
      </c>
      <c r="X28" s="312">
        <v>0</v>
      </c>
      <c r="Y28" s="312">
        <v>0</v>
      </c>
      <c r="Z28" s="312">
        <v>0</v>
      </c>
      <c r="AA28" s="312">
        <v>0</v>
      </c>
      <c r="AB28" s="312">
        <v>0</v>
      </c>
      <c r="AC28" s="312">
        <v>0</v>
      </c>
      <c r="AD28" s="312">
        <v>0</v>
      </c>
      <c r="AE28" s="319">
        <v>0</v>
      </c>
      <c r="AF28" s="312">
        <v>0</v>
      </c>
      <c r="AG28" s="312">
        <v>0</v>
      </c>
      <c r="AH28" s="312">
        <v>0</v>
      </c>
      <c r="AI28" s="312">
        <v>0</v>
      </c>
      <c r="AJ28" s="312">
        <v>0</v>
      </c>
      <c r="AK28" s="312">
        <v>0</v>
      </c>
      <c r="AL28" s="312">
        <v>0</v>
      </c>
      <c r="AM28" s="312">
        <v>0</v>
      </c>
      <c r="AN28" s="312">
        <v>0</v>
      </c>
      <c r="AO28" s="312">
        <v>0</v>
      </c>
      <c r="AP28" s="312"/>
      <c r="AQ28" s="312">
        <v>0</v>
      </c>
      <c r="AR28" s="312">
        <v>0</v>
      </c>
      <c r="AS28" s="312">
        <v>0</v>
      </c>
      <c r="AT28" s="312">
        <v>0</v>
      </c>
      <c r="AU28" s="312">
        <v>0</v>
      </c>
      <c r="AV28" s="312">
        <v>0</v>
      </c>
      <c r="AW28" s="312">
        <v>0</v>
      </c>
      <c r="AX28" s="312">
        <v>0</v>
      </c>
      <c r="AY28" s="312"/>
      <c r="AZ28" s="312"/>
      <c r="BA28" s="312"/>
      <c r="BB28" s="312">
        <v>0</v>
      </c>
      <c r="BC28" s="312"/>
      <c r="BD28" s="312">
        <v>0</v>
      </c>
      <c r="BE28" s="312">
        <v>0</v>
      </c>
      <c r="BF28" s="312">
        <v>0</v>
      </c>
      <c r="BG28" s="312">
        <v>0</v>
      </c>
    </row>
    <row r="29" spans="1:59" s="619" customFormat="1" ht="14.1" hidden="1" customHeight="1" outlineLevel="1" x14ac:dyDescent="0.2">
      <c r="A29" s="764"/>
      <c r="B29" s="765" t="s">
        <v>50</v>
      </c>
      <c r="C29" s="118">
        <v>0</v>
      </c>
      <c r="D29" s="118">
        <v>0</v>
      </c>
      <c r="E29" s="118">
        <v>-7032</v>
      </c>
      <c r="F29" s="118">
        <v>0</v>
      </c>
      <c r="G29" s="118">
        <v>0</v>
      </c>
      <c r="H29" s="118">
        <v>0</v>
      </c>
      <c r="I29" s="118">
        <v>-16445</v>
      </c>
      <c r="J29" s="118">
        <v>0</v>
      </c>
      <c r="K29" s="118">
        <v>0</v>
      </c>
      <c r="L29" s="118">
        <v>0</v>
      </c>
      <c r="M29" s="118">
        <v>0</v>
      </c>
      <c r="N29" s="118">
        <v>0</v>
      </c>
      <c r="O29" s="312">
        <v>0</v>
      </c>
      <c r="P29" s="312">
        <v>0</v>
      </c>
      <c r="Q29" s="312">
        <v>0</v>
      </c>
      <c r="R29" s="312">
        <v>0</v>
      </c>
      <c r="S29" s="312">
        <v>0</v>
      </c>
      <c r="T29" s="312">
        <v>0</v>
      </c>
      <c r="U29" s="312">
        <v>0</v>
      </c>
      <c r="V29" s="312">
        <v>0</v>
      </c>
      <c r="W29" s="312">
        <v>0</v>
      </c>
      <c r="X29" s="312">
        <v>0</v>
      </c>
      <c r="Y29" s="312">
        <v>0</v>
      </c>
      <c r="Z29" s="312">
        <v>0</v>
      </c>
      <c r="AA29" s="312">
        <v>0</v>
      </c>
      <c r="AB29" s="312">
        <v>0</v>
      </c>
      <c r="AC29" s="312">
        <v>0</v>
      </c>
      <c r="AD29" s="312">
        <v>0</v>
      </c>
      <c r="AE29" s="319">
        <v>0</v>
      </c>
      <c r="AF29" s="312">
        <v>0</v>
      </c>
      <c r="AG29" s="312">
        <v>0</v>
      </c>
      <c r="AH29" s="312">
        <v>0</v>
      </c>
      <c r="AI29" s="312">
        <v>0</v>
      </c>
      <c r="AJ29" s="312">
        <v>0</v>
      </c>
      <c r="AK29" s="312">
        <v>0</v>
      </c>
      <c r="AL29" s="312">
        <v>0</v>
      </c>
      <c r="AM29" s="312">
        <v>0</v>
      </c>
      <c r="AN29" s="312">
        <v>0</v>
      </c>
      <c r="AO29" s="312">
        <v>0</v>
      </c>
      <c r="AP29" s="312"/>
      <c r="AQ29" s="312">
        <v>0</v>
      </c>
      <c r="AR29" s="312">
        <v>0</v>
      </c>
      <c r="AS29" s="312">
        <v>0</v>
      </c>
      <c r="AT29" s="312">
        <v>0</v>
      </c>
      <c r="AU29" s="312">
        <v>0</v>
      </c>
      <c r="AV29" s="312">
        <v>0</v>
      </c>
      <c r="AW29" s="312">
        <v>0</v>
      </c>
      <c r="AX29" s="312">
        <v>0</v>
      </c>
      <c r="AY29" s="312"/>
      <c r="AZ29" s="312"/>
      <c r="BA29" s="312"/>
      <c r="BB29" s="312">
        <v>0</v>
      </c>
      <c r="BC29" s="312"/>
      <c r="BD29" s="312">
        <v>0</v>
      </c>
      <c r="BE29" s="312">
        <v>0</v>
      </c>
      <c r="BF29" s="312">
        <v>0</v>
      </c>
      <c r="BG29" s="312">
        <v>0</v>
      </c>
    </row>
    <row r="30" spans="1:59" s="619" customFormat="1" ht="14.1" hidden="1" customHeight="1" outlineLevel="1" x14ac:dyDescent="0.2">
      <c r="A30" s="764"/>
      <c r="B30" s="765" t="s">
        <v>51</v>
      </c>
      <c r="C30" s="118">
        <v>1913</v>
      </c>
      <c r="D30" s="118">
        <v>856</v>
      </c>
      <c r="E30" s="118">
        <v>637</v>
      </c>
      <c r="F30" s="118">
        <v>-492</v>
      </c>
      <c r="G30" s="118">
        <v>834</v>
      </c>
      <c r="H30" s="118">
        <v>50</v>
      </c>
      <c r="I30" s="118">
        <v>-8</v>
      </c>
      <c r="J30" s="118">
        <v>1154</v>
      </c>
      <c r="K30" s="118">
        <v>0</v>
      </c>
      <c r="L30" s="118">
        <v>0</v>
      </c>
      <c r="M30" s="118">
        <v>0</v>
      </c>
      <c r="N30" s="118">
        <v>-1316</v>
      </c>
      <c r="O30" s="312">
        <v>0</v>
      </c>
      <c r="P30" s="312">
        <v>0</v>
      </c>
      <c r="Q30" s="312">
        <v>0</v>
      </c>
      <c r="R30" s="312">
        <v>0</v>
      </c>
      <c r="S30" s="312">
        <v>0</v>
      </c>
      <c r="T30" s="312">
        <v>0</v>
      </c>
      <c r="U30" s="312">
        <v>0</v>
      </c>
      <c r="V30" s="312">
        <v>0</v>
      </c>
      <c r="W30" s="312">
        <v>0</v>
      </c>
      <c r="X30" s="312">
        <v>0</v>
      </c>
      <c r="Y30" s="312">
        <v>0</v>
      </c>
      <c r="Z30" s="312">
        <v>0</v>
      </c>
      <c r="AA30" s="312">
        <v>0</v>
      </c>
      <c r="AB30" s="312">
        <v>0</v>
      </c>
      <c r="AC30" s="312">
        <v>0</v>
      </c>
      <c r="AD30" s="312">
        <v>0</v>
      </c>
      <c r="AE30" s="319">
        <v>0</v>
      </c>
      <c r="AF30" s="312">
        <v>0</v>
      </c>
      <c r="AG30" s="312">
        <v>0</v>
      </c>
      <c r="AH30" s="312">
        <v>0</v>
      </c>
      <c r="AI30" s="312">
        <v>0</v>
      </c>
      <c r="AJ30" s="312">
        <v>0</v>
      </c>
      <c r="AK30" s="312">
        <v>0</v>
      </c>
      <c r="AL30" s="312">
        <v>0</v>
      </c>
      <c r="AM30" s="312">
        <v>0</v>
      </c>
      <c r="AN30" s="312">
        <v>0</v>
      </c>
      <c r="AO30" s="312">
        <v>0</v>
      </c>
      <c r="AP30" s="312"/>
      <c r="AQ30" s="312">
        <v>0</v>
      </c>
      <c r="AR30" s="312">
        <v>0</v>
      </c>
      <c r="AS30" s="312">
        <v>0</v>
      </c>
      <c r="AT30" s="312">
        <v>0</v>
      </c>
      <c r="AU30" s="312">
        <v>0</v>
      </c>
      <c r="AV30" s="312">
        <v>0</v>
      </c>
      <c r="AW30" s="312">
        <v>0</v>
      </c>
      <c r="AX30" s="312">
        <v>0</v>
      </c>
      <c r="AY30" s="312"/>
      <c r="AZ30" s="312"/>
      <c r="BA30" s="312"/>
      <c r="BB30" s="312">
        <v>0</v>
      </c>
      <c r="BC30" s="312"/>
      <c r="BD30" s="312">
        <v>0</v>
      </c>
      <c r="BE30" s="312">
        <v>0</v>
      </c>
      <c r="BF30" s="312">
        <v>0</v>
      </c>
      <c r="BG30" s="312">
        <v>0</v>
      </c>
    </row>
    <row r="31" spans="1:59" s="619" customFormat="1" ht="14.1" hidden="1" customHeight="1" outlineLevel="1" x14ac:dyDescent="0.2">
      <c r="A31" s="764"/>
      <c r="B31" s="765" t="s">
        <v>52</v>
      </c>
      <c r="C31" s="118">
        <v>0</v>
      </c>
      <c r="D31" s="118">
        <v>0</v>
      </c>
      <c r="E31" s="118">
        <v>0</v>
      </c>
      <c r="F31" s="118">
        <v>0</v>
      </c>
      <c r="G31" s="118">
        <v>0</v>
      </c>
      <c r="H31" s="118">
        <v>0</v>
      </c>
      <c r="I31" s="118">
        <v>0</v>
      </c>
      <c r="J31" s="118">
        <v>0</v>
      </c>
      <c r="K31" s="118">
        <v>1685</v>
      </c>
      <c r="L31" s="118">
        <v>0</v>
      </c>
      <c r="M31" s="118">
        <v>0</v>
      </c>
      <c r="N31" s="118">
        <v>0</v>
      </c>
      <c r="O31" s="312">
        <v>0</v>
      </c>
      <c r="P31" s="312">
        <v>0</v>
      </c>
      <c r="Q31" s="312">
        <v>0</v>
      </c>
      <c r="R31" s="312">
        <v>0</v>
      </c>
      <c r="S31" s="312">
        <v>0</v>
      </c>
      <c r="T31" s="312">
        <v>0</v>
      </c>
      <c r="U31" s="312">
        <v>0</v>
      </c>
      <c r="V31" s="312">
        <v>0</v>
      </c>
      <c r="W31" s="312">
        <v>0</v>
      </c>
      <c r="X31" s="312">
        <v>0</v>
      </c>
      <c r="Y31" s="312">
        <v>0</v>
      </c>
      <c r="Z31" s="312">
        <v>0</v>
      </c>
      <c r="AA31" s="312">
        <v>0</v>
      </c>
      <c r="AB31" s="312">
        <v>0</v>
      </c>
      <c r="AC31" s="312">
        <v>0</v>
      </c>
      <c r="AD31" s="312">
        <v>0</v>
      </c>
      <c r="AE31" s="319">
        <v>0</v>
      </c>
      <c r="AF31" s="312">
        <v>0</v>
      </c>
      <c r="AG31" s="312">
        <v>0</v>
      </c>
      <c r="AH31" s="312">
        <v>0</v>
      </c>
      <c r="AI31" s="312">
        <v>0</v>
      </c>
      <c r="AJ31" s="312">
        <v>0</v>
      </c>
      <c r="AK31" s="312">
        <v>0</v>
      </c>
      <c r="AL31" s="312">
        <v>0</v>
      </c>
      <c r="AM31" s="312">
        <v>0</v>
      </c>
      <c r="AN31" s="312">
        <v>0</v>
      </c>
      <c r="AO31" s="312">
        <v>0</v>
      </c>
      <c r="AP31" s="312"/>
      <c r="AQ31" s="312">
        <v>0</v>
      </c>
      <c r="AR31" s="312">
        <v>0</v>
      </c>
      <c r="AS31" s="312">
        <v>0</v>
      </c>
      <c r="AT31" s="312">
        <v>0</v>
      </c>
      <c r="AU31" s="312">
        <v>0</v>
      </c>
      <c r="AV31" s="312">
        <v>0</v>
      </c>
      <c r="AW31" s="312">
        <v>0</v>
      </c>
      <c r="AX31" s="312">
        <v>0</v>
      </c>
      <c r="AY31" s="312"/>
      <c r="AZ31" s="312"/>
      <c r="BA31" s="312"/>
      <c r="BB31" s="312">
        <v>0</v>
      </c>
      <c r="BC31" s="312"/>
      <c r="BD31" s="312">
        <v>0</v>
      </c>
      <c r="BE31" s="312">
        <v>0</v>
      </c>
      <c r="BF31" s="312">
        <v>0</v>
      </c>
      <c r="BG31" s="312">
        <v>0</v>
      </c>
    </row>
    <row r="32" spans="1:59" s="619" customFormat="1" ht="14.1" hidden="1" customHeight="1" outlineLevel="1" x14ac:dyDescent="0.2">
      <c r="A32" s="764"/>
      <c r="B32" s="765" t="s">
        <v>53</v>
      </c>
      <c r="C32" s="118">
        <v>0</v>
      </c>
      <c r="D32" s="118">
        <v>0</v>
      </c>
      <c r="E32" s="118">
        <v>0</v>
      </c>
      <c r="F32" s="118">
        <v>0</v>
      </c>
      <c r="G32" s="118">
        <v>0</v>
      </c>
      <c r="H32" s="118">
        <v>0</v>
      </c>
      <c r="I32" s="118">
        <v>0</v>
      </c>
      <c r="J32" s="118">
        <v>0</v>
      </c>
      <c r="K32" s="118">
        <v>2139</v>
      </c>
      <c r="L32" s="118">
        <v>0</v>
      </c>
      <c r="M32" s="118">
        <v>0</v>
      </c>
      <c r="N32" s="118">
        <v>0</v>
      </c>
      <c r="O32" s="312">
        <v>0</v>
      </c>
      <c r="P32" s="312">
        <v>0</v>
      </c>
      <c r="Q32" s="312">
        <v>0</v>
      </c>
      <c r="R32" s="312">
        <v>0</v>
      </c>
      <c r="S32" s="312">
        <v>0</v>
      </c>
      <c r="T32" s="312">
        <v>0</v>
      </c>
      <c r="U32" s="312">
        <v>0</v>
      </c>
      <c r="V32" s="312">
        <v>0</v>
      </c>
      <c r="W32" s="312">
        <v>0</v>
      </c>
      <c r="X32" s="312">
        <v>0</v>
      </c>
      <c r="Y32" s="312">
        <v>0</v>
      </c>
      <c r="Z32" s="312">
        <v>0</v>
      </c>
      <c r="AA32" s="312">
        <v>0</v>
      </c>
      <c r="AB32" s="312">
        <v>0</v>
      </c>
      <c r="AC32" s="312">
        <v>0</v>
      </c>
      <c r="AD32" s="312">
        <v>0</v>
      </c>
      <c r="AE32" s="319">
        <v>0</v>
      </c>
      <c r="AF32" s="312">
        <v>0</v>
      </c>
      <c r="AG32" s="312">
        <v>0</v>
      </c>
      <c r="AH32" s="312">
        <v>0</v>
      </c>
      <c r="AI32" s="312">
        <v>0</v>
      </c>
      <c r="AJ32" s="312">
        <v>0</v>
      </c>
      <c r="AK32" s="312">
        <v>0</v>
      </c>
      <c r="AL32" s="312">
        <v>0</v>
      </c>
      <c r="AM32" s="312">
        <v>0</v>
      </c>
      <c r="AN32" s="312">
        <v>0</v>
      </c>
      <c r="AO32" s="312">
        <v>0</v>
      </c>
      <c r="AP32" s="312"/>
      <c r="AQ32" s="312">
        <v>0</v>
      </c>
      <c r="AR32" s="312">
        <v>0</v>
      </c>
      <c r="AS32" s="312">
        <v>0</v>
      </c>
      <c r="AT32" s="312">
        <v>0</v>
      </c>
      <c r="AU32" s="312">
        <v>0</v>
      </c>
      <c r="AV32" s="312">
        <v>0</v>
      </c>
      <c r="AW32" s="312">
        <v>0</v>
      </c>
      <c r="AX32" s="312">
        <v>0</v>
      </c>
      <c r="AY32" s="312"/>
      <c r="AZ32" s="312"/>
      <c r="BA32" s="312"/>
      <c r="BB32" s="312">
        <v>0</v>
      </c>
      <c r="BC32" s="312"/>
      <c r="BD32" s="312">
        <v>0</v>
      </c>
      <c r="BE32" s="312">
        <v>0</v>
      </c>
      <c r="BF32" s="312">
        <v>0</v>
      </c>
      <c r="BG32" s="312">
        <v>0</v>
      </c>
    </row>
    <row r="33" spans="1:59" s="619" customFormat="1" ht="14.1" hidden="1" customHeight="1" outlineLevel="1" x14ac:dyDescent="0.2">
      <c r="A33" s="764"/>
      <c r="B33" s="765" t="s">
        <v>49</v>
      </c>
      <c r="C33" s="118">
        <v>2990</v>
      </c>
      <c r="D33" s="118">
        <v>1233</v>
      </c>
      <c r="E33" s="118">
        <v>105</v>
      </c>
      <c r="F33" s="118">
        <v>1432</v>
      </c>
      <c r="G33" s="118">
        <v>0</v>
      </c>
      <c r="H33" s="118">
        <v>0</v>
      </c>
      <c r="I33" s="118">
        <v>0</v>
      </c>
      <c r="J33" s="118">
        <v>0</v>
      </c>
      <c r="K33" s="118">
        <v>0</v>
      </c>
      <c r="L33" s="118">
        <v>0</v>
      </c>
      <c r="M33" s="118">
        <v>0</v>
      </c>
      <c r="N33" s="118">
        <v>0</v>
      </c>
      <c r="O33" s="312">
        <v>0</v>
      </c>
      <c r="P33" s="312">
        <v>0</v>
      </c>
      <c r="Q33" s="312">
        <v>0</v>
      </c>
      <c r="R33" s="312">
        <v>0</v>
      </c>
      <c r="S33" s="312">
        <v>0</v>
      </c>
      <c r="T33" s="312">
        <v>0</v>
      </c>
      <c r="U33" s="312">
        <v>0</v>
      </c>
      <c r="V33" s="312">
        <v>0</v>
      </c>
      <c r="W33" s="312">
        <v>0</v>
      </c>
      <c r="X33" s="312">
        <v>0</v>
      </c>
      <c r="Y33" s="312">
        <v>0</v>
      </c>
      <c r="Z33" s="312">
        <v>0</v>
      </c>
      <c r="AA33" s="312">
        <v>0</v>
      </c>
      <c r="AB33" s="312">
        <v>0</v>
      </c>
      <c r="AC33" s="312">
        <v>0</v>
      </c>
      <c r="AD33" s="312">
        <v>0</v>
      </c>
      <c r="AE33" s="319">
        <v>0</v>
      </c>
      <c r="AF33" s="312">
        <v>0</v>
      </c>
      <c r="AG33" s="312">
        <v>0</v>
      </c>
      <c r="AH33" s="312">
        <v>0</v>
      </c>
      <c r="AI33" s="312">
        <v>0</v>
      </c>
      <c r="AJ33" s="312">
        <v>0</v>
      </c>
      <c r="AK33" s="312">
        <v>0</v>
      </c>
      <c r="AL33" s="312">
        <v>0</v>
      </c>
      <c r="AM33" s="312">
        <v>0</v>
      </c>
      <c r="AN33" s="312">
        <v>0</v>
      </c>
      <c r="AO33" s="312">
        <v>0</v>
      </c>
      <c r="AP33" s="312"/>
      <c r="AQ33" s="312">
        <v>0</v>
      </c>
      <c r="AR33" s="312">
        <v>0</v>
      </c>
      <c r="AS33" s="312">
        <v>0</v>
      </c>
      <c r="AT33" s="312">
        <v>0</v>
      </c>
      <c r="AU33" s="312">
        <v>0</v>
      </c>
      <c r="AV33" s="312">
        <v>0</v>
      </c>
      <c r="AW33" s="312">
        <v>0</v>
      </c>
      <c r="AX33" s="312">
        <v>0</v>
      </c>
      <c r="AY33" s="312"/>
      <c r="AZ33" s="312"/>
      <c r="BA33" s="312"/>
      <c r="BB33" s="312">
        <v>0</v>
      </c>
      <c r="BC33" s="312"/>
      <c r="BD33" s="312">
        <v>0</v>
      </c>
      <c r="BE33" s="312">
        <v>0</v>
      </c>
      <c r="BF33" s="312">
        <v>0</v>
      </c>
      <c r="BG33" s="312">
        <v>0</v>
      </c>
    </row>
    <row r="34" spans="1:59" s="619" customFormat="1" ht="14.1" hidden="1" customHeight="1" outlineLevel="1" x14ac:dyDescent="0.2">
      <c r="A34" s="764"/>
      <c r="B34" s="765" t="s">
        <v>454</v>
      </c>
      <c r="C34" s="118">
        <v>0</v>
      </c>
      <c r="D34" s="118">
        <v>0</v>
      </c>
      <c r="E34" s="118">
        <v>0</v>
      </c>
      <c r="F34" s="118">
        <v>0</v>
      </c>
      <c r="G34" s="118">
        <v>0</v>
      </c>
      <c r="H34" s="118">
        <v>0</v>
      </c>
      <c r="I34" s="118">
        <v>0</v>
      </c>
      <c r="J34" s="118">
        <v>0</v>
      </c>
      <c r="K34" s="118">
        <v>0</v>
      </c>
      <c r="L34" s="118">
        <v>0</v>
      </c>
      <c r="M34" s="118">
        <v>0</v>
      </c>
      <c r="N34" s="118">
        <v>0</v>
      </c>
      <c r="O34" s="312">
        <v>0</v>
      </c>
      <c r="P34" s="312">
        <v>0</v>
      </c>
      <c r="Q34" s="312">
        <v>0</v>
      </c>
      <c r="R34" s="312">
        <f>('Riscos Judiciais'!M53-'Riscos Judiciais'!N53+'Riscos Judiciais'!N34-'Riscos Judiciais'!M34)*-1</f>
        <v>3757</v>
      </c>
      <c r="S34" s="312">
        <v>0</v>
      </c>
      <c r="T34" s="312">
        <v>0</v>
      </c>
      <c r="U34" s="312">
        <v>0</v>
      </c>
      <c r="V34" s="312">
        <v>0</v>
      </c>
      <c r="W34" s="312">
        <v>0</v>
      </c>
      <c r="X34" s="312">
        <v>0</v>
      </c>
      <c r="Y34" s="312">
        <v>0</v>
      </c>
      <c r="Z34" s="312">
        <v>0</v>
      </c>
      <c r="AA34" s="312">
        <v>0</v>
      </c>
      <c r="AB34" s="312">
        <v>0</v>
      </c>
      <c r="AC34" s="312">
        <v>0</v>
      </c>
      <c r="AD34" s="312">
        <v>0</v>
      </c>
      <c r="AE34" s="319">
        <v>0</v>
      </c>
      <c r="AF34" s="312">
        <v>0</v>
      </c>
      <c r="AG34" s="312">
        <v>0</v>
      </c>
      <c r="AH34" s="312">
        <v>0</v>
      </c>
      <c r="AI34" s="312">
        <v>0</v>
      </c>
      <c r="AJ34" s="312">
        <v>0</v>
      </c>
      <c r="AK34" s="312">
        <v>0</v>
      </c>
      <c r="AL34" s="312">
        <v>0</v>
      </c>
      <c r="AM34" s="312">
        <v>0</v>
      </c>
      <c r="AN34" s="312">
        <v>0</v>
      </c>
      <c r="AO34" s="312">
        <v>0</v>
      </c>
      <c r="AP34" s="312"/>
      <c r="AQ34" s="312">
        <v>0</v>
      </c>
      <c r="AR34" s="312">
        <v>0</v>
      </c>
      <c r="AS34" s="312">
        <v>0</v>
      </c>
      <c r="AT34" s="312">
        <v>0</v>
      </c>
      <c r="AU34" s="312">
        <v>0</v>
      </c>
      <c r="AV34" s="312">
        <v>0</v>
      </c>
      <c r="AW34" s="312">
        <v>0</v>
      </c>
      <c r="AX34" s="312">
        <v>0</v>
      </c>
      <c r="AY34" s="312"/>
      <c r="AZ34" s="312"/>
      <c r="BA34" s="312"/>
      <c r="BB34" s="312">
        <v>0</v>
      </c>
      <c r="BC34" s="312"/>
      <c r="BD34" s="312">
        <v>0</v>
      </c>
      <c r="BE34" s="312">
        <v>0</v>
      </c>
      <c r="BF34" s="312">
        <v>0</v>
      </c>
      <c r="BG34" s="312">
        <v>0</v>
      </c>
    </row>
    <row r="35" spans="1:59" ht="14.1" customHeight="1" collapsed="1" x14ac:dyDescent="0.2">
      <c r="A35" s="24"/>
      <c r="B35" s="119" t="s">
        <v>67</v>
      </c>
      <c r="C35" s="120">
        <f t="shared" ref="C35:AT35" si="13">+SUM(C15:C34)</f>
        <v>32706</v>
      </c>
      <c r="D35" s="120">
        <f t="shared" si="13"/>
        <v>39486</v>
      </c>
      <c r="E35" s="120">
        <f t="shared" si="13"/>
        <v>55628</v>
      </c>
      <c r="F35" s="120">
        <f t="shared" si="13"/>
        <v>43848</v>
      </c>
      <c r="G35" s="120">
        <f t="shared" si="13"/>
        <v>37339</v>
      </c>
      <c r="H35" s="120">
        <f t="shared" si="13"/>
        <v>56999</v>
      </c>
      <c r="I35" s="120">
        <f t="shared" si="13"/>
        <v>60119</v>
      </c>
      <c r="J35" s="120">
        <f t="shared" si="13"/>
        <v>51253</v>
      </c>
      <c r="K35" s="120">
        <f t="shared" si="13"/>
        <v>34306</v>
      </c>
      <c r="L35" s="120">
        <f t="shared" si="13"/>
        <v>42829</v>
      </c>
      <c r="M35" s="120">
        <f t="shared" si="13"/>
        <v>46646</v>
      </c>
      <c r="N35" s="120">
        <f t="shared" si="13"/>
        <v>51715</v>
      </c>
      <c r="O35" s="120">
        <f t="shared" si="13"/>
        <v>23825</v>
      </c>
      <c r="P35" s="120">
        <f t="shared" si="13"/>
        <v>21148</v>
      </c>
      <c r="Q35" s="120">
        <f t="shared" si="13"/>
        <v>22478</v>
      </c>
      <c r="R35" s="120">
        <f t="shared" si="13"/>
        <v>27857.359079999958</v>
      </c>
      <c r="S35" s="120">
        <f t="shared" si="13"/>
        <v>11187.889809999977</v>
      </c>
      <c r="T35" s="120">
        <f t="shared" si="13"/>
        <v>14011.68132</v>
      </c>
      <c r="U35" s="120">
        <f t="shared" si="13"/>
        <v>23065.308469999982</v>
      </c>
      <c r="V35" s="120">
        <f t="shared" si="13"/>
        <v>29371.269340000003</v>
      </c>
      <c r="W35" s="120">
        <f t="shared" si="13"/>
        <v>15844.454640000011</v>
      </c>
      <c r="X35" s="120">
        <f t="shared" si="13"/>
        <v>26654.128610000014</v>
      </c>
      <c r="Y35" s="120">
        <f t="shared" si="13"/>
        <v>34870.320750000028</v>
      </c>
      <c r="Z35" s="120">
        <f t="shared" si="13"/>
        <v>40815.222150000074</v>
      </c>
      <c r="AA35" s="120">
        <f t="shared" si="13"/>
        <v>22612.676620000002</v>
      </c>
      <c r="AB35" s="120">
        <f t="shared" si="13"/>
        <v>38247.540069999974</v>
      </c>
      <c r="AC35" s="120">
        <f t="shared" si="13"/>
        <v>49403.81290999995</v>
      </c>
      <c r="AD35" s="120">
        <f t="shared" si="13"/>
        <v>61958.097968471528</v>
      </c>
      <c r="AE35" s="162">
        <f t="shared" si="13"/>
        <v>42498.737950000024</v>
      </c>
      <c r="AF35" s="120">
        <f t="shared" si="13"/>
        <v>48651.234510000024</v>
      </c>
      <c r="AG35" s="120">
        <f t="shared" si="13"/>
        <v>49860.368541158736</v>
      </c>
      <c r="AH35" s="120">
        <f t="shared" si="13"/>
        <v>57472.92808000002</v>
      </c>
      <c r="AI35" s="120">
        <f t="shared" si="13"/>
        <v>29279.139880000006</v>
      </c>
      <c r="AJ35" s="120">
        <f t="shared" si="13"/>
        <v>-11654.691910000009</v>
      </c>
      <c r="AK35" s="120">
        <f t="shared" si="13"/>
        <v>38792.218860000008</v>
      </c>
      <c r="AL35" s="120">
        <f t="shared" si="13"/>
        <v>43245.378730000033</v>
      </c>
      <c r="AM35" s="120">
        <f t="shared" si="13"/>
        <v>33121.461580000003</v>
      </c>
      <c r="AN35" s="120">
        <f t="shared" si="13"/>
        <v>23451.069519999983</v>
      </c>
      <c r="AO35" s="120">
        <f t="shared" si="13"/>
        <v>25522.103049999991</v>
      </c>
      <c r="AP35" s="120">
        <f t="shared" si="13"/>
        <v>36547.697839999906</v>
      </c>
      <c r="AQ35" s="120">
        <f t="shared" si="13"/>
        <v>21064.224549999981</v>
      </c>
      <c r="AR35" s="120">
        <f t="shared" si="13"/>
        <v>37794.76152999996</v>
      </c>
      <c r="AS35" s="120">
        <f t="shared" si="13"/>
        <v>73953.711759999962</v>
      </c>
      <c r="AT35" s="120">
        <f t="shared" si="13"/>
        <v>61462.81159204727</v>
      </c>
      <c r="AU35" s="120">
        <f t="shared" ref="AU35:BD35" si="14">+SUM(AU15:AU34)</f>
        <v>42526.002939999846</v>
      </c>
      <c r="AV35" s="120">
        <f t="shared" si="14"/>
        <v>46446.635920000102</v>
      </c>
      <c r="AW35" s="120">
        <f t="shared" si="14"/>
        <v>66835.06712000008</v>
      </c>
      <c r="AX35" s="120">
        <f t="shared" si="14"/>
        <v>62390.654760000274</v>
      </c>
      <c r="AY35" s="120">
        <f t="shared" si="14"/>
        <v>49961.870029999845</v>
      </c>
      <c r="AZ35" s="120">
        <f>+SUM(AZ15:AZ34)</f>
        <v>74630.695230000012</v>
      </c>
      <c r="BA35" s="120">
        <f>+SUM(BA15:BA34)</f>
        <v>117564.8570800001</v>
      </c>
      <c r="BB35" s="120">
        <f>+SUM(BB15:BB34)</f>
        <v>120277.85008999995</v>
      </c>
      <c r="BC35" s="120">
        <f t="shared" si="14"/>
        <v>60517.845799999952</v>
      </c>
      <c r="BD35" s="120">
        <f t="shared" si="14"/>
        <v>86348.288849999808</v>
      </c>
      <c r="BE35" s="120">
        <f>+SUM(BE15:BE34)</f>
        <v>112016.43730000012</v>
      </c>
      <c r="BF35" s="120">
        <f>+SUM(BF15:BF34)</f>
        <v>77978.530179999972</v>
      </c>
      <c r="BG35" s="120">
        <f>+SUM(BG15:BG34)</f>
        <v>65551.990750000099</v>
      </c>
    </row>
    <row r="36" spans="1:59" ht="14.1" customHeight="1" x14ac:dyDescent="0.2">
      <c r="A36" s="24"/>
      <c r="B36" s="122" t="s">
        <v>68</v>
      </c>
      <c r="C36" s="14">
        <f t="shared" ref="C36:W36" si="15">ROUND(C35/C11,3)</f>
        <v>0.13700000000000001</v>
      </c>
      <c r="D36" s="14">
        <f t="shared" si="15"/>
        <v>0.14599999999999999</v>
      </c>
      <c r="E36" s="14">
        <f t="shared" si="15"/>
        <v>0.17399999999999999</v>
      </c>
      <c r="F36" s="14">
        <f t="shared" si="15"/>
        <v>0.13400000000000001</v>
      </c>
      <c r="G36" s="14">
        <f t="shared" si="15"/>
        <v>0.13100000000000001</v>
      </c>
      <c r="H36" s="14">
        <f t="shared" si="15"/>
        <v>0.155</v>
      </c>
      <c r="I36" s="14">
        <f t="shared" si="15"/>
        <v>0.161</v>
      </c>
      <c r="J36" s="14">
        <f t="shared" si="15"/>
        <v>0.14299999999999999</v>
      </c>
      <c r="K36" s="14">
        <f t="shared" si="15"/>
        <v>0.121</v>
      </c>
      <c r="L36" s="14">
        <f t="shared" si="15"/>
        <v>0.13700000000000001</v>
      </c>
      <c r="M36" s="14">
        <f t="shared" si="15"/>
        <v>0.15</v>
      </c>
      <c r="N36" s="14">
        <f t="shared" si="15"/>
        <v>0.14899999999999999</v>
      </c>
      <c r="O36" s="14">
        <f t="shared" si="15"/>
        <v>0.1</v>
      </c>
      <c r="P36" s="14">
        <f t="shared" si="15"/>
        <v>9.2999999999999999E-2</v>
      </c>
      <c r="Q36" s="14">
        <f t="shared" si="15"/>
        <v>0.10100000000000001</v>
      </c>
      <c r="R36" s="14">
        <f t="shared" si="15"/>
        <v>0.11799999999999999</v>
      </c>
      <c r="S36" s="14">
        <f t="shared" si="15"/>
        <v>7.0000000000000007E-2</v>
      </c>
      <c r="T36" s="14">
        <f t="shared" si="15"/>
        <v>7.4999999999999997E-2</v>
      </c>
      <c r="U36" s="14">
        <f t="shared" si="15"/>
        <v>0.11700000000000001</v>
      </c>
      <c r="V36" s="14">
        <f t="shared" si="15"/>
        <v>0.13700000000000001</v>
      </c>
      <c r="W36" s="14">
        <f t="shared" si="15"/>
        <v>9.0999999999999998E-2</v>
      </c>
      <c r="X36" s="14">
        <v>0.124</v>
      </c>
      <c r="Y36" s="14">
        <f t="shared" ref="Y36:AF36" si="16">ROUND(Y35/Y11,3)</f>
        <v>0.14299999999999999</v>
      </c>
      <c r="Z36" s="14">
        <f t="shared" si="16"/>
        <v>0.14899999999999999</v>
      </c>
      <c r="AA36" s="14">
        <f t="shared" si="16"/>
        <v>0.10199999999999999</v>
      </c>
      <c r="AB36" s="14">
        <f t="shared" si="16"/>
        <v>0.14899999999999999</v>
      </c>
      <c r="AC36" s="14">
        <f t="shared" si="16"/>
        <v>0.16700000000000001</v>
      </c>
      <c r="AD36" s="14">
        <f t="shared" si="16"/>
        <v>0.19</v>
      </c>
      <c r="AE36" s="735">
        <f t="shared" si="16"/>
        <v>0.16400000000000001</v>
      </c>
      <c r="AF36" s="14">
        <f t="shared" si="16"/>
        <v>0.16500000000000001</v>
      </c>
      <c r="AG36" s="14">
        <v>0.16600000000000001</v>
      </c>
      <c r="AH36" s="14">
        <v>0.17</v>
      </c>
      <c r="AI36" s="14">
        <v>0.122</v>
      </c>
      <c r="AJ36" s="14">
        <v>-0.13400000000000001</v>
      </c>
      <c r="AK36" s="14">
        <f>ROUND(AK35/AK11,3)</f>
        <v>0.158</v>
      </c>
      <c r="AL36" s="14">
        <f>ROUND(AL35/AL11,3)</f>
        <v>0.159</v>
      </c>
      <c r="AM36" s="14">
        <f>ROUND(AM35/AM11,3)</f>
        <v>0.16500000000000001</v>
      </c>
      <c r="AN36" s="14">
        <f>ROUND(AN35/AN11,3)</f>
        <v>0.11700000000000001</v>
      </c>
      <c r="AO36" s="14">
        <v>0.13100000000000001</v>
      </c>
      <c r="AP36" s="14">
        <f t="shared" ref="AP36:AU36" si="17">ROUND(AP35/AP11,3)</f>
        <v>0.13400000000000001</v>
      </c>
      <c r="AQ36" s="14">
        <f t="shared" si="17"/>
        <v>0.104</v>
      </c>
      <c r="AR36" s="14">
        <f t="shared" si="17"/>
        <v>0.14199999999999999</v>
      </c>
      <c r="AS36" s="14">
        <f t="shared" si="17"/>
        <v>0.19800000000000001</v>
      </c>
      <c r="AT36" s="14">
        <f t="shared" si="17"/>
        <v>0.16500000000000001</v>
      </c>
      <c r="AU36" s="14">
        <f t="shared" si="17"/>
        <v>0.14299999999999999</v>
      </c>
      <c r="AV36" s="14">
        <f t="shared" ref="AV36:BD36" si="18">ROUND(AV35/AV11,3)</f>
        <v>0.14000000000000001</v>
      </c>
      <c r="AW36" s="14">
        <f t="shared" si="18"/>
        <v>0.17299999999999999</v>
      </c>
      <c r="AX36" s="14">
        <f t="shared" si="18"/>
        <v>0.151</v>
      </c>
      <c r="AY36" s="14">
        <f t="shared" si="18"/>
        <v>0.14399999999999999</v>
      </c>
      <c r="AZ36" s="14">
        <f t="shared" si="18"/>
        <v>0.17499999999999999</v>
      </c>
      <c r="BA36" s="14">
        <f>ROUND(BA35/BA11,3)</f>
        <v>0.20899999999999999</v>
      </c>
      <c r="BB36" s="14">
        <f>ROUND(BB35/BB11,3)</f>
        <v>0.20599999999999999</v>
      </c>
      <c r="BC36" s="14">
        <f t="shared" si="18"/>
        <v>0.153</v>
      </c>
      <c r="BD36" s="14">
        <f t="shared" si="18"/>
        <v>0.17399999999999999</v>
      </c>
      <c r="BE36" s="14">
        <f>ROUND(BE35/BE11,3)</f>
        <v>0.187</v>
      </c>
      <c r="BF36" s="14">
        <f>ROUND(BF35/BF11,3)</f>
        <v>0.13600000000000001</v>
      </c>
      <c r="BG36" s="14">
        <f>ROUND(BG35/BG11,3)</f>
        <v>0.13700000000000001</v>
      </c>
    </row>
    <row r="37" spans="1:59" ht="14.1" customHeight="1" x14ac:dyDescent="0.2">
      <c r="A37" s="24"/>
      <c r="B37" s="117" t="s">
        <v>137</v>
      </c>
      <c r="C37" s="118">
        <v>-3912</v>
      </c>
      <c r="D37" s="118">
        <v>-4497</v>
      </c>
      <c r="E37" s="118">
        <v>-4587</v>
      </c>
      <c r="F37" s="118">
        <v>-4664</v>
      </c>
      <c r="G37" s="118">
        <v>-3833</v>
      </c>
      <c r="H37" s="118">
        <v>-3728</v>
      </c>
      <c r="I37" s="118">
        <v>-4746</v>
      </c>
      <c r="J37" s="118">
        <v>-4154</v>
      </c>
      <c r="K37" s="118">
        <v>-4278</v>
      </c>
      <c r="L37" s="118">
        <v>-3978</v>
      </c>
      <c r="M37" s="118">
        <v>-3260</v>
      </c>
      <c r="N37" s="118">
        <v>2094</v>
      </c>
      <c r="O37" s="118">
        <f t="shared" ref="O37:AF37" si="19">+SUM(O38:O39)</f>
        <v>-3137</v>
      </c>
      <c r="P37" s="118">
        <f t="shared" si="19"/>
        <v>-3319</v>
      </c>
      <c r="Q37" s="118">
        <f t="shared" si="19"/>
        <v>-3290</v>
      </c>
      <c r="R37" s="118">
        <f t="shared" si="19"/>
        <v>-3505.1673300000002</v>
      </c>
      <c r="S37" s="118">
        <f t="shared" si="19"/>
        <v>-3986.2596899999999</v>
      </c>
      <c r="T37" s="118">
        <f t="shared" si="19"/>
        <v>-3739.7783599999998</v>
      </c>
      <c r="U37" s="118">
        <f t="shared" si="19"/>
        <v>-3199.9294500000005</v>
      </c>
      <c r="V37" s="118">
        <f t="shared" si="19"/>
        <v>-3160.7401399999994</v>
      </c>
      <c r="W37" s="118">
        <f t="shared" si="19"/>
        <v>-3297.1615999999995</v>
      </c>
      <c r="X37" s="118">
        <f t="shared" si="19"/>
        <v>-3490.2046699999996</v>
      </c>
      <c r="Y37" s="118">
        <f t="shared" si="19"/>
        <v>-3823.40445</v>
      </c>
      <c r="Z37" s="118">
        <f t="shared" si="19"/>
        <v>-3804.8000499999998</v>
      </c>
      <c r="AA37" s="118">
        <f t="shared" si="19"/>
        <v>-3811.6660800000004</v>
      </c>
      <c r="AB37" s="118">
        <f t="shared" si="19"/>
        <v>-6190.8721299999997</v>
      </c>
      <c r="AC37" s="118">
        <f t="shared" si="19"/>
        <v>-4079.5165700000002</v>
      </c>
      <c r="AD37" s="118">
        <f t="shared" si="19"/>
        <v>-3930.5324799999999</v>
      </c>
      <c r="AE37" s="160">
        <f t="shared" si="19"/>
        <v>-8448.39552</v>
      </c>
      <c r="AF37" s="118">
        <f t="shared" si="19"/>
        <v>-7600.8246600000002</v>
      </c>
      <c r="AG37" s="118">
        <v>-8106.9221099999995</v>
      </c>
      <c r="AH37" s="118">
        <v>-8033.3827499999998</v>
      </c>
      <c r="AI37" s="118">
        <f t="shared" ref="AI37:AN37" si="20">+SUM(AI38:AI39)</f>
        <v>-7733.47966</v>
      </c>
      <c r="AJ37" s="118">
        <f t="shared" si="20"/>
        <v>-7793.0588099999995</v>
      </c>
      <c r="AK37" s="118">
        <f t="shared" si="20"/>
        <v>-7391.8052800000005</v>
      </c>
      <c r="AL37" s="118">
        <f t="shared" si="20"/>
        <v>-7271.8083100000003</v>
      </c>
      <c r="AM37" s="118">
        <f t="shared" si="20"/>
        <v>-8223.5107900000003</v>
      </c>
      <c r="AN37" s="118">
        <f t="shared" si="20"/>
        <v>-8382.1100900000001</v>
      </c>
      <c r="AO37" s="118">
        <v>-8137.3423500000008</v>
      </c>
      <c r="AP37" s="118">
        <f t="shared" ref="AP37:AU37" si="21">+SUM(AP38:AP39)</f>
        <v>-8170.075420000001</v>
      </c>
      <c r="AQ37" s="118">
        <f t="shared" si="21"/>
        <v>-9160.9906600000013</v>
      </c>
      <c r="AR37" s="118">
        <f t="shared" si="21"/>
        <v>-9317.2672600000024</v>
      </c>
      <c r="AS37" s="118">
        <f t="shared" si="21"/>
        <v>-8077.3715100000009</v>
      </c>
      <c r="AT37" s="118">
        <f t="shared" si="21"/>
        <v>-8892.1822300000003</v>
      </c>
      <c r="AU37" s="118">
        <f t="shared" si="21"/>
        <v>-9191.71731</v>
      </c>
      <c r="AV37" s="118">
        <f t="shared" ref="AV37:BD37" si="22">+SUM(AV38:AV39)</f>
        <v>-9212.5258799999992</v>
      </c>
      <c r="AW37" s="118">
        <f t="shared" si="22"/>
        <v>-9497.4958900000001</v>
      </c>
      <c r="AX37" s="118">
        <f t="shared" si="22"/>
        <v>-9966.0402800000011</v>
      </c>
      <c r="AY37" s="118">
        <f t="shared" si="22"/>
        <v>-9533.8189899999979</v>
      </c>
      <c r="AZ37" s="118">
        <f t="shared" si="22"/>
        <v>-9539.9341300000015</v>
      </c>
      <c r="BA37" s="118">
        <f t="shared" si="22"/>
        <v>-9412.5899100000006</v>
      </c>
      <c r="BB37" s="118">
        <f>+SUM(BB38:BB39)</f>
        <v>-9977.5194800000008</v>
      </c>
      <c r="BC37" s="118">
        <f>+SUM(BC38:BC39)</f>
        <v>-10731.101720000001</v>
      </c>
      <c r="BD37" s="118">
        <f t="shared" si="22"/>
        <v>-10797.942190000002</v>
      </c>
      <c r="BE37" s="118">
        <f>+SUM(BE38:BE39)</f>
        <v>-11179.56077</v>
      </c>
      <c r="BF37" s="118">
        <f>+SUM(BF38:BF39)</f>
        <v>-11651.207880000002</v>
      </c>
      <c r="BG37" s="118">
        <f>+SUM(BG38:BG39)</f>
        <v>-12473.563050000001</v>
      </c>
    </row>
    <row r="38" spans="1:59" ht="14.1" customHeight="1" outlineLevel="1" x14ac:dyDescent="0.2">
      <c r="A38" s="24"/>
      <c r="B38" s="613" t="s">
        <v>873</v>
      </c>
      <c r="C38" s="118" t="s">
        <v>160</v>
      </c>
      <c r="D38" s="118" t="s">
        <v>160</v>
      </c>
      <c r="E38" s="118" t="s">
        <v>160</v>
      </c>
      <c r="F38" s="118" t="s">
        <v>160</v>
      </c>
      <c r="G38" s="118" t="s">
        <v>160</v>
      </c>
      <c r="H38" s="118" t="s">
        <v>160</v>
      </c>
      <c r="I38" s="118" t="s">
        <v>160</v>
      </c>
      <c r="J38" s="118" t="s">
        <v>160</v>
      </c>
      <c r="K38" s="118" t="s">
        <v>160</v>
      </c>
      <c r="L38" s="118" t="s">
        <v>160</v>
      </c>
      <c r="M38" s="118" t="s">
        <v>160</v>
      </c>
      <c r="N38" s="118" t="s">
        <v>160</v>
      </c>
      <c r="O38" s="118">
        <v>-2427.1113971</v>
      </c>
      <c r="P38" s="118">
        <v>-2814.8716399999998</v>
      </c>
      <c r="Q38" s="118">
        <v>-2556.9838399999999</v>
      </c>
      <c r="R38" s="118">
        <v>-2414.1940500000001</v>
      </c>
      <c r="S38" s="118">
        <v>-2946.3262800000002</v>
      </c>
      <c r="T38" s="118">
        <v>-2771.5897599999998</v>
      </c>
      <c r="U38" s="118">
        <v>-2254.8847600000004</v>
      </c>
      <c r="V38" s="118">
        <v>-2218.0580299999997</v>
      </c>
      <c r="W38" s="118">
        <v>-2641.4951399999995</v>
      </c>
      <c r="X38" s="118">
        <v>-2738.2197299999998</v>
      </c>
      <c r="Y38" s="118">
        <v>-3115.8922400000001</v>
      </c>
      <c r="Z38" s="118">
        <v>-3077.0676899999999</v>
      </c>
      <c r="AA38" s="118">
        <v>-3063.6576800000003</v>
      </c>
      <c r="AB38" s="118">
        <v>-5401.8806500000001</v>
      </c>
      <c r="AC38" s="118">
        <v>-3281.4094700000001</v>
      </c>
      <c r="AD38" s="118">
        <v>-3118.7475100000001</v>
      </c>
      <c r="AE38" s="160">
        <v>-7384.0668399999995</v>
      </c>
      <c r="AF38" s="118">
        <v>-6514.1297400000003</v>
      </c>
      <c r="AG38" s="118">
        <v>-6983.20399</v>
      </c>
      <c r="AH38" s="118">
        <v>-6908.6251899999997</v>
      </c>
      <c r="AI38" s="118">
        <v>-6640.3729499999999</v>
      </c>
      <c r="AJ38" s="118">
        <v>-6747.0269399999997</v>
      </c>
      <c r="AK38" s="118">
        <v>-6362.0441600000004</v>
      </c>
      <c r="AL38" s="118">
        <v>-6224.2725500000006</v>
      </c>
      <c r="AM38" s="118">
        <v>-7159.8879700000007</v>
      </c>
      <c r="AN38" s="118">
        <v>-7303.6529899999996</v>
      </c>
      <c r="AO38" s="118">
        <v>-7072.4405999999999</v>
      </c>
      <c r="AP38" s="118">
        <v>-7099.1522700000005</v>
      </c>
      <c r="AQ38" s="118">
        <v>-8040.9265400000004</v>
      </c>
      <c r="AR38" s="118">
        <v>-8187.9139300000015</v>
      </c>
      <c r="AS38" s="118">
        <v>-6984.1718700000001</v>
      </c>
      <c r="AT38" s="118">
        <v>-7771.7001600000003</v>
      </c>
      <c r="AU38" s="118">
        <v>-8070.8290699999998</v>
      </c>
      <c r="AV38" s="118">
        <v>-8047.6410699999997</v>
      </c>
      <c r="AW38" s="118">
        <v>-8283.8615200000004</v>
      </c>
      <c r="AX38" s="118">
        <v>-8741.5593100000006</v>
      </c>
      <c r="AY38" s="118">
        <v>-8331.1583499999979</v>
      </c>
      <c r="AZ38" s="118">
        <v>-8330.3485600000004</v>
      </c>
      <c r="BA38" s="118">
        <v>-8195.6965700000001</v>
      </c>
      <c r="BB38" s="118">
        <v>-8520.3460400000004</v>
      </c>
      <c r="BC38" s="118">
        <v>-8622.747370000001</v>
      </c>
      <c r="BD38" s="118">
        <v>-8723.9120500000008</v>
      </c>
      <c r="BE38" s="118">
        <v>-8933.4888900000005</v>
      </c>
      <c r="BF38" s="118">
        <v>-9262.9062300000005</v>
      </c>
      <c r="BG38" s="118">
        <v>-10081.87075</v>
      </c>
    </row>
    <row r="39" spans="1:59" ht="14.1" customHeight="1" outlineLevel="1" x14ac:dyDescent="0.2">
      <c r="A39" s="24"/>
      <c r="B39" s="613" t="s">
        <v>874</v>
      </c>
      <c r="C39" s="118" t="s">
        <v>160</v>
      </c>
      <c r="D39" s="118" t="s">
        <v>160</v>
      </c>
      <c r="E39" s="118" t="s">
        <v>160</v>
      </c>
      <c r="F39" s="118" t="s">
        <v>160</v>
      </c>
      <c r="G39" s="118" t="s">
        <v>160</v>
      </c>
      <c r="H39" s="118" t="s">
        <v>160</v>
      </c>
      <c r="I39" s="118" t="s">
        <v>160</v>
      </c>
      <c r="J39" s="118" t="s">
        <v>160</v>
      </c>
      <c r="K39" s="118" t="s">
        <v>160</v>
      </c>
      <c r="L39" s="118" t="s">
        <v>160</v>
      </c>
      <c r="M39" s="118" t="s">
        <v>160</v>
      </c>
      <c r="N39" s="118" t="s">
        <v>160</v>
      </c>
      <c r="O39" s="118">
        <v>-709.88860290000002</v>
      </c>
      <c r="P39" s="118">
        <v>-504.12836000000016</v>
      </c>
      <c r="Q39" s="118">
        <v>-733.01616000000013</v>
      </c>
      <c r="R39" s="118">
        <v>-1090.9732800000002</v>
      </c>
      <c r="S39" s="118">
        <v>-1039.9334099999999</v>
      </c>
      <c r="T39" s="118">
        <v>-968.18860000000006</v>
      </c>
      <c r="U39" s="118">
        <v>-945.04468999999995</v>
      </c>
      <c r="V39" s="118">
        <v>-942.68210999999985</v>
      </c>
      <c r="W39" s="118">
        <v>-655.66645999999992</v>
      </c>
      <c r="X39" s="118">
        <v>-751.98493999999994</v>
      </c>
      <c r="Y39" s="118">
        <v>-707.51220999999998</v>
      </c>
      <c r="Z39" s="118">
        <v>-727.73235999999997</v>
      </c>
      <c r="AA39" s="118">
        <v>-748.00840000000005</v>
      </c>
      <c r="AB39" s="118">
        <v>-788.99148000000002</v>
      </c>
      <c r="AC39" s="118">
        <v>-798.10710000000006</v>
      </c>
      <c r="AD39" s="118">
        <v>-811.78496999999993</v>
      </c>
      <c r="AE39" s="160">
        <v>-1064.3286799999998</v>
      </c>
      <c r="AF39" s="118">
        <v>-1086.6949199999999</v>
      </c>
      <c r="AG39" s="118">
        <v>-1123.71812</v>
      </c>
      <c r="AH39" s="118">
        <v>-1124.75756</v>
      </c>
      <c r="AI39" s="118">
        <v>-1093.10671</v>
      </c>
      <c r="AJ39" s="118">
        <v>-1046.0318699999998</v>
      </c>
      <c r="AK39" s="118">
        <v>-1029.7611199999999</v>
      </c>
      <c r="AL39" s="118">
        <v>-1047.53576</v>
      </c>
      <c r="AM39" s="118">
        <v>-1063.62282</v>
      </c>
      <c r="AN39" s="118">
        <v>-1078.4571000000001</v>
      </c>
      <c r="AO39" s="118">
        <v>-1064.9017500000004</v>
      </c>
      <c r="AP39" s="118">
        <v>-1070.9231500000001</v>
      </c>
      <c r="AQ39" s="118">
        <v>-1120.0641200000002</v>
      </c>
      <c r="AR39" s="118">
        <v>-1129.3533300000004</v>
      </c>
      <c r="AS39" s="118">
        <v>-1093.1996400000003</v>
      </c>
      <c r="AT39" s="118">
        <v>-1120.4820700000002</v>
      </c>
      <c r="AU39" s="118">
        <v>-1120.8882400000002</v>
      </c>
      <c r="AV39" s="118">
        <v>-1164.8848099999998</v>
      </c>
      <c r="AW39" s="118">
        <v>-1213.63437</v>
      </c>
      <c r="AX39" s="118">
        <v>-1224.4809700000003</v>
      </c>
      <c r="AY39" s="118">
        <v>-1202.6606400000001</v>
      </c>
      <c r="AZ39" s="118">
        <v>-1209.5855700000002</v>
      </c>
      <c r="BA39" s="118">
        <v>-1216.8933400000001</v>
      </c>
      <c r="BB39" s="118">
        <v>-1457.17344</v>
      </c>
      <c r="BC39" s="118">
        <v>-2108.3543499999996</v>
      </c>
      <c r="BD39" s="118">
        <v>-2074.0301399999998</v>
      </c>
      <c r="BE39" s="118">
        <v>-2246.07188</v>
      </c>
      <c r="BF39" s="118">
        <v>-2388.3016500000003</v>
      </c>
      <c r="BG39" s="118">
        <v>-2391.6923000000002</v>
      </c>
    </row>
    <row r="40" spans="1:59" ht="14.1" customHeight="1" x14ac:dyDescent="0.2">
      <c r="A40" s="24"/>
      <c r="B40" s="119" t="s">
        <v>9</v>
      </c>
      <c r="C40" s="120">
        <f t="shared" ref="C40:AT40" si="23">+C15+C37</f>
        <v>23891</v>
      </c>
      <c r="D40" s="120">
        <f t="shared" si="23"/>
        <v>32900</v>
      </c>
      <c r="E40" s="120">
        <f t="shared" si="23"/>
        <v>57331</v>
      </c>
      <c r="F40" s="120">
        <f t="shared" si="23"/>
        <v>38244</v>
      </c>
      <c r="G40" s="120">
        <f t="shared" si="23"/>
        <v>32672</v>
      </c>
      <c r="H40" s="120">
        <f t="shared" si="23"/>
        <v>53221</v>
      </c>
      <c r="I40" s="120">
        <f t="shared" si="23"/>
        <v>71826</v>
      </c>
      <c r="J40" s="120">
        <f t="shared" si="23"/>
        <v>45945</v>
      </c>
      <c r="K40" s="120">
        <f t="shared" si="23"/>
        <v>26204</v>
      </c>
      <c r="L40" s="120">
        <f t="shared" si="23"/>
        <v>38851</v>
      </c>
      <c r="M40" s="120">
        <f t="shared" si="23"/>
        <v>43386</v>
      </c>
      <c r="N40" s="120">
        <f t="shared" si="23"/>
        <v>55125</v>
      </c>
      <c r="O40" s="120">
        <f t="shared" si="23"/>
        <v>20688</v>
      </c>
      <c r="P40" s="120">
        <f t="shared" si="23"/>
        <v>17829</v>
      </c>
      <c r="Q40" s="120">
        <f t="shared" si="23"/>
        <v>19188</v>
      </c>
      <c r="R40" s="120">
        <f t="shared" si="23"/>
        <v>20595.191749999958</v>
      </c>
      <c r="S40" s="120">
        <f t="shared" si="23"/>
        <v>7201.6301199999771</v>
      </c>
      <c r="T40" s="120">
        <f t="shared" si="23"/>
        <v>10271.902959999999</v>
      </c>
      <c r="U40" s="120">
        <f t="shared" si="23"/>
        <v>19865.379019999982</v>
      </c>
      <c r="V40" s="120">
        <f t="shared" si="23"/>
        <v>26210.529200000004</v>
      </c>
      <c r="W40" s="120">
        <f t="shared" si="23"/>
        <v>12547.293040000011</v>
      </c>
      <c r="X40" s="120">
        <f t="shared" si="23"/>
        <v>6798.9239400000151</v>
      </c>
      <c r="Y40" s="120">
        <f t="shared" si="23"/>
        <v>31046.916300000026</v>
      </c>
      <c r="Z40" s="120">
        <f t="shared" si="23"/>
        <v>56126.05165000003</v>
      </c>
      <c r="AA40" s="120">
        <f t="shared" si="23"/>
        <v>18801.010540000003</v>
      </c>
      <c r="AB40" s="120">
        <f t="shared" si="23"/>
        <v>32056.667939999974</v>
      </c>
      <c r="AC40" s="120">
        <f t="shared" si="23"/>
        <v>45324.29633999995</v>
      </c>
      <c r="AD40" s="120">
        <f t="shared" si="23"/>
        <v>47633.233090000023</v>
      </c>
      <c r="AE40" s="162">
        <f t="shared" si="23"/>
        <v>34050.342430000026</v>
      </c>
      <c r="AF40" s="120">
        <f t="shared" si="23"/>
        <v>41050.409850000025</v>
      </c>
      <c r="AG40" s="120">
        <f t="shared" si="23"/>
        <v>90543.972610000055</v>
      </c>
      <c r="AH40" s="120">
        <f t="shared" si="23"/>
        <v>47185.545330000023</v>
      </c>
      <c r="AI40" s="120">
        <f t="shared" si="23"/>
        <v>18228.660220000005</v>
      </c>
      <c r="AJ40" s="120">
        <f t="shared" si="23"/>
        <v>-19447.750720000007</v>
      </c>
      <c r="AK40" s="120">
        <f t="shared" si="23"/>
        <v>31400.413580000008</v>
      </c>
      <c r="AL40" s="120">
        <f t="shared" si="23"/>
        <v>35973.570420000033</v>
      </c>
      <c r="AM40" s="120">
        <f t="shared" si="23"/>
        <v>24897.950790000003</v>
      </c>
      <c r="AN40" s="120">
        <f t="shared" si="23"/>
        <v>15068.959429999983</v>
      </c>
      <c r="AO40" s="120">
        <f t="shared" si="23"/>
        <v>16225.76069999999</v>
      </c>
      <c r="AP40" s="120">
        <f t="shared" si="23"/>
        <v>28377.622419999905</v>
      </c>
      <c r="AQ40" s="120">
        <f t="shared" si="23"/>
        <v>11903.23388999998</v>
      </c>
      <c r="AR40" s="120">
        <f t="shared" si="23"/>
        <v>28477.494269999959</v>
      </c>
      <c r="AS40" s="120">
        <f t="shared" si="23"/>
        <v>59231.320249999961</v>
      </c>
      <c r="AT40" s="120">
        <f t="shared" si="23"/>
        <v>58029.402119999933</v>
      </c>
      <c r="AU40" s="120">
        <f t="shared" ref="AU40:BD40" si="24">+AU15+AU37</f>
        <v>33334.285629999846</v>
      </c>
      <c r="AV40" s="120">
        <f t="shared" si="24"/>
        <v>37234.110040000101</v>
      </c>
      <c r="AW40" s="120">
        <f t="shared" si="24"/>
        <v>57337.571230000081</v>
      </c>
      <c r="AX40" s="120">
        <f t="shared" si="24"/>
        <v>52424.614480000273</v>
      </c>
      <c r="AY40" s="120">
        <f t="shared" si="24"/>
        <v>40428.051039999846</v>
      </c>
      <c r="AZ40" s="120">
        <f t="shared" si="24"/>
        <v>65090.761100000011</v>
      </c>
      <c r="BA40" s="120">
        <f t="shared" si="24"/>
        <v>108152.26717000011</v>
      </c>
      <c r="BB40" s="120">
        <f t="shared" si="24"/>
        <v>110300.33060999995</v>
      </c>
      <c r="BC40" s="120">
        <f t="shared" si="24"/>
        <v>49786.744079999953</v>
      </c>
      <c r="BD40" s="120">
        <f t="shared" si="24"/>
        <v>75550.346659999806</v>
      </c>
      <c r="BE40" s="120">
        <f>+BE15+BE37</f>
        <v>100836.87653000013</v>
      </c>
      <c r="BF40" s="120">
        <f>+BF15+BF37</f>
        <v>66327.322299999971</v>
      </c>
      <c r="BG40" s="120">
        <f>+BG15+BG37</f>
        <v>53078.427700000102</v>
      </c>
    </row>
    <row r="41" spans="1:59" ht="14.1" customHeight="1" x14ac:dyDescent="0.2">
      <c r="A41" s="882"/>
      <c r="B41" s="117" t="s">
        <v>331</v>
      </c>
      <c r="C41" s="118">
        <v>-5955</v>
      </c>
      <c r="D41" s="118">
        <v>-5839</v>
      </c>
      <c r="E41" s="118">
        <v>-4299</v>
      </c>
      <c r="F41" s="118">
        <v>-5364</v>
      </c>
      <c r="G41" s="118">
        <v>-3853</v>
      </c>
      <c r="H41" s="118">
        <v>1985</v>
      </c>
      <c r="I41" s="118">
        <v>-10530</v>
      </c>
      <c r="J41" s="118">
        <v>-6055</v>
      </c>
      <c r="K41" s="118">
        <v>-6243</v>
      </c>
      <c r="L41" s="118">
        <v>-8174</v>
      </c>
      <c r="M41" s="118">
        <v>-11326</v>
      </c>
      <c r="N41" s="261">
        <v>-15091</v>
      </c>
      <c r="O41" s="118">
        <v>-9644</v>
      </c>
      <c r="P41" s="118">
        <v>-8277</v>
      </c>
      <c r="Q41" s="118">
        <v>-10368</v>
      </c>
      <c r="R41" s="261">
        <v>-13612.755009999997</v>
      </c>
      <c r="S41" s="261">
        <v>-10907.655780000001</v>
      </c>
      <c r="T41" s="118">
        <v>-8636.2799799999975</v>
      </c>
      <c r="U41" s="261">
        <v>-13403.729639999998</v>
      </c>
      <c r="V41" s="261">
        <v>-6443.8291399999998</v>
      </c>
      <c r="W41" s="118">
        <v>-6485.1760699999995</v>
      </c>
      <c r="X41" s="261">
        <v>-2170.7669500000002</v>
      </c>
      <c r="Y41" s="118">
        <v>-5024.5033699999994</v>
      </c>
      <c r="Z41" s="261">
        <v>9360.2566599999991</v>
      </c>
      <c r="AA41" s="637">
        <v>-3136.2109500000006</v>
      </c>
      <c r="AB41" s="637">
        <v>-1686.8506</v>
      </c>
      <c r="AC41" s="637">
        <v>-3183.9470299999994</v>
      </c>
      <c r="AD41" s="637">
        <v>-1437.8788800000002</v>
      </c>
      <c r="AE41" s="733">
        <v>-1747.3008800000007</v>
      </c>
      <c r="AF41" s="637">
        <v>-2168.9405800000004</v>
      </c>
      <c r="AG41" s="898">
        <v>29816.317470000005</v>
      </c>
      <c r="AH41" s="637">
        <v>-2927.2555100000009</v>
      </c>
      <c r="AI41" s="637">
        <v>-1942.0861800000021</v>
      </c>
      <c r="AJ41" s="637">
        <v>-2180.3184699999983</v>
      </c>
      <c r="AK41" s="637">
        <v>-2801.6461799999997</v>
      </c>
      <c r="AL41" s="637">
        <v>-2558.7770700000001</v>
      </c>
      <c r="AM41" s="637">
        <v>-2834.4246199999998</v>
      </c>
      <c r="AN41" s="637">
        <v>-1743.9096400000001</v>
      </c>
      <c r="AO41" s="637">
        <v>-1251.9632400000005</v>
      </c>
      <c r="AP41" s="637">
        <v>-1575.0462900000011</v>
      </c>
      <c r="AQ41" s="637">
        <v>-1424.9194000000007</v>
      </c>
      <c r="AR41" s="637">
        <v>-843.53371000000152</v>
      </c>
      <c r="AS41" s="637">
        <v>-1484.9443099999994</v>
      </c>
      <c r="AT41" s="898">
        <v>5725.1994499999992</v>
      </c>
      <c r="AU41" s="637">
        <v>805.81002999999873</v>
      </c>
      <c r="AV41" s="898">
        <v>2855.3595800000012</v>
      </c>
      <c r="AW41" s="637">
        <v>2301.2078300000003</v>
      </c>
      <c r="AX41" s="637">
        <v>2177.0695999999998</v>
      </c>
      <c r="AY41" s="637">
        <v>1716.3008300000001</v>
      </c>
      <c r="AZ41" s="898">
        <v>3704.6775899999984</v>
      </c>
      <c r="BA41" s="637">
        <v>961.25272000000132</v>
      </c>
      <c r="BB41" s="637">
        <v>1019.4839799999972</v>
      </c>
      <c r="BC41" s="637">
        <v>2461.9562300000007</v>
      </c>
      <c r="BD41" s="118">
        <v>3251.3809600000004</v>
      </c>
      <c r="BE41" s="118">
        <v>3650.4794900000034</v>
      </c>
      <c r="BF41" s="118">
        <v>3012.9503100000011</v>
      </c>
      <c r="BG41" s="118">
        <v>-686.10359000000062</v>
      </c>
    </row>
    <row r="42" spans="1:59" ht="14.1" customHeight="1" x14ac:dyDescent="0.2">
      <c r="A42" s="968"/>
      <c r="B42" s="117" t="s">
        <v>225</v>
      </c>
      <c r="C42" s="118">
        <v>-442</v>
      </c>
      <c r="D42" s="118">
        <v>566</v>
      </c>
      <c r="E42" s="118">
        <v>781</v>
      </c>
      <c r="F42" s="118">
        <v>1423</v>
      </c>
      <c r="G42" s="118">
        <v>1648</v>
      </c>
      <c r="H42" s="118">
        <v>2215</v>
      </c>
      <c r="I42" s="118">
        <v>1385</v>
      </c>
      <c r="J42" s="118">
        <v>2621</v>
      </c>
      <c r="K42" s="118">
        <v>6290</v>
      </c>
      <c r="L42" s="118">
        <v>-825</v>
      </c>
      <c r="M42" s="118">
        <v>1223</v>
      </c>
      <c r="N42" s="118">
        <v>2578</v>
      </c>
      <c r="O42" s="118">
        <v>373</v>
      </c>
      <c r="P42" s="118">
        <v>256</v>
      </c>
      <c r="Q42" s="118">
        <v>785</v>
      </c>
      <c r="R42" s="118">
        <v>453.33573000000024</v>
      </c>
      <c r="S42" s="118">
        <v>-559.48050000000001</v>
      </c>
      <c r="T42" s="118">
        <v>-917.3873000000001</v>
      </c>
      <c r="U42" s="118">
        <v>122.88614</v>
      </c>
      <c r="V42" s="118">
        <v>-1098.3248500000002</v>
      </c>
      <c r="W42" s="118">
        <v>-380.55622999999997</v>
      </c>
      <c r="X42" s="118">
        <v>-379.92368999999991</v>
      </c>
      <c r="Y42" s="118">
        <v>-1803.4471299999998</v>
      </c>
      <c r="Z42" s="118">
        <v>636.83318999999995</v>
      </c>
      <c r="AA42" s="637">
        <f>-425.6678</f>
        <v>-425.6678</v>
      </c>
      <c r="AB42" s="637">
        <v>-226.81720999999999</v>
      </c>
      <c r="AC42" s="637">
        <v>373.91637999999995</v>
      </c>
      <c r="AD42" s="637">
        <v>697.24236999999982</v>
      </c>
      <c r="AE42" s="733">
        <v>-551.07669999999996</v>
      </c>
      <c r="AF42" s="637">
        <v>2068.5949299999997</v>
      </c>
      <c r="AG42" s="637">
        <v>3893.9486000000002</v>
      </c>
      <c r="AH42" s="637">
        <v>11208.473480000001</v>
      </c>
      <c r="AI42" s="637">
        <v>4910.97822</v>
      </c>
      <c r="AJ42" s="637">
        <v>8477.0138900000002</v>
      </c>
      <c r="AK42" s="637">
        <v>7540.6507799999999</v>
      </c>
      <c r="AL42" s="637">
        <v>1172.14777</v>
      </c>
      <c r="AM42" s="637">
        <v>-6.6976099999999974</v>
      </c>
      <c r="AN42" s="637">
        <v>-5.6868288000000007</v>
      </c>
      <c r="AO42" s="637">
        <v>-71.188980000000001</v>
      </c>
      <c r="AP42" s="637">
        <v>2788.1172499999998</v>
      </c>
      <c r="AQ42" s="637">
        <v>26.765927217999995</v>
      </c>
      <c r="AR42" s="637">
        <v>28.477895575000062</v>
      </c>
      <c r="AS42" s="637">
        <v>92.369688400000143</v>
      </c>
      <c r="AT42" s="637">
        <v>-359.47885279999991</v>
      </c>
      <c r="AU42" s="637">
        <v>-149.3644821999998</v>
      </c>
      <c r="AV42" s="637">
        <v>-434.80799999999999</v>
      </c>
      <c r="AW42" s="637">
        <v>1801.96064</v>
      </c>
      <c r="AX42" s="637">
        <v>4503.4490400000004</v>
      </c>
      <c r="AY42" s="637">
        <v>6640.5557900000003</v>
      </c>
      <c r="AZ42" s="637">
        <v>9598.1658399999997</v>
      </c>
      <c r="BA42" s="637">
        <v>7808.3474700000006</v>
      </c>
      <c r="BB42" s="637">
        <v>6301.7812396999998</v>
      </c>
      <c r="BC42" s="637">
        <v>-401.47861000000125</v>
      </c>
      <c r="BD42" s="637">
        <v>-388.97178999999608</v>
      </c>
      <c r="BE42" s="637">
        <v>-386.27006999999986</v>
      </c>
      <c r="BF42" s="637">
        <v>1425.147389999996</v>
      </c>
      <c r="BG42" s="637">
        <v>-116.50791000000022</v>
      </c>
    </row>
    <row r="43" spans="1:59" ht="14.1" customHeight="1" x14ac:dyDescent="0.2">
      <c r="A43" s="632"/>
      <c r="B43" s="119" t="s">
        <v>14</v>
      </c>
      <c r="C43" s="120">
        <f t="shared" ref="C43:AG43" si="25">+SUM(C40:C42)</f>
        <v>17494</v>
      </c>
      <c r="D43" s="120">
        <f t="shared" si="25"/>
        <v>27627</v>
      </c>
      <c r="E43" s="120">
        <f t="shared" si="25"/>
        <v>53813</v>
      </c>
      <c r="F43" s="120">
        <f t="shared" si="25"/>
        <v>34303</v>
      </c>
      <c r="G43" s="120">
        <f t="shared" si="25"/>
        <v>30467</v>
      </c>
      <c r="H43" s="120">
        <f t="shared" si="25"/>
        <v>57421</v>
      </c>
      <c r="I43" s="120">
        <f t="shared" si="25"/>
        <v>62681</v>
      </c>
      <c r="J43" s="120">
        <f t="shared" si="25"/>
        <v>42511</v>
      </c>
      <c r="K43" s="120">
        <f t="shared" si="25"/>
        <v>26251</v>
      </c>
      <c r="L43" s="120">
        <f t="shared" si="25"/>
        <v>29852</v>
      </c>
      <c r="M43" s="120">
        <f t="shared" si="25"/>
        <v>33283</v>
      </c>
      <c r="N43" s="120">
        <f t="shared" si="25"/>
        <v>42612</v>
      </c>
      <c r="O43" s="120">
        <f t="shared" si="25"/>
        <v>11417</v>
      </c>
      <c r="P43" s="120">
        <f t="shared" si="25"/>
        <v>9808</v>
      </c>
      <c r="Q43" s="120">
        <f t="shared" si="25"/>
        <v>9605</v>
      </c>
      <c r="R43" s="120">
        <f t="shared" si="25"/>
        <v>7435.7724699999617</v>
      </c>
      <c r="S43" s="120">
        <f t="shared" si="25"/>
        <v>-4265.5061600000236</v>
      </c>
      <c r="T43" s="120">
        <f t="shared" si="25"/>
        <v>718.23568000000182</v>
      </c>
      <c r="U43" s="120">
        <f t="shared" si="25"/>
        <v>6584.535519999984</v>
      </c>
      <c r="V43" s="120">
        <f t="shared" si="25"/>
        <v>18668.375210000002</v>
      </c>
      <c r="W43" s="120">
        <f t="shared" si="25"/>
        <v>5681.5607400000117</v>
      </c>
      <c r="X43" s="120">
        <f t="shared" si="25"/>
        <v>4248.2333000000153</v>
      </c>
      <c r="Y43" s="120">
        <f t="shared" si="25"/>
        <v>24218.965800000027</v>
      </c>
      <c r="Z43" s="120">
        <f t="shared" si="25"/>
        <v>66123.141500000027</v>
      </c>
      <c r="AA43" s="120">
        <f t="shared" si="25"/>
        <v>15239.131790000003</v>
      </c>
      <c r="AB43" s="120">
        <f t="shared" si="25"/>
        <v>30143.000129999971</v>
      </c>
      <c r="AC43" s="120">
        <f t="shared" si="25"/>
        <v>42514.265689999949</v>
      </c>
      <c r="AD43" s="120">
        <f t="shared" si="25"/>
        <v>46892.596580000019</v>
      </c>
      <c r="AE43" s="120">
        <f t="shared" si="25"/>
        <v>31751.964850000022</v>
      </c>
      <c r="AF43" s="120">
        <f t="shared" si="25"/>
        <v>40950.064200000023</v>
      </c>
      <c r="AG43" s="120">
        <f t="shared" si="25"/>
        <v>124254.23868000007</v>
      </c>
      <c r="AH43" s="120">
        <f>+SUM(AH40:AH42)</f>
        <v>55466.763300000021</v>
      </c>
      <c r="AI43" s="120">
        <f t="shared" ref="AI43:AR43" si="26">+SUM(AI40:AI42)</f>
        <v>21197.552260000004</v>
      </c>
      <c r="AJ43" s="120">
        <f t="shared" si="26"/>
        <v>-13151.055300000005</v>
      </c>
      <c r="AK43" s="120">
        <f t="shared" si="26"/>
        <v>36139.418180000008</v>
      </c>
      <c r="AL43" s="120">
        <f t="shared" si="26"/>
        <v>34586.94112000004</v>
      </c>
      <c r="AM43" s="120">
        <f t="shared" si="26"/>
        <v>22056.828560000005</v>
      </c>
      <c r="AN43" s="120">
        <f t="shared" si="26"/>
        <v>13319.362961199982</v>
      </c>
      <c r="AO43" s="120">
        <f t="shared" si="26"/>
        <v>14902.608479999988</v>
      </c>
      <c r="AP43" s="120">
        <f t="shared" si="26"/>
        <v>29590.693379999902</v>
      </c>
      <c r="AQ43" s="120">
        <f t="shared" si="26"/>
        <v>10505.08041721798</v>
      </c>
      <c r="AR43" s="120">
        <f t="shared" si="26"/>
        <v>27662.438455574957</v>
      </c>
      <c r="AS43" s="120">
        <f t="shared" ref="AS43:BD43" si="27">+SUM(AS40:AS42)</f>
        <v>57838.745628399964</v>
      </c>
      <c r="AT43" s="120">
        <f t="shared" si="27"/>
        <v>63395.122717199934</v>
      </c>
      <c r="AU43" s="120">
        <f t="shared" si="27"/>
        <v>33990.731177799848</v>
      </c>
      <c r="AV43" s="120">
        <f t="shared" si="27"/>
        <v>39654.661620000108</v>
      </c>
      <c r="AW43" s="120">
        <f t="shared" si="27"/>
        <v>61440.739700000078</v>
      </c>
      <c r="AX43" s="120">
        <f t="shared" si="27"/>
        <v>59105.133120000275</v>
      </c>
      <c r="AY43" s="120">
        <f t="shared" si="27"/>
        <v>48784.907659999844</v>
      </c>
      <c r="AZ43" s="120">
        <f t="shared" si="27"/>
        <v>78393.604530000011</v>
      </c>
      <c r="BA43" s="120">
        <f t="shared" si="27"/>
        <v>116921.86736000012</v>
      </c>
      <c r="BB43" s="120">
        <f t="shared" si="27"/>
        <v>117621.59582969993</v>
      </c>
      <c r="BC43" s="120">
        <f t="shared" si="27"/>
        <v>51847.221699999958</v>
      </c>
      <c r="BD43" s="120">
        <f t="shared" si="27"/>
        <v>78412.755829999805</v>
      </c>
      <c r="BE43" s="120">
        <f>+SUM(BE40:BE42)</f>
        <v>104101.08595000012</v>
      </c>
      <c r="BF43" s="120">
        <f>+SUM(BF40:BF42)</f>
        <v>70765.419999999969</v>
      </c>
      <c r="BG43" s="120">
        <f>+SUM(BG40:BG42)</f>
        <v>52275.816200000103</v>
      </c>
    </row>
    <row r="44" spans="1:59" ht="12.75" x14ac:dyDescent="0.2">
      <c r="A44" s="882"/>
      <c r="B44" s="117" t="s">
        <v>15</v>
      </c>
      <c r="C44" s="118">
        <v>-6434</v>
      </c>
      <c r="D44" s="118">
        <v>-7808</v>
      </c>
      <c r="E44" s="118">
        <v>-13448</v>
      </c>
      <c r="F44" s="118">
        <v>-13723</v>
      </c>
      <c r="G44" s="118">
        <v>-9802</v>
      </c>
      <c r="H44" s="118">
        <v>-20427</v>
      </c>
      <c r="I44" s="118">
        <v>-12858</v>
      </c>
      <c r="J44" s="118">
        <v>-19394</v>
      </c>
      <c r="K44" s="118">
        <v>-7282</v>
      </c>
      <c r="L44" s="118">
        <v>-11132</v>
      </c>
      <c r="M44" s="118">
        <v>-8726</v>
      </c>
      <c r="N44" s="118">
        <v>-26692</v>
      </c>
      <c r="O44" s="118">
        <v>-4182</v>
      </c>
      <c r="P44" s="118">
        <v>-3581</v>
      </c>
      <c r="Q44" s="118">
        <v>-4008</v>
      </c>
      <c r="R44" s="118">
        <v>-5017.2002253999999</v>
      </c>
      <c r="S44" s="118">
        <v>311.75778999999977</v>
      </c>
      <c r="T44" s="118">
        <v>-1495.2520599999998</v>
      </c>
      <c r="U44" s="118">
        <v>-3780.7120300000006</v>
      </c>
      <c r="V44" s="118">
        <v>-7354.3355099999999</v>
      </c>
      <c r="W44" s="118">
        <v>-2491.0042599999997</v>
      </c>
      <c r="X44" s="261">
        <v>9941.4081800000004</v>
      </c>
      <c r="Y44" s="118">
        <v>-9378.4919499999996</v>
      </c>
      <c r="Z44" s="261">
        <v>-16319.123229999997</v>
      </c>
      <c r="AA44" s="637">
        <f>-5102.36018</f>
        <v>-5102.3601799999997</v>
      </c>
      <c r="AB44" s="637">
        <v>-5659.0454600000003</v>
      </c>
      <c r="AC44" s="637">
        <v>-11744.210439999999</v>
      </c>
      <c r="AD44" s="261">
        <v>-13478.390510000001</v>
      </c>
      <c r="AE44" s="160">
        <v>-10205.00417</v>
      </c>
      <c r="AF44" s="118">
        <v>-9660.2584000000006</v>
      </c>
      <c r="AG44" s="898">
        <v>-38073.650900000001</v>
      </c>
      <c r="AH44" s="637">
        <v>-10000.576249999998</v>
      </c>
      <c r="AI44" s="637">
        <v>-3520.2412800000006</v>
      </c>
      <c r="AJ44" s="637">
        <v>8457.5596100000002</v>
      </c>
      <c r="AK44" s="637">
        <v>-8441.7131499999996</v>
      </c>
      <c r="AL44" s="637">
        <v>-7357.6675000000005</v>
      </c>
      <c r="AM44" s="637">
        <v>-6249.9864100000004</v>
      </c>
      <c r="AN44" s="637">
        <v>-2787.7268899999999</v>
      </c>
      <c r="AO44" s="637">
        <v>11100.8</v>
      </c>
      <c r="AP44" s="637">
        <v>-6760.2199899999996</v>
      </c>
      <c r="AQ44" s="637">
        <v>-1367.35006</v>
      </c>
      <c r="AR44" s="637">
        <v>-4857.0144999999993</v>
      </c>
      <c r="AS44" s="637">
        <v>-13709.036500000002</v>
      </c>
      <c r="AT44" s="637">
        <v>-13200.501800000002</v>
      </c>
      <c r="AU44" s="637">
        <v>-8624.7267200000006</v>
      </c>
      <c r="AV44" s="637">
        <v>-8400.3372600000002</v>
      </c>
      <c r="AW44" s="637">
        <v>-14463.271100000002</v>
      </c>
      <c r="AX44" s="637">
        <v>-13796.107250000001</v>
      </c>
      <c r="AY44" s="637">
        <v>-13907.199000000001</v>
      </c>
      <c r="AZ44" s="637">
        <v>-18999.270909999999</v>
      </c>
      <c r="BA44" s="637">
        <v>-34372.840850000001</v>
      </c>
      <c r="BB44" s="637">
        <v>-33100.631090000003</v>
      </c>
      <c r="BC44" s="637">
        <v>-16927.671569999999</v>
      </c>
      <c r="BD44" s="637">
        <v>-22805.21603</v>
      </c>
      <c r="BE44" s="637">
        <v>-31525.610749999996</v>
      </c>
      <c r="BF44" s="637">
        <v>-19800.921399999999</v>
      </c>
      <c r="BG44" s="637">
        <v>-17235.087909999998</v>
      </c>
    </row>
    <row r="45" spans="1:59" s="869" customFormat="1" ht="12.75" hidden="1" outlineLevel="1" x14ac:dyDescent="0.2">
      <c r="A45" s="23"/>
      <c r="B45" s="975" t="s">
        <v>57</v>
      </c>
      <c r="C45" s="120">
        <f>SUM(C43:C44)</f>
        <v>11060</v>
      </c>
      <c r="D45" s="120">
        <f t="shared" ref="D45:AQ45" si="28">SUM(D43:D44)</f>
        <v>19819</v>
      </c>
      <c r="E45" s="120">
        <f t="shared" si="28"/>
        <v>40365</v>
      </c>
      <c r="F45" s="120">
        <f t="shared" si="28"/>
        <v>20580</v>
      </c>
      <c r="G45" s="120">
        <f t="shared" si="28"/>
        <v>20665</v>
      </c>
      <c r="H45" s="120">
        <f t="shared" si="28"/>
        <v>36994</v>
      </c>
      <c r="I45" s="120">
        <f t="shared" si="28"/>
        <v>49823</v>
      </c>
      <c r="J45" s="120">
        <f t="shared" si="28"/>
        <v>23117</v>
      </c>
      <c r="K45" s="120">
        <f t="shared" si="28"/>
        <v>18969</v>
      </c>
      <c r="L45" s="120">
        <f t="shared" si="28"/>
        <v>18720</v>
      </c>
      <c r="M45" s="120">
        <f t="shared" si="28"/>
        <v>24557</v>
      </c>
      <c r="N45" s="120">
        <f t="shared" si="28"/>
        <v>15920</v>
      </c>
      <c r="O45" s="120">
        <f t="shared" si="28"/>
        <v>7235</v>
      </c>
      <c r="P45" s="120">
        <f t="shared" si="28"/>
        <v>6227</v>
      </c>
      <c r="Q45" s="120">
        <f t="shared" si="28"/>
        <v>5597</v>
      </c>
      <c r="R45" s="120">
        <f t="shared" si="28"/>
        <v>2418.5722445999618</v>
      </c>
      <c r="S45" s="120">
        <f t="shared" si="28"/>
        <v>-3953.7483700000239</v>
      </c>
      <c r="T45" s="120">
        <f t="shared" si="28"/>
        <v>-777.01637999999798</v>
      </c>
      <c r="U45" s="120">
        <f t="shared" si="28"/>
        <v>2803.8234899999834</v>
      </c>
      <c r="V45" s="120">
        <f t="shared" si="28"/>
        <v>11314.039700000001</v>
      </c>
      <c r="W45" s="120">
        <f t="shared" si="28"/>
        <v>3190.556480000012</v>
      </c>
      <c r="X45" s="120">
        <f t="shared" si="28"/>
        <v>14189.641480000017</v>
      </c>
      <c r="Y45" s="120">
        <f t="shared" si="28"/>
        <v>14840.473850000028</v>
      </c>
      <c r="Z45" s="120">
        <f t="shared" si="28"/>
        <v>49804.01827000003</v>
      </c>
      <c r="AA45" s="120">
        <f t="shared" si="28"/>
        <v>10136.771610000003</v>
      </c>
      <c r="AB45" s="120">
        <f t="shared" si="28"/>
        <v>24483.95466999997</v>
      </c>
      <c r="AC45" s="120">
        <f t="shared" si="28"/>
        <v>30770.05524999995</v>
      </c>
      <c r="AD45" s="120">
        <f t="shared" si="28"/>
        <v>33414.206070000015</v>
      </c>
      <c r="AE45" s="162">
        <f t="shared" si="28"/>
        <v>21546.960680000022</v>
      </c>
      <c r="AF45" s="120">
        <f t="shared" si="28"/>
        <v>31289.805800000024</v>
      </c>
      <c r="AG45" s="120">
        <f t="shared" si="28"/>
        <v>86180.58778000006</v>
      </c>
      <c r="AH45" s="120">
        <f t="shared" si="28"/>
        <v>45466.187050000022</v>
      </c>
      <c r="AI45" s="120">
        <f t="shared" si="28"/>
        <v>17677.310980000002</v>
      </c>
      <c r="AJ45" s="120">
        <f t="shared" si="28"/>
        <v>-4693.4956900000052</v>
      </c>
      <c r="AK45" s="120">
        <f t="shared" si="28"/>
        <v>27697.705030000008</v>
      </c>
      <c r="AL45" s="120">
        <f t="shared" si="28"/>
        <v>27229.27362000004</v>
      </c>
      <c r="AM45" s="120">
        <f t="shared" si="28"/>
        <v>15806.842150000004</v>
      </c>
      <c r="AN45" s="120">
        <f t="shared" si="28"/>
        <v>10531.636071199982</v>
      </c>
      <c r="AO45" s="120">
        <f t="shared" si="28"/>
        <v>26003.408479999987</v>
      </c>
      <c r="AP45" s="120">
        <f t="shared" si="28"/>
        <v>22830.473389999905</v>
      </c>
      <c r="AQ45" s="120">
        <f t="shared" si="28"/>
        <v>9137.730357217979</v>
      </c>
      <c r="AR45" s="120">
        <v>22805.423955574959</v>
      </c>
      <c r="AS45" s="120">
        <f t="shared" ref="AS45:BD45" si="29">SUM(AS43:AS44)</f>
        <v>44129.709128399962</v>
      </c>
      <c r="AT45" s="120">
        <f t="shared" si="29"/>
        <v>50194.620917199936</v>
      </c>
      <c r="AU45" s="120">
        <f t="shared" si="29"/>
        <v>25366.004457799849</v>
      </c>
      <c r="AV45" s="120">
        <f t="shared" si="29"/>
        <v>31254.324360000108</v>
      </c>
      <c r="AW45" s="120">
        <f t="shared" si="29"/>
        <v>46977.46860000008</v>
      </c>
      <c r="AX45" s="120">
        <f t="shared" si="29"/>
        <v>45309.025870000274</v>
      </c>
      <c r="AY45" s="120">
        <f t="shared" si="29"/>
        <v>34877.708659999844</v>
      </c>
      <c r="AZ45" s="120">
        <f t="shared" si="29"/>
        <v>59394.333620000012</v>
      </c>
      <c r="BA45" s="120">
        <f t="shared" si="29"/>
        <v>82549.026510000112</v>
      </c>
      <c r="BB45" s="120">
        <v>84520.964739699935</v>
      </c>
      <c r="BC45" s="120">
        <f t="shared" si="29"/>
        <v>34919.55012999996</v>
      </c>
      <c r="BD45" s="120">
        <f t="shared" si="29"/>
        <v>55607.539799999809</v>
      </c>
      <c r="BE45" s="120">
        <f>SUM(BE43:BE44)</f>
        <v>72575.475200000132</v>
      </c>
      <c r="BF45" s="120">
        <f>SUM(BF43:BF44)</f>
        <v>50964.49859999997</v>
      </c>
      <c r="BG45" s="120">
        <f>SUM(BG43:BG44)</f>
        <v>35040.728290000101</v>
      </c>
    </row>
    <row r="46" spans="1:59" s="220" customFormat="1" ht="12.75" hidden="1" outlineLevel="1" x14ac:dyDescent="0.2">
      <c r="A46" s="969"/>
      <c r="B46" s="227" t="s">
        <v>868</v>
      </c>
      <c r="C46" s="218">
        <v>0</v>
      </c>
      <c r="D46" s="218">
        <v>0</v>
      </c>
      <c r="E46" s="218">
        <v>0</v>
      </c>
      <c r="F46" s="218">
        <v>0</v>
      </c>
      <c r="G46" s="218">
        <v>0</v>
      </c>
      <c r="H46" s="218">
        <v>0</v>
      </c>
      <c r="I46" s="218">
        <v>0</v>
      </c>
      <c r="J46" s="218">
        <v>0</v>
      </c>
      <c r="K46" s="218">
        <v>0</v>
      </c>
      <c r="L46" s="218">
        <v>-29236</v>
      </c>
      <c r="M46" s="218">
        <v>-21062</v>
      </c>
      <c r="N46" s="218">
        <v>0</v>
      </c>
      <c r="O46" s="218">
        <v>0</v>
      </c>
      <c r="P46" s="218">
        <v>0</v>
      </c>
      <c r="Q46" s="218">
        <v>0</v>
      </c>
      <c r="R46" s="218">
        <v>0</v>
      </c>
      <c r="S46" s="218">
        <v>0</v>
      </c>
      <c r="T46" s="218">
        <v>0</v>
      </c>
      <c r="U46" s="218">
        <v>0</v>
      </c>
      <c r="V46" s="218">
        <v>0</v>
      </c>
      <c r="W46" s="218">
        <v>0</v>
      </c>
      <c r="X46" s="218">
        <v>0</v>
      </c>
      <c r="Y46" s="218">
        <v>0</v>
      </c>
      <c r="Z46" s="218">
        <v>0</v>
      </c>
      <c r="AA46" s="218">
        <v>0</v>
      </c>
      <c r="AB46" s="218">
        <v>0</v>
      </c>
      <c r="AC46" s="218">
        <v>0</v>
      </c>
      <c r="AD46" s="218">
        <v>0</v>
      </c>
      <c r="AE46" s="160">
        <v>0</v>
      </c>
      <c r="AF46" s="118">
        <v>0</v>
      </c>
      <c r="AG46" s="218">
        <v>0</v>
      </c>
      <c r="AH46" s="218">
        <v>0</v>
      </c>
      <c r="AI46" s="218">
        <v>0</v>
      </c>
      <c r="AJ46" s="218">
        <v>0</v>
      </c>
      <c r="AK46" s="218">
        <v>0</v>
      </c>
      <c r="AL46" s="218">
        <v>0</v>
      </c>
      <c r="AM46" s="218">
        <v>0</v>
      </c>
      <c r="AN46" s="218">
        <v>0</v>
      </c>
      <c r="AO46" s="218">
        <v>0</v>
      </c>
      <c r="AP46" s="218"/>
      <c r="AQ46" s="218">
        <v>0</v>
      </c>
      <c r="AR46" s="218">
        <v>0</v>
      </c>
      <c r="AS46" s="218">
        <v>0</v>
      </c>
      <c r="AT46" s="218">
        <v>0</v>
      </c>
      <c r="AU46" s="218">
        <v>0</v>
      </c>
      <c r="AV46" s="218">
        <v>0</v>
      </c>
      <c r="AW46" s="218">
        <v>0</v>
      </c>
      <c r="AX46" s="218">
        <v>0</v>
      </c>
      <c r="AY46" s="218" t="s">
        <v>160</v>
      </c>
      <c r="AZ46" s="218" t="s">
        <v>160</v>
      </c>
      <c r="BA46" s="218"/>
      <c r="BB46" s="218" t="s">
        <v>160</v>
      </c>
      <c r="BC46" s="218" t="s">
        <v>160</v>
      </c>
      <c r="BD46" s="218" t="s">
        <v>160</v>
      </c>
      <c r="BE46" s="218" t="s">
        <v>160</v>
      </c>
      <c r="BF46" s="218" t="s">
        <v>160</v>
      </c>
      <c r="BG46" s="218" t="s">
        <v>160</v>
      </c>
    </row>
    <row r="47" spans="1:59" s="220" customFormat="1" ht="12.75" hidden="1" outlineLevel="1" x14ac:dyDescent="0.2">
      <c r="A47" s="969"/>
      <c r="B47" s="227" t="s">
        <v>869</v>
      </c>
      <c r="C47" s="218">
        <v>-417</v>
      </c>
      <c r="D47" s="218">
        <v>217</v>
      </c>
      <c r="E47" s="218">
        <v>2658</v>
      </c>
      <c r="F47" s="218">
        <v>434</v>
      </c>
      <c r="G47" s="218">
        <v>3223</v>
      </c>
      <c r="H47" s="218">
        <v>2704</v>
      </c>
      <c r="I47" s="218">
        <v>2744</v>
      </c>
      <c r="J47" s="218">
        <v>1309</v>
      </c>
      <c r="K47" s="218">
        <v>-4</v>
      </c>
      <c r="L47" s="218">
        <v>-7</v>
      </c>
      <c r="M47" s="218">
        <v>-4</v>
      </c>
      <c r="N47" s="218">
        <v>-2</v>
      </c>
      <c r="O47" s="218">
        <v>0</v>
      </c>
      <c r="P47" s="218">
        <v>0</v>
      </c>
      <c r="Q47" s="218">
        <v>0</v>
      </c>
      <c r="R47" s="218">
        <v>0</v>
      </c>
      <c r="S47" s="218">
        <v>0</v>
      </c>
      <c r="T47" s="218">
        <v>0</v>
      </c>
      <c r="U47" s="218">
        <v>0</v>
      </c>
      <c r="V47" s="218">
        <v>0</v>
      </c>
      <c r="W47" s="218">
        <v>0</v>
      </c>
      <c r="X47" s="218">
        <v>0</v>
      </c>
      <c r="Y47" s="218">
        <v>0</v>
      </c>
      <c r="Z47" s="218">
        <v>0</v>
      </c>
      <c r="AA47" s="218">
        <v>0</v>
      </c>
      <c r="AB47" s="218">
        <v>0</v>
      </c>
      <c r="AC47" s="218">
        <v>0</v>
      </c>
      <c r="AD47" s="218">
        <v>0</v>
      </c>
      <c r="AE47" s="160">
        <v>0</v>
      </c>
      <c r="AF47" s="118">
        <v>0</v>
      </c>
      <c r="AG47" s="218">
        <v>0</v>
      </c>
      <c r="AH47" s="218">
        <v>0</v>
      </c>
      <c r="AI47" s="218">
        <v>0</v>
      </c>
      <c r="AJ47" s="218">
        <v>0</v>
      </c>
      <c r="AK47" s="218">
        <v>0</v>
      </c>
      <c r="AL47" s="218">
        <v>0</v>
      </c>
      <c r="AM47" s="218">
        <v>0</v>
      </c>
      <c r="AN47" s="218">
        <v>0</v>
      </c>
      <c r="AO47" s="218">
        <v>0</v>
      </c>
      <c r="AP47" s="218"/>
      <c r="AQ47" s="218">
        <v>0</v>
      </c>
      <c r="AR47" s="218">
        <v>0</v>
      </c>
      <c r="AS47" s="218">
        <v>0</v>
      </c>
      <c r="AT47" s="218">
        <v>0</v>
      </c>
      <c r="AU47" s="218">
        <v>0</v>
      </c>
      <c r="AV47" s="218">
        <v>0</v>
      </c>
      <c r="AW47" s="218">
        <v>0</v>
      </c>
      <c r="AX47" s="218">
        <v>0</v>
      </c>
      <c r="AY47" s="218" t="s">
        <v>160</v>
      </c>
      <c r="AZ47" s="218" t="s">
        <v>160</v>
      </c>
      <c r="BA47" s="218"/>
      <c r="BB47" s="218" t="s">
        <v>160</v>
      </c>
      <c r="BC47" s="218" t="s">
        <v>160</v>
      </c>
      <c r="BD47" s="218" t="s">
        <v>160</v>
      </c>
      <c r="BE47" s="218" t="s">
        <v>160</v>
      </c>
      <c r="BF47" s="218" t="s">
        <v>160</v>
      </c>
      <c r="BG47" s="218" t="s">
        <v>160</v>
      </c>
    </row>
    <row r="48" spans="1:59" s="220" customFormat="1" ht="12.75" collapsed="1" x14ac:dyDescent="0.2">
      <c r="A48" s="969"/>
      <c r="B48" s="124" t="s">
        <v>72</v>
      </c>
      <c r="C48" s="125">
        <f t="shared" ref="C48:AO48" si="30">+SUM(C45:C47)</f>
        <v>10643</v>
      </c>
      <c r="D48" s="125">
        <f t="shared" si="30"/>
        <v>20036</v>
      </c>
      <c r="E48" s="125">
        <f t="shared" si="30"/>
        <v>43023</v>
      </c>
      <c r="F48" s="125">
        <f t="shared" si="30"/>
        <v>21014</v>
      </c>
      <c r="G48" s="125">
        <f t="shared" si="30"/>
        <v>23888</v>
      </c>
      <c r="H48" s="125">
        <f t="shared" si="30"/>
        <v>39698</v>
      </c>
      <c r="I48" s="125">
        <f t="shared" si="30"/>
        <v>52567</v>
      </c>
      <c r="J48" s="125">
        <f t="shared" si="30"/>
        <v>24426</v>
      </c>
      <c r="K48" s="125">
        <f t="shared" si="30"/>
        <v>18965</v>
      </c>
      <c r="L48" s="125">
        <f t="shared" si="30"/>
        <v>-10523</v>
      </c>
      <c r="M48" s="125">
        <f t="shared" si="30"/>
        <v>3491</v>
      </c>
      <c r="N48" s="125">
        <f t="shared" si="30"/>
        <v>15918</v>
      </c>
      <c r="O48" s="125">
        <f t="shared" si="30"/>
        <v>7235</v>
      </c>
      <c r="P48" s="125">
        <f t="shared" si="30"/>
        <v>6227</v>
      </c>
      <c r="Q48" s="125">
        <f t="shared" si="30"/>
        <v>5597</v>
      </c>
      <c r="R48" s="125">
        <f t="shared" si="30"/>
        <v>2418.5722445999618</v>
      </c>
      <c r="S48" s="125">
        <f t="shared" si="30"/>
        <v>-3953.7483700000239</v>
      </c>
      <c r="T48" s="125">
        <f t="shared" si="30"/>
        <v>-777.01637999999798</v>
      </c>
      <c r="U48" s="125">
        <f t="shared" si="30"/>
        <v>2803.8234899999834</v>
      </c>
      <c r="V48" s="125">
        <f t="shared" si="30"/>
        <v>11314.039700000001</v>
      </c>
      <c r="W48" s="125">
        <f t="shared" si="30"/>
        <v>3190.556480000012</v>
      </c>
      <c r="X48" s="125">
        <f t="shared" si="30"/>
        <v>14189.641480000017</v>
      </c>
      <c r="Y48" s="125">
        <f t="shared" si="30"/>
        <v>14840.473850000028</v>
      </c>
      <c r="Z48" s="125">
        <f t="shared" si="30"/>
        <v>49804.01827000003</v>
      </c>
      <c r="AA48" s="125">
        <f t="shared" si="30"/>
        <v>10136.771610000003</v>
      </c>
      <c r="AB48" s="125">
        <f t="shared" si="30"/>
        <v>24483.95466999997</v>
      </c>
      <c r="AC48" s="125">
        <f t="shared" si="30"/>
        <v>30770.05524999995</v>
      </c>
      <c r="AD48" s="125">
        <f t="shared" si="30"/>
        <v>33414.206070000015</v>
      </c>
      <c r="AE48" s="164">
        <f t="shared" si="30"/>
        <v>21546.960680000022</v>
      </c>
      <c r="AF48" s="125">
        <f t="shared" si="30"/>
        <v>31289.805800000024</v>
      </c>
      <c r="AG48" s="125">
        <f t="shared" si="30"/>
        <v>86180.58778000006</v>
      </c>
      <c r="AH48" s="125">
        <f t="shared" si="30"/>
        <v>45466.187050000022</v>
      </c>
      <c r="AI48" s="125">
        <f t="shared" si="30"/>
        <v>17677.310980000002</v>
      </c>
      <c r="AJ48" s="125">
        <f t="shared" si="30"/>
        <v>-4693.4956900000052</v>
      </c>
      <c r="AK48" s="125">
        <f t="shared" si="30"/>
        <v>27697.705030000008</v>
      </c>
      <c r="AL48" s="125">
        <f t="shared" si="30"/>
        <v>27229.27362000004</v>
      </c>
      <c r="AM48" s="125">
        <f t="shared" si="30"/>
        <v>15806.842150000004</v>
      </c>
      <c r="AN48" s="125">
        <f t="shared" si="30"/>
        <v>10531.636071199982</v>
      </c>
      <c r="AO48" s="125">
        <f t="shared" si="30"/>
        <v>26003.408479999987</v>
      </c>
      <c r="AP48" s="125">
        <f t="shared" ref="AP48:AU48" si="31">+SUM(AP45:AP47)</f>
        <v>22830.473389999905</v>
      </c>
      <c r="AQ48" s="125">
        <f t="shared" si="31"/>
        <v>9137.730357217979</v>
      </c>
      <c r="AR48" s="125">
        <f t="shared" si="31"/>
        <v>22805.423955574959</v>
      </c>
      <c r="AS48" s="125">
        <f t="shared" si="31"/>
        <v>44129.709128399962</v>
      </c>
      <c r="AT48" s="125">
        <f t="shared" si="31"/>
        <v>50194.620917199936</v>
      </c>
      <c r="AU48" s="125">
        <f t="shared" si="31"/>
        <v>25366.004457799849</v>
      </c>
      <c r="AV48" s="125">
        <f t="shared" ref="AV48:BD48" si="32">+SUM(AV45:AV47)</f>
        <v>31254.324360000108</v>
      </c>
      <c r="AW48" s="125">
        <f t="shared" si="32"/>
        <v>46977.46860000008</v>
      </c>
      <c r="AX48" s="125">
        <f t="shared" si="32"/>
        <v>45309.025870000274</v>
      </c>
      <c r="AY48" s="125">
        <f t="shared" si="32"/>
        <v>34877.708659999844</v>
      </c>
      <c r="AZ48" s="125">
        <f t="shared" si="32"/>
        <v>59394.333620000012</v>
      </c>
      <c r="BA48" s="125">
        <f t="shared" si="32"/>
        <v>82549.026510000112</v>
      </c>
      <c r="BB48" s="125">
        <f t="shared" si="32"/>
        <v>84520.964739699935</v>
      </c>
      <c r="BC48" s="125">
        <f t="shared" si="32"/>
        <v>34919.55012999996</v>
      </c>
      <c r="BD48" s="125">
        <f t="shared" si="32"/>
        <v>55607.539799999809</v>
      </c>
      <c r="BE48" s="125">
        <f>+SUM(BE45:BE47)</f>
        <v>72575.475200000132</v>
      </c>
      <c r="BF48" s="125">
        <f>+SUM(BF45:BF47)</f>
        <v>50964.49859999997</v>
      </c>
      <c r="BG48" s="125">
        <f>+SUM(BG45:BG47)</f>
        <v>35040.728290000101</v>
      </c>
    </row>
    <row r="49" spans="1:59" ht="14.1" customHeight="1" x14ac:dyDescent="0.2">
      <c r="A49" s="21"/>
      <c r="B49" s="9" t="s">
        <v>65</v>
      </c>
      <c r="C49" s="678"/>
      <c r="D49" s="678"/>
      <c r="E49" s="678"/>
      <c r="F49" s="678"/>
      <c r="G49" s="678"/>
      <c r="H49" s="678"/>
      <c r="I49" s="678"/>
      <c r="J49" s="678"/>
      <c r="K49" s="678"/>
      <c r="L49" s="678"/>
      <c r="M49" s="678"/>
      <c r="N49" s="678"/>
      <c r="O49" s="275"/>
      <c r="P49" s="275"/>
      <c r="Q49" s="275"/>
      <c r="R49" s="275"/>
      <c r="S49" s="275"/>
      <c r="T49" s="275"/>
      <c r="U49" s="275"/>
      <c r="V49" s="275"/>
      <c r="W49" s="275"/>
      <c r="X49" s="275"/>
      <c r="Y49" s="275"/>
      <c r="Z49" s="275"/>
      <c r="AB49" s="275"/>
      <c r="AC49" s="275"/>
      <c r="AD49" s="329"/>
      <c r="AE49" s="275"/>
      <c r="AF49" s="275"/>
      <c r="BF49" s="907"/>
      <c r="BG49" s="907"/>
    </row>
    <row r="50" spans="1:59" customFormat="1" ht="12.75" customHeight="1" x14ac:dyDescent="0.2">
      <c r="AR50" s="328"/>
      <c r="AS50" s="328"/>
      <c r="AT50" s="328"/>
      <c r="AU50" s="328"/>
      <c r="AV50" s="328"/>
      <c r="AW50" s="328"/>
      <c r="AX50" s="328"/>
      <c r="AY50" s="328"/>
      <c r="AZ50" s="328"/>
      <c r="BA50" s="328"/>
      <c r="BB50" s="328"/>
      <c r="BC50" s="328"/>
      <c r="BD50" s="328"/>
      <c r="BE50" s="328"/>
      <c r="BF50" s="328"/>
      <c r="BG50" s="328"/>
    </row>
    <row r="51" spans="1:59" customFormat="1" ht="12.75" customHeight="1" x14ac:dyDescent="0.2">
      <c r="AM51" s="544" t="s">
        <v>1074</v>
      </c>
      <c r="AN51" s="544" t="s">
        <v>1074</v>
      </c>
      <c r="AO51" s="544"/>
      <c r="AP51" s="544"/>
      <c r="AQ51" s="544" t="s">
        <v>1134</v>
      </c>
      <c r="AR51" s="544" t="s">
        <v>1134</v>
      </c>
      <c r="AS51" s="544" t="s">
        <v>1134</v>
      </c>
      <c r="AT51" s="544" t="s">
        <v>1134</v>
      </c>
      <c r="AU51" s="544" t="s">
        <v>1208</v>
      </c>
      <c r="AV51" s="544" t="s">
        <v>1208</v>
      </c>
      <c r="AW51" s="544"/>
      <c r="AX51" s="544"/>
      <c r="AY51" s="330" t="s">
        <v>1259</v>
      </c>
      <c r="AZ51" s="330" t="s">
        <v>1259</v>
      </c>
      <c r="BA51" s="330"/>
      <c r="BB51" s="330"/>
      <c r="BC51" s="330" t="s">
        <v>1325</v>
      </c>
      <c r="BD51" s="330" t="s">
        <v>1325</v>
      </c>
      <c r="BE51" s="330"/>
      <c r="BF51" s="330"/>
      <c r="BG51" s="547" t="s">
        <v>1377</v>
      </c>
    </row>
    <row r="52" spans="1:59" customFormat="1" ht="14.1" customHeight="1" x14ac:dyDescent="0.2">
      <c r="AM52" s="544" t="s">
        <v>1075</v>
      </c>
      <c r="AN52" s="544" t="s">
        <v>1075</v>
      </c>
      <c r="AO52" s="544" t="s">
        <v>1075</v>
      </c>
      <c r="AP52" s="544"/>
      <c r="AQ52" s="544" t="s">
        <v>1126</v>
      </c>
      <c r="AR52" s="544" t="s">
        <v>1126</v>
      </c>
      <c r="AS52" s="544" t="s">
        <v>1126</v>
      </c>
      <c r="AT52" s="544"/>
      <c r="AU52" s="544" t="s">
        <v>1209</v>
      </c>
      <c r="AV52" s="544" t="s">
        <v>1209</v>
      </c>
      <c r="AW52" s="544" t="s">
        <v>1209</v>
      </c>
      <c r="AX52" s="544" t="s">
        <v>1209</v>
      </c>
      <c r="AY52" s="544" t="s">
        <v>1260</v>
      </c>
      <c r="AZ52" s="544" t="s">
        <v>1260</v>
      </c>
      <c r="BA52" s="544" t="s">
        <v>1260</v>
      </c>
      <c r="BB52" s="544"/>
      <c r="BC52" s="544" t="s">
        <v>1324</v>
      </c>
      <c r="BD52" s="544" t="s">
        <v>1324</v>
      </c>
      <c r="BE52" s="544" t="s">
        <v>1324</v>
      </c>
      <c r="BF52" s="544"/>
      <c r="BG52" s="547" t="s">
        <v>1378</v>
      </c>
    </row>
    <row r="53" spans="1:59" customFormat="1" ht="14.1" customHeight="1" x14ac:dyDescent="0.2">
      <c r="AM53" s="1090">
        <v>2021</v>
      </c>
      <c r="AN53" s="1090">
        <v>2021</v>
      </c>
      <c r="AO53" s="1090">
        <v>2021</v>
      </c>
      <c r="AP53" s="1090">
        <v>2021</v>
      </c>
      <c r="AQ53" s="1090">
        <v>2022</v>
      </c>
      <c r="AR53" s="1090">
        <v>2022</v>
      </c>
      <c r="AS53" s="1090">
        <v>2022</v>
      </c>
      <c r="AT53" s="1090">
        <v>2022</v>
      </c>
      <c r="AU53" s="1090">
        <v>2023</v>
      </c>
      <c r="AV53" s="1090">
        <v>2023</v>
      </c>
      <c r="AW53" s="1090">
        <v>2023</v>
      </c>
      <c r="AX53" s="1090">
        <v>2023</v>
      </c>
      <c r="AY53" s="1093">
        <v>2024</v>
      </c>
      <c r="AZ53" s="1093">
        <v>2024</v>
      </c>
      <c r="BA53" s="1093">
        <v>2024</v>
      </c>
      <c r="BB53" s="1093">
        <v>2024</v>
      </c>
      <c r="BC53" s="1093">
        <v>2025</v>
      </c>
      <c r="BD53" s="1093">
        <v>2025</v>
      </c>
      <c r="BE53" s="1093">
        <v>2025</v>
      </c>
      <c r="BF53" s="1093">
        <v>2025</v>
      </c>
      <c r="BG53" s="1059">
        <v>2026</v>
      </c>
    </row>
    <row r="54" spans="1:59" customFormat="1" ht="14.1" customHeight="1" x14ac:dyDescent="0.2">
      <c r="AR54" s="328"/>
      <c r="AS54" s="328"/>
      <c r="AT54" s="328"/>
      <c r="AU54" s="328"/>
      <c r="AV54" s="328"/>
      <c r="AW54" s="544"/>
      <c r="AX54" s="328"/>
      <c r="AY54" s="328"/>
      <c r="AZ54" s="328"/>
      <c r="BA54" s="328"/>
      <c r="BB54" s="328"/>
      <c r="BC54" s="328"/>
      <c r="BD54" s="328"/>
      <c r="BE54" s="328"/>
      <c r="BF54" s="328"/>
      <c r="BG54" s="328"/>
    </row>
    <row r="55" spans="1:59" customFormat="1" ht="14.1" customHeight="1" x14ac:dyDescent="0.2">
      <c r="AR55" s="328"/>
      <c r="AS55" s="328"/>
      <c r="AT55" s="328"/>
      <c r="AU55" s="328"/>
      <c r="AV55" s="328"/>
      <c r="AW55" s="328"/>
      <c r="AX55" s="328"/>
      <c r="AY55" s="328"/>
      <c r="AZ55" s="328"/>
      <c r="BA55" s="328"/>
      <c r="BB55" s="328"/>
      <c r="BC55" s="328"/>
      <c r="BD55" s="328"/>
      <c r="BE55" s="328"/>
      <c r="BF55" s="328"/>
      <c r="BG55" s="328"/>
    </row>
    <row r="56" spans="1:59" customFormat="1" ht="14.1" customHeight="1" x14ac:dyDescent="0.2">
      <c r="AR56" s="328"/>
      <c r="AS56" s="328"/>
      <c r="AT56" s="328"/>
      <c r="AU56" s="328"/>
      <c r="AV56" s="328"/>
      <c r="AW56" s="328"/>
      <c r="AX56" s="328"/>
      <c r="AY56" s="328"/>
      <c r="AZ56" s="328"/>
      <c r="BA56" s="328"/>
      <c r="BB56" s="328"/>
      <c r="BC56" s="328"/>
      <c r="BD56" s="328"/>
      <c r="BE56" s="328"/>
      <c r="BF56" s="328"/>
      <c r="BG56" s="328"/>
    </row>
    <row r="57" spans="1:59" customFormat="1" ht="14.1" customHeight="1" x14ac:dyDescent="0.2">
      <c r="AR57" s="328"/>
      <c r="AS57" s="328"/>
      <c r="AT57" s="328"/>
      <c r="AU57" s="328"/>
      <c r="AV57" s="328"/>
      <c r="AW57" s="328"/>
      <c r="AX57" s="328"/>
      <c r="AY57" s="328"/>
      <c r="AZ57" s="328"/>
      <c r="BA57" s="328"/>
      <c r="BB57" s="328"/>
      <c r="BC57" s="328"/>
      <c r="BD57" s="328"/>
      <c r="BE57" s="328"/>
      <c r="BF57" s="328"/>
      <c r="BG57" s="328"/>
    </row>
    <row r="58" spans="1:59" customFormat="1" ht="14.1" customHeight="1" x14ac:dyDescent="0.2">
      <c r="AR58" s="328"/>
      <c r="AS58" s="328"/>
      <c r="AT58" s="328"/>
      <c r="AU58" s="328"/>
      <c r="AV58" s="328"/>
      <c r="AW58" s="328"/>
      <c r="AX58" s="328"/>
      <c r="AY58" s="328"/>
      <c r="AZ58" s="328"/>
      <c r="BA58" s="328"/>
      <c r="BB58" s="328"/>
      <c r="BC58" s="328"/>
      <c r="BD58" s="328"/>
      <c r="BE58" s="328"/>
      <c r="BF58" s="328"/>
      <c r="BG58" s="328"/>
    </row>
    <row r="59" spans="1:59" customFormat="1" ht="14.1" customHeight="1" x14ac:dyDescent="0.2">
      <c r="AR59" s="328"/>
      <c r="AS59" s="328"/>
      <c r="AT59" s="328"/>
      <c r="AU59" s="328"/>
      <c r="AV59" s="328"/>
      <c r="AW59" s="328"/>
      <c r="AX59" s="328"/>
      <c r="AY59" s="328"/>
      <c r="AZ59" s="328"/>
      <c r="BA59" s="328"/>
      <c r="BB59" s="328"/>
      <c r="BC59" s="328"/>
      <c r="BD59" s="328"/>
      <c r="BE59" s="328"/>
      <c r="BF59" s="328"/>
      <c r="BG59" s="328"/>
    </row>
    <row r="60" spans="1:59" customFormat="1" ht="14.1" customHeight="1" x14ac:dyDescent="0.2">
      <c r="AR60" s="328"/>
      <c r="AS60" s="328"/>
      <c r="AT60" s="328"/>
      <c r="AU60" s="328"/>
      <c r="AV60" s="328"/>
      <c r="AW60" s="328"/>
      <c r="AX60" s="328"/>
      <c r="AY60" s="328"/>
      <c r="AZ60" s="328"/>
      <c r="BA60" s="328"/>
      <c r="BB60" s="328"/>
      <c r="BC60" s="328"/>
      <c r="BD60" s="328"/>
      <c r="BE60" s="328"/>
      <c r="BF60" s="328"/>
      <c r="BG60" s="328"/>
    </row>
    <row r="61" spans="1:59" customFormat="1" ht="14.1" customHeight="1" x14ac:dyDescent="0.2">
      <c r="AR61" s="328"/>
      <c r="AS61" s="328"/>
      <c r="AT61" s="328"/>
      <c r="AU61" s="328"/>
      <c r="AV61" s="328"/>
      <c r="AW61" s="328"/>
      <c r="AX61" s="328"/>
      <c r="AY61" s="328"/>
      <c r="AZ61" s="328"/>
      <c r="BA61" s="328"/>
      <c r="BB61" s="328"/>
      <c r="BC61" s="328"/>
      <c r="BD61" s="328"/>
      <c r="BE61" s="328"/>
      <c r="BF61" s="328"/>
      <c r="BG61" s="328"/>
    </row>
    <row r="62" spans="1:59" customFormat="1" ht="14.1" customHeight="1" x14ac:dyDescent="0.2">
      <c r="AR62" s="328"/>
      <c r="AS62" s="328"/>
      <c r="AT62" s="328"/>
      <c r="AU62" s="328"/>
      <c r="AV62" s="328"/>
      <c r="AW62" s="328"/>
      <c r="AX62" s="328"/>
      <c r="AY62" s="328"/>
      <c r="AZ62" s="328"/>
      <c r="BA62" s="328"/>
      <c r="BB62" s="328"/>
      <c r="BC62" s="328"/>
      <c r="BD62" s="328"/>
      <c r="BE62" s="328"/>
      <c r="BF62" s="328"/>
      <c r="BG62" s="328"/>
    </row>
    <row r="63" spans="1:59" customFormat="1" ht="14.1" customHeight="1" x14ac:dyDescent="0.2">
      <c r="AR63" s="328"/>
      <c r="AS63" s="328"/>
      <c r="AT63" s="328"/>
      <c r="AU63" s="328"/>
      <c r="AV63" s="328"/>
      <c r="AW63" s="328"/>
      <c r="AX63" s="328"/>
      <c r="AY63" s="328"/>
      <c r="AZ63" s="328"/>
      <c r="BA63" s="328"/>
      <c r="BB63" s="328"/>
      <c r="BC63" s="328"/>
      <c r="BD63" s="328"/>
      <c r="BE63" s="328"/>
      <c r="BF63" s="328"/>
      <c r="BG63" s="328"/>
    </row>
    <row r="64" spans="1:59" customFormat="1" ht="14.1" customHeight="1" x14ac:dyDescent="0.2"/>
    <row r="65" customFormat="1" ht="14.1" customHeight="1" outlineLevel="1" x14ac:dyDescent="0.2"/>
    <row r="66" customFormat="1" ht="14.1" customHeight="1" outlineLevel="1" x14ac:dyDescent="0.2"/>
    <row r="67" customFormat="1" ht="14.1" customHeight="1" x14ac:dyDescent="0.2"/>
    <row r="68" customFormat="1" ht="14.1" customHeight="1" x14ac:dyDescent="0.2"/>
    <row r="69" customFormat="1" ht="14.1" customHeight="1" x14ac:dyDescent="0.2"/>
    <row r="70" customFormat="1" ht="14.1" customHeight="1" x14ac:dyDescent="0.2"/>
    <row r="71" customFormat="1" ht="14.1" customHeight="1" x14ac:dyDescent="0.2"/>
    <row r="72" customFormat="1" ht="14.1" customHeight="1" x14ac:dyDescent="0.2"/>
    <row r="73" customFormat="1" ht="14.1" customHeight="1" x14ac:dyDescent="0.2"/>
    <row r="74" customFormat="1" ht="14.1" customHeight="1" x14ac:dyDescent="0.2"/>
    <row r="75" customFormat="1" ht="14.1" customHeight="1" x14ac:dyDescent="0.2"/>
    <row r="76" customFormat="1" ht="14.1" customHeight="1" x14ac:dyDescent="0.2"/>
    <row r="77" customFormat="1" ht="14.1" customHeight="1" x14ac:dyDescent="0.2"/>
    <row r="78" customFormat="1" ht="14.1" customHeight="1" x14ac:dyDescent="0.2"/>
    <row r="79" customFormat="1" ht="14.1" customHeight="1" x14ac:dyDescent="0.2"/>
    <row r="80" customFormat="1" ht="14.1" customHeight="1" x14ac:dyDescent="0.2"/>
    <row r="81" customFormat="1" ht="14.1" customHeight="1" x14ac:dyDescent="0.2"/>
    <row r="82" customFormat="1" ht="14.1" customHeight="1" x14ac:dyDescent="0.2"/>
    <row r="83" customFormat="1" ht="14.1" customHeight="1" x14ac:dyDescent="0.2"/>
    <row r="84" customFormat="1" ht="14.1" customHeight="1" x14ac:dyDescent="0.2"/>
    <row r="85" customFormat="1" ht="14.1" customHeight="1" x14ac:dyDescent="0.2"/>
    <row r="86" customFormat="1" ht="14.1" customHeight="1" x14ac:dyDescent="0.2"/>
    <row r="87" customFormat="1" ht="14.1" customHeight="1" x14ac:dyDescent="0.2"/>
    <row r="88" customFormat="1" ht="14.1" customHeight="1" x14ac:dyDescent="0.2"/>
    <row r="89" customFormat="1" ht="14.1" customHeight="1" x14ac:dyDescent="0.2"/>
    <row r="90" customFormat="1" ht="14.1" customHeight="1" x14ac:dyDescent="0.2"/>
    <row r="91" customFormat="1" ht="14.1" customHeight="1" x14ac:dyDescent="0.2"/>
    <row r="92" customFormat="1" ht="14.1" customHeight="1" x14ac:dyDescent="0.2"/>
    <row r="93" customFormat="1" ht="14.1" customHeight="1" x14ac:dyDescent="0.2"/>
    <row r="94" customFormat="1" ht="14.1" customHeight="1" x14ac:dyDescent="0.2"/>
    <row r="95" customFormat="1" ht="14.1" customHeight="1" x14ac:dyDescent="0.2"/>
    <row r="96" customFormat="1" ht="14.1" customHeight="1" x14ac:dyDescent="0.2"/>
    <row r="97" spans="3:59" customFormat="1" ht="14.1" customHeight="1" x14ac:dyDescent="0.2"/>
    <row r="98" spans="3:59" customFormat="1" ht="14.1" customHeight="1" x14ac:dyDescent="0.2">
      <c r="AR98" s="328"/>
      <c r="AS98" s="328"/>
      <c r="AT98" s="328"/>
      <c r="AU98" s="328"/>
      <c r="AV98" s="328"/>
      <c r="AW98" s="328"/>
      <c r="AX98" s="328"/>
      <c r="AY98" s="328"/>
      <c r="AZ98" s="328"/>
      <c r="BA98" s="328"/>
      <c r="BB98" s="328"/>
      <c r="BC98" s="328"/>
      <c r="BD98" s="328"/>
      <c r="BE98" s="328"/>
      <c r="BF98" s="328"/>
      <c r="BG98" s="328"/>
    </row>
    <row r="99" spans="3:59" customFormat="1" ht="14.1" customHeight="1" x14ac:dyDescent="0.2">
      <c r="AR99" s="328"/>
      <c r="AS99" s="328"/>
      <c r="AT99" s="328"/>
      <c r="AU99" s="328"/>
      <c r="AV99" s="328"/>
      <c r="AW99" s="328"/>
      <c r="AX99" s="328"/>
      <c r="AY99" s="328"/>
      <c r="AZ99" s="328"/>
      <c r="BA99" s="328"/>
      <c r="BB99" s="328"/>
      <c r="BC99" s="328"/>
      <c r="BD99" s="328"/>
      <c r="BE99" s="328"/>
      <c r="BF99" s="328"/>
      <c r="BG99" s="328"/>
    </row>
    <row r="100" spans="3:59" customFormat="1" ht="14.1" customHeight="1" x14ac:dyDescent="0.2">
      <c r="AR100" s="328"/>
      <c r="AS100" s="328"/>
      <c r="AT100" s="328"/>
      <c r="AU100" s="328"/>
      <c r="AV100" s="328"/>
      <c r="AW100" s="40"/>
      <c r="AX100" s="40"/>
      <c r="AY100" s="40"/>
      <c r="AZ100" s="40"/>
      <c r="BA100" s="40"/>
      <c r="BB100" s="40"/>
      <c r="BC100" s="40"/>
      <c r="BD100" s="40"/>
      <c r="BE100" s="40"/>
      <c r="BF100" s="40"/>
      <c r="BG100" s="40"/>
    </row>
    <row r="101" spans="3:59" customFormat="1" ht="12.75" x14ac:dyDescent="0.2">
      <c r="AR101" s="328"/>
      <c r="AS101" s="328"/>
      <c r="AT101" s="544"/>
      <c r="AU101" s="544"/>
      <c r="AV101" s="544"/>
      <c r="AW101" s="40"/>
      <c r="AX101" s="40"/>
      <c r="AY101" s="40"/>
      <c r="AZ101" s="40"/>
      <c r="BA101" s="40"/>
      <c r="BB101" s="40"/>
      <c r="BC101" s="40"/>
      <c r="BD101" s="40"/>
      <c r="BE101" s="40"/>
      <c r="BF101" s="40"/>
      <c r="BG101" s="40"/>
    </row>
    <row r="102" spans="3:59" customFormat="1" ht="12.75" x14ac:dyDescent="0.2">
      <c r="AR102" s="328"/>
      <c r="AS102" s="328"/>
      <c r="AT102" s="544"/>
      <c r="AU102" s="544"/>
      <c r="AV102" s="544"/>
      <c r="AW102" s="40"/>
      <c r="AX102" s="40"/>
      <c r="AY102" s="40"/>
      <c r="AZ102" s="40"/>
      <c r="BA102" s="40"/>
      <c r="BB102" s="40"/>
      <c r="BC102" s="40"/>
      <c r="BD102" s="40"/>
      <c r="BE102" s="40"/>
      <c r="BF102" s="40"/>
      <c r="BG102" s="40"/>
    </row>
    <row r="103" spans="3:59" customFormat="1" ht="14.25" customHeight="1" x14ac:dyDescent="0.2">
      <c r="AR103" s="328"/>
      <c r="AS103" s="328"/>
      <c r="AT103" s="544"/>
      <c r="AU103" s="544"/>
      <c r="AV103" s="544"/>
      <c r="AW103" s="40"/>
      <c r="AX103" s="40"/>
      <c r="AY103" s="40"/>
      <c r="AZ103" s="40"/>
      <c r="BA103" s="40"/>
      <c r="BB103" s="40"/>
      <c r="BC103" s="40"/>
      <c r="BD103" s="40"/>
      <c r="BE103" s="40"/>
      <c r="BF103" s="40"/>
      <c r="BG103" s="40"/>
    </row>
    <row r="104" spans="3:59" s="544" customFormat="1" ht="14.25" customHeight="1" x14ac:dyDescent="0.2">
      <c r="AI104" s="544" t="s">
        <v>928</v>
      </c>
      <c r="AJ104" s="544" t="s">
        <v>928</v>
      </c>
      <c r="AM104" s="544" t="s">
        <v>1074</v>
      </c>
      <c r="AN104" s="544" t="s">
        <v>1074</v>
      </c>
      <c r="AQ104" s="544" t="s">
        <v>1134</v>
      </c>
      <c r="AR104" s="544" t="s">
        <v>1134</v>
      </c>
      <c r="AU104" s="544" t="s">
        <v>1208</v>
      </c>
      <c r="AV104" s="544" t="s">
        <v>1208</v>
      </c>
      <c r="AY104" s="544" t="s">
        <v>1259</v>
      </c>
      <c r="AZ104" s="544" t="s">
        <v>1259</v>
      </c>
    </row>
    <row r="105" spans="3:59" s="267" customFormat="1" ht="14.25" customHeight="1" x14ac:dyDescent="0.2">
      <c r="AA105" s="267" t="s">
        <v>926</v>
      </c>
      <c r="AB105" s="267" t="s">
        <v>926</v>
      </c>
      <c r="AC105" s="267" t="s">
        <v>926</v>
      </c>
      <c r="AE105" s="267" t="s">
        <v>925</v>
      </c>
      <c r="AF105" s="267" t="s">
        <v>925</v>
      </c>
      <c r="AG105" s="267" t="s">
        <v>925</v>
      </c>
      <c r="AI105" s="267" t="s">
        <v>927</v>
      </c>
      <c r="AJ105" s="267" t="s">
        <v>927</v>
      </c>
      <c r="AK105" s="267" t="s">
        <v>927</v>
      </c>
      <c r="AM105" s="267" t="s">
        <v>1075</v>
      </c>
      <c r="AN105" s="267" t="s">
        <v>1075</v>
      </c>
      <c r="AO105" s="267" t="s">
        <v>1075</v>
      </c>
      <c r="AQ105" s="267" t="s">
        <v>1126</v>
      </c>
      <c r="AR105" s="267" t="s">
        <v>1126</v>
      </c>
      <c r="AS105" s="267" t="s">
        <v>1126</v>
      </c>
      <c r="AU105" s="267" t="s">
        <v>1209</v>
      </c>
      <c r="AV105" s="267" t="s">
        <v>1209</v>
      </c>
      <c r="AW105" s="267" t="s">
        <v>1209</v>
      </c>
      <c r="AZ105" s="267" t="s">
        <v>1260</v>
      </c>
      <c r="BA105" s="267" t="s">
        <v>1260</v>
      </c>
    </row>
    <row r="106" spans="3:59" s="267" customFormat="1" ht="14.25" customHeight="1" x14ac:dyDescent="0.2">
      <c r="C106" s="824">
        <f>D106</f>
        <v>2012</v>
      </c>
      <c r="D106" s="824">
        <f>E106</f>
        <v>2012</v>
      </c>
      <c r="E106" s="824">
        <f>F106</f>
        <v>2012</v>
      </c>
      <c r="F106" s="824">
        <f>G106-1</f>
        <v>2012</v>
      </c>
      <c r="G106" s="824">
        <f>H106</f>
        <v>2013</v>
      </c>
      <c r="H106" s="824">
        <f>I106</f>
        <v>2013</v>
      </c>
      <c r="I106" s="824">
        <f>J106</f>
        <v>2013</v>
      </c>
      <c r="J106" s="824">
        <f>K106-1</f>
        <v>2013</v>
      </c>
      <c r="K106" s="824">
        <f>L106</f>
        <v>2014</v>
      </c>
      <c r="L106" s="824">
        <f>M106</f>
        <v>2014</v>
      </c>
      <c r="M106" s="824">
        <f>N106</f>
        <v>2014</v>
      </c>
      <c r="N106" s="824">
        <f>O106-1</f>
        <v>2014</v>
      </c>
      <c r="O106" s="824">
        <f>P106</f>
        <v>2015</v>
      </c>
      <c r="P106" s="824">
        <f>Q106</f>
        <v>2015</v>
      </c>
      <c r="Q106" s="824">
        <f>R106</f>
        <v>2015</v>
      </c>
      <c r="R106" s="824">
        <f>S106-1</f>
        <v>2015</v>
      </c>
      <c r="S106" s="824">
        <f>T106</f>
        <v>2016</v>
      </c>
      <c r="T106" s="824">
        <f>U106</f>
        <v>2016</v>
      </c>
      <c r="U106" s="824">
        <f>V106</f>
        <v>2016</v>
      </c>
      <c r="V106" s="824">
        <f>W106-1</f>
        <v>2016</v>
      </c>
      <c r="W106" s="824">
        <f>X106</f>
        <v>2017</v>
      </c>
      <c r="X106" s="824">
        <f>Y106</f>
        <v>2017</v>
      </c>
      <c r="Y106" s="824">
        <f>Z106</f>
        <v>2017</v>
      </c>
      <c r="Z106" s="824">
        <f>AA106-1</f>
        <v>2017</v>
      </c>
      <c r="AA106" s="824">
        <f>AB106</f>
        <v>2018</v>
      </c>
      <c r="AB106" s="824">
        <f>AC106</f>
        <v>2018</v>
      </c>
      <c r="AC106" s="824">
        <f>AD106</f>
        <v>2018</v>
      </c>
      <c r="AD106" s="824">
        <f>AE106-1</f>
        <v>2018</v>
      </c>
      <c r="AE106" s="825">
        <v>2019</v>
      </c>
      <c r="AF106" s="825">
        <v>2019</v>
      </c>
      <c r="AG106" s="825">
        <v>2019</v>
      </c>
      <c r="AH106" s="825">
        <v>2019</v>
      </c>
      <c r="AI106" s="825">
        <v>2020</v>
      </c>
      <c r="AJ106" s="825">
        <v>2020</v>
      </c>
      <c r="AK106" s="825">
        <v>2020</v>
      </c>
      <c r="AL106" s="825">
        <v>2020</v>
      </c>
      <c r="AM106" s="825">
        <v>2021</v>
      </c>
      <c r="AN106" s="825">
        <v>2021</v>
      </c>
      <c r="AO106" s="825">
        <v>2021</v>
      </c>
      <c r="AP106" s="825">
        <v>2021</v>
      </c>
      <c r="AQ106" s="825">
        <v>2022</v>
      </c>
      <c r="AR106" s="825">
        <v>2022</v>
      </c>
      <c r="AS106" s="825">
        <v>2022</v>
      </c>
      <c r="AT106" s="825">
        <v>2022</v>
      </c>
      <c r="AU106" s="825">
        <v>2023</v>
      </c>
      <c r="AV106" s="825">
        <v>2023</v>
      </c>
      <c r="AW106" s="825">
        <v>2023</v>
      </c>
      <c r="AX106" s="825">
        <v>2023</v>
      </c>
      <c r="AY106" s="825">
        <v>2024</v>
      </c>
      <c r="AZ106" s="825">
        <v>2024</v>
      </c>
      <c r="BA106" s="825">
        <v>2024</v>
      </c>
      <c r="BB106" s="825"/>
      <c r="BC106" s="825"/>
      <c r="BD106" s="825">
        <v>2024</v>
      </c>
      <c r="BE106" s="825">
        <v>2024</v>
      </c>
      <c r="BF106" s="825">
        <v>2024</v>
      </c>
      <c r="BG106" s="825">
        <v>2024</v>
      </c>
    </row>
    <row r="107" spans="3:59" ht="14.25" customHeight="1" x14ac:dyDescent="0.2">
      <c r="C107" s="823"/>
      <c r="D107" s="823"/>
      <c r="E107" s="823"/>
      <c r="F107" s="823"/>
      <c r="G107" s="823"/>
      <c r="H107" s="823"/>
      <c r="I107" s="823"/>
      <c r="J107" s="823"/>
      <c r="K107" s="823"/>
      <c r="L107" s="823"/>
      <c r="M107" s="823"/>
      <c r="N107" s="823"/>
      <c r="O107" s="823"/>
      <c r="P107" s="823"/>
      <c r="Q107" s="823"/>
      <c r="R107" s="823"/>
      <c r="S107" s="823"/>
      <c r="T107" s="823"/>
      <c r="U107" s="823"/>
      <c r="V107" s="823"/>
      <c r="W107" s="823"/>
      <c r="X107" s="823"/>
      <c r="Y107" s="823"/>
      <c r="Z107" s="823"/>
      <c r="AA107" s="823"/>
      <c r="AB107" s="823"/>
      <c r="AC107" s="823"/>
      <c r="AD107" s="823"/>
      <c r="AE107" s="823"/>
      <c r="AF107" s="823"/>
      <c r="AG107" s="823"/>
      <c r="AH107" s="823"/>
      <c r="AI107" s="823"/>
      <c r="AJ107" s="823"/>
      <c r="AK107" s="823"/>
      <c r="AL107" s="823"/>
      <c r="AM107" s="823"/>
      <c r="AN107" s="823"/>
      <c r="AO107" s="823"/>
      <c r="AP107" s="823"/>
      <c r="AQ107" s="823"/>
      <c r="AR107" s="791"/>
      <c r="AS107" s="791"/>
      <c r="AT107" s="268"/>
      <c r="AU107" s="268"/>
      <c r="AV107" s="268"/>
      <c r="AW107" s="1166"/>
      <c r="AX107" s="1166"/>
      <c r="AY107" s="1166"/>
      <c r="AZ107" s="1166"/>
      <c r="BA107" s="1166"/>
      <c r="BB107" s="1166"/>
      <c r="BC107" s="1166"/>
      <c r="BD107" s="1166"/>
      <c r="BE107" s="1166"/>
      <c r="BF107" s="1166"/>
      <c r="BG107" s="1166"/>
    </row>
    <row r="108" spans="3:59" ht="14.25" customHeight="1" x14ac:dyDescent="0.2">
      <c r="AR108" s="907"/>
      <c r="AS108" s="907"/>
      <c r="AT108" s="907"/>
      <c r="AU108" s="907"/>
      <c r="AV108" s="907"/>
      <c r="AW108" s="187"/>
      <c r="AX108" s="187"/>
      <c r="AY108" s="187"/>
      <c r="AZ108" s="187"/>
      <c r="BA108" s="187"/>
      <c r="BB108" s="187"/>
      <c r="BC108" s="187"/>
      <c r="BD108" s="187"/>
      <c r="BE108" s="187"/>
      <c r="BF108" s="187"/>
      <c r="BG108" s="187"/>
    </row>
    <row r="109" spans="3:59" ht="14.25" customHeight="1" x14ac:dyDescent="0.2">
      <c r="AR109" s="907"/>
      <c r="AS109" s="907"/>
      <c r="AT109" s="907"/>
      <c r="AU109" s="907"/>
      <c r="AV109" s="907"/>
      <c r="AW109" s="187"/>
      <c r="AX109" s="187"/>
      <c r="AY109" s="187"/>
      <c r="AZ109" s="187"/>
      <c r="BA109" s="187"/>
      <c r="BB109" s="187"/>
      <c r="BC109" s="187"/>
      <c r="BD109" s="187"/>
      <c r="BE109" s="187"/>
      <c r="BF109" s="187"/>
      <c r="BG109" s="187"/>
    </row>
    <row r="110" spans="3:59" ht="14.25" customHeight="1" x14ac:dyDescent="0.2">
      <c r="AR110" s="907"/>
      <c r="AS110" s="907"/>
      <c r="AT110" s="907"/>
      <c r="AU110" s="907"/>
      <c r="AV110" s="907"/>
      <c r="AW110" s="907"/>
      <c r="AX110" s="907"/>
      <c r="AY110" s="907"/>
      <c r="AZ110" s="907"/>
      <c r="BA110" s="907"/>
      <c r="BB110" s="907"/>
      <c r="BC110" s="907"/>
      <c r="BD110" s="907"/>
      <c r="BE110" s="907"/>
      <c r="BF110" s="907"/>
      <c r="BG110" s="907"/>
    </row>
    <row r="111" spans="3:59" ht="14.25" customHeight="1" x14ac:dyDescent="0.2">
      <c r="AR111" s="907"/>
      <c r="AS111" s="907"/>
      <c r="AT111" s="907"/>
      <c r="AU111" s="907"/>
      <c r="AV111" s="907"/>
      <c r="AW111" s="907"/>
      <c r="AX111" s="907"/>
      <c r="AY111" s="907"/>
      <c r="AZ111" s="907"/>
      <c r="BA111" s="907"/>
      <c r="BB111" s="907"/>
      <c r="BC111" s="907"/>
      <c r="BD111" s="907"/>
      <c r="BE111" s="907"/>
      <c r="BF111" s="907"/>
      <c r="BG111" s="907"/>
    </row>
    <row r="112" spans="3:59" ht="14.25" customHeight="1" x14ac:dyDescent="0.2">
      <c r="AR112" s="907"/>
      <c r="AS112" s="907"/>
      <c r="AT112" s="907"/>
      <c r="AU112" s="907"/>
      <c r="AV112" s="907"/>
      <c r="AW112" s="907"/>
      <c r="AX112" s="907"/>
      <c r="AY112" s="907"/>
      <c r="AZ112" s="907"/>
      <c r="BA112" s="907"/>
      <c r="BB112" s="907"/>
      <c r="BC112" s="907"/>
      <c r="BD112" s="907"/>
      <c r="BE112" s="907"/>
      <c r="BF112" s="907"/>
      <c r="BG112" s="907"/>
    </row>
  </sheetData>
  <mergeCells count="1">
    <mergeCell ref="M3:M4"/>
  </mergeCells>
  <pageMargins left="0.78740157499999996" right="0.78740157499999996" top="0.984251969" bottom="0.984251969" header="0.49212598499999999" footer="0.49212598499999999"/>
  <pageSetup paperSize="9" scale="20"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4">
    <tabColor theme="9"/>
    <pageSetUpPr autoPageBreaks="0" fitToPage="1"/>
  </sheetPr>
  <dimension ref="A1:BJ86"/>
  <sheetViews>
    <sheetView showGridLines="0" zoomScaleNormal="100" workbookViewId="0">
      <pane xSplit="2" ySplit="5" topLeftCell="C6" activePane="bottomRight" state="frozen"/>
      <selection activeCell="F56" sqref="F56"/>
      <selection pane="topRight" activeCell="F56" sqref="F56"/>
      <selection pane="bottomLeft" activeCell="F56" sqref="F56"/>
      <selection pane="bottomRight" activeCell="E2" sqref="E2"/>
    </sheetView>
  </sheetViews>
  <sheetFormatPr defaultColWidth="9.140625" defaultRowHeight="12.75" outlineLevelRow="1" x14ac:dyDescent="0.2"/>
  <cols>
    <col min="1" max="1" width="1.42578125" style="2" customWidth="1"/>
    <col min="2" max="2" width="46.42578125" style="2" customWidth="1"/>
    <col min="3" max="32" width="9.5703125" style="2" customWidth="1"/>
    <col min="33" max="33" width="9.42578125" style="2" customWidth="1"/>
    <col min="34" max="59" width="9.5703125" style="2" customWidth="1"/>
    <col min="60" max="16384" width="9.140625" style="2"/>
  </cols>
  <sheetData>
    <row r="1" spans="1:60" ht="7.5" customHeight="1" x14ac:dyDescent="0.2">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267"/>
      <c r="BF1" s="267"/>
      <c r="BG1" s="267"/>
    </row>
    <row r="2" spans="1:60" ht="12.75" customHeight="1" x14ac:dyDescent="0.2">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c r="AS2" s="267"/>
      <c r="AT2" s="267"/>
      <c r="AU2" s="267"/>
      <c r="AV2" s="267"/>
      <c r="AW2" s="267"/>
      <c r="AX2" s="267"/>
      <c r="AY2" s="267"/>
      <c r="AZ2" s="267"/>
      <c r="BA2" s="267"/>
      <c r="BB2" s="267"/>
      <c r="BC2" s="267"/>
      <c r="BD2" s="267"/>
      <c r="BE2" s="267"/>
      <c r="BF2" s="267"/>
      <c r="BG2" s="267"/>
    </row>
    <row r="3" spans="1:60" s="267" customFormat="1" ht="12.75" customHeight="1" x14ac:dyDescent="0.2">
      <c r="M3" s="1232" t="s">
        <v>552</v>
      </c>
      <c r="N3" s="267" t="s">
        <v>551</v>
      </c>
      <c r="O3" s="268">
        <v>-3086.91039</v>
      </c>
      <c r="P3" s="268">
        <v>-3258.3303299999998</v>
      </c>
      <c r="Q3" s="268">
        <v>-3012.4188899999999</v>
      </c>
      <c r="R3" s="268">
        <v>-4110.1755300000004</v>
      </c>
      <c r="S3" s="268">
        <v>-3114.0270599999999</v>
      </c>
      <c r="T3" s="268">
        <v>-5456.2800399999996</v>
      </c>
      <c r="U3" s="268">
        <v>-3436.9309800000001</v>
      </c>
      <c r="V3" s="268">
        <v>-3599.9867299999996</v>
      </c>
      <c r="W3" s="268">
        <v>-3188.2748700000002</v>
      </c>
      <c r="X3" s="268">
        <v>-3252.4979399999997</v>
      </c>
      <c r="Y3" s="268">
        <v>-3392.6533399999998</v>
      </c>
      <c r="Z3" s="268">
        <v>-3533.3530499999997</v>
      </c>
      <c r="AA3" s="268">
        <v>-3018.6289700000002</v>
      </c>
      <c r="AB3" s="268"/>
      <c r="AC3" s="791"/>
      <c r="AD3" s="791"/>
      <c r="AE3" s="791"/>
      <c r="AF3" s="791"/>
      <c r="AG3" s="791"/>
      <c r="AH3" s="791"/>
      <c r="AI3" s="791"/>
      <c r="AJ3" s="791"/>
      <c r="AK3" s="791"/>
      <c r="AL3" s="823"/>
      <c r="AM3" s="823"/>
      <c r="AN3" s="823"/>
      <c r="AO3" s="823"/>
      <c r="AP3" s="823"/>
      <c r="AQ3" s="823"/>
      <c r="AR3" s="823"/>
      <c r="AS3" s="823"/>
      <c r="AT3" s="823"/>
      <c r="AU3" s="823"/>
      <c r="AV3" s="823"/>
      <c r="AW3" s="823"/>
      <c r="AX3" s="823"/>
      <c r="AY3" s="823"/>
      <c r="AZ3" s="823"/>
      <c r="BA3" s="823"/>
      <c r="BB3" s="823"/>
      <c r="BC3" s="823"/>
      <c r="BD3" s="823"/>
      <c r="BE3" s="823"/>
      <c r="BF3" s="823"/>
      <c r="BG3" s="823"/>
    </row>
    <row r="4" spans="1:60" s="267" customFormat="1" ht="12.75" customHeight="1" x14ac:dyDescent="0.2">
      <c r="A4" s="626"/>
      <c r="B4" s="624" t="s">
        <v>337</v>
      </c>
      <c r="C4" s="627"/>
      <c r="D4" s="627"/>
      <c r="E4" s="627"/>
      <c r="F4" s="627"/>
      <c r="G4" s="542"/>
      <c r="H4" s="627"/>
      <c r="I4" s="627"/>
      <c r="J4" s="627"/>
      <c r="K4" s="627"/>
      <c r="L4" s="542"/>
      <c r="M4" s="1232"/>
      <c r="N4" s="267" t="s">
        <v>180</v>
      </c>
      <c r="O4" s="269">
        <v>-188.08960999999999</v>
      </c>
      <c r="P4" s="269">
        <v>-534.66967000000022</v>
      </c>
      <c r="Q4" s="269">
        <v>-371.58111000000008</v>
      </c>
      <c r="R4" s="269">
        <v>-103.08273000000001</v>
      </c>
      <c r="S4" s="269">
        <v>-104.61798999999999</v>
      </c>
      <c r="T4" s="269">
        <v>-102.92251999999999</v>
      </c>
      <c r="U4" s="269">
        <v>-100.68328</v>
      </c>
      <c r="V4" s="269">
        <v>-97.515969999999996</v>
      </c>
      <c r="W4" s="269">
        <v>-87.390539999999987</v>
      </c>
      <c r="X4" s="269">
        <v>-87.236190000000008</v>
      </c>
      <c r="Y4" s="269">
        <v>-88.739059999999995</v>
      </c>
      <c r="Z4" s="269">
        <v>-98.960570000000004</v>
      </c>
      <c r="AA4" s="269">
        <v>-79.525570000000002</v>
      </c>
      <c r="AB4" s="269"/>
      <c r="AC4" s="269"/>
      <c r="AD4" s="269"/>
      <c r="AE4" s="702" t="s">
        <v>809</v>
      </c>
      <c r="AF4" s="740"/>
      <c r="AG4" s="740"/>
      <c r="AH4" s="740"/>
      <c r="AI4" s="740"/>
      <c r="AJ4" s="740"/>
      <c r="AK4" s="740"/>
      <c r="AL4" s="740"/>
      <c r="AM4" s="740"/>
      <c r="AN4" s="740"/>
      <c r="AO4" s="740"/>
      <c r="AP4" s="740"/>
      <c r="AQ4" s="740"/>
      <c r="AR4" s="740"/>
      <c r="AS4" s="740"/>
      <c r="AT4" s="740"/>
      <c r="AU4" s="740"/>
      <c r="AV4" s="740"/>
      <c r="AW4" s="740"/>
      <c r="AX4" s="740"/>
      <c r="AY4" s="740"/>
      <c r="AZ4" s="740"/>
      <c r="BA4" s="740"/>
      <c r="BB4" s="740"/>
      <c r="BC4" s="740"/>
      <c r="BD4" s="740"/>
      <c r="BE4" s="740"/>
      <c r="BF4" s="740"/>
      <c r="BG4" s="740"/>
    </row>
    <row r="5" spans="1:60" ht="12.75" customHeight="1" x14ac:dyDescent="0.2">
      <c r="A5" s="22"/>
      <c r="B5" s="113"/>
      <c r="C5" s="246" t="s">
        <v>7</v>
      </c>
      <c r="D5" s="114" t="s">
        <v>6</v>
      </c>
      <c r="E5" s="114" t="s">
        <v>5</v>
      </c>
      <c r="F5" s="114" t="s">
        <v>4</v>
      </c>
      <c r="G5" s="115" t="s">
        <v>3</v>
      </c>
      <c r="H5" s="115" t="s">
        <v>2</v>
      </c>
      <c r="I5" s="115" t="s">
        <v>1</v>
      </c>
      <c r="J5" s="115" t="s">
        <v>0</v>
      </c>
      <c r="K5" s="115" t="s">
        <v>45</v>
      </c>
      <c r="L5" s="116" t="s">
        <v>55</v>
      </c>
      <c r="M5" s="116" t="s">
        <v>71</v>
      </c>
      <c r="N5" s="115" t="s">
        <v>77</v>
      </c>
      <c r="O5" s="115" t="s">
        <v>87</v>
      </c>
      <c r="P5" s="115" t="s">
        <v>88</v>
      </c>
      <c r="Q5" s="115" t="s">
        <v>378</v>
      </c>
      <c r="R5" s="115" t="s">
        <v>406</v>
      </c>
      <c r="S5" s="115" t="s">
        <v>467</v>
      </c>
      <c r="T5" s="115" t="s">
        <v>501</v>
      </c>
      <c r="U5" s="115" t="s">
        <v>511</v>
      </c>
      <c r="V5" s="115" t="s">
        <v>538</v>
      </c>
      <c r="W5" s="115" t="s">
        <v>567</v>
      </c>
      <c r="X5" s="115" t="s">
        <v>575</v>
      </c>
      <c r="Y5" s="115" t="s">
        <v>595</v>
      </c>
      <c r="Z5" s="115" t="s">
        <v>596</v>
      </c>
      <c r="AA5" s="115" t="s">
        <v>623</v>
      </c>
      <c r="AB5" s="115" t="s">
        <v>624</v>
      </c>
      <c r="AC5" s="115" t="s">
        <v>625</v>
      </c>
      <c r="AD5" s="115" t="s">
        <v>626</v>
      </c>
      <c r="AE5" s="222" t="s">
        <v>798</v>
      </c>
      <c r="AF5" s="115" t="s">
        <v>799</v>
      </c>
      <c r="AG5" s="115" t="s">
        <v>800</v>
      </c>
      <c r="AH5" s="115" t="s">
        <v>801</v>
      </c>
      <c r="AI5" s="115" t="s">
        <v>913</v>
      </c>
      <c r="AJ5" s="115" t="s">
        <v>914</v>
      </c>
      <c r="AK5" s="115" t="s">
        <v>923</v>
      </c>
      <c r="AL5" s="115" t="s">
        <v>924</v>
      </c>
      <c r="AM5" s="115" t="s">
        <v>1049</v>
      </c>
      <c r="AN5" s="115" t="s">
        <v>1023</v>
      </c>
      <c r="AO5" s="115" t="s">
        <v>1024</v>
      </c>
      <c r="AP5" s="115" t="s">
        <v>1050</v>
      </c>
      <c r="AQ5" s="115" t="s">
        <v>1114</v>
      </c>
      <c r="AR5" s="115" t="s">
        <v>1119</v>
      </c>
      <c r="AS5" s="115" t="s">
        <v>1121</v>
      </c>
      <c r="AT5" s="115" t="s">
        <v>1123</v>
      </c>
      <c r="AU5" s="115" t="s">
        <v>1176</v>
      </c>
      <c r="AV5" s="115" t="s">
        <v>1177</v>
      </c>
      <c r="AW5" s="115" t="s">
        <v>1179</v>
      </c>
      <c r="AX5" s="115" t="s">
        <v>1181</v>
      </c>
      <c r="AY5" s="115" t="s">
        <v>1243</v>
      </c>
      <c r="AZ5" s="115" t="s">
        <v>1250</v>
      </c>
      <c r="BA5" s="115" t="s">
        <v>1251</v>
      </c>
      <c r="BB5" s="115" t="s">
        <v>1252</v>
      </c>
      <c r="BC5" s="115" t="s">
        <v>1311</v>
      </c>
      <c r="BD5" s="115" t="s">
        <v>1313</v>
      </c>
      <c r="BE5" s="115" t="s">
        <v>1315</v>
      </c>
      <c r="BF5" s="115" t="s">
        <v>1317</v>
      </c>
      <c r="BG5" s="115" t="s">
        <v>1344</v>
      </c>
    </row>
    <row r="6" spans="1:60" ht="14.1" customHeight="1" x14ac:dyDescent="0.2">
      <c r="A6" s="23"/>
      <c r="B6" s="117" t="s">
        <v>12</v>
      </c>
      <c r="C6" s="118">
        <v>18820</v>
      </c>
      <c r="D6" s="118">
        <v>23279</v>
      </c>
      <c r="E6" s="118">
        <v>26048</v>
      </c>
      <c r="F6" s="118">
        <v>22396</v>
      </c>
      <c r="G6" s="118">
        <v>17817</v>
      </c>
      <c r="H6" s="118">
        <v>19165</v>
      </c>
      <c r="I6" s="118">
        <v>21408</v>
      </c>
      <c r="J6" s="118">
        <v>22529</v>
      </c>
      <c r="K6" s="118">
        <v>20638</v>
      </c>
      <c r="L6" s="118">
        <v>22144</v>
      </c>
      <c r="M6" s="118">
        <v>22276</v>
      </c>
      <c r="N6" s="118">
        <v>21465</v>
      </c>
      <c r="O6" s="118">
        <v>17464</v>
      </c>
      <c r="P6" s="118">
        <v>17212</v>
      </c>
      <c r="Q6" s="118">
        <v>20759</v>
      </c>
      <c r="R6" s="118">
        <v>21192.296059999997</v>
      </c>
      <c r="S6" s="118">
        <v>17628.262779999997</v>
      </c>
      <c r="T6" s="118">
        <v>14564.002850000001</v>
      </c>
      <c r="U6" s="118">
        <v>14904.022499999999</v>
      </c>
      <c r="V6" s="118">
        <v>15760.582520000002</v>
      </c>
      <c r="W6" s="118">
        <v>14711.21329</v>
      </c>
      <c r="X6" s="118">
        <v>15228.65266</v>
      </c>
      <c r="Y6" s="118">
        <v>15248.51109</v>
      </c>
      <c r="Z6" s="118">
        <v>18348.92193</v>
      </c>
      <c r="AA6" s="118">
        <v>13420.595569999999</v>
      </c>
      <c r="AB6" s="118">
        <v>11588.4</v>
      </c>
      <c r="AC6" s="637">
        <v>10761.402389999999</v>
      </c>
      <c r="AD6" s="637">
        <v>12177.346869999994</v>
      </c>
      <c r="AE6" s="733">
        <v>8489.4</v>
      </c>
      <c r="AF6" s="637">
        <v>8685.1920200000004</v>
      </c>
      <c r="AG6" s="637">
        <v>8764.0848000000005</v>
      </c>
      <c r="AH6" s="637">
        <v>10631.25776</v>
      </c>
      <c r="AI6" s="637">
        <v>8671.6252599999989</v>
      </c>
      <c r="AJ6" s="637">
        <v>11829.77543</v>
      </c>
      <c r="AK6" s="637">
        <v>9323.1470300000019</v>
      </c>
      <c r="AL6" s="637">
        <v>5179.5571500000005</v>
      </c>
      <c r="AM6" s="637">
        <v>1367.5780099999999</v>
      </c>
      <c r="AN6" s="637">
        <v>431.86840000000001</v>
      </c>
      <c r="AO6" s="637">
        <v>420.28199999999998</v>
      </c>
      <c r="AP6" s="637">
        <v>638.75400000000002</v>
      </c>
      <c r="AQ6" s="637">
        <v>931.00256000000002</v>
      </c>
      <c r="AR6" s="637">
        <v>946.8376200000057</v>
      </c>
      <c r="AS6" s="637">
        <v>1066.48</v>
      </c>
      <c r="AT6" s="637">
        <f>6429.3-4849.38809</f>
        <v>1579.9119099999998</v>
      </c>
      <c r="AU6" s="637">
        <v>1308</v>
      </c>
      <c r="AV6" s="637">
        <v>1469.99</v>
      </c>
      <c r="AW6" s="637">
        <f>AW10-AW7</f>
        <v>1493.4783099999986</v>
      </c>
      <c r="AX6" s="637">
        <v>1226.0999999999999</v>
      </c>
      <c r="AY6" s="637">
        <v>872.82729000000108</v>
      </c>
      <c r="AZ6" s="637">
        <v>0</v>
      </c>
      <c r="BA6" s="637"/>
      <c r="BB6" s="637">
        <v>0</v>
      </c>
      <c r="BC6" s="637">
        <v>0</v>
      </c>
      <c r="BD6" s="637">
        <v>0</v>
      </c>
      <c r="BE6" s="637">
        <v>0</v>
      </c>
      <c r="BF6" s="637">
        <v>0</v>
      </c>
      <c r="BG6" s="637">
        <v>0</v>
      </c>
      <c r="BH6" s="1137"/>
    </row>
    <row r="7" spans="1:60" ht="14.1" customHeight="1" x14ac:dyDescent="0.2">
      <c r="A7" s="23"/>
      <c r="B7" s="117" t="s">
        <v>451</v>
      </c>
      <c r="C7" s="118">
        <v>23587</v>
      </c>
      <c r="D7" s="118">
        <v>25449</v>
      </c>
      <c r="E7" s="118">
        <v>23244</v>
      </c>
      <c r="F7" s="118">
        <v>24778</v>
      </c>
      <c r="G7" s="118">
        <v>25183</v>
      </c>
      <c r="H7" s="118">
        <v>28220</v>
      </c>
      <c r="I7" s="118">
        <v>25185</v>
      </c>
      <c r="J7" s="118">
        <v>29430</v>
      </c>
      <c r="K7" s="118">
        <v>31004</v>
      </c>
      <c r="L7" s="118">
        <v>28248</v>
      </c>
      <c r="M7" s="118">
        <v>37282</v>
      </c>
      <c r="N7" s="118">
        <v>40121</v>
      </c>
      <c r="O7" s="118">
        <v>39264</v>
      </c>
      <c r="P7" s="118">
        <v>42744</v>
      </c>
      <c r="Q7" s="118">
        <v>43201</v>
      </c>
      <c r="R7" s="118">
        <v>41005.342690000005</v>
      </c>
      <c r="S7" s="118">
        <v>34810.647680000002</v>
      </c>
      <c r="T7" s="118">
        <v>36060.907340000005</v>
      </c>
      <c r="U7" s="118">
        <v>33277.607969999997</v>
      </c>
      <c r="V7" s="118">
        <v>33016.964749999999</v>
      </c>
      <c r="W7" s="118">
        <v>34006.128879999997</v>
      </c>
      <c r="X7" s="118">
        <v>32821.211210000001</v>
      </c>
      <c r="Y7" s="118">
        <v>35196.763349999994</v>
      </c>
      <c r="Z7" s="118">
        <v>35738.6976</v>
      </c>
      <c r="AA7" s="118">
        <v>34371.302250000008</v>
      </c>
      <c r="AB7" s="118">
        <v>33530.382989999991</v>
      </c>
      <c r="AC7" s="637">
        <v>39294.710639999998</v>
      </c>
      <c r="AD7" s="637">
        <v>35764.443149999999</v>
      </c>
      <c r="AE7" s="733">
        <v>37086.800000000003</v>
      </c>
      <c r="AF7" s="637">
        <v>36792.112699999998</v>
      </c>
      <c r="AG7" s="637">
        <v>40679.987550000005</v>
      </c>
      <c r="AH7" s="637">
        <v>38374.866529999999</v>
      </c>
      <c r="AI7" s="637">
        <v>38126.811840000002</v>
      </c>
      <c r="AJ7" s="637">
        <v>39810.467429999997</v>
      </c>
      <c r="AK7" s="637">
        <v>43491.398690000002</v>
      </c>
      <c r="AL7" s="637">
        <v>43978.259429999998</v>
      </c>
      <c r="AM7" s="637">
        <v>39318.226990000003</v>
      </c>
      <c r="AN7" s="637">
        <v>44334.720099999999</v>
      </c>
      <c r="AO7" s="637">
        <v>45062.793720000001</v>
      </c>
      <c r="AP7" s="637">
        <v>39797.487730000008</v>
      </c>
      <c r="AQ7" s="637">
        <v>47423.771669999995</v>
      </c>
      <c r="AR7" s="637">
        <v>45697.330499999996</v>
      </c>
      <c r="AS7" s="637">
        <v>50307.146229999998</v>
      </c>
      <c r="AT7" s="637">
        <f>44837.83589-AT6</f>
        <v>43257.92398</v>
      </c>
      <c r="AU7" s="637">
        <f>47323.97638-AU6</f>
        <v>46015.97638</v>
      </c>
      <c r="AV7" s="637">
        <f>43144.14963-AV6</f>
        <v>41674.159630000002</v>
      </c>
      <c r="AW7" s="637">
        <v>48533.991850000006</v>
      </c>
      <c r="AX7" s="637">
        <f>49218.7-AX6</f>
        <v>47992.6</v>
      </c>
      <c r="AY7" s="637">
        <v>49810.86</v>
      </c>
      <c r="AZ7" s="637">
        <v>55719.131580000001</v>
      </c>
      <c r="BA7" s="637">
        <v>50868.375529999998</v>
      </c>
      <c r="BB7" s="637">
        <v>49988.152990000002</v>
      </c>
      <c r="BC7" s="637">
        <v>55602.698880000004</v>
      </c>
      <c r="BD7" s="637">
        <v>54247.260320000001</v>
      </c>
      <c r="BE7" s="637">
        <v>41985.478689999996</v>
      </c>
      <c r="BF7" s="637">
        <v>47361.427729999996</v>
      </c>
      <c r="BG7" s="637">
        <v>50799.559019999993</v>
      </c>
    </row>
    <row r="8" spans="1:60" s="220" customFormat="1" ht="14.1" hidden="1" customHeight="1" outlineLevel="1" x14ac:dyDescent="0.2">
      <c r="A8" s="235"/>
      <c r="B8" s="217" t="s">
        <v>1279</v>
      </c>
      <c r="C8" s="218">
        <v>51431</v>
      </c>
      <c r="D8" s="218">
        <v>59396</v>
      </c>
      <c r="E8" s="218">
        <v>73250</v>
      </c>
      <c r="F8" s="218">
        <v>83860</v>
      </c>
      <c r="G8" s="218">
        <v>69100</v>
      </c>
      <c r="H8" s="218">
        <v>67306</v>
      </c>
      <c r="I8" s="218">
        <v>70087</v>
      </c>
      <c r="J8" s="218">
        <v>81193</v>
      </c>
      <c r="K8" s="218">
        <v>68965</v>
      </c>
      <c r="L8" s="218">
        <v>66188</v>
      </c>
      <c r="M8" s="218">
        <v>39020</v>
      </c>
      <c r="N8" s="218">
        <v>0</v>
      </c>
      <c r="O8" s="218">
        <v>0</v>
      </c>
      <c r="P8" s="218">
        <v>0</v>
      </c>
      <c r="Q8" s="218">
        <v>0</v>
      </c>
      <c r="R8" s="218">
        <v>0</v>
      </c>
      <c r="S8" s="218">
        <v>0</v>
      </c>
      <c r="T8" s="218">
        <v>0</v>
      </c>
      <c r="U8" s="218">
        <v>0</v>
      </c>
      <c r="V8" s="218">
        <v>0</v>
      </c>
      <c r="W8" s="218">
        <v>0</v>
      </c>
      <c r="X8" s="218">
        <v>0</v>
      </c>
      <c r="Y8" s="218">
        <v>0</v>
      </c>
      <c r="Z8" s="218">
        <v>0</v>
      </c>
      <c r="AA8" s="218">
        <v>0</v>
      </c>
      <c r="AB8" s="218">
        <v>0</v>
      </c>
      <c r="AC8" s="218">
        <v>0</v>
      </c>
      <c r="AD8" s="218"/>
      <c r="AE8" s="160">
        <v>0</v>
      </c>
      <c r="AF8" s="118">
        <v>0</v>
      </c>
      <c r="AG8" s="118">
        <v>0</v>
      </c>
      <c r="AH8" s="118">
        <v>0</v>
      </c>
      <c r="AI8" s="118">
        <v>0</v>
      </c>
      <c r="AJ8" s="118">
        <v>0</v>
      </c>
      <c r="AK8" s="118">
        <v>0</v>
      </c>
      <c r="AL8" s="118">
        <v>0</v>
      </c>
      <c r="AM8" s="118">
        <v>0</v>
      </c>
      <c r="AN8" s="118">
        <v>0</v>
      </c>
      <c r="AO8" s="118">
        <v>0</v>
      </c>
      <c r="AP8" s="118"/>
      <c r="AQ8" s="118">
        <v>0</v>
      </c>
      <c r="AR8" s="118">
        <v>0</v>
      </c>
      <c r="AS8" s="118">
        <v>0</v>
      </c>
      <c r="AT8" s="118">
        <v>0</v>
      </c>
      <c r="AU8" s="118">
        <v>0</v>
      </c>
      <c r="AV8" s="118">
        <v>0</v>
      </c>
      <c r="AW8" s="118">
        <v>0</v>
      </c>
      <c r="AX8" s="118">
        <v>0</v>
      </c>
      <c r="AY8" s="118"/>
      <c r="AZ8" s="118"/>
      <c r="BA8" s="118"/>
      <c r="BB8" s="118">
        <v>0</v>
      </c>
      <c r="BC8" s="118"/>
      <c r="BD8" s="118">
        <v>0</v>
      </c>
      <c r="BE8" s="118">
        <v>0</v>
      </c>
      <c r="BF8" s="118">
        <v>0</v>
      </c>
      <c r="BG8" s="118">
        <v>0</v>
      </c>
    </row>
    <row r="9" spans="1:60" s="220" customFormat="1" ht="14.1" hidden="1" customHeight="1" outlineLevel="1" x14ac:dyDescent="0.2">
      <c r="A9" s="235"/>
      <c r="B9" s="217" t="s">
        <v>516</v>
      </c>
      <c r="C9" s="218">
        <v>33738</v>
      </c>
      <c r="D9" s="218">
        <v>35049</v>
      </c>
      <c r="E9" s="218">
        <v>38778</v>
      </c>
      <c r="F9" s="218">
        <v>24879</v>
      </c>
      <c r="G9" s="218">
        <v>2780</v>
      </c>
      <c r="H9" s="218">
        <v>792</v>
      </c>
      <c r="I9" s="218">
        <v>766</v>
      </c>
      <c r="J9" s="218">
        <v>231</v>
      </c>
      <c r="K9" s="218">
        <v>0</v>
      </c>
      <c r="L9" s="218">
        <v>0</v>
      </c>
      <c r="M9" s="218">
        <v>0</v>
      </c>
      <c r="N9" s="218">
        <v>0</v>
      </c>
      <c r="O9" s="218">
        <v>0</v>
      </c>
      <c r="P9" s="218">
        <v>0</v>
      </c>
      <c r="Q9" s="218">
        <v>0</v>
      </c>
      <c r="R9" s="218">
        <v>0</v>
      </c>
      <c r="S9" s="218">
        <v>0</v>
      </c>
      <c r="T9" s="218">
        <v>0</v>
      </c>
      <c r="U9" s="218">
        <v>0</v>
      </c>
      <c r="V9" s="218">
        <v>0</v>
      </c>
      <c r="W9" s="218">
        <v>0</v>
      </c>
      <c r="X9" s="218">
        <v>0</v>
      </c>
      <c r="Y9" s="218">
        <v>0</v>
      </c>
      <c r="Z9" s="218">
        <v>0</v>
      </c>
      <c r="AA9" s="218">
        <v>0</v>
      </c>
      <c r="AB9" s="218">
        <v>0</v>
      </c>
      <c r="AC9" s="218">
        <v>0</v>
      </c>
      <c r="AD9" s="218"/>
      <c r="AE9" s="160">
        <v>0</v>
      </c>
      <c r="AF9" s="118">
        <v>0</v>
      </c>
      <c r="AG9" s="118">
        <v>0</v>
      </c>
      <c r="AH9" s="118">
        <v>0</v>
      </c>
      <c r="AI9" s="118">
        <v>0</v>
      </c>
      <c r="AJ9" s="118">
        <v>0</v>
      </c>
      <c r="AK9" s="118">
        <v>0</v>
      </c>
      <c r="AL9" s="118">
        <v>0</v>
      </c>
      <c r="AM9" s="118">
        <v>0</v>
      </c>
      <c r="AN9" s="118">
        <v>0</v>
      </c>
      <c r="AO9" s="118">
        <v>0</v>
      </c>
      <c r="AP9" s="118"/>
      <c r="AQ9" s="118">
        <v>0</v>
      </c>
      <c r="AR9" s="118">
        <v>0</v>
      </c>
      <c r="AS9" s="118">
        <v>0</v>
      </c>
      <c r="AT9" s="118">
        <v>0</v>
      </c>
      <c r="AU9" s="118">
        <v>0</v>
      </c>
      <c r="AV9" s="118">
        <v>0</v>
      </c>
      <c r="AW9" s="118">
        <v>0</v>
      </c>
      <c r="AX9" s="118">
        <v>0</v>
      </c>
      <c r="AY9" s="118"/>
      <c r="AZ9" s="118"/>
      <c r="BA9" s="118"/>
      <c r="BB9" s="118">
        <v>0</v>
      </c>
      <c r="BC9" s="118"/>
      <c r="BD9" s="118">
        <v>0</v>
      </c>
      <c r="BE9" s="118">
        <v>0</v>
      </c>
      <c r="BF9" s="118">
        <v>0</v>
      </c>
      <c r="BG9" s="118">
        <v>0</v>
      </c>
    </row>
    <row r="10" spans="1:60" ht="14.1" customHeight="1" collapsed="1" x14ac:dyDescent="0.2">
      <c r="A10" s="23"/>
      <c r="B10" s="119" t="s">
        <v>66</v>
      </c>
      <c r="C10" s="120">
        <f t="shared" ref="C10:AK10" si="0">SUM(C6:C9)</f>
        <v>127576</v>
      </c>
      <c r="D10" s="120">
        <f t="shared" si="0"/>
        <v>143173</v>
      </c>
      <c r="E10" s="120">
        <f t="shared" si="0"/>
        <v>161320</v>
      </c>
      <c r="F10" s="120">
        <f t="shared" si="0"/>
        <v>155913</v>
      </c>
      <c r="G10" s="120">
        <f t="shared" si="0"/>
        <v>114880</v>
      </c>
      <c r="H10" s="120">
        <f t="shared" si="0"/>
        <v>115483</v>
      </c>
      <c r="I10" s="120">
        <f t="shared" si="0"/>
        <v>117446</v>
      </c>
      <c r="J10" s="120">
        <f t="shared" si="0"/>
        <v>133383</v>
      </c>
      <c r="K10" s="120">
        <f t="shared" si="0"/>
        <v>120607</v>
      </c>
      <c r="L10" s="120">
        <f t="shared" si="0"/>
        <v>116580</v>
      </c>
      <c r="M10" s="120">
        <f t="shared" si="0"/>
        <v>98578</v>
      </c>
      <c r="N10" s="120">
        <f t="shared" si="0"/>
        <v>61586</v>
      </c>
      <c r="O10" s="120">
        <f t="shared" si="0"/>
        <v>56728</v>
      </c>
      <c r="P10" s="120">
        <f t="shared" si="0"/>
        <v>59956</v>
      </c>
      <c r="Q10" s="120">
        <f t="shared" si="0"/>
        <v>63960</v>
      </c>
      <c r="R10" s="120">
        <f t="shared" si="0"/>
        <v>62197.638749999998</v>
      </c>
      <c r="S10" s="120">
        <f t="shared" si="0"/>
        <v>52438.910459999999</v>
      </c>
      <c r="T10" s="120">
        <f t="shared" si="0"/>
        <v>50624.91019000001</v>
      </c>
      <c r="U10" s="120">
        <f t="shared" si="0"/>
        <v>48181.630469999996</v>
      </c>
      <c r="V10" s="120">
        <f t="shared" si="0"/>
        <v>48777.547270000003</v>
      </c>
      <c r="W10" s="120">
        <f t="shared" si="0"/>
        <v>48717.342169999996</v>
      </c>
      <c r="X10" s="120">
        <f t="shared" si="0"/>
        <v>48049.863870000001</v>
      </c>
      <c r="Y10" s="120">
        <f t="shared" si="0"/>
        <v>50445.274439999994</v>
      </c>
      <c r="Z10" s="120">
        <f t="shared" si="0"/>
        <v>54087.619529999996</v>
      </c>
      <c r="AA10" s="120">
        <f t="shared" si="0"/>
        <v>47791.897820000006</v>
      </c>
      <c r="AB10" s="120">
        <f t="shared" si="0"/>
        <v>45118.782989999992</v>
      </c>
      <c r="AC10" s="120">
        <f t="shared" si="0"/>
        <v>50056.113029999993</v>
      </c>
      <c r="AD10" s="120">
        <f t="shared" si="0"/>
        <v>47941.790019999993</v>
      </c>
      <c r="AE10" s="162">
        <f t="shared" si="0"/>
        <v>45576.200000000004</v>
      </c>
      <c r="AF10" s="120">
        <f t="shared" si="0"/>
        <v>45477.30472</v>
      </c>
      <c r="AG10" s="120">
        <f t="shared" si="0"/>
        <v>49444.072350000002</v>
      </c>
      <c r="AH10" s="120">
        <f t="shared" si="0"/>
        <v>49006.12429</v>
      </c>
      <c r="AI10" s="120">
        <f t="shared" si="0"/>
        <v>46798.437100000003</v>
      </c>
      <c r="AJ10" s="120">
        <f t="shared" si="0"/>
        <v>51640.242859999998</v>
      </c>
      <c r="AK10" s="120">
        <f t="shared" si="0"/>
        <v>52814.545720000002</v>
      </c>
      <c r="AL10" s="120">
        <f t="shared" ref="AL10:AR10" si="1">SUM(AL6:AL9)</f>
        <v>49157.816579999999</v>
      </c>
      <c r="AM10" s="120">
        <f t="shared" si="1"/>
        <v>40685.805</v>
      </c>
      <c r="AN10" s="120">
        <f t="shared" si="1"/>
        <v>44766.588499999998</v>
      </c>
      <c r="AO10" s="120">
        <f t="shared" si="1"/>
        <v>45483.075720000001</v>
      </c>
      <c r="AP10" s="120">
        <f t="shared" si="1"/>
        <v>40436.241730000009</v>
      </c>
      <c r="AQ10" s="120">
        <f t="shared" si="1"/>
        <v>48354.774229999995</v>
      </c>
      <c r="AR10" s="120">
        <f t="shared" si="1"/>
        <v>46644.168120000002</v>
      </c>
      <c r="AS10" s="120">
        <f>SUM(AS6:AS9)</f>
        <v>51373.626230000002</v>
      </c>
      <c r="AT10" s="120">
        <f>SUM(AT6:AT9)</f>
        <v>44837.835890000002</v>
      </c>
      <c r="AU10" s="120">
        <f>SUM(AU6:AU9)</f>
        <v>47323.97638</v>
      </c>
      <c r="AV10" s="120">
        <f>SUM(AV6:AV9)</f>
        <v>43144.14963</v>
      </c>
      <c r="AW10" s="120">
        <v>50027.470160000004</v>
      </c>
      <c r="AX10" s="120">
        <f t="shared" ref="AX10:BD10" si="2">SUM(AX6:AX7)</f>
        <v>49218.7</v>
      </c>
      <c r="AY10" s="120">
        <f t="shared" si="2"/>
        <v>50683.687290000002</v>
      </c>
      <c r="AZ10" s="120">
        <f t="shared" si="2"/>
        <v>55719.131580000001</v>
      </c>
      <c r="BA10" s="120">
        <f t="shared" si="2"/>
        <v>50868.375529999998</v>
      </c>
      <c r="BB10" s="120">
        <f t="shared" si="2"/>
        <v>49988.152990000002</v>
      </c>
      <c r="BC10" s="120">
        <f t="shared" si="2"/>
        <v>55602.698880000004</v>
      </c>
      <c r="BD10" s="120">
        <f t="shared" si="2"/>
        <v>54247.260320000001</v>
      </c>
      <c r="BE10" s="120">
        <f>SUM(BE6:BE7)</f>
        <v>41985.478689999996</v>
      </c>
      <c r="BF10" s="120">
        <f>SUM(BF6:BF7)</f>
        <v>47361.427729999996</v>
      </c>
      <c r="BG10" s="120">
        <f>SUM(BG6:BG7)</f>
        <v>50799.559019999993</v>
      </c>
    </row>
    <row r="11" spans="1:60" ht="14.1" customHeight="1" x14ac:dyDescent="0.2">
      <c r="A11" s="24"/>
      <c r="B11" s="117" t="s">
        <v>744</v>
      </c>
      <c r="C11" s="118">
        <f>+C12-C10</f>
        <v>-23821</v>
      </c>
      <c r="D11" s="118">
        <f t="shared" ref="D11:N11" si="3">+D12-D10</f>
        <v>-27412</v>
      </c>
      <c r="E11" s="118">
        <f t="shared" si="3"/>
        <v>-29755</v>
      </c>
      <c r="F11" s="118">
        <f t="shared" si="3"/>
        <v>-29896</v>
      </c>
      <c r="G11" s="118">
        <f t="shared" si="3"/>
        <v>-21653</v>
      </c>
      <c r="H11" s="118">
        <f t="shared" si="3"/>
        <v>-21793</v>
      </c>
      <c r="I11" s="118">
        <f t="shared" si="3"/>
        <v>-23873</v>
      </c>
      <c r="J11" s="118">
        <f t="shared" si="3"/>
        <v>-26747</v>
      </c>
      <c r="K11" s="118">
        <f t="shared" si="3"/>
        <v>-25609</v>
      </c>
      <c r="L11" s="118">
        <f t="shared" si="3"/>
        <v>-23318</v>
      </c>
      <c r="M11" s="118">
        <f t="shared" si="3"/>
        <v>-20465</v>
      </c>
      <c r="N11" s="118">
        <f t="shared" si="3"/>
        <v>-11446</v>
      </c>
      <c r="O11" s="118">
        <v>-10581</v>
      </c>
      <c r="P11" s="118">
        <v>-11355</v>
      </c>
      <c r="Q11" s="118">
        <v>-11966</v>
      </c>
      <c r="R11" s="118">
        <v>-11655.476699999985</v>
      </c>
      <c r="S11" s="118">
        <v>-9375.1964199999929</v>
      </c>
      <c r="T11" s="118">
        <v>-8925.1992200000095</v>
      </c>
      <c r="U11" s="118">
        <v>-8282.4121899999955</v>
      </c>
      <c r="V11" s="118">
        <v>-8425.4632100000017</v>
      </c>
      <c r="W11" s="118">
        <v>-8521.600689999992</v>
      </c>
      <c r="X11" s="118">
        <v>1286.1736299999975</v>
      </c>
      <c r="Y11" s="118">
        <v>-8731.8596199999956</v>
      </c>
      <c r="Z11" s="118">
        <v>-9440.1161999999968</v>
      </c>
      <c r="AA11" s="118">
        <v>-8180.1162800000093</v>
      </c>
      <c r="AB11" s="118">
        <v>-7834.0642799999914</v>
      </c>
      <c r="AC11" s="261">
        <v>-14931.181469999996</v>
      </c>
      <c r="AD11" s="261">
        <v>-6991.0880799999941</v>
      </c>
      <c r="AE11" s="160">
        <v>-7802.054750000003</v>
      </c>
      <c r="AF11" s="118">
        <v>-7994.1580099999992</v>
      </c>
      <c r="AG11" s="118">
        <v>-8512.4502900000007</v>
      </c>
      <c r="AH11" s="118">
        <v>-8021.5480800000078</v>
      </c>
      <c r="AI11" s="118">
        <v>-7812.5165100000013</v>
      </c>
      <c r="AJ11" s="118">
        <v>-8377.3944399999964</v>
      </c>
      <c r="AK11" s="118">
        <v>-9090.4414899999974</v>
      </c>
      <c r="AL11" s="118">
        <v>-8753.4944399999949</v>
      </c>
      <c r="AM11" s="118">
        <v>-7598.3961899999995</v>
      </c>
      <c r="AN11" s="118">
        <v>-8127.262569999999</v>
      </c>
      <c r="AO11" s="118">
        <v>-8364.7450700000009</v>
      </c>
      <c r="AP11" s="118">
        <v>-7451.2142800000001</v>
      </c>
      <c r="AQ11" s="118">
        <v>-9083.2088399999993</v>
      </c>
      <c r="AR11" s="118">
        <v>-8211.0274199999985</v>
      </c>
      <c r="AS11" s="118">
        <v>-8995.0151800000021</v>
      </c>
      <c r="AT11" s="118">
        <v>-7850.2991499999989</v>
      </c>
      <c r="AU11" s="118">
        <v>-8325.7838399999964</v>
      </c>
      <c r="AV11" s="118">
        <v>-7397.0650800000003</v>
      </c>
      <c r="AW11" s="118">
        <v>-8874.2566299999962</v>
      </c>
      <c r="AX11" s="118">
        <v>-8788.6658699999971</v>
      </c>
      <c r="AY11" s="118">
        <v>-9024.7368700000006</v>
      </c>
      <c r="AZ11" s="118">
        <v>-10156.115299999998</v>
      </c>
      <c r="BA11" s="118">
        <v>-9046.2838300000003</v>
      </c>
      <c r="BB11" s="118">
        <v>-8964.5530199999994</v>
      </c>
      <c r="BC11" s="118">
        <v>-9780.828499999996</v>
      </c>
      <c r="BD11" s="118">
        <v>-9613.9776100000017</v>
      </c>
      <c r="BE11" s="118">
        <v>-7621.7291400000031</v>
      </c>
      <c r="BF11" s="118">
        <v>-8910.8805900000007</v>
      </c>
      <c r="BG11" s="118">
        <v>-9621.8796700000021</v>
      </c>
    </row>
    <row r="12" spans="1:60" ht="14.1" customHeight="1" x14ac:dyDescent="0.2">
      <c r="A12" s="23"/>
      <c r="B12" s="119" t="s">
        <v>56</v>
      </c>
      <c r="C12" s="120">
        <v>103755</v>
      </c>
      <c r="D12" s="120">
        <v>115761</v>
      </c>
      <c r="E12" s="120">
        <v>131565</v>
      </c>
      <c r="F12" s="120">
        <v>126017</v>
      </c>
      <c r="G12" s="120">
        <v>93227</v>
      </c>
      <c r="H12" s="120">
        <v>93690</v>
      </c>
      <c r="I12" s="120">
        <v>93573</v>
      </c>
      <c r="J12" s="120">
        <v>106636</v>
      </c>
      <c r="K12" s="120">
        <v>94998</v>
      </c>
      <c r="L12" s="120">
        <v>93262</v>
      </c>
      <c r="M12" s="120">
        <v>78113</v>
      </c>
      <c r="N12" s="120">
        <v>50140</v>
      </c>
      <c r="O12" s="120">
        <f t="shared" ref="O12:AO12" si="4">+SUM(O10:O11)</f>
        <v>46147</v>
      </c>
      <c r="P12" s="120">
        <f t="shared" si="4"/>
        <v>48601</v>
      </c>
      <c r="Q12" s="120">
        <f t="shared" si="4"/>
        <v>51994</v>
      </c>
      <c r="R12" s="120">
        <f t="shared" si="4"/>
        <v>50542.162050000014</v>
      </c>
      <c r="S12" s="120">
        <f t="shared" si="4"/>
        <v>43063.714040000006</v>
      </c>
      <c r="T12" s="120">
        <f t="shared" si="4"/>
        <v>41699.71097</v>
      </c>
      <c r="U12" s="120">
        <f t="shared" si="4"/>
        <v>39899.218280000001</v>
      </c>
      <c r="V12" s="120">
        <f t="shared" si="4"/>
        <v>40352.084060000001</v>
      </c>
      <c r="W12" s="120">
        <f t="shared" si="4"/>
        <v>40195.741480000004</v>
      </c>
      <c r="X12" s="334">
        <f t="shared" si="4"/>
        <v>49336.037499999999</v>
      </c>
      <c r="Y12" s="120">
        <f t="shared" si="4"/>
        <v>41713.414819999998</v>
      </c>
      <c r="Z12" s="120">
        <f t="shared" si="4"/>
        <v>44647.50333</v>
      </c>
      <c r="AA12" s="120">
        <f t="shared" si="4"/>
        <v>39611.781539999996</v>
      </c>
      <c r="AB12" s="120">
        <f t="shared" si="4"/>
        <v>37284.718710000001</v>
      </c>
      <c r="AC12" s="120">
        <f t="shared" si="4"/>
        <v>35124.931559999997</v>
      </c>
      <c r="AD12" s="120">
        <f t="shared" si="4"/>
        <v>40950.701939999999</v>
      </c>
      <c r="AE12" s="162">
        <f t="shared" si="4"/>
        <v>37774.145250000001</v>
      </c>
      <c r="AF12" s="120">
        <f t="shared" si="4"/>
        <v>37483.146710000001</v>
      </c>
      <c r="AG12" s="120">
        <f t="shared" si="4"/>
        <v>40931.622060000002</v>
      </c>
      <c r="AH12" s="120">
        <f t="shared" si="4"/>
        <v>40984.576209999992</v>
      </c>
      <c r="AI12" s="120">
        <f t="shared" si="4"/>
        <v>38985.920590000002</v>
      </c>
      <c r="AJ12" s="120">
        <f t="shared" si="4"/>
        <v>43262.848420000002</v>
      </c>
      <c r="AK12" s="120">
        <f t="shared" si="4"/>
        <v>43724.104230000004</v>
      </c>
      <c r="AL12" s="120">
        <f t="shared" si="4"/>
        <v>40404.322140000004</v>
      </c>
      <c r="AM12" s="120">
        <f t="shared" si="4"/>
        <v>33087.408810000001</v>
      </c>
      <c r="AN12" s="120">
        <f t="shared" si="4"/>
        <v>36639.325929999999</v>
      </c>
      <c r="AO12" s="120">
        <f t="shared" si="4"/>
        <v>37118.330650000004</v>
      </c>
      <c r="AP12" s="120">
        <f t="shared" ref="AP12:AU12" si="5">+SUM(AP10:AP11)</f>
        <v>32985.027450000009</v>
      </c>
      <c r="AQ12" s="120">
        <f t="shared" si="5"/>
        <v>39271.565389999996</v>
      </c>
      <c r="AR12" s="120">
        <f t="shared" si="5"/>
        <v>38433.140700000004</v>
      </c>
      <c r="AS12" s="120">
        <f t="shared" si="5"/>
        <v>42378.61105</v>
      </c>
      <c r="AT12" s="120">
        <f t="shared" si="5"/>
        <v>36987.536740000003</v>
      </c>
      <c r="AU12" s="120">
        <f t="shared" si="5"/>
        <v>38998.192540000004</v>
      </c>
      <c r="AV12" s="120">
        <f t="shared" ref="AV12:BD12" si="6">+SUM(AV10:AV11)</f>
        <v>35747.08455</v>
      </c>
      <c r="AW12" s="120">
        <f t="shared" si="6"/>
        <v>41153.213530000008</v>
      </c>
      <c r="AX12" s="120">
        <f t="shared" si="6"/>
        <v>40430.03413</v>
      </c>
      <c r="AY12" s="120">
        <f t="shared" si="6"/>
        <v>41658.950420000001</v>
      </c>
      <c r="AZ12" s="120">
        <f t="shared" si="6"/>
        <v>45563.016280000003</v>
      </c>
      <c r="BA12" s="120">
        <f t="shared" si="6"/>
        <v>41822.091699999997</v>
      </c>
      <c r="BB12" s="120">
        <f t="shared" si="6"/>
        <v>41023.599970000003</v>
      </c>
      <c r="BC12" s="120">
        <f t="shared" si="6"/>
        <v>45821.870380000008</v>
      </c>
      <c r="BD12" s="120">
        <f t="shared" si="6"/>
        <v>44633.282709999999</v>
      </c>
      <c r="BE12" s="120">
        <f>+SUM(BE10:BE11)</f>
        <v>34363.749549999993</v>
      </c>
      <c r="BF12" s="120">
        <f>+SUM(BF10:BF11)</f>
        <v>38450.547139999995</v>
      </c>
      <c r="BG12" s="120">
        <f>+SUM(BG10:BG11)</f>
        <v>41177.679349999991</v>
      </c>
    </row>
    <row r="13" spans="1:60" ht="14.1" customHeight="1" x14ac:dyDescent="0.2">
      <c r="A13" s="22"/>
      <c r="B13" s="117" t="s">
        <v>871</v>
      </c>
      <c r="C13" s="118">
        <v>-89682</v>
      </c>
      <c r="D13" s="118">
        <v>-102890</v>
      </c>
      <c r="E13" s="118">
        <v>-128966</v>
      </c>
      <c r="F13" s="118">
        <v>-126269</v>
      </c>
      <c r="G13" s="118">
        <v>-108693</v>
      </c>
      <c r="H13" s="118">
        <v>-103880</v>
      </c>
      <c r="I13" s="118">
        <v>-118724</v>
      </c>
      <c r="J13" s="118">
        <v>-117028</v>
      </c>
      <c r="K13" s="118">
        <v>-104665</v>
      </c>
      <c r="L13" s="118">
        <v>-95616</v>
      </c>
      <c r="M13" s="118">
        <v>-66852</v>
      </c>
      <c r="N13" s="118">
        <v>-49378</v>
      </c>
      <c r="O13" s="118">
        <v>-46703</v>
      </c>
      <c r="P13" s="261">
        <v>-54148</v>
      </c>
      <c r="Q13" s="118">
        <v>-49152</v>
      </c>
      <c r="R13" s="261">
        <v>-48466.832119999999</v>
      </c>
      <c r="S13" s="118">
        <v>-39376.193370000001</v>
      </c>
      <c r="T13" s="118">
        <v>-37564.626109999997</v>
      </c>
      <c r="U13" s="118">
        <v>-36474.726699999999</v>
      </c>
      <c r="V13" s="261">
        <v>-34661.394970000001</v>
      </c>
      <c r="W13" s="118">
        <v>-33763.876869999993</v>
      </c>
      <c r="X13" s="118">
        <v>-35062.16257</v>
      </c>
      <c r="Y13" s="118">
        <v>-35168.157510000005</v>
      </c>
      <c r="Z13" s="261">
        <v>-33876.704960000003</v>
      </c>
      <c r="AA13" s="118">
        <v>-32103.398359999996</v>
      </c>
      <c r="AB13" s="118">
        <v>-29829.59719</v>
      </c>
      <c r="AC13" s="118">
        <v>-31606.118449999998</v>
      </c>
      <c r="AD13" s="118">
        <v>-32730.792299999997</v>
      </c>
      <c r="AE13" s="160">
        <v>-24847.719380000002</v>
      </c>
      <c r="AF13" s="118">
        <v>-27137.973819999999</v>
      </c>
      <c r="AG13" s="261">
        <v>-26268.591779999999</v>
      </c>
      <c r="AH13" s="118">
        <v>-27258.207099999996</v>
      </c>
      <c r="AI13" s="118">
        <v>-23949.649169999997</v>
      </c>
      <c r="AJ13" s="118">
        <v>-26755.184610000004</v>
      </c>
      <c r="AK13" s="118">
        <v>-26649.67727</v>
      </c>
      <c r="AL13" s="261">
        <v>-28688.472970000003</v>
      </c>
      <c r="AM13" s="118">
        <v>-22940.262020000002</v>
      </c>
      <c r="AN13" s="118">
        <v>-24186.268790000002</v>
      </c>
      <c r="AO13" s="118">
        <v>-25173.943309999999</v>
      </c>
      <c r="AP13" s="118">
        <v>-22896.50952</v>
      </c>
      <c r="AQ13" s="118">
        <v>-25044.119490000005</v>
      </c>
      <c r="AR13" s="118">
        <v>-26249.11119</v>
      </c>
      <c r="AS13" s="118">
        <v>-28395.833310000005</v>
      </c>
      <c r="AT13" s="118">
        <v>-25579.179450000003</v>
      </c>
      <c r="AU13" s="118">
        <v>-27962.731210000002</v>
      </c>
      <c r="AV13" s="118">
        <v>-24097.067410000003</v>
      </c>
      <c r="AW13" s="118">
        <v>-28659.82591</v>
      </c>
      <c r="AX13" s="118">
        <v>-26994.540899999996</v>
      </c>
      <c r="AY13" s="118">
        <v>-30761.998070000005</v>
      </c>
      <c r="AZ13" s="118">
        <v>-33179.92899</v>
      </c>
      <c r="BA13" s="118">
        <v>-30561.183870000001</v>
      </c>
      <c r="BB13" s="118">
        <v>-31888.350020000002</v>
      </c>
      <c r="BC13" s="118">
        <v>-34249.135450000002</v>
      </c>
      <c r="BD13" s="118">
        <v>-32967.494210000004</v>
      </c>
      <c r="BE13" s="118">
        <v>-26966.71571</v>
      </c>
      <c r="BF13" s="118">
        <v>-31345.064120000003</v>
      </c>
      <c r="BG13" s="118">
        <v>-30701.950629999999</v>
      </c>
    </row>
    <row r="14" spans="1:60" ht="14.1" customHeight="1" x14ac:dyDescent="0.2">
      <c r="A14" s="23"/>
      <c r="B14" s="119" t="s">
        <v>393</v>
      </c>
      <c r="C14" s="120">
        <f t="shared" ref="C14:AJ14" si="7">C12+C13</f>
        <v>14073</v>
      </c>
      <c r="D14" s="120">
        <f t="shared" si="7"/>
        <v>12871</v>
      </c>
      <c r="E14" s="120">
        <f t="shared" si="7"/>
        <v>2599</v>
      </c>
      <c r="F14" s="120">
        <f t="shared" si="7"/>
        <v>-252</v>
      </c>
      <c r="G14" s="120">
        <f t="shared" si="7"/>
        <v>-15466</v>
      </c>
      <c r="H14" s="120">
        <f t="shared" si="7"/>
        <v>-10190</v>
      </c>
      <c r="I14" s="120">
        <f t="shared" si="7"/>
        <v>-25151</v>
      </c>
      <c r="J14" s="120">
        <f t="shared" si="7"/>
        <v>-10392</v>
      </c>
      <c r="K14" s="120">
        <f t="shared" si="7"/>
        <v>-9667</v>
      </c>
      <c r="L14" s="120">
        <f t="shared" si="7"/>
        <v>-2354</v>
      </c>
      <c r="M14" s="120">
        <f t="shared" si="7"/>
        <v>11261</v>
      </c>
      <c r="N14" s="120">
        <f t="shared" si="7"/>
        <v>762</v>
      </c>
      <c r="O14" s="120">
        <f t="shared" si="7"/>
        <v>-556</v>
      </c>
      <c r="P14" s="120">
        <f t="shared" si="7"/>
        <v>-5547</v>
      </c>
      <c r="Q14" s="120">
        <f t="shared" si="7"/>
        <v>2842</v>
      </c>
      <c r="R14" s="120">
        <f t="shared" si="7"/>
        <v>2075.3299300000144</v>
      </c>
      <c r="S14" s="120">
        <f t="shared" si="7"/>
        <v>3687.5206700000053</v>
      </c>
      <c r="T14" s="120">
        <f t="shared" si="7"/>
        <v>4135.0848600000027</v>
      </c>
      <c r="U14" s="120">
        <f t="shared" si="7"/>
        <v>3424.4915800000017</v>
      </c>
      <c r="V14" s="120">
        <f t="shared" si="7"/>
        <v>5690.6890899999999</v>
      </c>
      <c r="W14" s="120">
        <f t="shared" si="7"/>
        <v>6431.8646100000115</v>
      </c>
      <c r="X14" s="120">
        <f t="shared" si="7"/>
        <v>14273.874929999998</v>
      </c>
      <c r="Y14" s="120">
        <f t="shared" si="7"/>
        <v>6545.2573099999936</v>
      </c>
      <c r="Z14" s="120">
        <f t="shared" si="7"/>
        <v>10770.798369999997</v>
      </c>
      <c r="AA14" s="120">
        <f t="shared" si="7"/>
        <v>7508.3831800000007</v>
      </c>
      <c r="AB14" s="120">
        <f t="shared" si="7"/>
        <v>7455.1215200000006</v>
      </c>
      <c r="AC14" s="120">
        <f t="shared" si="7"/>
        <v>3518.8131099999991</v>
      </c>
      <c r="AD14" s="120">
        <f t="shared" si="7"/>
        <v>8219.9096400000017</v>
      </c>
      <c r="AE14" s="162">
        <f t="shared" si="7"/>
        <v>12926.425869999999</v>
      </c>
      <c r="AF14" s="120">
        <f t="shared" si="7"/>
        <v>10345.172890000002</v>
      </c>
      <c r="AG14" s="120">
        <f t="shared" si="7"/>
        <v>14663.030280000003</v>
      </c>
      <c r="AH14" s="120">
        <f t="shared" si="7"/>
        <v>13726.369109999996</v>
      </c>
      <c r="AI14" s="120">
        <f t="shared" si="7"/>
        <v>15036.271420000005</v>
      </c>
      <c r="AJ14" s="120">
        <f t="shared" si="7"/>
        <v>16507.663809999998</v>
      </c>
      <c r="AK14" s="120">
        <f t="shared" ref="AK14:AR14" si="8">AK12+AK13</f>
        <v>17074.426960000004</v>
      </c>
      <c r="AL14" s="120">
        <f t="shared" si="8"/>
        <v>11715.849170000001</v>
      </c>
      <c r="AM14" s="120">
        <f t="shared" si="8"/>
        <v>10147.146789999999</v>
      </c>
      <c r="AN14" s="120">
        <f t="shared" si="8"/>
        <v>12453.057139999997</v>
      </c>
      <c r="AO14" s="120">
        <f t="shared" si="8"/>
        <v>11944.387340000005</v>
      </c>
      <c r="AP14" s="120">
        <f t="shared" si="8"/>
        <v>10088.517930000009</v>
      </c>
      <c r="AQ14" s="120">
        <f t="shared" si="8"/>
        <v>14227.445899999992</v>
      </c>
      <c r="AR14" s="120">
        <f t="shared" si="8"/>
        <v>12184.029510000004</v>
      </c>
      <c r="AS14" s="120">
        <f t="shared" ref="AS14:BD14" si="9">AS12+AS13</f>
        <v>13982.777739999994</v>
      </c>
      <c r="AT14" s="120">
        <f t="shared" si="9"/>
        <v>11408.35729</v>
      </c>
      <c r="AU14" s="120">
        <f t="shared" si="9"/>
        <v>11035.461330000002</v>
      </c>
      <c r="AV14" s="120">
        <f t="shared" si="9"/>
        <v>11650.017139999996</v>
      </c>
      <c r="AW14" s="120">
        <f t="shared" si="9"/>
        <v>12493.387620000009</v>
      </c>
      <c r="AX14" s="120">
        <f t="shared" si="9"/>
        <v>13435.493230000004</v>
      </c>
      <c r="AY14" s="120">
        <f t="shared" si="9"/>
        <v>10896.952349999996</v>
      </c>
      <c r="AZ14" s="120">
        <f t="shared" si="9"/>
        <v>12383.087290000003</v>
      </c>
      <c r="BA14" s="120">
        <f t="shared" si="9"/>
        <v>11260.907829999996</v>
      </c>
      <c r="BB14" s="120">
        <f t="shared" si="9"/>
        <v>9135.2499500000013</v>
      </c>
      <c r="BC14" s="120">
        <f t="shared" si="9"/>
        <v>11572.734930000006</v>
      </c>
      <c r="BD14" s="120">
        <f t="shared" si="9"/>
        <v>11665.788499999995</v>
      </c>
      <c r="BE14" s="120">
        <f>BE12+BE13</f>
        <v>7397.0338399999928</v>
      </c>
      <c r="BF14" s="120">
        <f>BF12+BF13</f>
        <v>7105.4830199999924</v>
      </c>
      <c r="BG14" s="120">
        <f>BG12+BG13</f>
        <v>10475.728719999992</v>
      </c>
    </row>
    <row r="15" spans="1:60" ht="14.1" customHeight="1" x14ac:dyDescent="0.2">
      <c r="A15" s="22"/>
      <c r="B15" s="117" t="s">
        <v>872</v>
      </c>
      <c r="C15" s="118">
        <v>-5280</v>
      </c>
      <c r="D15" s="118">
        <v>-7013</v>
      </c>
      <c r="E15" s="118">
        <v>-8231</v>
      </c>
      <c r="F15" s="118">
        <v>5337</v>
      </c>
      <c r="G15" s="118">
        <v>-3003</v>
      </c>
      <c r="H15" s="118">
        <v>-10172</v>
      </c>
      <c r="I15" s="118">
        <v>-3633</v>
      </c>
      <c r="J15" s="118">
        <v>-2318</v>
      </c>
      <c r="K15" s="118">
        <v>-919</v>
      </c>
      <c r="L15" s="118">
        <v>-2308</v>
      </c>
      <c r="M15" s="118">
        <v>-15300</v>
      </c>
      <c r="N15" s="118">
        <v>2474</v>
      </c>
      <c r="O15" s="118">
        <v>1177</v>
      </c>
      <c r="P15" s="118">
        <v>-1850</v>
      </c>
      <c r="Q15" s="118">
        <v>-2767</v>
      </c>
      <c r="R15" s="261">
        <v>-16744.44572</v>
      </c>
      <c r="S15" s="118">
        <v>-165.55530000000022</v>
      </c>
      <c r="T15" s="118">
        <v>-1212.54413</v>
      </c>
      <c r="U15" s="118">
        <v>-1639.86968</v>
      </c>
      <c r="V15" s="118">
        <v>-2588.8256799999999</v>
      </c>
      <c r="W15" s="118">
        <v>-1342.9465300000002</v>
      </c>
      <c r="X15" s="261">
        <v>-4629.9583400000001</v>
      </c>
      <c r="Y15" s="261">
        <v>-6174.9351400000014</v>
      </c>
      <c r="Z15" s="261">
        <v>-9192.1338500000002</v>
      </c>
      <c r="AA15" s="118">
        <v>-667.74580000000003</v>
      </c>
      <c r="AB15" s="118">
        <v>-554.25487999999996</v>
      </c>
      <c r="AC15" s="118">
        <v>-382.59770999999995</v>
      </c>
      <c r="AD15" s="261">
        <v>-4590.3418099999999</v>
      </c>
      <c r="AE15" s="160">
        <v>600.34452999999996</v>
      </c>
      <c r="AF15" s="118">
        <v>446.94294000000008</v>
      </c>
      <c r="AG15" s="261">
        <v>1595.35897</v>
      </c>
      <c r="AH15" s="118">
        <v>-1102.86581</v>
      </c>
      <c r="AI15" s="118">
        <v>-95.066719999999975</v>
      </c>
      <c r="AJ15" s="118">
        <v>-199.52291000000005</v>
      </c>
      <c r="AK15" s="118">
        <v>-557.19947999999999</v>
      </c>
      <c r="AL15" s="261">
        <v>-1845.8614499999999</v>
      </c>
      <c r="AM15" s="118">
        <v>-76.880210000000019</v>
      </c>
      <c r="AN15" s="261">
        <v>5151.1847200000002</v>
      </c>
      <c r="AO15" s="118">
        <v>13.98998000000006</v>
      </c>
      <c r="AP15" s="261">
        <v>1827.4412299999997</v>
      </c>
      <c r="AQ15" s="118">
        <v>-202.53901000000008</v>
      </c>
      <c r="AR15" s="118">
        <v>-829.83764999999994</v>
      </c>
      <c r="AS15" s="118">
        <v>-11.300450000000097</v>
      </c>
      <c r="AT15" s="118">
        <v>-142.48084999999998</v>
      </c>
      <c r="AU15" s="118">
        <v>92.010109999999983</v>
      </c>
      <c r="AV15" s="118">
        <v>-84.018460000000218</v>
      </c>
      <c r="AW15" s="118">
        <v>-74.616739999999965</v>
      </c>
      <c r="AX15" s="118">
        <v>-1699.2201799999996</v>
      </c>
      <c r="AY15" s="261">
        <v>-2540.4430400000001</v>
      </c>
      <c r="AZ15" s="261">
        <v>-1844.8559499999999</v>
      </c>
      <c r="BA15" s="261">
        <v>-3253.43165</v>
      </c>
      <c r="BB15" s="261">
        <v>-3407.9472599999999</v>
      </c>
      <c r="BC15" s="118">
        <v>-3188.3353599999996</v>
      </c>
      <c r="BD15" s="118">
        <v>-3306.1176299999997</v>
      </c>
      <c r="BE15" s="118">
        <v>-2584.8586</v>
      </c>
      <c r="BF15" s="118">
        <v>-3729.5138999999995</v>
      </c>
      <c r="BG15" s="118">
        <v>-1802.3571699999998</v>
      </c>
    </row>
    <row r="16" spans="1:60" ht="14.1" customHeight="1" x14ac:dyDescent="0.2">
      <c r="A16" s="23"/>
      <c r="B16" s="119" t="s">
        <v>8</v>
      </c>
      <c r="C16" s="120">
        <f t="shared" ref="C16:AP16" si="10">+C14+C15</f>
        <v>8793</v>
      </c>
      <c r="D16" s="120">
        <f t="shared" si="10"/>
        <v>5858</v>
      </c>
      <c r="E16" s="120">
        <f t="shared" si="10"/>
        <v>-5632</v>
      </c>
      <c r="F16" s="120">
        <f t="shared" si="10"/>
        <v>5085</v>
      </c>
      <c r="G16" s="120">
        <f t="shared" si="10"/>
        <v>-18469</v>
      </c>
      <c r="H16" s="120">
        <f t="shared" si="10"/>
        <v>-20362</v>
      </c>
      <c r="I16" s="120">
        <f t="shared" si="10"/>
        <v>-28784</v>
      </c>
      <c r="J16" s="120">
        <f t="shared" si="10"/>
        <v>-12710</v>
      </c>
      <c r="K16" s="120">
        <f t="shared" si="10"/>
        <v>-10586</v>
      </c>
      <c r="L16" s="120">
        <f t="shared" si="10"/>
        <v>-4662</v>
      </c>
      <c r="M16" s="120">
        <f t="shared" si="10"/>
        <v>-4039</v>
      </c>
      <c r="N16" s="120">
        <f t="shared" si="10"/>
        <v>3236</v>
      </c>
      <c r="O16" s="120">
        <f t="shared" si="10"/>
        <v>621</v>
      </c>
      <c r="P16" s="120">
        <f t="shared" si="10"/>
        <v>-7397</v>
      </c>
      <c r="Q16" s="120">
        <f t="shared" si="10"/>
        <v>75</v>
      </c>
      <c r="R16" s="120">
        <f t="shared" si="10"/>
        <v>-14669.115789999985</v>
      </c>
      <c r="S16" s="120">
        <f t="shared" si="10"/>
        <v>3521.9653700000054</v>
      </c>
      <c r="T16" s="120">
        <f t="shared" si="10"/>
        <v>2922.5407300000024</v>
      </c>
      <c r="U16" s="120">
        <f t="shared" si="10"/>
        <v>1784.6219000000017</v>
      </c>
      <c r="V16" s="120">
        <f t="shared" si="10"/>
        <v>3101.8634099999999</v>
      </c>
      <c r="W16" s="120">
        <f t="shared" si="10"/>
        <v>5088.9180800000113</v>
      </c>
      <c r="X16" s="120">
        <f t="shared" si="10"/>
        <v>9643.9165899999971</v>
      </c>
      <c r="Y16" s="120">
        <f t="shared" si="10"/>
        <v>370.32216999999218</v>
      </c>
      <c r="Z16" s="120">
        <f t="shared" si="10"/>
        <v>1578.6645199999966</v>
      </c>
      <c r="AA16" s="120">
        <f t="shared" si="10"/>
        <v>6840.637380000001</v>
      </c>
      <c r="AB16" s="120">
        <f t="shared" si="10"/>
        <v>6900.8666400000002</v>
      </c>
      <c r="AC16" s="120">
        <f t="shared" si="10"/>
        <v>3136.2153999999991</v>
      </c>
      <c r="AD16" s="120">
        <f t="shared" si="10"/>
        <v>3629.5678300000018</v>
      </c>
      <c r="AE16" s="162">
        <f t="shared" si="10"/>
        <v>13526.770399999999</v>
      </c>
      <c r="AF16" s="120">
        <f t="shared" si="10"/>
        <v>10792.115830000002</v>
      </c>
      <c r="AG16" s="120">
        <f t="shared" si="10"/>
        <v>16258.389250000002</v>
      </c>
      <c r="AH16" s="120">
        <f t="shared" si="10"/>
        <v>12623.503299999997</v>
      </c>
      <c r="AI16" s="120">
        <f t="shared" si="10"/>
        <v>14941.204700000004</v>
      </c>
      <c r="AJ16" s="120">
        <f t="shared" si="10"/>
        <v>16308.140899999999</v>
      </c>
      <c r="AK16" s="120">
        <f t="shared" si="10"/>
        <v>16517.227480000005</v>
      </c>
      <c r="AL16" s="120">
        <f t="shared" si="10"/>
        <v>9869.987720000001</v>
      </c>
      <c r="AM16" s="120">
        <f t="shared" si="10"/>
        <v>10070.26658</v>
      </c>
      <c r="AN16" s="120">
        <f t="shared" si="10"/>
        <v>17604.241859999998</v>
      </c>
      <c r="AO16" s="120">
        <f t="shared" si="10"/>
        <v>11958.377320000005</v>
      </c>
      <c r="AP16" s="120">
        <f t="shared" si="10"/>
        <v>11915.959160000009</v>
      </c>
      <c r="AQ16" s="120">
        <f t="shared" ref="AQ16:AV16" si="11">+AQ14+AQ15</f>
        <v>14024.906889999991</v>
      </c>
      <c r="AR16" s="120">
        <f t="shared" si="11"/>
        <v>11354.191860000004</v>
      </c>
      <c r="AS16" s="120">
        <f t="shared" si="11"/>
        <v>13971.477289999993</v>
      </c>
      <c r="AT16" s="120">
        <f t="shared" si="11"/>
        <v>11265.87644</v>
      </c>
      <c r="AU16" s="120">
        <f t="shared" si="11"/>
        <v>11127.471440000001</v>
      </c>
      <c r="AV16" s="120">
        <f t="shared" si="11"/>
        <v>11565.998679999997</v>
      </c>
      <c r="AW16" s="120">
        <f t="shared" ref="AW16:BD16" si="12">+AW14+AW15</f>
        <v>12418.770880000009</v>
      </c>
      <c r="AX16" s="120">
        <f t="shared" si="12"/>
        <v>11736.273050000003</v>
      </c>
      <c r="AY16" s="120">
        <f t="shared" si="12"/>
        <v>8356.5093099999958</v>
      </c>
      <c r="AZ16" s="120">
        <f t="shared" si="12"/>
        <v>10538.231340000004</v>
      </c>
      <c r="BA16" s="120">
        <f t="shared" si="12"/>
        <v>8007.476179999996</v>
      </c>
      <c r="BB16" s="120">
        <f t="shared" si="12"/>
        <v>5727.3026900000013</v>
      </c>
      <c r="BC16" s="120">
        <f t="shared" si="12"/>
        <v>8384.3995700000069</v>
      </c>
      <c r="BD16" s="120">
        <f t="shared" si="12"/>
        <v>8359.6708699999945</v>
      </c>
      <c r="BE16" s="120">
        <f>+BE14+BE15</f>
        <v>4812.1752399999932</v>
      </c>
      <c r="BF16" s="120">
        <f>+BF14+BF15</f>
        <v>3375.9691199999929</v>
      </c>
      <c r="BG16" s="120">
        <f>+BG14+BG15</f>
        <v>8673.3715499999926</v>
      </c>
    </row>
    <row r="17" spans="1:59" ht="14.1" customHeight="1" x14ac:dyDescent="0.2">
      <c r="A17" s="23"/>
      <c r="B17" s="336" t="s">
        <v>865</v>
      </c>
      <c r="C17" s="118" t="s">
        <v>160</v>
      </c>
      <c r="D17" s="118" t="s">
        <v>160</v>
      </c>
      <c r="E17" s="118" t="s">
        <v>160</v>
      </c>
      <c r="F17" s="118" t="s">
        <v>160</v>
      </c>
      <c r="G17" s="118" t="s">
        <v>160</v>
      </c>
      <c r="H17" s="118" t="s">
        <v>160</v>
      </c>
      <c r="I17" s="118" t="s">
        <v>160</v>
      </c>
      <c r="J17" s="118" t="s">
        <v>160</v>
      </c>
      <c r="K17" s="118" t="s">
        <v>160</v>
      </c>
      <c r="L17" s="118" t="s">
        <v>160</v>
      </c>
      <c r="M17" s="118" t="s">
        <v>160</v>
      </c>
      <c r="N17" s="118" t="s">
        <v>160</v>
      </c>
      <c r="O17" s="118" t="s">
        <v>160</v>
      </c>
      <c r="P17" s="118" t="s">
        <v>160</v>
      </c>
      <c r="Q17" s="118" t="s">
        <v>160</v>
      </c>
      <c r="R17" s="118" t="s">
        <v>160</v>
      </c>
      <c r="S17" s="118" t="s">
        <v>160</v>
      </c>
      <c r="T17" s="118" t="s">
        <v>160</v>
      </c>
      <c r="U17" s="118" t="s">
        <v>160</v>
      </c>
      <c r="V17" s="118" t="s">
        <v>160</v>
      </c>
      <c r="W17" s="118" t="s">
        <v>160</v>
      </c>
      <c r="X17" s="118" t="s">
        <v>160</v>
      </c>
      <c r="Y17" s="118" t="s">
        <v>160</v>
      </c>
      <c r="Z17" s="118" t="s">
        <v>160</v>
      </c>
      <c r="AA17" s="118" t="s">
        <v>160</v>
      </c>
      <c r="AB17" s="118" t="s">
        <v>160</v>
      </c>
      <c r="AC17" s="118" t="s">
        <v>160</v>
      </c>
      <c r="AD17" s="118">
        <v>-372.3470810139998</v>
      </c>
      <c r="AE17" s="160">
        <v>0</v>
      </c>
      <c r="AF17" s="118">
        <v>0</v>
      </c>
      <c r="AG17" s="118">
        <v>-1600.9180111586791</v>
      </c>
      <c r="AH17" s="118">
        <v>0</v>
      </c>
      <c r="AI17" s="118">
        <v>0</v>
      </c>
      <c r="AJ17" s="118">
        <v>0</v>
      </c>
      <c r="AK17" s="118">
        <v>0</v>
      </c>
      <c r="AL17" s="118">
        <v>0</v>
      </c>
      <c r="AM17" s="118">
        <v>0</v>
      </c>
      <c r="AN17" s="118">
        <v>-5732.7137899999998</v>
      </c>
      <c r="AO17" s="118">
        <v>0</v>
      </c>
      <c r="AP17" s="118">
        <v>0</v>
      </c>
      <c r="AQ17" s="118">
        <v>0</v>
      </c>
      <c r="AR17" s="118">
        <v>0</v>
      </c>
      <c r="AS17" s="118">
        <v>0</v>
      </c>
      <c r="AT17" s="118">
        <v>0</v>
      </c>
      <c r="AU17" s="118">
        <v>0</v>
      </c>
      <c r="AV17" s="118">
        <v>0</v>
      </c>
      <c r="AW17" s="118">
        <v>0</v>
      </c>
      <c r="AX17" s="118">
        <v>0</v>
      </c>
      <c r="AY17" s="118" t="s">
        <v>160</v>
      </c>
      <c r="AZ17" s="118" t="s">
        <v>160</v>
      </c>
      <c r="BA17" s="118">
        <v>0</v>
      </c>
      <c r="BB17" s="118">
        <v>0</v>
      </c>
      <c r="BC17" s="118">
        <v>0</v>
      </c>
      <c r="BD17" s="118">
        <v>0</v>
      </c>
      <c r="BE17" s="118">
        <v>0</v>
      </c>
      <c r="BF17" s="118">
        <v>0</v>
      </c>
      <c r="BG17" s="118">
        <v>0</v>
      </c>
    </row>
    <row r="18" spans="1:59" ht="14.1" customHeight="1" x14ac:dyDescent="0.2">
      <c r="A18" s="23"/>
      <c r="B18" s="336" t="s">
        <v>1112</v>
      </c>
      <c r="C18" s="118" t="s">
        <v>160</v>
      </c>
      <c r="D18" s="118" t="s">
        <v>160</v>
      </c>
      <c r="E18" s="118" t="s">
        <v>160</v>
      </c>
      <c r="F18" s="118" t="s">
        <v>160</v>
      </c>
      <c r="G18" s="118" t="s">
        <v>160</v>
      </c>
      <c r="H18" s="118" t="s">
        <v>160</v>
      </c>
      <c r="I18" s="118" t="s">
        <v>160</v>
      </c>
      <c r="J18" s="118" t="s">
        <v>160</v>
      </c>
      <c r="K18" s="118" t="s">
        <v>160</v>
      </c>
      <c r="L18" s="118" t="s">
        <v>160</v>
      </c>
      <c r="M18" s="118" t="s">
        <v>160</v>
      </c>
      <c r="N18" s="118" t="s">
        <v>160</v>
      </c>
      <c r="O18" s="118" t="s">
        <v>160</v>
      </c>
      <c r="P18" s="118" t="s">
        <v>160</v>
      </c>
      <c r="Q18" s="118" t="s">
        <v>160</v>
      </c>
      <c r="R18" s="118" t="s">
        <v>160</v>
      </c>
      <c r="S18" s="118" t="s">
        <v>160</v>
      </c>
      <c r="T18" s="118" t="s">
        <v>160</v>
      </c>
      <c r="U18" s="118" t="s">
        <v>160</v>
      </c>
      <c r="V18" s="118" t="s">
        <v>160</v>
      </c>
      <c r="W18" s="118" t="s">
        <v>160</v>
      </c>
      <c r="X18" s="118" t="s">
        <v>160</v>
      </c>
      <c r="Y18" s="118" t="s">
        <v>160</v>
      </c>
      <c r="Z18" s="118" t="s">
        <v>160</v>
      </c>
      <c r="AA18" s="118" t="s">
        <v>160</v>
      </c>
      <c r="AB18" s="118" t="s">
        <v>160</v>
      </c>
      <c r="AC18" s="118" t="s">
        <v>160</v>
      </c>
      <c r="AD18" s="118" t="s">
        <v>160</v>
      </c>
      <c r="AE18" s="160" t="s">
        <v>160</v>
      </c>
      <c r="AF18" s="118" t="s">
        <v>160</v>
      </c>
      <c r="AG18" s="118" t="s">
        <v>160</v>
      </c>
      <c r="AH18" s="118" t="s">
        <v>160</v>
      </c>
      <c r="AI18" s="118" t="s">
        <v>160</v>
      </c>
      <c r="AJ18" s="118" t="s">
        <v>160</v>
      </c>
      <c r="AK18" s="118" t="s">
        <v>160</v>
      </c>
      <c r="AL18" s="118" t="s">
        <v>160</v>
      </c>
      <c r="AM18" s="118" t="s">
        <v>160</v>
      </c>
      <c r="AN18" s="118" t="s">
        <v>160</v>
      </c>
      <c r="AO18" s="118" t="s">
        <v>160</v>
      </c>
      <c r="AP18" s="118">
        <v>-2591</v>
      </c>
      <c r="AQ18" s="118" t="s">
        <v>160</v>
      </c>
      <c r="AR18" s="118" t="s">
        <v>160</v>
      </c>
      <c r="AS18" s="118" t="s">
        <v>160</v>
      </c>
      <c r="AT18" s="118" t="s">
        <v>160</v>
      </c>
      <c r="AU18" s="118" t="s">
        <v>160</v>
      </c>
      <c r="AV18" s="118" t="s">
        <v>160</v>
      </c>
      <c r="AW18" s="118" t="s">
        <v>160</v>
      </c>
      <c r="AX18" s="118" t="s">
        <v>160</v>
      </c>
      <c r="AY18" s="118" t="s">
        <v>160</v>
      </c>
      <c r="AZ18" s="118" t="s">
        <v>160</v>
      </c>
      <c r="BA18" s="118" t="s">
        <v>160</v>
      </c>
      <c r="BB18" s="118" t="s">
        <v>160</v>
      </c>
      <c r="BC18" s="118" t="s">
        <v>160</v>
      </c>
      <c r="BD18" s="118" t="s">
        <v>160</v>
      </c>
      <c r="BE18" s="118" t="s">
        <v>160</v>
      </c>
      <c r="BF18" s="118" t="s">
        <v>160</v>
      </c>
      <c r="BG18" s="118" t="s">
        <v>160</v>
      </c>
    </row>
    <row r="19" spans="1:59" ht="14.1" customHeight="1" x14ac:dyDescent="0.2">
      <c r="A19" s="23"/>
      <c r="B19" s="336" t="s">
        <v>1102</v>
      </c>
      <c r="C19" s="118" t="s">
        <v>160</v>
      </c>
      <c r="D19" s="118" t="s">
        <v>160</v>
      </c>
      <c r="E19" s="118" t="s">
        <v>160</v>
      </c>
      <c r="F19" s="118" t="s">
        <v>160</v>
      </c>
      <c r="G19" s="118" t="s">
        <v>160</v>
      </c>
      <c r="H19" s="118" t="s">
        <v>160</v>
      </c>
      <c r="I19" s="118" t="s">
        <v>160</v>
      </c>
      <c r="J19" s="118" t="s">
        <v>160</v>
      </c>
      <c r="K19" s="118" t="s">
        <v>160</v>
      </c>
      <c r="L19" s="118" t="s">
        <v>160</v>
      </c>
      <c r="M19" s="118" t="s">
        <v>160</v>
      </c>
      <c r="N19" s="118" t="s">
        <v>160</v>
      </c>
      <c r="O19" s="118" t="s">
        <v>160</v>
      </c>
      <c r="P19" s="118" t="s">
        <v>160</v>
      </c>
      <c r="Q19" s="118" t="s">
        <v>160</v>
      </c>
      <c r="R19" s="118" t="s">
        <v>160</v>
      </c>
      <c r="S19" s="118" t="s">
        <v>160</v>
      </c>
      <c r="T19" s="118" t="s">
        <v>160</v>
      </c>
      <c r="U19" s="118" t="s">
        <v>160</v>
      </c>
      <c r="V19" s="118" t="s">
        <v>160</v>
      </c>
      <c r="W19" s="118" t="s">
        <v>160</v>
      </c>
      <c r="X19" s="118" t="s">
        <v>160</v>
      </c>
      <c r="Y19" s="118" t="s">
        <v>160</v>
      </c>
      <c r="Z19" s="118" t="s">
        <v>160</v>
      </c>
      <c r="AA19" s="118" t="s">
        <v>160</v>
      </c>
      <c r="AB19" s="118" t="s">
        <v>160</v>
      </c>
      <c r="AC19" s="118" t="s">
        <v>160</v>
      </c>
      <c r="AD19" s="118" t="s">
        <v>160</v>
      </c>
      <c r="AE19" s="160" t="s">
        <v>160</v>
      </c>
      <c r="AF19" s="118" t="s">
        <v>160</v>
      </c>
      <c r="AG19" s="118" t="s">
        <v>160</v>
      </c>
      <c r="AH19" s="118" t="s">
        <v>160</v>
      </c>
      <c r="AI19" s="118" t="s">
        <v>160</v>
      </c>
      <c r="AJ19" s="118" t="s">
        <v>160</v>
      </c>
      <c r="AK19" s="118" t="s">
        <v>160</v>
      </c>
      <c r="AL19" s="118" t="s">
        <v>160</v>
      </c>
      <c r="AM19" s="118" t="s">
        <v>160</v>
      </c>
      <c r="AN19" s="118" t="s">
        <v>160</v>
      </c>
      <c r="AO19" s="118">
        <v>0</v>
      </c>
      <c r="AP19" s="118">
        <v>0</v>
      </c>
      <c r="AQ19" s="118">
        <v>0</v>
      </c>
      <c r="AR19" s="118">
        <v>0</v>
      </c>
      <c r="AS19" s="118">
        <v>0</v>
      </c>
      <c r="AT19" s="118">
        <v>0</v>
      </c>
      <c r="AU19" s="118">
        <v>0</v>
      </c>
      <c r="AV19" s="118">
        <v>0</v>
      </c>
      <c r="AW19" s="118">
        <v>0</v>
      </c>
      <c r="AX19" s="118">
        <v>0</v>
      </c>
      <c r="AY19" s="118" t="s">
        <v>160</v>
      </c>
      <c r="AZ19" s="118" t="s">
        <v>160</v>
      </c>
      <c r="BA19" s="118">
        <v>0</v>
      </c>
      <c r="BB19" s="118">
        <v>0</v>
      </c>
      <c r="BC19" s="118">
        <v>0</v>
      </c>
      <c r="BD19" s="118">
        <v>0</v>
      </c>
      <c r="BE19" s="118">
        <v>0</v>
      </c>
      <c r="BF19" s="118">
        <v>0</v>
      </c>
      <c r="BG19" s="118">
        <v>0</v>
      </c>
    </row>
    <row r="20" spans="1:59" ht="14.1" customHeight="1" x14ac:dyDescent="0.2">
      <c r="A20" s="23"/>
      <c r="B20" s="336" t="s">
        <v>892</v>
      </c>
      <c r="C20" s="118">
        <v>0</v>
      </c>
      <c r="D20" s="118">
        <v>0</v>
      </c>
      <c r="E20" s="118">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0</v>
      </c>
      <c r="AA20" s="118">
        <v>0</v>
      </c>
      <c r="AB20" s="118">
        <v>0</v>
      </c>
      <c r="AC20" s="118">
        <v>0</v>
      </c>
      <c r="AD20" s="118">
        <v>0</v>
      </c>
      <c r="AE20" s="160">
        <v>0</v>
      </c>
      <c r="AF20" s="118">
        <v>0</v>
      </c>
      <c r="AG20" s="118">
        <v>0</v>
      </c>
      <c r="AH20" s="118">
        <v>0</v>
      </c>
      <c r="AI20" s="118">
        <v>0</v>
      </c>
      <c r="AJ20" s="118">
        <v>0</v>
      </c>
      <c r="AK20" s="118">
        <v>0</v>
      </c>
      <c r="AL20" s="118">
        <v>0</v>
      </c>
      <c r="AM20" s="118">
        <v>0</v>
      </c>
      <c r="AN20" s="118">
        <v>0</v>
      </c>
      <c r="AO20" s="118">
        <v>0</v>
      </c>
      <c r="AP20" s="118">
        <v>0</v>
      </c>
      <c r="AQ20" s="118">
        <v>0</v>
      </c>
      <c r="AR20" s="118">
        <v>0</v>
      </c>
      <c r="AS20" s="118">
        <v>0</v>
      </c>
      <c r="AT20" s="118">
        <v>0</v>
      </c>
      <c r="AU20" s="118">
        <v>0</v>
      </c>
      <c r="AV20" s="118">
        <v>0</v>
      </c>
      <c r="AW20" s="118">
        <v>0</v>
      </c>
      <c r="AX20" s="118">
        <v>0</v>
      </c>
      <c r="AY20" s="118" t="s">
        <v>160</v>
      </c>
      <c r="AZ20" s="118" t="s">
        <v>160</v>
      </c>
      <c r="BA20" s="118">
        <v>0</v>
      </c>
      <c r="BB20" s="118">
        <v>0</v>
      </c>
      <c r="BC20" s="118">
        <v>0</v>
      </c>
      <c r="BD20" s="118">
        <v>0</v>
      </c>
      <c r="BE20" s="118">
        <v>0</v>
      </c>
      <c r="BF20" s="118">
        <v>0</v>
      </c>
      <c r="BG20" s="118">
        <v>0</v>
      </c>
    </row>
    <row r="21" spans="1:59" ht="14.1" customHeight="1" x14ac:dyDescent="0.2">
      <c r="A21" s="23"/>
      <c r="B21" s="336" t="s">
        <v>388</v>
      </c>
      <c r="C21" s="118">
        <v>0</v>
      </c>
      <c r="D21" s="118">
        <v>0</v>
      </c>
      <c r="E21" s="118">
        <v>0</v>
      </c>
      <c r="F21" s="118">
        <v>0</v>
      </c>
      <c r="G21" s="118">
        <v>0</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18">
        <v>0</v>
      </c>
      <c r="Y21" s="118">
        <v>0</v>
      </c>
      <c r="Z21" s="118">
        <v>-5147.630339999997</v>
      </c>
      <c r="AA21" s="118" t="s">
        <v>160</v>
      </c>
      <c r="AB21" s="118" t="s">
        <v>160</v>
      </c>
      <c r="AC21" s="118" t="s">
        <v>160</v>
      </c>
      <c r="AD21" s="118">
        <v>0</v>
      </c>
      <c r="AE21" s="160">
        <v>0</v>
      </c>
      <c r="AF21" s="118">
        <v>0</v>
      </c>
      <c r="AG21" s="118">
        <v>0</v>
      </c>
      <c r="AH21" s="118">
        <v>0</v>
      </c>
      <c r="AI21" s="118">
        <v>0</v>
      </c>
      <c r="AJ21" s="118">
        <v>0</v>
      </c>
      <c r="AK21" s="118">
        <v>0</v>
      </c>
      <c r="AL21" s="118">
        <v>0</v>
      </c>
      <c r="AM21" s="118">
        <v>0</v>
      </c>
      <c r="AN21" s="118">
        <v>0</v>
      </c>
      <c r="AO21" s="118">
        <v>0</v>
      </c>
      <c r="AP21" s="118">
        <v>0</v>
      </c>
      <c r="AQ21" s="118">
        <v>0</v>
      </c>
      <c r="AR21" s="118">
        <v>0</v>
      </c>
      <c r="AS21" s="118">
        <v>0</v>
      </c>
      <c r="AT21" s="118">
        <v>0</v>
      </c>
      <c r="AU21" s="118">
        <v>0</v>
      </c>
      <c r="AV21" s="118">
        <v>0</v>
      </c>
      <c r="AW21" s="118">
        <v>0</v>
      </c>
      <c r="AX21" s="118">
        <v>0</v>
      </c>
      <c r="AY21" s="118" t="s">
        <v>160</v>
      </c>
      <c r="AZ21" s="118" t="s">
        <v>160</v>
      </c>
      <c r="BA21" s="118">
        <v>0</v>
      </c>
      <c r="BB21" s="118">
        <v>0</v>
      </c>
      <c r="BC21" s="118">
        <v>0</v>
      </c>
      <c r="BD21" s="118">
        <v>0</v>
      </c>
      <c r="BE21" s="118">
        <v>0</v>
      </c>
      <c r="BF21" s="118">
        <v>0</v>
      </c>
      <c r="BG21" s="118">
        <v>0</v>
      </c>
    </row>
    <row r="22" spans="1:59" ht="14.1" customHeight="1" x14ac:dyDescent="0.2">
      <c r="A22" s="23"/>
      <c r="B22" s="336" t="s">
        <v>1131</v>
      </c>
      <c r="C22" s="118">
        <v>0</v>
      </c>
      <c r="D22" s="118">
        <v>0</v>
      </c>
      <c r="E22" s="118">
        <v>0</v>
      </c>
      <c r="F22" s="118">
        <v>0</v>
      </c>
      <c r="G22" s="118">
        <v>0</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18">
        <v>0</v>
      </c>
      <c r="Y22" s="118">
        <v>0</v>
      </c>
      <c r="Z22" s="118">
        <v>0</v>
      </c>
      <c r="AA22" s="118" t="s">
        <v>160</v>
      </c>
      <c r="AB22" s="118" t="s">
        <v>160</v>
      </c>
      <c r="AC22" s="118" t="s">
        <v>160</v>
      </c>
      <c r="AD22" s="118">
        <v>0</v>
      </c>
      <c r="AE22" s="160">
        <v>0</v>
      </c>
      <c r="AF22" s="118">
        <v>0</v>
      </c>
      <c r="AG22" s="118">
        <v>0</v>
      </c>
      <c r="AH22" s="118">
        <v>0</v>
      </c>
      <c r="AI22" s="118">
        <v>0</v>
      </c>
      <c r="AJ22" s="118">
        <v>0</v>
      </c>
      <c r="AK22" s="118">
        <v>0</v>
      </c>
      <c r="AL22" s="118">
        <v>0</v>
      </c>
      <c r="AM22" s="118">
        <v>0</v>
      </c>
      <c r="AN22" s="118">
        <v>0</v>
      </c>
      <c r="AO22" s="118">
        <v>0</v>
      </c>
      <c r="AP22" s="118">
        <v>0</v>
      </c>
      <c r="AQ22" s="118">
        <v>0</v>
      </c>
      <c r="AR22" s="118">
        <v>0</v>
      </c>
      <c r="AS22" s="118">
        <v>0</v>
      </c>
      <c r="AT22" s="118">
        <v>0</v>
      </c>
      <c r="AU22" s="118">
        <v>0</v>
      </c>
      <c r="AV22" s="118">
        <v>0</v>
      </c>
      <c r="AW22" s="118">
        <v>0</v>
      </c>
      <c r="AX22" s="118">
        <v>0</v>
      </c>
      <c r="AY22" s="118" t="s">
        <v>160</v>
      </c>
      <c r="AZ22" s="118" t="s">
        <v>160</v>
      </c>
      <c r="BA22" s="118">
        <v>0</v>
      </c>
      <c r="BB22" s="118">
        <v>0</v>
      </c>
      <c r="BC22" s="118">
        <v>0</v>
      </c>
      <c r="BD22" s="118">
        <v>0</v>
      </c>
      <c r="BE22" s="118">
        <v>0</v>
      </c>
      <c r="BF22" s="118">
        <v>0</v>
      </c>
      <c r="BG22" s="118">
        <v>0</v>
      </c>
    </row>
    <row r="23" spans="1:59" ht="14.1" customHeight="1" x14ac:dyDescent="0.2">
      <c r="A23" s="23"/>
      <c r="B23" s="336" t="s">
        <v>775</v>
      </c>
      <c r="C23" s="118" t="s">
        <v>160</v>
      </c>
      <c r="D23" s="118" t="s">
        <v>160</v>
      </c>
      <c r="E23" s="118" t="s">
        <v>160</v>
      </c>
      <c r="F23" s="118" t="s">
        <v>160</v>
      </c>
      <c r="G23" s="118" t="s">
        <v>160</v>
      </c>
      <c r="H23" s="118" t="s">
        <v>160</v>
      </c>
      <c r="I23" s="118" t="s">
        <v>160</v>
      </c>
      <c r="J23" s="118" t="s">
        <v>160</v>
      </c>
      <c r="K23" s="118" t="s">
        <v>160</v>
      </c>
      <c r="L23" s="118" t="s">
        <v>160</v>
      </c>
      <c r="M23" s="118" t="s">
        <v>160</v>
      </c>
      <c r="N23" s="118" t="s">
        <v>160</v>
      </c>
      <c r="O23" s="118" t="s">
        <v>160</v>
      </c>
      <c r="P23" s="118" t="s">
        <v>160</v>
      </c>
      <c r="Q23" s="118" t="s">
        <v>160</v>
      </c>
      <c r="R23" s="118" t="s">
        <v>160</v>
      </c>
      <c r="S23" s="118" t="s">
        <v>160</v>
      </c>
      <c r="T23" s="118" t="s">
        <v>160</v>
      </c>
      <c r="U23" s="118" t="s">
        <v>160</v>
      </c>
      <c r="V23" s="118" t="s">
        <v>160</v>
      </c>
      <c r="W23" s="118" t="s">
        <v>160</v>
      </c>
      <c r="X23" s="118" t="s">
        <v>160</v>
      </c>
      <c r="Y23" s="118" t="s">
        <v>160</v>
      </c>
      <c r="Z23" s="118" t="s">
        <v>160</v>
      </c>
      <c r="AA23" s="118" t="s">
        <v>160</v>
      </c>
      <c r="AB23" s="118" t="s">
        <v>160</v>
      </c>
      <c r="AC23" s="118">
        <f>5251.75993</f>
        <v>5251.7599300000002</v>
      </c>
      <c r="AD23" s="118">
        <v>0</v>
      </c>
      <c r="AE23" s="160">
        <v>0</v>
      </c>
      <c r="AF23" s="118">
        <v>0</v>
      </c>
      <c r="AG23" s="118">
        <v>0</v>
      </c>
      <c r="AH23" s="118">
        <v>0</v>
      </c>
      <c r="AI23" s="118">
        <v>0</v>
      </c>
      <c r="AJ23" s="118">
        <v>0</v>
      </c>
      <c r="AK23" s="118">
        <v>0</v>
      </c>
      <c r="AL23" s="118">
        <v>0</v>
      </c>
      <c r="AM23" s="118">
        <v>0</v>
      </c>
      <c r="AN23" s="118">
        <v>0</v>
      </c>
      <c r="AO23" s="118">
        <v>0</v>
      </c>
      <c r="AP23" s="118">
        <v>0</v>
      </c>
      <c r="AQ23" s="118">
        <v>0</v>
      </c>
      <c r="AR23" s="118">
        <v>0</v>
      </c>
      <c r="AS23" s="118">
        <v>0</v>
      </c>
      <c r="AT23" s="118">
        <v>0</v>
      </c>
      <c r="AU23" s="118">
        <v>0</v>
      </c>
      <c r="AV23" s="118">
        <v>0</v>
      </c>
      <c r="AW23" s="118">
        <v>0</v>
      </c>
      <c r="AX23" s="118">
        <v>0</v>
      </c>
      <c r="AY23" s="118" t="s">
        <v>160</v>
      </c>
      <c r="AZ23" s="118" t="s">
        <v>160</v>
      </c>
      <c r="BA23" s="118">
        <v>0</v>
      </c>
      <c r="BB23" s="118">
        <v>0</v>
      </c>
      <c r="BC23" s="118">
        <v>0</v>
      </c>
      <c r="BD23" s="118">
        <v>0</v>
      </c>
      <c r="BE23" s="118">
        <v>0</v>
      </c>
      <c r="BF23" s="118">
        <v>0</v>
      </c>
      <c r="BG23" s="118">
        <v>0</v>
      </c>
    </row>
    <row r="24" spans="1:59" ht="14.1" customHeight="1" x14ac:dyDescent="0.2">
      <c r="A24" s="23"/>
      <c r="B24" s="336" t="s">
        <v>52</v>
      </c>
      <c r="C24" s="118">
        <v>0</v>
      </c>
      <c r="D24" s="118">
        <v>0</v>
      </c>
      <c r="E24" s="118">
        <v>0</v>
      </c>
      <c r="F24" s="118">
        <v>0</v>
      </c>
      <c r="G24" s="118">
        <v>0</v>
      </c>
      <c r="H24" s="118">
        <v>0</v>
      </c>
      <c r="I24" s="118">
        <v>0</v>
      </c>
      <c r="J24" s="118">
        <v>0</v>
      </c>
      <c r="K24" s="118">
        <v>6918</v>
      </c>
      <c r="L24" s="118">
        <v>0</v>
      </c>
      <c r="M24" s="118">
        <v>0</v>
      </c>
      <c r="N24" s="118">
        <v>0</v>
      </c>
      <c r="O24" s="118">
        <v>0</v>
      </c>
      <c r="P24" s="118">
        <v>0</v>
      </c>
      <c r="Q24" s="118">
        <v>0</v>
      </c>
      <c r="R24" s="118">
        <f>'Despesas por Natureza'!J30+'Despesas por Natureza'!J27</f>
        <v>6697.1685799999996</v>
      </c>
      <c r="S24" s="118">
        <v>0</v>
      </c>
      <c r="T24" s="118">
        <v>0</v>
      </c>
      <c r="U24" s="118">
        <v>0</v>
      </c>
      <c r="V24" s="118">
        <v>0</v>
      </c>
      <c r="W24" s="118">
        <v>0</v>
      </c>
      <c r="X24" s="118">
        <v>0</v>
      </c>
      <c r="Y24" s="118">
        <v>0</v>
      </c>
      <c r="Z24" s="118">
        <v>0</v>
      </c>
      <c r="AA24" s="118">
        <v>0</v>
      </c>
      <c r="AB24" s="118">
        <v>0</v>
      </c>
      <c r="AC24" s="118">
        <v>0</v>
      </c>
      <c r="AD24" s="118">
        <v>0</v>
      </c>
      <c r="AE24" s="160">
        <v>0</v>
      </c>
      <c r="AF24" s="118">
        <v>0</v>
      </c>
      <c r="AG24" s="118">
        <v>0</v>
      </c>
      <c r="AH24" s="118">
        <v>0</v>
      </c>
      <c r="AI24" s="118">
        <v>0</v>
      </c>
      <c r="AJ24" s="118">
        <v>0</v>
      </c>
      <c r="AK24" s="118">
        <v>0</v>
      </c>
      <c r="AL24" s="118">
        <v>5220.2719999999999</v>
      </c>
      <c r="AM24" s="118">
        <v>0</v>
      </c>
      <c r="AN24" s="118">
        <v>0</v>
      </c>
      <c r="AO24" s="118">
        <v>0</v>
      </c>
      <c r="AP24" s="118">
        <v>0</v>
      </c>
      <c r="AQ24" s="118">
        <v>0</v>
      </c>
      <c r="AR24" s="118">
        <v>0</v>
      </c>
      <c r="AS24" s="118">
        <v>0</v>
      </c>
      <c r="AT24" s="118">
        <v>0</v>
      </c>
      <c r="AU24" s="118">
        <v>0</v>
      </c>
      <c r="AV24" s="118">
        <v>0</v>
      </c>
      <c r="AW24" s="118">
        <v>0</v>
      </c>
      <c r="AX24" s="118">
        <v>0</v>
      </c>
      <c r="AY24" s="118" t="s">
        <v>160</v>
      </c>
      <c r="AZ24" s="118" t="s">
        <v>160</v>
      </c>
      <c r="BA24" s="118">
        <v>0</v>
      </c>
      <c r="BB24" s="118">
        <v>0</v>
      </c>
      <c r="BC24" s="118">
        <v>0</v>
      </c>
      <c r="BD24" s="118">
        <v>0</v>
      </c>
      <c r="BE24" s="118">
        <v>0</v>
      </c>
      <c r="BF24" s="118">
        <v>0</v>
      </c>
      <c r="BG24" s="118">
        <v>0</v>
      </c>
    </row>
    <row r="25" spans="1:59" ht="14.1" customHeight="1" x14ac:dyDescent="0.2">
      <c r="A25" s="23"/>
      <c r="B25" s="336" t="s">
        <v>630</v>
      </c>
      <c r="C25" s="118">
        <v>0</v>
      </c>
      <c r="D25" s="118">
        <v>0</v>
      </c>
      <c r="E25" s="118">
        <v>0</v>
      </c>
      <c r="F25" s="118">
        <v>0</v>
      </c>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18">
        <v>0</v>
      </c>
      <c r="Y25" s="118">
        <f>+'Demais Contas a Receber'!Q41-'Demais Contas a Receber'!R41</f>
        <v>5733</v>
      </c>
      <c r="Z25" s="118">
        <f>+'Demais Contas a Receber'!R41-'Demais Contas a Receber'!S41</f>
        <v>5731</v>
      </c>
      <c r="AA25" s="118" t="s">
        <v>160</v>
      </c>
      <c r="AB25" s="118" t="s">
        <v>160</v>
      </c>
      <c r="AC25" s="118" t="s">
        <v>160</v>
      </c>
      <c r="AD25" s="118">
        <v>2859.0540299999998</v>
      </c>
      <c r="AE25" s="160">
        <v>0</v>
      </c>
      <c r="AF25" s="118">
        <v>0</v>
      </c>
      <c r="AG25" s="118">
        <v>0</v>
      </c>
      <c r="AH25" s="118">
        <v>0</v>
      </c>
      <c r="AI25" s="118">
        <v>0</v>
      </c>
      <c r="AJ25" s="118">
        <v>0</v>
      </c>
      <c r="AK25" s="118">
        <v>0</v>
      </c>
      <c r="AL25" s="118">
        <v>0</v>
      </c>
      <c r="AM25" s="118">
        <v>0</v>
      </c>
      <c r="AN25" s="118">
        <v>0</v>
      </c>
      <c r="AO25" s="118">
        <v>0</v>
      </c>
      <c r="AP25" s="118">
        <v>0</v>
      </c>
      <c r="AQ25" s="118">
        <v>0</v>
      </c>
      <c r="AR25" s="118">
        <v>0</v>
      </c>
      <c r="AS25" s="118">
        <v>0</v>
      </c>
      <c r="AT25" s="118">
        <v>0</v>
      </c>
      <c r="AU25" s="118">
        <v>0</v>
      </c>
      <c r="AV25" s="118">
        <v>0</v>
      </c>
      <c r="AW25" s="118">
        <v>0</v>
      </c>
      <c r="AX25" s="118">
        <v>0</v>
      </c>
      <c r="AY25" s="118" t="s">
        <v>160</v>
      </c>
      <c r="AZ25" s="118" t="s">
        <v>160</v>
      </c>
      <c r="BA25" s="118">
        <v>0</v>
      </c>
      <c r="BB25" s="118">
        <v>0</v>
      </c>
      <c r="BC25" s="118">
        <v>0</v>
      </c>
      <c r="BD25" s="118">
        <v>0</v>
      </c>
      <c r="BE25" s="118">
        <v>0</v>
      </c>
      <c r="BF25" s="118">
        <v>0</v>
      </c>
      <c r="BG25" s="118">
        <v>0</v>
      </c>
    </row>
    <row r="26" spans="1:59" s="220" customFormat="1" ht="14.1" hidden="1" customHeight="1" outlineLevel="1" x14ac:dyDescent="0.2">
      <c r="A26" s="228"/>
      <c r="B26" s="227" t="s">
        <v>50</v>
      </c>
      <c r="C26" s="218">
        <v>0</v>
      </c>
      <c r="D26" s="218">
        <v>0</v>
      </c>
      <c r="E26" s="218">
        <v>0</v>
      </c>
      <c r="F26" s="218">
        <v>-10000</v>
      </c>
      <c r="G26" s="218">
        <v>0</v>
      </c>
      <c r="H26" s="218">
        <v>0</v>
      </c>
      <c r="I26" s="218">
        <v>0</v>
      </c>
      <c r="J26" s="218">
        <v>0</v>
      </c>
      <c r="K26" s="218">
        <v>0</v>
      </c>
      <c r="L26" s="218">
        <v>0</v>
      </c>
      <c r="M26" s="218">
        <v>0</v>
      </c>
      <c r="N26" s="218">
        <v>0</v>
      </c>
      <c r="O26" s="218">
        <v>0</v>
      </c>
      <c r="P26" s="218">
        <v>0</v>
      </c>
      <c r="Q26" s="218">
        <v>0</v>
      </c>
      <c r="R26" s="218">
        <v>0</v>
      </c>
      <c r="S26" s="218">
        <v>0</v>
      </c>
      <c r="T26" s="218">
        <v>0</v>
      </c>
      <c r="U26" s="218">
        <v>0</v>
      </c>
      <c r="V26" s="218">
        <v>0</v>
      </c>
      <c r="W26" s="218">
        <v>0</v>
      </c>
      <c r="X26" s="218">
        <v>0</v>
      </c>
      <c r="Y26" s="218">
        <v>0</v>
      </c>
      <c r="Z26" s="218">
        <v>0</v>
      </c>
      <c r="AA26" s="218">
        <v>0</v>
      </c>
      <c r="AB26" s="218">
        <v>0</v>
      </c>
      <c r="AC26" s="218">
        <v>0</v>
      </c>
      <c r="AD26" s="218">
        <v>0</v>
      </c>
      <c r="AE26" s="160">
        <v>0</v>
      </c>
      <c r="AF26" s="118">
        <v>0</v>
      </c>
      <c r="AG26" s="118">
        <v>0</v>
      </c>
      <c r="AH26" s="118">
        <v>0</v>
      </c>
      <c r="AI26" s="118">
        <v>0</v>
      </c>
      <c r="AJ26" s="118">
        <v>0</v>
      </c>
      <c r="AK26" s="118">
        <v>0</v>
      </c>
      <c r="AL26" s="118">
        <v>0</v>
      </c>
      <c r="AM26" s="118">
        <v>0</v>
      </c>
      <c r="AN26" s="118">
        <v>0</v>
      </c>
      <c r="AO26" s="118">
        <v>0</v>
      </c>
      <c r="AP26" s="118"/>
      <c r="AQ26" s="118">
        <v>0</v>
      </c>
      <c r="AR26" s="118">
        <v>0</v>
      </c>
      <c r="AS26" s="118">
        <v>0</v>
      </c>
      <c r="AT26" s="118">
        <v>0</v>
      </c>
      <c r="AU26" s="118">
        <v>0</v>
      </c>
      <c r="AV26" s="118">
        <v>0</v>
      </c>
      <c r="AW26" s="118">
        <v>0</v>
      </c>
      <c r="AX26" s="118">
        <v>0</v>
      </c>
      <c r="AY26" s="118"/>
      <c r="AZ26" s="118"/>
      <c r="BA26" s="118"/>
      <c r="BB26" s="118">
        <v>0</v>
      </c>
      <c r="BC26" s="118"/>
      <c r="BD26" s="118">
        <v>0</v>
      </c>
      <c r="BE26" s="118">
        <v>0</v>
      </c>
      <c r="BF26" s="118">
        <v>0</v>
      </c>
      <c r="BG26" s="118">
        <v>0</v>
      </c>
    </row>
    <row r="27" spans="1:59" s="220" customFormat="1" ht="14.1" hidden="1" customHeight="1" outlineLevel="1" x14ac:dyDescent="0.2">
      <c r="A27" s="228"/>
      <c r="B27" s="227" t="s">
        <v>585</v>
      </c>
      <c r="C27" s="218">
        <v>0</v>
      </c>
      <c r="D27" s="218">
        <v>0</v>
      </c>
      <c r="E27" s="218">
        <v>0</v>
      </c>
      <c r="F27" s="218">
        <v>0</v>
      </c>
      <c r="G27" s="218">
        <v>0</v>
      </c>
      <c r="H27" s="218">
        <v>0</v>
      </c>
      <c r="I27" s="218">
        <v>0</v>
      </c>
      <c r="J27" s="218">
        <v>0</v>
      </c>
      <c r="K27" s="218">
        <v>0</v>
      </c>
      <c r="L27" s="218">
        <v>0</v>
      </c>
      <c r="M27" s="218">
        <v>0</v>
      </c>
      <c r="N27" s="218">
        <v>0</v>
      </c>
      <c r="O27" s="218">
        <v>0</v>
      </c>
      <c r="P27" s="218">
        <v>0</v>
      </c>
      <c r="Q27" s="218">
        <v>0</v>
      </c>
      <c r="R27" s="218">
        <v>0</v>
      </c>
      <c r="S27" s="218">
        <v>0</v>
      </c>
      <c r="T27" s="218">
        <v>0</v>
      </c>
      <c r="U27" s="218">
        <v>0</v>
      </c>
      <c r="V27" s="218">
        <v>0</v>
      </c>
      <c r="W27" s="218">
        <v>0</v>
      </c>
      <c r="X27" s="218">
        <v>0</v>
      </c>
      <c r="Y27" s="218">
        <v>0</v>
      </c>
      <c r="Z27" s="218">
        <v>0</v>
      </c>
      <c r="AA27" s="218">
        <v>0</v>
      </c>
      <c r="AB27" s="218">
        <v>0</v>
      </c>
      <c r="AC27" s="218">
        <v>0</v>
      </c>
      <c r="AD27" s="218">
        <v>0</v>
      </c>
      <c r="AE27" s="160">
        <v>0</v>
      </c>
      <c r="AF27" s="118">
        <v>0</v>
      </c>
      <c r="AG27" s="118">
        <v>0</v>
      </c>
      <c r="AH27" s="118">
        <v>0</v>
      </c>
      <c r="AI27" s="118">
        <v>0</v>
      </c>
      <c r="AJ27" s="118">
        <v>0</v>
      </c>
      <c r="AK27" s="118">
        <v>0</v>
      </c>
      <c r="AL27" s="118">
        <v>0</v>
      </c>
      <c r="AM27" s="118">
        <v>0</v>
      </c>
      <c r="AN27" s="118">
        <v>0</v>
      </c>
      <c r="AO27" s="118">
        <v>0</v>
      </c>
      <c r="AP27" s="118"/>
      <c r="AQ27" s="118">
        <v>0</v>
      </c>
      <c r="AR27" s="118">
        <v>0</v>
      </c>
      <c r="AS27" s="118">
        <v>0</v>
      </c>
      <c r="AT27" s="118">
        <v>0</v>
      </c>
      <c r="AU27" s="118">
        <v>0</v>
      </c>
      <c r="AV27" s="118">
        <v>0</v>
      </c>
      <c r="AW27" s="118">
        <v>0</v>
      </c>
      <c r="AX27" s="118">
        <v>0</v>
      </c>
      <c r="AY27" s="118"/>
      <c r="AZ27" s="118"/>
      <c r="BA27" s="118"/>
      <c r="BB27" s="118">
        <v>0</v>
      </c>
      <c r="BC27" s="118"/>
      <c r="BD27" s="118">
        <v>0</v>
      </c>
      <c r="BE27" s="118">
        <v>0</v>
      </c>
      <c r="BF27" s="118">
        <v>0</v>
      </c>
      <c r="BG27" s="118">
        <v>0</v>
      </c>
    </row>
    <row r="28" spans="1:59" s="220" customFormat="1" ht="14.1" hidden="1" customHeight="1" outlineLevel="1" x14ac:dyDescent="0.2">
      <c r="A28" s="228"/>
      <c r="B28" s="227" t="s">
        <v>684</v>
      </c>
      <c r="C28" s="218">
        <v>0</v>
      </c>
      <c r="D28" s="218">
        <v>0</v>
      </c>
      <c r="E28" s="218">
        <v>0</v>
      </c>
      <c r="F28" s="218">
        <v>0</v>
      </c>
      <c r="G28" s="218">
        <v>0</v>
      </c>
      <c r="H28" s="218">
        <v>0</v>
      </c>
      <c r="I28" s="218">
        <v>0</v>
      </c>
      <c r="J28" s="218">
        <v>0</v>
      </c>
      <c r="K28" s="218">
        <v>0</v>
      </c>
      <c r="L28" s="218">
        <v>0</v>
      </c>
      <c r="M28" s="218">
        <v>0</v>
      </c>
      <c r="N28" s="218">
        <v>0</v>
      </c>
      <c r="O28" s="218">
        <v>0</v>
      </c>
      <c r="P28" s="218">
        <v>0</v>
      </c>
      <c r="Q28" s="218">
        <v>0</v>
      </c>
      <c r="R28" s="218">
        <v>0</v>
      </c>
      <c r="S28" s="218">
        <v>0</v>
      </c>
      <c r="T28" s="218">
        <v>0</v>
      </c>
      <c r="U28" s="218">
        <v>0</v>
      </c>
      <c r="V28" s="218">
        <v>0</v>
      </c>
      <c r="W28" s="218">
        <v>0</v>
      </c>
      <c r="X28" s="218">
        <v>0</v>
      </c>
      <c r="Y28" s="218">
        <v>0</v>
      </c>
      <c r="Z28" s="218">
        <v>1677.1869000000004</v>
      </c>
      <c r="AA28" s="218" t="s">
        <v>160</v>
      </c>
      <c r="AB28" s="218" t="s">
        <v>160</v>
      </c>
      <c r="AC28" s="218" t="s">
        <v>160</v>
      </c>
      <c r="AD28" s="218">
        <v>0</v>
      </c>
      <c r="AE28" s="160">
        <v>0</v>
      </c>
      <c r="AF28" s="118">
        <v>0</v>
      </c>
      <c r="AG28" s="118">
        <v>0</v>
      </c>
      <c r="AH28" s="118">
        <v>0</v>
      </c>
      <c r="AI28" s="118">
        <v>0</v>
      </c>
      <c r="AJ28" s="118">
        <v>0</v>
      </c>
      <c r="AK28" s="118">
        <v>0</v>
      </c>
      <c r="AL28" s="118">
        <v>0</v>
      </c>
      <c r="AM28" s="118">
        <v>0</v>
      </c>
      <c r="AN28" s="118">
        <v>0</v>
      </c>
      <c r="AO28" s="118">
        <v>0</v>
      </c>
      <c r="AP28" s="118"/>
      <c r="AQ28" s="118">
        <v>0</v>
      </c>
      <c r="AR28" s="118">
        <v>0</v>
      </c>
      <c r="AS28" s="118">
        <v>0</v>
      </c>
      <c r="AT28" s="118">
        <v>0</v>
      </c>
      <c r="AU28" s="118">
        <v>0</v>
      </c>
      <c r="AV28" s="118">
        <v>0</v>
      </c>
      <c r="AW28" s="118">
        <v>0</v>
      </c>
      <c r="AX28" s="118">
        <v>0</v>
      </c>
      <c r="AY28" s="118"/>
      <c r="AZ28" s="118"/>
      <c r="BA28" s="118"/>
      <c r="BB28" s="118">
        <v>0</v>
      </c>
      <c r="BC28" s="118"/>
      <c r="BD28" s="118">
        <v>0</v>
      </c>
      <c r="BE28" s="118">
        <v>0</v>
      </c>
      <c r="BF28" s="118">
        <v>0</v>
      </c>
      <c r="BG28" s="118">
        <v>0</v>
      </c>
    </row>
    <row r="29" spans="1:59" s="220" customFormat="1" ht="14.1" hidden="1" customHeight="1" outlineLevel="1" x14ac:dyDescent="0.2">
      <c r="A29" s="228"/>
      <c r="B29" s="227" t="s">
        <v>586</v>
      </c>
      <c r="C29" s="218">
        <v>0</v>
      </c>
      <c r="D29" s="218">
        <v>0</v>
      </c>
      <c r="E29" s="218">
        <v>0</v>
      </c>
      <c r="F29" s="218">
        <v>0</v>
      </c>
      <c r="G29" s="218">
        <v>0</v>
      </c>
      <c r="H29" s="218">
        <v>0</v>
      </c>
      <c r="I29" s="218">
        <v>0</v>
      </c>
      <c r="J29" s="218">
        <v>0</v>
      </c>
      <c r="K29" s="218">
        <v>0</v>
      </c>
      <c r="L29" s="218">
        <v>0</v>
      </c>
      <c r="M29" s="218">
        <v>0</v>
      </c>
      <c r="N29" s="218">
        <v>0</v>
      </c>
      <c r="O29" s="218">
        <v>0</v>
      </c>
      <c r="P29" s="218">
        <v>0</v>
      </c>
      <c r="Q29" s="218">
        <v>0</v>
      </c>
      <c r="R29" s="218">
        <v>0</v>
      </c>
      <c r="S29" s="218">
        <v>0</v>
      </c>
      <c r="T29" s="218">
        <v>0</v>
      </c>
      <c r="U29" s="218">
        <v>0</v>
      </c>
      <c r="V29" s="218">
        <v>0</v>
      </c>
      <c r="W29" s="218">
        <v>0</v>
      </c>
      <c r="X29" s="218">
        <f>+'Demais Contas a Receber'!P13-'Demais Contas a Receber'!Q13</f>
        <v>1767</v>
      </c>
      <c r="Y29" s="218">
        <v>0</v>
      </c>
      <c r="Z29" s="218">
        <v>0</v>
      </c>
      <c r="AA29" s="218">
        <v>0</v>
      </c>
      <c r="AB29" s="218">
        <v>0</v>
      </c>
      <c r="AC29" s="218">
        <v>0</v>
      </c>
      <c r="AD29" s="218">
        <v>0</v>
      </c>
      <c r="AE29" s="160">
        <v>0</v>
      </c>
      <c r="AF29" s="118">
        <v>0</v>
      </c>
      <c r="AG29" s="118">
        <v>0</v>
      </c>
      <c r="AH29" s="118">
        <v>0</v>
      </c>
      <c r="AI29" s="118">
        <v>0</v>
      </c>
      <c r="AJ29" s="118">
        <v>0</v>
      </c>
      <c r="AK29" s="118">
        <v>0</v>
      </c>
      <c r="AL29" s="118">
        <v>0</v>
      </c>
      <c r="AM29" s="118">
        <v>0</v>
      </c>
      <c r="AN29" s="118">
        <v>0</v>
      </c>
      <c r="AO29" s="118">
        <v>0</v>
      </c>
      <c r="AP29" s="118"/>
      <c r="AQ29" s="118">
        <v>0</v>
      </c>
      <c r="AR29" s="118">
        <v>0</v>
      </c>
      <c r="AS29" s="118">
        <v>0</v>
      </c>
      <c r="AT29" s="118">
        <v>0</v>
      </c>
      <c r="AU29" s="118">
        <v>0</v>
      </c>
      <c r="AV29" s="118">
        <v>0</v>
      </c>
      <c r="AW29" s="118">
        <v>0</v>
      </c>
      <c r="AX29" s="118">
        <v>0</v>
      </c>
      <c r="AY29" s="118"/>
      <c r="AZ29" s="118"/>
      <c r="BA29" s="118"/>
      <c r="BB29" s="118">
        <v>0</v>
      </c>
      <c r="BC29" s="118"/>
      <c r="BD29" s="118">
        <v>0</v>
      </c>
      <c r="BE29" s="118">
        <v>0</v>
      </c>
      <c r="BF29" s="118">
        <v>0</v>
      </c>
      <c r="BG29" s="118">
        <v>0</v>
      </c>
    </row>
    <row r="30" spans="1:59" s="220" customFormat="1" ht="14.1" hidden="1" customHeight="1" outlineLevel="1" x14ac:dyDescent="0.2">
      <c r="A30" s="228"/>
      <c r="B30" s="227" t="s">
        <v>587</v>
      </c>
      <c r="C30" s="218">
        <v>0</v>
      </c>
      <c r="D30" s="218">
        <v>0</v>
      </c>
      <c r="E30" s="218">
        <v>0</v>
      </c>
      <c r="F30" s="218">
        <v>0</v>
      </c>
      <c r="G30" s="218">
        <v>0</v>
      </c>
      <c r="H30" s="218">
        <v>0</v>
      </c>
      <c r="I30" s="218">
        <v>0</v>
      </c>
      <c r="J30" s="218">
        <v>0</v>
      </c>
      <c r="K30" s="218">
        <v>0</v>
      </c>
      <c r="L30" s="218">
        <v>0</v>
      </c>
      <c r="M30" s="218">
        <v>0</v>
      </c>
      <c r="N30" s="218">
        <v>0</v>
      </c>
      <c r="O30" s="218">
        <v>0</v>
      </c>
      <c r="P30" s="218">
        <v>0</v>
      </c>
      <c r="Q30" s="218">
        <v>0</v>
      </c>
      <c r="R30" s="218">
        <v>0</v>
      </c>
      <c r="S30" s="218">
        <v>0</v>
      </c>
      <c r="T30" s="218">
        <v>0</v>
      </c>
      <c r="U30" s="218">
        <v>0</v>
      </c>
      <c r="V30" s="218">
        <v>0</v>
      </c>
      <c r="W30" s="218">
        <v>0</v>
      </c>
      <c r="X30" s="218">
        <v>-9847.0333800000008</v>
      </c>
      <c r="Y30" s="218">
        <v>0</v>
      </c>
      <c r="Z30" s="218">
        <v>0</v>
      </c>
      <c r="AA30" s="218">
        <v>0</v>
      </c>
      <c r="AB30" s="218">
        <v>0</v>
      </c>
      <c r="AC30" s="218">
        <v>0</v>
      </c>
      <c r="AD30" s="218">
        <v>0</v>
      </c>
      <c r="AE30" s="160">
        <v>0</v>
      </c>
      <c r="AF30" s="118">
        <v>0</v>
      </c>
      <c r="AG30" s="118">
        <v>0</v>
      </c>
      <c r="AH30" s="118">
        <v>0</v>
      </c>
      <c r="AI30" s="118">
        <v>0</v>
      </c>
      <c r="AJ30" s="118">
        <v>0</v>
      </c>
      <c r="AK30" s="118">
        <v>0</v>
      </c>
      <c r="AL30" s="118">
        <v>0</v>
      </c>
      <c r="AM30" s="118">
        <v>0</v>
      </c>
      <c r="AN30" s="118">
        <v>0</v>
      </c>
      <c r="AO30" s="118">
        <v>0</v>
      </c>
      <c r="AP30" s="118"/>
      <c r="AQ30" s="118">
        <v>0</v>
      </c>
      <c r="AR30" s="118">
        <v>0</v>
      </c>
      <c r="AS30" s="118">
        <v>0</v>
      </c>
      <c r="AT30" s="118">
        <v>0</v>
      </c>
      <c r="AU30" s="118">
        <v>0</v>
      </c>
      <c r="AV30" s="118">
        <v>0</v>
      </c>
      <c r="AW30" s="118">
        <v>0</v>
      </c>
      <c r="AX30" s="118">
        <v>0</v>
      </c>
      <c r="AY30" s="118"/>
      <c r="AZ30" s="118"/>
      <c r="BA30" s="118"/>
      <c r="BB30" s="118">
        <v>0</v>
      </c>
      <c r="BC30" s="118"/>
      <c r="BD30" s="118">
        <v>0</v>
      </c>
      <c r="BE30" s="118">
        <v>0</v>
      </c>
      <c r="BF30" s="118">
        <v>0</v>
      </c>
      <c r="BG30" s="118">
        <v>0</v>
      </c>
    </row>
    <row r="31" spans="1:59" s="220" customFormat="1" ht="14.1" hidden="1" customHeight="1" outlineLevel="1" x14ac:dyDescent="0.2">
      <c r="A31" s="228"/>
      <c r="B31" s="227" t="s">
        <v>51</v>
      </c>
      <c r="C31" s="218">
        <v>0</v>
      </c>
      <c r="D31" s="218">
        <v>468</v>
      </c>
      <c r="E31" s="218">
        <v>234</v>
      </c>
      <c r="F31" s="218">
        <v>606</v>
      </c>
      <c r="G31" s="218">
        <v>1189</v>
      </c>
      <c r="H31" s="218">
        <v>5137</v>
      </c>
      <c r="I31" s="218">
        <v>434</v>
      </c>
      <c r="J31" s="218">
        <v>38</v>
      </c>
      <c r="K31" s="218">
        <v>0</v>
      </c>
      <c r="L31" s="218">
        <v>0</v>
      </c>
      <c r="M31" s="218">
        <v>0</v>
      </c>
      <c r="N31" s="218">
        <v>0</v>
      </c>
      <c r="O31" s="218">
        <v>0</v>
      </c>
      <c r="P31" s="218">
        <v>0</v>
      </c>
      <c r="Q31" s="218">
        <v>0</v>
      </c>
      <c r="R31" s="218">
        <v>0</v>
      </c>
      <c r="S31" s="218">
        <v>0</v>
      </c>
      <c r="T31" s="218">
        <v>0</v>
      </c>
      <c r="U31" s="218">
        <v>0</v>
      </c>
      <c r="V31" s="218">
        <v>0</v>
      </c>
      <c r="W31" s="218">
        <v>0</v>
      </c>
      <c r="X31" s="218">
        <v>0</v>
      </c>
      <c r="Y31" s="218">
        <v>0</v>
      </c>
      <c r="Z31" s="218">
        <v>0</v>
      </c>
      <c r="AA31" s="218">
        <v>0</v>
      </c>
      <c r="AB31" s="218">
        <v>0</v>
      </c>
      <c r="AC31" s="218">
        <v>0</v>
      </c>
      <c r="AD31" s="218">
        <v>0</v>
      </c>
      <c r="AE31" s="160">
        <v>0</v>
      </c>
      <c r="AF31" s="118">
        <v>0</v>
      </c>
      <c r="AG31" s="118">
        <v>0</v>
      </c>
      <c r="AH31" s="118">
        <v>0</v>
      </c>
      <c r="AI31" s="118">
        <v>0</v>
      </c>
      <c r="AJ31" s="118">
        <v>0</v>
      </c>
      <c r="AK31" s="118">
        <v>0</v>
      </c>
      <c r="AL31" s="118">
        <v>0</v>
      </c>
      <c r="AM31" s="118">
        <v>0</v>
      </c>
      <c r="AN31" s="118">
        <v>0</v>
      </c>
      <c r="AO31" s="118">
        <v>0</v>
      </c>
      <c r="AP31" s="118"/>
      <c r="AQ31" s="118">
        <v>0</v>
      </c>
      <c r="AR31" s="118">
        <v>0</v>
      </c>
      <c r="AS31" s="118">
        <v>0</v>
      </c>
      <c r="AT31" s="118">
        <v>0</v>
      </c>
      <c r="AU31" s="118">
        <v>0</v>
      </c>
      <c r="AV31" s="118">
        <v>0</v>
      </c>
      <c r="AW31" s="118">
        <v>0</v>
      </c>
      <c r="AX31" s="118">
        <v>0</v>
      </c>
      <c r="AY31" s="118"/>
      <c r="AZ31" s="118"/>
      <c r="BA31" s="118"/>
      <c r="BB31" s="118">
        <v>0</v>
      </c>
      <c r="BC31" s="118"/>
      <c r="BD31" s="118">
        <v>0</v>
      </c>
      <c r="BE31" s="118">
        <v>0</v>
      </c>
      <c r="BF31" s="118">
        <v>0</v>
      </c>
      <c r="BG31" s="118">
        <v>0</v>
      </c>
    </row>
    <row r="32" spans="1:59" s="220" customFormat="1" ht="14.1" hidden="1" customHeight="1" outlineLevel="1" x14ac:dyDescent="0.2">
      <c r="A32" s="228"/>
      <c r="B32" s="227" t="s">
        <v>53</v>
      </c>
      <c r="C32" s="218">
        <v>0</v>
      </c>
      <c r="D32" s="218">
        <v>0</v>
      </c>
      <c r="E32" s="218">
        <v>0</v>
      </c>
      <c r="F32" s="218">
        <v>0</v>
      </c>
      <c r="G32" s="218">
        <v>0</v>
      </c>
      <c r="H32" s="218">
        <v>0</v>
      </c>
      <c r="I32" s="218">
        <v>0</v>
      </c>
      <c r="J32" s="218">
        <v>0</v>
      </c>
      <c r="K32" s="218">
        <v>0</v>
      </c>
      <c r="L32" s="218">
        <v>0</v>
      </c>
      <c r="M32" s="218">
        <v>0</v>
      </c>
      <c r="N32" s="218">
        <v>0</v>
      </c>
      <c r="O32" s="218">
        <v>0</v>
      </c>
      <c r="P32" s="218">
        <v>0</v>
      </c>
      <c r="Q32" s="218">
        <v>0</v>
      </c>
      <c r="R32" s="218">
        <v>0</v>
      </c>
      <c r="S32" s="218">
        <v>0</v>
      </c>
      <c r="T32" s="218">
        <v>0</v>
      </c>
      <c r="U32" s="218">
        <v>0</v>
      </c>
      <c r="V32" s="218">
        <v>0</v>
      </c>
      <c r="W32" s="218">
        <v>0</v>
      </c>
      <c r="X32" s="218">
        <v>0</v>
      </c>
      <c r="Y32" s="218">
        <v>0</v>
      </c>
      <c r="Z32" s="218">
        <v>0</v>
      </c>
      <c r="AA32" s="218">
        <v>0</v>
      </c>
      <c r="AB32" s="218">
        <v>0</v>
      </c>
      <c r="AC32" s="218">
        <v>0</v>
      </c>
      <c r="AD32" s="218">
        <v>0</v>
      </c>
      <c r="AE32" s="160">
        <v>0</v>
      </c>
      <c r="AF32" s="118">
        <v>0</v>
      </c>
      <c r="AG32" s="118">
        <v>0</v>
      </c>
      <c r="AH32" s="118">
        <v>0</v>
      </c>
      <c r="AI32" s="118">
        <v>0</v>
      </c>
      <c r="AJ32" s="118">
        <v>0</v>
      </c>
      <c r="AK32" s="118">
        <v>0</v>
      </c>
      <c r="AL32" s="118">
        <v>0</v>
      </c>
      <c r="AM32" s="118">
        <v>0</v>
      </c>
      <c r="AN32" s="118">
        <v>0</v>
      </c>
      <c r="AO32" s="118">
        <v>0</v>
      </c>
      <c r="AP32" s="118"/>
      <c r="AQ32" s="118">
        <v>0</v>
      </c>
      <c r="AR32" s="118">
        <v>0</v>
      </c>
      <c r="AS32" s="118">
        <v>0</v>
      </c>
      <c r="AT32" s="118">
        <v>0</v>
      </c>
      <c r="AU32" s="118">
        <v>0</v>
      </c>
      <c r="AV32" s="118">
        <v>0</v>
      </c>
      <c r="AW32" s="118">
        <v>0</v>
      </c>
      <c r="AX32" s="118">
        <v>0</v>
      </c>
      <c r="AY32" s="118"/>
      <c r="AZ32" s="118"/>
      <c r="BA32" s="118"/>
      <c r="BB32" s="118">
        <v>0</v>
      </c>
      <c r="BC32" s="118"/>
      <c r="BD32" s="118">
        <v>0</v>
      </c>
      <c r="BE32" s="118">
        <v>0</v>
      </c>
      <c r="BF32" s="118">
        <v>0</v>
      </c>
      <c r="BG32" s="118">
        <v>0</v>
      </c>
    </row>
    <row r="33" spans="1:59" s="220" customFormat="1" ht="14.1" hidden="1" customHeight="1" outlineLevel="1" x14ac:dyDescent="0.2">
      <c r="A33" s="228"/>
      <c r="B33" s="227" t="s">
        <v>49</v>
      </c>
      <c r="C33" s="218">
        <v>0</v>
      </c>
      <c r="D33" s="218">
        <v>0</v>
      </c>
      <c r="E33" s="218">
        <v>1059</v>
      </c>
      <c r="F33" s="218">
        <v>0</v>
      </c>
      <c r="G33" s="218">
        <v>0</v>
      </c>
      <c r="H33" s="218">
        <v>0</v>
      </c>
      <c r="I33" s="218">
        <v>0</v>
      </c>
      <c r="J33" s="218">
        <v>0</v>
      </c>
      <c r="K33" s="218">
        <v>0</v>
      </c>
      <c r="L33" s="218">
        <v>0</v>
      </c>
      <c r="M33" s="218">
        <v>0</v>
      </c>
      <c r="N33" s="218">
        <v>0</v>
      </c>
      <c r="O33" s="218">
        <v>0</v>
      </c>
      <c r="P33" s="218">
        <f>'Despesas por Natureza'!H27</f>
        <v>3704.1926200000003</v>
      </c>
      <c r="Q33" s="218">
        <v>0</v>
      </c>
      <c r="R33" s="218">
        <v>0</v>
      </c>
      <c r="S33" s="218">
        <v>0</v>
      </c>
      <c r="T33" s="218">
        <v>0</v>
      </c>
      <c r="U33" s="218">
        <v>0</v>
      </c>
      <c r="V33" s="218">
        <v>0</v>
      </c>
      <c r="W33" s="218">
        <v>0</v>
      </c>
      <c r="X33" s="218">
        <v>0</v>
      </c>
      <c r="Y33" s="218">
        <v>0</v>
      </c>
      <c r="Z33" s="218">
        <v>0</v>
      </c>
      <c r="AA33" s="218">
        <v>0</v>
      </c>
      <c r="AB33" s="218">
        <v>0</v>
      </c>
      <c r="AC33" s="218">
        <v>0</v>
      </c>
      <c r="AD33" s="218">
        <v>0</v>
      </c>
      <c r="AE33" s="160">
        <v>0</v>
      </c>
      <c r="AF33" s="118">
        <v>0</v>
      </c>
      <c r="AG33" s="118">
        <v>0</v>
      </c>
      <c r="AH33" s="118">
        <v>0</v>
      </c>
      <c r="AI33" s="118">
        <v>0</v>
      </c>
      <c r="AJ33" s="118">
        <v>0</v>
      </c>
      <c r="AK33" s="118">
        <v>0</v>
      </c>
      <c r="AL33" s="118">
        <v>0</v>
      </c>
      <c r="AM33" s="118">
        <v>0</v>
      </c>
      <c r="AN33" s="118">
        <v>0</v>
      </c>
      <c r="AO33" s="118">
        <v>0</v>
      </c>
      <c r="AP33" s="118"/>
      <c r="AQ33" s="118">
        <v>0</v>
      </c>
      <c r="AR33" s="118">
        <v>0</v>
      </c>
      <c r="AS33" s="118">
        <v>0</v>
      </c>
      <c r="AT33" s="118">
        <v>0</v>
      </c>
      <c r="AU33" s="118">
        <v>0</v>
      </c>
      <c r="AV33" s="118">
        <v>0</v>
      </c>
      <c r="AW33" s="118">
        <v>0</v>
      </c>
      <c r="AX33" s="118">
        <v>0</v>
      </c>
      <c r="AY33" s="118"/>
      <c r="AZ33" s="118"/>
      <c r="BA33" s="118"/>
      <c r="BB33" s="118">
        <v>0</v>
      </c>
      <c r="BC33" s="118"/>
      <c r="BD33" s="118">
        <v>0</v>
      </c>
      <c r="BE33" s="118">
        <v>0</v>
      </c>
      <c r="BF33" s="118">
        <v>0</v>
      </c>
      <c r="BG33" s="118">
        <v>0</v>
      </c>
    </row>
    <row r="34" spans="1:59" s="220" customFormat="1" ht="14.1" hidden="1" customHeight="1" outlineLevel="1" x14ac:dyDescent="0.2">
      <c r="A34" s="228"/>
      <c r="B34" s="227" t="s">
        <v>454</v>
      </c>
      <c r="C34" s="218">
        <v>0</v>
      </c>
      <c r="D34" s="218">
        <v>0</v>
      </c>
      <c r="E34" s="218">
        <v>0</v>
      </c>
      <c r="F34" s="218">
        <v>0</v>
      </c>
      <c r="G34" s="218">
        <v>0</v>
      </c>
      <c r="H34" s="218">
        <v>0</v>
      </c>
      <c r="I34" s="218">
        <v>17500</v>
      </c>
      <c r="J34" s="218">
        <v>3952</v>
      </c>
      <c r="K34" s="218">
        <v>0</v>
      </c>
      <c r="L34" s="218">
        <v>0</v>
      </c>
      <c r="M34" s="218">
        <v>0</v>
      </c>
      <c r="N34" s="218">
        <v>2194</v>
      </c>
      <c r="O34" s="218">
        <v>0</v>
      </c>
      <c r="P34" s="218">
        <v>0</v>
      </c>
      <c r="Q34" s="218">
        <v>0</v>
      </c>
      <c r="R34" s="218">
        <f>('Riscos Judiciais'!M59-'Riscos Judiciais'!N59+'Riscos Judiciais'!N40-'Riscos Judiciais'!M40)*-1</f>
        <v>14604</v>
      </c>
      <c r="S34" s="218">
        <v>0</v>
      </c>
      <c r="T34" s="218">
        <v>0</v>
      </c>
      <c r="U34" s="218">
        <v>0</v>
      </c>
      <c r="V34" s="218">
        <v>0</v>
      </c>
      <c r="W34" s="218">
        <v>0</v>
      </c>
      <c r="X34" s="218">
        <v>0</v>
      </c>
      <c r="Y34" s="218">
        <v>0</v>
      </c>
      <c r="Z34" s="218">
        <v>0</v>
      </c>
      <c r="AA34" s="218">
        <v>0</v>
      </c>
      <c r="AB34" s="218">
        <v>0</v>
      </c>
      <c r="AC34" s="218">
        <v>0</v>
      </c>
      <c r="AD34" s="218">
        <v>0</v>
      </c>
      <c r="AE34" s="160">
        <v>0</v>
      </c>
      <c r="AF34" s="118">
        <v>0</v>
      </c>
      <c r="AG34" s="118">
        <v>0</v>
      </c>
      <c r="AH34" s="118">
        <v>0</v>
      </c>
      <c r="AI34" s="118">
        <v>0</v>
      </c>
      <c r="AJ34" s="118">
        <v>0</v>
      </c>
      <c r="AK34" s="118">
        <v>0</v>
      </c>
      <c r="AL34" s="118">
        <v>0</v>
      </c>
      <c r="AM34" s="118">
        <v>0</v>
      </c>
      <c r="AN34" s="118">
        <v>0</v>
      </c>
      <c r="AO34" s="118">
        <v>0</v>
      </c>
      <c r="AP34" s="118"/>
      <c r="AQ34" s="118">
        <v>0</v>
      </c>
      <c r="AR34" s="118">
        <v>0</v>
      </c>
      <c r="AS34" s="118">
        <v>0</v>
      </c>
      <c r="AT34" s="118">
        <v>0</v>
      </c>
      <c r="AU34" s="118">
        <v>0</v>
      </c>
      <c r="AV34" s="118">
        <v>0</v>
      </c>
      <c r="AW34" s="118">
        <v>0</v>
      </c>
      <c r="AX34" s="118">
        <v>0</v>
      </c>
      <c r="AY34" s="118"/>
      <c r="AZ34" s="118"/>
      <c r="BA34" s="118"/>
      <c r="BB34" s="118">
        <v>0</v>
      </c>
      <c r="BC34" s="118"/>
      <c r="BD34" s="118">
        <v>0</v>
      </c>
      <c r="BE34" s="118">
        <v>0</v>
      </c>
      <c r="BF34" s="118">
        <v>0</v>
      </c>
      <c r="BG34" s="118">
        <v>0</v>
      </c>
    </row>
    <row r="35" spans="1:59" ht="14.1" customHeight="1" collapsed="1" x14ac:dyDescent="0.2">
      <c r="A35" s="23"/>
      <c r="B35" s="119" t="s">
        <v>67</v>
      </c>
      <c r="C35" s="120">
        <f t="shared" ref="C35:AR35" si="13">SUM(C16:C34)</f>
        <v>8793</v>
      </c>
      <c r="D35" s="120">
        <f t="shared" si="13"/>
        <v>6326</v>
      </c>
      <c r="E35" s="120">
        <f t="shared" si="13"/>
        <v>-4339</v>
      </c>
      <c r="F35" s="120">
        <f t="shared" si="13"/>
        <v>-4309</v>
      </c>
      <c r="G35" s="120">
        <f t="shared" si="13"/>
        <v>-17280</v>
      </c>
      <c r="H35" s="120">
        <f t="shared" si="13"/>
        <v>-15225</v>
      </c>
      <c r="I35" s="120">
        <f t="shared" si="13"/>
        <v>-10850</v>
      </c>
      <c r="J35" s="120">
        <f t="shared" si="13"/>
        <v>-8720</v>
      </c>
      <c r="K35" s="120">
        <f t="shared" si="13"/>
        <v>-3668</v>
      </c>
      <c r="L35" s="120">
        <f t="shared" si="13"/>
        <v>-4662</v>
      </c>
      <c r="M35" s="120">
        <f t="shared" si="13"/>
        <v>-4039</v>
      </c>
      <c r="N35" s="120">
        <f t="shared" si="13"/>
        <v>5430</v>
      </c>
      <c r="O35" s="120">
        <f t="shared" si="13"/>
        <v>621</v>
      </c>
      <c r="P35" s="120">
        <f t="shared" si="13"/>
        <v>-3692.8073799999997</v>
      </c>
      <c r="Q35" s="120">
        <f t="shared" si="13"/>
        <v>75</v>
      </c>
      <c r="R35" s="120">
        <f t="shared" si="13"/>
        <v>6632.0527900000143</v>
      </c>
      <c r="S35" s="120">
        <f t="shared" si="13"/>
        <v>3521.9653700000054</v>
      </c>
      <c r="T35" s="120">
        <f t="shared" si="13"/>
        <v>2922.5407300000024</v>
      </c>
      <c r="U35" s="120">
        <f t="shared" si="13"/>
        <v>1784.6219000000017</v>
      </c>
      <c r="V35" s="120">
        <f t="shared" si="13"/>
        <v>3101.8634099999999</v>
      </c>
      <c r="W35" s="120">
        <f t="shared" si="13"/>
        <v>5088.9180800000113</v>
      </c>
      <c r="X35" s="120">
        <f t="shared" si="13"/>
        <v>1563.8832099999963</v>
      </c>
      <c r="Y35" s="120">
        <f t="shared" si="13"/>
        <v>6103.3221699999922</v>
      </c>
      <c r="Z35" s="120">
        <f t="shared" si="13"/>
        <v>3839.2210800000003</v>
      </c>
      <c r="AA35" s="120">
        <f t="shared" si="13"/>
        <v>6840.637380000001</v>
      </c>
      <c r="AB35" s="120">
        <f t="shared" si="13"/>
        <v>6900.8666400000002</v>
      </c>
      <c r="AC35" s="120">
        <f t="shared" si="13"/>
        <v>8387.9753299999993</v>
      </c>
      <c r="AD35" s="120">
        <f t="shared" si="13"/>
        <v>6116.2747789860023</v>
      </c>
      <c r="AE35" s="162">
        <f t="shared" si="13"/>
        <v>13526.770399999999</v>
      </c>
      <c r="AF35" s="120">
        <f t="shared" si="13"/>
        <v>10792.115830000002</v>
      </c>
      <c r="AG35" s="120">
        <f t="shared" si="13"/>
        <v>14657.471238841323</v>
      </c>
      <c r="AH35" s="120">
        <f t="shared" si="13"/>
        <v>12623.503299999997</v>
      </c>
      <c r="AI35" s="120">
        <f t="shared" si="13"/>
        <v>14941.204700000004</v>
      </c>
      <c r="AJ35" s="120">
        <f t="shared" si="13"/>
        <v>16308.140899999999</v>
      </c>
      <c r="AK35" s="120">
        <f t="shared" si="13"/>
        <v>16517.227480000005</v>
      </c>
      <c r="AL35" s="120">
        <f t="shared" si="13"/>
        <v>15090.259720000002</v>
      </c>
      <c r="AM35" s="120">
        <f t="shared" si="13"/>
        <v>10070.26658</v>
      </c>
      <c r="AN35" s="120">
        <f t="shared" si="13"/>
        <v>11871.528069999998</v>
      </c>
      <c r="AO35" s="120">
        <f t="shared" si="13"/>
        <v>11958.377320000005</v>
      </c>
      <c r="AP35" s="120">
        <f t="shared" si="13"/>
        <v>9324.9591600000094</v>
      </c>
      <c r="AQ35" s="120">
        <f t="shared" si="13"/>
        <v>14024.906889999991</v>
      </c>
      <c r="AR35" s="120">
        <f t="shared" si="13"/>
        <v>11354.191860000004</v>
      </c>
      <c r="AS35" s="120">
        <f t="shared" ref="AS35:BC35" si="14">SUM(AS16:AS34)</f>
        <v>13971.477289999993</v>
      </c>
      <c r="AT35" s="120">
        <f t="shared" si="14"/>
        <v>11265.87644</v>
      </c>
      <c r="AU35" s="120">
        <f t="shared" si="14"/>
        <v>11127.471440000001</v>
      </c>
      <c r="AV35" s="120">
        <f t="shared" si="14"/>
        <v>11565.998679999997</v>
      </c>
      <c r="AW35" s="120">
        <f t="shared" si="14"/>
        <v>12418.770880000009</v>
      </c>
      <c r="AX35" s="120">
        <f t="shared" si="14"/>
        <v>11736.273050000003</v>
      </c>
      <c r="AY35" s="120">
        <f t="shared" si="14"/>
        <v>8356.5093099999958</v>
      </c>
      <c r="AZ35" s="120">
        <f>SUM(AZ16:AZ34)</f>
        <v>10538.231340000004</v>
      </c>
      <c r="BA35" s="120">
        <f>SUM(BA16:BA34)</f>
        <v>8007.476179999996</v>
      </c>
      <c r="BB35" s="120">
        <f>SUM(BB16:BB34)</f>
        <v>5727.3026900000013</v>
      </c>
      <c r="BC35" s="120">
        <f t="shared" si="14"/>
        <v>8384.3995700000069</v>
      </c>
      <c r="BD35" s="120">
        <f>SUM(BD16:BD34)</f>
        <v>8359.6708699999945</v>
      </c>
      <c r="BE35" s="120">
        <f>SUM(BE16:BE34)</f>
        <v>4812.1752399999932</v>
      </c>
      <c r="BF35" s="120">
        <f>SUM(BF16:BF34)</f>
        <v>3375.9691199999929</v>
      </c>
      <c r="BG35" s="120">
        <f>SUM(BG16:BG34)</f>
        <v>8673.3715499999926</v>
      </c>
    </row>
    <row r="36" spans="1:59" ht="14.1" customHeight="1" x14ac:dyDescent="0.2">
      <c r="A36" s="23"/>
      <c r="B36" s="122" t="s">
        <v>68</v>
      </c>
      <c r="C36" s="14">
        <f t="shared" ref="C36:W36" si="15">ROUND(C35/C12,3)</f>
        <v>8.5000000000000006E-2</v>
      </c>
      <c r="D36" s="14">
        <f t="shared" si="15"/>
        <v>5.5E-2</v>
      </c>
      <c r="E36" s="14">
        <f t="shared" si="15"/>
        <v>-3.3000000000000002E-2</v>
      </c>
      <c r="F36" s="14">
        <f t="shared" si="15"/>
        <v>-3.4000000000000002E-2</v>
      </c>
      <c r="G36" s="14">
        <f t="shared" si="15"/>
        <v>-0.185</v>
      </c>
      <c r="H36" s="14">
        <f t="shared" si="15"/>
        <v>-0.16300000000000001</v>
      </c>
      <c r="I36" s="14">
        <f t="shared" si="15"/>
        <v>-0.11600000000000001</v>
      </c>
      <c r="J36" s="14">
        <f t="shared" si="15"/>
        <v>-8.2000000000000003E-2</v>
      </c>
      <c r="K36" s="14">
        <f t="shared" si="15"/>
        <v>-3.9E-2</v>
      </c>
      <c r="L36" s="14">
        <f t="shared" si="15"/>
        <v>-0.05</v>
      </c>
      <c r="M36" s="14">
        <f t="shared" si="15"/>
        <v>-5.1999999999999998E-2</v>
      </c>
      <c r="N36" s="14">
        <f t="shared" si="15"/>
        <v>0.108</v>
      </c>
      <c r="O36" s="14">
        <f t="shared" si="15"/>
        <v>1.2999999999999999E-2</v>
      </c>
      <c r="P36" s="14">
        <f t="shared" si="15"/>
        <v>-7.5999999999999998E-2</v>
      </c>
      <c r="Q36" s="14">
        <f t="shared" si="15"/>
        <v>1E-3</v>
      </c>
      <c r="R36" s="14">
        <f t="shared" si="15"/>
        <v>0.13100000000000001</v>
      </c>
      <c r="S36" s="14">
        <f t="shared" si="15"/>
        <v>8.2000000000000003E-2</v>
      </c>
      <c r="T36" s="14">
        <f t="shared" si="15"/>
        <v>7.0000000000000007E-2</v>
      </c>
      <c r="U36" s="14">
        <f t="shared" si="15"/>
        <v>4.4999999999999998E-2</v>
      </c>
      <c r="V36" s="14">
        <f t="shared" si="15"/>
        <v>7.6999999999999999E-2</v>
      </c>
      <c r="W36" s="14">
        <f t="shared" si="15"/>
        <v>0.127</v>
      </c>
      <c r="X36" s="14">
        <v>3.2000000000000001E-2</v>
      </c>
      <c r="Y36" s="14">
        <f t="shared" ref="Y36:AG36" si="16">ROUND(Y35/Y12,3)</f>
        <v>0.14599999999999999</v>
      </c>
      <c r="Z36" s="14">
        <f t="shared" si="16"/>
        <v>8.5999999999999993E-2</v>
      </c>
      <c r="AA36" s="14">
        <f t="shared" si="16"/>
        <v>0.17299999999999999</v>
      </c>
      <c r="AB36" s="14">
        <f t="shared" si="16"/>
        <v>0.185</v>
      </c>
      <c r="AC36" s="14">
        <f t="shared" si="16"/>
        <v>0.23899999999999999</v>
      </c>
      <c r="AD36" s="14">
        <f t="shared" si="16"/>
        <v>0.14899999999999999</v>
      </c>
      <c r="AE36" s="735">
        <f t="shared" si="16"/>
        <v>0.35799999999999998</v>
      </c>
      <c r="AF36" s="14">
        <f t="shared" si="16"/>
        <v>0.28799999999999998</v>
      </c>
      <c r="AG36" s="14">
        <f t="shared" si="16"/>
        <v>0.35799999999999998</v>
      </c>
      <c r="AH36" s="14">
        <v>0.308</v>
      </c>
      <c r="AI36" s="14">
        <v>0.38300000000000001</v>
      </c>
      <c r="AJ36" s="14">
        <v>0.377</v>
      </c>
      <c r="AK36" s="14">
        <f>ROUND(AK35/AK12,3)</f>
        <v>0.378</v>
      </c>
      <c r="AL36" s="14">
        <f>ROUND(AL35/AL12,3)</f>
        <v>0.373</v>
      </c>
      <c r="AM36" s="14">
        <f>ROUND(AM35/AM12,3)</f>
        <v>0.30399999999999999</v>
      </c>
      <c r="AN36" s="14">
        <f>ROUND(AN35/AN12,3)</f>
        <v>0.32400000000000001</v>
      </c>
      <c r="AO36" s="14">
        <v>0.32200000000000001</v>
      </c>
      <c r="AP36" s="14">
        <f t="shared" ref="AP36:AU36" si="17">ROUND(AP35/AP12,3)</f>
        <v>0.28299999999999997</v>
      </c>
      <c r="AQ36" s="14">
        <f t="shared" si="17"/>
        <v>0.35699999999999998</v>
      </c>
      <c r="AR36" s="14">
        <f t="shared" si="17"/>
        <v>0.29499999999999998</v>
      </c>
      <c r="AS36" s="14">
        <f t="shared" si="17"/>
        <v>0.33</v>
      </c>
      <c r="AT36" s="14">
        <f t="shared" si="17"/>
        <v>0.30499999999999999</v>
      </c>
      <c r="AU36" s="14">
        <f t="shared" si="17"/>
        <v>0.28499999999999998</v>
      </c>
      <c r="AV36" s="14">
        <f t="shared" ref="AV36:BD36" si="18">ROUND(AV35/AV12,3)</f>
        <v>0.32400000000000001</v>
      </c>
      <c r="AW36" s="14">
        <f t="shared" si="18"/>
        <v>0.30199999999999999</v>
      </c>
      <c r="AX36" s="14">
        <f t="shared" si="18"/>
        <v>0.28999999999999998</v>
      </c>
      <c r="AY36" s="14">
        <f t="shared" si="18"/>
        <v>0.20100000000000001</v>
      </c>
      <c r="AZ36" s="14">
        <f t="shared" si="18"/>
        <v>0.23100000000000001</v>
      </c>
      <c r="BA36" s="14">
        <f t="shared" si="18"/>
        <v>0.191</v>
      </c>
      <c r="BB36" s="14">
        <f>ROUND(BB35/BB12,3)</f>
        <v>0.14000000000000001</v>
      </c>
      <c r="BC36" s="14">
        <f t="shared" si="18"/>
        <v>0.183</v>
      </c>
      <c r="BD36" s="14">
        <f t="shared" si="18"/>
        <v>0.187</v>
      </c>
      <c r="BE36" s="14">
        <v>0.14000000000000001</v>
      </c>
      <c r="BF36" s="14">
        <f>ROUND(BF35/BF12,3)</f>
        <v>8.7999999999999995E-2</v>
      </c>
      <c r="BG36" s="14">
        <f>ROUND(BG35/BG12,3)</f>
        <v>0.21099999999999999</v>
      </c>
    </row>
    <row r="37" spans="1:59" ht="14.1" customHeight="1" x14ac:dyDescent="0.2">
      <c r="A37" s="23"/>
      <c r="B37" s="117" t="s">
        <v>137</v>
      </c>
      <c r="C37" s="118">
        <v>-2126</v>
      </c>
      <c r="D37" s="118">
        <v>-2659</v>
      </c>
      <c r="E37" s="118">
        <v>-2720</v>
      </c>
      <c r="F37" s="118">
        <v>-6585</v>
      </c>
      <c r="G37" s="118">
        <v>-3371</v>
      </c>
      <c r="H37" s="118">
        <v>-3185</v>
      </c>
      <c r="I37" s="118">
        <v>-2697</v>
      </c>
      <c r="J37" s="118">
        <v>-3340</v>
      </c>
      <c r="K37" s="118">
        <v>-4285</v>
      </c>
      <c r="L37" s="118">
        <v>-4387</v>
      </c>
      <c r="M37" s="118">
        <v>-3719</v>
      </c>
      <c r="N37" s="118">
        <v>-5317</v>
      </c>
      <c r="O37" s="118">
        <f t="shared" ref="O37:AF37" si="19">+SUM(O38:O39)</f>
        <v>-3275</v>
      </c>
      <c r="P37" s="118">
        <f t="shared" si="19"/>
        <v>-3793</v>
      </c>
      <c r="Q37" s="118">
        <f t="shared" si="19"/>
        <v>-3384</v>
      </c>
      <c r="R37" s="118">
        <f t="shared" si="19"/>
        <v>-4213.2582600000005</v>
      </c>
      <c r="S37" s="118">
        <f t="shared" si="19"/>
        <v>-3218.6450500000001</v>
      </c>
      <c r="T37" s="118">
        <f t="shared" si="19"/>
        <v>-5559.2025599999997</v>
      </c>
      <c r="U37" s="118">
        <f t="shared" si="19"/>
        <v>-3537.6142600000003</v>
      </c>
      <c r="V37" s="118">
        <f t="shared" si="19"/>
        <v>-3697.5026999999995</v>
      </c>
      <c r="W37" s="118">
        <f t="shared" si="19"/>
        <v>-3275.6654100000001</v>
      </c>
      <c r="X37" s="118">
        <f t="shared" si="19"/>
        <v>-3339.7341299999998</v>
      </c>
      <c r="Y37" s="118">
        <f t="shared" si="19"/>
        <v>-3481.3923999999997</v>
      </c>
      <c r="Z37" s="118">
        <f t="shared" si="19"/>
        <v>-3632.3136199999999</v>
      </c>
      <c r="AA37" s="118">
        <f t="shared" si="19"/>
        <v>-3098.15454</v>
      </c>
      <c r="AB37" s="118">
        <f t="shared" si="19"/>
        <v>-2719.4558000000002</v>
      </c>
      <c r="AC37" s="118">
        <f t="shared" si="19"/>
        <v>-2774.3335099999999</v>
      </c>
      <c r="AD37" s="118">
        <f t="shared" si="19"/>
        <v>-2686.27648</v>
      </c>
      <c r="AE37" s="160">
        <f t="shared" si="19"/>
        <v>-6952.038230000001</v>
      </c>
      <c r="AF37" s="118">
        <f t="shared" si="19"/>
        <v>-6039.3358799999996</v>
      </c>
      <c r="AG37" s="118">
        <v>-6725.99467</v>
      </c>
      <c r="AH37" s="118">
        <v>-6699.1472800000001</v>
      </c>
      <c r="AI37" s="118">
        <v>-6419.5093199999992</v>
      </c>
      <c r="AJ37" s="118">
        <v>-6046.7439800000002</v>
      </c>
      <c r="AK37" s="118">
        <f>+SUM(AK38:AK39)</f>
        <v>-5804.4692500000001</v>
      </c>
      <c r="AL37" s="118">
        <f>+SUM(AL38:AL39)</f>
        <v>-5588.5088900000001</v>
      </c>
      <c r="AM37" s="118">
        <f>+SUM(AM38:AM39)</f>
        <v>-4735.9954099999995</v>
      </c>
      <c r="AN37" s="118">
        <f>+SUM(AN38:AN39)</f>
        <v>-4457.4870200000005</v>
      </c>
      <c r="AO37" s="118">
        <v>-4456.4180200000001</v>
      </c>
      <c r="AP37" s="118">
        <f t="shared" ref="AP37:AU37" si="20">+SUM(AP38:AP39)</f>
        <v>-4303.1989899999999</v>
      </c>
      <c r="AQ37" s="118">
        <f t="shared" si="20"/>
        <v>-4326.4316700000008</v>
      </c>
      <c r="AR37" s="118">
        <f t="shared" si="20"/>
        <v>-4373.1962900000008</v>
      </c>
      <c r="AS37" s="118">
        <f t="shared" si="20"/>
        <v>-4468.6228499999997</v>
      </c>
      <c r="AT37" s="118">
        <f t="shared" si="20"/>
        <v>-4480.1281099999997</v>
      </c>
      <c r="AU37" s="118">
        <f t="shared" si="20"/>
        <v>-4222.4439899999998</v>
      </c>
      <c r="AV37" s="118">
        <f t="shared" ref="AV37:BE37" si="21">+SUM(AV38:AV39)</f>
        <v>-4178.0916199999992</v>
      </c>
      <c r="AW37" s="118">
        <f t="shared" si="21"/>
        <v>-4287.2775799999999</v>
      </c>
      <c r="AX37" s="118">
        <f t="shared" si="21"/>
        <v>-4208.06567</v>
      </c>
      <c r="AY37" s="118">
        <f t="shared" si="21"/>
        <v>-4303.81916</v>
      </c>
      <c r="AZ37" s="118">
        <f t="shared" si="21"/>
        <v>-4388.9947100000009</v>
      </c>
      <c r="BA37" s="118">
        <f t="shared" si="21"/>
        <v>-4431.3198400000001</v>
      </c>
      <c r="BB37" s="118">
        <f>+SUM(BB38:BB39)</f>
        <v>-4047.4931599999995</v>
      </c>
      <c r="BC37" s="118">
        <f>+SUM(BC38:BC39)</f>
        <v>-4316.9463399999995</v>
      </c>
      <c r="BD37" s="118">
        <f t="shared" si="21"/>
        <v>-4266.112790000001</v>
      </c>
      <c r="BE37" s="118">
        <f t="shared" si="21"/>
        <v>-4408.2408799999994</v>
      </c>
      <c r="BF37" s="118">
        <f>+SUM(BF38:BF39)</f>
        <v>-4369.4005899999993</v>
      </c>
      <c r="BG37" s="118">
        <f>+SUM(BG38:BG39)</f>
        <v>-4239.2985399999998</v>
      </c>
    </row>
    <row r="38" spans="1:59" ht="14.1" customHeight="1" outlineLevel="1" x14ac:dyDescent="0.2">
      <c r="A38" s="24"/>
      <c r="B38" s="613" t="s">
        <v>873</v>
      </c>
      <c r="C38" s="118" t="s">
        <v>160</v>
      </c>
      <c r="D38" s="118" t="s">
        <v>160</v>
      </c>
      <c r="E38" s="118" t="s">
        <v>160</v>
      </c>
      <c r="F38" s="118" t="s">
        <v>160</v>
      </c>
      <c r="G38" s="118" t="s">
        <v>160</v>
      </c>
      <c r="H38" s="118" t="s">
        <v>160</v>
      </c>
      <c r="I38" s="118" t="s">
        <v>160</v>
      </c>
      <c r="J38" s="118" t="s">
        <v>160</v>
      </c>
      <c r="K38" s="118" t="s">
        <v>160</v>
      </c>
      <c r="L38" s="118" t="s">
        <v>160</v>
      </c>
      <c r="M38" s="118" t="s">
        <v>160</v>
      </c>
      <c r="N38" s="118" t="s">
        <v>160</v>
      </c>
      <c r="O38" s="118">
        <v>-3086.91039</v>
      </c>
      <c r="P38" s="118">
        <v>-3258.3303299999998</v>
      </c>
      <c r="Q38" s="118">
        <v>-3012.4188899999999</v>
      </c>
      <c r="R38" s="118">
        <v>-4110.1755300000004</v>
      </c>
      <c r="S38" s="118">
        <v>-3114.0270599999999</v>
      </c>
      <c r="T38" s="118">
        <v>-5456.2800399999996</v>
      </c>
      <c r="U38" s="118">
        <v>-3436.9309800000001</v>
      </c>
      <c r="V38" s="118">
        <v>-3599.9867299999996</v>
      </c>
      <c r="W38" s="118">
        <v>-3188.2748700000002</v>
      </c>
      <c r="X38" s="118">
        <v>-3252.4979399999997</v>
      </c>
      <c r="Y38" s="118">
        <v>-3392.6533399999998</v>
      </c>
      <c r="Z38" s="118">
        <v>-3533.3530499999997</v>
      </c>
      <c r="AA38" s="118">
        <v>-3018.6289700000002</v>
      </c>
      <c r="AB38" s="118">
        <v>-2654.5589500000001</v>
      </c>
      <c r="AC38" s="118">
        <v>-2709.4674599999998</v>
      </c>
      <c r="AD38" s="118">
        <v>-2625.1356900000001</v>
      </c>
      <c r="AE38" s="160">
        <v>-6897.8666900000007</v>
      </c>
      <c r="AF38" s="118">
        <v>-5985.2234399999998</v>
      </c>
      <c r="AG38" s="118">
        <v>-6672.6637300000002</v>
      </c>
      <c r="AH38" s="118">
        <v>-6645.3661899999997</v>
      </c>
      <c r="AI38" s="118">
        <v>-6364.4777399999994</v>
      </c>
      <c r="AJ38" s="118">
        <v>-5990.5031300000001</v>
      </c>
      <c r="AK38" s="118">
        <v>-5758.2713300000005</v>
      </c>
      <c r="AL38" s="118">
        <v>-5561.2758899999999</v>
      </c>
      <c r="AM38" s="118">
        <v>-4725.2368099999994</v>
      </c>
      <c r="AN38" s="118">
        <v>-4446.3691200000003</v>
      </c>
      <c r="AO38" s="118">
        <v>-4445.9161700000004</v>
      </c>
      <c r="AP38" s="118">
        <v>-4293.0837099999999</v>
      </c>
      <c r="AQ38" s="118">
        <v>-4316.5104600000004</v>
      </c>
      <c r="AR38" s="118">
        <v>-4363.3453200000004</v>
      </c>
      <c r="AS38" s="118">
        <v>-4458.7732299999998</v>
      </c>
      <c r="AT38" s="118">
        <v>-4470.4262899999994</v>
      </c>
      <c r="AU38" s="118">
        <v>-4213.7464099999997</v>
      </c>
      <c r="AV38" s="118">
        <v>-4170.2007799999992</v>
      </c>
      <c r="AW38" s="118">
        <v>-4279.6230500000001</v>
      </c>
      <c r="AX38" s="118">
        <v>-4200.6129300000002</v>
      </c>
      <c r="AY38" s="118">
        <v>-4296.40265</v>
      </c>
      <c r="AZ38" s="118">
        <v>-4381.5794000000005</v>
      </c>
      <c r="BA38" s="118">
        <v>-4423.9045299999998</v>
      </c>
      <c r="BB38" s="118">
        <v>-4032.9012599999996</v>
      </c>
      <c r="BC38" s="118">
        <v>-4310.1273099999999</v>
      </c>
      <c r="BD38" s="118">
        <v>-4263.5932200000007</v>
      </c>
      <c r="BE38" s="118">
        <v>-4406.1939899999998</v>
      </c>
      <c r="BF38" s="118">
        <v>-4367.9250199999997</v>
      </c>
      <c r="BG38" s="118">
        <v>-4238.1601000000001</v>
      </c>
    </row>
    <row r="39" spans="1:59" ht="14.1" customHeight="1" outlineLevel="1" x14ac:dyDescent="0.2">
      <c r="A39" s="24"/>
      <c r="B39" s="613" t="s">
        <v>874</v>
      </c>
      <c r="C39" s="118" t="s">
        <v>160</v>
      </c>
      <c r="D39" s="118" t="s">
        <v>160</v>
      </c>
      <c r="E39" s="118" t="s">
        <v>160</v>
      </c>
      <c r="F39" s="118" t="s">
        <v>160</v>
      </c>
      <c r="G39" s="118" t="s">
        <v>160</v>
      </c>
      <c r="H39" s="118" t="s">
        <v>160</v>
      </c>
      <c r="I39" s="118" t="s">
        <v>160</v>
      </c>
      <c r="J39" s="118" t="s">
        <v>160</v>
      </c>
      <c r="K39" s="118" t="s">
        <v>160</v>
      </c>
      <c r="L39" s="118" t="s">
        <v>160</v>
      </c>
      <c r="M39" s="118" t="s">
        <v>160</v>
      </c>
      <c r="N39" s="118" t="s">
        <v>160</v>
      </c>
      <c r="O39" s="118">
        <v>-188.08960999999999</v>
      </c>
      <c r="P39" s="118">
        <v>-534.66967000000022</v>
      </c>
      <c r="Q39" s="118">
        <v>-371.58111000000008</v>
      </c>
      <c r="R39" s="118">
        <v>-103.08273000000001</v>
      </c>
      <c r="S39" s="118">
        <v>-104.61798999999999</v>
      </c>
      <c r="T39" s="118">
        <v>-102.92251999999999</v>
      </c>
      <c r="U39" s="118">
        <v>-100.68328</v>
      </c>
      <c r="V39" s="118">
        <v>-97.515969999999996</v>
      </c>
      <c r="W39" s="118">
        <v>-87.390539999999987</v>
      </c>
      <c r="X39" s="118">
        <v>-87.236190000000008</v>
      </c>
      <c r="Y39" s="118">
        <v>-88.739059999999995</v>
      </c>
      <c r="Z39" s="118">
        <v>-98.960570000000004</v>
      </c>
      <c r="AA39" s="118">
        <v>-79.525570000000002</v>
      </c>
      <c r="AB39" s="118">
        <v>-64.896850000000001</v>
      </c>
      <c r="AC39" s="118">
        <v>-64.866050000000001</v>
      </c>
      <c r="AD39" s="118">
        <v>-61.140790000000003</v>
      </c>
      <c r="AE39" s="160">
        <v>-54.17154</v>
      </c>
      <c r="AF39" s="118">
        <v>-54.112439999999999</v>
      </c>
      <c r="AG39" s="118">
        <v>-53.330940000000005</v>
      </c>
      <c r="AH39" s="118">
        <v>-53.781089999999999</v>
      </c>
      <c r="AI39" s="118">
        <v>-55.031579999999991</v>
      </c>
      <c r="AJ39" s="118">
        <v>-56.240850000000009</v>
      </c>
      <c r="AK39" s="118">
        <v>-46.197920000000003</v>
      </c>
      <c r="AL39" s="118">
        <v>-27.233000000000001</v>
      </c>
      <c r="AM39" s="118">
        <v>-10.758599999999998</v>
      </c>
      <c r="AN39" s="118">
        <v>-11.117899999999999</v>
      </c>
      <c r="AO39" s="118">
        <v>-10.501849999999999</v>
      </c>
      <c r="AP39" s="118">
        <v>-10.11528</v>
      </c>
      <c r="AQ39" s="118">
        <v>-9.9212099999999985</v>
      </c>
      <c r="AR39" s="118">
        <v>-9.8509699999999984</v>
      </c>
      <c r="AS39" s="118">
        <v>-9.849619999999998</v>
      </c>
      <c r="AT39" s="118">
        <v>-9.7018199999999979</v>
      </c>
      <c r="AU39" s="118">
        <v>-8.6975799999999985</v>
      </c>
      <c r="AV39" s="118">
        <v>-7.8908399999999999</v>
      </c>
      <c r="AW39" s="118">
        <v>-7.6545299999999994</v>
      </c>
      <c r="AX39" s="118">
        <v>-7.4527399999999995</v>
      </c>
      <c r="AY39" s="118">
        <v>-7.4165100000000006</v>
      </c>
      <c r="AZ39" s="118">
        <v>-7.4153099999999998</v>
      </c>
      <c r="BA39" s="118">
        <v>-7.4153099999999998</v>
      </c>
      <c r="BB39" s="118">
        <v>-14.591899999999999</v>
      </c>
      <c r="BC39" s="118">
        <v>-6.8190299999999997</v>
      </c>
      <c r="BD39" s="118">
        <v>-2.5195699999999999</v>
      </c>
      <c r="BE39" s="118">
        <v>-2.0468899999999999</v>
      </c>
      <c r="BF39" s="118">
        <v>-1.4755699999999998</v>
      </c>
      <c r="BG39" s="118">
        <v>-1.1384399999999999</v>
      </c>
    </row>
    <row r="40" spans="1:59" ht="14.1" customHeight="1" x14ac:dyDescent="0.2">
      <c r="A40" s="23"/>
      <c r="B40" s="119" t="s">
        <v>9</v>
      </c>
      <c r="C40" s="120">
        <f t="shared" ref="C40:AR40" si="22">C16+C37</f>
        <v>6667</v>
      </c>
      <c r="D40" s="120">
        <f t="shared" si="22"/>
        <v>3199</v>
      </c>
      <c r="E40" s="120">
        <f t="shared" si="22"/>
        <v>-8352</v>
      </c>
      <c r="F40" s="120">
        <f t="shared" si="22"/>
        <v>-1500</v>
      </c>
      <c r="G40" s="120">
        <f t="shared" si="22"/>
        <v>-21840</v>
      </c>
      <c r="H40" s="120">
        <f t="shared" si="22"/>
        <v>-23547</v>
      </c>
      <c r="I40" s="120">
        <f t="shared" si="22"/>
        <v>-31481</v>
      </c>
      <c r="J40" s="120">
        <f t="shared" si="22"/>
        <v>-16050</v>
      </c>
      <c r="K40" s="120">
        <f t="shared" si="22"/>
        <v>-14871</v>
      </c>
      <c r="L40" s="120">
        <f t="shared" si="22"/>
        <v>-9049</v>
      </c>
      <c r="M40" s="120">
        <f t="shared" si="22"/>
        <v>-7758</v>
      </c>
      <c r="N40" s="120">
        <f t="shared" si="22"/>
        <v>-2081</v>
      </c>
      <c r="O40" s="120">
        <f t="shared" si="22"/>
        <v>-2654</v>
      </c>
      <c r="P40" s="120">
        <f t="shared" si="22"/>
        <v>-11190</v>
      </c>
      <c r="Q40" s="120">
        <f t="shared" si="22"/>
        <v>-3309</v>
      </c>
      <c r="R40" s="120">
        <f t="shared" si="22"/>
        <v>-18882.374049999984</v>
      </c>
      <c r="S40" s="120">
        <f t="shared" si="22"/>
        <v>303.32032000000527</v>
      </c>
      <c r="T40" s="120">
        <f t="shared" si="22"/>
        <v>-2636.6618299999973</v>
      </c>
      <c r="U40" s="120">
        <f t="shared" si="22"/>
        <v>-1752.9923599999986</v>
      </c>
      <c r="V40" s="120">
        <f t="shared" si="22"/>
        <v>-595.63928999999962</v>
      </c>
      <c r="W40" s="120">
        <f t="shared" si="22"/>
        <v>1813.2526700000112</v>
      </c>
      <c r="X40" s="120">
        <f t="shared" si="22"/>
        <v>6304.1824599999973</v>
      </c>
      <c r="Y40" s="120">
        <f t="shared" si="22"/>
        <v>-3111.0702300000075</v>
      </c>
      <c r="Z40" s="120">
        <f t="shared" si="22"/>
        <v>-2053.6491000000033</v>
      </c>
      <c r="AA40" s="120">
        <f t="shared" si="22"/>
        <v>3742.482840000001</v>
      </c>
      <c r="AB40" s="120">
        <f t="shared" si="22"/>
        <v>4181.4108400000005</v>
      </c>
      <c r="AC40" s="120">
        <f t="shared" si="22"/>
        <v>361.8818899999992</v>
      </c>
      <c r="AD40" s="120">
        <f t="shared" si="22"/>
        <v>943.29135000000178</v>
      </c>
      <c r="AE40" s="162">
        <f t="shared" si="22"/>
        <v>6574.7321699999984</v>
      </c>
      <c r="AF40" s="120">
        <f t="shared" si="22"/>
        <v>4752.7799500000028</v>
      </c>
      <c r="AG40" s="120">
        <f t="shared" si="22"/>
        <v>9532.394580000002</v>
      </c>
      <c r="AH40" s="120">
        <f t="shared" si="22"/>
        <v>5924.3560199999965</v>
      </c>
      <c r="AI40" s="120">
        <f t="shared" si="22"/>
        <v>8521.6953800000047</v>
      </c>
      <c r="AJ40" s="120">
        <f t="shared" si="22"/>
        <v>10261.396919999999</v>
      </c>
      <c r="AK40" s="120">
        <f t="shared" si="22"/>
        <v>10712.758230000005</v>
      </c>
      <c r="AL40" s="120">
        <f t="shared" si="22"/>
        <v>4281.4788300000009</v>
      </c>
      <c r="AM40" s="120">
        <f t="shared" si="22"/>
        <v>5334.27117</v>
      </c>
      <c r="AN40" s="120">
        <f t="shared" si="22"/>
        <v>13146.754839999998</v>
      </c>
      <c r="AO40" s="120">
        <f t="shared" si="22"/>
        <v>7501.959300000005</v>
      </c>
      <c r="AP40" s="120">
        <f t="shared" si="22"/>
        <v>7612.7601700000096</v>
      </c>
      <c r="AQ40" s="120">
        <f t="shared" si="22"/>
        <v>9698.4752199999893</v>
      </c>
      <c r="AR40" s="120">
        <f t="shared" si="22"/>
        <v>6980.9955700000037</v>
      </c>
      <c r="AS40" s="120">
        <f t="shared" ref="AS40:BD40" si="23">AS16+AS37</f>
        <v>9502.8544399999937</v>
      </c>
      <c r="AT40" s="120">
        <f t="shared" si="23"/>
        <v>6785.7483300000004</v>
      </c>
      <c r="AU40" s="120">
        <f t="shared" si="23"/>
        <v>6905.0274500000014</v>
      </c>
      <c r="AV40" s="120">
        <f t="shared" si="23"/>
        <v>7387.9070599999977</v>
      </c>
      <c r="AW40" s="120">
        <f t="shared" si="23"/>
        <v>8131.4933000000092</v>
      </c>
      <c r="AX40" s="120">
        <f t="shared" si="23"/>
        <v>7528.2073800000035</v>
      </c>
      <c r="AY40" s="120">
        <f t="shared" si="23"/>
        <v>4052.6901499999958</v>
      </c>
      <c r="AZ40" s="120">
        <f t="shared" si="23"/>
        <v>6149.2366300000031</v>
      </c>
      <c r="BA40" s="120">
        <f t="shared" si="23"/>
        <v>3576.1563399999959</v>
      </c>
      <c r="BB40" s="120">
        <f t="shared" si="23"/>
        <v>1679.8095300000018</v>
      </c>
      <c r="BC40" s="120">
        <f t="shared" si="23"/>
        <v>4067.4532300000074</v>
      </c>
      <c r="BD40" s="120">
        <f t="shared" si="23"/>
        <v>4093.5580799999934</v>
      </c>
      <c r="BE40" s="120">
        <f>BE16+BE37</f>
        <v>403.93435999999383</v>
      </c>
      <c r="BF40" s="120">
        <f>BF16+BF37</f>
        <v>-993.43147000000636</v>
      </c>
      <c r="BG40" s="120">
        <f>BG16+BG37</f>
        <v>4434.0730099999928</v>
      </c>
    </row>
    <row r="41" spans="1:59" ht="14.1" customHeight="1" x14ac:dyDescent="0.2">
      <c r="A41" s="739"/>
      <c r="B41" s="117" t="s">
        <v>331</v>
      </c>
      <c r="C41" s="118">
        <v>-2373</v>
      </c>
      <c r="D41" s="118">
        <v>-3191</v>
      </c>
      <c r="E41" s="118">
        <v>-5652</v>
      </c>
      <c r="F41" s="118">
        <v>-645</v>
      </c>
      <c r="G41" s="118">
        <v>-3946</v>
      </c>
      <c r="H41" s="118">
        <v>-1878</v>
      </c>
      <c r="I41" s="118">
        <v>-8312</v>
      </c>
      <c r="J41" s="118">
        <v>-6290</v>
      </c>
      <c r="K41" s="118">
        <v>-3992</v>
      </c>
      <c r="L41" s="118">
        <v>-990</v>
      </c>
      <c r="M41" s="118">
        <v>-1268</v>
      </c>
      <c r="N41" s="118">
        <v>866</v>
      </c>
      <c r="O41" s="118">
        <v>1966</v>
      </c>
      <c r="P41" s="118">
        <v>3078</v>
      </c>
      <c r="Q41" s="118">
        <v>1876</v>
      </c>
      <c r="R41" s="118">
        <v>2027.1759799999982</v>
      </c>
      <c r="S41" s="118">
        <v>2113.3060699999996</v>
      </c>
      <c r="T41" s="118">
        <v>2430.3308399999996</v>
      </c>
      <c r="U41" s="118">
        <v>2330.5740700000006</v>
      </c>
      <c r="V41" s="261">
        <v>2640.5982700000004</v>
      </c>
      <c r="W41" s="118">
        <v>2197.9792999999995</v>
      </c>
      <c r="X41" s="261">
        <v>5737.4465399999999</v>
      </c>
      <c r="Y41" s="118">
        <v>1911.3935699999997</v>
      </c>
      <c r="Z41" s="261">
        <v>3257.3617100000001</v>
      </c>
      <c r="AA41" s="637">
        <v>1246.7590000000002</v>
      </c>
      <c r="AB41" s="637">
        <v>861.59990000000005</v>
      </c>
      <c r="AC41" s="898">
        <v>-1807.3045799999998</v>
      </c>
      <c r="AD41" s="637">
        <v>24.01962999999995</v>
      </c>
      <c r="AE41" s="733">
        <v>-151.94352999999995</v>
      </c>
      <c r="AF41" s="637">
        <v>-518.19438000000002</v>
      </c>
      <c r="AG41" s="898">
        <v>712.68252999999982</v>
      </c>
      <c r="AH41" s="637">
        <v>-318.28501999999997</v>
      </c>
      <c r="AI41" s="637">
        <v>-65.216959999999972</v>
      </c>
      <c r="AJ41" s="637">
        <v>-32.428240000000017</v>
      </c>
      <c r="AK41" s="637">
        <v>16.759570000000025</v>
      </c>
      <c r="AL41" s="637">
        <v>406.74559000000005</v>
      </c>
      <c r="AM41" s="637">
        <v>-59.096220000000017</v>
      </c>
      <c r="AN41" s="898">
        <v>3463.48686</v>
      </c>
      <c r="AO41" s="637">
        <v>355.86923000000002</v>
      </c>
      <c r="AP41" s="637">
        <v>622.67470000000003</v>
      </c>
      <c r="AQ41" s="637">
        <v>883.23887000000036</v>
      </c>
      <c r="AR41" s="637">
        <v>1008.3820900000001</v>
      </c>
      <c r="AS41" s="637">
        <v>1432.1540499999999</v>
      </c>
      <c r="AT41" s="637">
        <v>1418.0801500000002</v>
      </c>
      <c r="AU41" s="637">
        <v>473.47907999999995</v>
      </c>
      <c r="AV41" s="637">
        <v>77.668369999999868</v>
      </c>
      <c r="AW41" s="637">
        <v>216.73523999999998</v>
      </c>
      <c r="AX41" s="637">
        <v>31.442189999999755</v>
      </c>
      <c r="AY41" s="637">
        <v>323.43354999999997</v>
      </c>
      <c r="AZ41" s="637">
        <v>351.88274000000001</v>
      </c>
      <c r="BA41" s="637">
        <v>256.96932999999967</v>
      </c>
      <c r="BB41" s="637">
        <v>440.93722000000025</v>
      </c>
      <c r="BC41" s="637">
        <v>-110.62919000000011</v>
      </c>
      <c r="BD41" s="637">
        <v>9.4793400000003203</v>
      </c>
      <c r="BE41" s="637">
        <v>-343.5461499999999</v>
      </c>
      <c r="BF41" s="637">
        <v>-444.1366800000003</v>
      </c>
      <c r="BG41" s="637">
        <v>-435.58114999999998</v>
      </c>
    </row>
    <row r="42" spans="1:59" ht="14.1" customHeight="1" x14ac:dyDescent="0.2">
      <c r="A42" s="22"/>
      <c r="B42" s="117" t="s">
        <v>225</v>
      </c>
      <c r="C42" s="118">
        <v>540</v>
      </c>
      <c r="D42" s="118">
        <v>166</v>
      </c>
      <c r="E42" s="118">
        <v>-716</v>
      </c>
      <c r="F42" s="118">
        <v>-564</v>
      </c>
      <c r="G42" s="118">
        <v>-2376</v>
      </c>
      <c r="H42" s="118">
        <v>-2434</v>
      </c>
      <c r="I42" s="118">
        <v>-658</v>
      </c>
      <c r="J42" s="118">
        <v>-2302</v>
      </c>
      <c r="K42" s="118">
        <v>-6490</v>
      </c>
      <c r="L42" s="118">
        <v>893</v>
      </c>
      <c r="M42" s="118">
        <v>-814</v>
      </c>
      <c r="N42" s="118">
        <v>-478</v>
      </c>
      <c r="O42" s="118">
        <v>0</v>
      </c>
      <c r="P42" s="118">
        <v>0</v>
      </c>
      <c r="Q42" s="118">
        <v>0</v>
      </c>
      <c r="R42" s="118">
        <v>0</v>
      </c>
      <c r="S42" s="118">
        <v>-237.95429000000001</v>
      </c>
      <c r="T42" s="118">
        <v>9.1180700000000066</v>
      </c>
      <c r="U42" s="118">
        <v>-141.73104000000001</v>
      </c>
      <c r="V42" s="118">
        <v>632.83327999999995</v>
      </c>
      <c r="W42" s="118">
        <v>58.356490000000008</v>
      </c>
      <c r="X42" s="118">
        <v>0</v>
      </c>
      <c r="Y42" s="118">
        <v>1146.8726100000001</v>
      </c>
      <c r="Z42" s="118">
        <v>-41.11357000000001</v>
      </c>
      <c r="AA42" s="637">
        <v>0</v>
      </c>
      <c r="AB42" s="637">
        <v>0</v>
      </c>
      <c r="AC42" s="637">
        <v>-32.518479999999997</v>
      </c>
      <c r="AD42" s="637">
        <v>-15.689480000000003</v>
      </c>
      <c r="AE42" s="733">
        <v>22.121400000000001</v>
      </c>
      <c r="AF42" s="637">
        <v>-1746.41292</v>
      </c>
      <c r="AG42" s="637">
        <v>-3050.3329600000002</v>
      </c>
      <c r="AH42" s="637">
        <v>-8858.5751799999998</v>
      </c>
      <c r="AI42" s="637">
        <v>-3516.73729</v>
      </c>
      <c r="AJ42" s="637">
        <v>-6065.2683599999991</v>
      </c>
      <c r="AK42" s="637">
        <v>-4909.1198599999998</v>
      </c>
      <c r="AL42" s="637">
        <v>-1333.3265899999997</v>
      </c>
      <c r="AM42" s="637">
        <v>817.52155000000005</v>
      </c>
      <c r="AN42" s="637">
        <v>2406.9160500000003</v>
      </c>
      <c r="AO42" s="637">
        <v>1870.12319</v>
      </c>
      <c r="AP42" s="637">
        <v>1443.7478399999998</v>
      </c>
      <c r="AQ42" s="637">
        <v>2986.5062800000001</v>
      </c>
      <c r="AR42" s="637">
        <v>2977.1935600000002</v>
      </c>
      <c r="AS42" s="637">
        <v>2343.5325899999998</v>
      </c>
      <c r="AT42" s="637">
        <v>2476.4465700000005</v>
      </c>
      <c r="AU42" s="637">
        <v>3987.2663900000007</v>
      </c>
      <c r="AV42" s="637">
        <v>3318.2306600000002</v>
      </c>
      <c r="AW42" s="637">
        <v>3291.8730599999999</v>
      </c>
      <c r="AX42" s="637">
        <v>-63.665999999999997</v>
      </c>
      <c r="AY42" s="637">
        <v>-36.612000000000002</v>
      </c>
      <c r="AZ42" s="637">
        <v>-235.87183999999999</v>
      </c>
      <c r="BA42" s="637">
        <v>-376.00216000000006</v>
      </c>
      <c r="BB42" s="637">
        <v>-435.87385999999736</v>
      </c>
      <c r="BC42" s="637">
        <v>6708.8654299999998</v>
      </c>
      <c r="BD42" s="637">
        <v>9330.1348900000012</v>
      </c>
      <c r="BE42" s="637">
        <v>7761.6058999999987</v>
      </c>
      <c r="BF42" s="637">
        <v>2761.9107899999999</v>
      </c>
      <c r="BG42" s="637">
        <v>1547.6767100000006</v>
      </c>
    </row>
    <row r="43" spans="1:59" ht="14.1" customHeight="1" x14ac:dyDescent="0.2">
      <c r="A43" s="632"/>
      <c r="B43" s="119" t="s">
        <v>14</v>
      </c>
      <c r="C43" s="120">
        <f t="shared" ref="C43:AE43" si="24">+SUM(C40:C42)</f>
        <v>4834</v>
      </c>
      <c r="D43" s="120">
        <f t="shared" si="24"/>
        <v>174</v>
      </c>
      <c r="E43" s="120">
        <f t="shared" si="24"/>
        <v>-14720</v>
      </c>
      <c r="F43" s="120">
        <f t="shared" si="24"/>
        <v>-2709</v>
      </c>
      <c r="G43" s="120">
        <f t="shared" si="24"/>
        <v>-28162</v>
      </c>
      <c r="H43" s="120">
        <f t="shared" si="24"/>
        <v>-27859</v>
      </c>
      <c r="I43" s="120">
        <f t="shared" si="24"/>
        <v>-40451</v>
      </c>
      <c r="J43" s="120">
        <f t="shared" si="24"/>
        <v>-24642</v>
      </c>
      <c r="K43" s="120">
        <f t="shared" si="24"/>
        <v>-25353</v>
      </c>
      <c r="L43" s="120">
        <f t="shared" si="24"/>
        <v>-9146</v>
      </c>
      <c r="M43" s="120">
        <f t="shared" si="24"/>
        <v>-9840</v>
      </c>
      <c r="N43" s="120">
        <f t="shared" si="24"/>
        <v>-1693</v>
      </c>
      <c r="O43" s="120">
        <f t="shared" si="24"/>
        <v>-688</v>
      </c>
      <c r="P43" s="120">
        <f t="shared" si="24"/>
        <v>-8112</v>
      </c>
      <c r="Q43" s="120">
        <f t="shared" si="24"/>
        <v>-1433</v>
      </c>
      <c r="R43" s="120">
        <f t="shared" si="24"/>
        <v>-16855.198069999984</v>
      </c>
      <c r="S43" s="120">
        <f t="shared" si="24"/>
        <v>2178.6721000000048</v>
      </c>
      <c r="T43" s="120">
        <f t="shared" si="24"/>
        <v>-197.21291999999764</v>
      </c>
      <c r="U43" s="120">
        <f t="shared" si="24"/>
        <v>435.85067000000197</v>
      </c>
      <c r="V43" s="120">
        <f t="shared" si="24"/>
        <v>2677.7922600000006</v>
      </c>
      <c r="W43" s="120">
        <f t="shared" si="24"/>
        <v>4069.5884600000109</v>
      </c>
      <c r="X43" s="120">
        <f t="shared" si="24"/>
        <v>12041.628999999997</v>
      </c>
      <c r="Y43" s="120">
        <f t="shared" si="24"/>
        <v>-52.804050000007692</v>
      </c>
      <c r="Z43" s="120">
        <f t="shared" si="24"/>
        <v>1162.5990399999969</v>
      </c>
      <c r="AA43" s="120">
        <f t="shared" si="24"/>
        <v>4989.2418400000015</v>
      </c>
      <c r="AB43" s="120">
        <f t="shared" si="24"/>
        <v>5043.0107400000006</v>
      </c>
      <c r="AC43" s="120">
        <f t="shared" si="24"/>
        <v>-1477.9411700000005</v>
      </c>
      <c r="AD43" s="120">
        <f t="shared" si="24"/>
        <v>951.62150000000179</v>
      </c>
      <c r="AE43" s="162">
        <f t="shared" si="24"/>
        <v>6444.9100399999988</v>
      </c>
      <c r="AF43" s="120">
        <f>+SUM(AF40:AF42)</f>
        <v>2488.1726500000032</v>
      </c>
      <c r="AG43" s="120">
        <f t="shared" ref="AG43:AR43" si="25">+SUM(AG40:AG42)</f>
        <v>7194.7441500000023</v>
      </c>
      <c r="AH43" s="120">
        <f t="shared" si="25"/>
        <v>-3252.5041800000035</v>
      </c>
      <c r="AI43" s="120">
        <f t="shared" si="25"/>
        <v>4939.7411300000049</v>
      </c>
      <c r="AJ43" s="120">
        <f t="shared" si="25"/>
        <v>4163.7003200000008</v>
      </c>
      <c r="AK43" s="120">
        <f t="shared" si="25"/>
        <v>5820.3979400000053</v>
      </c>
      <c r="AL43" s="120">
        <f t="shared" si="25"/>
        <v>3354.8978300000017</v>
      </c>
      <c r="AM43" s="120">
        <f t="shared" si="25"/>
        <v>6092.6965</v>
      </c>
      <c r="AN43" s="120">
        <f t="shared" si="25"/>
        <v>19017.157749999998</v>
      </c>
      <c r="AO43" s="120">
        <f t="shared" si="25"/>
        <v>9727.9517200000046</v>
      </c>
      <c r="AP43" s="120">
        <f t="shared" si="25"/>
        <v>9679.18271000001</v>
      </c>
      <c r="AQ43" s="120">
        <f t="shared" si="25"/>
        <v>13568.22036999999</v>
      </c>
      <c r="AR43" s="120">
        <f t="shared" si="25"/>
        <v>10966.571220000003</v>
      </c>
      <c r="AS43" s="120">
        <f t="shared" ref="AS43:BD43" si="26">+SUM(AS40:AS42)</f>
        <v>13278.541079999992</v>
      </c>
      <c r="AT43" s="120">
        <f t="shared" si="26"/>
        <v>10680.27505</v>
      </c>
      <c r="AU43" s="120">
        <f t="shared" si="26"/>
        <v>11365.772920000003</v>
      </c>
      <c r="AV43" s="120">
        <f t="shared" si="26"/>
        <v>10783.806089999998</v>
      </c>
      <c r="AW43" s="120">
        <f t="shared" si="26"/>
        <v>11640.101600000009</v>
      </c>
      <c r="AX43" s="120">
        <f t="shared" si="26"/>
        <v>7495.9835700000031</v>
      </c>
      <c r="AY43" s="120">
        <f t="shared" si="26"/>
        <v>4339.5116999999955</v>
      </c>
      <c r="AZ43" s="120">
        <f t="shared" si="26"/>
        <v>6265.2475300000033</v>
      </c>
      <c r="BA43" s="120">
        <f t="shared" si="26"/>
        <v>3457.1235099999958</v>
      </c>
      <c r="BB43" s="120">
        <f t="shared" si="26"/>
        <v>1684.8728900000046</v>
      </c>
      <c r="BC43" s="120">
        <f t="shared" si="26"/>
        <v>10665.689470000007</v>
      </c>
      <c r="BD43" s="120">
        <f t="shared" si="26"/>
        <v>13433.172309999994</v>
      </c>
      <c r="BE43" s="120">
        <f>+SUM(BE40:BE42)</f>
        <v>7821.9941099999924</v>
      </c>
      <c r="BF43" s="120">
        <f>+SUM(BF40:BF42)</f>
        <v>1324.3426399999933</v>
      </c>
      <c r="BG43" s="120">
        <f>+SUM(BG40:BG42)</f>
        <v>5546.1685699999935</v>
      </c>
    </row>
    <row r="44" spans="1:59" x14ac:dyDescent="0.2">
      <c r="A44" s="22"/>
      <c r="B44" s="117" t="s">
        <v>15</v>
      </c>
      <c r="C44" s="118">
        <v>-1580</v>
      </c>
      <c r="D44" s="118">
        <v>-1072</v>
      </c>
      <c r="E44" s="118">
        <v>4617</v>
      </c>
      <c r="F44" s="118">
        <v>-893</v>
      </c>
      <c r="G44" s="118">
        <v>8496</v>
      </c>
      <c r="H44" s="118">
        <v>6074</v>
      </c>
      <c r="I44" s="118">
        <v>8976</v>
      </c>
      <c r="J44" s="118">
        <v>6444</v>
      </c>
      <c r="K44" s="118">
        <v>7687</v>
      </c>
      <c r="L44" s="118">
        <v>9700</v>
      </c>
      <c r="M44" s="118">
        <v>-16272</v>
      </c>
      <c r="N44" s="118">
        <v>-832</v>
      </c>
      <c r="O44" s="118">
        <v>953</v>
      </c>
      <c r="P44" s="118">
        <v>3069</v>
      </c>
      <c r="Q44" s="118">
        <v>937</v>
      </c>
      <c r="R44" s="118">
        <v>10582.543320000001</v>
      </c>
      <c r="S44" s="118">
        <v>-127.89490999999987</v>
      </c>
      <c r="T44" s="118">
        <v>286.40057000000007</v>
      </c>
      <c r="U44" s="118">
        <v>602.90291999999999</v>
      </c>
      <c r="V44" s="118">
        <v>-1415.7246399999999</v>
      </c>
      <c r="W44" s="118">
        <v>-1807.91174</v>
      </c>
      <c r="X44" s="261">
        <v>-2174.5405000000001</v>
      </c>
      <c r="Y44" s="118">
        <v>499.1908199999998</v>
      </c>
      <c r="Z44" s="261">
        <v>7999.6743299999998</v>
      </c>
      <c r="AA44" s="637">
        <v>-1131.5722000000001</v>
      </c>
      <c r="AB44" s="637">
        <v>-1341.0914700000001</v>
      </c>
      <c r="AC44" s="637">
        <v>1814.4770699999999</v>
      </c>
      <c r="AD44" s="261">
        <v>595.17434000000003</v>
      </c>
      <c r="AE44" s="160">
        <v>-1370.73559</v>
      </c>
      <c r="AF44" s="118">
        <v>-1263.68363</v>
      </c>
      <c r="AG44" s="898">
        <v>-1983.8635499999998</v>
      </c>
      <c r="AH44" s="637">
        <v>1231.2756699999998</v>
      </c>
      <c r="AI44" s="637">
        <v>-3330.7276499999998</v>
      </c>
      <c r="AJ44" s="637">
        <v>-3832.9157199999995</v>
      </c>
      <c r="AK44" s="637">
        <v>-3579.4171299999998</v>
      </c>
      <c r="AL44" s="637">
        <v>-1937.6748600000003</v>
      </c>
      <c r="AM44" s="637">
        <v>-1741.29331</v>
      </c>
      <c r="AN44" s="637">
        <v>-5392.8329699999995</v>
      </c>
      <c r="AO44" s="637">
        <v>-1538.3751100000002</v>
      </c>
      <c r="AP44" s="637">
        <v>-3231.1730799999996</v>
      </c>
      <c r="AQ44" s="637">
        <v>-3923.3415200000004</v>
      </c>
      <c r="AR44" s="637">
        <v>-3191.29612</v>
      </c>
      <c r="AS44" s="637">
        <v>-3939.2471400000004</v>
      </c>
      <c r="AT44" s="637">
        <v>-4042.5341200000003</v>
      </c>
      <c r="AU44" s="637">
        <v>-2008.9283799999998</v>
      </c>
      <c r="AV44" s="637">
        <v>-2181.8118100000002</v>
      </c>
      <c r="AW44" s="637">
        <v>-2304.86897</v>
      </c>
      <c r="AX44" s="637">
        <v>-1784.3179299999999</v>
      </c>
      <c r="AY44" s="637">
        <v>-1702.1535200000001</v>
      </c>
      <c r="AZ44" s="637">
        <v>-2144.9234699999997</v>
      </c>
      <c r="BA44" s="637">
        <v>-1560.46252</v>
      </c>
      <c r="BB44" s="637">
        <v>-1068.87538</v>
      </c>
      <c r="BC44" s="637">
        <v>-1850.5553</v>
      </c>
      <c r="BD44" s="637">
        <v>-1922.2032300000001</v>
      </c>
      <c r="BE44" s="637">
        <v>-506.74806000000001</v>
      </c>
      <c r="BF44" s="637">
        <v>-70.463320000000181</v>
      </c>
      <c r="BG44" s="637">
        <v>-1802.00074</v>
      </c>
    </row>
    <row r="45" spans="1:59" hidden="1" outlineLevel="1" x14ac:dyDescent="0.2">
      <c r="A45" s="23"/>
      <c r="B45" s="119" t="s">
        <v>57</v>
      </c>
      <c r="C45" s="120">
        <f t="shared" ref="C45:AL45" si="27">SUM(C43:C44)</f>
        <v>3254</v>
      </c>
      <c r="D45" s="120">
        <f t="shared" si="27"/>
        <v>-898</v>
      </c>
      <c r="E45" s="120">
        <f t="shared" si="27"/>
        <v>-10103</v>
      </c>
      <c r="F45" s="120">
        <f t="shared" si="27"/>
        <v>-3602</v>
      </c>
      <c r="G45" s="120">
        <f t="shared" si="27"/>
        <v>-19666</v>
      </c>
      <c r="H45" s="120">
        <f t="shared" si="27"/>
        <v>-21785</v>
      </c>
      <c r="I45" s="120">
        <f t="shared" si="27"/>
        <v>-31475</v>
      </c>
      <c r="J45" s="120">
        <f t="shared" si="27"/>
        <v>-18198</v>
      </c>
      <c r="K45" s="120">
        <f t="shared" si="27"/>
        <v>-17666</v>
      </c>
      <c r="L45" s="120">
        <f t="shared" si="27"/>
        <v>554</v>
      </c>
      <c r="M45" s="120">
        <f t="shared" si="27"/>
        <v>-26112</v>
      </c>
      <c r="N45" s="120">
        <f t="shared" si="27"/>
        <v>-2525</v>
      </c>
      <c r="O45" s="120">
        <f t="shared" si="27"/>
        <v>265</v>
      </c>
      <c r="P45" s="120">
        <f t="shared" si="27"/>
        <v>-5043</v>
      </c>
      <c r="Q45" s="120">
        <f t="shared" si="27"/>
        <v>-496</v>
      </c>
      <c r="R45" s="120">
        <f t="shared" si="27"/>
        <v>-6272.6547499999833</v>
      </c>
      <c r="S45" s="120">
        <f t="shared" si="27"/>
        <v>2050.7771900000048</v>
      </c>
      <c r="T45" s="120">
        <f t="shared" si="27"/>
        <v>89.187650000002435</v>
      </c>
      <c r="U45" s="120">
        <f t="shared" si="27"/>
        <v>1038.7535900000021</v>
      </c>
      <c r="V45" s="120">
        <f t="shared" si="27"/>
        <v>1262.0676200000007</v>
      </c>
      <c r="W45" s="120">
        <f t="shared" si="27"/>
        <v>2261.6767200000108</v>
      </c>
      <c r="X45" s="120">
        <f t="shared" si="27"/>
        <v>9867.088499999998</v>
      </c>
      <c r="Y45" s="120">
        <f t="shared" si="27"/>
        <v>446.38676999999211</v>
      </c>
      <c r="Z45" s="120">
        <f t="shared" si="27"/>
        <v>9162.2733699999972</v>
      </c>
      <c r="AA45" s="120">
        <f t="shared" si="27"/>
        <v>3857.6696400000014</v>
      </c>
      <c r="AB45" s="120">
        <f t="shared" si="27"/>
        <v>3701.9192700000003</v>
      </c>
      <c r="AC45" s="120">
        <f t="shared" si="27"/>
        <v>336.5358999999994</v>
      </c>
      <c r="AD45" s="120">
        <f t="shared" si="27"/>
        <v>1546.7958400000018</v>
      </c>
      <c r="AE45" s="162">
        <f t="shared" si="27"/>
        <v>5074.1744499999986</v>
      </c>
      <c r="AF45" s="120">
        <f t="shared" si="27"/>
        <v>1224.4890200000032</v>
      </c>
      <c r="AG45" s="120">
        <f t="shared" si="27"/>
        <v>5210.8806000000022</v>
      </c>
      <c r="AH45" s="120">
        <f t="shared" si="27"/>
        <v>-2021.2285100000038</v>
      </c>
      <c r="AI45" s="120">
        <f t="shared" si="27"/>
        <v>1609.0134800000051</v>
      </c>
      <c r="AJ45" s="120">
        <f t="shared" si="27"/>
        <v>330.78460000000132</v>
      </c>
      <c r="AK45" s="120">
        <f t="shared" si="27"/>
        <v>2240.9808100000055</v>
      </c>
      <c r="AL45" s="120">
        <f t="shared" si="27"/>
        <v>1417.2229700000014</v>
      </c>
      <c r="AM45" s="120">
        <f t="shared" ref="AM45:AR45" si="28">SUM(AM43:AM44)</f>
        <v>4351.40319</v>
      </c>
      <c r="AN45" s="120">
        <f t="shared" si="28"/>
        <v>13624.324779999999</v>
      </c>
      <c r="AO45" s="120">
        <f t="shared" si="28"/>
        <v>8189.5766100000046</v>
      </c>
      <c r="AP45" s="120">
        <f t="shared" si="28"/>
        <v>6448.0096300000105</v>
      </c>
      <c r="AQ45" s="120">
        <f t="shared" si="28"/>
        <v>9644.8788499999901</v>
      </c>
      <c r="AR45" s="120">
        <f t="shared" si="28"/>
        <v>7775.2751000000035</v>
      </c>
      <c r="AS45" s="120">
        <f t="shared" ref="AS45:BD45" si="29">SUM(AS43:AS44)</f>
        <v>9339.2939399999923</v>
      </c>
      <c r="AT45" s="120">
        <f t="shared" si="29"/>
        <v>6637.7409299999999</v>
      </c>
      <c r="AU45" s="120">
        <f t="shared" si="29"/>
        <v>9356.8445400000037</v>
      </c>
      <c r="AV45" s="120">
        <f t="shared" si="29"/>
        <v>8601.994279999999</v>
      </c>
      <c r="AW45" s="120">
        <f t="shared" si="29"/>
        <v>9335.2326300000095</v>
      </c>
      <c r="AX45" s="120">
        <f t="shared" si="29"/>
        <v>5711.6656400000029</v>
      </c>
      <c r="AY45" s="120">
        <f t="shared" si="29"/>
        <v>2637.3581799999956</v>
      </c>
      <c r="AZ45" s="120">
        <f t="shared" si="29"/>
        <v>4120.3240600000036</v>
      </c>
      <c r="BA45" s="120">
        <f t="shared" si="29"/>
        <v>1896.6609899999958</v>
      </c>
      <c r="BB45" s="120">
        <v>615.9975100000047</v>
      </c>
      <c r="BC45" s="120">
        <f>SUM(BC43:BC44)</f>
        <v>8815.1341700000066</v>
      </c>
      <c r="BD45" s="120">
        <f t="shared" si="29"/>
        <v>11510.969079999995</v>
      </c>
      <c r="BE45" s="120">
        <f>SUM(BE43:BE44)</f>
        <v>7315.2460499999925</v>
      </c>
      <c r="BF45" s="120">
        <f>SUM(BF43:BF44)</f>
        <v>1253.8793199999932</v>
      </c>
      <c r="BG45" s="120">
        <f>SUM(BG43:BG44)</f>
        <v>3744.1678299999935</v>
      </c>
    </row>
    <row r="46" spans="1:59" s="220" customFormat="1" hidden="1" outlineLevel="1" x14ac:dyDescent="0.2">
      <c r="A46" s="228"/>
      <c r="B46" s="227" t="s">
        <v>868</v>
      </c>
      <c r="C46" s="225">
        <v>0</v>
      </c>
      <c r="D46" s="225">
        <v>0</v>
      </c>
      <c r="E46" s="225">
        <v>0</v>
      </c>
      <c r="F46" s="225">
        <v>0</v>
      </c>
      <c r="G46" s="225">
        <v>0</v>
      </c>
      <c r="H46" s="225">
        <v>0</v>
      </c>
      <c r="I46" s="225">
        <v>0</v>
      </c>
      <c r="J46" s="225">
        <v>0</v>
      </c>
      <c r="K46" s="225">
        <v>0</v>
      </c>
      <c r="L46" s="225">
        <v>0</v>
      </c>
      <c r="M46" s="225">
        <v>0</v>
      </c>
      <c r="N46" s="225">
        <v>0</v>
      </c>
      <c r="O46" s="225">
        <v>0</v>
      </c>
      <c r="P46" s="225">
        <v>0</v>
      </c>
      <c r="Q46" s="225">
        <v>0</v>
      </c>
      <c r="R46" s="225">
        <v>0</v>
      </c>
      <c r="S46" s="225">
        <v>0</v>
      </c>
      <c r="T46" s="225">
        <v>0</v>
      </c>
      <c r="U46" s="225">
        <v>0</v>
      </c>
      <c r="V46" s="225">
        <v>0</v>
      </c>
      <c r="W46" s="225">
        <v>0</v>
      </c>
      <c r="X46" s="225">
        <v>0</v>
      </c>
      <c r="Y46" s="225">
        <v>0</v>
      </c>
      <c r="Z46" s="225">
        <v>0</v>
      </c>
      <c r="AA46" s="225">
        <v>0</v>
      </c>
      <c r="AB46" s="225">
        <v>0</v>
      </c>
      <c r="AC46" s="225">
        <v>0</v>
      </c>
      <c r="AD46" s="225">
        <v>0</v>
      </c>
      <c r="AE46" s="734">
        <v>0</v>
      </c>
      <c r="AF46" s="121">
        <v>0</v>
      </c>
      <c r="AG46" s="121">
        <v>0</v>
      </c>
      <c r="AH46" s="121">
        <v>0</v>
      </c>
      <c r="AI46" s="121">
        <v>0</v>
      </c>
      <c r="AJ46" s="121">
        <v>0</v>
      </c>
      <c r="AK46" s="121">
        <v>0</v>
      </c>
      <c r="AL46" s="121">
        <v>0</v>
      </c>
      <c r="AM46" s="121">
        <v>0</v>
      </c>
      <c r="AN46" s="121">
        <v>0</v>
      </c>
      <c r="AO46" s="121">
        <v>0</v>
      </c>
      <c r="AP46" s="121" t="s">
        <v>160</v>
      </c>
      <c r="AQ46" s="121">
        <v>0</v>
      </c>
      <c r="AR46" s="121">
        <v>0</v>
      </c>
      <c r="AS46" s="121">
        <v>0</v>
      </c>
      <c r="AT46" s="121">
        <v>0</v>
      </c>
      <c r="AU46" s="121">
        <v>0</v>
      </c>
      <c r="AV46" s="121">
        <v>0</v>
      </c>
      <c r="AW46" s="121">
        <v>0</v>
      </c>
      <c r="AX46" s="121">
        <v>0</v>
      </c>
      <c r="AY46" s="121" t="s">
        <v>160</v>
      </c>
      <c r="AZ46" s="121" t="s">
        <v>160</v>
      </c>
      <c r="BA46" s="121"/>
      <c r="BB46" s="121">
        <v>0</v>
      </c>
      <c r="BC46" s="121">
        <v>0</v>
      </c>
      <c r="BD46" s="121">
        <v>0</v>
      </c>
      <c r="BE46" s="121">
        <v>0</v>
      </c>
      <c r="BF46" s="121">
        <v>0</v>
      </c>
      <c r="BG46" s="121">
        <v>0</v>
      </c>
    </row>
    <row r="47" spans="1:59" s="220" customFormat="1" hidden="1" outlineLevel="1" x14ac:dyDescent="0.2">
      <c r="A47" s="228"/>
      <c r="B47" s="970" t="s">
        <v>875</v>
      </c>
      <c r="C47" s="225">
        <v>0</v>
      </c>
      <c r="D47" s="225">
        <v>0</v>
      </c>
      <c r="E47" s="225">
        <v>0</v>
      </c>
      <c r="F47" s="225">
        <v>0</v>
      </c>
      <c r="G47" s="225">
        <v>0</v>
      </c>
      <c r="H47" s="225">
        <v>0</v>
      </c>
      <c r="I47" s="225">
        <v>0</v>
      </c>
      <c r="J47" s="225">
        <v>0</v>
      </c>
      <c r="K47" s="225">
        <v>0</v>
      </c>
      <c r="L47" s="225">
        <v>0</v>
      </c>
      <c r="M47" s="225">
        <v>-5065</v>
      </c>
      <c r="N47" s="225">
        <v>0</v>
      </c>
      <c r="O47" s="225">
        <v>0</v>
      </c>
      <c r="P47" s="225">
        <v>0</v>
      </c>
      <c r="Q47" s="225">
        <v>0</v>
      </c>
      <c r="R47" s="225">
        <v>0</v>
      </c>
      <c r="S47" s="225">
        <v>0</v>
      </c>
      <c r="T47" s="225">
        <v>0</v>
      </c>
      <c r="U47" s="225">
        <v>0</v>
      </c>
      <c r="V47" s="225">
        <v>0</v>
      </c>
      <c r="W47" s="225">
        <v>0</v>
      </c>
      <c r="X47" s="225">
        <v>0</v>
      </c>
      <c r="Y47" s="225">
        <v>0</v>
      </c>
      <c r="Z47" s="225">
        <v>0</v>
      </c>
      <c r="AA47" s="225">
        <v>0</v>
      </c>
      <c r="AB47" s="225">
        <v>0</v>
      </c>
      <c r="AC47" s="225">
        <v>0</v>
      </c>
      <c r="AD47" s="225">
        <v>0</v>
      </c>
      <c r="AE47" s="734">
        <v>0</v>
      </c>
      <c r="AF47" s="121">
        <v>0</v>
      </c>
      <c r="AG47" s="121">
        <v>0</v>
      </c>
      <c r="AH47" s="121">
        <v>0</v>
      </c>
      <c r="AI47" s="121">
        <v>0</v>
      </c>
      <c r="AJ47" s="121">
        <v>0</v>
      </c>
      <c r="AK47" s="121">
        <v>0</v>
      </c>
      <c r="AL47" s="121">
        <v>0</v>
      </c>
      <c r="AM47" s="121">
        <v>0</v>
      </c>
      <c r="AN47" s="121">
        <v>0</v>
      </c>
      <c r="AO47" s="121">
        <v>0</v>
      </c>
      <c r="AP47" s="121" t="s">
        <v>160</v>
      </c>
      <c r="AQ47" s="121">
        <v>0</v>
      </c>
      <c r="AR47" s="121">
        <v>0</v>
      </c>
      <c r="AS47" s="121">
        <v>0</v>
      </c>
      <c r="AT47" s="121">
        <v>0</v>
      </c>
      <c r="AU47" s="121">
        <v>0</v>
      </c>
      <c r="AV47" s="121">
        <v>0</v>
      </c>
      <c r="AW47" s="121">
        <v>0</v>
      </c>
      <c r="AX47" s="121">
        <v>0</v>
      </c>
      <c r="AY47" s="121" t="s">
        <v>160</v>
      </c>
      <c r="AZ47" s="121" t="s">
        <v>160</v>
      </c>
      <c r="BA47" s="121"/>
      <c r="BB47" s="121">
        <v>0</v>
      </c>
      <c r="BC47" s="121">
        <v>0</v>
      </c>
      <c r="BD47" s="121">
        <v>0</v>
      </c>
      <c r="BE47" s="121">
        <v>0</v>
      </c>
      <c r="BF47" s="121">
        <v>0</v>
      </c>
      <c r="BG47" s="121">
        <v>0</v>
      </c>
    </row>
    <row r="48" spans="1:59" s="220" customFormat="1" collapsed="1" x14ac:dyDescent="0.2">
      <c r="A48" s="969"/>
      <c r="B48" s="124" t="s">
        <v>72</v>
      </c>
      <c r="C48" s="125">
        <f t="shared" ref="C48:AP48" si="30">+SUM(C45:C47)</f>
        <v>3254</v>
      </c>
      <c r="D48" s="125">
        <f t="shared" si="30"/>
        <v>-898</v>
      </c>
      <c r="E48" s="125">
        <f t="shared" si="30"/>
        <v>-10103</v>
      </c>
      <c r="F48" s="125">
        <f t="shared" si="30"/>
        <v>-3602</v>
      </c>
      <c r="G48" s="125">
        <f t="shared" si="30"/>
        <v>-19666</v>
      </c>
      <c r="H48" s="125">
        <f t="shared" si="30"/>
        <v>-21785</v>
      </c>
      <c r="I48" s="125">
        <f t="shared" si="30"/>
        <v>-31475</v>
      </c>
      <c r="J48" s="125">
        <f t="shared" si="30"/>
        <v>-18198</v>
      </c>
      <c r="K48" s="125">
        <f t="shared" si="30"/>
        <v>-17666</v>
      </c>
      <c r="L48" s="125">
        <f t="shared" si="30"/>
        <v>554</v>
      </c>
      <c r="M48" s="125">
        <f t="shared" si="30"/>
        <v>-31177</v>
      </c>
      <c r="N48" s="125">
        <f t="shared" si="30"/>
        <v>-2525</v>
      </c>
      <c r="O48" s="125">
        <f t="shared" si="30"/>
        <v>265</v>
      </c>
      <c r="P48" s="125">
        <f t="shared" si="30"/>
        <v>-5043</v>
      </c>
      <c r="Q48" s="125">
        <f t="shared" si="30"/>
        <v>-496</v>
      </c>
      <c r="R48" s="125">
        <f t="shared" si="30"/>
        <v>-6272.6547499999833</v>
      </c>
      <c r="S48" s="125">
        <f t="shared" si="30"/>
        <v>2050.7771900000048</v>
      </c>
      <c r="T48" s="125">
        <f t="shared" si="30"/>
        <v>89.187650000002435</v>
      </c>
      <c r="U48" s="125">
        <f t="shared" si="30"/>
        <v>1038.7535900000021</v>
      </c>
      <c r="V48" s="125">
        <f t="shared" si="30"/>
        <v>1262.0676200000007</v>
      </c>
      <c r="W48" s="125">
        <f t="shared" si="30"/>
        <v>2261.6767200000108</v>
      </c>
      <c r="X48" s="125">
        <f t="shared" si="30"/>
        <v>9867.088499999998</v>
      </c>
      <c r="Y48" s="125">
        <f t="shared" si="30"/>
        <v>446.38676999999211</v>
      </c>
      <c r="Z48" s="125">
        <f t="shared" si="30"/>
        <v>9162.2733699999972</v>
      </c>
      <c r="AA48" s="125">
        <f t="shared" si="30"/>
        <v>3857.6696400000014</v>
      </c>
      <c r="AB48" s="125">
        <f t="shared" si="30"/>
        <v>3701.9192700000003</v>
      </c>
      <c r="AC48" s="125">
        <f t="shared" si="30"/>
        <v>336.5358999999994</v>
      </c>
      <c r="AD48" s="125">
        <f t="shared" si="30"/>
        <v>1546.7958400000018</v>
      </c>
      <c r="AE48" s="164">
        <f t="shared" si="30"/>
        <v>5074.1744499999986</v>
      </c>
      <c r="AF48" s="125">
        <f t="shared" si="30"/>
        <v>1224.4890200000032</v>
      </c>
      <c r="AG48" s="125">
        <f t="shared" si="30"/>
        <v>5210.8806000000022</v>
      </c>
      <c r="AH48" s="125">
        <f t="shared" si="30"/>
        <v>-2021.2285100000038</v>
      </c>
      <c r="AI48" s="125">
        <f t="shared" si="30"/>
        <v>1609.0134800000051</v>
      </c>
      <c r="AJ48" s="125">
        <f t="shared" si="30"/>
        <v>330.78460000000132</v>
      </c>
      <c r="AK48" s="125">
        <f t="shared" si="30"/>
        <v>2240.9808100000055</v>
      </c>
      <c r="AL48" s="125">
        <f t="shared" si="30"/>
        <v>1417.2229700000014</v>
      </c>
      <c r="AM48" s="125">
        <f t="shared" si="30"/>
        <v>4351.40319</v>
      </c>
      <c r="AN48" s="125">
        <f t="shared" si="30"/>
        <v>13624.324779999999</v>
      </c>
      <c r="AO48" s="125">
        <f t="shared" si="30"/>
        <v>8189.5766100000046</v>
      </c>
      <c r="AP48" s="125">
        <f t="shared" si="30"/>
        <v>6448.0096300000105</v>
      </c>
      <c r="AQ48" s="125">
        <v>9644.8788499999901</v>
      </c>
      <c r="AR48" s="125">
        <f t="shared" ref="AR48:AW48" si="31">+SUM(AR45:AR47)</f>
        <v>7775.2751000000035</v>
      </c>
      <c r="AS48" s="125">
        <f t="shared" si="31"/>
        <v>9339.2939399999923</v>
      </c>
      <c r="AT48" s="125">
        <f t="shared" si="31"/>
        <v>6637.7409299999999</v>
      </c>
      <c r="AU48" s="125">
        <f t="shared" si="31"/>
        <v>9356.8445400000037</v>
      </c>
      <c r="AV48" s="125">
        <f t="shared" si="31"/>
        <v>8601.994279999999</v>
      </c>
      <c r="AW48" s="125">
        <f t="shared" si="31"/>
        <v>9335.2326300000095</v>
      </c>
      <c r="AX48" s="125">
        <f t="shared" ref="AX48:BD48" si="32">+SUM(AX45:AX47)</f>
        <v>5711.6656400000029</v>
      </c>
      <c r="AY48" s="125">
        <f t="shared" si="32"/>
        <v>2637.3581799999956</v>
      </c>
      <c r="AZ48" s="125">
        <f t="shared" si="32"/>
        <v>4120.3240600000036</v>
      </c>
      <c r="BA48" s="125">
        <f t="shared" si="32"/>
        <v>1896.6609899999958</v>
      </c>
      <c r="BB48" s="125">
        <f t="shared" si="32"/>
        <v>615.9975100000047</v>
      </c>
      <c r="BC48" s="125">
        <f t="shared" si="32"/>
        <v>8815.1341700000066</v>
      </c>
      <c r="BD48" s="125">
        <f t="shared" si="32"/>
        <v>11510.969079999995</v>
      </c>
      <c r="BE48" s="125">
        <f>+SUM(BE45:BE47)</f>
        <v>7315.2460499999925</v>
      </c>
      <c r="BF48" s="125">
        <f>+SUM(BF45:BF47)</f>
        <v>1253.8793199999932</v>
      </c>
      <c r="BG48" s="125">
        <f>+SUM(BG45:BG47)</f>
        <v>3744.1678299999935</v>
      </c>
    </row>
    <row r="49" spans="1:62" ht="14.1" customHeight="1" x14ac:dyDescent="0.2">
      <c r="A49" s="1088"/>
      <c r="B49" s="1088" t="s">
        <v>65</v>
      </c>
      <c r="C49" s="1088"/>
      <c r="D49" s="1088"/>
      <c r="E49" s="1088"/>
      <c r="F49" s="1088"/>
      <c r="G49" s="1088"/>
      <c r="H49" s="1088"/>
      <c r="I49" s="1088"/>
      <c r="J49" s="1088"/>
      <c r="K49" s="1088"/>
      <c r="L49" s="1088"/>
      <c r="M49" s="329"/>
      <c r="N49" s="329"/>
      <c r="O49" s="329"/>
      <c r="P49" s="329"/>
      <c r="Q49" s="329"/>
      <c r="R49" s="329"/>
      <c r="S49" s="329"/>
      <c r="T49" s="329"/>
      <c r="U49" s="329"/>
      <c r="V49" s="329"/>
      <c r="W49" s="329"/>
      <c r="X49" s="329"/>
      <c r="Y49" s="329"/>
      <c r="Z49" s="329"/>
      <c r="AA49" s="329"/>
      <c r="AB49" s="329"/>
      <c r="AC49" s="329"/>
      <c r="AD49" s="678"/>
      <c r="AR49" s="187"/>
      <c r="AS49" s="187"/>
      <c r="AT49" s="187"/>
      <c r="AU49" s="187"/>
      <c r="AV49" s="187"/>
      <c r="AW49" s="187"/>
      <c r="AX49" s="187"/>
      <c r="AY49" s="907"/>
      <c r="AZ49" s="907"/>
      <c r="BA49" s="907"/>
      <c r="BB49" s="907"/>
      <c r="BC49" s="907"/>
      <c r="BD49" s="907"/>
      <c r="BE49" s="907"/>
      <c r="BF49" s="907"/>
      <c r="BG49" s="907"/>
    </row>
    <row r="50" spans="1:62" customFormat="1" ht="14.1" customHeight="1" x14ac:dyDescent="0.2">
      <c r="A50" s="544"/>
      <c r="B50" s="544"/>
      <c r="C50" s="544"/>
      <c r="D50" s="544"/>
      <c r="E50" s="544"/>
      <c r="F50" s="544"/>
      <c r="G50" s="544"/>
      <c r="H50" s="544"/>
      <c r="I50" s="544"/>
      <c r="J50" s="544"/>
      <c r="K50" s="544"/>
      <c r="L50" s="544"/>
      <c r="M50" s="544"/>
      <c r="N50" s="544"/>
      <c r="O50" s="544"/>
      <c r="P50" s="544"/>
      <c r="Q50" s="544"/>
      <c r="R50" s="544"/>
      <c r="S50" s="544"/>
      <c r="T50" s="544"/>
      <c r="U50" s="544"/>
      <c r="V50" s="544"/>
      <c r="W50" s="544"/>
      <c r="X50" s="544"/>
      <c r="Y50" s="544"/>
      <c r="Z50" s="544"/>
      <c r="AA50" s="544"/>
      <c r="AB50" s="544"/>
      <c r="AC50" s="544"/>
      <c r="AD50" s="544"/>
      <c r="AE50" s="544"/>
      <c r="AF50" s="544"/>
      <c r="AG50" s="544"/>
      <c r="AH50" s="544"/>
      <c r="AI50" s="544" t="s">
        <v>1140</v>
      </c>
      <c r="AJ50" s="1054" t="s">
        <v>1140</v>
      </c>
      <c r="AK50" s="1054"/>
      <c r="AL50" s="1054"/>
      <c r="AM50" s="1054" t="s">
        <v>1074</v>
      </c>
      <c r="AN50" s="1054" t="s">
        <v>1074</v>
      </c>
      <c r="AO50" s="1054"/>
      <c r="AP50" s="1054"/>
      <c r="AQ50" s="330" t="s">
        <v>1134</v>
      </c>
      <c r="AR50" s="330" t="s">
        <v>1134</v>
      </c>
      <c r="AS50" s="330"/>
      <c r="AT50" s="330"/>
      <c r="AU50" s="330" t="s">
        <v>1208</v>
      </c>
      <c r="AV50" s="330" t="s">
        <v>1208</v>
      </c>
      <c r="AW50" s="330"/>
      <c r="AX50" s="330"/>
      <c r="AY50" s="330" t="s">
        <v>1259</v>
      </c>
      <c r="AZ50" s="330" t="s">
        <v>1259</v>
      </c>
      <c r="BA50" s="330"/>
      <c r="BB50" s="330"/>
      <c r="BC50" s="330" t="s">
        <v>1325</v>
      </c>
      <c r="BD50" s="330" t="s">
        <v>1325</v>
      </c>
      <c r="BE50" s="330"/>
      <c r="BF50" s="330"/>
      <c r="BG50" s="547" t="s">
        <v>1377</v>
      </c>
      <c r="BH50" s="330" t="s">
        <v>1259</v>
      </c>
      <c r="BI50" s="330"/>
      <c r="BJ50" s="330"/>
    </row>
    <row r="51" spans="1:62" customFormat="1" ht="14.1" customHeight="1" x14ac:dyDescent="0.2">
      <c r="AI51" s="544" t="s">
        <v>927</v>
      </c>
      <c r="AJ51" s="544" t="s">
        <v>927</v>
      </c>
      <c r="AK51" s="544" t="s">
        <v>927</v>
      </c>
      <c r="AM51" s="544" t="s">
        <v>1075</v>
      </c>
      <c r="AN51" s="544" t="s">
        <v>1075</v>
      </c>
      <c r="AO51" s="544" t="s">
        <v>1075</v>
      </c>
      <c r="AP51" s="544"/>
      <c r="AQ51" s="544" t="s">
        <v>1126</v>
      </c>
      <c r="AR51" s="544" t="s">
        <v>1126</v>
      </c>
      <c r="AS51" s="544" t="s">
        <v>1126</v>
      </c>
      <c r="AT51" s="544"/>
      <c r="AU51" s="544" t="s">
        <v>1209</v>
      </c>
      <c r="AV51" s="544" t="s">
        <v>1209</v>
      </c>
      <c r="AW51" s="544" t="s">
        <v>1209</v>
      </c>
      <c r="AX51" s="544"/>
      <c r="AY51" s="544" t="s">
        <v>1260</v>
      </c>
      <c r="AZ51" s="544" t="s">
        <v>1260</v>
      </c>
      <c r="BA51" s="544" t="s">
        <v>1260</v>
      </c>
      <c r="BB51" s="544"/>
      <c r="BC51" s="544" t="s">
        <v>1324</v>
      </c>
      <c r="BD51" s="544" t="s">
        <v>1324</v>
      </c>
      <c r="BE51" s="544" t="s">
        <v>1324</v>
      </c>
      <c r="BF51" s="544"/>
      <c r="BG51" s="547" t="s">
        <v>1378</v>
      </c>
      <c r="BH51" s="544" t="s">
        <v>1260</v>
      </c>
      <c r="BI51" s="544" t="s">
        <v>1260</v>
      </c>
      <c r="BJ51" s="544" t="s">
        <v>1260</v>
      </c>
    </row>
    <row r="52" spans="1:62" customFormat="1" ht="14.1" customHeight="1" x14ac:dyDescent="0.2">
      <c r="AC52" s="756"/>
      <c r="AD52" s="756"/>
      <c r="AE52" s="756"/>
      <c r="AF52" s="756"/>
      <c r="AG52" s="756"/>
      <c r="AH52" s="756"/>
      <c r="AI52" s="1093">
        <v>2020</v>
      </c>
      <c r="AJ52" s="1093">
        <v>2020</v>
      </c>
      <c r="AK52" s="1093">
        <v>2020</v>
      </c>
      <c r="AL52" s="1093">
        <v>2020</v>
      </c>
      <c r="AM52" s="1093">
        <v>2021</v>
      </c>
      <c r="AN52" s="1093">
        <v>2021</v>
      </c>
      <c r="AO52" s="1093">
        <v>2021</v>
      </c>
      <c r="AP52" s="1093">
        <v>2021</v>
      </c>
      <c r="AQ52" s="1093">
        <v>2022</v>
      </c>
      <c r="AR52" s="1093">
        <v>2022</v>
      </c>
      <c r="AS52" s="1093">
        <v>2022</v>
      </c>
      <c r="AT52" s="1093">
        <v>2022</v>
      </c>
      <c r="AU52" s="1093">
        <v>2023</v>
      </c>
      <c r="AV52" s="1093">
        <v>2023</v>
      </c>
      <c r="AW52" s="1093">
        <v>2023</v>
      </c>
      <c r="AX52" s="1093">
        <v>2023</v>
      </c>
      <c r="AY52" s="1093">
        <v>2024</v>
      </c>
      <c r="AZ52" s="1093">
        <v>2024</v>
      </c>
      <c r="BA52" s="1093">
        <v>2024</v>
      </c>
      <c r="BB52" s="1093">
        <v>2024</v>
      </c>
      <c r="BC52" s="1093">
        <v>2025</v>
      </c>
      <c r="BD52" s="1093">
        <v>2025</v>
      </c>
      <c r="BE52" s="1093">
        <v>2025</v>
      </c>
      <c r="BF52" s="1093">
        <v>2025</v>
      </c>
      <c r="BG52" s="1059">
        <v>2026</v>
      </c>
      <c r="BH52" s="1093">
        <v>2024</v>
      </c>
      <c r="BI52" s="1093">
        <v>2024</v>
      </c>
      <c r="BJ52" s="1093">
        <v>2024</v>
      </c>
    </row>
    <row r="53" spans="1:62" customFormat="1" ht="14.1" customHeight="1" x14ac:dyDescent="0.2">
      <c r="AR53" s="328"/>
      <c r="AS53" s="40"/>
      <c r="AT53" s="40"/>
      <c r="AU53" s="40"/>
      <c r="AV53" s="40"/>
      <c r="AW53" s="40"/>
      <c r="AX53" s="328"/>
      <c r="AY53" s="328"/>
      <c r="AZ53" s="328"/>
      <c r="BA53" s="328"/>
      <c r="BB53" s="328"/>
      <c r="BC53" s="328"/>
      <c r="BD53" s="328"/>
      <c r="BE53" s="328"/>
      <c r="BF53" s="328"/>
      <c r="BG53" s="328"/>
    </row>
    <row r="54" spans="1:62" customFormat="1" ht="14.1" customHeight="1" x14ac:dyDescent="0.2">
      <c r="AR54" s="328"/>
      <c r="AS54" s="40"/>
      <c r="AT54" s="40"/>
      <c r="AU54" s="40"/>
      <c r="AV54" s="40"/>
      <c r="AW54" s="40"/>
      <c r="AX54" s="328"/>
      <c r="AY54" s="328"/>
      <c r="AZ54" s="328"/>
      <c r="BA54" s="328"/>
      <c r="BB54" s="328"/>
      <c r="BC54" s="328"/>
      <c r="BD54" s="328"/>
      <c r="BE54" s="328"/>
      <c r="BF54" s="328"/>
      <c r="BG54" s="328"/>
    </row>
    <row r="55" spans="1:62" customFormat="1" ht="14.1" customHeight="1" x14ac:dyDescent="0.2">
      <c r="AR55" s="328"/>
      <c r="AS55" s="40"/>
      <c r="AT55" s="40"/>
      <c r="AU55" s="40"/>
      <c r="AV55" s="40"/>
      <c r="AW55" s="40"/>
      <c r="AX55" s="40"/>
      <c r="AY55" s="328"/>
      <c r="AZ55" s="328"/>
      <c r="BA55" s="328"/>
      <c r="BB55" s="328"/>
      <c r="BC55" s="328"/>
      <c r="BD55" s="328"/>
      <c r="BE55" s="328"/>
      <c r="BF55" s="328"/>
      <c r="BG55" s="328"/>
    </row>
    <row r="56" spans="1:62" customFormat="1" ht="14.1" customHeight="1" x14ac:dyDescent="0.2">
      <c r="AR56" s="328"/>
      <c r="AS56" s="40"/>
      <c r="AT56" s="40"/>
      <c r="AU56" s="40"/>
      <c r="AV56" s="40"/>
      <c r="AW56" s="40"/>
      <c r="AX56" s="40"/>
      <c r="AY56" s="328"/>
      <c r="AZ56" s="328"/>
      <c r="BA56" s="328"/>
      <c r="BB56" s="328"/>
      <c r="BC56" s="328"/>
      <c r="BD56" s="328"/>
      <c r="BE56" s="328"/>
      <c r="BF56" s="328"/>
      <c r="BG56" s="328"/>
    </row>
    <row r="57" spans="1:62" customFormat="1" ht="14.1" customHeight="1" x14ac:dyDescent="0.2">
      <c r="AR57" s="40"/>
      <c r="AS57" s="40"/>
      <c r="AT57" s="40"/>
      <c r="AU57" s="40"/>
      <c r="AV57" s="40"/>
      <c r="AW57" s="40"/>
      <c r="AX57" s="40"/>
      <c r="AY57" s="40"/>
      <c r="AZ57" s="40"/>
      <c r="BA57" s="40"/>
      <c r="BB57" s="40"/>
      <c r="BC57" s="40"/>
      <c r="BD57" s="40"/>
      <c r="BE57" s="40"/>
      <c r="BF57" s="40"/>
      <c r="BG57" s="40"/>
    </row>
    <row r="58" spans="1:62" customFormat="1" ht="14.1" customHeight="1" x14ac:dyDescent="0.2">
      <c r="AR58" s="40"/>
      <c r="AS58" s="40"/>
      <c r="AT58" s="40"/>
      <c r="AU58" s="40"/>
      <c r="AV58" s="40"/>
      <c r="AW58" s="40"/>
      <c r="AX58" s="40"/>
      <c r="AY58" s="40"/>
      <c r="AZ58" s="40"/>
      <c r="BA58" s="40"/>
      <c r="BB58" s="40"/>
      <c r="BC58" s="40"/>
      <c r="BD58" s="40"/>
      <c r="BE58" s="40"/>
      <c r="BF58" s="40"/>
      <c r="BG58" s="40"/>
    </row>
    <row r="59" spans="1:62" customFormat="1" ht="14.1" customHeight="1" x14ac:dyDescent="0.2">
      <c r="AR59" s="40"/>
      <c r="AS59" s="40"/>
      <c r="AT59" s="40"/>
      <c r="AU59" s="40"/>
      <c r="AV59" s="40"/>
      <c r="AW59" s="40"/>
      <c r="AX59" s="40"/>
      <c r="AY59" s="40"/>
      <c r="AZ59" s="40"/>
      <c r="BA59" s="40"/>
      <c r="BB59" s="40"/>
      <c r="BC59" s="40"/>
      <c r="BD59" s="40"/>
      <c r="BE59" s="40"/>
      <c r="BF59" s="40"/>
      <c r="BG59" s="40"/>
    </row>
    <row r="60" spans="1:62" customFormat="1" ht="14.1" customHeight="1" x14ac:dyDescent="0.2">
      <c r="AR60" s="40"/>
      <c r="AS60" s="40"/>
      <c r="AT60" s="40"/>
      <c r="AU60" s="40"/>
      <c r="AV60" s="40"/>
      <c r="AW60" s="40"/>
      <c r="AX60" s="40"/>
      <c r="AY60" s="40"/>
      <c r="AZ60" s="40"/>
      <c r="BA60" s="40"/>
      <c r="BB60" s="40"/>
      <c r="BC60" s="40"/>
      <c r="BD60" s="40"/>
      <c r="BE60" s="40"/>
      <c r="BF60" s="40"/>
      <c r="BG60" s="40"/>
    </row>
    <row r="61" spans="1:62" customFormat="1" ht="14.1" customHeight="1" x14ac:dyDescent="0.2">
      <c r="AR61" s="40"/>
      <c r="AS61" s="40"/>
      <c r="AT61" s="40"/>
      <c r="AU61" s="40"/>
      <c r="AV61" s="40"/>
      <c r="AW61" s="40"/>
      <c r="AX61" s="40"/>
      <c r="AY61" s="40"/>
      <c r="AZ61" s="40"/>
      <c r="BA61" s="40"/>
      <c r="BB61" s="40"/>
      <c r="BC61" s="40"/>
      <c r="BD61" s="40"/>
      <c r="BE61" s="40"/>
      <c r="BF61" s="40"/>
      <c r="BG61" s="40"/>
    </row>
    <row r="62" spans="1:62" customFormat="1" ht="14.1" customHeight="1" x14ac:dyDescent="0.2">
      <c r="AS62" s="40"/>
      <c r="AT62" s="40"/>
      <c r="AU62" s="40"/>
      <c r="AV62" s="40"/>
      <c r="AW62" s="40"/>
      <c r="AX62" s="40"/>
      <c r="AY62" s="40"/>
      <c r="AZ62" s="40"/>
      <c r="BA62" s="40"/>
      <c r="BB62" s="40"/>
      <c r="BC62" s="40"/>
      <c r="BD62" s="40"/>
      <c r="BE62" s="40"/>
      <c r="BF62" s="40"/>
      <c r="BG62" s="40"/>
    </row>
    <row r="63" spans="1:62" customFormat="1" ht="14.1" customHeight="1" x14ac:dyDescent="0.2"/>
    <row r="64" spans="1:62" customFormat="1" ht="14.1" customHeight="1" x14ac:dyDescent="0.2"/>
    <row r="65" customFormat="1" ht="14.1" customHeight="1" x14ac:dyDescent="0.2"/>
    <row r="66" customFormat="1" ht="14.1" customHeight="1" x14ac:dyDescent="0.2"/>
    <row r="67" customFormat="1" ht="14.1" customHeight="1" x14ac:dyDescent="0.2"/>
    <row r="68" customFormat="1" ht="14.1" customHeight="1" x14ac:dyDescent="0.2"/>
    <row r="69" customFormat="1" ht="14.1" customHeight="1" x14ac:dyDescent="0.2"/>
    <row r="70" customFormat="1" ht="14.1" customHeight="1" x14ac:dyDescent="0.2"/>
    <row r="71" customFormat="1" ht="14.1" customHeight="1" x14ac:dyDescent="0.2"/>
    <row r="72" customFormat="1" ht="14.1" customHeight="1" x14ac:dyDescent="0.2"/>
    <row r="73" customFormat="1" ht="14.1" customHeight="1" x14ac:dyDescent="0.2"/>
    <row r="74" customFormat="1" ht="14.1" customHeight="1" x14ac:dyDescent="0.2"/>
    <row r="75" customFormat="1" ht="14.1" customHeight="1" x14ac:dyDescent="0.2"/>
    <row r="76" customFormat="1" ht="14.1" customHeight="1" x14ac:dyDescent="0.2"/>
    <row r="77" s="328" customFormat="1" ht="14.1" customHeight="1" x14ac:dyDescent="0.2"/>
    <row r="78" s="328" customFormat="1" ht="14.1" customHeight="1" x14ac:dyDescent="0.2"/>
    <row r="79" s="328" customFormat="1" ht="14.1" customHeight="1" x14ac:dyDescent="0.2"/>
    <row r="80" s="328" customFormat="1" ht="14.1" customHeight="1" x14ac:dyDescent="0.2"/>
    <row r="81" spans="3:59" s="328" customFormat="1" ht="14.1" customHeight="1" x14ac:dyDescent="0.2"/>
    <row r="82" spans="3:59" s="328" customFormat="1" ht="14.1" customHeight="1" x14ac:dyDescent="0.2"/>
    <row r="83" spans="3:59" s="267" customFormat="1" x14ac:dyDescent="0.2">
      <c r="C83" s="824">
        <f>D83</f>
        <v>2012</v>
      </c>
      <c r="D83" s="824">
        <f>E83</f>
        <v>2012</v>
      </c>
      <c r="E83" s="824">
        <f>F83</f>
        <v>2012</v>
      </c>
      <c r="F83" s="824">
        <f>G83-1</f>
        <v>2012</v>
      </c>
      <c r="G83" s="824">
        <f>H83</f>
        <v>2013</v>
      </c>
      <c r="H83" s="824">
        <f>I83</f>
        <v>2013</v>
      </c>
      <c r="I83" s="824">
        <f>J83</f>
        <v>2013</v>
      </c>
      <c r="J83" s="824">
        <f>K83-1</f>
        <v>2013</v>
      </c>
      <c r="K83" s="824">
        <f>L83</f>
        <v>2014</v>
      </c>
      <c r="L83" s="824">
        <f>M83</f>
        <v>2014</v>
      </c>
      <c r="M83" s="824">
        <f>N83</f>
        <v>2014</v>
      </c>
      <c r="N83" s="824">
        <f>O83-1</f>
        <v>2014</v>
      </c>
      <c r="O83" s="824">
        <f>P83</f>
        <v>2015</v>
      </c>
      <c r="P83" s="824">
        <f>Q83</f>
        <v>2015</v>
      </c>
      <c r="Q83" s="824">
        <f>R83</f>
        <v>2015</v>
      </c>
      <c r="R83" s="824">
        <f>S83-1</f>
        <v>2015</v>
      </c>
      <c r="S83" s="824">
        <f>T83</f>
        <v>2016</v>
      </c>
      <c r="T83" s="824">
        <f>U83</f>
        <v>2016</v>
      </c>
      <c r="U83" s="824">
        <f>V83</f>
        <v>2016</v>
      </c>
      <c r="V83" s="824">
        <f>W83-1</f>
        <v>2016</v>
      </c>
      <c r="W83" s="824">
        <f>X83</f>
        <v>2017</v>
      </c>
      <c r="X83" s="824">
        <f>Y83</f>
        <v>2017</v>
      </c>
      <c r="Y83" s="824">
        <f>Z83</f>
        <v>2017</v>
      </c>
      <c r="Z83" s="824">
        <f>AA83-1</f>
        <v>2017</v>
      </c>
      <c r="AA83" s="824">
        <f>AB83</f>
        <v>2018</v>
      </c>
      <c r="AB83" s="824">
        <f>AC83</f>
        <v>2018</v>
      </c>
      <c r="AC83" s="824">
        <f>AD83</f>
        <v>2018</v>
      </c>
      <c r="AD83" s="824">
        <f>AE83-1</f>
        <v>2018</v>
      </c>
      <c r="AE83" s="825">
        <v>2019</v>
      </c>
      <c r="AF83" s="825">
        <v>2019</v>
      </c>
      <c r="AG83" s="825">
        <v>2019</v>
      </c>
      <c r="AH83" s="825">
        <v>2019</v>
      </c>
      <c r="AI83" s="825">
        <v>2020</v>
      </c>
      <c r="AJ83" s="825">
        <v>2020</v>
      </c>
      <c r="AK83" s="825">
        <v>2020</v>
      </c>
      <c r="AL83" s="825">
        <v>2020</v>
      </c>
      <c r="AM83" s="825">
        <v>2021</v>
      </c>
      <c r="AN83" s="825">
        <v>2021</v>
      </c>
      <c r="AO83" s="825">
        <v>2021</v>
      </c>
      <c r="AP83" s="825">
        <v>2021</v>
      </c>
      <c r="AQ83" s="825">
        <v>2022</v>
      </c>
      <c r="AR83" s="825">
        <v>2022</v>
      </c>
      <c r="AS83" s="825">
        <v>2022</v>
      </c>
      <c r="AT83" s="825">
        <v>2022</v>
      </c>
      <c r="AU83" s="825">
        <v>2023</v>
      </c>
      <c r="AV83" s="825">
        <v>2023</v>
      </c>
      <c r="AW83" s="825">
        <v>2023</v>
      </c>
      <c r="AX83" s="825">
        <v>2023</v>
      </c>
      <c r="AY83" s="825"/>
      <c r="AZ83" s="825"/>
      <c r="BA83" s="825"/>
      <c r="BB83" s="825"/>
      <c r="BC83" s="825"/>
      <c r="BD83" s="825">
        <v>2023</v>
      </c>
      <c r="BE83" s="825">
        <v>2023</v>
      </c>
      <c r="BF83" s="825">
        <v>2023</v>
      </c>
      <c r="BG83" s="825">
        <v>2023</v>
      </c>
    </row>
    <row r="84" spans="3:59" s="907" customFormat="1" x14ac:dyDescent="0.2">
      <c r="C84" s="1123">
        <f t="shared" ref="C84:AG84" si="33">SUM(C17:C34)</f>
        <v>0</v>
      </c>
      <c r="D84" s="1123">
        <f t="shared" si="33"/>
        <v>468</v>
      </c>
      <c r="E84" s="1123">
        <f t="shared" si="33"/>
        <v>1293</v>
      </c>
      <c r="F84" s="1123">
        <f t="shared" si="33"/>
        <v>-9394</v>
      </c>
      <c r="G84" s="1123">
        <f t="shared" si="33"/>
        <v>1189</v>
      </c>
      <c r="H84" s="1123">
        <f t="shared" si="33"/>
        <v>5137</v>
      </c>
      <c r="I84" s="1123">
        <f t="shared" si="33"/>
        <v>17934</v>
      </c>
      <c r="J84" s="1123">
        <f t="shared" si="33"/>
        <v>3990</v>
      </c>
      <c r="K84" s="1123">
        <f t="shared" si="33"/>
        <v>6918</v>
      </c>
      <c r="L84" s="1123">
        <f t="shared" si="33"/>
        <v>0</v>
      </c>
      <c r="M84" s="1123">
        <f t="shared" si="33"/>
        <v>0</v>
      </c>
      <c r="N84" s="1123">
        <f t="shared" si="33"/>
        <v>2194</v>
      </c>
      <c r="O84" s="1123">
        <f t="shared" si="33"/>
        <v>0</v>
      </c>
      <c r="P84" s="1123">
        <f t="shared" si="33"/>
        <v>3704.1926200000003</v>
      </c>
      <c r="Q84" s="1123">
        <f t="shared" si="33"/>
        <v>0</v>
      </c>
      <c r="R84" s="1123">
        <f t="shared" si="33"/>
        <v>21301.168579999998</v>
      </c>
      <c r="S84" s="1123">
        <f t="shared" si="33"/>
        <v>0</v>
      </c>
      <c r="T84" s="1123">
        <f t="shared" si="33"/>
        <v>0</v>
      </c>
      <c r="U84" s="1123">
        <f t="shared" si="33"/>
        <v>0</v>
      </c>
      <c r="V84" s="1123">
        <f t="shared" si="33"/>
        <v>0</v>
      </c>
      <c r="W84" s="1123">
        <f t="shared" si="33"/>
        <v>0</v>
      </c>
      <c r="X84" s="1123">
        <f t="shared" si="33"/>
        <v>-8080.0333800000008</v>
      </c>
      <c r="Y84" s="1123">
        <f t="shared" si="33"/>
        <v>5733</v>
      </c>
      <c r="Z84" s="1123">
        <f t="shared" si="33"/>
        <v>2260.5565600000036</v>
      </c>
      <c r="AA84" s="1123">
        <f t="shared" si="33"/>
        <v>0</v>
      </c>
      <c r="AB84" s="1123">
        <f t="shared" si="33"/>
        <v>0</v>
      </c>
      <c r="AC84" s="1123">
        <f t="shared" si="33"/>
        <v>5251.7599300000002</v>
      </c>
      <c r="AD84" s="1123">
        <f t="shared" si="33"/>
        <v>2486.706948986</v>
      </c>
      <c r="AE84" s="1123">
        <f t="shared" si="33"/>
        <v>0</v>
      </c>
      <c r="AF84" s="1123">
        <f t="shared" si="33"/>
        <v>0</v>
      </c>
      <c r="AG84" s="1123">
        <f t="shared" si="33"/>
        <v>-1600.9180111586791</v>
      </c>
      <c r="AH84" s="1123">
        <f>SUM(AH17:AH34)</f>
        <v>0</v>
      </c>
    </row>
    <row r="85" spans="3:59" s="907" customFormat="1" x14ac:dyDescent="0.2"/>
    <row r="86" spans="3:59" s="907" customFormat="1" x14ac:dyDescent="0.2"/>
  </sheetData>
  <mergeCells count="1">
    <mergeCell ref="M3:M4"/>
  </mergeCells>
  <pageMargins left="0.78740157499999996" right="0.78740157499999996" top="0.984251969" bottom="0.984251969" header="0.49212598499999999" footer="0.49212598499999999"/>
  <pageSetup paperSize="9"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5">
    <tabColor theme="9"/>
    <pageSetUpPr autoPageBreaks="0" fitToPage="1"/>
  </sheetPr>
  <dimension ref="A1:BH94"/>
  <sheetViews>
    <sheetView showGridLines="0" zoomScaleNormal="100" workbookViewId="0">
      <pane xSplit="2" ySplit="5" topLeftCell="C6" activePane="bottomRight" state="frozen"/>
      <selection activeCell="F56" sqref="F56"/>
      <selection pane="topRight" activeCell="F56" sqref="F56"/>
      <selection pane="bottomLeft" activeCell="F56" sqref="F56"/>
      <selection pane="bottomRight" activeCell="E2" sqref="E2"/>
    </sheetView>
  </sheetViews>
  <sheetFormatPr defaultColWidth="9.140625" defaultRowHeight="12.75" outlineLevelRow="1" x14ac:dyDescent="0.2"/>
  <cols>
    <col min="1" max="1" width="1.42578125" style="267" customWidth="1"/>
    <col min="2" max="2" width="35.140625" style="2" customWidth="1"/>
    <col min="3" max="33" width="10.85546875" style="2" customWidth="1"/>
    <col min="34" max="38" width="11.140625" style="696" bestFit="1" customWidth="1"/>
    <col min="39" max="39" width="11.140625" style="696" customWidth="1"/>
    <col min="40" max="41" width="11.140625" style="696" bestFit="1" customWidth="1"/>
    <col min="42" max="43" width="11.140625" style="696" customWidth="1"/>
    <col min="44" max="50" width="11.140625" style="696" bestFit="1" customWidth="1"/>
    <col min="51" max="59" width="11.140625" style="696" customWidth="1"/>
    <col min="60" max="60" width="12.5703125" style="2" bestFit="1" customWidth="1"/>
    <col min="61" max="16384" width="9.140625" style="2"/>
  </cols>
  <sheetData>
    <row r="1" spans="1:60" ht="14.25" customHeight="1" x14ac:dyDescent="0.2">
      <c r="C1" s="267"/>
      <c r="D1" s="267"/>
      <c r="E1" s="267"/>
      <c r="F1" s="267"/>
      <c r="G1" s="267"/>
      <c r="H1" s="267"/>
      <c r="I1" s="267"/>
      <c r="J1" s="267"/>
      <c r="K1" s="267"/>
      <c r="L1" s="267"/>
      <c r="M1" s="267"/>
      <c r="N1" s="267"/>
      <c r="O1" s="543"/>
      <c r="P1" s="543"/>
      <c r="Q1" s="543"/>
      <c r="R1" s="543"/>
      <c r="S1" s="267"/>
      <c r="T1" s="267"/>
      <c r="U1" s="267"/>
      <c r="V1" s="267"/>
      <c r="W1" s="267"/>
      <c r="X1" s="267"/>
      <c r="Y1" s="267"/>
      <c r="Z1" s="267"/>
      <c r="AA1" s="267"/>
      <c r="AB1" s="267"/>
      <c r="AC1" s="267"/>
      <c r="AD1" s="267"/>
      <c r="AE1" s="267"/>
      <c r="AF1" s="267"/>
      <c r="AG1" s="267"/>
      <c r="AH1" s="267"/>
      <c r="AI1" s="267"/>
      <c r="AJ1" s="267"/>
      <c r="AK1" s="1018"/>
      <c r="AL1" s="1018"/>
      <c r="AM1" s="1018"/>
      <c r="AN1" s="1018"/>
      <c r="AO1" s="1018"/>
      <c r="AP1" s="267"/>
      <c r="AQ1" s="267"/>
      <c r="AR1" s="267"/>
      <c r="AS1" s="267"/>
      <c r="AT1" s="267"/>
      <c r="AU1" s="267"/>
      <c r="AV1" s="267"/>
      <c r="AW1" s="267"/>
      <c r="AX1" s="267"/>
      <c r="AY1" s="267"/>
      <c r="AZ1" s="267"/>
      <c r="BA1" s="267"/>
      <c r="BB1" s="267"/>
      <c r="BC1" s="267"/>
      <c r="BD1" s="267"/>
      <c r="BE1" s="267"/>
      <c r="BF1" s="267"/>
      <c r="BG1" s="267"/>
    </row>
    <row r="2" spans="1:60" ht="12.75" customHeight="1" x14ac:dyDescent="0.2">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c r="AS2" s="267"/>
      <c r="AT2" s="267"/>
      <c r="AU2" s="267"/>
      <c r="AV2" s="267"/>
      <c r="AW2" s="267"/>
      <c r="AX2" s="267"/>
      <c r="AY2" s="267"/>
      <c r="AZ2" s="267"/>
      <c r="BA2" s="267"/>
      <c r="BB2" s="267"/>
      <c r="BC2" s="267"/>
      <c r="BD2" s="267"/>
      <c r="BE2" s="267"/>
      <c r="BF2" s="267"/>
      <c r="BG2" s="267"/>
    </row>
    <row r="3" spans="1:60" s="267" customFormat="1" ht="12.75" customHeight="1" x14ac:dyDescent="0.2">
      <c r="M3" s="1232"/>
      <c r="O3" s="268">
        <f>+LI!O3+Auto!O3</f>
        <v>-3086.91039</v>
      </c>
      <c r="P3" s="268">
        <f>+LI!P3+Auto!P3</f>
        <v>-3258.3303299999998</v>
      </c>
      <c r="Q3" s="268">
        <f>+LI!Q3+Auto!Q3</f>
        <v>-3012.4188899999999</v>
      </c>
      <c r="R3" s="268">
        <f>+LI!R3+Auto!R3</f>
        <v>-4110.1755300000004</v>
      </c>
      <c r="S3" s="268">
        <f>+LI!S3+Auto!S3</f>
        <v>-3114.0270599999999</v>
      </c>
      <c r="T3" s="268">
        <f>+LI!T3+Auto!T3</f>
        <v>-5456.2800399999996</v>
      </c>
      <c r="U3" s="268">
        <f>+LI!U3+Auto!U3</f>
        <v>-3436.9309800000001</v>
      </c>
      <c r="V3" s="268">
        <f>+LI!V3+Auto!V3</f>
        <v>-3599.9867299999996</v>
      </c>
      <c r="W3" s="268">
        <f>+LI!W3+Auto!W3</f>
        <v>-3188.2748700000002</v>
      </c>
      <c r="X3" s="268">
        <f>+LI!X3+Auto!X3</f>
        <v>-3252.4979399999997</v>
      </c>
      <c r="Y3" s="268">
        <f>+LI!Y3+Auto!Y3</f>
        <v>-3392.6533399999998</v>
      </c>
      <c r="Z3" s="268">
        <f>+LI!Z3+Auto!Z3</f>
        <v>-3533.3530499999997</v>
      </c>
      <c r="AA3" s="268">
        <f>+LI!AA3+Auto!AA3</f>
        <v>-3018.6289700000002</v>
      </c>
      <c r="AB3" s="268">
        <f>+LI!AB3+Auto!AB3</f>
        <v>0</v>
      </c>
      <c r="AC3" s="268"/>
      <c r="AD3" s="791"/>
      <c r="AE3" s="791"/>
      <c r="AF3" s="740"/>
      <c r="AG3" s="740"/>
      <c r="AH3" s="791"/>
      <c r="AI3" s="740"/>
      <c r="AJ3" s="740"/>
      <c r="AK3" s="740"/>
      <c r="AL3" s="740"/>
      <c r="AM3" s="740"/>
      <c r="AN3" s="740"/>
      <c r="AO3" s="740"/>
      <c r="AP3" s="740"/>
      <c r="AQ3" s="740"/>
      <c r="AR3" s="740"/>
      <c r="AS3" s="740"/>
      <c r="AT3" s="740"/>
      <c r="AU3" s="740"/>
      <c r="AV3" s="740"/>
      <c r="AW3" s="740"/>
      <c r="AX3" s="740"/>
      <c r="AY3" s="740"/>
      <c r="AZ3" s="740"/>
      <c r="BA3" s="740"/>
      <c r="BB3" s="740"/>
      <c r="BC3" s="740"/>
      <c r="BD3" s="740"/>
      <c r="BE3" s="740"/>
      <c r="BF3" s="740"/>
      <c r="BG3" s="740"/>
    </row>
    <row r="4" spans="1:60" s="267" customFormat="1" ht="12.75" customHeight="1" x14ac:dyDescent="0.2">
      <c r="A4" s="623"/>
      <c r="B4" s="624"/>
      <c r="C4" s="542"/>
      <c r="D4" s="542"/>
      <c r="E4" s="542"/>
      <c r="F4" s="542"/>
      <c r="G4" s="684"/>
      <c r="H4" s="625"/>
      <c r="I4" s="542"/>
      <c r="J4" s="542"/>
      <c r="K4" s="542"/>
      <c r="L4" s="625"/>
      <c r="M4" s="1232"/>
      <c r="O4" s="268">
        <f>+LI!O4+Auto!O4</f>
        <v>-188.08960999999999</v>
      </c>
      <c r="P4" s="268">
        <f>+LI!P4+Auto!P4</f>
        <v>-534.66967000000022</v>
      </c>
      <c r="Q4" s="268">
        <f>+LI!Q4+Auto!Q4</f>
        <v>-371.58111000000008</v>
      </c>
      <c r="R4" s="268">
        <f>+LI!R4+Auto!R4</f>
        <v>-103.08273000000001</v>
      </c>
      <c r="S4" s="268">
        <f>+LI!S4+Auto!S4</f>
        <v>-104.61798999999999</v>
      </c>
      <c r="T4" s="268">
        <f>+LI!T4+Auto!T4</f>
        <v>-102.92251999999999</v>
      </c>
      <c r="U4" s="268">
        <f>+LI!U4+Auto!U4</f>
        <v>-100.68328</v>
      </c>
      <c r="V4" s="268">
        <f>+LI!V4+Auto!V4</f>
        <v>-97.515969999999996</v>
      </c>
      <c r="W4" s="268">
        <f>+LI!W4+Auto!W4</f>
        <v>-87.390539999999987</v>
      </c>
      <c r="X4" s="268">
        <f>+LI!X4+Auto!X4</f>
        <v>-87.236190000000008</v>
      </c>
      <c r="Y4" s="268">
        <f>+LI!Y4+Auto!Y4</f>
        <v>-88.739059999999995</v>
      </c>
      <c r="Z4" s="268">
        <f>+LI!Z4+Auto!Z4</f>
        <v>-98.960570000000004</v>
      </c>
      <c r="AA4" s="268">
        <f>+LI!AA4+Auto!AA4</f>
        <v>-79.525570000000002</v>
      </c>
      <c r="AB4" s="268">
        <f>+LI!AB4+Auto!AB4</f>
        <v>0</v>
      </c>
      <c r="AC4" s="268"/>
      <c r="AD4" s="268"/>
      <c r="AE4" s="702" t="s">
        <v>809</v>
      </c>
    </row>
    <row r="5" spans="1:60" ht="12.75" customHeight="1" x14ac:dyDescent="0.2">
      <c r="A5" s="623"/>
      <c r="B5" s="113" t="s">
        <v>845</v>
      </c>
      <c r="C5" s="114" t="s">
        <v>7</v>
      </c>
      <c r="D5" s="114" t="s">
        <v>6</v>
      </c>
      <c r="E5" s="114" t="s">
        <v>5</v>
      </c>
      <c r="F5" s="114" t="s">
        <v>4</v>
      </c>
      <c r="G5" s="115" t="s">
        <v>3</v>
      </c>
      <c r="H5" s="115" t="s">
        <v>2</v>
      </c>
      <c r="I5" s="115" t="s">
        <v>1</v>
      </c>
      <c r="J5" s="115" t="s">
        <v>0</v>
      </c>
      <c r="K5" s="115" t="s">
        <v>45</v>
      </c>
      <c r="L5" s="116" t="s">
        <v>55</v>
      </c>
      <c r="M5" s="116" t="s">
        <v>71</v>
      </c>
      <c r="N5" s="115" t="s">
        <v>77</v>
      </c>
      <c r="O5" s="115" t="s">
        <v>87</v>
      </c>
      <c r="P5" s="115" t="s">
        <v>88</v>
      </c>
      <c r="Q5" s="115" t="s">
        <v>378</v>
      </c>
      <c r="R5" s="115" t="s">
        <v>406</v>
      </c>
      <c r="S5" s="115" t="s">
        <v>467</v>
      </c>
      <c r="T5" s="115" t="s">
        <v>501</v>
      </c>
      <c r="U5" s="115" t="s">
        <v>511</v>
      </c>
      <c r="V5" s="115" t="s">
        <v>538</v>
      </c>
      <c r="W5" s="115" t="s">
        <v>567</v>
      </c>
      <c r="X5" s="115" t="s">
        <v>575</v>
      </c>
      <c r="Y5" s="115" t="s">
        <v>595</v>
      </c>
      <c r="Z5" s="115" t="s">
        <v>596</v>
      </c>
      <c r="AA5" s="115" t="s">
        <v>623</v>
      </c>
      <c r="AB5" s="115" t="s">
        <v>624</v>
      </c>
      <c r="AC5" s="115" t="s">
        <v>625</v>
      </c>
      <c r="AD5" s="115" t="s">
        <v>626</v>
      </c>
      <c r="AE5" s="222" t="s">
        <v>798</v>
      </c>
      <c r="AF5" s="115" t="s">
        <v>799</v>
      </c>
      <c r="AG5" s="115" t="s">
        <v>800</v>
      </c>
      <c r="AH5" s="115" t="s">
        <v>801</v>
      </c>
      <c r="AI5" s="115" t="s">
        <v>913</v>
      </c>
      <c r="AJ5" s="115" t="s">
        <v>914</v>
      </c>
      <c r="AK5" s="115" t="s">
        <v>923</v>
      </c>
      <c r="AL5" s="115" t="s">
        <v>924</v>
      </c>
      <c r="AM5" s="115" t="s">
        <v>1049</v>
      </c>
      <c r="AN5" s="115" t="s">
        <v>1023</v>
      </c>
      <c r="AO5" s="115" t="s">
        <v>1024</v>
      </c>
      <c r="AP5" s="115" t="s">
        <v>1050</v>
      </c>
      <c r="AQ5" s="115" t="s">
        <v>1114</v>
      </c>
      <c r="AR5" s="115" t="s">
        <v>1119</v>
      </c>
      <c r="AS5" s="115" t="s">
        <v>1121</v>
      </c>
      <c r="AT5" s="115" t="s">
        <v>1123</v>
      </c>
      <c r="AU5" s="115" t="s">
        <v>1176</v>
      </c>
      <c r="AV5" s="115" t="s">
        <v>1177</v>
      </c>
      <c r="AW5" s="115" t="s">
        <v>1179</v>
      </c>
      <c r="AX5" s="115" t="s">
        <v>1181</v>
      </c>
      <c r="AY5" s="115" t="s">
        <v>1243</v>
      </c>
      <c r="AZ5" s="115" t="s">
        <v>1250</v>
      </c>
      <c r="BA5" s="115" t="s">
        <v>1251</v>
      </c>
      <c r="BB5" s="115" t="s">
        <v>1252</v>
      </c>
      <c r="BC5" s="115" t="s">
        <v>1311</v>
      </c>
      <c r="BD5" s="115" t="s">
        <v>1313</v>
      </c>
      <c r="BE5" s="115" t="s">
        <v>1315</v>
      </c>
      <c r="BF5" s="115" t="s">
        <v>1317</v>
      </c>
      <c r="BG5" s="115" t="s">
        <v>1344</v>
      </c>
    </row>
    <row r="6" spans="1:60" ht="14.1" customHeight="1" x14ac:dyDescent="0.2">
      <c r="A6" s="632"/>
      <c r="B6" s="117" t="s">
        <v>33</v>
      </c>
      <c r="C6" s="118">
        <f>+Auto!C9</f>
        <v>295825</v>
      </c>
      <c r="D6" s="118">
        <f>+Auto!D9</f>
        <v>334929</v>
      </c>
      <c r="E6" s="118">
        <f>+Auto!E9</f>
        <v>396308</v>
      </c>
      <c r="F6" s="118">
        <f>+Auto!F9</f>
        <v>398907</v>
      </c>
      <c r="G6" s="118">
        <f>+Auto!G9</f>
        <v>352522</v>
      </c>
      <c r="H6" s="118">
        <f>+Auto!H9</f>
        <v>449684</v>
      </c>
      <c r="I6" s="118">
        <f>+Auto!I9</f>
        <v>458071</v>
      </c>
      <c r="J6" s="118">
        <f>+Auto!J9</f>
        <v>438447</v>
      </c>
      <c r="K6" s="118">
        <f>+Auto!K9</f>
        <v>353100</v>
      </c>
      <c r="L6" s="118">
        <f>+Auto!L9</f>
        <v>387721</v>
      </c>
      <c r="M6" s="118">
        <f>+Auto!M9</f>
        <v>384907</v>
      </c>
      <c r="N6" s="118">
        <f>+Auto!N9</f>
        <v>431261</v>
      </c>
      <c r="O6" s="118">
        <f>+Auto!O9</f>
        <v>296153</v>
      </c>
      <c r="P6" s="118">
        <f>+Auto!P9</f>
        <v>282208</v>
      </c>
      <c r="Q6" s="118">
        <f>+Auto!Q9</f>
        <v>279189</v>
      </c>
      <c r="R6" s="118">
        <f>+Auto!R9</f>
        <v>291665.83533000003</v>
      </c>
      <c r="S6" s="118">
        <f>+Auto!S9</f>
        <v>198606.12298000001</v>
      </c>
      <c r="T6" s="118">
        <f>+Auto!T9</f>
        <v>232426.84667</v>
      </c>
      <c r="U6" s="118">
        <f>+Auto!U9</f>
        <v>244388.95153000002</v>
      </c>
      <c r="V6" s="118">
        <f>+Auto!V9</f>
        <v>264784.09666000004</v>
      </c>
      <c r="W6" s="118">
        <f>+Auto!W9</f>
        <v>214422.15101999999</v>
      </c>
      <c r="X6" s="118">
        <f>+Auto!X9</f>
        <v>268717.10787999997</v>
      </c>
      <c r="Y6" s="118">
        <f>+Auto!Y9</f>
        <v>305185.31597000005</v>
      </c>
      <c r="Z6" s="118">
        <f>+Auto!Z9</f>
        <v>340565.25495999999</v>
      </c>
      <c r="AA6" s="118">
        <f>+Auto!AA9</f>
        <v>275057.54545999999</v>
      </c>
      <c r="AB6" s="118">
        <f>+Auto!AB9</f>
        <v>315279.75394999998</v>
      </c>
      <c r="AC6" s="118">
        <f>+Auto!AC9</f>
        <v>365789.47778999998</v>
      </c>
      <c r="AD6" s="118">
        <f>+Auto!AD9</f>
        <v>391684.40824000002</v>
      </c>
      <c r="AE6" s="160">
        <f>+Auto!AE9</f>
        <v>321706.25628999999</v>
      </c>
      <c r="AF6" s="118">
        <f>+Auto!AF9</f>
        <v>360853.55104000005</v>
      </c>
      <c r="AG6" s="118">
        <f>+Auto!AG9</f>
        <v>366405.11531000002</v>
      </c>
      <c r="AH6" s="118">
        <f>+Auto!AH9</f>
        <v>414841.17645000003</v>
      </c>
      <c r="AI6" s="118">
        <f>+Auto!AI9</f>
        <v>298654.90463999996</v>
      </c>
      <c r="AJ6" s="118">
        <f>+Auto!AJ9</f>
        <v>108624.88222</v>
      </c>
      <c r="AK6" s="118">
        <f>+Auto!AK9</f>
        <v>305501.52506000001</v>
      </c>
      <c r="AL6" s="118">
        <f>+Auto!AL9</f>
        <v>337571.33675999998</v>
      </c>
      <c r="AM6" s="118">
        <f>+Auto!AM9</f>
        <v>250078.92903</v>
      </c>
      <c r="AN6" s="118">
        <f>+Auto!AN9</f>
        <v>249944.68143999999</v>
      </c>
      <c r="AO6" s="118">
        <f>+Auto!AO9</f>
        <v>243798.95912000004</v>
      </c>
      <c r="AP6" s="118">
        <f>+Auto!AP9</f>
        <v>339046.03587999992</v>
      </c>
      <c r="AQ6" s="118">
        <f>+Auto!AQ9</f>
        <v>249984.01542999997</v>
      </c>
      <c r="AR6" s="118">
        <f>+Auto!AR9</f>
        <v>329187.05628000002</v>
      </c>
      <c r="AS6" s="118">
        <f>+Auto!AS9</f>
        <v>460036.70981000003</v>
      </c>
      <c r="AT6" s="118">
        <f>+Auto!AT9</f>
        <v>461462.62537999998</v>
      </c>
      <c r="AU6" s="118">
        <f>+Auto!AU9</f>
        <v>369902.34818999982</v>
      </c>
      <c r="AV6" s="118">
        <v>413999.29704000009</v>
      </c>
      <c r="AW6" s="118">
        <f>+Auto!AW9</f>
        <v>481071.89130000008</v>
      </c>
      <c r="AX6" s="118">
        <f>+Auto!AX9</f>
        <v>516751.48728000012</v>
      </c>
      <c r="AY6" s="118">
        <v>432552.07787999994</v>
      </c>
      <c r="AZ6" s="118">
        <v>529168.94435000001</v>
      </c>
      <c r="BA6" s="118">
        <v>695890.14059000008</v>
      </c>
      <c r="BB6" s="118">
        <v>720353.22578999994</v>
      </c>
      <c r="BC6" s="118">
        <v>489547.18824999995</v>
      </c>
      <c r="BD6" s="118">
        <v>621439.08457999991</v>
      </c>
      <c r="BE6" s="118">
        <v>744445.99184999999</v>
      </c>
      <c r="BF6" s="118">
        <v>717391.32421999995</v>
      </c>
      <c r="BG6" s="118">
        <f>+Auto!BG9</f>
        <v>599235.4249000001</v>
      </c>
    </row>
    <row r="7" spans="1:60" ht="14.1" customHeight="1" x14ac:dyDescent="0.2">
      <c r="A7" s="632"/>
      <c r="B7" s="117" t="s">
        <v>34</v>
      </c>
      <c r="C7" s="118">
        <f>+LI!C10</f>
        <v>127576</v>
      </c>
      <c r="D7" s="118">
        <f>+LI!D10</f>
        <v>143173</v>
      </c>
      <c r="E7" s="118">
        <f>+LI!E10</f>
        <v>161320</v>
      </c>
      <c r="F7" s="118">
        <f>+LI!F10</f>
        <v>155913</v>
      </c>
      <c r="G7" s="118">
        <f>+LI!G10</f>
        <v>114880</v>
      </c>
      <c r="H7" s="118">
        <f>+LI!H10</f>
        <v>115483</v>
      </c>
      <c r="I7" s="118">
        <f>+LI!I10</f>
        <v>117446</v>
      </c>
      <c r="J7" s="118">
        <f>+LI!J10</f>
        <v>133383</v>
      </c>
      <c r="K7" s="118">
        <f>+LI!K10</f>
        <v>120607</v>
      </c>
      <c r="L7" s="118">
        <f>+LI!L10</f>
        <v>116580</v>
      </c>
      <c r="M7" s="118">
        <f>+LI!M10</f>
        <v>98578</v>
      </c>
      <c r="N7" s="118">
        <f>+LI!N10</f>
        <v>61586</v>
      </c>
      <c r="O7" s="118">
        <f>+LI!O10</f>
        <v>56728</v>
      </c>
      <c r="P7" s="118">
        <f>+LI!P10</f>
        <v>59956</v>
      </c>
      <c r="Q7" s="118">
        <f>+LI!Q10</f>
        <v>63960</v>
      </c>
      <c r="R7" s="118">
        <f>+LI!R10</f>
        <v>62197.638749999998</v>
      </c>
      <c r="S7" s="118">
        <f>+LI!S10</f>
        <v>52438.910459999999</v>
      </c>
      <c r="T7" s="118">
        <f>+LI!T10</f>
        <v>50624.91019000001</v>
      </c>
      <c r="U7" s="118">
        <f>+LI!U10</f>
        <v>48181.630469999996</v>
      </c>
      <c r="V7" s="118">
        <f>+LI!V10</f>
        <v>48777.547270000003</v>
      </c>
      <c r="W7" s="118">
        <f>+LI!W10</f>
        <v>48717.342169999996</v>
      </c>
      <c r="X7" s="118">
        <f>+LI!X10</f>
        <v>48049.863870000001</v>
      </c>
      <c r="Y7" s="118">
        <f>+LI!Y10</f>
        <v>50445.274439999994</v>
      </c>
      <c r="Z7" s="118">
        <f>+LI!Z10</f>
        <v>54087.619529999996</v>
      </c>
      <c r="AA7" s="118">
        <f>+LI!AA10</f>
        <v>47791.897820000006</v>
      </c>
      <c r="AB7" s="118">
        <f>+LI!AB10</f>
        <v>45118.782989999992</v>
      </c>
      <c r="AC7" s="118">
        <f>+LI!AC10</f>
        <v>50056.113029999993</v>
      </c>
      <c r="AD7" s="118">
        <f>+LI!AD10</f>
        <v>47941.790019999993</v>
      </c>
      <c r="AE7" s="160">
        <f>+LI!AE10</f>
        <v>45576.200000000004</v>
      </c>
      <c r="AF7" s="118">
        <f>+LI!AF10</f>
        <v>45477.30472</v>
      </c>
      <c r="AG7" s="118">
        <f>+LI!AG10</f>
        <v>49444.072350000002</v>
      </c>
      <c r="AH7" s="118">
        <f>+LI!AH10</f>
        <v>49006.12429</v>
      </c>
      <c r="AI7" s="118">
        <f>+LI!AI10</f>
        <v>46798.437100000003</v>
      </c>
      <c r="AJ7" s="118">
        <f>+LI!AJ10</f>
        <v>51640.242859999998</v>
      </c>
      <c r="AK7" s="118">
        <f>+LI!AK10</f>
        <v>52814.545720000002</v>
      </c>
      <c r="AL7" s="118">
        <f>+LI!AL10</f>
        <v>49157.816579999999</v>
      </c>
      <c r="AM7" s="118">
        <f>+LI!AM10</f>
        <v>40685.805</v>
      </c>
      <c r="AN7" s="118">
        <f>+LI!AN10</f>
        <v>44766.588499999998</v>
      </c>
      <c r="AO7" s="118">
        <f>+LI!AO10</f>
        <v>45483.075720000001</v>
      </c>
      <c r="AP7" s="118">
        <f>+LI!AP10</f>
        <v>40436.241730000009</v>
      </c>
      <c r="AQ7" s="118">
        <f>+LI!AQ10</f>
        <v>48354.774229999995</v>
      </c>
      <c r="AR7" s="118">
        <f>+LI!AR10</f>
        <v>46644.168120000002</v>
      </c>
      <c r="AS7" s="118">
        <f>+LI!AS10</f>
        <v>51373.626230000002</v>
      </c>
      <c r="AT7" s="118">
        <f>+LI!AT10</f>
        <v>44837.835890000002</v>
      </c>
      <c r="AU7" s="118">
        <f>+LI!AU10</f>
        <v>47323.97638</v>
      </c>
      <c r="AV7" s="118">
        <v>43144.14963</v>
      </c>
      <c r="AW7" s="118">
        <f>+LI!AW10</f>
        <v>50027.470160000004</v>
      </c>
      <c r="AX7" s="118">
        <f>+LI!AX10</f>
        <v>49218.7</v>
      </c>
      <c r="AY7" s="118">
        <v>50683.687290000002</v>
      </c>
      <c r="AZ7" s="118">
        <v>55719.131580000001</v>
      </c>
      <c r="BA7" s="118">
        <v>50868.375529999998</v>
      </c>
      <c r="BB7" s="118">
        <v>49988.152990000002</v>
      </c>
      <c r="BC7" s="118">
        <v>55602.698880000004</v>
      </c>
      <c r="BD7" s="118">
        <v>54247.260320000001</v>
      </c>
      <c r="BE7" s="118">
        <v>41985.478689999996</v>
      </c>
      <c r="BF7" s="118">
        <v>47361.427729999996</v>
      </c>
      <c r="BG7" s="118">
        <f>+LI!BG10</f>
        <v>50799.559019999993</v>
      </c>
    </row>
    <row r="8" spans="1:60" ht="14.1" customHeight="1" x14ac:dyDescent="0.2">
      <c r="A8" s="632"/>
      <c r="B8" s="119" t="s">
        <v>66</v>
      </c>
      <c r="C8" s="120">
        <f t="shared" ref="C8:S8" si="0">SUM(C6:C7)</f>
        <v>423401</v>
      </c>
      <c r="D8" s="120">
        <f t="shared" si="0"/>
        <v>478102</v>
      </c>
      <c r="E8" s="120">
        <f t="shared" si="0"/>
        <v>557628</v>
      </c>
      <c r="F8" s="120">
        <f t="shared" si="0"/>
        <v>554820</v>
      </c>
      <c r="G8" s="120">
        <f t="shared" si="0"/>
        <v>467402</v>
      </c>
      <c r="H8" s="120">
        <f t="shared" si="0"/>
        <v>565167</v>
      </c>
      <c r="I8" s="120">
        <f t="shared" si="0"/>
        <v>575517</v>
      </c>
      <c r="J8" s="120">
        <f t="shared" si="0"/>
        <v>571830</v>
      </c>
      <c r="K8" s="120">
        <f t="shared" si="0"/>
        <v>473707</v>
      </c>
      <c r="L8" s="120">
        <f t="shared" si="0"/>
        <v>504301</v>
      </c>
      <c r="M8" s="120">
        <f t="shared" si="0"/>
        <v>483485</v>
      </c>
      <c r="N8" s="120">
        <f t="shared" si="0"/>
        <v>492847</v>
      </c>
      <c r="O8" s="120">
        <f t="shared" si="0"/>
        <v>352881</v>
      </c>
      <c r="P8" s="120">
        <f t="shared" si="0"/>
        <v>342164</v>
      </c>
      <c r="Q8" s="120">
        <f t="shared" si="0"/>
        <v>343149</v>
      </c>
      <c r="R8" s="120">
        <f t="shared" si="0"/>
        <v>353863.47408000001</v>
      </c>
      <c r="S8" s="120">
        <f t="shared" si="0"/>
        <v>251045.03344000003</v>
      </c>
      <c r="T8" s="120">
        <f>SUM(T6:T7)</f>
        <v>283051.75686000002</v>
      </c>
      <c r="U8" s="120">
        <f>SUM(U6:U7)</f>
        <v>292570.58199999999</v>
      </c>
      <c r="V8" s="120">
        <f>SUM(V6:V7)</f>
        <v>313561.64393000002</v>
      </c>
      <c r="W8" s="120">
        <f>SUM(W6:W7)</f>
        <v>263139.49319000001</v>
      </c>
      <c r="X8" s="120">
        <v>316766.97174999997</v>
      </c>
      <c r="Y8" s="120">
        <f t="shared" ref="Y8:AE8" si="1">SUM(Y6:Y7)</f>
        <v>355630.59041000006</v>
      </c>
      <c r="Z8" s="120">
        <f t="shared" si="1"/>
        <v>394652.87448999996</v>
      </c>
      <c r="AA8" s="120">
        <f t="shared" si="1"/>
        <v>322849.44328000001</v>
      </c>
      <c r="AB8" s="120">
        <f t="shared" si="1"/>
        <v>360398.53693999996</v>
      </c>
      <c r="AC8" s="120">
        <f t="shared" si="1"/>
        <v>415845.59081999998</v>
      </c>
      <c r="AD8" s="120">
        <f t="shared" si="1"/>
        <v>439626.19826000003</v>
      </c>
      <c r="AE8" s="162">
        <f t="shared" si="1"/>
        <v>367282.45629</v>
      </c>
      <c r="AF8" s="120">
        <f t="shared" ref="AF8:AK8" si="2">SUM(AF6:AF7)</f>
        <v>406330.85576000006</v>
      </c>
      <c r="AG8" s="120">
        <f t="shared" si="2"/>
        <v>415849.18766000005</v>
      </c>
      <c r="AH8" s="120">
        <f t="shared" si="2"/>
        <v>463847.30074000004</v>
      </c>
      <c r="AI8" s="120">
        <f t="shared" si="2"/>
        <v>345453.34173999995</v>
      </c>
      <c r="AJ8" s="120">
        <f t="shared" si="2"/>
        <v>160265.12508</v>
      </c>
      <c r="AK8" s="120">
        <f t="shared" si="2"/>
        <v>358316.07078000001</v>
      </c>
      <c r="AL8" s="120">
        <f t="shared" ref="AL8:AR8" si="3">SUM(AL6:AL7)</f>
        <v>386729.15333999996</v>
      </c>
      <c r="AM8" s="120">
        <f t="shared" si="3"/>
        <v>290764.73402999999</v>
      </c>
      <c r="AN8" s="120">
        <f t="shared" si="3"/>
        <v>294711.26993999997</v>
      </c>
      <c r="AO8" s="120">
        <f t="shared" si="3"/>
        <v>289282.03484000004</v>
      </c>
      <c r="AP8" s="120">
        <f t="shared" si="3"/>
        <v>379482.27760999993</v>
      </c>
      <c r="AQ8" s="120">
        <f t="shared" si="3"/>
        <v>298338.78965999995</v>
      </c>
      <c r="AR8" s="120">
        <f t="shared" si="3"/>
        <v>375831.22440000001</v>
      </c>
      <c r="AS8" s="120">
        <f>SUM(AS6:AS7)</f>
        <v>511410.33604000002</v>
      </c>
      <c r="AT8" s="120">
        <f>SUM(AT6:AT7)</f>
        <v>506300.46126999997</v>
      </c>
      <c r="AU8" s="120">
        <f>SUM(AU6:AU7)</f>
        <v>417226.32456999982</v>
      </c>
      <c r="AV8" s="120">
        <v>457143.44667000009</v>
      </c>
      <c r="AW8" s="120">
        <f t="shared" ref="AW8:BD8" si="4">SUM(AW6:AW7)</f>
        <v>531099.36146000004</v>
      </c>
      <c r="AX8" s="120">
        <f t="shared" si="4"/>
        <v>565970.18728000007</v>
      </c>
      <c r="AY8" s="120">
        <f t="shared" si="4"/>
        <v>483235.76516999991</v>
      </c>
      <c r="AZ8" s="120">
        <f t="shared" si="4"/>
        <v>584888.07593000005</v>
      </c>
      <c r="BA8" s="120">
        <f t="shared" si="4"/>
        <v>746758.51612000004</v>
      </c>
      <c r="BB8" s="120">
        <f t="shared" si="4"/>
        <v>770341.37877999991</v>
      </c>
      <c r="BC8" s="120">
        <f t="shared" si="4"/>
        <v>545149.88712999993</v>
      </c>
      <c r="BD8" s="120">
        <f t="shared" si="4"/>
        <v>675686.34489999991</v>
      </c>
      <c r="BE8" s="120">
        <f>SUM(BE6:BE7)</f>
        <v>786431.47054000001</v>
      </c>
      <c r="BF8" s="120">
        <f>SUM(BF6:BF7)</f>
        <v>764752.75194999995</v>
      </c>
      <c r="BG8" s="120">
        <f>SUM(BG6:BG7)</f>
        <v>650034.98392000014</v>
      </c>
    </row>
    <row r="9" spans="1:60" ht="14.1" customHeight="1" x14ac:dyDescent="0.2">
      <c r="A9" s="632"/>
      <c r="B9" s="117" t="s">
        <v>744</v>
      </c>
      <c r="C9" s="118">
        <f>+Auto!C10+LI!C11</f>
        <v>-81333</v>
      </c>
      <c r="D9" s="118">
        <f>+Auto!D10+LI!D11</f>
        <v>-91588</v>
      </c>
      <c r="E9" s="118">
        <f>+Auto!E10+LI!E11</f>
        <v>-105829</v>
      </c>
      <c r="F9" s="118">
        <f>+Auto!F10+LI!F11</f>
        <v>-101172</v>
      </c>
      <c r="G9" s="118">
        <f>+Auto!G10+LI!G11</f>
        <v>-88558</v>
      </c>
      <c r="H9" s="118">
        <f>+Auto!H10+LI!H11</f>
        <v>-104115</v>
      </c>
      <c r="I9" s="118">
        <f>+Auto!I10+LI!I11</f>
        <v>-108268</v>
      </c>
      <c r="J9" s="118">
        <f>+Auto!J10+LI!J11</f>
        <v>-106483</v>
      </c>
      <c r="K9" s="118">
        <f>+Auto!K10+LI!K11</f>
        <v>-95225</v>
      </c>
      <c r="L9" s="118">
        <f>+Auto!L10+LI!L11</f>
        <v>-98774</v>
      </c>
      <c r="M9" s="118">
        <f>+Auto!M10+LI!M11</f>
        <v>-95407</v>
      </c>
      <c r="N9" s="118">
        <f>+Auto!N10+LI!N11</f>
        <v>-95805</v>
      </c>
      <c r="O9" s="118">
        <f>+Auto!O10+LI!O11</f>
        <v>-67982</v>
      </c>
      <c r="P9" s="118">
        <f>+Auto!P10+LI!P11</f>
        <v>-67058</v>
      </c>
      <c r="Q9" s="118">
        <f>+Auto!Q10+LI!Q11</f>
        <v>-67764</v>
      </c>
      <c r="R9" s="118">
        <f>+Auto!R10+LI!R11</f>
        <v>-66690.167500000054</v>
      </c>
      <c r="S9" s="118">
        <f>+Auto!S10+LI!S11</f>
        <v>-48151.203300000023</v>
      </c>
      <c r="T9" s="118">
        <f>+Auto!T10+LI!T11</f>
        <v>-54394.151560000028</v>
      </c>
      <c r="U9" s="118">
        <f>+Auto!U10+LI!U11</f>
        <v>-54752.56556000001</v>
      </c>
      <c r="V9" s="118">
        <f>+Auto!V10+LI!V11</f>
        <v>-59039.896560000037</v>
      </c>
      <c r="W9" s="118">
        <f>+Auto!W10+LI!W11</f>
        <v>-49624.916319999989</v>
      </c>
      <c r="X9" s="261">
        <f>+Auto!X10+LI!X11</f>
        <v>-51660.569389999968</v>
      </c>
      <c r="Y9" s="118">
        <f>+Auto!Y10+LI!Y11</f>
        <v>-69751.736580000055</v>
      </c>
      <c r="Z9" s="118">
        <f>+Auto!Z10+LI!Z11</f>
        <v>-75177.268309999956</v>
      </c>
      <c r="AA9" s="118">
        <f>+Auto!AA10+LI!AA11</f>
        <v>-60777.078839999995</v>
      </c>
      <c r="AB9" s="118">
        <f>+Auto!AB10+LI!AB11</f>
        <v>-67123.213439999963</v>
      </c>
      <c r="AC9" s="261">
        <f>+Auto!AC10+LI!AC11</f>
        <v>-84639.923620000001</v>
      </c>
      <c r="AD9" s="261">
        <f>+Auto!AD10+LI!AD11</f>
        <v>-72400.729329999973</v>
      </c>
      <c r="AE9" s="160">
        <f>+Auto!AE10+LI!AE11</f>
        <v>-70601.690199999983</v>
      </c>
      <c r="AF9" s="118">
        <f>+Auto!AF10+LI!AF11</f>
        <v>-74742.844070000036</v>
      </c>
      <c r="AG9" s="118">
        <f>+Auto!AG10+LI!AG11</f>
        <v>-75126.040760000004</v>
      </c>
      <c r="AH9" s="118">
        <f>+Auto!AH10+LI!AH11</f>
        <v>-85518.78118000002</v>
      </c>
      <c r="AI9" s="118">
        <f>+Auto!AI10+LI!AI11</f>
        <v>-65706.918319999953</v>
      </c>
      <c r="AJ9" s="118">
        <f>+Auto!AJ10+LI!AJ11</f>
        <v>-30124.582640000001</v>
      </c>
      <c r="AK9" s="118">
        <f>+Auto!AK10+LI!AK11</f>
        <v>-69134.587800000008</v>
      </c>
      <c r="AL9" s="118">
        <f>+Auto!AL10+LI!AL11</f>
        <v>-73762.623569999952</v>
      </c>
      <c r="AM9" s="118">
        <f>+Auto!AM10+LI!AM11</f>
        <v>-56852.589729999978</v>
      </c>
      <c r="AN9" s="118">
        <f>+Auto!AN10+LI!AN11</f>
        <v>-57645.011709999999</v>
      </c>
      <c r="AO9" s="118">
        <f>+Auto!AO10+LI!AO11</f>
        <v>-57843.520080000002</v>
      </c>
      <c r="AP9" s="118">
        <f>+Auto!AP10+LI!AP11</f>
        <v>-74556.185990000013</v>
      </c>
      <c r="AQ9" s="118">
        <v>-57272.680549999983</v>
      </c>
      <c r="AR9" s="118">
        <f>+Auto!AR10+LI!AR11</f>
        <v>-71296.049840000051</v>
      </c>
      <c r="AS9" s="118">
        <f>+Auto!AS10+LI!AS11</f>
        <v>-95901.64496000002</v>
      </c>
      <c r="AT9" s="118">
        <f>+Auto!AT10+LI!AT11</f>
        <v>-96900.989790000051</v>
      </c>
      <c r="AU9" s="118">
        <f>+Auto!AU10+LI!AU11</f>
        <v>-81188.375400000019</v>
      </c>
      <c r="AV9" s="261">
        <v>-90492.71663000001</v>
      </c>
      <c r="AW9" s="118">
        <f>+Auto!AW10+LI!AW11</f>
        <v>-104121.76996999999</v>
      </c>
      <c r="AX9" s="261">
        <f>+Auto!AX10+LI!AX11</f>
        <v>-112168.91354999997</v>
      </c>
      <c r="AY9" s="118">
        <v>-94064.972370000003</v>
      </c>
      <c r="AZ9" s="118">
        <v>-112045.88618999999</v>
      </c>
      <c r="BA9" s="118">
        <v>-143004.25521</v>
      </c>
      <c r="BB9" s="118">
        <v>-145981.2050999999</v>
      </c>
      <c r="BC9" s="118">
        <v>-104792.60045000003</v>
      </c>
      <c r="BD9" s="118">
        <v>-135146.78451999999</v>
      </c>
      <c r="BE9" s="118">
        <v>-152208.45936000004</v>
      </c>
      <c r="BF9" s="118">
        <v>-154444.44124999997</v>
      </c>
      <c r="BG9" s="118">
        <f>+Auto!BG10+LI!BG11</f>
        <v>-128756.31158999994</v>
      </c>
    </row>
    <row r="10" spans="1:60" ht="14.1" customHeight="1" x14ac:dyDescent="0.2">
      <c r="A10" s="632"/>
      <c r="B10" s="119" t="s">
        <v>56</v>
      </c>
      <c r="C10" s="120">
        <f>Auto!C11+LI!C12</f>
        <v>342068</v>
      </c>
      <c r="D10" s="120">
        <f>Auto!D11+LI!D12</f>
        <v>386514</v>
      </c>
      <c r="E10" s="120">
        <f>Auto!E11+LI!E12</f>
        <v>451799</v>
      </c>
      <c r="F10" s="120">
        <f>Auto!F11+LI!F12</f>
        <v>453648</v>
      </c>
      <c r="G10" s="120">
        <f>Auto!G11+LI!G12</f>
        <v>378844</v>
      </c>
      <c r="H10" s="120">
        <f>Auto!H11+LI!H12</f>
        <v>461052</v>
      </c>
      <c r="I10" s="120">
        <f>Auto!I11+LI!I12</f>
        <v>467249</v>
      </c>
      <c r="J10" s="120">
        <f>Auto!J11+LI!J12</f>
        <v>465347</v>
      </c>
      <c r="K10" s="120">
        <f>Auto!K11+LI!K12</f>
        <v>378482</v>
      </c>
      <c r="L10" s="120">
        <f>Auto!L11+LI!L12</f>
        <v>405527</v>
      </c>
      <c r="M10" s="120">
        <f>Auto!M11+LI!M12</f>
        <v>388078</v>
      </c>
      <c r="N10" s="120">
        <f>Auto!N11+LI!N12</f>
        <v>397042</v>
      </c>
      <c r="O10" s="120">
        <f>+Auto!O11+LI!O12</f>
        <v>284899</v>
      </c>
      <c r="P10" s="120">
        <f>+Auto!P11+LI!P12</f>
        <v>275106</v>
      </c>
      <c r="Q10" s="120">
        <f>+Auto!Q11+LI!Q12</f>
        <v>275385</v>
      </c>
      <c r="R10" s="120">
        <f>+Auto!R11+LI!R12</f>
        <v>287173.30657999997</v>
      </c>
      <c r="S10" s="120">
        <f>+Auto!S11+LI!S12</f>
        <v>202893.83013999998</v>
      </c>
      <c r="T10" s="120">
        <f>+Auto!T11+LI!T12</f>
        <v>228657.6053</v>
      </c>
      <c r="U10" s="120">
        <f>+Auto!U11+LI!U12</f>
        <v>237818.01644000001</v>
      </c>
      <c r="V10" s="120">
        <f>+Auto!V11+LI!V12</f>
        <v>254521.74737</v>
      </c>
      <c r="W10" s="120">
        <f>+Auto!W11+LI!W12</f>
        <v>213514.57686999999</v>
      </c>
      <c r="X10" s="120">
        <f>+Auto!X11+LI!X12</f>
        <v>265106.40236000001</v>
      </c>
      <c r="Y10" s="120">
        <f>+Auto!Y11+LI!Y12</f>
        <v>285878.85382999998</v>
      </c>
      <c r="Z10" s="120">
        <f>+Auto!Z11+LI!Z12</f>
        <v>319475.60618</v>
      </c>
      <c r="AA10" s="120">
        <f>+Auto!AA11+LI!AA12</f>
        <v>262072.36444</v>
      </c>
      <c r="AB10" s="120">
        <f>+Auto!AB11+LI!AB12</f>
        <v>293275.3235</v>
      </c>
      <c r="AC10" s="120">
        <f>+Auto!AC11+LI!AC12</f>
        <v>331205.66719999997</v>
      </c>
      <c r="AD10" s="120">
        <f>+Auto!AD11+LI!AD12</f>
        <v>367225.46893000003</v>
      </c>
      <c r="AE10" s="162">
        <f>+Auto!AE11+LI!AE12</f>
        <v>296680.76609000005</v>
      </c>
      <c r="AF10" s="120">
        <f>+Auto!AF11+LI!AF12</f>
        <v>331588.01169000001</v>
      </c>
      <c r="AG10" s="120">
        <f>+Auto!AG11+LI!AG12</f>
        <v>340723.14690000005</v>
      </c>
      <c r="AH10" s="120">
        <f>+Auto!AH11+LI!AH12</f>
        <v>378328.51955999999</v>
      </c>
      <c r="AI10" s="120">
        <f>+Auto!AI11+LI!AI12</f>
        <v>279746.42342000001</v>
      </c>
      <c r="AJ10" s="120">
        <f>+Auto!AJ11+LI!AJ12</f>
        <v>130140.54243999999</v>
      </c>
      <c r="AK10" s="120">
        <f>+Auto!AK11+LI!AK12</f>
        <v>289181.48298000003</v>
      </c>
      <c r="AL10" s="120">
        <f>+Auto!AL11+LI!AL12</f>
        <v>312966.52977000002</v>
      </c>
      <c r="AM10" s="120">
        <f>+Auto!AM11+LI!AM12</f>
        <v>233912.14430000001</v>
      </c>
      <c r="AN10" s="120">
        <f>+Auto!AN11+LI!AN12</f>
        <v>237066.25822999998</v>
      </c>
      <c r="AO10" s="120">
        <f>+Auto!AO11+LI!AO12</f>
        <v>231438.51476000005</v>
      </c>
      <c r="AP10" s="120">
        <f>+Auto!AP11+LI!AP12</f>
        <v>304926.0916199999</v>
      </c>
      <c r="AQ10" s="120">
        <f>+Auto!AQ11+LI!AQ12</f>
        <v>241066.10910999999</v>
      </c>
      <c r="AR10" s="120">
        <f>+Auto!AR11+LI!AR12</f>
        <v>304535.17455999996</v>
      </c>
      <c r="AS10" s="120">
        <f>+Auto!AS11+LI!AS12</f>
        <v>415508.69108000002</v>
      </c>
      <c r="AT10" s="120">
        <f>+Auto!AT11+LI!AT12</f>
        <v>409399.47147999995</v>
      </c>
      <c r="AU10" s="120">
        <f>+Auto!AU11+LI!AU12</f>
        <v>336037.9491699998</v>
      </c>
      <c r="AV10" s="120">
        <v>366650.73004000005</v>
      </c>
      <c r="AW10" s="120">
        <f>+Auto!AW11+LI!AW12</f>
        <v>426977.59149000008</v>
      </c>
      <c r="AX10" s="120">
        <f>+Auto!AX11+LI!AX12</f>
        <v>453801.27373000013</v>
      </c>
      <c r="AY10" s="120">
        <f>+Auto!AY11+LI!AY12</f>
        <v>389170.79279999994</v>
      </c>
      <c r="AZ10" s="120">
        <f>+Auto!AZ11+LI!AZ12</f>
        <v>472842.18974</v>
      </c>
      <c r="BA10" s="120">
        <f>+Auto!BA11+LI!BA12</f>
        <v>603754.26091000007</v>
      </c>
      <c r="BB10" s="120">
        <f>+Auto!BB11+LI!BB12</f>
        <v>624360.17368000001</v>
      </c>
      <c r="BC10" s="120">
        <f>+Auto!BC11+LI!BC12</f>
        <v>440357.2866799999</v>
      </c>
      <c r="BD10" s="120">
        <f>+Auto!BD11+LI!BD12</f>
        <v>540539.56037999992</v>
      </c>
      <c r="BE10" s="120">
        <f>+Auto!BE11+LI!BE12</f>
        <v>634222.74954999995</v>
      </c>
      <c r="BF10" s="120">
        <f>+Auto!BF11+LI!BF12</f>
        <v>610308.31070000003</v>
      </c>
      <c r="BG10" s="120">
        <f>+Auto!BG11+LI!BG12</f>
        <v>521278.67233000015</v>
      </c>
    </row>
    <row r="11" spans="1:60" ht="14.1" customHeight="1" x14ac:dyDescent="0.2">
      <c r="A11" s="974" t="s">
        <v>871</v>
      </c>
      <c r="B11" s="972" t="str">
        <f>HYPERLINK(Menu!$AY$38,A11)</f>
        <v>Custos de serviços prestados*</v>
      </c>
      <c r="C11" s="118">
        <f>Auto!C12+LI!C13</f>
        <v>-279118</v>
      </c>
      <c r="D11" s="118">
        <f>Auto!D12+LI!D13</f>
        <v>-319569</v>
      </c>
      <c r="E11" s="118">
        <f>Auto!E12+LI!E13</f>
        <v>-378170</v>
      </c>
      <c r="F11" s="118">
        <f>Auto!F12+LI!F13</f>
        <v>-393316</v>
      </c>
      <c r="G11" s="118">
        <f>Auto!G12+LI!G13</f>
        <v>-337561</v>
      </c>
      <c r="H11" s="118">
        <f>Auto!H12+LI!H13</f>
        <v>-390715</v>
      </c>
      <c r="I11" s="118">
        <f>Auto!I12+LI!I13</f>
        <v>-405791</v>
      </c>
      <c r="J11" s="118">
        <f>Auto!J12+LI!J13</f>
        <v>-394507</v>
      </c>
      <c r="K11" s="118">
        <f>Auto!K12+LI!K13</f>
        <v>-332869</v>
      </c>
      <c r="L11" s="118">
        <f>Auto!L12+LI!L13</f>
        <v>-345150</v>
      </c>
      <c r="M11" s="118">
        <f>Auto!M12+LI!M13</f>
        <v>-307163</v>
      </c>
      <c r="N11" s="118">
        <f>Auto!N12+LI!N13</f>
        <v>-319694</v>
      </c>
      <c r="O11" s="118">
        <f>+LI!O13+Auto!O12</f>
        <v>-241521</v>
      </c>
      <c r="P11" s="261">
        <f>+LI!P13+Auto!P12</f>
        <v>-240954</v>
      </c>
      <c r="Q11" s="118">
        <f>+LI!Q13+Auto!Q12</f>
        <v>-231310</v>
      </c>
      <c r="R11" s="261">
        <f>+LI!R13+Auto!R12</f>
        <v>-236968.78570000001</v>
      </c>
      <c r="S11" s="118">
        <f>+LI!S13+Auto!S12</f>
        <v>-172826.5282</v>
      </c>
      <c r="T11" s="118">
        <f>+LI!T13+Auto!T12</f>
        <v>-189157.67001999996</v>
      </c>
      <c r="U11" s="118">
        <f>+LI!U13+Auto!U12</f>
        <v>-192554.20656000002</v>
      </c>
      <c r="V11" s="261">
        <f>+LI!V13+Auto!V12</f>
        <v>-200870.45804</v>
      </c>
      <c r="W11" s="118">
        <f>+LI!W13+Auto!W12</f>
        <v>-174885.20908999996</v>
      </c>
      <c r="X11" s="118">
        <f>+LI!X13+Auto!X12</f>
        <v>-205921.02704999998</v>
      </c>
      <c r="Y11" s="118">
        <f>+LI!Y13+Auto!Y12</f>
        <v>-226186.00294999999</v>
      </c>
      <c r="Z11" s="261">
        <f>+LI!Z13+Auto!Z12</f>
        <v>-218112.04913</v>
      </c>
      <c r="AA11" s="118">
        <f>+LI!AA13+Auto!AA12</f>
        <v>-207146.03266</v>
      </c>
      <c r="AB11" s="118">
        <f>+LI!AB13+Auto!AB12</f>
        <v>-229983.15228000004</v>
      </c>
      <c r="AC11" s="118">
        <f>+LI!AC13+Auto!AC12</f>
        <v>-258371.40411000003</v>
      </c>
      <c r="AD11" s="118">
        <f>+LI!AD13+Auto!AD12</f>
        <v>-274428.48563000001</v>
      </c>
      <c r="AE11" s="160">
        <f>+LI!AE13+Auto!AE12</f>
        <v>-219858.89009999999</v>
      </c>
      <c r="AF11" s="118">
        <f>+LI!AF13+Auto!AF12</f>
        <v>-249765.45636999997</v>
      </c>
      <c r="AG11" s="261">
        <f>+LI!AG13+Auto!AG12</f>
        <v>-257789.76608999996</v>
      </c>
      <c r="AH11" s="118">
        <f>+LI!AH13+Auto!AH12</f>
        <v>-279067.12413999997</v>
      </c>
      <c r="AI11" s="118">
        <f>+LI!AI13+Auto!AI12</f>
        <v>-207887.47123</v>
      </c>
      <c r="AJ11" s="118">
        <f>+LI!AJ13+Auto!AJ12</f>
        <v>-105924.01414000001</v>
      </c>
      <c r="AK11" s="118">
        <f>+LI!AK13+Auto!AK12</f>
        <v>-212365.89350000001</v>
      </c>
      <c r="AL11" s="261">
        <f>+LI!AL13+Auto!AL12</f>
        <v>-236073.58012999999</v>
      </c>
      <c r="AM11" s="118">
        <f>+LI!AM13+Auto!AM12</f>
        <v>-179455.29472000001</v>
      </c>
      <c r="AN11" s="118">
        <f>+LI!AN13+Auto!AN12</f>
        <v>-180934.97625000001</v>
      </c>
      <c r="AO11" s="118">
        <f>+LI!AO13+Auto!AO12</f>
        <v>-178037.60190000004</v>
      </c>
      <c r="AP11" s="118">
        <f>+LI!AP13+Auto!AP12</f>
        <v>-234425.64186999999</v>
      </c>
      <c r="AQ11" s="118">
        <v>-189639.96300000002</v>
      </c>
      <c r="AR11" s="118">
        <f>+LI!AR13+Auto!AR12</f>
        <v>-234569.45392</v>
      </c>
      <c r="AS11" s="118">
        <f>+LI!AS13+Auto!AS12</f>
        <v>-308460.46995000006</v>
      </c>
      <c r="AT11" s="118">
        <f>+LI!AT13+Auto!AT12</f>
        <v>-314562.2389</v>
      </c>
      <c r="AU11" s="118">
        <f>+LI!AU13+Auto!AU12</f>
        <v>-263831.30074999994</v>
      </c>
      <c r="AV11" s="118">
        <v>-285486.00792</v>
      </c>
      <c r="AW11" s="118">
        <f>+LI!AW13+Auto!AW12</f>
        <v>-323024.90090000001</v>
      </c>
      <c r="AX11" s="118">
        <f>+LI!AX13+Auto!AX12</f>
        <v>-349351.46576999989</v>
      </c>
      <c r="AY11" s="118">
        <v>-302974.08583000011</v>
      </c>
      <c r="AZ11" s="118">
        <v>-364045.45872</v>
      </c>
      <c r="BA11" s="118">
        <v>-451605.84516999999</v>
      </c>
      <c r="BB11" s="118">
        <v>-469944.28493000008</v>
      </c>
      <c r="BC11" s="118">
        <v>-343085.97573999997</v>
      </c>
      <c r="BD11" s="118">
        <v>-416201.83328000014</v>
      </c>
      <c r="BE11" s="118">
        <v>-489089.24266999989</v>
      </c>
      <c r="BF11" s="118">
        <v>-494983.74732000002</v>
      </c>
      <c r="BG11" s="118">
        <f>+LI!BG13+Auto!BG12</f>
        <v>-423037.62693000003</v>
      </c>
      <c r="BH11" s="1149"/>
    </row>
    <row r="12" spans="1:60" ht="14.1" customHeight="1" x14ac:dyDescent="0.2">
      <c r="A12" s="632"/>
      <c r="B12" s="119" t="s">
        <v>393</v>
      </c>
      <c r="C12" s="120">
        <f t="shared" ref="C12:AE12" si="5">SUM(C10:C11)</f>
        <v>62950</v>
      </c>
      <c r="D12" s="120">
        <f t="shared" si="5"/>
        <v>66945</v>
      </c>
      <c r="E12" s="120">
        <f t="shared" si="5"/>
        <v>73629</v>
      </c>
      <c r="F12" s="120">
        <f t="shared" si="5"/>
        <v>60332</v>
      </c>
      <c r="G12" s="120">
        <f t="shared" si="5"/>
        <v>41283</v>
      </c>
      <c r="H12" s="120">
        <f t="shared" si="5"/>
        <v>70337</v>
      </c>
      <c r="I12" s="120">
        <f t="shared" si="5"/>
        <v>61458</v>
      </c>
      <c r="J12" s="120">
        <f t="shared" si="5"/>
        <v>70840</v>
      </c>
      <c r="K12" s="120">
        <f t="shared" si="5"/>
        <v>45613</v>
      </c>
      <c r="L12" s="120">
        <f t="shared" si="5"/>
        <v>60377</v>
      </c>
      <c r="M12" s="120">
        <f t="shared" si="5"/>
        <v>80915</v>
      </c>
      <c r="N12" s="120">
        <f t="shared" si="5"/>
        <v>77348</v>
      </c>
      <c r="O12" s="120">
        <f t="shared" si="5"/>
        <v>43378</v>
      </c>
      <c r="P12" s="120">
        <f t="shared" si="5"/>
        <v>34152</v>
      </c>
      <c r="Q12" s="120">
        <f t="shared" si="5"/>
        <v>44075</v>
      </c>
      <c r="R12" s="120">
        <f t="shared" si="5"/>
        <v>50204.520879999967</v>
      </c>
      <c r="S12" s="120">
        <f t="shared" si="5"/>
        <v>30067.301939999976</v>
      </c>
      <c r="T12" s="120">
        <f t="shared" si="5"/>
        <v>39499.935280000034</v>
      </c>
      <c r="U12" s="120">
        <f t="shared" si="5"/>
        <v>45263.809879999986</v>
      </c>
      <c r="V12" s="120">
        <f t="shared" si="5"/>
        <v>53651.28933</v>
      </c>
      <c r="W12" s="120">
        <f t="shared" si="5"/>
        <v>38629.36778000003</v>
      </c>
      <c r="X12" s="120">
        <f t="shared" si="5"/>
        <v>59185.375310000032</v>
      </c>
      <c r="Y12" s="120">
        <f t="shared" si="5"/>
        <v>59692.850879999984</v>
      </c>
      <c r="Z12" s="120">
        <f t="shared" si="5"/>
        <v>101363.55705</v>
      </c>
      <c r="AA12" s="120">
        <f t="shared" si="5"/>
        <v>54926.331780000008</v>
      </c>
      <c r="AB12" s="120">
        <f t="shared" si="5"/>
        <v>63292.17121999996</v>
      </c>
      <c r="AC12" s="120">
        <f t="shared" si="5"/>
        <v>72834.263089999935</v>
      </c>
      <c r="AD12" s="120">
        <f t="shared" si="5"/>
        <v>92796.983300000022</v>
      </c>
      <c r="AE12" s="162">
        <f t="shared" si="5"/>
        <v>76821.875990000059</v>
      </c>
      <c r="AF12" s="120">
        <f t="shared" ref="AF12:AK12" si="6">SUM(AF10:AF11)</f>
        <v>81822.555320000043</v>
      </c>
      <c r="AG12" s="120">
        <f t="shared" si="6"/>
        <v>82933.38081000009</v>
      </c>
      <c r="AH12" s="120">
        <f t="shared" si="6"/>
        <v>99261.395420000015</v>
      </c>
      <c r="AI12" s="120">
        <f t="shared" si="6"/>
        <v>71858.952190000011</v>
      </c>
      <c r="AJ12" s="120">
        <f t="shared" si="6"/>
        <v>24216.528299999976</v>
      </c>
      <c r="AK12" s="120">
        <f t="shared" si="6"/>
        <v>76815.589480000024</v>
      </c>
      <c r="AL12" s="120">
        <f t="shared" ref="AL12:AR12" si="7">SUM(AL10:AL11)</f>
        <v>76892.949640000035</v>
      </c>
      <c r="AM12" s="120">
        <f t="shared" si="7"/>
        <v>54456.849580000009</v>
      </c>
      <c r="AN12" s="120">
        <f t="shared" si="7"/>
        <v>56131.281979999971</v>
      </c>
      <c r="AO12" s="120">
        <f t="shared" si="7"/>
        <v>53400.912860000011</v>
      </c>
      <c r="AP12" s="120">
        <f t="shared" si="7"/>
        <v>70500.449749999912</v>
      </c>
      <c r="AQ12" s="120">
        <f t="shared" si="7"/>
        <v>51426.146109999972</v>
      </c>
      <c r="AR12" s="120">
        <f t="shared" si="7"/>
        <v>69965.720639999956</v>
      </c>
      <c r="AS12" s="120">
        <f>SUM(AS10:AS11)</f>
        <v>107048.22112999996</v>
      </c>
      <c r="AT12" s="120">
        <f>SUM(AT10:AT11)</f>
        <v>94837.232579999953</v>
      </c>
      <c r="AU12" s="120">
        <f>SUM(AU10:AU11)</f>
        <v>72206.648419999867</v>
      </c>
      <c r="AV12" s="120">
        <v>81164.722120000049</v>
      </c>
      <c r="AW12" s="120">
        <f t="shared" ref="AW12:BD12" si="8">SUM(AW10:AW11)</f>
        <v>103952.69059000007</v>
      </c>
      <c r="AX12" s="120">
        <f t="shared" si="8"/>
        <v>104449.80796000024</v>
      </c>
      <c r="AY12" s="120">
        <f t="shared" si="8"/>
        <v>86196.706969999825</v>
      </c>
      <c r="AZ12" s="120">
        <f t="shared" si="8"/>
        <v>108796.73102000001</v>
      </c>
      <c r="BA12" s="120">
        <f t="shared" si="8"/>
        <v>152148.41574000008</v>
      </c>
      <c r="BB12" s="120">
        <f t="shared" si="8"/>
        <v>154415.88874999993</v>
      </c>
      <c r="BC12" s="120">
        <f t="shared" si="8"/>
        <v>97271.310939999938</v>
      </c>
      <c r="BD12" s="120">
        <f t="shared" si="8"/>
        <v>124337.72709999979</v>
      </c>
      <c r="BE12" s="120">
        <f>SUM(BE10:BE11)</f>
        <v>145133.50688000006</v>
      </c>
      <c r="BF12" s="120">
        <f>SUM(BF10:BF11)</f>
        <v>115324.56338000001</v>
      </c>
      <c r="BG12" s="120">
        <f>SUM(BG10:BG11)</f>
        <v>98241.045400000119</v>
      </c>
    </row>
    <row r="13" spans="1:60" ht="14.1" customHeight="1" x14ac:dyDescent="0.2">
      <c r="A13" s="974" t="s">
        <v>872</v>
      </c>
      <c r="B13" s="972" t="str">
        <f>HYPERLINK(Menu!$AY$38,A13)</f>
        <v>Despesas*</v>
      </c>
      <c r="C13" s="118">
        <f>Auto!C14+LI!C15</f>
        <v>-26354</v>
      </c>
      <c r="D13" s="118">
        <f>Auto!D14+LI!D15</f>
        <v>-23690</v>
      </c>
      <c r="E13" s="118">
        <f>Auto!E14+LI!E15</f>
        <v>-17343</v>
      </c>
      <c r="F13" s="118">
        <f>Auto!F14+LI!F15</f>
        <v>-12339</v>
      </c>
      <c r="G13" s="118">
        <f>Auto!G14+LI!G15</f>
        <v>-23247</v>
      </c>
      <c r="H13" s="118">
        <f>Auto!H14+LI!H15</f>
        <v>-33750</v>
      </c>
      <c r="I13" s="118">
        <f>Auto!I14+LI!I15</f>
        <v>-13670</v>
      </c>
      <c r="J13" s="118">
        <f>Auto!J14+LI!J15</f>
        <v>-33451</v>
      </c>
      <c r="K13" s="118">
        <f>Auto!K14+LI!K15</f>
        <v>-25717</v>
      </c>
      <c r="L13" s="118">
        <f>Auto!L14+LI!L15</f>
        <v>-22210</v>
      </c>
      <c r="M13" s="118">
        <f>Auto!M14+LI!M15</f>
        <v>-38308</v>
      </c>
      <c r="N13" s="118">
        <f>Auto!N14+LI!N15</f>
        <v>-21081</v>
      </c>
      <c r="O13" s="118">
        <f>+Auto!O14+LI!O15</f>
        <v>-18932</v>
      </c>
      <c r="P13" s="118">
        <f>+Auto!P14+LI!P15</f>
        <v>-20401</v>
      </c>
      <c r="Q13" s="118">
        <f>+Auto!Q14+LI!Q15</f>
        <v>-21522</v>
      </c>
      <c r="R13" s="261">
        <f>+Auto!R14+LI!R15</f>
        <v>-40773.277589999998</v>
      </c>
      <c r="S13" s="261">
        <f>+Auto!S14+LI!S15</f>
        <v>-15357.446760000001</v>
      </c>
      <c r="T13" s="118">
        <f>+Auto!T14+LI!T15</f>
        <v>-22565.713230000001</v>
      </c>
      <c r="U13" s="118">
        <f>+Auto!U14+LI!U15</f>
        <v>-20413.879510000002</v>
      </c>
      <c r="V13" s="261">
        <f>+Auto!V14+LI!V15</f>
        <v>-21178.156579999995</v>
      </c>
      <c r="W13" s="118">
        <f>+LI!W15+Auto!W14</f>
        <v>-17695.995060000001</v>
      </c>
      <c r="X13" s="261">
        <f>+LI!X15+Auto!X14</f>
        <v>-39252.330109999995</v>
      </c>
      <c r="Y13" s="261">
        <f>+LI!Y15+Auto!Y14</f>
        <v>-24452.20796</v>
      </c>
      <c r="Z13" s="261">
        <f>+LI!Z15+Auto!Z14</f>
        <v>-39854.040829999998</v>
      </c>
      <c r="AA13" s="118">
        <f>+LI!AA15+Auto!AA14</f>
        <v>-25473.017780000002</v>
      </c>
      <c r="AB13" s="118">
        <f>+LI!AB15+Auto!AB14</f>
        <v>-18143.764510000001</v>
      </c>
      <c r="AC13" s="118">
        <f>+LI!AC15+Auto!AC14</f>
        <v>-20294.234779999999</v>
      </c>
      <c r="AD13" s="261">
        <f>+LI!AD15+Auto!AD14</f>
        <v>-37603.649899999997</v>
      </c>
      <c r="AE13" s="160">
        <f>+LI!AE15+Auto!AE14</f>
        <v>-20796.36764</v>
      </c>
      <c r="AF13" s="118">
        <f>+LI!AF15+Auto!AF14</f>
        <v>-22379.204980000002</v>
      </c>
      <c r="AG13" s="261">
        <f>+LI!AG15+Auto!AG14</f>
        <v>31975.903160000002</v>
      </c>
      <c r="AH13" s="118">
        <f>+LI!AH15+Auto!AH14</f>
        <v>-31418.964039999995</v>
      </c>
      <c r="AI13" s="261">
        <f>+LI!AI15+Auto!AI14</f>
        <v>-30955.607609999999</v>
      </c>
      <c r="AJ13" s="118">
        <f>+LI!AJ15+Auto!AJ14</f>
        <v>-19563.079310000001</v>
      </c>
      <c r="AK13" s="118">
        <f>+LI!AK15+Auto!AK14</f>
        <v>-21506.14314</v>
      </c>
      <c r="AL13" s="261">
        <f>+LI!AL15+Auto!AL14</f>
        <v>-23777.583190000001</v>
      </c>
      <c r="AM13" s="261">
        <f>+LI!AM15+Auto!AM14</f>
        <v>-11265.121420000003</v>
      </c>
      <c r="AN13" s="261">
        <f>+LI!AN15+Auto!AN14</f>
        <v>-15075.970599999997</v>
      </c>
      <c r="AO13" s="261">
        <f>+LI!AO15+Auto!AO14</f>
        <v>-17079.432490000007</v>
      </c>
      <c r="AP13" s="261">
        <f>+LI!AP15+Auto!AP14</f>
        <v>-22036.792750000004</v>
      </c>
      <c r="AQ13" s="118">
        <v>-16337.01467</v>
      </c>
      <c r="AR13" s="118">
        <f>+LI!AR15+Auto!AR14</f>
        <v>-20816.767250000004</v>
      </c>
      <c r="AS13" s="261">
        <f>+LI!AS15+Auto!AS14</f>
        <v>-25768.052080000005</v>
      </c>
      <c r="AT13" s="261">
        <f>+LI!AT15+Auto!AT14</f>
        <v>-16649.771789999999</v>
      </c>
      <c r="AU13" s="118">
        <f>+LI!AU15+Auto!AU14</f>
        <v>-18553.174040000002</v>
      </c>
      <c r="AV13" s="118">
        <v>-23152.087519999994</v>
      </c>
      <c r="AW13" s="118">
        <f>+LI!AW15+Auto!AW14</f>
        <v>-24698.852590000006</v>
      </c>
      <c r="AX13" s="118">
        <f>+LI!AX15+Auto!AX14</f>
        <v>-30322.880150000001</v>
      </c>
      <c r="AY13" s="118">
        <v>-27878.327630000007</v>
      </c>
      <c r="AZ13" s="118">
        <v>-23627.80445</v>
      </c>
      <c r="BA13" s="118">
        <v>-26576.082479999997</v>
      </c>
      <c r="BB13" s="118">
        <v>-28410.735970000009</v>
      </c>
      <c r="BC13" s="118">
        <v>-28369.065570000006</v>
      </c>
      <c r="BD13" s="118">
        <v>-29629.767380000008</v>
      </c>
      <c r="BE13" s="118">
        <v>-28304.894340000003</v>
      </c>
      <c r="BF13" s="118">
        <v>-33970.064079999996</v>
      </c>
      <c r="BG13" s="261">
        <f>+LI!BG15+Auto!BG14</f>
        <v>-24015.683100000002</v>
      </c>
    </row>
    <row r="14" spans="1:60" ht="14.1" customHeight="1" x14ac:dyDescent="0.2">
      <c r="A14" s="632"/>
      <c r="B14" s="119" t="s">
        <v>8</v>
      </c>
      <c r="C14" s="120">
        <f t="shared" ref="C14:AQ14" si="9">+SUM(C12:C13)</f>
        <v>36596</v>
      </c>
      <c r="D14" s="120">
        <f t="shared" si="9"/>
        <v>43255</v>
      </c>
      <c r="E14" s="120">
        <f t="shared" si="9"/>
        <v>56286</v>
      </c>
      <c r="F14" s="120">
        <f t="shared" si="9"/>
        <v>47993</v>
      </c>
      <c r="G14" s="120">
        <f t="shared" si="9"/>
        <v>18036</v>
      </c>
      <c r="H14" s="120">
        <f t="shared" si="9"/>
        <v>36587</v>
      </c>
      <c r="I14" s="120">
        <f t="shared" si="9"/>
        <v>47788</v>
      </c>
      <c r="J14" s="120">
        <f t="shared" si="9"/>
        <v>37389</v>
      </c>
      <c r="K14" s="120">
        <f t="shared" si="9"/>
        <v>19896</v>
      </c>
      <c r="L14" s="120">
        <f t="shared" si="9"/>
        <v>38167</v>
      </c>
      <c r="M14" s="120">
        <f t="shared" si="9"/>
        <v>42607</v>
      </c>
      <c r="N14" s="120">
        <f t="shared" si="9"/>
        <v>56267</v>
      </c>
      <c r="O14" s="120">
        <f t="shared" si="9"/>
        <v>24446</v>
      </c>
      <c r="P14" s="120">
        <f t="shared" si="9"/>
        <v>13751</v>
      </c>
      <c r="Q14" s="120">
        <f t="shared" si="9"/>
        <v>22553</v>
      </c>
      <c r="R14" s="120">
        <f t="shared" si="9"/>
        <v>9431.2432899999694</v>
      </c>
      <c r="S14" s="120">
        <f t="shared" si="9"/>
        <v>14709.855179999975</v>
      </c>
      <c r="T14" s="120">
        <f t="shared" si="9"/>
        <v>16934.222050000033</v>
      </c>
      <c r="U14" s="120">
        <f t="shared" si="9"/>
        <v>24849.930369999984</v>
      </c>
      <c r="V14" s="120">
        <f t="shared" si="9"/>
        <v>32473.132750000004</v>
      </c>
      <c r="W14" s="120">
        <f t="shared" si="9"/>
        <v>20933.372720000028</v>
      </c>
      <c r="X14" s="120">
        <f t="shared" si="9"/>
        <v>19933.045200000037</v>
      </c>
      <c r="Y14" s="120">
        <f t="shared" si="9"/>
        <v>35240.642919999984</v>
      </c>
      <c r="Z14" s="120">
        <f t="shared" si="9"/>
        <v>61509.516220000005</v>
      </c>
      <c r="AA14" s="120">
        <f t="shared" si="9"/>
        <v>29453.314000000006</v>
      </c>
      <c r="AB14" s="120">
        <f t="shared" si="9"/>
        <v>45148.406709999959</v>
      </c>
      <c r="AC14" s="120">
        <f t="shared" si="9"/>
        <v>52540.028309999936</v>
      </c>
      <c r="AD14" s="120">
        <f t="shared" si="9"/>
        <v>55193.333400000025</v>
      </c>
      <c r="AE14" s="162">
        <f t="shared" si="9"/>
        <v>56025.508350000062</v>
      </c>
      <c r="AF14" s="120">
        <f t="shared" si="9"/>
        <v>59443.350340000041</v>
      </c>
      <c r="AG14" s="120">
        <f t="shared" si="9"/>
        <v>114909.28397000009</v>
      </c>
      <c r="AH14" s="120">
        <f t="shared" si="9"/>
        <v>67842.431380000024</v>
      </c>
      <c r="AI14" s="120">
        <f t="shared" si="9"/>
        <v>40903.344580000012</v>
      </c>
      <c r="AJ14" s="120">
        <f t="shared" si="9"/>
        <v>4653.4489899999753</v>
      </c>
      <c r="AK14" s="120">
        <f t="shared" si="9"/>
        <v>55309.446340000024</v>
      </c>
      <c r="AL14" s="120">
        <f t="shared" si="9"/>
        <v>53115.36645000003</v>
      </c>
      <c r="AM14" s="120">
        <f t="shared" si="9"/>
        <v>43191.728160000006</v>
      </c>
      <c r="AN14" s="120">
        <f t="shared" si="9"/>
        <v>41055.31137999997</v>
      </c>
      <c r="AO14" s="120">
        <f t="shared" si="9"/>
        <v>36321.480370000005</v>
      </c>
      <c r="AP14" s="120">
        <f t="shared" si="9"/>
        <v>48463.656999999905</v>
      </c>
      <c r="AQ14" s="120">
        <f t="shared" si="9"/>
        <v>35089.131439999968</v>
      </c>
      <c r="AR14" s="120">
        <f>+SUM(AR12:AR13)</f>
        <v>49148.953389999951</v>
      </c>
      <c r="AS14" s="120">
        <f>+SUM(AS12:AS13)</f>
        <v>81280.169049999953</v>
      </c>
      <c r="AT14" s="120">
        <f>+SUM(AT12:AT13)</f>
        <v>78187.460789999954</v>
      </c>
      <c r="AU14" s="120">
        <f>+SUM(AU12:AU13)</f>
        <v>53653.474379999869</v>
      </c>
      <c r="AV14" s="120">
        <v>58012.634600000056</v>
      </c>
      <c r="AW14" s="120">
        <f t="shared" ref="AW14:BD14" si="10">+SUM(AW12:AW13)</f>
        <v>79253.838000000062</v>
      </c>
      <c r="AX14" s="120">
        <f t="shared" si="10"/>
        <v>74126.927810000241</v>
      </c>
      <c r="AY14" s="120">
        <f t="shared" si="10"/>
        <v>58318.379339999818</v>
      </c>
      <c r="AZ14" s="120">
        <f t="shared" si="10"/>
        <v>85168.926570000011</v>
      </c>
      <c r="BA14" s="120">
        <f t="shared" si="10"/>
        <v>125572.33326000009</v>
      </c>
      <c r="BB14" s="120">
        <f t="shared" si="10"/>
        <v>126005.15277999992</v>
      </c>
      <c r="BC14" s="120">
        <f t="shared" si="10"/>
        <v>68902.245369999931</v>
      </c>
      <c r="BD14" s="120">
        <f t="shared" si="10"/>
        <v>94707.959719999781</v>
      </c>
      <c r="BE14" s="120">
        <f>+SUM(BE12:BE13)</f>
        <v>116828.61254000006</v>
      </c>
      <c r="BF14" s="120">
        <f>+SUM(BF12:BF13)</f>
        <v>81354.49930000001</v>
      </c>
      <c r="BG14" s="120">
        <f>+SUM(BG12:BG13)</f>
        <v>74225.362300000124</v>
      </c>
    </row>
    <row r="15" spans="1:60" ht="14.1" customHeight="1" x14ac:dyDescent="0.2">
      <c r="A15" s="23"/>
      <c r="B15" s="336" t="s">
        <v>865</v>
      </c>
      <c r="C15" s="118" t="s">
        <v>160</v>
      </c>
      <c r="D15" s="118" t="s">
        <v>160</v>
      </c>
      <c r="E15" s="118" t="s">
        <v>160</v>
      </c>
      <c r="F15" s="118" t="s">
        <v>160</v>
      </c>
      <c r="G15" s="118" t="s">
        <v>160</v>
      </c>
      <c r="H15" s="118" t="s">
        <v>160</v>
      </c>
      <c r="I15" s="118" t="s">
        <v>160</v>
      </c>
      <c r="J15" s="118" t="s">
        <v>160</v>
      </c>
      <c r="K15" s="118" t="s">
        <v>160</v>
      </c>
      <c r="L15" s="118" t="s">
        <v>160</v>
      </c>
      <c r="M15" s="118" t="s">
        <v>160</v>
      </c>
      <c r="N15" s="118" t="s">
        <v>160</v>
      </c>
      <c r="O15" s="118" t="s">
        <v>160</v>
      </c>
      <c r="P15" s="118" t="s">
        <v>160</v>
      </c>
      <c r="Q15" s="118" t="s">
        <v>160</v>
      </c>
      <c r="R15" s="118" t="s">
        <v>160</v>
      </c>
      <c r="S15" s="118" t="s">
        <v>160</v>
      </c>
      <c r="T15" s="118" t="s">
        <v>160</v>
      </c>
      <c r="U15" s="118" t="s">
        <v>160</v>
      </c>
      <c r="V15" s="118" t="s">
        <v>160</v>
      </c>
      <c r="W15" s="118">
        <v>0</v>
      </c>
      <c r="X15" s="118" t="s">
        <v>160</v>
      </c>
      <c r="Y15" s="118" t="s">
        <v>160</v>
      </c>
      <c r="Z15" s="118" t="s">
        <v>160</v>
      </c>
      <c r="AA15" s="118" t="s">
        <v>160</v>
      </c>
      <c r="AB15" s="118" t="s">
        <v>160</v>
      </c>
      <c r="AC15" s="118" t="s">
        <v>160</v>
      </c>
      <c r="AD15" s="118">
        <f>+LI!AD17+Auto!AD16</f>
        <v>-4478.014682542499</v>
      </c>
      <c r="AE15" s="160">
        <v>0</v>
      </c>
      <c r="AF15" s="118">
        <v>0</v>
      </c>
      <c r="AG15" s="118">
        <v>-50391.444189999995</v>
      </c>
      <c r="AH15" s="118">
        <v>0</v>
      </c>
      <c r="AI15" s="118">
        <v>0</v>
      </c>
      <c r="AJ15" s="118">
        <v>0</v>
      </c>
      <c r="AK15" s="118">
        <f>+Auto!AK16+LI!AK17</f>
        <v>0</v>
      </c>
      <c r="AL15" s="118">
        <f>+Auto!AL16+LI!AL17</f>
        <v>0</v>
      </c>
      <c r="AM15" s="118">
        <v>0</v>
      </c>
      <c r="AN15" s="118">
        <f>+LI!AN17</f>
        <v>-5732.7137899999998</v>
      </c>
      <c r="AO15" s="118">
        <f>+Auto!AO16+LI!AO17</f>
        <v>0</v>
      </c>
      <c r="AP15" s="118">
        <f>+Auto!AP16+LI!AP17</f>
        <v>0</v>
      </c>
      <c r="AQ15" s="118">
        <v>0</v>
      </c>
      <c r="AR15" s="118">
        <f>+Auto!AR16+LI!AR17</f>
        <v>0</v>
      </c>
      <c r="AS15" s="118">
        <f>+Auto!AS16+LI!AS17</f>
        <v>0</v>
      </c>
      <c r="AT15" s="118">
        <f>+Auto!AT16+LI!AT17</f>
        <v>0</v>
      </c>
      <c r="AU15" s="118">
        <f>+Auto!AU16+LI!AU17</f>
        <v>0</v>
      </c>
      <c r="AV15" s="118">
        <v>0</v>
      </c>
      <c r="AW15" s="118">
        <f>+Auto!AW16+LI!AW17</f>
        <v>0</v>
      </c>
      <c r="AX15" s="118">
        <f>+Auto!AX16+LI!AX17</f>
        <v>0</v>
      </c>
      <c r="AY15" s="118" t="s">
        <v>160</v>
      </c>
      <c r="AZ15" s="118" t="s">
        <v>160</v>
      </c>
      <c r="BA15" s="118" t="s">
        <v>160</v>
      </c>
      <c r="BB15" s="118">
        <v>0</v>
      </c>
      <c r="BC15" s="118">
        <f>+Auto!BC16+LI!BC17</f>
        <v>0</v>
      </c>
      <c r="BD15" s="118">
        <f>+Auto!BD16+LI!BD17</f>
        <v>0</v>
      </c>
      <c r="BE15" s="118">
        <f>+Auto!BE16+LI!BE17</f>
        <v>0</v>
      </c>
      <c r="BF15" s="118">
        <f>+Auto!BF16+LI!BF17</f>
        <v>0</v>
      </c>
      <c r="BG15" s="118">
        <f>+Auto!BG16+LI!BG17</f>
        <v>0</v>
      </c>
    </row>
    <row r="16" spans="1:60" ht="14.1" customHeight="1" x14ac:dyDescent="0.2">
      <c r="A16" s="23"/>
      <c r="B16" s="336" t="s">
        <v>1112</v>
      </c>
      <c r="C16" s="118" t="s">
        <v>160</v>
      </c>
      <c r="D16" s="118" t="s">
        <v>160</v>
      </c>
      <c r="E16" s="118" t="s">
        <v>160</v>
      </c>
      <c r="F16" s="118" t="s">
        <v>160</v>
      </c>
      <c r="G16" s="118" t="s">
        <v>160</v>
      </c>
      <c r="H16" s="118" t="s">
        <v>160</v>
      </c>
      <c r="I16" s="118" t="s">
        <v>160</v>
      </c>
      <c r="J16" s="118" t="s">
        <v>160</v>
      </c>
      <c r="K16" s="118" t="s">
        <v>160</v>
      </c>
      <c r="L16" s="118" t="s">
        <v>160</v>
      </c>
      <c r="M16" s="118" t="s">
        <v>160</v>
      </c>
      <c r="N16" s="118" t="s">
        <v>160</v>
      </c>
      <c r="O16" s="118" t="s">
        <v>160</v>
      </c>
      <c r="P16" s="118" t="s">
        <v>160</v>
      </c>
      <c r="Q16" s="118" t="s">
        <v>160</v>
      </c>
      <c r="R16" s="118" t="s">
        <v>160</v>
      </c>
      <c r="S16" s="118" t="s">
        <v>160</v>
      </c>
      <c r="T16" s="118" t="s">
        <v>160</v>
      </c>
      <c r="U16" s="118" t="s">
        <v>160</v>
      </c>
      <c r="V16" s="118" t="s">
        <v>160</v>
      </c>
      <c r="W16" s="118" t="s">
        <v>160</v>
      </c>
      <c r="X16" s="118" t="s">
        <v>160</v>
      </c>
      <c r="Y16" s="118" t="s">
        <v>160</v>
      </c>
      <c r="Z16" s="118" t="s">
        <v>160</v>
      </c>
      <c r="AA16" s="118" t="s">
        <v>160</v>
      </c>
      <c r="AB16" s="118" t="s">
        <v>160</v>
      </c>
      <c r="AC16" s="118" t="s">
        <v>160</v>
      </c>
      <c r="AD16" s="118" t="s">
        <v>160</v>
      </c>
      <c r="AE16" s="160" t="s">
        <v>160</v>
      </c>
      <c r="AF16" s="118" t="s">
        <v>160</v>
      </c>
      <c r="AG16" s="118" t="s">
        <v>160</v>
      </c>
      <c r="AH16" s="118" t="s">
        <v>160</v>
      </c>
      <c r="AI16" s="118" t="s">
        <v>160</v>
      </c>
      <c r="AJ16" s="118" t="s">
        <v>160</v>
      </c>
      <c r="AK16" s="118" t="s">
        <v>160</v>
      </c>
      <c r="AL16" s="118" t="s">
        <v>160</v>
      </c>
      <c r="AM16" s="118" t="s">
        <v>160</v>
      </c>
      <c r="AN16" s="118" t="s">
        <v>160</v>
      </c>
      <c r="AO16" s="118" t="s">
        <v>160</v>
      </c>
      <c r="AP16" s="118">
        <f>LI!AP18</f>
        <v>-2591</v>
      </c>
      <c r="AQ16" s="118" t="s">
        <v>160</v>
      </c>
      <c r="AR16" s="118" t="str">
        <f>LI!AR18</f>
        <v>-</v>
      </c>
      <c r="AS16" s="118" t="str">
        <f>LI!AS18</f>
        <v>-</v>
      </c>
      <c r="AT16" s="118" t="str">
        <f>LI!AT18</f>
        <v>-</v>
      </c>
      <c r="AU16" s="118" t="str">
        <f>LI!AU18</f>
        <v>-</v>
      </c>
      <c r="AV16" s="118" t="s">
        <v>160</v>
      </c>
      <c r="AW16" s="118" t="str">
        <f>LI!AW18</f>
        <v>-</v>
      </c>
      <c r="AX16" s="118" t="str">
        <f>LI!AX18</f>
        <v>-</v>
      </c>
      <c r="AY16" s="118" t="s">
        <v>160</v>
      </c>
      <c r="AZ16" s="118" t="s">
        <v>160</v>
      </c>
      <c r="BA16" s="118" t="s">
        <v>160</v>
      </c>
      <c r="BB16" s="118" t="s">
        <v>160</v>
      </c>
      <c r="BC16" s="118" t="str">
        <f>LI!BC18</f>
        <v>-</v>
      </c>
      <c r="BD16" s="118" t="str">
        <f>LI!BD18</f>
        <v>-</v>
      </c>
      <c r="BE16" s="118" t="str">
        <f>LI!BE18</f>
        <v>-</v>
      </c>
      <c r="BF16" s="118" t="str">
        <f>LI!BF18</f>
        <v>-</v>
      </c>
      <c r="BG16" s="118" t="str">
        <f>LI!BG18</f>
        <v>-</v>
      </c>
    </row>
    <row r="17" spans="1:59" ht="14.1" customHeight="1" x14ac:dyDescent="0.2">
      <c r="A17" s="23"/>
      <c r="B17" s="336" t="s">
        <v>1125</v>
      </c>
      <c r="C17" s="118" t="s">
        <v>160</v>
      </c>
      <c r="D17" s="118" t="s">
        <v>160</v>
      </c>
      <c r="E17" s="118" t="s">
        <v>160</v>
      </c>
      <c r="F17" s="118" t="s">
        <v>160</v>
      </c>
      <c r="G17" s="118" t="s">
        <v>160</v>
      </c>
      <c r="H17" s="118" t="s">
        <v>160</v>
      </c>
      <c r="I17" s="118" t="s">
        <v>160</v>
      </c>
      <c r="J17" s="118" t="s">
        <v>160</v>
      </c>
      <c r="K17" s="118" t="s">
        <v>160</v>
      </c>
      <c r="L17" s="118" t="s">
        <v>160</v>
      </c>
      <c r="M17" s="118" t="s">
        <v>160</v>
      </c>
      <c r="N17" s="118" t="s">
        <v>160</v>
      </c>
      <c r="O17" s="118" t="s">
        <v>160</v>
      </c>
      <c r="P17" s="118" t="s">
        <v>160</v>
      </c>
      <c r="Q17" s="118" t="s">
        <v>160</v>
      </c>
      <c r="R17" s="118" t="s">
        <v>160</v>
      </c>
      <c r="S17" s="118" t="s">
        <v>160</v>
      </c>
      <c r="T17" s="118" t="s">
        <v>160</v>
      </c>
      <c r="U17" s="118" t="s">
        <v>160</v>
      </c>
      <c r="V17" s="118" t="s">
        <v>160</v>
      </c>
      <c r="W17" s="118" t="s">
        <v>160</v>
      </c>
      <c r="X17" s="118" t="s">
        <v>160</v>
      </c>
      <c r="Y17" s="118" t="s">
        <v>160</v>
      </c>
      <c r="Z17" s="118" t="s">
        <v>160</v>
      </c>
      <c r="AA17" s="118" t="s">
        <v>160</v>
      </c>
      <c r="AB17" s="118" t="s">
        <v>160</v>
      </c>
      <c r="AC17" s="118" t="s">
        <v>160</v>
      </c>
      <c r="AD17" s="118" t="s">
        <v>160</v>
      </c>
      <c r="AE17" s="160" t="s">
        <v>160</v>
      </c>
      <c r="AF17" s="118" t="s">
        <v>160</v>
      </c>
      <c r="AG17" s="118" t="s">
        <v>160</v>
      </c>
      <c r="AH17" s="118" t="s">
        <v>160</v>
      </c>
      <c r="AI17" s="118" t="s">
        <v>160</v>
      </c>
      <c r="AJ17" s="118" t="s">
        <v>160</v>
      </c>
      <c r="AK17" s="118" t="s">
        <v>160</v>
      </c>
      <c r="AL17" s="118" t="s">
        <v>160</v>
      </c>
      <c r="AM17" s="118" t="s">
        <v>160</v>
      </c>
      <c r="AN17" s="118" t="s">
        <v>160</v>
      </c>
      <c r="AO17" s="118">
        <f>+Auto!AO18</f>
        <v>1159</v>
      </c>
      <c r="AP17" s="118">
        <f>+Auto!AP18</f>
        <v>0</v>
      </c>
      <c r="AQ17" s="118">
        <v>0</v>
      </c>
      <c r="AR17" s="118">
        <f>+Auto!AR18</f>
        <v>0</v>
      </c>
      <c r="AS17" s="118">
        <f>+Auto!AS18</f>
        <v>0</v>
      </c>
      <c r="AT17" s="118">
        <f>+Auto!AT18</f>
        <v>0</v>
      </c>
      <c r="AU17" s="118">
        <f>+Auto!AU18</f>
        <v>0</v>
      </c>
      <c r="AV17" s="118">
        <v>0</v>
      </c>
      <c r="AW17" s="118">
        <f>+Auto!AW18</f>
        <v>0</v>
      </c>
      <c r="AX17" s="118">
        <f>+Auto!AX18</f>
        <v>0</v>
      </c>
      <c r="AY17" s="118" t="s">
        <v>160</v>
      </c>
      <c r="AZ17" s="118" t="s">
        <v>160</v>
      </c>
      <c r="BA17" s="118" t="s">
        <v>160</v>
      </c>
      <c r="BB17" s="118">
        <v>0</v>
      </c>
      <c r="BC17" s="118">
        <f>+Auto!BC18</f>
        <v>0</v>
      </c>
      <c r="BD17" s="118">
        <f>+Auto!BD18</f>
        <v>0</v>
      </c>
      <c r="BE17" s="118">
        <f>+Auto!BE18</f>
        <v>0</v>
      </c>
      <c r="BF17" s="118">
        <f>+Auto!BF18</f>
        <v>0</v>
      </c>
      <c r="BG17" s="118">
        <f>+Auto!BG18</f>
        <v>0</v>
      </c>
    </row>
    <row r="18" spans="1:59" ht="14.1" customHeight="1" x14ac:dyDescent="0.2">
      <c r="A18" s="23"/>
      <c r="B18" s="336" t="s">
        <v>892</v>
      </c>
      <c r="C18" s="118" t="s">
        <v>160</v>
      </c>
      <c r="D18" s="118" t="s">
        <v>160</v>
      </c>
      <c r="E18" s="118" t="s">
        <v>160</v>
      </c>
      <c r="F18" s="118" t="s">
        <v>160</v>
      </c>
      <c r="G18" s="118" t="s">
        <v>160</v>
      </c>
      <c r="H18" s="118" t="s">
        <v>160</v>
      </c>
      <c r="I18" s="118" t="s">
        <v>160</v>
      </c>
      <c r="J18" s="118" t="s">
        <v>160</v>
      </c>
      <c r="K18" s="118" t="s">
        <v>160</v>
      </c>
      <c r="L18" s="118" t="s">
        <v>160</v>
      </c>
      <c r="M18" s="118" t="s">
        <v>160</v>
      </c>
      <c r="N18" s="118" t="s">
        <v>160</v>
      </c>
      <c r="O18" s="118" t="s">
        <v>160</v>
      </c>
      <c r="P18" s="118" t="s">
        <v>160</v>
      </c>
      <c r="Q18" s="118" t="s">
        <v>160</v>
      </c>
      <c r="R18" s="118" t="s">
        <v>160</v>
      </c>
      <c r="S18" s="118" t="s">
        <v>160</v>
      </c>
      <c r="T18" s="118" t="s">
        <v>160</v>
      </c>
      <c r="U18" s="118" t="s">
        <v>160</v>
      </c>
      <c r="V18" s="118" t="s">
        <v>160</v>
      </c>
      <c r="W18" s="118" t="s">
        <v>160</v>
      </c>
      <c r="X18" s="118" t="s">
        <v>160</v>
      </c>
      <c r="Y18" s="118" t="s">
        <v>160</v>
      </c>
      <c r="Z18" s="118" t="s">
        <v>160</v>
      </c>
      <c r="AA18" s="118" t="s">
        <v>160</v>
      </c>
      <c r="AB18" s="118" t="s">
        <v>160</v>
      </c>
      <c r="AC18" s="118" t="s">
        <v>160</v>
      </c>
      <c r="AD18" s="118" t="s">
        <v>160</v>
      </c>
      <c r="AE18" s="160" t="s">
        <v>160</v>
      </c>
      <c r="AF18" s="118" t="s">
        <v>160</v>
      </c>
      <c r="AG18" s="118" t="s">
        <v>160</v>
      </c>
      <c r="AH18" s="118">
        <v>2254</v>
      </c>
      <c r="AI18" s="118">
        <v>3317</v>
      </c>
      <c r="AJ18" s="118">
        <v>0</v>
      </c>
      <c r="AK18" s="118">
        <f>+Auto!AK19</f>
        <v>0</v>
      </c>
      <c r="AL18" s="118">
        <f>+Auto!AL19</f>
        <v>0</v>
      </c>
      <c r="AM18" s="118">
        <v>0</v>
      </c>
      <c r="AN18" s="118">
        <v>0</v>
      </c>
      <c r="AO18" s="118">
        <f>+Auto!AO19</f>
        <v>0</v>
      </c>
      <c r="AP18" s="118">
        <f>+Auto!AP19</f>
        <v>0</v>
      </c>
      <c r="AQ18" s="118">
        <v>0</v>
      </c>
      <c r="AR18" s="118">
        <f>+Auto!AR19</f>
        <v>0</v>
      </c>
      <c r="AS18" s="118">
        <f>+Auto!AS19</f>
        <v>0</v>
      </c>
      <c r="AT18" s="118">
        <f>+Auto!AT19</f>
        <v>0</v>
      </c>
      <c r="AU18" s="118">
        <f>+Auto!AU19</f>
        <v>0</v>
      </c>
      <c r="AV18" s="118">
        <v>0</v>
      </c>
      <c r="AW18" s="118">
        <f>+Auto!AW19</f>
        <v>0</v>
      </c>
      <c r="AX18" s="118">
        <f>+Auto!AX19</f>
        <v>0</v>
      </c>
      <c r="AY18" s="118" t="s">
        <v>160</v>
      </c>
      <c r="AZ18" s="118" t="s">
        <v>160</v>
      </c>
      <c r="BA18" s="118" t="s">
        <v>160</v>
      </c>
      <c r="BB18" s="118">
        <v>0</v>
      </c>
      <c r="BC18" s="118">
        <f>+Auto!BC19</f>
        <v>0</v>
      </c>
      <c r="BD18" s="118">
        <f>+Auto!BD19</f>
        <v>0</v>
      </c>
      <c r="BE18" s="118">
        <f>+Auto!BE19</f>
        <v>0</v>
      </c>
      <c r="BF18" s="118">
        <f>+Auto!BF19</f>
        <v>0</v>
      </c>
      <c r="BG18" s="118">
        <f>+Auto!BG19</f>
        <v>0</v>
      </c>
    </row>
    <row r="19" spans="1:59" ht="14.1" customHeight="1" x14ac:dyDescent="0.2">
      <c r="A19" s="23"/>
      <c r="B19" s="336" t="s">
        <v>388</v>
      </c>
      <c r="C19" s="118">
        <f>+Auto!C20+LI!C21</f>
        <v>0</v>
      </c>
      <c r="D19" s="118">
        <f>+Auto!D20+LI!D21</f>
        <v>0</v>
      </c>
      <c r="E19" s="118">
        <f>+Auto!E20+LI!E21</f>
        <v>0</v>
      </c>
      <c r="F19" s="118">
        <f>+Auto!F20+LI!F21</f>
        <v>0</v>
      </c>
      <c r="G19" s="118">
        <f>+Auto!G20+LI!G21</f>
        <v>0</v>
      </c>
      <c r="H19" s="118">
        <f>+Auto!H20+LI!H21</f>
        <v>0</v>
      </c>
      <c r="I19" s="118">
        <f>+Auto!I20+LI!I21</f>
        <v>0</v>
      </c>
      <c r="J19" s="118">
        <f>+Auto!J20+LI!J21</f>
        <v>0</v>
      </c>
      <c r="K19" s="118">
        <f>+Auto!K20+LI!K21</f>
        <v>0</v>
      </c>
      <c r="L19" s="118">
        <f>+Auto!L20+LI!L21</f>
        <v>0</v>
      </c>
      <c r="M19" s="118">
        <f>+Auto!M20+LI!M21</f>
        <v>0</v>
      </c>
      <c r="N19" s="118">
        <f>+Auto!N20+LI!N21</f>
        <v>0</v>
      </c>
      <c r="O19" s="118">
        <f>+Auto!O20+LI!O21</f>
        <v>0</v>
      </c>
      <c r="P19" s="118">
        <f>+Auto!P20+LI!P21</f>
        <v>0</v>
      </c>
      <c r="Q19" s="118">
        <f>+Auto!Q20+LI!Q21</f>
        <v>0</v>
      </c>
      <c r="R19" s="118">
        <f>+Auto!R20+LI!R21</f>
        <v>0</v>
      </c>
      <c r="S19" s="118">
        <f>+Auto!S20+LI!S21</f>
        <v>0</v>
      </c>
      <c r="T19" s="118">
        <f>+Auto!T20+LI!T21</f>
        <v>0</v>
      </c>
      <c r="U19" s="118">
        <f>+Auto!U20+LI!U21</f>
        <v>0</v>
      </c>
      <c r="V19" s="118">
        <f>+Auto!V20+LI!V21</f>
        <v>0</v>
      </c>
      <c r="W19" s="118">
        <f>+Auto!W20+LI!W21</f>
        <v>0</v>
      </c>
      <c r="X19" s="118">
        <f>+Auto!X20+LI!X21</f>
        <v>0</v>
      </c>
      <c r="Y19" s="118">
        <f>+Auto!Y20+LI!Y21</f>
        <v>0</v>
      </c>
      <c r="Z19" s="118">
        <f>+Auto!Z20+LI!Z21</f>
        <v>-29230.404609999947</v>
      </c>
      <c r="AA19" s="118" t="s">
        <v>160</v>
      </c>
      <c r="AB19" s="118" t="s">
        <v>160</v>
      </c>
      <c r="AC19" s="118" t="s">
        <v>160</v>
      </c>
      <c r="AD19" s="118">
        <v>0</v>
      </c>
      <c r="AE19" s="160">
        <v>0</v>
      </c>
      <c r="AF19" s="118">
        <v>0</v>
      </c>
      <c r="AG19" s="118">
        <v>0</v>
      </c>
      <c r="AH19" s="118">
        <v>0</v>
      </c>
      <c r="AI19" s="118">
        <v>0</v>
      </c>
      <c r="AJ19" s="118">
        <v>0</v>
      </c>
      <c r="AK19" s="118">
        <v>0</v>
      </c>
      <c r="AL19" s="118">
        <v>0</v>
      </c>
      <c r="AM19" s="118">
        <v>0</v>
      </c>
      <c r="AN19" s="118">
        <v>0</v>
      </c>
      <c r="AO19" s="118">
        <v>0</v>
      </c>
      <c r="AP19" s="118">
        <v>0</v>
      </c>
      <c r="AQ19" s="118">
        <v>0</v>
      </c>
      <c r="AR19" s="118">
        <v>0</v>
      </c>
      <c r="AS19" s="118">
        <v>0</v>
      </c>
      <c r="AT19" s="118">
        <v>0</v>
      </c>
      <c r="AU19" s="118">
        <v>0</v>
      </c>
      <c r="AV19" s="118">
        <v>0</v>
      </c>
      <c r="AW19" s="118">
        <v>0</v>
      </c>
      <c r="AX19" s="118">
        <v>0</v>
      </c>
      <c r="AY19" s="118" t="s">
        <v>160</v>
      </c>
      <c r="AZ19" s="118" t="s">
        <v>160</v>
      </c>
      <c r="BA19" s="118" t="s">
        <v>160</v>
      </c>
      <c r="BB19" s="118">
        <v>0</v>
      </c>
      <c r="BC19" s="118">
        <v>0</v>
      </c>
      <c r="BD19" s="118">
        <v>0</v>
      </c>
      <c r="BE19" s="118">
        <v>0</v>
      </c>
      <c r="BF19" s="118">
        <v>0</v>
      </c>
      <c r="BG19" s="118">
        <v>0</v>
      </c>
    </row>
    <row r="20" spans="1:59" ht="14.1" customHeight="1" x14ac:dyDescent="0.2">
      <c r="A20" s="632"/>
      <c r="B20" s="336" t="s">
        <v>1131</v>
      </c>
      <c r="C20" s="118">
        <f>+Auto!C21+LI!C22</f>
        <v>0</v>
      </c>
      <c r="D20" s="118">
        <f>+Auto!D21+LI!D22</f>
        <v>0</v>
      </c>
      <c r="E20" s="118">
        <f>+Auto!E21+LI!E22</f>
        <v>0</v>
      </c>
      <c r="F20" s="118">
        <f>+Auto!F21+LI!F22</f>
        <v>0</v>
      </c>
      <c r="G20" s="118">
        <f>+Auto!G21+LI!G22</f>
        <v>0</v>
      </c>
      <c r="H20" s="118">
        <f>+Auto!H21+LI!H22</f>
        <v>0</v>
      </c>
      <c r="I20" s="118">
        <f>+Auto!I21+LI!I22</f>
        <v>0</v>
      </c>
      <c r="J20" s="118">
        <f>+Auto!J21+LI!J22</f>
        <v>0</v>
      </c>
      <c r="K20" s="118">
        <f>+Auto!K21+LI!K22</f>
        <v>0</v>
      </c>
      <c r="L20" s="118">
        <f>+Auto!L21+LI!L22</f>
        <v>0</v>
      </c>
      <c r="M20" s="118">
        <f>+Auto!M21+LI!M22</f>
        <v>0</v>
      </c>
      <c r="N20" s="118">
        <f>+Auto!N21+LI!N22</f>
        <v>0</v>
      </c>
      <c r="O20" s="118">
        <f>+Auto!O21+LI!O22</f>
        <v>0</v>
      </c>
      <c r="P20" s="118">
        <f>+Auto!P21+LI!P22</f>
        <v>0</v>
      </c>
      <c r="Q20" s="118">
        <f>+Auto!Q21+LI!Q22</f>
        <v>0</v>
      </c>
      <c r="R20" s="118">
        <f>+Auto!R21+LI!R22</f>
        <v>0</v>
      </c>
      <c r="S20" s="118">
        <f>+Auto!S21+LI!S22</f>
        <v>0</v>
      </c>
      <c r="T20" s="118">
        <f>+Auto!T21+LI!T22</f>
        <v>0</v>
      </c>
      <c r="U20" s="118">
        <f>+Auto!U21+LI!U22</f>
        <v>0</v>
      </c>
      <c r="V20" s="118">
        <f>+Auto!V21+LI!V22</f>
        <v>0</v>
      </c>
      <c r="W20" s="118">
        <f>+Auto!W21+LI!W22</f>
        <v>0</v>
      </c>
      <c r="X20" s="261">
        <f>+Auto!X21+LI!X22</f>
        <v>15000</v>
      </c>
      <c r="Y20" s="118">
        <f>+Auto!Y21+LI!Y22</f>
        <v>0</v>
      </c>
      <c r="Z20" s="118">
        <f>+Auto!Z21+LI!Z22</f>
        <v>0</v>
      </c>
      <c r="AA20" s="118" t="s">
        <v>160</v>
      </c>
      <c r="AB20" s="118" t="s">
        <v>160</v>
      </c>
      <c r="AC20" s="118" t="s">
        <v>160</v>
      </c>
      <c r="AD20" s="118">
        <f>+LI!AD22+Auto!AD21</f>
        <v>14500</v>
      </c>
      <c r="AE20" s="160">
        <v>0</v>
      </c>
      <c r="AF20" s="118">
        <v>0</v>
      </c>
      <c r="AG20" s="118">
        <v>0</v>
      </c>
      <c r="AH20" s="118">
        <v>0</v>
      </c>
      <c r="AI20" s="118">
        <v>0</v>
      </c>
      <c r="AJ20" s="118">
        <v>0</v>
      </c>
      <c r="AK20" s="118">
        <v>0</v>
      </c>
      <c r="AL20" s="118">
        <v>0</v>
      </c>
      <c r="AM20" s="118">
        <v>0</v>
      </c>
      <c r="AN20" s="118">
        <v>0</v>
      </c>
      <c r="AO20" s="118">
        <v>0</v>
      </c>
      <c r="AP20" s="118">
        <v>0</v>
      </c>
      <c r="AQ20" s="118">
        <v>0</v>
      </c>
      <c r="AR20" s="118">
        <f>+Auto!AR21</f>
        <v>0</v>
      </c>
      <c r="AS20" s="118">
        <f>+Auto!AS21</f>
        <v>6645.02</v>
      </c>
      <c r="AT20" s="118">
        <f>+Auto!AT21</f>
        <v>0</v>
      </c>
      <c r="AU20" s="118">
        <f>+Auto!AU21</f>
        <v>0</v>
      </c>
      <c r="AV20" s="118">
        <v>0</v>
      </c>
      <c r="AW20" s="118">
        <f>+Auto!AW21</f>
        <v>0</v>
      </c>
      <c r="AX20" s="118">
        <f>+Auto!AX21</f>
        <v>0</v>
      </c>
      <c r="AY20" s="118" t="s">
        <v>160</v>
      </c>
      <c r="AZ20" s="118" t="s">
        <v>160</v>
      </c>
      <c r="BA20" s="118" t="s">
        <v>160</v>
      </c>
      <c r="BB20" s="118">
        <v>0</v>
      </c>
      <c r="BC20" s="118">
        <f>+Auto!BC21</f>
        <v>0</v>
      </c>
      <c r="BD20" s="118">
        <f>+Auto!BD21</f>
        <v>0</v>
      </c>
      <c r="BE20" s="118">
        <f>+Auto!BE21</f>
        <v>0</v>
      </c>
      <c r="BF20" s="118">
        <f>+Auto!BF21</f>
        <v>0</v>
      </c>
      <c r="BG20" s="118">
        <f>+Auto!BG21</f>
        <v>0</v>
      </c>
    </row>
    <row r="21" spans="1:59" ht="14.1" customHeight="1" x14ac:dyDescent="0.2">
      <c r="A21" s="632"/>
      <c r="B21" s="336" t="s">
        <v>779</v>
      </c>
      <c r="C21" s="118" t="s">
        <v>160</v>
      </c>
      <c r="D21" s="118" t="s">
        <v>160</v>
      </c>
      <c r="E21" s="118" t="s">
        <v>160</v>
      </c>
      <c r="F21" s="118" t="s">
        <v>160</v>
      </c>
      <c r="G21" s="118" t="s">
        <v>160</v>
      </c>
      <c r="H21" s="118" t="s">
        <v>160</v>
      </c>
      <c r="I21" s="118" t="s">
        <v>160</v>
      </c>
      <c r="J21" s="118" t="s">
        <v>160</v>
      </c>
      <c r="K21" s="118" t="s">
        <v>160</v>
      </c>
      <c r="L21" s="118" t="s">
        <v>160</v>
      </c>
      <c r="M21" s="118" t="s">
        <v>160</v>
      </c>
      <c r="N21" s="118" t="s">
        <v>160</v>
      </c>
      <c r="O21" s="118" t="s">
        <v>160</v>
      </c>
      <c r="P21" s="118" t="s">
        <v>160</v>
      </c>
      <c r="Q21" s="118" t="s">
        <v>160</v>
      </c>
      <c r="R21" s="118" t="s">
        <v>160</v>
      </c>
      <c r="S21" s="118" t="s">
        <v>160</v>
      </c>
      <c r="T21" s="118" t="s">
        <v>160</v>
      </c>
      <c r="U21" s="118" t="s">
        <v>160</v>
      </c>
      <c r="V21" s="118" t="s">
        <v>160</v>
      </c>
      <c r="W21" s="118" t="s">
        <v>160</v>
      </c>
      <c r="X21" s="118" t="s">
        <v>160</v>
      </c>
      <c r="Y21" s="118" t="s">
        <v>160</v>
      </c>
      <c r="Z21" s="118" t="s">
        <v>160</v>
      </c>
      <c r="AA21" s="118" t="s">
        <v>160</v>
      </c>
      <c r="AB21" s="118" t="s">
        <v>160</v>
      </c>
      <c r="AC21" s="118">
        <f>+Auto!AC22+LI!AC23</f>
        <v>5251.7599300000002</v>
      </c>
      <c r="AD21" s="118">
        <v>0</v>
      </c>
      <c r="AE21" s="160">
        <v>0</v>
      </c>
      <c r="AF21" s="118">
        <v>0</v>
      </c>
      <c r="AG21" s="118">
        <v>0</v>
      </c>
      <c r="AH21" s="118">
        <v>0</v>
      </c>
      <c r="AI21" s="118">
        <v>0</v>
      </c>
      <c r="AJ21" s="118">
        <v>0</v>
      </c>
      <c r="AK21" s="118">
        <v>0</v>
      </c>
      <c r="AL21" s="118">
        <v>0</v>
      </c>
      <c r="AM21" s="118">
        <v>0</v>
      </c>
      <c r="AN21" s="118">
        <v>0</v>
      </c>
      <c r="AO21" s="118">
        <v>0</v>
      </c>
      <c r="AP21" s="118">
        <v>0</v>
      </c>
      <c r="AQ21" s="118">
        <v>0</v>
      </c>
      <c r="AR21" s="118">
        <v>0</v>
      </c>
      <c r="AS21" s="118">
        <v>0</v>
      </c>
      <c r="AT21" s="118">
        <v>0</v>
      </c>
      <c r="AU21" s="118">
        <v>0</v>
      </c>
      <c r="AV21" s="118">
        <v>0</v>
      </c>
      <c r="AW21" s="118">
        <v>0</v>
      </c>
      <c r="AX21" s="118">
        <v>0</v>
      </c>
      <c r="AY21" s="118" t="s">
        <v>160</v>
      </c>
      <c r="AZ21" s="118" t="s">
        <v>160</v>
      </c>
      <c r="BA21" s="118" t="s">
        <v>160</v>
      </c>
      <c r="BB21" s="118">
        <v>0</v>
      </c>
      <c r="BC21" s="118">
        <v>0</v>
      </c>
      <c r="BD21" s="118">
        <v>0</v>
      </c>
      <c r="BE21" s="118">
        <v>0</v>
      </c>
      <c r="BF21" s="118">
        <v>0</v>
      </c>
      <c r="BG21" s="118">
        <v>0</v>
      </c>
    </row>
    <row r="22" spans="1:59" ht="14.1" customHeight="1" x14ac:dyDescent="0.2">
      <c r="A22" s="632"/>
      <c r="B22" s="336" t="s">
        <v>52</v>
      </c>
      <c r="C22" s="118">
        <f>+Auto!C31+LI!C24</f>
        <v>0</v>
      </c>
      <c r="D22" s="118">
        <f>+Auto!D31+LI!D24</f>
        <v>0</v>
      </c>
      <c r="E22" s="118">
        <f>+Auto!E31+LI!E24</f>
        <v>0</v>
      </c>
      <c r="F22" s="118">
        <f>+Auto!F31+LI!F24</f>
        <v>0</v>
      </c>
      <c r="G22" s="118">
        <f>+Auto!G31+LI!G24</f>
        <v>0</v>
      </c>
      <c r="H22" s="118">
        <f>+Auto!H31+LI!H24</f>
        <v>0</v>
      </c>
      <c r="I22" s="118">
        <f>+Auto!I31+LI!I24</f>
        <v>0</v>
      </c>
      <c r="J22" s="118">
        <f>+Auto!J31+LI!J24</f>
        <v>0</v>
      </c>
      <c r="K22" s="118">
        <f>+Auto!K31+LI!K24</f>
        <v>8603</v>
      </c>
      <c r="L22" s="118">
        <f>+Auto!L31+LI!L24</f>
        <v>0</v>
      </c>
      <c r="M22" s="118">
        <f>+Auto!M31+LI!M24</f>
        <v>0</v>
      </c>
      <c r="N22" s="118">
        <f>+Auto!N31+LI!N24</f>
        <v>0</v>
      </c>
      <c r="O22" s="118">
        <f>+Auto!O31+LI!O24</f>
        <v>0</v>
      </c>
      <c r="P22" s="118">
        <f>+Auto!P31+LI!P24</f>
        <v>0</v>
      </c>
      <c r="Q22" s="118">
        <f>+Auto!Q31+LI!Q24</f>
        <v>0</v>
      </c>
      <c r="R22" s="118">
        <f>+Auto!R31+LI!R24</f>
        <v>6697.1685799999996</v>
      </c>
      <c r="S22" s="118">
        <f>+Auto!S31+LI!S24</f>
        <v>0</v>
      </c>
      <c r="T22" s="118">
        <f>+Auto!T31+LI!T24</f>
        <v>0</v>
      </c>
      <c r="U22" s="118">
        <f>+Auto!U31+LI!U24</f>
        <v>0</v>
      </c>
      <c r="V22" s="118">
        <f>+Auto!V31+LI!V24</f>
        <v>0</v>
      </c>
      <c r="W22" s="118">
        <f>+Auto!W31+LI!W24</f>
        <v>0</v>
      </c>
      <c r="X22" s="118">
        <f>+Auto!X31+LI!X24</f>
        <v>0</v>
      </c>
      <c r="Y22" s="118">
        <f>+Auto!Y31+LI!Y24</f>
        <v>0</v>
      </c>
      <c r="Z22" s="118">
        <f>+Auto!Z31+LI!Z24</f>
        <v>0</v>
      </c>
      <c r="AA22" s="118">
        <f>+Auto!AA31+LI!AA24</f>
        <v>0</v>
      </c>
      <c r="AB22" s="118">
        <f>+Auto!AB31+LI!AB24</f>
        <v>0</v>
      </c>
      <c r="AC22" s="118">
        <v>0</v>
      </c>
      <c r="AD22" s="118">
        <v>0</v>
      </c>
      <c r="AE22" s="160">
        <v>0</v>
      </c>
      <c r="AF22" s="118">
        <v>0</v>
      </c>
      <c r="AG22" s="118">
        <v>0</v>
      </c>
      <c r="AH22" s="118">
        <v>0</v>
      </c>
      <c r="AI22" s="118">
        <v>0</v>
      </c>
      <c r="AJ22" s="118">
        <v>0</v>
      </c>
      <c r="AK22" s="118">
        <v>0</v>
      </c>
      <c r="AL22" s="118">
        <f>+LI!AL24</f>
        <v>5220.2719999999999</v>
      </c>
      <c r="AM22" s="118">
        <v>0</v>
      </c>
      <c r="AN22" s="118">
        <v>0</v>
      </c>
      <c r="AO22" s="118">
        <f>LI!AO24</f>
        <v>0</v>
      </c>
      <c r="AP22" s="118">
        <f>LI!AP24</f>
        <v>0</v>
      </c>
      <c r="AQ22" s="118">
        <v>0</v>
      </c>
      <c r="AR22" s="118">
        <f>LI!AR24</f>
        <v>0</v>
      </c>
      <c r="AS22" s="118">
        <f>LI!AS24</f>
        <v>0</v>
      </c>
      <c r="AT22" s="118">
        <f>LI!AT24</f>
        <v>0</v>
      </c>
      <c r="AU22" s="118">
        <f>LI!AU24</f>
        <v>0</v>
      </c>
      <c r="AV22" s="118">
        <v>0</v>
      </c>
      <c r="AW22" s="118">
        <f>LI!AW24</f>
        <v>0</v>
      </c>
      <c r="AX22" s="118">
        <f>LI!AX24</f>
        <v>0</v>
      </c>
      <c r="AY22" s="118" t="s">
        <v>160</v>
      </c>
      <c r="AZ22" s="118" t="s">
        <v>160</v>
      </c>
      <c r="BA22" s="118" t="s">
        <v>160</v>
      </c>
      <c r="BB22" s="118">
        <v>0</v>
      </c>
      <c r="BC22" s="118">
        <f>LI!BC24</f>
        <v>0</v>
      </c>
      <c r="BD22" s="118">
        <f>LI!BD24</f>
        <v>0</v>
      </c>
      <c r="BE22" s="118">
        <f>LI!BE24</f>
        <v>0</v>
      </c>
      <c r="BF22" s="118">
        <f>LI!BF24</f>
        <v>0</v>
      </c>
      <c r="BG22" s="118">
        <f>LI!BG24</f>
        <v>0</v>
      </c>
    </row>
    <row r="23" spans="1:59" ht="14.1" customHeight="1" x14ac:dyDescent="0.2">
      <c r="A23" s="632"/>
      <c r="B23" s="336" t="s">
        <v>630</v>
      </c>
      <c r="C23" s="118">
        <f>+Auto!C23+LI!C25</f>
        <v>0</v>
      </c>
      <c r="D23" s="118">
        <f>+Auto!D23+LI!D25</f>
        <v>0</v>
      </c>
      <c r="E23" s="118">
        <f>+Auto!E23+LI!E25</f>
        <v>0</v>
      </c>
      <c r="F23" s="118">
        <f>+Auto!F23+LI!F25</f>
        <v>0</v>
      </c>
      <c r="G23" s="118">
        <f>+Auto!G23+LI!G25</f>
        <v>0</v>
      </c>
      <c r="H23" s="118">
        <f>+Auto!H23+LI!H25</f>
        <v>0</v>
      </c>
      <c r="I23" s="118">
        <f>+Auto!I23+LI!I25</f>
        <v>0</v>
      </c>
      <c r="J23" s="118">
        <f>+Auto!J23+LI!J25</f>
        <v>0</v>
      </c>
      <c r="K23" s="118">
        <f>+Auto!K23+LI!K25</f>
        <v>0</v>
      </c>
      <c r="L23" s="118">
        <f>+Auto!L23+LI!L25</f>
        <v>0</v>
      </c>
      <c r="M23" s="118">
        <f>+Auto!M23+LI!M25</f>
        <v>0</v>
      </c>
      <c r="N23" s="118">
        <f>+Auto!N23+LI!N25</f>
        <v>0</v>
      </c>
      <c r="O23" s="118">
        <f>+Auto!O23+LI!O25</f>
        <v>0</v>
      </c>
      <c r="P23" s="118">
        <f>+Auto!P23+LI!P25</f>
        <v>0</v>
      </c>
      <c r="Q23" s="118">
        <f>+Auto!Q23+LI!Q25</f>
        <v>0</v>
      </c>
      <c r="R23" s="118">
        <f>+Auto!R23+LI!R25</f>
        <v>0</v>
      </c>
      <c r="S23" s="118">
        <f>+Auto!S23+LI!S25</f>
        <v>0</v>
      </c>
      <c r="T23" s="118">
        <f>+Auto!T23+LI!T25</f>
        <v>0</v>
      </c>
      <c r="U23" s="118">
        <f>+Auto!U23+LI!U25</f>
        <v>0</v>
      </c>
      <c r="V23" s="118">
        <f>+Auto!V23+LI!V25</f>
        <v>0</v>
      </c>
      <c r="W23" s="118">
        <f>+Auto!W23+LI!W25</f>
        <v>0</v>
      </c>
      <c r="X23" s="118">
        <f>+Auto!X23+LI!X25</f>
        <v>0</v>
      </c>
      <c r="Y23" s="118">
        <f>+Auto!Y23+LI!Y25</f>
        <v>5733</v>
      </c>
      <c r="Z23" s="118">
        <f>Auto!Z23+LI!Z25</f>
        <v>5731</v>
      </c>
      <c r="AA23" s="118" t="s">
        <v>160</v>
      </c>
      <c r="AB23" s="118" t="s">
        <v>160</v>
      </c>
      <c r="AC23" s="118" t="s">
        <v>160</v>
      </c>
      <c r="AD23" s="118">
        <f>+LI!AD25+Auto!AD23</f>
        <v>2859.0540299999998</v>
      </c>
      <c r="AE23" s="160">
        <v>0</v>
      </c>
      <c r="AF23" s="118">
        <v>0</v>
      </c>
      <c r="AG23" s="118">
        <v>0</v>
      </c>
      <c r="AH23" s="118">
        <v>0</v>
      </c>
      <c r="AI23" s="118">
        <v>0</v>
      </c>
      <c r="AJ23" s="118">
        <v>0</v>
      </c>
      <c r="AK23" s="118">
        <v>0</v>
      </c>
      <c r="AL23" s="118">
        <v>0</v>
      </c>
      <c r="AM23" s="118">
        <v>0</v>
      </c>
      <c r="AN23" s="118">
        <v>0</v>
      </c>
      <c r="AO23" s="118">
        <v>0</v>
      </c>
      <c r="AP23" s="118">
        <v>0</v>
      </c>
      <c r="AQ23" s="118">
        <v>0</v>
      </c>
      <c r="AR23" s="118">
        <v>0</v>
      </c>
      <c r="AS23" s="118">
        <v>0</v>
      </c>
      <c r="AT23" s="118">
        <v>0</v>
      </c>
      <c r="AU23" s="118">
        <v>0</v>
      </c>
      <c r="AV23" s="118">
        <v>0</v>
      </c>
      <c r="AW23" s="118">
        <v>0</v>
      </c>
      <c r="AX23" s="118">
        <v>0</v>
      </c>
      <c r="AY23" s="118" t="s">
        <v>160</v>
      </c>
      <c r="AZ23" s="118" t="s">
        <v>160</v>
      </c>
      <c r="BA23" s="118" t="s">
        <v>160</v>
      </c>
      <c r="BB23" s="118">
        <v>0</v>
      </c>
      <c r="BC23" s="118">
        <v>0</v>
      </c>
      <c r="BD23" s="118">
        <v>0</v>
      </c>
      <c r="BE23" s="118">
        <v>0</v>
      </c>
      <c r="BF23" s="118">
        <v>0</v>
      </c>
      <c r="BG23" s="118">
        <v>0</v>
      </c>
    </row>
    <row r="24" spans="1:59" ht="14.1" customHeight="1" x14ac:dyDescent="0.2">
      <c r="A24" s="632"/>
      <c r="B24" s="336" t="s">
        <v>1159</v>
      </c>
      <c r="C24" s="118">
        <f>+Auto!C25+LI!C26</f>
        <v>0</v>
      </c>
      <c r="D24" s="118">
        <f>+Auto!D25+LI!D26</f>
        <v>0</v>
      </c>
      <c r="E24" s="118">
        <f>+Auto!E25+LI!E26</f>
        <v>0</v>
      </c>
      <c r="F24" s="118">
        <v>0</v>
      </c>
      <c r="G24" s="118">
        <f>+Auto!G25+LI!G26</f>
        <v>0</v>
      </c>
      <c r="H24" s="118">
        <f>+Auto!H25+LI!H26</f>
        <v>0</v>
      </c>
      <c r="I24" s="118">
        <f>+Auto!I25+LI!I26</f>
        <v>0</v>
      </c>
      <c r="J24" s="118">
        <f>+Auto!J25+LI!J26</f>
        <v>0</v>
      </c>
      <c r="K24" s="118">
        <f>+Auto!K25+LI!K26</f>
        <v>0</v>
      </c>
      <c r="L24" s="118">
        <f>+Auto!L25+LI!L26</f>
        <v>0</v>
      </c>
      <c r="M24" s="118">
        <f>+Auto!M25+LI!M26</f>
        <v>0</v>
      </c>
      <c r="N24" s="118">
        <f>+Auto!N25+LI!N26</f>
        <v>0</v>
      </c>
      <c r="O24" s="118">
        <f>+Auto!O25+LI!O26</f>
        <v>0</v>
      </c>
      <c r="P24" s="118">
        <f>+Auto!P25+LI!P26</f>
        <v>0</v>
      </c>
      <c r="Q24" s="118">
        <f>+Auto!Q25+LI!Q26</f>
        <v>0</v>
      </c>
      <c r="R24" s="118">
        <f>+Auto!R25+LI!R26</f>
        <v>0</v>
      </c>
      <c r="S24" s="118">
        <f>+Auto!S25+LI!S26</f>
        <v>0</v>
      </c>
      <c r="T24" s="118">
        <f>+Auto!T25+LI!T26</f>
        <v>0</v>
      </c>
      <c r="U24" s="118">
        <f>+Auto!U25+LI!U26</f>
        <v>0</v>
      </c>
      <c r="V24" s="118">
        <f>+Auto!V25+LI!V26</f>
        <v>0</v>
      </c>
      <c r="W24" s="118">
        <f>+Auto!W25+LI!W26</f>
        <v>0</v>
      </c>
      <c r="X24" s="118">
        <f>+Auto!X25+LI!X26</f>
        <v>0</v>
      </c>
      <c r="Y24" s="118">
        <f>+Auto!Y25+LI!Y26</f>
        <v>0</v>
      </c>
      <c r="Z24" s="118">
        <f>Auto!Z25+LI!Z26</f>
        <v>0</v>
      </c>
      <c r="AA24" s="118" t="s">
        <v>160</v>
      </c>
      <c r="AB24" s="118" t="s">
        <v>160</v>
      </c>
      <c r="AC24" s="118" t="s">
        <v>160</v>
      </c>
      <c r="AD24" s="118">
        <f>+LI!AD26+Auto!AD25</f>
        <v>0</v>
      </c>
      <c r="AE24" s="160">
        <v>0</v>
      </c>
      <c r="AF24" s="118">
        <v>0</v>
      </c>
      <c r="AG24" s="118">
        <v>0</v>
      </c>
      <c r="AH24" s="118">
        <v>0</v>
      </c>
      <c r="AI24" s="118">
        <v>0</v>
      </c>
      <c r="AJ24" s="118">
        <v>0</v>
      </c>
      <c r="AK24" s="118">
        <v>0</v>
      </c>
      <c r="AL24" s="118">
        <v>0</v>
      </c>
      <c r="AM24" s="118">
        <v>0</v>
      </c>
      <c r="AN24" s="118">
        <v>0</v>
      </c>
      <c r="AO24" s="118">
        <v>0</v>
      </c>
      <c r="AP24" s="118">
        <v>0</v>
      </c>
      <c r="AQ24" s="118">
        <v>0</v>
      </c>
      <c r="AR24" s="118">
        <v>0</v>
      </c>
      <c r="AS24" s="118">
        <v>0</v>
      </c>
      <c r="AT24" s="118">
        <f>+Auto!AT24</f>
        <v>-5458.7727579526618</v>
      </c>
      <c r="AU24" s="118">
        <f>+Auto!AU24</f>
        <v>0</v>
      </c>
      <c r="AV24" s="118">
        <v>0</v>
      </c>
      <c r="AW24" s="118">
        <f>+Auto!AW24</f>
        <v>0</v>
      </c>
      <c r="AX24" s="118">
        <f>+Auto!AX24</f>
        <v>0</v>
      </c>
      <c r="AY24" s="118" t="s">
        <v>160</v>
      </c>
      <c r="AZ24" s="118" t="s">
        <v>160</v>
      </c>
      <c r="BA24" s="118" t="s">
        <v>160</v>
      </c>
      <c r="BB24" s="118">
        <v>0</v>
      </c>
      <c r="BC24" s="118">
        <f>+Auto!BC24</f>
        <v>0</v>
      </c>
      <c r="BD24" s="118">
        <f>+Auto!BD24</f>
        <v>0</v>
      </c>
      <c r="BE24" s="118">
        <f>+Auto!BE24</f>
        <v>0</v>
      </c>
      <c r="BF24" s="118">
        <f>+Auto!BF24</f>
        <v>0</v>
      </c>
      <c r="BG24" s="118">
        <f>+Auto!BG24</f>
        <v>0</v>
      </c>
    </row>
    <row r="25" spans="1:59" s="220" customFormat="1" ht="14.1" hidden="1" customHeight="1" outlineLevel="1" x14ac:dyDescent="0.2">
      <c r="A25" s="632"/>
      <c r="B25" s="227" t="s">
        <v>50</v>
      </c>
      <c r="C25" s="218">
        <f>+Auto!C29+LI!C26</f>
        <v>0</v>
      </c>
      <c r="D25" s="218">
        <f>+Auto!D29+LI!D26</f>
        <v>0</v>
      </c>
      <c r="E25" s="218">
        <f>+Auto!E29+LI!E26</f>
        <v>-7032</v>
      </c>
      <c r="F25" s="218">
        <f>+Auto!F29+LI!F26</f>
        <v>-10000</v>
      </c>
      <c r="G25" s="218">
        <f>+Auto!G29+LI!G26</f>
        <v>0</v>
      </c>
      <c r="H25" s="218">
        <f>+Auto!H29+LI!H26</f>
        <v>0</v>
      </c>
      <c r="I25" s="218">
        <f>+Auto!I29+LI!I26</f>
        <v>-16445</v>
      </c>
      <c r="J25" s="218">
        <f>+Auto!J29+LI!J26</f>
        <v>0</v>
      </c>
      <c r="K25" s="218">
        <f>+Auto!K29+LI!K26</f>
        <v>0</v>
      </c>
      <c r="L25" s="218">
        <f>+Auto!L29+LI!L26</f>
        <v>0</v>
      </c>
      <c r="M25" s="218">
        <f>+Auto!M29+LI!M26</f>
        <v>0</v>
      </c>
      <c r="N25" s="218">
        <f>+Auto!N29+LI!N26</f>
        <v>0</v>
      </c>
      <c r="O25" s="218">
        <f>+Auto!O29+LI!O26</f>
        <v>0</v>
      </c>
      <c r="P25" s="218">
        <f>+Auto!P29+LI!P26</f>
        <v>0</v>
      </c>
      <c r="Q25" s="218">
        <f>+Auto!Q29+LI!Q26</f>
        <v>0</v>
      </c>
      <c r="R25" s="218">
        <f>+Auto!R29+LI!R26</f>
        <v>0</v>
      </c>
      <c r="S25" s="218">
        <f>+Auto!S29+LI!S26</f>
        <v>0</v>
      </c>
      <c r="T25" s="218">
        <f>+Auto!T29+LI!T26</f>
        <v>0</v>
      </c>
      <c r="U25" s="218">
        <f>+Auto!U29+LI!U26</f>
        <v>0</v>
      </c>
      <c r="V25" s="218">
        <f>+Auto!V29+LI!V26</f>
        <v>0</v>
      </c>
      <c r="W25" s="218">
        <f>+Auto!W29+LI!W26</f>
        <v>0</v>
      </c>
      <c r="X25" s="218">
        <f>+Auto!X29+LI!X26</f>
        <v>0</v>
      </c>
      <c r="Y25" s="218">
        <f>+Auto!Y29+LI!Y26</f>
        <v>0</v>
      </c>
      <c r="Z25" s="218">
        <f>+Auto!Z29+LI!Z26</f>
        <v>0</v>
      </c>
      <c r="AA25" s="218">
        <f>+Auto!AA29+LI!AA26</f>
        <v>0</v>
      </c>
      <c r="AB25" s="218">
        <f>+Auto!AB29+LI!AB26</f>
        <v>0</v>
      </c>
      <c r="AC25" s="218">
        <v>0</v>
      </c>
      <c r="AD25" s="218">
        <v>0</v>
      </c>
      <c r="AE25" s="219">
        <v>0</v>
      </c>
      <c r="AF25" s="218">
        <v>0</v>
      </c>
      <c r="AG25" s="218">
        <v>0</v>
      </c>
      <c r="AH25" s="218">
        <v>0</v>
      </c>
      <c r="AI25" s="218">
        <v>0</v>
      </c>
      <c r="AJ25" s="218">
        <v>0</v>
      </c>
      <c r="AK25" s="218">
        <v>0</v>
      </c>
      <c r="AL25" s="218">
        <v>0</v>
      </c>
      <c r="AM25" s="218">
        <v>0</v>
      </c>
      <c r="AN25" s="218">
        <v>0</v>
      </c>
      <c r="AO25" s="218">
        <v>0</v>
      </c>
      <c r="AP25" s="218">
        <v>0</v>
      </c>
      <c r="AQ25" s="218">
        <v>0</v>
      </c>
      <c r="AR25" s="218">
        <v>0</v>
      </c>
      <c r="AS25" s="218">
        <v>0</v>
      </c>
      <c r="AT25" s="218">
        <v>0</v>
      </c>
      <c r="AU25" s="218">
        <v>0</v>
      </c>
      <c r="AV25" s="218">
        <v>0</v>
      </c>
      <c r="AW25" s="218">
        <v>0</v>
      </c>
      <c r="AX25" s="218">
        <v>0</v>
      </c>
      <c r="AY25" s="218"/>
      <c r="AZ25" s="218"/>
      <c r="BA25" s="218"/>
      <c r="BB25" s="218">
        <v>0</v>
      </c>
      <c r="BC25" s="218"/>
      <c r="BD25" s="218">
        <v>0</v>
      </c>
      <c r="BE25" s="218">
        <v>0</v>
      </c>
      <c r="BF25" s="218">
        <v>0</v>
      </c>
      <c r="BG25" s="218">
        <v>0</v>
      </c>
    </row>
    <row r="26" spans="1:59" s="220" customFormat="1" ht="14.1" hidden="1" customHeight="1" outlineLevel="1" x14ac:dyDescent="0.2">
      <c r="A26" s="632"/>
      <c r="B26" s="227" t="s">
        <v>684</v>
      </c>
      <c r="C26" s="218">
        <f>+Auto!C27+LI!C28</f>
        <v>0</v>
      </c>
      <c r="D26" s="218">
        <f>+Auto!D27+LI!D28</f>
        <v>0</v>
      </c>
      <c r="E26" s="218">
        <f>+Auto!E27+LI!E28</f>
        <v>0</v>
      </c>
      <c r="F26" s="218">
        <f>+Auto!F27+LI!F28</f>
        <v>0</v>
      </c>
      <c r="G26" s="218">
        <f>+Auto!G27+LI!G28</f>
        <v>0</v>
      </c>
      <c r="H26" s="218">
        <f>+Auto!H27+LI!H28</f>
        <v>0</v>
      </c>
      <c r="I26" s="218">
        <f>+Auto!I27+LI!I28</f>
        <v>0</v>
      </c>
      <c r="J26" s="218">
        <f>+Auto!J27+LI!J28</f>
        <v>0</v>
      </c>
      <c r="K26" s="218">
        <f>+Auto!K27+LI!K28</f>
        <v>0</v>
      </c>
      <c r="L26" s="218">
        <f>+Auto!L27+LI!L28</f>
        <v>0</v>
      </c>
      <c r="M26" s="218">
        <f>+Auto!M27+LI!M28</f>
        <v>0</v>
      </c>
      <c r="N26" s="218">
        <f>+Auto!N27+LI!N28</f>
        <v>0</v>
      </c>
      <c r="O26" s="218">
        <f>+Auto!O27+LI!O28</f>
        <v>0</v>
      </c>
      <c r="P26" s="218">
        <f>+Auto!P27+LI!P28</f>
        <v>0</v>
      </c>
      <c r="Q26" s="218">
        <f>+Auto!Q27+LI!Q28</f>
        <v>0</v>
      </c>
      <c r="R26" s="218">
        <f>+Auto!R27+LI!R28</f>
        <v>0</v>
      </c>
      <c r="S26" s="218">
        <f>+Auto!S27+LI!S28</f>
        <v>0</v>
      </c>
      <c r="T26" s="218">
        <f>+Auto!T27+LI!T28</f>
        <v>0</v>
      </c>
      <c r="U26" s="218">
        <f>+Auto!U27+LI!U28</f>
        <v>0</v>
      </c>
      <c r="V26" s="218">
        <f>+Auto!V27+LI!V28</f>
        <v>0</v>
      </c>
      <c r="W26" s="218">
        <f>+Auto!W27+LI!W28</f>
        <v>0</v>
      </c>
      <c r="X26" s="218">
        <f>+Auto!X27+LI!X28</f>
        <v>0</v>
      </c>
      <c r="Y26" s="218">
        <f>+Auto!Y27+LI!Y28</f>
        <v>0</v>
      </c>
      <c r="Z26" s="218">
        <f>+Auto!Z27+LI!Z28</f>
        <v>6644.3316199999999</v>
      </c>
      <c r="AA26" s="218" t="s">
        <v>160</v>
      </c>
      <c r="AB26" s="218" t="s">
        <v>160</v>
      </c>
      <c r="AC26" s="218" t="s">
        <v>160</v>
      </c>
      <c r="AD26" s="218">
        <v>0</v>
      </c>
      <c r="AE26" s="219">
        <v>0</v>
      </c>
      <c r="AF26" s="218">
        <v>0</v>
      </c>
      <c r="AG26" s="218">
        <v>0</v>
      </c>
      <c r="AH26" s="218">
        <v>0</v>
      </c>
      <c r="AI26" s="218">
        <v>0</v>
      </c>
      <c r="AJ26" s="218">
        <v>0</v>
      </c>
      <c r="AK26" s="218">
        <v>0</v>
      </c>
      <c r="AL26" s="218">
        <v>0</v>
      </c>
      <c r="AM26" s="218">
        <v>0</v>
      </c>
      <c r="AN26" s="218">
        <v>0</v>
      </c>
      <c r="AO26" s="218">
        <v>0</v>
      </c>
      <c r="AP26" s="218">
        <v>0</v>
      </c>
      <c r="AQ26" s="218">
        <v>0</v>
      </c>
      <c r="AR26" s="218">
        <v>0</v>
      </c>
      <c r="AS26" s="218">
        <v>0</v>
      </c>
      <c r="AT26" s="218">
        <v>0</v>
      </c>
      <c r="AU26" s="218">
        <v>0</v>
      </c>
      <c r="AV26" s="218">
        <v>0</v>
      </c>
      <c r="AW26" s="218">
        <v>0</v>
      </c>
      <c r="AX26" s="218">
        <v>0</v>
      </c>
      <c r="AY26" s="218"/>
      <c r="AZ26" s="218"/>
      <c r="BA26" s="218"/>
      <c r="BB26" s="218">
        <v>0</v>
      </c>
      <c r="BC26" s="218"/>
      <c r="BD26" s="218">
        <v>0</v>
      </c>
      <c r="BE26" s="218">
        <v>0</v>
      </c>
      <c r="BF26" s="218">
        <v>0</v>
      </c>
      <c r="BG26" s="218">
        <v>0</v>
      </c>
    </row>
    <row r="27" spans="1:59" s="220" customFormat="1" ht="14.1" hidden="1" customHeight="1" outlineLevel="1" x14ac:dyDescent="0.2">
      <c r="A27" s="632"/>
      <c r="B27" s="227" t="s">
        <v>585</v>
      </c>
      <c r="C27" s="218">
        <f>+Auto!C26+LI!C27</f>
        <v>0</v>
      </c>
      <c r="D27" s="218">
        <f>+Auto!D26+LI!D27</f>
        <v>0</v>
      </c>
      <c r="E27" s="218">
        <f>+Auto!E26+LI!E27</f>
        <v>0</v>
      </c>
      <c r="F27" s="218">
        <f>+Auto!F26+LI!F27</f>
        <v>0</v>
      </c>
      <c r="G27" s="218">
        <f>+Auto!G26+LI!G27</f>
        <v>0</v>
      </c>
      <c r="H27" s="218">
        <f>+Auto!H26+LI!H27</f>
        <v>0</v>
      </c>
      <c r="I27" s="218">
        <f>+Auto!I26+LI!I27</f>
        <v>0</v>
      </c>
      <c r="J27" s="218">
        <f>+Auto!J26+LI!J27</f>
        <v>0</v>
      </c>
      <c r="K27" s="218">
        <f>+Auto!K26+LI!K27</f>
        <v>0</v>
      </c>
      <c r="L27" s="218">
        <f>+Auto!L26+LI!L27</f>
        <v>0</v>
      </c>
      <c r="M27" s="218">
        <f>+Auto!M26+LI!M27</f>
        <v>0</v>
      </c>
      <c r="N27" s="218">
        <f>+Auto!N26+LI!N27</f>
        <v>0</v>
      </c>
      <c r="O27" s="218">
        <f>+Auto!O26+LI!O27</f>
        <v>0</v>
      </c>
      <c r="P27" s="218">
        <f>+Auto!P26+LI!P27</f>
        <v>0</v>
      </c>
      <c r="Q27" s="218">
        <f>+Auto!Q26+LI!Q27</f>
        <v>0</v>
      </c>
      <c r="R27" s="218">
        <f>+Auto!R26+LI!R27</f>
        <v>0</v>
      </c>
      <c r="S27" s="218">
        <f>+Auto!S26+LI!S27</f>
        <v>0</v>
      </c>
      <c r="T27" s="218">
        <f>+Auto!T26+LI!T27</f>
        <v>0</v>
      </c>
      <c r="U27" s="218">
        <f>+Auto!U26+LI!U27</f>
        <v>0</v>
      </c>
      <c r="V27" s="218">
        <f>+Auto!V26+LI!V27</f>
        <v>0</v>
      </c>
      <c r="W27" s="218">
        <f>+Auto!W26+LI!W27</f>
        <v>0</v>
      </c>
      <c r="X27" s="218">
        <f>+Auto!X26+LI!X27</f>
        <v>1365</v>
      </c>
      <c r="Y27" s="218">
        <f>+Auto!Y26+LI!Y27</f>
        <v>0</v>
      </c>
      <c r="Z27" s="218">
        <f>+Auto!Z26+LI!Z27</f>
        <v>0</v>
      </c>
      <c r="AA27" s="218">
        <f>+Auto!AA26+LI!AA27</f>
        <v>0</v>
      </c>
      <c r="AB27" s="218">
        <f>+Auto!AB26+LI!AB27</f>
        <v>0</v>
      </c>
      <c r="AC27" s="218">
        <v>0</v>
      </c>
      <c r="AD27" s="218">
        <v>0</v>
      </c>
      <c r="AE27" s="219">
        <v>0</v>
      </c>
      <c r="AF27" s="218">
        <v>0</v>
      </c>
      <c r="AG27" s="218">
        <v>0</v>
      </c>
      <c r="AH27" s="218">
        <v>0</v>
      </c>
      <c r="AI27" s="218">
        <v>0</v>
      </c>
      <c r="AJ27" s="218">
        <v>0</v>
      </c>
      <c r="AK27" s="218">
        <v>0</v>
      </c>
      <c r="AL27" s="218">
        <v>0</v>
      </c>
      <c r="AM27" s="218">
        <v>0</v>
      </c>
      <c r="AN27" s="218">
        <v>0</v>
      </c>
      <c r="AO27" s="218">
        <v>0</v>
      </c>
      <c r="AP27" s="218">
        <v>0</v>
      </c>
      <c r="AQ27" s="218">
        <v>0</v>
      </c>
      <c r="AR27" s="218">
        <v>0</v>
      </c>
      <c r="AS27" s="218">
        <v>0</v>
      </c>
      <c r="AT27" s="218">
        <v>0</v>
      </c>
      <c r="AU27" s="218">
        <v>0</v>
      </c>
      <c r="AV27" s="218">
        <v>0</v>
      </c>
      <c r="AW27" s="218">
        <v>0</v>
      </c>
      <c r="AX27" s="218">
        <v>0</v>
      </c>
      <c r="AY27" s="218"/>
      <c r="AZ27" s="218"/>
      <c r="BA27" s="218"/>
      <c r="BB27" s="218">
        <v>0</v>
      </c>
      <c r="BC27" s="218"/>
      <c r="BD27" s="218">
        <v>0</v>
      </c>
      <c r="BE27" s="218">
        <v>0</v>
      </c>
      <c r="BF27" s="218">
        <v>0</v>
      </c>
      <c r="BG27" s="218">
        <v>0</v>
      </c>
    </row>
    <row r="28" spans="1:59" s="220" customFormat="1" ht="14.1" hidden="1" customHeight="1" outlineLevel="1" x14ac:dyDescent="0.2">
      <c r="A28" s="632"/>
      <c r="B28" s="227" t="s">
        <v>586</v>
      </c>
      <c r="C28" s="218">
        <f>+Auto!C25+LI!C29</f>
        <v>0</v>
      </c>
      <c r="D28" s="218">
        <f>+Auto!D25+LI!D29</f>
        <v>0</v>
      </c>
      <c r="E28" s="218">
        <f>+Auto!E25+LI!E29</f>
        <v>0</v>
      </c>
      <c r="F28" s="218">
        <f>+Auto!F25+LI!F29</f>
        <v>0</v>
      </c>
      <c r="G28" s="218">
        <f>+Auto!G25+LI!G29</f>
        <v>0</v>
      </c>
      <c r="H28" s="218">
        <f>+Auto!H25+LI!H29</f>
        <v>0</v>
      </c>
      <c r="I28" s="218">
        <f>+Auto!I25+LI!I29</f>
        <v>0</v>
      </c>
      <c r="J28" s="218">
        <f>+Auto!J25+LI!J29</f>
        <v>0</v>
      </c>
      <c r="K28" s="218">
        <f>+Auto!K25+LI!K29</f>
        <v>0</v>
      </c>
      <c r="L28" s="218">
        <f>+Auto!L25+LI!L29</f>
        <v>0</v>
      </c>
      <c r="M28" s="218">
        <f>+Auto!M25+LI!M29</f>
        <v>0</v>
      </c>
      <c r="N28" s="218">
        <f>+Auto!N25+LI!N29</f>
        <v>0</v>
      </c>
      <c r="O28" s="218">
        <f>+Auto!O25+LI!O29</f>
        <v>0</v>
      </c>
      <c r="P28" s="218">
        <f>+Auto!P25+LI!P29</f>
        <v>0</v>
      </c>
      <c r="Q28" s="218">
        <f>+Auto!Q25+LI!Q29</f>
        <v>0</v>
      </c>
      <c r="R28" s="218">
        <f>+Auto!R25+LI!R29</f>
        <v>0</v>
      </c>
      <c r="S28" s="218">
        <f>+Auto!S25+LI!S29</f>
        <v>0</v>
      </c>
      <c r="T28" s="218">
        <f>+Auto!T25+LI!T29</f>
        <v>0</v>
      </c>
      <c r="U28" s="218">
        <f>+Auto!U25+LI!U29</f>
        <v>0</v>
      </c>
      <c r="V28" s="218">
        <f>+Auto!V25+LI!V29</f>
        <v>0</v>
      </c>
      <c r="W28" s="218">
        <f>+Auto!W25+LI!W29</f>
        <v>0</v>
      </c>
      <c r="X28" s="218">
        <f>+Auto!X25+LI!X29</f>
        <v>1767</v>
      </c>
      <c r="Y28" s="218">
        <f>+Auto!Y25+LI!Y29</f>
        <v>0</v>
      </c>
      <c r="Z28" s="218">
        <f>+Auto!Z25+LI!Z29</f>
        <v>0</v>
      </c>
      <c r="AA28" s="218" t="s">
        <v>160</v>
      </c>
      <c r="AB28" s="218" t="s">
        <v>160</v>
      </c>
      <c r="AC28" s="218" t="s">
        <v>160</v>
      </c>
      <c r="AD28" s="218">
        <v>0</v>
      </c>
      <c r="AE28" s="219">
        <v>0</v>
      </c>
      <c r="AF28" s="218">
        <v>0</v>
      </c>
      <c r="AG28" s="218">
        <v>0</v>
      </c>
      <c r="AH28" s="218">
        <v>0</v>
      </c>
      <c r="AI28" s="218">
        <v>0</v>
      </c>
      <c r="AJ28" s="218">
        <v>0</v>
      </c>
      <c r="AK28" s="218">
        <v>0</v>
      </c>
      <c r="AL28" s="218">
        <v>0</v>
      </c>
      <c r="AM28" s="218">
        <v>0</v>
      </c>
      <c r="AN28" s="218">
        <v>0</v>
      </c>
      <c r="AO28" s="218">
        <v>0</v>
      </c>
      <c r="AP28" s="218">
        <v>0</v>
      </c>
      <c r="AQ28" s="218">
        <v>0</v>
      </c>
      <c r="AR28" s="218">
        <v>0</v>
      </c>
      <c r="AS28" s="218">
        <v>0</v>
      </c>
      <c r="AT28" s="218">
        <v>0</v>
      </c>
      <c r="AU28" s="218">
        <v>0</v>
      </c>
      <c r="AV28" s="218">
        <v>0</v>
      </c>
      <c r="AW28" s="218">
        <v>0</v>
      </c>
      <c r="AX28" s="218">
        <v>0</v>
      </c>
      <c r="AY28" s="218"/>
      <c r="AZ28" s="218"/>
      <c r="BA28" s="218"/>
      <c r="BB28" s="218">
        <v>0</v>
      </c>
      <c r="BC28" s="218"/>
      <c r="BD28" s="218">
        <v>0</v>
      </c>
      <c r="BE28" s="218">
        <v>0</v>
      </c>
      <c r="BF28" s="218">
        <v>0</v>
      </c>
      <c r="BG28" s="218">
        <v>0</v>
      </c>
    </row>
    <row r="29" spans="1:59" s="220" customFormat="1" ht="14.1" hidden="1" customHeight="1" outlineLevel="1" x14ac:dyDescent="0.2">
      <c r="A29" s="632"/>
      <c r="B29" s="227" t="s">
        <v>587</v>
      </c>
      <c r="C29" s="218">
        <f>+Auto!C28+LI!C30</f>
        <v>0</v>
      </c>
      <c r="D29" s="218">
        <f>+Auto!D28+LI!D30</f>
        <v>0</v>
      </c>
      <c r="E29" s="218">
        <f>+Auto!E28+LI!E30</f>
        <v>0</v>
      </c>
      <c r="F29" s="218">
        <f>+Auto!F28+LI!F30</f>
        <v>0</v>
      </c>
      <c r="G29" s="218">
        <f>+Auto!G28+LI!G30</f>
        <v>0</v>
      </c>
      <c r="H29" s="218">
        <f>+Auto!H28+LI!H30</f>
        <v>0</v>
      </c>
      <c r="I29" s="218">
        <f>+Auto!I28+LI!I30</f>
        <v>0</v>
      </c>
      <c r="J29" s="218">
        <f>+Auto!J28+LI!J30</f>
        <v>0</v>
      </c>
      <c r="K29" s="218">
        <f>+Auto!K28+LI!K30</f>
        <v>0</v>
      </c>
      <c r="L29" s="218">
        <f>+Auto!L28+LI!L30</f>
        <v>0</v>
      </c>
      <c r="M29" s="218">
        <f>+Auto!M28+LI!M30</f>
        <v>0</v>
      </c>
      <c r="N29" s="218">
        <f>+Auto!N28+LI!N30</f>
        <v>0</v>
      </c>
      <c r="O29" s="218">
        <f>+Auto!O28+LI!O30</f>
        <v>0</v>
      </c>
      <c r="P29" s="218">
        <f>+Auto!P28+LI!P30</f>
        <v>0</v>
      </c>
      <c r="Q29" s="218">
        <f>+Auto!Q28+LI!Q30</f>
        <v>0</v>
      </c>
      <c r="R29" s="218">
        <f>+Auto!R28+LI!R30</f>
        <v>0</v>
      </c>
      <c r="S29" s="218">
        <f>+Auto!S28+LI!S30</f>
        <v>0</v>
      </c>
      <c r="T29" s="218">
        <f>+Auto!T28+LI!T30</f>
        <v>0</v>
      </c>
      <c r="U29" s="218">
        <f>+Auto!U28+LI!U30</f>
        <v>0</v>
      </c>
      <c r="V29" s="218">
        <f>+Auto!V28+LI!V30</f>
        <v>0</v>
      </c>
      <c r="W29" s="218">
        <f>+Auto!W28+LI!W30</f>
        <v>0</v>
      </c>
      <c r="X29" s="218">
        <f>+Auto!X28+LI!X30</f>
        <v>-9847.0333800000008</v>
      </c>
      <c r="Y29" s="218">
        <f>+Auto!Y28+LI!Y30</f>
        <v>0</v>
      </c>
      <c r="Z29" s="218">
        <f>+Auto!Z28+LI!Z30</f>
        <v>0</v>
      </c>
      <c r="AA29" s="218">
        <f>+Auto!AA28+LI!AA30</f>
        <v>0</v>
      </c>
      <c r="AB29" s="218">
        <f>+Auto!AB28+LI!AB30</f>
        <v>0</v>
      </c>
      <c r="AC29" s="218">
        <v>0</v>
      </c>
      <c r="AD29" s="218">
        <v>0</v>
      </c>
      <c r="AE29" s="219">
        <v>0</v>
      </c>
      <c r="AF29" s="218">
        <v>0</v>
      </c>
      <c r="AG29" s="218">
        <v>0</v>
      </c>
      <c r="AH29" s="218">
        <v>0</v>
      </c>
      <c r="AI29" s="218">
        <v>0</v>
      </c>
      <c r="AJ29" s="218">
        <v>0</v>
      </c>
      <c r="AK29" s="218">
        <v>0</v>
      </c>
      <c r="AL29" s="218">
        <v>0</v>
      </c>
      <c r="AM29" s="218">
        <v>0</v>
      </c>
      <c r="AN29" s="218">
        <v>0</v>
      </c>
      <c r="AO29" s="218">
        <v>0</v>
      </c>
      <c r="AP29" s="218">
        <v>0</v>
      </c>
      <c r="AQ29" s="218">
        <v>0</v>
      </c>
      <c r="AR29" s="218">
        <v>0</v>
      </c>
      <c r="AS29" s="218">
        <v>0</v>
      </c>
      <c r="AT29" s="218">
        <v>0</v>
      </c>
      <c r="AU29" s="218">
        <v>0</v>
      </c>
      <c r="AV29" s="218">
        <v>0</v>
      </c>
      <c r="AW29" s="218">
        <v>0</v>
      </c>
      <c r="AX29" s="218">
        <v>0</v>
      </c>
      <c r="AY29" s="218"/>
      <c r="AZ29" s="218"/>
      <c r="BA29" s="218"/>
      <c r="BB29" s="218">
        <v>0</v>
      </c>
      <c r="BC29" s="218"/>
      <c r="BD29" s="218">
        <v>0</v>
      </c>
      <c r="BE29" s="218">
        <v>0</v>
      </c>
      <c r="BF29" s="218">
        <v>0</v>
      </c>
      <c r="BG29" s="218">
        <v>0</v>
      </c>
    </row>
    <row r="30" spans="1:59" s="220" customFormat="1" ht="14.1" hidden="1" customHeight="1" outlineLevel="1" x14ac:dyDescent="0.2">
      <c r="A30" s="632"/>
      <c r="B30" s="227" t="s">
        <v>51</v>
      </c>
      <c r="C30" s="218">
        <f>+Auto!C30+LI!C31</f>
        <v>1913</v>
      </c>
      <c r="D30" s="218">
        <f>+Auto!D30+LI!D31</f>
        <v>1324</v>
      </c>
      <c r="E30" s="218">
        <f>+Auto!E30+LI!E31</f>
        <v>871</v>
      </c>
      <c r="F30" s="218">
        <f>+Auto!F30+LI!F31</f>
        <v>114</v>
      </c>
      <c r="G30" s="218">
        <f>+Auto!G30+LI!G31</f>
        <v>2023</v>
      </c>
      <c r="H30" s="218">
        <f>+Auto!H30+LI!H31</f>
        <v>5187</v>
      </c>
      <c r="I30" s="218">
        <f>+Auto!I30+LI!I31</f>
        <v>426</v>
      </c>
      <c r="J30" s="218">
        <f>+Auto!J30+LI!J31</f>
        <v>1192</v>
      </c>
      <c r="K30" s="218">
        <f>+Auto!K30+LI!K31</f>
        <v>0</v>
      </c>
      <c r="L30" s="218">
        <f>+Auto!L30+LI!L31</f>
        <v>0</v>
      </c>
      <c r="M30" s="218">
        <f>+Auto!M30+LI!M31</f>
        <v>0</v>
      </c>
      <c r="N30" s="218">
        <f>+Auto!N30+LI!N31</f>
        <v>-1316</v>
      </c>
      <c r="O30" s="218">
        <f>+Auto!O30+LI!O31</f>
        <v>0</v>
      </c>
      <c r="P30" s="218">
        <f>+Auto!P30+LI!P31</f>
        <v>0</v>
      </c>
      <c r="Q30" s="218">
        <f>+Auto!Q30+LI!Q31</f>
        <v>0</v>
      </c>
      <c r="R30" s="218">
        <f>+Auto!R30+LI!R31</f>
        <v>0</v>
      </c>
      <c r="S30" s="218">
        <f>+Auto!S30+LI!S31</f>
        <v>0</v>
      </c>
      <c r="T30" s="218">
        <f>+Auto!T30+LI!T31</f>
        <v>0</v>
      </c>
      <c r="U30" s="218">
        <f>+Auto!U30+LI!U31</f>
        <v>0</v>
      </c>
      <c r="V30" s="218">
        <f>+Auto!V30+LI!V31</f>
        <v>0</v>
      </c>
      <c r="W30" s="218">
        <f>+Auto!W30+LI!W31</f>
        <v>0</v>
      </c>
      <c r="X30" s="218">
        <f>+Auto!X30+LI!X31</f>
        <v>0</v>
      </c>
      <c r="Y30" s="218">
        <f>+Auto!Y30+LI!Y31</f>
        <v>0</v>
      </c>
      <c r="Z30" s="218">
        <f>+Auto!Z30+LI!Z31</f>
        <v>0</v>
      </c>
      <c r="AA30" s="218">
        <f>+Auto!AA30+LI!AA31</f>
        <v>0</v>
      </c>
      <c r="AB30" s="218">
        <f>+Auto!AB30+LI!AB31</f>
        <v>0</v>
      </c>
      <c r="AC30" s="218">
        <v>0</v>
      </c>
      <c r="AD30" s="218">
        <v>0</v>
      </c>
      <c r="AE30" s="219">
        <v>0</v>
      </c>
      <c r="AF30" s="218">
        <v>0</v>
      </c>
      <c r="AG30" s="218">
        <v>0</v>
      </c>
      <c r="AH30" s="218">
        <v>0</v>
      </c>
      <c r="AI30" s="218">
        <v>0</v>
      </c>
      <c r="AJ30" s="218">
        <v>0</v>
      </c>
      <c r="AK30" s="218">
        <v>0</v>
      </c>
      <c r="AL30" s="218">
        <v>0</v>
      </c>
      <c r="AM30" s="218">
        <v>0</v>
      </c>
      <c r="AN30" s="218">
        <v>0</v>
      </c>
      <c r="AO30" s="218">
        <v>0</v>
      </c>
      <c r="AP30" s="218">
        <v>0</v>
      </c>
      <c r="AQ30" s="218">
        <v>0</v>
      </c>
      <c r="AR30" s="218">
        <v>0</v>
      </c>
      <c r="AS30" s="218">
        <v>0</v>
      </c>
      <c r="AT30" s="218">
        <v>0</v>
      </c>
      <c r="AU30" s="218">
        <v>0</v>
      </c>
      <c r="AV30" s="218">
        <v>0</v>
      </c>
      <c r="AW30" s="218">
        <v>0</v>
      </c>
      <c r="AX30" s="218">
        <v>0</v>
      </c>
      <c r="AY30" s="218"/>
      <c r="AZ30" s="218"/>
      <c r="BA30" s="218"/>
      <c r="BB30" s="218">
        <v>0</v>
      </c>
      <c r="BC30" s="218"/>
      <c r="BD30" s="218">
        <v>0</v>
      </c>
      <c r="BE30" s="218">
        <v>0</v>
      </c>
      <c r="BF30" s="218">
        <v>0</v>
      </c>
      <c r="BG30" s="218">
        <v>0</v>
      </c>
    </row>
    <row r="31" spans="1:59" s="220" customFormat="1" ht="14.1" hidden="1" customHeight="1" outlineLevel="1" x14ac:dyDescent="0.2">
      <c r="A31" s="632"/>
      <c r="B31" s="227" t="s">
        <v>458</v>
      </c>
      <c r="C31" s="218">
        <f>+Auto!C32+LI!C32</f>
        <v>0</v>
      </c>
      <c r="D31" s="218">
        <f>+Auto!D32+LI!D32</f>
        <v>0</v>
      </c>
      <c r="E31" s="218">
        <f>+Auto!E32+LI!E32</f>
        <v>0</v>
      </c>
      <c r="F31" s="218">
        <f>+Auto!F32+LI!F32</f>
        <v>0</v>
      </c>
      <c r="G31" s="218">
        <f>+Auto!G32+LI!G32</f>
        <v>0</v>
      </c>
      <c r="H31" s="218">
        <f>+Auto!H32+LI!H32</f>
        <v>0</v>
      </c>
      <c r="I31" s="218">
        <f>+Auto!I32+LI!I32</f>
        <v>0</v>
      </c>
      <c r="J31" s="218">
        <f>+Auto!J32+LI!J32</f>
        <v>0</v>
      </c>
      <c r="K31" s="218">
        <f>+Auto!K32+LI!K32</f>
        <v>2139</v>
      </c>
      <c r="L31" s="218">
        <f>+Auto!L32+LI!L32</f>
        <v>0</v>
      </c>
      <c r="M31" s="218">
        <f>+Auto!M32+LI!M32</f>
        <v>0</v>
      </c>
      <c r="N31" s="218">
        <f>+Auto!N32+LI!N32</f>
        <v>0</v>
      </c>
      <c r="O31" s="218">
        <f>+Auto!O32+LI!O32</f>
        <v>0</v>
      </c>
      <c r="P31" s="218">
        <f>+Auto!P32+LI!P32</f>
        <v>0</v>
      </c>
      <c r="Q31" s="218">
        <f>+Auto!Q32+LI!Q32</f>
        <v>0</v>
      </c>
      <c r="R31" s="218">
        <f>+Auto!R32+LI!R32</f>
        <v>0</v>
      </c>
      <c r="S31" s="218">
        <f>+Auto!S32+LI!S32</f>
        <v>0</v>
      </c>
      <c r="T31" s="218">
        <f>+Auto!T32+LI!T32</f>
        <v>0</v>
      </c>
      <c r="U31" s="218">
        <f>+Auto!U32+LI!U32</f>
        <v>0</v>
      </c>
      <c r="V31" s="218">
        <f>+Auto!V32+LI!V32</f>
        <v>0</v>
      </c>
      <c r="W31" s="218">
        <f>+Auto!W32+LI!W32</f>
        <v>0</v>
      </c>
      <c r="X31" s="218">
        <f>+Auto!X32+LI!X32</f>
        <v>0</v>
      </c>
      <c r="Y31" s="218">
        <f>+Auto!Y32+LI!Y32</f>
        <v>0</v>
      </c>
      <c r="Z31" s="218">
        <f>+Auto!Z32+LI!Z32</f>
        <v>0</v>
      </c>
      <c r="AA31" s="218">
        <f>+Auto!AA32+LI!AA32</f>
        <v>0</v>
      </c>
      <c r="AB31" s="218">
        <f>+Auto!AB32+LI!AB32</f>
        <v>0</v>
      </c>
      <c r="AC31" s="218">
        <v>0</v>
      </c>
      <c r="AD31" s="218">
        <v>0</v>
      </c>
      <c r="AE31" s="219">
        <v>0</v>
      </c>
      <c r="AF31" s="218">
        <v>0</v>
      </c>
      <c r="AG31" s="218">
        <v>0</v>
      </c>
      <c r="AH31" s="218">
        <v>0</v>
      </c>
      <c r="AI31" s="218">
        <v>0</v>
      </c>
      <c r="AJ31" s="218">
        <v>0</v>
      </c>
      <c r="AK31" s="218">
        <v>0</v>
      </c>
      <c r="AL31" s="218">
        <v>0</v>
      </c>
      <c r="AM31" s="218">
        <v>0</v>
      </c>
      <c r="AN31" s="218">
        <v>0</v>
      </c>
      <c r="AO31" s="218">
        <v>0</v>
      </c>
      <c r="AP31" s="218">
        <v>0</v>
      </c>
      <c r="AQ31" s="218">
        <v>0</v>
      </c>
      <c r="AR31" s="218">
        <v>0</v>
      </c>
      <c r="AS31" s="218">
        <v>0</v>
      </c>
      <c r="AT31" s="218">
        <v>0</v>
      </c>
      <c r="AU31" s="218">
        <v>0</v>
      </c>
      <c r="AV31" s="218">
        <v>0</v>
      </c>
      <c r="AW31" s="218">
        <v>0</v>
      </c>
      <c r="AX31" s="218">
        <v>0</v>
      </c>
      <c r="AY31" s="218"/>
      <c r="AZ31" s="218"/>
      <c r="BA31" s="218"/>
      <c r="BB31" s="218">
        <v>0</v>
      </c>
      <c r="BC31" s="218"/>
      <c r="BD31" s="218">
        <v>0</v>
      </c>
      <c r="BE31" s="218">
        <v>0</v>
      </c>
      <c r="BF31" s="218">
        <v>0</v>
      </c>
      <c r="BG31" s="218">
        <v>0</v>
      </c>
    </row>
    <row r="32" spans="1:59" s="220" customFormat="1" ht="14.1" hidden="1" customHeight="1" outlineLevel="1" x14ac:dyDescent="0.2">
      <c r="A32" s="632"/>
      <c r="B32" s="227" t="s">
        <v>49</v>
      </c>
      <c r="C32" s="218">
        <f>+Auto!C33+LI!C33</f>
        <v>2990</v>
      </c>
      <c r="D32" s="218">
        <f>+Auto!D33+LI!D33</f>
        <v>1233</v>
      </c>
      <c r="E32" s="218">
        <f>+Auto!E33+LI!E33</f>
        <v>1164</v>
      </c>
      <c r="F32" s="218">
        <f>+Auto!F33+LI!F33</f>
        <v>1432</v>
      </c>
      <c r="G32" s="218">
        <f>+Auto!G33+LI!G33</f>
        <v>0</v>
      </c>
      <c r="H32" s="218">
        <f>+Auto!H33+LI!H33</f>
        <v>0</v>
      </c>
      <c r="I32" s="218">
        <f>+Auto!I33+LI!I33</f>
        <v>0</v>
      </c>
      <c r="J32" s="218">
        <f>+Auto!J33+LI!J33</f>
        <v>0</v>
      </c>
      <c r="K32" s="218">
        <f>+Auto!K33+LI!K33</f>
        <v>0</v>
      </c>
      <c r="L32" s="218">
        <f>+Auto!L33+LI!L33</f>
        <v>0</v>
      </c>
      <c r="M32" s="218">
        <f>+Auto!M33+LI!M33</f>
        <v>0</v>
      </c>
      <c r="N32" s="218">
        <f>+Auto!N33+LI!N33</f>
        <v>0</v>
      </c>
      <c r="O32" s="218">
        <f>+Auto!O33+LI!O33</f>
        <v>0</v>
      </c>
      <c r="P32" s="218">
        <f>+Auto!P33+LI!P33</f>
        <v>3704.1926200000003</v>
      </c>
      <c r="Q32" s="218">
        <f>+Auto!Q33+LI!Q33</f>
        <v>0</v>
      </c>
      <c r="R32" s="218">
        <f>+Auto!R33+LI!R33</f>
        <v>0</v>
      </c>
      <c r="S32" s="218">
        <f>+Auto!S33+LI!S33</f>
        <v>0</v>
      </c>
      <c r="T32" s="218">
        <f>+Auto!T33+LI!T33</f>
        <v>0</v>
      </c>
      <c r="U32" s="218">
        <f>+Auto!U33+LI!U33</f>
        <v>0</v>
      </c>
      <c r="V32" s="218">
        <f>+Auto!V33+LI!V33</f>
        <v>0</v>
      </c>
      <c r="W32" s="218">
        <f>+Auto!W33+LI!W33</f>
        <v>0</v>
      </c>
      <c r="X32" s="218">
        <f>+Auto!X33+LI!X33</f>
        <v>0</v>
      </c>
      <c r="Y32" s="218">
        <f>+Auto!Y33+LI!Y33</f>
        <v>0</v>
      </c>
      <c r="Z32" s="218">
        <f>+Auto!Z33+LI!Z33</f>
        <v>0</v>
      </c>
      <c r="AA32" s="218">
        <f>+Auto!AA33+LI!AA33</f>
        <v>0</v>
      </c>
      <c r="AB32" s="218">
        <f>+Auto!AB33+LI!AB33</f>
        <v>0</v>
      </c>
      <c r="AC32" s="218">
        <v>0</v>
      </c>
      <c r="AD32" s="218">
        <v>0</v>
      </c>
      <c r="AE32" s="219">
        <v>0</v>
      </c>
      <c r="AF32" s="218">
        <v>0</v>
      </c>
      <c r="AG32" s="218">
        <v>0</v>
      </c>
      <c r="AH32" s="218">
        <v>0</v>
      </c>
      <c r="AI32" s="218">
        <v>0</v>
      </c>
      <c r="AJ32" s="218">
        <v>0</v>
      </c>
      <c r="AK32" s="218">
        <v>0</v>
      </c>
      <c r="AL32" s="218">
        <v>0</v>
      </c>
      <c r="AM32" s="218">
        <v>0</v>
      </c>
      <c r="AN32" s="218">
        <v>0</v>
      </c>
      <c r="AO32" s="218">
        <v>0</v>
      </c>
      <c r="AP32" s="218">
        <v>0</v>
      </c>
      <c r="AQ32" s="218">
        <v>0</v>
      </c>
      <c r="AR32" s="218">
        <v>0</v>
      </c>
      <c r="AS32" s="218">
        <v>0</v>
      </c>
      <c r="AT32" s="218">
        <v>0</v>
      </c>
      <c r="AU32" s="218">
        <v>0</v>
      </c>
      <c r="AV32" s="218">
        <v>0</v>
      </c>
      <c r="AW32" s="218">
        <v>0</v>
      </c>
      <c r="AX32" s="218">
        <v>0</v>
      </c>
      <c r="AY32" s="218"/>
      <c r="AZ32" s="218"/>
      <c r="BA32" s="218"/>
      <c r="BB32" s="218">
        <v>0</v>
      </c>
      <c r="BC32" s="218"/>
      <c r="BD32" s="218">
        <v>0</v>
      </c>
      <c r="BE32" s="218">
        <v>0</v>
      </c>
      <c r="BF32" s="218">
        <v>0</v>
      </c>
      <c r="BG32" s="218">
        <v>0</v>
      </c>
    </row>
    <row r="33" spans="1:59" s="220" customFormat="1" ht="14.1" hidden="1" customHeight="1" outlineLevel="1" x14ac:dyDescent="0.2">
      <c r="A33" s="632"/>
      <c r="B33" s="227" t="s">
        <v>457</v>
      </c>
      <c r="C33" s="218">
        <f>+Auto!C34+LI!C34</f>
        <v>0</v>
      </c>
      <c r="D33" s="218">
        <f>+Auto!D34+LI!D34</f>
        <v>0</v>
      </c>
      <c r="E33" s="218">
        <f>+Auto!E34+LI!E34</f>
        <v>0</v>
      </c>
      <c r="F33" s="218">
        <f>+Auto!F34+LI!F34</f>
        <v>0</v>
      </c>
      <c r="G33" s="218">
        <f>+Auto!G34+LI!G34</f>
        <v>0</v>
      </c>
      <c r="H33" s="218">
        <f>+Auto!H34+LI!H34</f>
        <v>0</v>
      </c>
      <c r="I33" s="218">
        <f>+Auto!I34+LI!I34</f>
        <v>17500</v>
      </c>
      <c r="J33" s="218">
        <f>+Auto!J34+LI!J34</f>
        <v>3952</v>
      </c>
      <c r="K33" s="218">
        <f>+Auto!K34+LI!K34</f>
        <v>0</v>
      </c>
      <c r="L33" s="218">
        <f>+Auto!L34+LI!L34</f>
        <v>0</v>
      </c>
      <c r="M33" s="218">
        <f>+Auto!M34+LI!M34</f>
        <v>0</v>
      </c>
      <c r="N33" s="218">
        <f>+Auto!N34+LI!N34</f>
        <v>2194</v>
      </c>
      <c r="O33" s="218">
        <f>+Auto!O34+LI!O34</f>
        <v>0</v>
      </c>
      <c r="P33" s="218">
        <f>+Auto!P34+LI!P34</f>
        <v>0</v>
      </c>
      <c r="Q33" s="218">
        <f>+Auto!Q34+LI!Q34</f>
        <v>0</v>
      </c>
      <c r="R33" s="218">
        <f>+Auto!R34+LI!R34</f>
        <v>18361</v>
      </c>
      <c r="S33" s="218">
        <f>+Auto!S34+LI!S34</f>
        <v>0</v>
      </c>
      <c r="T33" s="218">
        <f>+Auto!T34+LI!T34</f>
        <v>0</v>
      </c>
      <c r="U33" s="218">
        <f>+Auto!U34+LI!U34</f>
        <v>0</v>
      </c>
      <c r="V33" s="218">
        <f>+Auto!V34+LI!V34</f>
        <v>0</v>
      </c>
      <c r="W33" s="218">
        <f>+Auto!W34+LI!W34</f>
        <v>0</v>
      </c>
      <c r="X33" s="218">
        <f>+Auto!X34+LI!X34</f>
        <v>0</v>
      </c>
      <c r="Y33" s="218">
        <f>+Auto!Y34+LI!Y34</f>
        <v>0</v>
      </c>
      <c r="Z33" s="218">
        <f>+Auto!Z34+LI!Z34</f>
        <v>0</v>
      </c>
      <c r="AA33" s="218">
        <f>+Auto!AA34+LI!AA34</f>
        <v>0</v>
      </c>
      <c r="AB33" s="218">
        <f>+Auto!AB34+LI!AB34</f>
        <v>0</v>
      </c>
      <c r="AC33" s="218">
        <v>0</v>
      </c>
      <c r="AD33" s="218">
        <v>0</v>
      </c>
      <c r="AE33" s="219">
        <v>0</v>
      </c>
      <c r="AF33" s="218">
        <v>0</v>
      </c>
      <c r="AG33" s="218">
        <v>0</v>
      </c>
      <c r="AH33" s="218">
        <v>0</v>
      </c>
      <c r="AI33" s="218">
        <v>0</v>
      </c>
      <c r="AJ33" s="218">
        <v>0</v>
      </c>
      <c r="AK33" s="218">
        <v>0</v>
      </c>
      <c r="AL33" s="218">
        <v>0</v>
      </c>
      <c r="AM33" s="218">
        <v>0</v>
      </c>
      <c r="AN33" s="218">
        <v>0</v>
      </c>
      <c r="AO33" s="218">
        <v>0</v>
      </c>
      <c r="AP33" s="218">
        <v>0</v>
      </c>
      <c r="AQ33" s="218">
        <v>0</v>
      </c>
      <c r="AR33" s="218">
        <v>0</v>
      </c>
      <c r="AS33" s="218">
        <v>0</v>
      </c>
      <c r="AT33" s="218">
        <v>0</v>
      </c>
      <c r="AU33" s="218">
        <v>0</v>
      </c>
      <c r="AV33" s="218">
        <v>0</v>
      </c>
      <c r="AW33" s="218">
        <v>0</v>
      </c>
      <c r="AX33" s="218">
        <v>0</v>
      </c>
      <c r="AY33" s="218"/>
      <c r="AZ33" s="218"/>
      <c r="BA33" s="218"/>
      <c r="BB33" s="218">
        <v>0</v>
      </c>
      <c r="BC33" s="218"/>
      <c r="BD33" s="218">
        <v>0</v>
      </c>
      <c r="BE33" s="218">
        <v>0</v>
      </c>
      <c r="BF33" s="218">
        <v>0</v>
      </c>
      <c r="BG33" s="218">
        <v>0</v>
      </c>
    </row>
    <row r="34" spans="1:59" ht="14.1" customHeight="1" collapsed="1" x14ac:dyDescent="0.2">
      <c r="A34" s="632"/>
      <c r="B34" s="119" t="s">
        <v>67</v>
      </c>
      <c r="C34" s="120">
        <f t="shared" ref="C34:AT34" si="11">SUM(C14:C33)</f>
        <v>41499</v>
      </c>
      <c r="D34" s="120">
        <f t="shared" si="11"/>
        <v>45812</v>
      </c>
      <c r="E34" s="120">
        <f t="shared" si="11"/>
        <v>51289</v>
      </c>
      <c r="F34" s="120">
        <f t="shared" si="11"/>
        <v>39539</v>
      </c>
      <c r="G34" s="120">
        <f t="shared" si="11"/>
        <v>20059</v>
      </c>
      <c r="H34" s="120">
        <f t="shared" si="11"/>
        <v>41774</v>
      </c>
      <c r="I34" s="120">
        <f t="shared" si="11"/>
        <v>49269</v>
      </c>
      <c r="J34" s="120">
        <f t="shared" si="11"/>
        <v>42533</v>
      </c>
      <c r="K34" s="120">
        <f t="shared" si="11"/>
        <v>30638</v>
      </c>
      <c r="L34" s="120">
        <f t="shared" si="11"/>
        <v>38167</v>
      </c>
      <c r="M34" s="120">
        <f t="shared" si="11"/>
        <v>42607</v>
      </c>
      <c r="N34" s="120">
        <f t="shared" si="11"/>
        <v>57145</v>
      </c>
      <c r="O34" s="120">
        <f t="shared" si="11"/>
        <v>24446</v>
      </c>
      <c r="P34" s="120">
        <f t="shared" si="11"/>
        <v>17455.192620000002</v>
      </c>
      <c r="Q34" s="120">
        <f t="shared" si="11"/>
        <v>22553</v>
      </c>
      <c r="R34" s="120">
        <f t="shared" si="11"/>
        <v>34489.411869999967</v>
      </c>
      <c r="S34" s="120">
        <f t="shared" si="11"/>
        <v>14709.855179999975</v>
      </c>
      <c r="T34" s="120">
        <f t="shared" si="11"/>
        <v>16934.222050000033</v>
      </c>
      <c r="U34" s="120">
        <f t="shared" si="11"/>
        <v>24849.930369999984</v>
      </c>
      <c r="V34" s="120">
        <f t="shared" si="11"/>
        <v>32473.132750000004</v>
      </c>
      <c r="W34" s="120">
        <f t="shared" si="11"/>
        <v>20933.372720000028</v>
      </c>
      <c r="X34" s="120">
        <f t="shared" si="11"/>
        <v>28218.011820000036</v>
      </c>
      <c r="Y34" s="120">
        <f t="shared" si="11"/>
        <v>40973.642919999984</v>
      </c>
      <c r="Z34" s="120">
        <f t="shared" si="11"/>
        <v>44654.443230000055</v>
      </c>
      <c r="AA34" s="120">
        <f t="shared" si="11"/>
        <v>29453.314000000006</v>
      </c>
      <c r="AB34" s="120">
        <f t="shared" si="11"/>
        <v>45148.406709999959</v>
      </c>
      <c r="AC34" s="120">
        <f t="shared" si="11"/>
        <v>57791.788239999936</v>
      </c>
      <c r="AD34" s="120">
        <f t="shared" si="11"/>
        <v>68074.372747457528</v>
      </c>
      <c r="AE34" s="162">
        <f t="shared" si="11"/>
        <v>56025.508350000062</v>
      </c>
      <c r="AF34" s="120">
        <f t="shared" si="11"/>
        <v>59443.350340000041</v>
      </c>
      <c r="AG34" s="120">
        <f t="shared" si="11"/>
        <v>64517.839780000097</v>
      </c>
      <c r="AH34" s="120">
        <f t="shared" si="11"/>
        <v>70096.431380000024</v>
      </c>
      <c r="AI34" s="120">
        <f t="shared" si="11"/>
        <v>44220.344580000012</v>
      </c>
      <c r="AJ34" s="120">
        <f t="shared" si="11"/>
        <v>4653.4489899999753</v>
      </c>
      <c r="AK34" s="120">
        <f t="shared" si="11"/>
        <v>55309.446340000024</v>
      </c>
      <c r="AL34" s="120">
        <f t="shared" si="11"/>
        <v>58335.638450000028</v>
      </c>
      <c r="AM34" s="120">
        <f t="shared" si="11"/>
        <v>43191.728160000006</v>
      </c>
      <c r="AN34" s="120">
        <f t="shared" si="11"/>
        <v>35322.597589999968</v>
      </c>
      <c r="AO34" s="120">
        <f t="shared" si="11"/>
        <v>37480.480370000005</v>
      </c>
      <c r="AP34" s="120">
        <f t="shared" si="11"/>
        <v>45872.656999999905</v>
      </c>
      <c r="AQ34" s="120">
        <f t="shared" si="11"/>
        <v>35089.131439999968</v>
      </c>
      <c r="AR34" s="120">
        <f t="shared" si="11"/>
        <v>49148.953389999951</v>
      </c>
      <c r="AS34" s="120">
        <f t="shared" si="11"/>
        <v>87925.189049999957</v>
      </c>
      <c r="AT34" s="120">
        <f t="shared" si="11"/>
        <v>72728.688032047299</v>
      </c>
      <c r="AU34" s="120">
        <f>SUM(AU14:AU33)</f>
        <v>53653.474379999869</v>
      </c>
      <c r="AV34" s="120">
        <v>58012.634600000056</v>
      </c>
      <c r="AW34" s="120">
        <f t="shared" ref="AW34:BD34" si="12">SUM(AW14:AW33)</f>
        <v>79253.838000000062</v>
      </c>
      <c r="AX34" s="120">
        <f t="shared" si="12"/>
        <v>74126.927810000241</v>
      </c>
      <c r="AY34" s="120">
        <f t="shared" si="12"/>
        <v>58318.379339999818</v>
      </c>
      <c r="AZ34" s="120">
        <f t="shared" si="12"/>
        <v>85168.926570000011</v>
      </c>
      <c r="BA34" s="120">
        <f t="shared" si="12"/>
        <v>125572.33326000009</v>
      </c>
      <c r="BB34" s="120">
        <f>SUM(BB14:BB33)</f>
        <v>126005.15277999992</v>
      </c>
      <c r="BC34" s="120">
        <f t="shared" si="12"/>
        <v>68902.245369999931</v>
      </c>
      <c r="BD34" s="120">
        <f t="shared" si="12"/>
        <v>94707.959719999781</v>
      </c>
      <c r="BE34" s="120">
        <f>SUM(BE14:BE33)</f>
        <v>116828.61254000006</v>
      </c>
      <c r="BF34" s="120">
        <f>SUM(BF14:BF33)</f>
        <v>81354.49930000001</v>
      </c>
      <c r="BG34" s="120">
        <f>SUM(BG14:BG33)</f>
        <v>74225.362300000124</v>
      </c>
    </row>
    <row r="35" spans="1:59" ht="14.1" customHeight="1" x14ac:dyDescent="0.2">
      <c r="A35" s="632"/>
      <c r="B35" s="122" t="s">
        <v>68</v>
      </c>
      <c r="C35" s="14">
        <f t="shared" ref="C35:W35" si="13">ROUND(C34/C10,3)</f>
        <v>0.121</v>
      </c>
      <c r="D35" s="14">
        <f t="shared" si="13"/>
        <v>0.11899999999999999</v>
      </c>
      <c r="E35" s="14">
        <f t="shared" si="13"/>
        <v>0.114</v>
      </c>
      <c r="F35" s="14">
        <f t="shared" si="13"/>
        <v>8.6999999999999994E-2</v>
      </c>
      <c r="G35" s="14">
        <f t="shared" si="13"/>
        <v>5.2999999999999999E-2</v>
      </c>
      <c r="H35" s="14">
        <f t="shared" si="13"/>
        <v>9.0999999999999998E-2</v>
      </c>
      <c r="I35" s="14">
        <f t="shared" si="13"/>
        <v>0.105</v>
      </c>
      <c r="J35" s="14">
        <f t="shared" si="13"/>
        <v>9.0999999999999998E-2</v>
      </c>
      <c r="K35" s="14">
        <f t="shared" si="13"/>
        <v>8.1000000000000003E-2</v>
      </c>
      <c r="L35" s="14">
        <f t="shared" si="13"/>
        <v>9.4E-2</v>
      </c>
      <c r="M35" s="14">
        <f t="shared" si="13"/>
        <v>0.11</v>
      </c>
      <c r="N35" s="14">
        <f t="shared" si="13"/>
        <v>0.14399999999999999</v>
      </c>
      <c r="O35" s="14">
        <f t="shared" si="13"/>
        <v>8.5999999999999993E-2</v>
      </c>
      <c r="P35" s="14">
        <f t="shared" si="13"/>
        <v>6.3E-2</v>
      </c>
      <c r="Q35" s="14">
        <f t="shared" si="13"/>
        <v>8.2000000000000003E-2</v>
      </c>
      <c r="R35" s="14">
        <f t="shared" si="13"/>
        <v>0.12</v>
      </c>
      <c r="S35" s="14">
        <f t="shared" si="13"/>
        <v>7.2999999999999995E-2</v>
      </c>
      <c r="T35" s="14">
        <f t="shared" si="13"/>
        <v>7.3999999999999996E-2</v>
      </c>
      <c r="U35" s="14">
        <f t="shared" si="13"/>
        <v>0.104</v>
      </c>
      <c r="V35" s="14">
        <f t="shared" si="13"/>
        <v>0.128</v>
      </c>
      <c r="W35" s="14">
        <f t="shared" si="13"/>
        <v>9.8000000000000004E-2</v>
      </c>
      <c r="X35" s="14">
        <v>0.106</v>
      </c>
      <c r="Y35" s="14">
        <f t="shared" ref="Y35:AT35" si="14">ROUND(Y34/Y10,3)</f>
        <v>0.14299999999999999</v>
      </c>
      <c r="Z35" s="14">
        <f t="shared" si="14"/>
        <v>0.14000000000000001</v>
      </c>
      <c r="AA35" s="14">
        <f t="shared" si="14"/>
        <v>0.112</v>
      </c>
      <c r="AB35" s="14">
        <f t="shared" si="14"/>
        <v>0.154</v>
      </c>
      <c r="AC35" s="14">
        <f t="shared" si="14"/>
        <v>0.17399999999999999</v>
      </c>
      <c r="AD35" s="14">
        <f t="shared" si="14"/>
        <v>0.185</v>
      </c>
      <c r="AE35" s="735">
        <f t="shared" si="14"/>
        <v>0.189</v>
      </c>
      <c r="AF35" s="14">
        <f t="shared" si="14"/>
        <v>0.17899999999999999</v>
      </c>
      <c r="AG35" s="14">
        <f t="shared" si="14"/>
        <v>0.189</v>
      </c>
      <c r="AH35" s="14">
        <f t="shared" si="14"/>
        <v>0.185</v>
      </c>
      <c r="AI35" s="14">
        <f t="shared" si="14"/>
        <v>0.158</v>
      </c>
      <c r="AJ35" s="14">
        <f t="shared" si="14"/>
        <v>3.5999999999999997E-2</v>
      </c>
      <c r="AK35" s="14">
        <f t="shared" si="14"/>
        <v>0.191</v>
      </c>
      <c r="AL35" s="14">
        <f t="shared" si="14"/>
        <v>0.186</v>
      </c>
      <c r="AM35" s="14">
        <f t="shared" si="14"/>
        <v>0.185</v>
      </c>
      <c r="AN35" s="14">
        <f t="shared" si="14"/>
        <v>0.14899999999999999</v>
      </c>
      <c r="AO35" s="14">
        <f t="shared" si="14"/>
        <v>0.16200000000000001</v>
      </c>
      <c r="AP35" s="14">
        <f t="shared" si="14"/>
        <v>0.15</v>
      </c>
      <c r="AQ35" s="14">
        <f t="shared" si="14"/>
        <v>0.14599999999999999</v>
      </c>
      <c r="AR35" s="14">
        <f t="shared" si="14"/>
        <v>0.161</v>
      </c>
      <c r="AS35" s="14">
        <f t="shared" si="14"/>
        <v>0.21199999999999999</v>
      </c>
      <c r="AT35" s="14">
        <f t="shared" si="14"/>
        <v>0.17799999999999999</v>
      </c>
      <c r="AU35" s="14">
        <f>ROUND(AU34/AU10,3)</f>
        <v>0.16</v>
      </c>
      <c r="AV35" s="14">
        <v>0.158</v>
      </c>
      <c r="AW35" s="14">
        <f t="shared" ref="AW35:BD35" si="15">ROUND(AW34/AW10,3)</f>
        <v>0.186</v>
      </c>
      <c r="AX35" s="14">
        <f t="shared" si="15"/>
        <v>0.16300000000000001</v>
      </c>
      <c r="AY35" s="14">
        <f t="shared" si="15"/>
        <v>0.15</v>
      </c>
      <c r="AZ35" s="14">
        <f t="shared" si="15"/>
        <v>0.18</v>
      </c>
      <c r="BA35" s="14">
        <f t="shared" si="15"/>
        <v>0.20799999999999999</v>
      </c>
      <c r="BB35" s="14">
        <f>ROUND(BB34/BB10,3)</f>
        <v>0.20200000000000001</v>
      </c>
      <c r="BC35" s="14">
        <f t="shared" si="15"/>
        <v>0.156</v>
      </c>
      <c r="BD35" s="14">
        <f t="shared" si="15"/>
        <v>0.17499999999999999</v>
      </c>
      <c r="BE35" s="14">
        <f>ROUND(BE34/BE10,3)</f>
        <v>0.184</v>
      </c>
      <c r="BF35" s="14">
        <f>ROUND(BF34/BF10,3)</f>
        <v>0.13300000000000001</v>
      </c>
      <c r="BG35" s="14">
        <f>ROUND(BG34/BG10,3)</f>
        <v>0.14199999999999999</v>
      </c>
    </row>
    <row r="36" spans="1:59" ht="14.1" customHeight="1" x14ac:dyDescent="0.2">
      <c r="A36" s="632"/>
      <c r="B36" s="117" t="s">
        <v>137</v>
      </c>
      <c r="C36" s="118">
        <f>+Auto!C37+LI!C37</f>
        <v>-6038</v>
      </c>
      <c r="D36" s="118">
        <f>+Auto!D37+LI!D37</f>
        <v>-7156</v>
      </c>
      <c r="E36" s="118">
        <f>+Auto!E37+LI!E37</f>
        <v>-7307</v>
      </c>
      <c r="F36" s="118">
        <f>+Auto!F37+LI!F37</f>
        <v>-11249</v>
      </c>
      <c r="G36" s="118">
        <f>+Auto!G37+LI!G37</f>
        <v>-7204</v>
      </c>
      <c r="H36" s="118">
        <f>+Auto!H37+LI!H37</f>
        <v>-6913</v>
      </c>
      <c r="I36" s="118">
        <f>+Auto!I37+LI!I37</f>
        <v>-7443</v>
      </c>
      <c r="J36" s="118">
        <f>+Auto!J37+LI!J37</f>
        <v>-7494</v>
      </c>
      <c r="K36" s="118">
        <f>+Auto!K37+LI!K37</f>
        <v>-8563</v>
      </c>
      <c r="L36" s="118">
        <f>+Auto!L37+LI!L37</f>
        <v>-8365</v>
      </c>
      <c r="M36" s="118">
        <f>+Auto!M37+LI!M37</f>
        <v>-6979</v>
      </c>
      <c r="N36" s="118">
        <f>+Auto!N37+LI!N37</f>
        <v>-3223</v>
      </c>
      <c r="O36" s="118">
        <f t="shared" ref="O36:AA36" si="16">+SUM(O37:O38)</f>
        <v>-6412</v>
      </c>
      <c r="P36" s="118">
        <f t="shared" si="16"/>
        <v>-7112</v>
      </c>
      <c r="Q36" s="118">
        <f t="shared" si="16"/>
        <v>-6674</v>
      </c>
      <c r="R36" s="118">
        <f t="shared" si="16"/>
        <v>-7718.4255900000007</v>
      </c>
      <c r="S36" s="118">
        <f t="shared" si="16"/>
        <v>-7204.9047399999999</v>
      </c>
      <c r="T36" s="118">
        <f t="shared" si="16"/>
        <v>-9298.98092</v>
      </c>
      <c r="U36" s="118">
        <f t="shared" si="16"/>
        <v>-6737.5437099999999</v>
      </c>
      <c r="V36" s="118">
        <f t="shared" si="16"/>
        <v>-6858.242839999999</v>
      </c>
      <c r="W36" s="118">
        <f t="shared" si="16"/>
        <v>-6572.82701</v>
      </c>
      <c r="X36" s="118">
        <f t="shared" si="16"/>
        <v>-6829.9387999999999</v>
      </c>
      <c r="Y36" s="118">
        <f>+SUM(Y37:Y38)</f>
        <v>-7304.7968499999997</v>
      </c>
      <c r="Z36" s="118">
        <f t="shared" si="16"/>
        <v>-7437.1136699999997</v>
      </c>
      <c r="AA36" s="118">
        <f t="shared" si="16"/>
        <v>-6909.8206200000004</v>
      </c>
      <c r="AB36" s="118">
        <f t="shared" ref="AB36:AH36" si="17">+SUM(AB37:AB38)</f>
        <v>-8910.3279299999995</v>
      </c>
      <c r="AC36" s="118">
        <f t="shared" si="17"/>
        <v>-6853.8500800000002</v>
      </c>
      <c r="AD36" s="118">
        <f t="shared" si="17"/>
        <v>-6616.8089600000003</v>
      </c>
      <c r="AE36" s="160">
        <f t="shared" si="17"/>
        <v>-15400.43375</v>
      </c>
      <c r="AF36" s="118">
        <f t="shared" si="17"/>
        <v>-13640.160540000001</v>
      </c>
      <c r="AG36" s="118">
        <f t="shared" si="17"/>
        <v>-14832.91678</v>
      </c>
      <c r="AH36" s="118">
        <f t="shared" si="17"/>
        <v>-14732.53003</v>
      </c>
      <c r="AI36" s="118">
        <f t="shared" ref="AI36:AR36" si="18">+SUM(AI37:AI38)</f>
        <v>-14152.98898</v>
      </c>
      <c r="AJ36" s="118">
        <f t="shared" si="18"/>
        <v>-13839.80279</v>
      </c>
      <c r="AK36" s="118">
        <f t="shared" si="18"/>
        <v>-13196.274530000001</v>
      </c>
      <c r="AL36" s="118">
        <f t="shared" si="18"/>
        <v>-12860.317200000001</v>
      </c>
      <c r="AM36" s="118">
        <f t="shared" si="18"/>
        <v>-12959.5062</v>
      </c>
      <c r="AN36" s="118">
        <f t="shared" si="18"/>
        <v>-12839.597110000001</v>
      </c>
      <c r="AO36" s="118">
        <f t="shared" si="18"/>
        <v>-12593.76037</v>
      </c>
      <c r="AP36" s="118">
        <f>+SUM(AP37:AP38)</f>
        <v>-12473.274410000002</v>
      </c>
      <c r="AQ36" s="118">
        <f>+SUM(AQ37:AQ38)</f>
        <v>-13487.422330000001</v>
      </c>
      <c r="AR36" s="118">
        <f t="shared" si="18"/>
        <v>-13690.463550000004</v>
      </c>
      <c r="AS36" s="118">
        <f>+SUM(AS37:AS38)</f>
        <v>-12545.994360000001</v>
      </c>
      <c r="AT36" s="118">
        <f>+SUM(AT37:AT38)</f>
        <v>-13372.31034</v>
      </c>
      <c r="AU36" s="118">
        <f>+SUM(AU37:AU38)</f>
        <v>-13414.1613</v>
      </c>
      <c r="AV36" s="118">
        <v>-13390.617499999998</v>
      </c>
      <c r="AW36" s="118">
        <f t="shared" ref="AW36:BB36" si="19">+SUM(AW37:AW38)</f>
        <v>-13784.77347</v>
      </c>
      <c r="AX36" s="118">
        <f t="shared" si="19"/>
        <v>-14174.105950000001</v>
      </c>
      <c r="AY36" s="118">
        <f t="shared" si="19"/>
        <v>-13837.638149999999</v>
      </c>
      <c r="AZ36" s="118">
        <f t="shared" si="19"/>
        <v>-13928.92884</v>
      </c>
      <c r="BA36" s="118">
        <f t="shared" si="19"/>
        <v>-13843.909750000001</v>
      </c>
      <c r="BB36" s="118">
        <f t="shared" si="19"/>
        <v>-14025.012639999999</v>
      </c>
      <c r="BC36" s="118">
        <v>-15048.048060000001</v>
      </c>
      <c r="BD36" s="118">
        <v>-15064.054980000001</v>
      </c>
      <c r="BE36" s="118">
        <f>+SUM(BE37:BE38)</f>
        <v>-15587.801650000001</v>
      </c>
      <c r="BF36" s="118">
        <v>-16020.608469999999</v>
      </c>
      <c r="BG36" s="118">
        <f>+SUM(BG37:BG38)</f>
        <v>-16712.86159</v>
      </c>
    </row>
    <row r="37" spans="1:59" ht="14.1" customHeight="1" outlineLevel="1" x14ac:dyDescent="0.2">
      <c r="A37" s="24"/>
      <c r="B37" s="613" t="s">
        <v>873</v>
      </c>
      <c r="C37" s="118" t="s">
        <v>160</v>
      </c>
      <c r="D37" s="118" t="s">
        <v>160</v>
      </c>
      <c r="E37" s="118" t="s">
        <v>160</v>
      </c>
      <c r="F37" s="118" t="s">
        <v>160</v>
      </c>
      <c r="G37" s="118" t="s">
        <v>160</v>
      </c>
      <c r="H37" s="118" t="s">
        <v>160</v>
      </c>
      <c r="I37" s="118" t="s">
        <v>160</v>
      </c>
      <c r="J37" s="118" t="s">
        <v>160</v>
      </c>
      <c r="K37" s="118" t="s">
        <v>160</v>
      </c>
      <c r="L37" s="118" t="s">
        <v>160</v>
      </c>
      <c r="M37" s="118" t="s">
        <v>160</v>
      </c>
      <c r="N37" s="118" t="s">
        <v>160</v>
      </c>
      <c r="O37" s="118">
        <f>+Auto!O38+LI!O38</f>
        <v>-5514.0217871000004</v>
      </c>
      <c r="P37" s="118">
        <f>+Auto!P38+LI!P38</f>
        <v>-6073.2019700000001</v>
      </c>
      <c r="Q37" s="118">
        <f>+Auto!Q38+LI!Q38</f>
        <v>-5569.4027299999998</v>
      </c>
      <c r="R37" s="118">
        <f>+Auto!R38+LI!R38</f>
        <v>-6524.3695800000005</v>
      </c>
      <c r="S37" s="118">
        <f>+Auto!S38+LI!S38</f>
        <v>-6060.3533399999997</v>
      </c>
      <c r="T37" s="118">
        <f>+Auto!T38+LI!T38</f>
        <v>-8227.8698000000004</v>
      </c>
      <c r="U37" s="118">
        <f>+Auto!U38+LI!U38</f>
        <v>-5691.81574</v>
      </c>
      <c r="V37" s="118">
        <f>+Auto!V38+LI!V38</f>
        <v>-5818.0447599999989</v>
      </c>
      <c r="W37" s="118">
        <f>+Auto!W38+LI!W38</f>
        <v>-5829.7700100000002</v>
      </c>
      <c r="X37" s="118">
        <f>+Auto!X38+LI!X38</f>
        <v>-5990.71767</v>
      </c>
      <c r="Y37" s="118">
        <f>+Auto!Y38+LI!Y38</f>
        <v>-6508.54558</v>
      </c>
      <c r="Z37" s="118">
        <f>+Auto!Z38+LI!Z38</f>
        <v>-6610.4207399999996</v>
      </c>
      <c r="AA37" s="118">
        <f>+Auto!AA38+LI!AA38</f>
        <v>-6082.28665</v>
      </c>
      <c r="AB37" s="118">
        <f>+Auto!AB38+LI!AB38</f>
        <v>-8056.4395999999997</v>
      </c>
      <c r="AC37" s="118">
        <f>+Auto!AC38+LI!AC38</f>
        <v>-5990.8769300000004</v>
      </c>
      <c r="AD37" s="118">
        <f>+Auto!AD38+LI!AD38</f>
        <v>-5743.8832000000002</v>
      </c>
      <c r="AE37" s="160">
        <f>+Auto!AE38+LI!AE38</f>
        <v>-14281.93353</v>
      </c>
      <c r="AF37" s="118">
        <f>+Auto!AF38+LI!AF38</f>
        <v>-12499.35318</v>
      </c>
      <c r="AG37" s="118">
        <f>+Auto!AG38+LI!AG38</f>
        <v>-13655.86772</v>
      </c>
      <c r="AH37" s="118">
        <f>+Auto!AH38+LI!AH38</f>
        <v>-13553.991379999999</v>
      </c>
      <c r="AI37" s="118">
        <f>+Auto!AI38+LI!AI38</f>
        <v>-13004.850689999999</v>
      </c>
      <c r="AJ37" s="118">
        <f>+Auto!AJ38+LI!AJ38</f>
        <v>-12737.530070000001</v>
      </c>
      <c r="AK37" s="118">
        <f>+Auto!AK38+LI!AK38</f>
        <v>-12120.315490000001</v>
      </c>
      <c r="AL37" s="118">
        <f>+Auto!AL38+LI!AL38</f>
        <v>-11785.54844</v>
      </c>
      <c r="AM37" s="118">
        <f>+Auto!AM38+LI!AM38</f>
        <v>-11885.12478</v>
      </c>
      <c r="AN37" s="118">
        <f>+Auto!AN38+LI!AN38</f>
        <v>-11750.02211</v>
      </c>
      <c r="AO37" s="118">
        <f>+Auto!AO38+LI!AO38</f>
        <v>-11518.35677</v>
      </c>
      <c r="AP37" s="118">
        <f>+Auto!AP38+LI!AP38</f>
        <v>-11392.235980000001</v>
      </c>
      <c r="AQ37" s="118">
        <v>-12357.437000000002</v>
      </c>
      <c r="AR37" s="118">
        <f>+Auto!AR38+LI!AR38</f>
        <v>-12551.259250000003</v>
      </c>
      <c r="AS37" s="118">
        <f>+Auto!AS38+LI!AS38</f>
        <v>-11442.945100000001</v>
      </c>
      <c r="AT37" s="118">
        <f>+Auto!AT38+LI!AT38</f>
        <v>-12242.12645</v>
      </c>
      <c r="AU37" s="118">
        <f>+Auto!AU38+LI!AU38</f>
        <v>-12284.57548</v>
      </c>
      <c r="AV37" s="118">
        <v>-12217.841849999999</v>
      </c>
      <c r="AW37" s="118">
        <f>+Auto!AW38+LI!AW38</f>
        <v>-12563.484570000001</v>
      </c>
      <c r="AX37" s="118">
        <f>+Auto!AX38+LI!AX38</f>
        <v>-12942.17224</v>
      </c>
      <c r="AY37" s="118">
        <v>-12627.560999999998</v>
      </c>
      <c r="AZ37" s="118">
        <v>-12711.927960000001</v>
      </c>
      <c r="BA37" s="118">
        <v>-12619.6011</v>
      </c>
      <c r="BB37" s="118">
        <v>-12553.247299999999</v>
      </c>
      <c r="BC37" s="118">
        <v>-12932.874680000001</v>
      </c>
      <c r="BD37" s="118">
        <v>-12987.505270000001</v>
      </c>
      <c r="BE37" s="118">
        <v>-13339.68288</v>
      </c>
      <c r="BF37" s="118">
        <v>-13630.831249999999</v>
      </c>
      <c r="BG37" s="118">
        <f>+Auto!BG38+LI!BG38</f>
        <v>-14320.030849999999</v>
      </c>
    </row>
    <row r="38" spans="1:59" ht="14.1" customHeight="1" outlineLevel="1" x14ac:dyDescent="0.2">
      <c r="A38" s="24"/>
      <c r="B38" s="613" t="s">
        <v>874</v>
      </c>
      <c r="C38" s="118" t="s">
        <v>160</v>
      </c>
      <c r="D38" s="118" t="s">
        <v>160</v>
      </c>
      <c r="E38" s="118" t="s">
        <v>160</v>
      </c>
      <c r="F38" s="118" t="s">
        <v>160</v>
      </c>
      <c r="G38" s="118" t="s">
        <v>160</v>
      </c>
      <c r="H38" s="118" t="s">
        <v>160</v>
      </c>
      <c r="I38" s="118" t="s">
        <v>160</v>
      </c>
      <c r="J38" s="118" t="s">
        <v>160</v>
      </c>
      <c r="K38" s="118" t="s">
        <v>160</v>
      </c>
      <c r="L38" s="118" t="s">
        <v>160</v>
      </c>
      <c r="M38" s="118" t="s">
        <v>160</v>
      </c>
      <c r="N38" s="118" t="s">
        <v>160</v>
      </c>
      <c r="O38" s="118">
        <f>+Auto!O39+LI!O39</f>
        <v>-897.97821290000002</v>
      </c>
      <c r="P38" s="118">
        <f>+Auto!P39+LI!P39</f>
        <v>-1038.7980300000004</v>
      </c>
      <c r="Q38" s="118">
        <f>+Auto!Q39+LI!Q39</f>
        <v>-1104.5972700000002</v>
      </c>
      <c r="R38" s="118">
        <f>+Auto!R39+LI!R39</f>
        <v>-1194.0560100000002</v>
      </c>
      <c r="S38" s="118">
        <f>+Auto!S39+LI!S39</f>
        <v>-1144.5513999999998</v>
      </c>
      <c r="T38" s="118">
        <f>+Auto!T39+LI!T39</f>
        <v>-1071.11112</v>
      </c>
      <c r="U38" s="118">
        <f>+Auto!U39+LI!U39</f>
        <v>-1045.7279699999999</v>
      </c>
      <c r="V38" s="118">
        <f>+Auto!V39+LI!V39</f>
        <v>-1040.1980799999999</v>
      </c>
      <c r="W38" s="118">
        <f>+Auto!W39+LI!W39</f>
        <v>-743.0569999999999</v>
      </c>
      <c r="X38" s="118">
        <f>+Auto!X39+LI!X39</f>
        <v>-839.2211299999999</v>
      </c>
      <c r="Y38" s="118">
        <f>+Auto!Y39+LI!Y39</f>
        <v>-796.25126999999998</v>
      </c>
      <c r="Z38" s="118">
        <f>+Auto!Z39+LI!Z39</f>
        <v>-826.69292999999993</v>
      </c>
      <c r="AA38" s="118">
        <f>+Auto!AA39+LI!AA39</f>
        <v>-827.53397000000007</v>
      </c>
      <c r="AB38" s="118">
        <f>+Auto!AB39+LI!AB39</f>
        <v>-853.88833</v>
      </c>
      <c r="AC38" s="118">
        <f>+Auto!AC39+LI!AC39</f>
        <v>-862.97315000000003</v>
      </c>
      <c r="AD38" s="118">
        <f>+Auto!AD39+LI!AD39</f>
        <v>-872.92575999999997</v>
      </c>
      <c r="AE38" s="160">
        <f>+Auto!AE39+LI!AE39</f>
        <v>-1118.5002199999999</v>
      </c>
      <c r="AF38" s="118">
        <f>+Auto!AF39+LI!AF39</f>
        <v>-1140.80736</v>
      </c>
      <c r="AG38" s="118">
        <f>+Auto!AG39+LI!AG39</f>
        <v>-1177.0490600000001</v>
      </c>
      <c r="AH38" s="118">
        <f>+Auto!AH39+LI!AH39</f>
        <v>-1178.53865</v>
      </c>
      <c r="AI38" s="118">
        <f>+Auto!AI39+LI!AI39</f>
        <v>-1148.1382900000001</v>
      </c>
      <c r="AJ38" s="118">
        <f>+Auto!AJ39+LI!AJ39</f>
        <v>-1102.2727199999997</v>
      </c>
      <c r="AK38" s="118">
        <f>+Auto!AK39+LI!AK39</f>
        <v>-1075.95904</v>
      </c>
      <c r="AL38" s="118">
        <f>+Auto!AL39+LI!AL39</f>
        <v>-1074.7687599999999</v>
      </c>
      <c r="AM38" s="118">
        <f>+Auto!AM39+LI!AM39</f>
        <v>-1074.3814199999999</v>
      </c>
      <c r="AN38" s="118">
        <f>+Auto!AN39+LI!AN39</f>
        <v>-1089.575</v>
      </c>
      <c r="AO38" s="118">
        <f>+Auto!AO39+LI!AO39</f>
        <v>-1075.4036000000006</v>
      </c>
      <c r="AP38" s="118">
        <f>+Auto!AP39+LI!AP39</f>
        <v>-1081.0384300000001</v>
      </c>
      <c r="AQ38" s="118">
        <v>-1129.9853300000002</v>
      </c>
      <c r="AR38" s="118">
        <f>+Auto!AR39+LI!AR39</f>
        <v>-1139.2043000000003</v>
      </c>
      <c r="AS38" s="118">
        <f>+Auto!AS39+LI!AS39</f>
        <v>-1103.0492600000002</v>
      </c>
      <c r="AT38" s="118">
        <f>+Auto!AT39+LI!AT39</f>
        <v>-1130.1838900000002</v>
      </c>
      <c r="AU38" s="118">
        <f>+Auto!AU39+LI!AU39</f>
        <v>-1129.5858200000002</v>
      </c>
      <c r="AV38" s="118">
        <v>-1172.7756499999998</v>
      </c>
      <c r="AW38" s="118">
        <f>+Auto!AW39+LI!AW39</f>
        <v>-1221.2889</v>
      </c>
      <c r="AX38" s="118">
        <f>+Auto!AX39+LI!AX39</f>
        <v>-1231.9337100000002</v>
      </c>
      <c r="AY38" s="118">
        <v>-1210.0771500000001</v>
      </c>
      <c r="AZ38" s="118">
        <v>-1217.0008800000003</v>
      </c>
      <c r="BA38" s="118">
        <v>-1224.3086500000002</v>
      </c>
      <c r="BB38" s="118">
        <v>-1471.7653399999999</v>
      </c>
      <c r="BC38" s="118">
        <v>-2115.1733799999997</v>
      </c>
      <c r="BD38" s="118">
        <v>-2076.5497099999998</v>
      </c>
      <c r="BE38" s="118">
        <v>-2248.11877</v>
      </c>
      <c r="BF38" s="118">
        <v>-2389.7772200000004</v>
      </c>
      <c r="BG38" s="118">
        <f>+Auto!BG39+LI!BG39</f>
        <v>-2392.8307400000003</v>
      </c>
    </row>
    <row r="39" spans="1:59" ht="14.1" customHeight="1" x14ac:dyDescent="0.2">
      <c r="A39" s="632"/>
      <c r="B39" s="119" t="s">
        <v>9</v>
      </c>
      <c r="C39" s="120">
        <f t="shared" ref="C39:AT39" si="20">C14+C36</f>
        <v>30558</v>
      </c>
      <c r="D39" s="120">
        <f t="shared" si="20"/>
        <v>36099</v>
      </c>
      <c r="E39" s="120">
        <f t="shared" si="20"/>
        <v>48979</v>
      </c>
      <c r="F39" s="120">
        <f t="shared" si="20"/>
        <v>36744</v>
      </c>
      <c r="G39" s="120">
        <f t="shared" si="20"/>
        <v>10832</v>
      </c>
      <c r="H39" s="120">
        <f t="shared" si="20"/>
        <v>29674</v>
      </c>
      <c r="I39" s="120">
        <f t="shared" si="20"/>
        <v>40345</v>
      </c>
      <c r="J39" s="120">
        <f t="shared" si="20"/>
        <v>29895</v>
      </c>
      <c r="K39" s="120">
        <f t="shared" si="20"/>
        <v>11333</v>
      </c>
      <c r="L39" s="120">
        <f t="shared" si="20"/>
        <v>29802</v>
      </c>
      <c r="M39" s="120">
        <f t="shared" si="20"/>
        <v>35628</v>
      </c>
      <c r="N39" s="120">
        <f t="shared" si="20"/>
        <v>53044</v>
      </c>
      <c r="O39" s="120">
        <f t="shared" si="20"/>
        <v>18034</v>
      </c>
      <c r="P39" s="120">
        <f t="shared" si="20"/>
        <v>6639</v>
      </c>
      <c r="Q39" s="120">
        <f t="shared" si="20"/>
        <v>15879</v>
      </c>
      <c r="R39" s="120">
        <f t="shared" si="20"/>
        <v>1712.8176999999687</v>
      </c>
      <c r="S39" s="120">
        <f t="shared" si="20"/>
        <v>7504.9504399999751</v>
      </c>
      <c r="T39" s="120">
        <f t="shared" si="20"/>
        <v>7635.2411300000331</v>
      </c>
      <c r="U39" s="120">
        <f t="shared" si="20"/>
        <v>18112.386659999982</v>
      </c>
      <c r="V39" s="120">
        <f t="shared" si="20"/>
        <v>25614.889910000005</v>
      </c>
      <c r="W39" s="120">
        <f t="shared" si="20"/>
        <v>14360.545710000028</v>
      </c>
      <c r="X39" s="120">
        <f t="shared" si="20"/>
        <v>13103.106400000037</v>
      </c>
      <c r="Y39" s="120">
        <f t="shared" si="20"/>
        <v>27935.846069999985</v>
      </c>
      <c r="Z39" s="120">
        <f t="shared" si="20"/>
        <v>54072.402550000006</v>
      </c>
      <c r="AA39" s="120">
        <f t="shared" si="20"/>
        <v>22543.493380000007</v>
      </c>
      <c r="AB39" s="120">
        <f t="shared" si="20"/>
        <v>36238.07877999996</v>
      </c>
      <c r="AC39" s="120">
        <f t="shared" si="20"/>
        <v>45686.178229999932</v>
      </c>
      <c r="AD39" s="120">
        <f t="shared" si="20"/>
        <v>48576.524440000023</v>
      </c>
      <c r="AE39" s="162">
        <f t="shared" si="20"/>
        <v>40625.074600000065</v>
      </c>
      <c r="AF39" s="120">
        <f t="shared" si="20"/>
        <v>45803.189800000036</v>
      </c>
      <c r="AG39" s="120">
        <f t="shared" si="20"/>
        <v>100076.36719000009</v>
      </c>
      <c r="AH39" s="120">
        <f t="shared" si="20"/>
        <v>53109.901350000022</v>
      </c>
      <c r="AI39" s="120">
        <f t="shared" si="20"/>
        <v>26750.35560000001</v>
      </c>
      <c r="AJ39" s="120">
        <f t="shared" si="20"/>
        <v>-9186.3538000000244</v>
      </c>
      <c r="AK39" s="120">
        <f t="shared" si="20"/>
        <v>42113.171810000022</v>
      </c>
      <c r="AL39" s="120">
        <f t="shared" si="20"/>
        <v>40255.049250000025</v>
      </c>
      <c r="AM39" s="120">
        <f t="shared" si="20"/>
        <v>30232.221960000006</v>
      </c>
      <c r="AN39" s="120">
        <f t="shared" si="20"/>
        <v>28215.714269999968</v>
      </c>
      <c r="AO39" s="120">
        <f t="shared" si="20"/>
        <v>23727.720000000005</v>
      </c>
      <c r="AP39" s="120">
        <f t="shared" si="20"/>
        <v>35990.382589999906</v>
      </c>
      <c r="AQ39" s="120">
        <f t="shared" si="20"/>
        <v>21601.709109999967</v>
      </c>
      <c r="AR39" s="120">
        <f t="shared" si="20"/>
        <v>35458.489839999951</v>
      </c>
      <c r="AS39" s="120">
        <f t="shared" si="20"/>
        <v>68734.174689999956</v>
      </c>
      <c r="AT39" s="120">
        <f t="shared" si="20"/>
        <v>64815.150449999957</v>
      </c>
      <c r="AU39" s="120">
        <f>AU14+AU36</f>
        <v>40239.313079999869</v>
      </c>
      <c r="AV39" s="120">
        <v>44622.017100000056</v>
      </c>
      <c r="AW39" s="120">
        <f t="shared" ref="AW39:BD39" si="21">AW14+AW36</f>
        <v>65469.064530000061</v>
      </c>
      <c r="AX39" s="120">
        <f t="shared" si="21"/>
        <v>59952.821860000244</v>
      </c>
      <c r="AY39" s="120">
        <f t="shared" si="21"/>
        <v>44480.741189999819</v>
      </c>
      <c r="AZ39" s="120">
        <f t="shared" si="21"/>
        <v>71239.997730000003</v>
      </c>
      <c r="BA39" s="120">
        <f t="shared" si="21"/>
        <v>111728.42351000008</v>
      </c>
      <c r="BB39" s="120">
        <f t="shared" si="21"/>
        <v>111980.14013999992</v>
      </c>
      <c r="BC39" s="120">
        <f t="shared" si="21"/>
        <v>53854.19730999993</v>
      </c>
      <c r="BD39" s="120">
        <f t="shared" si="21"/>
        <v>79643.90473999978</v>
      </c>
      <c r="BE39" s="120">
        <f>BE14+BE36</f>
        <v>101240.81089000005</v>
      </c>
      <c r="BF39" s="120">
        <f>BF14+BF36</f>
        <v>65333.890830000011</v>
      </c>
      <c r="BG39" s="120">
        <f>BG14+BG36</f>
        <v>57512.500710000124</v>
      </c>
    </row>
    <row r="40" spans="1:59" ht="14.1" customHeight="1" x14ac:dyDescent="0.2">
      <c r="A40" s="974" t="s">
        <v>331</v>
      </c>
      <c r="B40" s="972" t="str">
        <f>HYPERLINK(Menu!$AY$39,A40)</f>
        <v>Resultado financeiro</v>
      </c>
      <c r="C40" s="118">
        <f>+Auto!C41+LI!C41</f>
        <v>-8328</v>
      </c>
      <c r="D40" s="118">
        <f>+Auto!D41+LI!D41</f>
        <v>-9030</v>
      </c>
      <c r="E40" s="118">
        <f>+Auto!E41+LI!E41</f>
        <v>-9951</v>
      </c>
      <c r="F40" s="118">
        <f>+Auto!F41+LI!F41</f>
        <v>-6009</v>
      </c>
      <c r="G40" s="118">
        <f>+Auto!G41+LI!G41</f>
        <v>-7799</v>
      </c>
      <c r="H40" s="118">
        <f>+Auto!H41+LI!H41</f>
        <v>107</v>
      </c>
      <c r="I40" s="118">
        <f>+Auto!I41+LI!I41</f>
        <v>-18842</v>
      </c>
      <c r="J40" s="118">
        <f>+Auto!J41+LI!J41</f>
        <v>-12345</v>
      </c>
      <c r="K40" s="118">
        <f>+Auto!K41+LI!K41</f>
        <v>-10235</v>
      </c>
      <c r="L40" s="118">
        <f>+Auto!L41+LI!L41</f>
        <v>-9164</v>
      </c>
      <c r="M40" s="118">
        <f>+Auto!M41+LI!M41</f>
        <v>-12594</v>
      </c>
      <c r="N40" s="261">
        <f>+Auto!N41+LI!N41</f>
        <v>-14225</v>
      </c>
      <c r="O40" s="118">
        <f>+Auto!O41+LI!O41</f>
        <v>-7678</v>
      </c>
      <c r="P40" s="118">
        <f>+Auto!P41+LI!P41</f>
        <v>-5199</v>
      </c>
      <c r="Q40" s="118">
        <f>+Auto!Q41+LI!Q41</f>
        <v>-8492</v>
      </c>
      <c r="R40" s="261">
        <f>+Auto!R41+LI!R41</f>
        <v>-11585.579029999999</v>
      </c>
      <c r="S40" s="261">
        <f>+Auto!S41+LI!S41</f>
        <v>-8794.3497100000022</v>
      </c>
      <c r="T40" s="118">
        <f>+Auto!T41+LI!T41</f>
        <v>-6205.9491399999979</v>
      </c>
      <c r="U40" s="261">
        <f>+Auto!U41+LI!U41</f>
        <v>-11073.155569999997</v>
      </c>
      <c r="V40" s="261">
        <f>+Auto!V41+LI!V41</f>
        <v>-3803.2308699999994</v>
      </c>
      <c r="W40" s="118">
        <f>+LI!W41+Auto!W41</f>
        <v>-4287.1967700000005</v>
      </c>
      <c r="X40" s="261">
        <f>+LI!X41+Auto!X41</f>
        <v>3566.6795899999997</v>
      </c>
      <c r="Y40" s="118">
        <f>+LI!Y41+Auto!Y41</f>
        <v>-3113.1097999999997</v>
      </c>
      <c r="Z40" s="261">
        <f>+LI!Z41+Auto!Z41</f>
        <v>12617.61837</v>
      </c>
      <c r="AA40" s="118">
        <f>+LI!AA41+Auto!AA41</f>
        <v>-1889.4519500000004</v>
      </c>
      <c r="AB40" s="118">
        <f>+LI!AB41+Auto!AB41</f>
        <v>-825.25069999999994</v>
      </c>
      <c r="AC40" s="261">
        <f>+LI!AC41+Auto!AC41</f>
        <v>-4991.2516099999993</v>
      </c>
      <c r="AD40" s="118">
        <f>+LI!AD41+Auto!AD41</f>
        <v>-1413.8592500000002</v>
      </c>
      <c r="AE40" s="160">
        <f>+LI!AE41+Auto!AE41</f>
        <v>-1899.2444100000007</v>
      </c>
      <c r="AF40" s="118">
        <f>+LI!AF41+Auto!AF41</f>
        <v>-2687.1349600000003</v>
      </c>
      <c r="AG40" s="261">
        <f>+LI!AG41+Auto!AG41</f>
        <v>30529.000000000004</v>
      </c>
      <c r="AH40" s="118">
        <f>+LI!AH41+Auto!AH41</f>
        <v>-3245.5405300000007</v>
      </c>
      <c r="AI40" s="118">
        <f>+LI!AI41+Auto!AI41</f>
        <v>-2007.303140000002</v>
      </c>
      <c r="AJ40" s="118">
        <f>+LI!AJ41+Auto!AJ41</f>
        <v>-2212.7467099999985</v>
      </c>
      <c r="AK40" s="118">
        <f>+LI!AK41+Auto!AK41</f>
        <v>-2784.8866099999996</v>
      </c>
      <c r="AL40" s="118">
        <f>+LI!AL41+Auto!AL41</f>
        <v>-2152.0314800000001</v>
      </c>
      <c r="AM40" s="118">
        <f>+LI!AM41+Auto!AM41</f>
        <v>-2893.5208399999997</v>
      </c>
      <c r="AN40" s="261">
        <f>+LI!AN41+Auto!AN41</f>
        <v>1719.5772199999999</v>
      </c>
      <c r="AO40" s="118">
        <f>+LI!AO41+Auto!AO41</f>
        <v>-896.09401000000048</v>
      </c>
      <c r="AP40" s="118">
        <f>+LI!AP41+Auto!AP41</f>
        <v>-952.37159000000111</v>
      </c>
      <c r="AQ40" s="118">
        <v>-541.68053000000032</v>
      </c>
      <c r="AR40" s="118">
        <f>+LI!AR41+Auto!AR41</f>
        <v>164.84837999999854</v>
      </c>
      <c r="AS40" s="118">
        <f>+LI!AS41+Auto!AS41</f>
        <v>-52.790259999999535</v>
      </c>
      <c r="AT40" s="261">
        <f>+LI!AT41+Auto!AT41</f>
        <v>7143.2795999999998</v>
      </c>
      <c r="AU40" s="118">
        <f>+LI!AU41+Auto!AU41</f>
        <v>1279.2891099999988</v>
      </c>
      <c r="AV40" s="261">
        <v>2933.0279500000011</v>
      </c>
      <c r="AW40" s="118">
        <f>+LI!AW41+Auto!AW41</f>
        <v>2517.9430700000003</v>
      </c>
      <c r="AX40" s="118">
        <f>+LI!AX41+Auto!AX41</f>
        <v>2208.5117899999996</v>
      </c>
      <c r="AY40" s="118">
        <v>2039.7343800000001</v>
      </c>
      <c r="AZ40" s="261">
        <v>4056.5603299999984</v>
      </c>
      <c r="BA40" s="118">
        <v>1218.222050000001</v>
      </c>
      <c r="BB40" s="118">
        <v>1460.4211999999975</v>
      </c>
      <c r="BC40" s="118">
        <v>2351.3270400000006</v>
      </c>
      <c r="BD40" s="118">
        <v>3260.8603000000007</v>
      </c>
      <c r="BE40" s="118">
        <v>3306.9333400000032</v>
      </c>
      <c r="BF40" s="118">
        <v>2568.8136300000006</v>
      </c>
      <c r="BG40" s="118">
        <f>+LI!BG41+Auto!BG41</f>
        <v>-1121.6847400000006</v>
      </c>
    </row>
    <row r="41" spans="1:59" ht="14.1" customHeight="1" x14ac:dyDescent="0.2">
      <c r="A41" s="974" t="s">
        <v>225</v>
      </c>
      <c r="B41" s="972" t="str">
        <f>HYPERLINK(Menu!$AY$26,A41)</f>
        <v>Equivalência patrimonial</v>
      </c>
      <c r="C41" s="118">
        <f>+Auto!C42+LI!C42</f>
        <v>98</v>
      </c>
      <c r="D41" s="118">
        <f>+Auto!D42+LI!D42</f>
        <v>732</v>
      </c>
      <c r="E41" s="118">
        <f>+Auto!E42+LI!E42</f>
        <v>65</v>
      </c>
      <c r="F41" s="118">
        <f>+Auto!F42+LI!F42</f>
        <v>859</v>
      </c>
      <c r="G41" s="118">
        <f>+Auto!G42+LI!G42</f>
        <v>-728</v>
      </c>
      <c r="H41" s="118">
        <f>+Auto!H42+LI!H42</f>
        <v>-219</v>
      </c>
      <c r="I41" s="118">
        <f>+Auto!I42+LI!I42</f>
        <v>727</v>
      </c>
      <c r="J41" s="118">
        <f>+Auto!J42+LI!J42</f>
        <v>319</v>
      </c>
      <c r="K41" s="118">
        <f>+Auto!K42+LI!K42</f>
        <v>-200</v>
      </c>
      <c r="L41" s="118">
        <f>+Auto!L42+LI!L42</f>
        <v>68</v>
      </c>
      <c r="M41" s="118">
        <f>+Auto!M42+LI!M42</f>
        <v>409</v>
      </c>
      <c r="N41" s="118">
        <f>+Auto!N42+LI!N42</f>
        <v>2100</v>
      </c>
      <c r="O41" s="118">
        <f>+Auto!O42+LI!O42</f>
        <v>373</v>
      </c>
      <c r="P41" s="118">
        <f>+Auto!P42+LI!P42</f>
        <v>256</v>
      </c>
      <c r="Q41" s="118">
        <f>+Auto!Q42+LI!Q42</f>
        <v>785</v>
      </c>
      <c r="R41" s="118">
        <f>+Auto!R42+LI!R42</f>
        <v>453.33573000000024</v>
      </c>
      <c r="S41" s="118">
        <f>+Auto!S42+LI!S42</f>
        <v>-797.43479000000002</v>
      </c>
      <c r="T41" s="118">
        <f>+Auto!T42+LI!T42</f>
        <v>-908.26923000000011</v>
      </c>
      <c r="U41" s="118">
        <f>+Auto!U42+LI!U42</f>
        <v>-18.84490000000001</v>
      </c>
      <c r="V41" s="118">
        <f>+Auto!V42+LI!V42</f>
        <v>-465.49157000000025</v>
      </c>
      <c r="W41" s="118">
        <f>+LI!W42+Auto!W42</f>
        <v>-322.19973999999996</v>
      </c>
      <c r="X41" s="118">
        <f>+LI!X42+Auto!X42</f>
        <v>-379.92368999999991</v>
      </c>
      <c r="Y41" s="118">
        <f>+LI!Y42+Auto!Y42</f>
        <v>-656.57451999999967</v>
      </c>
      <c r="Z41" s="118">
        <f>+LI!Z42+Auto!Z42</f>
        <v>595.71961999999996</v>
      </c>
      <c r="AA41" s="118">
        <f>+LI!AA42+Auto!AA42</f>
        <v>-425.6678</v>
      </c>
      <c r="AB41" s="118">
        <f>+LI!AB42+Auto!AB42</f>
        <v>-226.81720999999999</v>
      </c>
      <c r="AC41" s="118">
        <f>+LI!AC42+Auto!AC42</f>
        <v>341.39789999999994</v>
      </c>
      <c r="AD41" s="118">
        <f>+LI!AD42+Auto!AD42</f>
        <v>681.55288999999982</v>
      </c>
      <c r="AE41" s="160">
        <f>+LI!AE42+Auto!AE42</f>
        <v>-528.95529999999997</v>
      </c>
      <c r="AF41" s="118">
        <f>+LI!AF42+Auto!AF42</f>
        <v>322.18200999999976</v>
      </c>
      <c r="AG41" s="118">
        <f>+LI!AG42+Auto!AG42</f>
        <v>843.61563999999998</v>
      </c>
      <c r="AH41" s="118">
        <f>+LI!AH42+Auto!AH42</f>
        <v>2349.8983000000007</v>
      </c>
      <c r="AI41" s="118">
        <f>+LI!AI42+Auto!AI42</f>
        <v>1394.2409299999999</v>
      </c>
      <c r="AJ41" s="118">
        <f>+LI!AJ42+Auto!AJ42</f>
        <v>2411.7455300000011</v>
      </c>
      <c r="AK41" s="118">
        <f>+LI!AK42+Auto!AK42</f>
        <v>2631.5309200000002</v>
      </c>
      <c r="AL41" s="118">
        <f>+LI!AL42+Auto!AL42</f>
        <v>-161.17881999999963</v>
      </c>
      <c r="AM41" s="118">
        <f>+LI!AM42+Auto!AM42</f>
        <v>810.82393999999999</v>
      </c>
      <c r="AN41" s="118">
        <f>+LI!AN42+Auto!AN42</f>
        <v>2401.2292212000002</v>
      </c>
      <c r="AO41" s="118">
        <f>+LI!AO42+Auto!AO42</f>
        <v>1798.9342100000001</v>
      </c>
      <c r="AP41" s="118">
        <f>+LI!AP42+Auto!AP42</f>
        <v>4231.8650899999993</v>
      </c>
      <c r="AQ41" s="118">
        <v>3013.2722072179999</v>
      </c>
      <c r="AR41" s="118">
        <f>+LI!AR42+Auto!AR42</f>
        <v>3005.6714555750004</v>
      </c>
      <c r="AS41" s="118">
        <f>+LI!AS42+Auto!AS42</f>
        <v>2435.9022783999999</v>
      </c>
      <c r="AT41" s="118">
        <f>+LI!AT42+Auto!AT42</f>
        <v>2116.9677172000006</v>
      </c>
      <c r="AU41" s="118">
        <f>+LI!AU42+Auto!AU42</f>
        <v>3837.901907800001</v>
      </c>
      <c r="AV41" s="118">
        <v>2883.4226600000002</v>
      </c>
      <c r="AW41" s="118">
        <f>+LI!AW42+Auto!AW42</f>
        <v>5093.8337000000001</v>
      </c>
      <c r="AX41" s="118">
        <f>+LI!AX42+Auto!AX42</f>
        <v>4439.7830400000003</v>
      </c>
      <c r="AY41" s="118">
        <v>6603.9437900000003</v>
      </c>
      <c r="AZ41" s="118">
        <v>9362.2939999999999</v>
      </c>
      <c r="BA41" s="118">
        <v>7432.3453100000006</v>
      </c>
      <c r="BB41" s="118">
        <v>5865.9073797000028</v>
      </c>
      <c r="BC41" s="118">
        <v>6307.3868199999988</v>
      </c>
      <c r="BD41" s="118">
        <v>8941.1631000000052</v>
      </c>
      <c r="BE41" s="118">
        <v>7375.3358299999991</v>
      </c>
      <c r="BF41" s="118">
        <v>4187.0581799999964</v>
      </c>
      <c r="BG41" s="118">
        <f>+LI!BG42+Auto!BG42</f>
        <v>1431.1688000000004</v>
      </c>
    </row>
    <row r="42" spans="1:59" ht="14.1" customHeight="1" x14ac:dyDescent="0.2">
      <c r="A42" s="632"/>
      <c r="B42" s="119" t="s">
        <v>14</v>
      </c>
      <c r="C42" s="120">
        <f t="shared" ref="C42:AQ42" si="22">+SUM(C39:C41)</f>
        <v>22328</v>
      </c>
      <c r="D42" s="120">
        <f t="shared" si="22"/>
        <v>27801</v>
      </c>
      <c r="E42" s="120">
        <f t="shared" si="22"/>
        <v>39093</v>
      </c>
      <c r="F42" s="120">
        <f t="shared" si="22"/>
        <v>31594</v>
      </c>
      <c r="G42" s="120">
        <f t="shared" si="22"/>
        <v>2305</v>
      </c>
      <c r="H42" s="120">
        <f t="shared" si="22"/>
        <v>29562</v>
      </c>
      <c r="I42" s="120">
        <f t="shared" si="22"/>
        <v>22230</v>
      </c>
      <c r="J42" s="120">
        <f t="shared" si="22"/>
        <v>17869</v>
      </c>
      <c r="K42" s="120">
        <f t="shared" si="22"/>
        <v>898</v>
      </c>
      <c r="L42" s="120">
        <f t="shared" si="22"/>
        <v>20706</v>
      </c>
      <c r="M42" s="120">
        <f t="shared" si="22"/>
        <v>23443</v>
      </c>
      <c r="N42" s="120">
        <f t="shared" si="22"/>
        <v>40919</v>
      </c>
      <c r="O42" s="120">
        <f t="shared" si="22"/>
        <v>10729</v>
      </c>
      <c r="P42" s="120">
        <f t="shared" si="22"/>
        <v>1696</v>
      </c>
      <c r="Q42" s="120">
        <f t="shared" si="22"/>
        <v>8172</v>
      </c>
      <c r="R42" s="120">
        <f t="shared" si="22"/>
        <v>-9419.4256000000296</v>
      </c>
      <c r="S42" s="120">
        <f t="shared" si="22"/>
        <v>-2086.8340600000274</v>
      </c>
      <c r="T42" s="120">
        <f t="shared" si="22"/>
        <v>521.02276000003508</v>
      </c>
      <c r="U42" s="120">
        <f t="shared" si="22"/>
        <v>7020.3861899999847</v>
      </c>
      <c r="V42" s="120">
        <f t="shared" si="22"/>
        <v>21346.167470000004</v>
      </c>
      <c r="W42" s="120">
        <f t="shared" si="22"/>
        <v>9751.1492000000271</v>
      </c>
      <c r="X42" s="120">
        <f t="shared" si="22"/>
        <v>16289.862300000037</v>
      </c>
      <c r="Y42" s="120">
        <f t="shared" si="22"/>
        <v>24166.161749999988</v>
      </c>
      <c r="Z42" s="120">
        <f t="shared" si="22"/>
        <v>67285.740540000013</v>
      </c>
      <c r="AA42" s="120">
        <f t="shared" si="22"/>
        <v>20228.373630000009</v>
      </c>
      <c r="AB42" s="120">
        <f t="shared" si="22"/>
        <v>35186.010869999962</v>
      </c>
      <c r="AC42" s="120">
        <f t="shared" si="22"/>
        <v>41036.324519999936</v>
      </c>
      <c r="AD42" s="120">
        <f t="shared" si="22"/>
        <v>47844.218080000021</v>
      </c>
      <c r="AE42" s="162">
        <f t="shared" si="22"/>
        <v>38196.874890000065</v>
      </c>
      <c r="AF42" s="120">
        <f t="shared" si="22"/>
        <v>43438.23685000003</v>
      </c>
      <c r="AG42" s="120">
        <f t="shared" si="22"/>
        <v>131448.98283000008</v>
      </c>
      <c r="AH42" s="120">
        <f t="shared" si="22"/>
        <v>52214.259120000024</v>
      </c>
      <c r="AI42" s="120">
        <f t="shared" si="22"/>
        <v>26137.293390000006</v>
      </c>
      <c r="AJ42" s="120">
        <f t="shared" si="22"/>
        <v>-8987.3549800000219</v>
      </c>
      <c r="AK42" s="120">
        <f t="shared" si="22"/>
        <v>41959.816120000018</v>
      </c>
      <c r="AL42" s="120">
        <f t="shared" si="22"/>
        <v>37941.838950000027</v>
      </c>
      <c r="AM42" s="120">
        <f t="shared" si="22"/>
        <v>28149.525060000004</v>
      </c>
      <c r="AN42" s="120">
        <f t="shared" si="22"/>
        <v>32336.520711199966</v>
      </c>
      <c r="AO42" s="120">
        <f t="shared" si="22"/>
        <v>24630.560200000004</v>
      </c>
      <c r="AP42" s="120">
        <f t="shared" si="22"/>
        <v>39269.876089999903</v>
      </c>
      <c r="AQ42" s="120">
        <f t="shared" si="22"/>
        <v>24073.300787217966</v>
      </c>
      <c r="AR42" s="120">
        <f>+SUM(AR39:AR41)</f>
        <v>38629.009675574947</v>
      </c>
      <c r="AS42" s="120">
        <f>+SUM(AS39:AS41)</f>
        <v>71117.286708399959</v>
      </c>
      <c r="AT42" s="120">
        <f>+SUM(AT39:AT41)</f>
        <v>74075.397767199946</v>
      </c>
      <c r="AU42" s="120">
        <f>+SUM(AU39:AU41)</f>
        <v>45356.504097799865</v>
      </c>
      <c r="AV42" s="120">
        <v>50438.467710000055</v>
      </c>
      <c r="AW42" s="120">
        <f t="shared" ref="AW42:BD42" si="23">+SUM(AW39:AW41)</f>
        <v>73080.841300000058</v>
      </c>
      <c r="AX42" s="120">
        <f t="shared" si="23"/>
        <v>66601.116690000243</v>
      </c>
      <c r="AY42" s="120">
        <f t="shared" si="23"/>
        <v>53124.419359999818</v>
      </c>
      <c r="AZ42" s="120">
        <f t="shared" si="23"/>
        <v>84658.85205999999</v>
      </c>
      <c r="BA42" s="120">
        <f t="shared" si="23"/>
        <v>120378.99087000008</v>
      </c>
      <c r="BB42" s="120">
        <f t="shared" si="23"/>
        <v>119306.46871969991</v>
      </c>
      <c r="BC42" s="120">
        <f t="shared" si="23"/>
        <v>62512.911169999934</v>
      </c>
      <c r="BD42" s="120">
        <f t="shared" si="23"/>
        <v>91845.928139999785</v>
      </c>
      <c r="BE42" s="120">
        <f>+SUM(BE39:BE41)</f>
        <v>111923.08006000005</v>
      </c>
      <c r="BF42" s="120">
        <f>+SUM(BF39:BF41)</f>
        <v>72089.762640000001</v>
      </c>
      <c r="BG42" s="120">
        <f>+SUM(BG39:BG41)</f>
        <v>57821.984770000126</v>
      </c>
    </row>
    <row r="43" spans="1:59" ht="14.1" customHeight="1" x14ac:dyDescent="0.2">
      <c r="A43" s="974" t="s">
        <v>15</v>
      </c>
      <c r="B43" s="972" t="str">
        <f>HYPERLINK(Menu!$AY$32,A43)</f>
        <v>Imposto de renda e contribuição social</v>
      </c>
      <c r="C43" s="118">
        <f>+Auto!C44+LI!C44</f>
        <v>-8014</v>
      </c>
      <c r="D43" s="118">
        <f>+Auto!D44+LI!D44</f>
        <v>-8880</v>
      </c>
      <c r="E43" s="118">
        <f>+Auto!E44+LI!E44</f>
        <v>-8831</v>
      </c>
      <c r="F43" s="118">
        <f>+Auto!F44+LI!F44</f>
        <v>-14616</v>
      </c>
      <c r="G43" s="118">
        <f>+Auto!G44+LI!G44</f>
        <v>-1306</v>
      </c>
      <c r="H43" s="118">
        <f>+Auto!H44+LI!H44</f>
        <v>-14353</v>
      </c>
      <c r="I43" s="118">
        <f>+Auto!I44+LI!I44</f>
        <v>-3882</v>
      </c>
      <c r="J43" s="118">
        <f>+Auto!J44+LI!J44</f>
        <v>-12950</v>
      </c>
      <c r="K43" s="118">
        <f>+Auto!K44+LI!K44</f>
        <v>405</v>
      </c>
      <c r="L43" s="118">
        <f>+Auto!L44+LI!L44</f>
        <v>-1432</v>
      </c>
      <c r="M43" s="118">
        <f>+Auto!M44+LI!M44</f>
        <v>-24998</v>
      </c>
      <c r="N43" s="118">
        <f>+Auto!N44+LI!N44</f>
        <v>-27524</v>
      </c>
      <c r="O43" s="118">
        <f>+Auto!O44+LI!O44</f>
        <v>-3229</v>
      </c>
      <c r="P43" s="118">
        <f>+Auto!P44+LI!P44</f>
        <v>-512</v>
      </c>
      <c r="Q43" s="118">
        <f>+Auto!Q44+LI!Q44</f>
        <v>-3071</v>
      </c>
      <c r="R43" s="118">
        <f>+Auto!R44+LI!R44</f>
        <v>5565.3430946000008</v>
      </c>
      <c r="S43" s="118">
        <f>+Auto!S44+LI!S44</f>
        <v>183.8628799999999</v>
      </c>
      <c r="T43" s="118">
        <f>+Auto!T44+LI!T44</f>
        <v>-1208.8514899999998</v>
      </c>
      <c r="U43" s="118">
        <f>+Auto!U44+LI!U44</f>
        <v>-3177.8091100000006</v>
      </c>
      <c r="V43" s="118">
        <f>+Auto!V44+LI!V44</f>
        <v>-8770.0601499999993</v>
      </c>
      <c r="W43" s="118">
        <f>+LI!W44+Auto!W44</f>
        <v>-4298.9159999999993</v>
      </c>
      <c r="X43" s="261">
        <f>+LI!X44+Auto!X44</f>
        <v>7766.8676800000003</v>
      </c>
      <c r="Y43" s="118">
        <f>+LI!Y44+Auto!Y44</f>
        <v>-8879.3011299999998</v>
      </c>
      <c r="Z43" s="261">
        <f>+LI!Z44+Auto!Z44</f>
        <v>-8319.4488999999976</v>
      </c>
      <c r="AA43" s="118">
        <f>+LI!AA44+Auto!AA44</f>
        <v>-6233.9323800000002</v>
      </c>
      <c r="AB43" s="118">
        <f>+LI!AB44+Auto!AB44</f>
        <v>-7000.1369300000006</v>
      </c>
      <c r="AC43" s="118">
        <f>+LI!AC44+Auto!AC44</f>
        <v>-9929.7333699999981</v>
      </c>
      <c r="AD43" s="261">
        <f>+LI!AD44+Auto!AD44</f>
        <v>-12883.216170000002</v>
      </c>
      <c r="AE43" s="160">
        <f>+LI!AE44+Auto!AE44</f>
        <v>-11575.73976</v>
      </c>
      <c r="AF43" s="118">
        <f>+LI!AF44+Auto!AF44</f>
        <v>-10923.94203</v>
      </c>
      <c r="AG43" s="261">
        <f>+LI!AG44+Auto!AG44</f>
        <v>-40057.514450000002</v>
      </c>
      <c r="AH43" s="118">
        <f>+LI!AH44+Auto!AH44</f>
        <v>-8769.3005799999992</v>
      </c>
      <c r="AI43" s="118">
        <f>+LI!AI44+Auto!AI44</f>
        <v>-6850.9689300000009</v>
      </c>
      <c r="AJ43" s="118">
        <f>+LI!AJ44+Auto!AJ44</f>
        <v>4624.6438900000012</v>
      </c>
      <c r="AK43" s="118">
        <f>+LI!AK44+Auto!AK44</f>
        <v>-12021.130279999999</v>
      </c>
      <c r="AL43" s="118">
        <f>+LI!AL44+Auto!AL44</f>
        <v>-9295.3423600000006</v>
      </c>
      <c r="AM43" s="118">
        <f>+LI!AM44+Auto!AM44</f>
        <v>-7991.2797200000005</v>
      </c>
      <c r="AN43" s="118">
        <f>+LI!AN44+Auto!AN44</f>
        <v>-8180.5598599999994</v>
      </c>
      <c r="AO43" s="261">
        <f>+LI!AO44+Auto!AO44</f>
        <v>9562.4248899999984</v>
      </c>
      <c r="AP43" s="118">
        <f>+LI!AP44+Auto!AP44</f>
        <v>-9991.3930699999983</v>
      </c>
      <c r="AQ43" s="118">
        <v>-5290.6915800000006</v>
      </c>
      <c r="AR43" s="118">
        <f>+LI!AR44+Auto!AR44</f>
        <v>-8048.3106199999993</v>
      </c>
      <c r="AS43" s="118">
        <f>+LI!AS44+Auto!AS44</f>
        <v>-17648.283640000001</v>
      </c>
      <c r="AT43" s="118">
        <f>+LI!AT44+Auto!AT44</f>
        <v>-17243.035920000002</v>
      </c>
      <c r="AU43" s="118">
        <f>+LI!AU44+Auto!AU44</f>
        <v>-10633.6551</v>
      </c>
      <c r="AV43" s="118">
        <v>-10582.149069999999</v>
      </c>
      <c r="AW43" s="118">
        <f>+LI!AW44+Auto!AW44</f>
        <v>-16768.140070000001</v>
      </c>
      <c r="AX43" s="118">
        <f>+LI!AX44+Auto!AX44</f>
        <v>-15580.42518</v>
      </c>
      <c r="AY43" s="118">
        <v>-15609.35252</v>
      </c>
      <c r="AZ43" s="118">
        <v>-21144.194380000001</v>
      </c>
      <c r="BA43" s="118">
        <v>-35933.303370000001</v>
      </c>
      <c r="BB43" s="118">
        <v>-34169.50647</v>
      </c>
      <c r="BC43" s="118">
        <v>-18778.226869999999</v>
      </c>
      <c r="BD43" s="118">
        <v>-24727.419259999999</v>
      </c>
      <c r="BE43" s="118">
        <v>-32032.358809999998</v>
      </c>
      <c r="BF43" s="118">
        <v>-19871.384719999998</v>
      </c>
      <c r="BG43" s="118">
        <f>+LI!BG44+Auto!BG44</f>
        <v>-19037.088649999998</v>
      </c>
    </row>
    <row r="44" spans="1:59" ht="14.1" hidden="1" customHeight="1" outlineLevel="1" x14ac:dyDescent="0.2">
      <c r="A44" s="632"/>
      <c r="B44" s="119" t="s">
        <v>57</v>
      </c>
      <c r="C44" s="120">
        <f t="shared" ref="C44:AN44" si="24">SUM(C42:C43)</f>
        <v>14314</v>
      </c>
      <c r="D44" s="120">
        <f t="shared" si="24"/>
        <v>18921</v>
      </c>
      <c r="E44" s="120">
        <f t="shared" si="24"/>
        <v>30262</v>
      </c>
      <c r="F44" s="120">
        <f t="shared" si="24"/>
        <v>16978</v>
      </c>
      <c r="G44" s="120">
        <f t="shared" si="24"/>
        <v>999</v>
      </c>
      <c r="H44" s="120">
        <f t="shared" si="24"/>
        <v>15209</v>
      </c>
      <c r="I44" s="120">
        <f t="shared" si="24"/>
        <v>18348</v>
      </c>
      <c r="J44" s="120">
        <f t="shared" si="24"/>
        <v>4919</v>
      </c>
      <c r="K44" s="120">
        <f t="shared" si="24"/>
        <v>1303</v>
      </c>
      <c r="L44" s="120">
        <f t="shared" si="24"/>
        <v>19274</v>
      </c>
      <c r="M44" s="120">
        <f t="shared" si="24"/>
        <v>-1555</v>
      </c>
      <c r="N44" s="120">
        <f t="shared" si="24"/>
        <v>13395</v>
      </c>
      <c r="O44" s="120">
        <f t="shared" si="24"/>
        <v>7500</v>
      </c>
      <c r="P44" s="120">
        <f t="shared" si="24"/>
        <v>1184</v>
      </c>
      <c r="Q44" s="120">
        <f t="shared" si="24"/>
        <v>5101</v>
      </c>
      <c r="R44" s="120">
        <f t="shared" si="24"/>
        <v>-3854.0825054000288</v>
      </c>
      <c r="S44" s="120">
        <f t="shared" si="24"/>
        <v>-1902.9711800000275</v>
      </c>
      <c r="T44" s="120">
        <f t="shared" si="24"/>
        <v>-687.82872999996471</v>
      </c>
      <c r="U44" s="120">
        <f t="shared" si="24"/>
        <v>3842.5770799999841</v>
      </c>
      <c r="V44" s="120">
        <f t="shared" si="24"/>
        <v>12576.107320000005</v>
      </c>
      <c r="W44" s="120">
        <f t="shared" si="24"/>
        <v>5452.2332000000279</v>
      </c>
      <c r="X44" s="120">
        <f t="shared" si="24"/>
        <v>24056.729980000036</v>
      </c>
      <c r="Y44" s="120">
        <f t="shared" si="24"/>
        <v>15286.860619999989</v>
      </c>
      <c r="Z44" s="120">
        <f t="shared" si="24"/>
        <v>58966.291640000018</v>
      </c>
      <c r="AA44" s="120">
        <f t="shared" si="24"/>
        <v>13994.441250000009</v>
      </c>
      <c r="AB44" s="120">
        <f t="shared" si="24"/>
        <v>28185.873939999961</v>
      </c>
      <c r="AC44" s="120">
        <f t="shared" si="24"/>
        <v>31106.591149999938</v>
      </c>
      <c r="AD44" s="120">
        <f t="shared" si="24"/>
        <v>34961.001910000021</v>
      </c>
      <c r="AE44" s="162">
        <f t="shared" si="24"/>
        <v>26621.135130000064</v>
      </c>
      <c r="AF44" s="120">
        <f t="shared" si="24"/>
        <v>32514.294820000032</v>
      </c>
      <c r="AG44" s="120">
        <f t="shared" si="24"/>
        <v>91391.468380000078</v>
      </c>
      <c r="AH44" s="120">
        <f t="shared" si="24"/>
        <v>43444.958540000021</v>
      </c>
      <c r="AI44" s="120">
        <f t="shared" si="24"/>
        <v>19286.324460000003</v>
      </c>
      <c r="AJ44" s="120">
        <f t="shared" si="24"/>
        <v>-4362.7110900000207</v>
      </c>
      <c r="AK44" s="120">
        <f t="shared" si="24"/>
        <v>29938.68584000002</v>
      </c>
      <c r="AL44" s="120">
        <f t="shared" si="24"/>
        <v>28646.496590000024</v>
      </c>
      <c r="AM44" s="120">
        <f t="shared" si="24"/>
        <v>20158.245340000001</v>
      </c>
      <c r="AN44" s="120">
        <f t="shared" si="24"/>
        <v>24155.960851199969</v>
      </c>
      <c r="AO44" s="120">
        <f t="shared" ref="AO44:AT44" si="25">SUM(AO42:AO43)</f>
        <v>34192.985090000002</v>
      </c>
      <c r="AP44" s="120">
        <f t="shared" si="25"/>
        <v>29278.483019999905</v>
      </c>
      <c r="AQ44" s="120">
        <f t="shared" si="25"/>
        <v>18782.609207217967</v>
      </c>
      <c r="AR44" s="120">
        <f t="shared" si="25"/>
        <v>30580.699055574947</v>
      </c>
      <c r="AS44" s="120">
        <f t="shared" si="25"/>
        <v>53469.003068399958</v>
      </c>
      <c r="AT44" s="120">
        <f t="shared" si="25"/>
        <v>56832.361847199943</v>
      </c>
      <c r="AU44" s="120">
        <f>SUM(AU42:AU43)</f>
        <v>34722.848997799869</v>
      </c>
      <c r="AV44" s="120">
        <v>39856.318640000056</v>
      </c>
      <c r="AW44" s="120">
        <f t="shared" ref="AW44:BD44" si="26">SUM(AW42:AW43)</f>
        <v>56312.701230000057</v>
      </c>
      <c r="AX44" s="120">
        <f t="shared" si="26"/>
        <v>51020.691510000244</v>
      </c>
      <c r="AY44" s="120">
        <f t="shared" si="26"/>
        <v>37515.066839999818</v>
      </c>
      <c r="AZ44" s="120">
        <f t="shared" si="26"/>
        <v>63514.657679999989</v>
      </c>
      <c r="BA44" s="120">
        <f t="shared" si="26"/>
        <v>84445.687500000087</v>
      </c>
      <c r="BB44" s="120">
        <f t="shared" si="26"/>
        <v>85136.962249699922</v>
      </c>
      <c r="BC44" s="120">
        <f t="shared" si="26"/>
        <v>43734.684299999935</v>
      </c>
      <c r="BD44" s="120">
        <f t="shared" si="26"/>
        <v>67118.50887999979</v>
      </c>
      <c r="BE44" s="120">
        <f>SUM(BE42:BE43)</f>
        <v>79890.721250000061</v>
      </c>
      <c r="BF44" s="120">
        <f>SUM(BF42:BF43)</f>
        <v>52218.377919999999</v>
      </c>
      <c r="BG44" s="120">
        <f>SUM(BG42:BG43)</f>
        <v>38784.896120000129</v>
      </c>
    </row>
    <row r="45" spans="1:59" s="220" customFormat="1" ht="14.1" hidden="1" customHeight="1" outlineLevel="1" x14ac:dyDescent="0.2">
      <c r="A45" s="632"/>
      <c r="B45" s="229" t="s">
        <v>868</v>
      </c>
      <c r="C45" s="225">
        <f>+Auto!C46+LI!C46</f>
        <v>0</v>
      </c>
      <c r="D45" s="225">
        <f>+Auto!D46+LI!D46</f>
        <v>0</v>
      </c>
      <c r="E45" s="225">
        <f>+Auto!E46+LI!E46</f>
        <v>0</v>
      </c>
      <c r="F45" s="225">
        <f>+Auto!F46+LI!F46</f>
        <v>0</v>
      </c>
      <c r="G45" s="225">
        <f>+Auto!G46+LI!G46</f>
        <v>0</v>
      </c>
      <c r="H45" s="225">
        <f>+Auto!H46+LI!H46</f>
        <v>0</v>
      </c>
      <c r="I45" s="225">
        <f>+Auto!I46+LI!I46</f>
        <v>0</v>
      </c>
      <c r="J45" s="225">
        <f>+Auto!J46+LI!J46</f>
        <v>0</v>
      </c>
      <c r="K45" s="225">
        <f>+Auto!K46+LI!K46</f>
        <v>0</v>
      </c>
      <c r="L45" s="225">
        <f>+Auto!L46+LI!L46</f>
        <v>-29236</v>
      </c>
      <c r="M45" s="225">
        <f>+Auto!M46+LI!M46</f>
        <v>-21062</v>
      </c>
      <c r="N45" s="225">
        <f>+Auto!N46+LI!N46</f>
        <v>0</v>
      </c>
      <c r="O45" s="225">
        <f>+Auto!O46+LI!O46</f>
        <v>0</v>
      </c>
      <c r="P45" s="225">
        <f>+Auto!P46+LI!P46</f>
        <v>0</v>
      </c>
      <c r="Q45" s="225">
        <f>+Auto!Q46+LI!Q46</f>
        <v>0</v>
      </c>
      <c r="R45" s="225">
        <f>+Auto!R46+LI!R46</f>
        <v>0</v>
      </c>
      <c r="S45" s="225">
        <f>+Auto!S46+LI!S46</f>
        <v>0</v>
      </c>
      <c r="T45" s="225">
        <f>+Auto!T46+LI!T46</f>
        <v>0</v>
      </c>
      <c r="U45" s="225">
        <f>+Auto!U46+LI!U46</f>
        <v>0</v>
      </c>
      <c r="V45" s="225">
        <f>+Auto!V46+LI!V46</f>
        <v>0</v>
      </c>
      <c r="W45" s="225">
        <f>+Auto!W46+LI!W46</f>
        <v>0</v>
      </c>
      <c r="X45" s="225">
        <f>+Auto!X46+LI!X46</f>
        <v>0</v>
      </c>
      <c r="Y45" s="225">
        <f>+Auto!Y46+LI!Y46</f>
        <v>0</v>
      </c>
      <c r="Z45" s="225">
        <f>+Auto!Z46+LI!Z46</f>
        <v>0</v>
      </c>
      <c r="AA45" s="121">
        <f>+Auto!AA46+LI!AA46</f>
        <v>0</v>
      </c>
      <c r="AB45" s="121">
        <f>+Auto!AB46+LI!AB46</f>
        <v>0</v>
      </c>
      <c r="AC45" s="121">
        <f>+Auto!AC46+LI!AC46</f>
        <v>0</v>
      </c>
      <c r="AD45" s="121">
        <f>+Auto!AD46+LI!AD46</f>
        <v>0</v>
      </c>
      <c r="AE45" s="734">
        <v>0</v>
      </c>
      <c r="AF45" s="121">
        <v>0</v>
      </c>
      <c r="AG45" s="121">
        <v>0</v>
      </c>
      <c r="AH45" s="121">
        <v>0</v>
      </c>
      <c r="AI45" s="121">
        <v>0</v>
      </c>
      <c r="AJ45" s="121">
        <v>0</v>
      </c>
      <c r="AK45" s="121">
        <v>0</v>
      </c>
      <c r="AL45" s="121">
        <v>0</v>
      </c>
      <c r="AM45" s="121">
        <v>0</v>
      </c>
      <c r="AN45" s="121">
        <v>0</v>
      </c>
      <c r="AO45" s="121">
        <v>0</v>
      </c>
      <c r="AP45" s="121">
        <v>0</v>
      </c>
      <c r="AQ45" s="121">
        <v>0</v>
      </c>
      <c r="AR45" s="121">
        <v>0</v>
      </c>
      <c r="AS45" s="121">
        <v>0</v>
      </c>
      <c r="AT45" s="121">
        <v>0</v>
      </c>
      <c r="AU45" s="121">
        <v>0</v>
      </c>
      <c r="AV45" s="121">
        <v>0</v>
      </c>
      <c r="AW45" s="121">
        <v>0</v>
      </c>
      <c r="AX45" s="121">
        <v>0</v>
      </c>
      <c r="AY45" s="121">
        <v>0</v>
      </c>
      <c r="AZ45" s="121">
        <v>0</v>
      </c>
      <c r="BA45" s="121"/>
      <c r="BB45" s="121">
        <v>0</v>
      </c>
      <c r="BC45" s="121">
        <v>0</v>
      </c>
      <c r="BD45" s="121">
        <v>0</v>
      </c>
      <c r="BE45" s="121">
        <v>0</v>
      </c>
      <c r="BF45" s="121">
        <v>0</v>
      </c>
      <c r="BG45" s="121">
        <v>0</v>
      </c>
    </row>
    <row r="46" spans="1:59" s="220" customFormat="1" ht="14.1" hidden="1" customHeight="1" outlineLevel="1" x14ac:dyDescent="0.2">
      <c r="A46" s="632"/>
      <c r="B46" s="229" t="s">
        <v>869</v>
      </c>
      <c r="C46" s="225">
        <f>+Auto!C47+LI!C47</f>
        <v>-417</v>
      </c>
      <c r="D46" s="225">
        <f>+Auto!D47+LI!D47</f>
        <v>217</v>
      </c>
      <c r="E46" s="225">
        <f>+Auto!E47+LI!E47</f>
        <v>2658</v>
      </c>
      <c r="F46" s="225">
        <f>+Auto!F47+LI!F47</f>
        <v>434</v>
      </c>
      <c r="G46" s="225">
        <f>+Auto!G47+LI!G47</f>
        <v>3223</v>
      </c>
      <c r="H46" s="225">
        <f>+Auto!H47+LI!H47</f>
        <v>2704</v>
      </c>
      <c r="I46" s="225">
        <f>+Auto!I47+LI!I47</f>
        <v>2744</v>
      </c>
      <c r="J46" s="225">
        <f>+Auto!J47+LI!J47</f>
        <v>1309</v>
      </c>
      <c r="K46" s="225">
        <f>+Auto!K47+LI!K47</f>
        <v>-4</v>
      </c>
      <c r="L46" s="225">
        <f>+Auto!L47+LI!L47</f>
        <v>-7</v>
      </c>
      <c r="M46" s="225">
        <f>+Auto!M47+LI!M47</f>
        <v>-5069</v>
      </c>
      <c r="N46" s="225">
        <f>+Auto!N47+LI!N47</f>
        <v>-2</v>
      </c>
      <c r="O46" s="225">
        <f>+Auto!O47+LI!O47</f>
        <v>0</v>
      </c>
      <c r="P46" s="225">
        <f>+Auto!P47+LI!P47</f>
        <v>0</v>
      </c>
      <c r="Q46" s="225">
        <f>+Auto!Q47+LI!Q47</f>
        <v>0</v>
      </c>
      <c r="R46" s="225">
        <f>+Auto!R47+LI!R47</f>
        <v>0</v>
      </c>
      <c r="S46" s="225">
        <f>+Auto!S47+LI!S47</f>
        <v>0</v>
      </c>
      <c r="T46" s="225">
        <f>+Auto!T47+LI!T47</f>
        <v>0</v>
      </c>
      <c r="U46" s="225">
        <f>+Auto!U47+LI!U47</f>
        <v>0</v>
      </c>
      <c r="V46" s="225">
        <f>+Auto!V47+LI!V47</f>
        <v>0</v>
      </c>
      <c r="W46" s="225">
        <f>+Auto!W47+LI!W47</f>
        <v>0</v>
      </c>
      <c r="X46" s="225">
        <f>+Auto!X47+LI!X47</f>
        <v>0</v>
      </c>
      <c r="Y46" s="225">
        <f>+Auto!Y47+LI!Y47</f>
        <v>0</v>
      </c>
      <c r="Z46" s="225">
        <f>+Auto!Z47+LI!Z47</f>
        <v>0</v>
      </c>
      <c r="AA46" s="121">
        <f>+Auto!AA47+LI!AA47</f>
        <v>0</v>
      </c>
      <c r="AB46" s="121">
        <f>+Auto!AB47+LI!AB47</f>
        <v>0</v>
      </c>
      <c r="AC46" s="121">
        <f>+Auto!AC47+LI!AC47</f>
        <v>0</v>
      </c>
      <c r="AD46" s="121">
        <f>+Auto!AD47+LI!AD47</f>
        <v>0</v>
      </c>
      <c r="AE46" s="734">
        <v>0</v>
      </c>
      <c r="AF46" s="121">
        <v>0</v>
      </c>
      <c r="AG46" s="121">
        <v>0</v>
      </c>
      <c r="AH46" s="121">
        <v>0</v>
      </c>
      <c r="AI46" s="121">
        <v>0</v>
      </c>
      <c r="AJ46" s="121">
        <v>0</v>
      </c>
      <c r="AK46" s="121">
        <v>0</v>
      </c>
      <c r="AL46" s="121">
        <v>0</v>
      </c>
      <c r="AM46" s="121">
        <v>0</v>
      </c>
      <c r="AN46" s="121">
        <v>0</v>
      </c>
      <c r="AO46" s="121">
        <v>0</v>
      </c>
      <c r="AP46" s="121">
        <v>0</v>
      </c>
      <c r="AQ46" s="121">
        <v>0</v>
      </c>
      <c r="AR46" s="121">
        <v>0</v>
      </c>
      <c r="AS46" s="121">
        <v>0</v>
      </c>
      <c r="AT46" s="121">
        <v>0</v>
      </c>
      <c r="AU46" s="121">
        <v>0</v>
      </c>
      <c r="AV46" s="121">
        <v>0</v>
      </c>
      <c r="AW46" s="121">
        <v>0</v>
      </c>
      <c r="AX46" s="121">
        <v>0</v>
      </c>
      <c r="AY46" s="121">
        <v>0</v>
      </c>
      <c r="AZ46" s="121">
        <v>0</v>
      </c>
      <c r="BA46" s="121"/>
      <c r="BB46" s="121">
        <v>0</v>
      </c>
      <c r="BC46" s="121">
        <v>0</v>
      </c>
      <c r="BD46" s="121">
        <v>0</v>
      </c>
      <c r="BE46" s="121">
        <v>0</v>
      </c>
      <c r="BF46" s="121">
        <v>0</v>
      </c>
      <c r="BG46" s="121">
        <v>0</v>
      </c>
    </row>
    <row r="47" spans="1:59" s="220" customFormat="1" ht="14.1" hidden="1" customHeight="1" outlineLevel="1" x14ac:dyDescent="0.2">
      <c r="A47" s="632"/>
      <c r="B47" s="229" t="s">
        <v>870</v>
      </c>
      <c r="C47" s="121" t="s">
        <v>160</v>
      </c>
      <c r="D47" s="121" t="s">
        <v>160</v>
      </c>
      <c r="E47" s="121" t="s">
        <v>160</v>
      </c>
      <c r="F47" s="121" t="s">
        <v>160</v>
      </c>
      <c r="G47" s="121" t="s">
        <v>160</v>
      </c>
      <c r="H47" s="121" t="s">
        <v>160</v>
      </c>
      <c r="I47" s="121" t="s">
        <v>160</v>
      </c>
      <c r="J47" s="121" t="s">
        <v>160</v>
      </c>
      <c r="K47" s="121" t="s">
        <v>160</v>
      </c>
      <c r="L47" s="121" t="s">
        <v>160</v>
      </c>
      <c r="M47" s="121" t="s">
        <v>160</v>
      </c>
      <c r="N47" s="121" t="s">
        <v>160</v>
      </c>
      <c r="O47" s="121" t="s">
        <v>160</v>
      </c>
      <c r="P47" s="121" t="s">
        <v>160</v>
      </c>
      <c r="Q47" s="121" t="s">
        <v>160</v>
      </c>
      <c r="R47" s="121" t="s">
        <v>160</v>
      </c>
      <c r="S47" s="121" t="s">
        <v>160</v>
      </c>
      <c r="T47" s="121" t="s">
        <v>160</v>
      </c>
      <c r="U47" s="121" t="s">
        <v>160</v>
      </c>
      <c r="V47" s="121" t="s">
        <v>160</v>
      </c>
      <c r="W47" s="121" t="s">
        <v>160</v>
      </c>
      <c r="X47" s="121" t="s">
        <v>160</v>
      </c>
      <c r="Y47" s="121" t="s">
        <v>160</v>
      </c>
      <c r="Z47" s="121" t="s">
        <v>160</v>
      </c>
      <c r="AA47" s="121" t="s">
        <v>160</v>
      </c>
      <c r="AB47" s="121" t="s">
        <v>160</v>
      </c>
      <c r="AC47" s="121" t="s">
        <v>160</v>
      </c>
      <c r="AD47" s="121" t="s">
        <v>160</v>
      </c>
      <c r="AE47" s="734">
        <v>0</v>
      </c>
      <c r="AF47" s="121">
        <v>0</v>
      </c>
      <c r="AG47" s="121">
        <v>0</v>
      </c>
      <c r="AH47" s="121">
        <v>0</v>
      </c>
      <c r="AI47" s="121">
        <v>0</v>
      </c>
      <c r="AJ47" s="121">
        <v>0</v>
      </c>
      <c r="AK47" s="121">
        <v>0</v>
      </c>
      <c r="AL47" s="121">
        <v>0</v>
      </c>
      <c r="AM47" s="121">
        <v>0</v>
      </c>
      <c r="AN47" s="121">
        <v>0</v>
      </c>
      <c r="AO47" s="121">
        <v>0</v>
      </c>
      <c r="AP47" s="121">
        <v>0</v>
      </c>
      <c r="AQ47" s="121">
        <v>0</v>
      </c>
      <c r="AR47" s="121">
        <v>0</v>
      </c>
      <c r="AS47" s="121">
        <v>0</v>
      </c>
      <c r="AT47" s="121">
        <v>0</v>
      </c>
      <c r="AU47" s="121">
        <v>0</v>
      </c>
      <c r="AV47" s="121">
        <v>0</v>
      </c>
      <c r="AW47" s="121">
        <v>0</v>
      </c>
      <c r="AX47" s="121">
        <v>0</v>
      </c>
      <c r="AY47" s="121">
        <v>0</v>
      </c>
      <c r="AZ47" s="121">
        <v>0</v>
      </c>
      <c r="BA47" s="121"/>
      <c r="BB47" s="121">
        <v>0</v>
      </c>
      <c r="BC47" s="121">
        <v>0</v>
      </c>
      <c r="BD47" s="121">
        <v>0</v>
      </c>
      <c r="BE47" s="121">
        <v>0</v>
      </c>
      <c r="BF47" s="121">
        <v>0</v>
      </c>
      <c r="BG47" s="121">
        <v>0</v>
      </c>
    </row>
    <row r="48" spans="1:59" ht="14.1" customHeight="1" collapsed="1" x14ac:dyDescent="0.2">
      <c r="A48" s="632"/>
      <c r="B48" s="119" t="s">
        <v>72</v>
      </c>
      <c r="C48" s="120">
        <f t="shared" ref="C48:AN48" si="27">SUM(C44:C47)</f>
        <v>13897</v>
      </c>
      <c r="D48" s="120">
        <f t="shared" si="27"/>
        <v>19138</v>
      </c>
      <c r="E48" s="120">
        <f t="shared" si="27"/>
        <v>32920</v>
      </c>
      <c r="F48" s="120">
        <f t="shared" si="27"/>
        <v>17412</v>
      </c>
      <c r="G48" s="120">
        <f t="shared" si="27"/>
        <v>4222</v>
      </c>
      <c r="H48" s="120">
        <f t="shared" si="27"/>
        <v>17913</v>
      </c>
      <c r="I48" s="120">
        <f t="shared" si="27"/>
        <v>21092</v>
      </c>
      <c r="J48" s="120">
        <f t="shared" si="27"/>
        <v>6228</v>
      </c>
      <c r="K48" s="120">
        <f t="shared" si="27"/>
        <v>1299</v>
      </c>
      <c r="L48" s="120">
        <f t="shared" si="27"/>
        <v>-9969</v>
      </c>
      <c r="M48" s="120">
        <f t="shared" si="27"/>
        <v>-27686</v>
      </c>
      <c r="N48" s="120">
        <f t="shared" si="27"/>
        <v>13393</v>
      </c>
      <c r="O48" s="120">
        <f t="shared" si="27"/>
        <v>7500</v>
      </c>
      <c r="P48" s="120">
        <f t="shared" si="27"/>
        <v>1184</v>
      </c>
      <c r="Q48" s="120">
        <f t="shared" si="27"/>
        <v>5101</v>
      </c>
      <c r="R48" s="120">
        <f t="shared" si="27"/>
        <v>-3854.0825054000288</v>
      </c>
      <c r="S48" s="120">
        <f t="shared" si="27"/>
        <v>-1902.9711800000275</v>
      </c>
      <c r="T48" s="120">
        <f t="shared" si="27"/>
        <v>-687.82872999996471</v>
      </c>
      <c r="U48" s="120">
        <f t="shared" si="27"/>
        <v>3842.5770799999841</v>
      </c>
      <c r="V48" s="120">
        <f t="shared" si="27"/>
        <v>12576.107320000005</v>
      </c>
      <c r="W48" s="120">
        <f t="shared" si="27"/>
        <v>5452.2332000000279</v>
      </c>
      <c r="X48" s="120">
        <f t="shared" si="27"/>
        <v>24056.729980000036</v>
      </c>
      <c r="Y48" s="120">
        <f t="shared" si="27"/>
        <v>15286.860619999989</v>
      </c>
      <c r="Z48" s="120">
        <f t="shared" si="27"/>
        <v>58966.291640000018</v>
      </c>
      <c r="AA48" s="120">
        <f t="shared" si="27"/>
        <v>13994.441250000009</v>
      </c>
      <c r="AB48" s="120">
        <f t="shared" si="27"/>
        <v>28185.873939999961</v>
      </c>
      <c r="AC48" s="120">
        <f t="shared" si="27"/>
        <v>31106.591149999938</v>
      </c>
      <c r="AD48" s="120">
        <f t="shared" si="27"/>
        <v>34961.001910000021</v>
      </c>
      <c r="AE48" s="162">
        <f t="shared" si="27"/>
        <v>26621.135130000064</v>
      </c>
      <c r="AF48" s="120">
        <f t="shared" si="27"/>
        <v>32514.294820000032</v>
      </c>
      <c r="AG48" s="120">
        <f t="shared" si="27"/>
        <v>91391.468380000078</v>
      </c>
      <c r="AH48" s="120">
        <f t="shared" si="27"/>
        <v>43444.958540000021</v>
      </c>
      <c r="AI48" s="120">
        <f t="shared" si="27"/>
        <v>19286.324460000003</v>
      </c>
      <c r="AJ48" s="120">
        <f t="shared" si="27"/>
        <v>-4362.7110900000207</v>
      </c>
      <c r="AK48" s="120">
        <f t="shared" si="27"/>
        <v>29938.68584000002</v>
      </c>
      <c r="AL48" s="120">
        <f t="shared" si="27"/>
        <v>28646.496590000024</v>
      </c>
      <c r="AM48" s="120">
        <f t="shared" si="27"/>
        <v>20158.245340000001</v>
      </c>
      <c r="AN48" s="120">
        <f t="shared" si="27"/>
        <v>24155.960851199969</v>
      </c>
      <c r="AO48" s="120">
        <f t="shared" ref="AO48:AT48" si="28">SUM(AO44:AO47)</f>
        <v>34192.985090000002</v>
      </c>
      <c r="AP48" s="120">
        <f t="shared" si="28"/>
        <v>29278.483019999905</v>
      </c>
      <c r="AQ48" s="120">
        <f t="shared" si="28"/>
        <v>18782.609207217967</v>
      </c>
      <c r="AR48" s="120">
        <f t="shared" si="28"/>
        <v>30580.699055574947</v>
      </c>
      <c r="AS48" s="120">
        <f t="shared" si="28"/>
        <v>53469.003068399958</v>
      </c>
      <c r="AT48" s="120">
        <f t="shared" si="28"/>
        <v>56832.361847199943</v>
      </c>
      <c r="AU48" s="120">
        <f>SUM(AU44:AU47)</f>
        <v>34722.848997799869</v>
      </c>
      <c r="AV48" s="120">
        <v>39856.318640000056</v>
      </c>
      <c r="AW48" s="120">
        <f t="shared" ref="AW48:BD48" si="29">SUM(AW44:AW47)</f>
        <v>56312.701230000057</v>
      </c>
      <c r="AX48" s="120">
        <f t="shared" si="29"/>
        <v>51020.691510000244</v>
      </c>
      <c r="AY48" s="120">
        <f t="shared" si="29"/>
        <v>37515.066839999818</v>
      </c>
      <c r="AZ48" s="120">
        <f t="shared" si="29"/>
        <v>63514.657679999989</v>
      </c>
      <c r="BA48" s="120">
        <f t="shared" si="29"/>
        <v>84445.687500000087</v>
      </c>
      <c r="BB48" s="120">
        <v>85136.962249699922</v>
      </c>
      <c r="BC48" s="120">
        <f t="shared" si="29"/>
        <v>43734.684299999935</v>
      </c>
      <c r="BD48" s="120">
        <f t="shared" si="29"/>
        <v>67118.50887999979</v>
      </c>
      <c r="BE48" s="120">
        <f>SUM(BE44:BE47)</f>
        <v>79890.721250000061</v>
      </c>
      <c r="BF48" s="120">
        <f>SUM(BF44:BF47)</f>
        <v>52218.377919999999</v>
      </c>
      <c r="BG48" s="120">
        <f>SUM(BG44:BG47)</f>
        <v>38784.896120000129</v>
      </c>
    </row>
    <row r="49" spans="1:59" ht="14.1" customHeight="1" x14ac:dyDescent="0.2">
      <c r="A49" s="17"/>
      <c r="B49" s="336" t="s">
        <v>870</v>
      </c>
      <c r="C49" s="121">
        <f>+Auto!C49+LI!C49</f>
        <v>0</v>
      </c>
      <c r="D49" s="121">
        <f>+Auto!D49+LI!D49</f>
        <v>0</v>
      </c>
      <c r="E49" s="121">
        <f>+Auto!E49+LI!E49</f>
        <v>0</v>
      </c>
      <c r="F49" s="121">
        <f>+Auto!F49+LI!F49</f>
        <v>0</v>
      </c>
      <c r="G49" s="121">
        <f>+Auto!G49+LI!G49</f>
        <v>0</v>
      </c>
      <c r="H49" s="121">
        <f>+Auto!H49+LI!H49</f>
        <v>0</v>
      </c>
      <c r="I49" s="121">
        <f>+Auto!I49+LI!I49</f>
        <v>0</v>
      </c>
      <c r="J49" s="121">
        <f>+Auto!J49+LI!J49</f>
        <v>0</v>
      </c>
      <c r="K49" s="121">
        <f>+Auto!K49+LI!K49</f>
        <v>0</v>
      </c>
      <c r="L49" s="121">
        <f>+Auto!L49+LI!L49</f>
        <v>0</v>
      </c>
      <c r="M49" s="121">
        <f>+Auto!M49+LI!M49</f>
        <v>0</v>
      </c>
      <c r="N49" s="121">
        <f>+Auto!N49+LI!N49</f>
        <v>0</v>
      </c>
      <c r="O49" s="121">
        <f>+Auto!O49+LI!O49</f>
        <v>0</v>
      </c>
      <c r="P49" s="121">
        <f>+Auto!P49+LI!P49</f>
        <v>0</v>
      </c>
      <c r="Q49" s="121">
        <f>+Auto!Q49+LI!Q49</f>
        <v>0</v>
      </c>
      <c r="R49" s="121">
        <f>+Auto!R49+LI!R49</f>
        <v>0</v>
      </c>
      <c r="S49" s="121">
        <f>+Auto!S49+LI!S49</f>
        <v>0</v>
      </c>
      <c r="T49" s="121">
        <f>+Auto!T49+LI!T49</f>
        <v>0</v>
      </c>
      <c r="U49" s="121">
        <f>+Auto!U49+LI!U49</f>
        <v>0</v>
      </c>
      <c r="V49" s="121">
        <f>+Auto!V49+LI!V49</f>
        <v>0</v>
      </c>
      <c r="W49" s="121">
        <f>+Auto!W49+LI!W49</f>
        <v>0</v>
      </c>
      <c r="X49" s="121">
        <f>+Auto!X49+LI!X49</f>
        <v>0</v>
      </c>
      <c r="Y49" s="121">
        <f>+Auto!Y49+LI!Y49</f>
        <v>0</v>
      </c>
      <c r="Z49" s="121">
        <f>+Auto!Z49+LI!Z49</f>
        <v>0</v>
      </c>
      <c r="AA49" s="121">
        <f>+Auto!AA49+LI!AA49</f>
        <v>0</v>
      </c>
      <c r="AB49" s="121">
        <f>+Auto!AB49+LI!AB49</f>
        <v>0</v>
      </c>
      <c r="AC49" s="121">
        <f>+Auto!AC49+LI!AC49</f>
        <v>0</v>
      </c>
      <c r="AD49" s="121">
        <f>+Auto!AD49+LI!AD49</f>
        <v>0</v>
      </c>
      <c r="AE49" s="734">
        <v>0</v>
      </c>
      <c r="AF49" s="121">
        <v>0</v>
      </c>
      <c r="AG49" s="121">
        <v>0</v>
      </c>
      <c r="AH49" s="121">
        <v>0</v>
      </c>
      <c r="AI49" s="121">
        <v>0</v>
      </c>
      <c r="AJ49" s="121">
        <v>0</v>
      </c>
      <c r="AK49" s="121">
        <v>0</v>
      </c>
      <c r="AL49" s="485">
        <v>-117</v>
      </c>
      <c r="AM49" s="485">
        <v>-90</v>
      </c>
      <c r="AN49" s="485">
        <v>-27.967488800000002</v>
      </c>
      <c r="AO49" s="485">
        <v>-44</v>
      </c>
      <c r="AP49" s="485">
        <v>-146</v>
      </c>
      <c r="AQ49" s="485">
        <v>73</v>
      </c>
      <c r="AR49" s="485">
        <v>111.34514557500006</v>
      </c>
      <c r="AS49" s="485">
        <v>74.033388400000135</v>
      </c>
      <c r="AT49" s="485">
        <v>109.679</v>
      </c>
      <c r="AU49" s="485">
        <v>224.09200000000001</v>
      </c>
      <c r="AV49" s="485">
        <v>196.09647000000001</v>
      </c>
      <c r="AW49" s="485">
        <f>DRE!BB29</f>
        <v>136.32814999999999</v>
      </c>
      <c r="AX49" s="485">
        <f>DRE!BC29</f>
        <v>-56.032869999999996</v>
      </c>
      <c r="AY49" s="485">
        <v>232.13898999999998</v>
      </c>
      <c r="AZ49" s="485">
        <v>262.44155999999998</v>
      </c>
      <c r="BA49" s="485">
        <v>224.55350000000001</v>
      </c>
      <c r="BB49" s="485">
        <v>75.921869999999998</v>
      </c>
      <c r="BC49" s="485">
        <v>0</v>
      </c>
      <c r="BD49" s="485">
        <v>0</v>
      </c>
      <c r="BE49" s="485">
        <f>DRE!BJ29</f>
        <v>0</v>
      </c>
      <c r="BF49" s="485">
        <f>DRE!BK29</f>
        <v>0</v>
      </c>
      <c r="BG49" s="485">
        <f>DRE!BL29</f>
        <v>0</v>
      </c>
    </row>
    <row r="50" spans="1:59" ht="14.1" customHeight="1" x14ac:dyDescent="0.2">
      <c r="A50" s="632"/>
      <c r="B50" s="124" t="s">
        <v>1060</v>
      </c>
      <c r="C50" s="125">
        <f t="shared" ref="C50:AN50" si="30">+C48-C49</f>
        <v>13897</v>
      </c>
      <c r="D50" s="125">
        <f t="shared" si="30"/>
        <v>19138</v>
      </c>
      <c r="E50" s="125">
        <f t="shared" si="30"/>
        <v>32920</v>
      </c>
      <c r="F50" s="125">
        <f t="shared" si="30"/>
        <v>17412</v>
      </c>
      <c r="G50" s="125">
        <f t="shared" si="30"/>
        <v>4222</v>
      </c>
      <c r="H50" s="125">
        <f t="shared" si="30"/>
        <v>17913</v>
      </c>
      <c r="I50" s="125">
        <f t="shared" si="30"/>
        <v>21092</v>
      </c>
      <c r="J50" s="125">
        <f t="shared" si="30"/>
        <v>6228</v>
      </c>
      <c r="K50" s="125">
        <f t="shared" si="30"/>
        <v>1299</v>
      </c>
      <c r="L50" s="125">
        <f t="shared" si="30"/>
        <v>-9969</v>
      </c>
      <c r="M50" s="125">
        <f t="shared" si="30"/>
        <v>-27686</v>
      </c>
      <c r="N50" s="125">
        <f t="shared" si="30"/>
        <v>13393</v>
      </c>
      <c r="O50" s="125">
        <f t="shared" si="30"/>
        <v>7500</v>
      </c>
      <c r="P50" s="125">
        <f t="shared" si="30"/>
        <v>1184</v>
      </c>
      <c r="Q50" s="125">
        <f t="shared" si="30"/>
        <v>5101</v>
      </c>
      <c r="R50" s="125">
        <f t="shared" si="30"/>
        <v>-3854.0825054000288</v>
      </c>
      <c r="S50" s="125">
        <f t="shared" si="30"/>
        <v>-1902.9711800000275</v>
      </c>
      <c r="T50" s="125">
        <f t="shared" si="30"/>
        <v>-687.82872999996471</v>
      </c>
      <c r="U50" s="125">
        <f t="shared" si="30"/>
        <v>3842.5770799999841</v>
      </c>
      <c r="V50" s="125">
        <f t="shared" si="30"/>
        <v>12576.107320000005</v>
      </c>
      <c r="W50" s="125">
        <f t="shared" si="30"/>
        <v>5452.2332000000279</v>
      </c>
      <c r="X50" s="125">
        <f t="shared" si="30"/>
        <v>24056.729980000036</v>
      </c>
      <c r="Y50" s="125">
        <f t="shared" si="30"/>
        <v>15286.860619999989</v>
      </c>
      <c r="Z50" s="125">
        <f t="shared" si="30"/>
        <v>58966.291640000018</v>
      </c>
      <c r="AA50" s="125">
        <f t="shared" si="30"/>
        <v>13994.441250000009</v>
      </c>
      <c r="AB50" s="125">
        <f t="shared" si="30"/>
        <v>28185.873939999961</v>
      </c>
      <c r="AC50" s="125">
        <f t="shared" si="30"/>
        <v>31106.591149999938</v>
      </c>
      <c r="AD50" s="125">
        <f t="shared" si="30"/>
        <v>34961.001910000021</v>
      </c>
      <c r="AE50" s="164">
        <f t="shared" si="30"/>
        <v>26621.135130000064</v>
      </c>
      <c r="AF50" s="125">
        <f t="shared" si="30"/>
        <v>32514.294820000032</v>
      </c>
      <c r="AG50" s="125">
        <f t="shared" si="30"/>
        <v>91391.468380000078</v>
      </c>
      <c r="AH50" s="125">
        <f t="shared" si="30"/>
        <v>43444.958540000021</v>
      </c>
      <c r="AI50" s="125">
        <f t="shared" si="30"/>
        <v>19286.324460000003</v>
      </c>
      <c r="AJ50" s="125">
        <f t="shared" si="30"/>
        <v>-4362.7110900000207</v>
      </c>
      <c r="AK50" s="125">
        <f t="shared" si="30"/>
        <v>29938.68584000002</v>
      </c>
      <c r="AL50" s="125">
        <f t="shared" si="30"/>
        <v>28763.496590000024</v>
      </c>
      <c r="AM50" s="125">
        <f t="shared" si="30"/>
        <v>20248.245340000001</v>
      </c>
      <c r="AN50" s="125">
        <f t="shared" si="30"/>
        <v>24183.928339999969</v>
      </c>
      <c r="AO50" s="125">
        <f t="shared" ref="AO50:AU50" si="31">+AO48-AO49</f>
        <v>34236.985090000002</v>
      </c>
      <c r="AP50" s="125">
        <f t="shared" si="31"/>
        <v>29424.483019999905</v>
      </c>
      <c r="AQ50" s="125">
        <f t="shared" si="31"/>
        <v>18709.609207217967</v>
      </c>
      <c r="AR50" s="125">
        <f t="shared" si="31"/>
        <v>30469.353909999947</v>
      </c>
      <c r="AS50" s="125">
        <f t="shared" si="31"/>
        <v>53394.969679999958</v>
      </c>
      <c r="AT50" s="125">
        <f t="shared" si="31"/>
        <v>56722.682847199947</v>
      </c>
      <c r="AU50" s="125">
        <f t="shared" si="31"/>
        <v>34498.756997799872</v>
      </c>
      <c r="AV50" s="125">
        <v>39660.222170000059</v>
      </c>
      <c r="AW50" s="125">
        <f t="shared" ref="AW50:BD50" si="32">+AW48-AW49</f>
        <v>56176.373080000056</v>
      </c>
      <c r="AX50" s="125">
        <f t="shared" si="32"/>
        <v>51076.724380000247</v>
      </c>
      <c r="AY50" s="125">
        <f t="shared" si="32"/>
        <v>37282.927849999818</v>
      </c>
      <c r="AZ50" s="125">
        <f t="shared" si="32"/>
        <v>63252.21611999999</v>
      </c>
      <c r="BA50" s="125">
        <f t="shared" si="32"/>
        <v>84221.134000000093</v>
      </c>
      <c r="BB50" s="125">
        <v>85061.040379699916</v>
      </c>
      <c r="BC50" s="125">
        <f t="shared" si="32"/>
        <v>43734.684299999935</v>
      </c>
      <c r="BD50" s="125">
        <f t="shared" si="32"/>
        <v>67118.50887999979</v>
      </c>
      <c r="BE50" s="125">
        <f>+BE48-BE49</f>
        <v>79890.721250000061</v>
      </c>
      <c r="BF50" s="125">
        <f>+BF48-BF49</f>
        <v>52218.377919999999</v>
      </c>
      <c r="BG50" s="125">
        <f>+BG48-BG49</f>
        <v>38784.896120000129</v>
      </c>
    </row>
    <row r="51" spans="1:59" ht="14.1" customHeight="1" x14ac:dyDescent="0.2">
      <c r="A51" s="626"/>
      <c r="B51" s="9" t="s">
        <v>65</v>
      </c>
      <c r="C51" s="1122"/>
      <c r="D51" s="1122"/>
      <c r="E51" s="1122"/>
      <c r="F51" s="1122"/>
      <c r="G51" s="1122"/>
      <c r="H51" s="1122"/>
      <c r="I51" s="1122"/>
      <c r="J51" s="1122"/>
      <c r="K51" s="1122"/>
      <c r="L51" s="1122"/>
      <c r="M51" s="1122"/>
      <c r="N51" s="1122"/>
      <c r="O51" s="1122"/>
      <c r="P51" s="1122"/>
      <c r="Q51" s="1122"/>
      <c r="R51" s="1122"/>
      <c r="S51" s="1122"/>
      <c r="T51" s="1122"/>
      <c r="U51" s="1122"/>
      <c r="V51" s="1122"/>
      <c r="W51" s="1122"/>
      <c r="X51" s="1122"/>
      <c r="Y51" s="1122"/>
      <c r="Z51" s="1122"/>
      <c r="AA51" s="1122"/>
      <c r="AB51" s="1122"/>
      <c r="AC51" s="1122"/>
      <c r="AD51" s="1122"/>
      <c r="AE51" s="1122"/>
      <c r="AF51" s="1122"/>
      <c r="AG51" s="1122"/>
      <c r="AH51" s="1122"/>
      <c r="AI51" s="1122"/>
      <c r="AJ51" s="1122"/>
      <c r="AK51" s="1122"/>
      <c r="AL51" s="1122"/>
      <c r="AM51" s="1122"/>
      <c r="AN51" s="1122"/>
      <c r="AO51" s="1122"/>
      <c r="AP51" s="1122"/>
      <c r="AQ51" s="1122"/>
      <c r="AR51" s="1122"/>
      <c r="AS51" s="1122"/>
      <c r="AT51" s="1122"/>
      <c r="AU51" s="1168"/>
      <c r="AV51" s="1168"/>
      <c r="AW51" s="1168"/>
      <c r="AX51" s="1168"/>
      <c r="AY51" s="1168"/>
      <c r="AZ51" s="1168"/>
      <c r="BA51" s="1168"/>
      <c r="BB51" s="1168"/>
      <c r="BC51" s="1168"/>
      <c r="BD51" s="1168"/>
      <c r="BE51" s="1168"/>
      <c r="BF51" s="1168"/>
      <c r="BG51" s="1168"/>
    </row>
    <row r="52" spans="1:59" x14ac:dyDescent="0.2">
      <c r="B52" s="20"/>
      <c r="O52"/>
      <c r="P52"/>
      <c r="Q52"/>
      <c r="R52"/>
      <c r="S52"/>
      <c r="T52"/>
      <c r="U52"/>
      <c r="V52"/>
      <c r="W52" s="1"/>
      <c r="X52" s="1"/>
      <c r="Y52" s="1"/>
      <c r="Z52" s="1"/>
      <c r="AA52" s="833"/>
      <c r="AB52" s="1"/>
      <c r="AC52" s="1"/>
      <c r="AD52" s="1"/>
      <c r="AE52" s="1"/>
      <c r="AF52" s="1"/>
      <c r="AG52" s="1"/>
      <c r="AU52" s="1169"/>
      <c r="AV52" s="1169"/>
      <c r="AW52" s="1169"/>
      <c r="AX52" s="1169"/>
      <c r="AY52" s="1169"/>
      <c r="AZ52" s="1169"/>
      <c r="BA52" s="1169"/>
      <c r="BB52" s="1169"/>
      <c r="BC52" s="1169"/>
      <c r="BD52" s="1169"/>
      <c r="BE52" s="1169"/>
      <c r="BF52" s="1169"/>
      <c r="BG52" s="1169"/>
    </row>
    <row r="53" spans="1:59" s="267" customFormat="1" ht="12.75" customHeight="1" x14ac:dyDescent="0.2">
      <c r="A53" s="623"/>
      <c r="B53" s="624"/>
      <c r="C53" s="542"/>
      <c r="D53" s="542"/>
      <c r="E53" s="542"/>
      <c r="F53" s="542"/>
      <c r="G53" s="625"/>
      <c r="H53" s="625"/>
      <c r="I53" s="542"/>
      <c r="J53" s="542"/>
      <c r="K53" s="542"/>
      <c r="L53" s="625"/>
      <c r="O53" s="268">
        <f>+LI!O49+Auto!O50</f>
        <v>0</v>
      </c>
      <c r="P53" s="268">
        <f>+LI!P49+Auto!P50</f>
        <v>0</v>
      </c>
      <c r="Q53" s="268">
        <f>+LI!Q49+Auto!Q50</f>
        <v>0</v>
      </c>
      <c r="R53" s="268">
        <f>+LI!R49+Auto!R50</f>
        <v>0</v>
      </c>
      <c r="S53" s="268">
        <f>+LI!S49+Auto!S50</f>
        <v>0</v>
      </c>
      <c r="T53" s="268">
        <f>+LI!T49+Auto!T50</f>
        <v>0</v>
      </c>
      <c r="U53" s="268">
        <f>+LI!U49+Auto!U50</f>
        <v>0</v>
      </c>
      <c r="V53" s="268">
        <f>+LI!V49+Auto!V50</f>
        <v>0</v>
      </c>
      <c r="W53" s="268">
        <f>+LI!W49+Auto!W50</f>
        <v>0</v>
      </c>
      <c r="X53" s="268">
        <f>+LI!X49+Auto!X50</f>
        <v>0</v>
      </c>
      <c r="Y53" s="268">
        <f>+LI!Y49+Auto!Y50</f>
        <v>0</v>
      </c>
      <c r="Z53" s="268">
        <f>+LI!Z49+Auto!Z50</f>
        <v>0</v>
      </c>
      <c r="AA53" s="1126"/>
      <c r="AB53" s="268">
        <f>+LI!AB49+Auto!AB50</f>
        <v>0</v>
      </c>
      <c r="AC53" s="268"/>
      <c r="AD53" s="268"/>
      <c r="AE53" s="544"/>
      <c r="AF53" s="544"/>
      <c r="AG53" s="544"/>
      <c r="AH53" s="544"/>
      <c r="AI53" s="544"/>
      <c r="AJ53" s="544"/>
      <c r="AK53" s="544"/>
      <c r="AL53" s="544"/>
      <c r="AM53" s="544"/>
      <c r="AN53" s="544"/>
      <c r="AO53" s="544"/>
      <c r="AP53" s="544"/>
      <c r="AQ53" s="544"/>
      <c r="AR53" s="1150"/>
      <c r="AS53" s="1159"/>
      <c r="AT53" s="1159"/>
      <c r="AU53" s="328"/>
      <c r="AV53" s="328"/>
      <c r="AW53" s="328"/>
      <c r="AX53" s="328"/>
      <c r="AY53" s="328"/>
      <c r="AZ53" s="328"/>
      <c r="BA53" s="328"/>
      <c r="BB53" s="328"/>
      <c r="BC53" s="328"/>
      <c r="BD53" s="328"/>
      <c r="BE53" s="328"/>
      <c r="BF53" s="328"/>
      <c r="BG53" s="328"/>
    </row>
    <row r="54" spans="1:59" s="267" customFormat="1" x14ac:dyDescent="0.2">
      <c r="AH54" s="1050"/>
      <c r="AI54" s="1050"/>
      <c r="AJ54" s="1050"/>
      <c r="AK54" s="1050"/>
      <c r="AL54" s="1050"/>
      <c r="AM54" s="1050"/>
      <c r="AN54" s="1050"/>
      <c r="AO54" s="1050"/>
      <c r="AP54" s="1050"/>
      <c r="AQ54" s="1050"/>
      <c r="AR54" s="696"/>
      <c r="AS54" s="1160"/>
      <c r="AT54" s="1160"/>
      <c r="AU54" s="1050"/>
      <c r="AV54" s="1050"/>
      <c r="AW54" s="1050"/>
      <c r="AX54" s="1050"/>
      <c r="AY54" s="1169"/>
      <c r="AZ54" s="1169"/>
      <c r="BA54" s="1169"/>
      <c r="BB54" s="1169"/>
      <c r="BC54" s="1169"/>
      <c r="BD54" s="1169"/>
      <c r="BE54" s="1169"/>
      <c r="BF54" s="1169"/>
      <c r="BG54" s="1169"/>
    </row>
    <row r="55" spans="1:59" s="267" customFormat="1" x14ac:dyDescent="0.2">
      <c r="G55" s="627"/>
      <c r="H55" s="627"/>
      <c r="I55" s="1051"/>
      <c r="J55" s="1051"/>
      <c r="K55" s="1051"/>
      <c r="L55" s="1051"/>
      <c r="M55" s="1051"/>
      <c r="N55" s="1051"/>
      <c r="O55" s="627"/>
      <c r="P55" s="627"/>
      <c r="Q55" s="627"/>
      <c r="AA55" s="267" t="s">
        <v>885</v>
      </c>
      <c r="AB55" s="267" t="s">
        <v>885</v>
      </c>
      <c r="AE55" s="267" t="s">
        <v>884</v>
      </c>
      <c r="AF55" s="267" t="s">
        <v>884</v>
      </c>
      <c r="AI55" s="267" t="s">
        <v>928</v>
      </c>
      <c r="AJ55" s="267" t="s">
        <v>928</v>
      </c>
      <c r="AM55" s="267" t="s">
        <v>1074</v>
      </c>
      <c r="AN55" s="267" t="s">
        <v>1074</v>
      </c>
      <c r="AQ55" s="267" t="s">
        <v>1141</v>
      </c>
      <c r="AR55" s="267" t="s">
        <v>1141</v>
      </c>
      <c r="AU55" s="267" t="s">
        <v>1213</v>
      </c>
      <c r="AV55" s="267" t="s">
        <v>1213</v>
      </c>
      <c r="AY55" s="547" t="s">
        <v>1259</v>
      </c>
      <c r="AZ55" s="547" t="s">
        <v>1259</v>
      </c>
      <c r="BA55" s="547"/>
      <c r="BB55" s="547"/>
      <c r="BC55" s="547" t="s">
        <v>1325</v>
      </c>
      <c r="BD55" s="547" t="s">
        <v>1325</v>
      </c>
      <c r="BE55" s="547"/>
      <c r="BF55" s="547"/>
      <c r="BG55" s="547" t="s">
        <v>1377</v>
      </c>
    </row>
    <row r="56" spans="1:59" s="267" customFormat="1" x14ac:dyDescent="0.2">
      <c r="AA56" s="267" t="s">
        <v>926</v>
      </c>
      <c r="AB56" s="267" t="s">
        <v>926</v>
      </c>
      <c r="AC56" s="267" t="s">
        <v>926</v>
      </c>
      <c r="AE56" s="267" t="s">
        <v>925</v>
      </c>
      <c r="AF56" s="267" t="s">
        <v>925</v>
      </c>
      <c r="AG56" s="267" t="s">
        <v>925</v>
      </c>
      <c r="AI56" s="267" t="s">
        <v>927</v>
      </c>
      <c r="AJ56" s="267" t="s">
        <v>927</v>
      </c>
      <c r="AK56" s="267" t="s">
        <v>927</v>
      </c>
      <c r="AM56" s="267" t="s">
        <v>1075</v>
      </c>
      <c r="AN56" s="267" t="s">
        <v>1075</v>
      </c>
      <c r="AO56" s="267" t="s">
        <v>1075</v>
      </c>
      <c r="AQ56" s="267" t="s">
        <v>1126</v>
      </c>
      <c r="AR56" s="267" t="s">
        <v>1126</v>
      </c>
      <c r="AS56" s="267" t="s">
        <v>1126</v>
      </c>
      <c r="AU56" s="267" t="s">
        <v>1209</v>
      </c>
      <c r="AV56" s="267" t="s">
        <v>1209</v>
      </c>
      <c r="AW56" s="267" t="s">
        <v>1209</v>
      </c>
      <c r="AY56" s="547" t="s">
        <v>1260</v>
      </c>
      <c r="AZ56" s="547" t="s">
        <v>1260</v>
      </c>
      <c r="BA56" s="547" t="s">
        <v>1260</v>
      </c>
      <c r="BB56" s="547"/>
      <c r="BC56" s="547" t="s">
        <v>1324</v>
      </c>
      <c r="BD56" s="547" t="s">
        <v>1324</v>
      </c>
      <c r="BE56" s="547" t="s">
        <v>1324</v>
      </c>
      <c r="BF56" s="547" t="s">
        <v>1324</v>
      </c>
      <c r="BG56" s="547" t="s">
        <v>1378</v>
      </c>
    </row>
    <row r="57" spans="1:59" s="547" customFormat="1" ht="14.1" customHeight="1" x14ac:dyDescent="0.2">
      <c r="C57" s="824">
        <f>D57</f>
        <v>2012</v>
      </c>
      <c r="D57" s="824">
        <f>E57</f>
        <v>2012</v>
      </c>
      <c r="E57" s="824">
        <f>F57</f>
        <v>2012</v>
      </c>
      <c r="F57" s="824">
        <f>G57-1</f>
        <v>2012</v>
      </c>
      <c r="G57" s="824">
        <f>H57</f>
        <v>2013</v>
      </c>
      <c r="H57" s="824">
        <f>I57</f>
        <v>2013</v>
      </c>
      <c r="I57" s="824">
        <f>J57</f>
        <v>2013</v>
      </c>
      <c r="J57" s="824">
        <f>K57-1</f>
        <v>2013</v>
      </c>
      <c r="K57" s="824">
        <f>L57</f>
        <v>2014</v>
      </c>
      <c r="L57" s="824">
        <f>M57</f>
        <v>2014</v>
      </c>
      <c r="M57" s="824">
        <f>N57</f>
        <v>2014</v>
      </c>
      <c r="N57" s="824">
        <f>O57-1</f>
        <v>2014</v>
      </c>
      <c r="O57" s="824">
        <f>P57</f>
        <v>2015</v>
      </c>
      <c r="P57" s="824">
        <f>Q57</f>
        <v>2015</v>
      </c>
      <c r="Q57" s="824">
        <f>R57</f>
        <v>2015</v>
      </c>
      <c r="R57" s="824">
        <f>S57-1</f>
        <v>2015</v>
      </c>
      <c r="S57" s="824">
        <f>T57</f>
        <v>2016</v>
      </c>
      <c r="T57" s="824">
        <f>U57</f>
        <v>2016</v>
      </c>
      <c r="U57" s="824">
        <f>V57</f>
        <v>2016</v>
      </c>
      <c r="V57" s="824">
        <f>W57-1</f>
        <v>2016</v>
      </c>
      <c r="W57" s="824">
        <f>X57</f>
        <v>2017</v>
      </c>
      <c r="X57" s="824">
        <f>Y57</f>
        <v>2017</v>
      </c>
      <c r="Y57" s="824">
        <f>Z57</f>
        <v>2017</v>
      </c>
      <c r="Z57" s="824">
        <f>AA57-1</f>
        <v>2017</v>
      </c>
      <c r="AA57" s="824">
        <f>AB57</f>
        <v>2018</v>
      </c>
      <c r="AB57" s="824">
        <f>AC57</f>
        <v>2018</v>
      </c>
      <c r="AC57" s="824">
        <f>AD57</f>
        <v>2018</v>
      </c>
      <c r="AD57" s="824">
        <f>AE57-1</f>
        <v>2018</v>
      </c>
      <c r="AE57" s="825">
        <v>2019</v>
      </c>
      <c r="AF57" s="825">
        <v>2019</v>
      </c>
      <c r="AG57" s="825">
        <v>2019</v>
      </c>
      <c r="AH57" s="825">
        <v>2019</v>
      </c>
      <c r="AI57" s="825">
        <v>2020</v>
      </c>
      <c r="AJ57" s="825">
        <v>2020</v>
      </c>
      <c r="AK57" s="825">
        <v>2020</v>
      </c>
      <c r="AL57" s="825">
        <v>2020</v>
      </c>
      <c r="AM57" s="825">
        <v>2021</v>
      </c>
      <c r="AN57" s="825">
        <v>2021</v>
      </c>
      <c r="AO57" s="825">
        <v>2021</v>
      </c>
      <c r="AP57" s="1095">
        <v>2021</v>
      </c>
      <c r="AQ57" s="1095">
        <v>2022</v>
      </c>
      <c r="AR57" s="1095">
        <v>2022</v>
      </c>
      <c r="AS57" s="1095">
        <v>2022</v>
      </c>
      <c r="AT57" s="1095">
        <v>2022</v>
      </c>
      <c r="AU57" s="1095">
        <v>2023</v>
      </c>
      <c r="AV57" s="1095">
        <v>2023</v>
      </c>
      <c r="AW57" s="1095">
        <v>2023</v>
      </c>
      <c r="AX57" s="1095">
        <v>2023</v>
      </c>
      <c r="AY57" s="1059">
        <v>2024</v>
      </c>
      <c r="AZ57" s="1059">
        <v>2024</v>
      </c>
      <c r="BA57" s="1059">
        <v>2024</v>
      </c>
      <c r="BB57" s="1059">
        <v>2024</v>
      </c>
      <c r="BC57" s="1059">
        <v>2025</v>
      </c>
      <c r="BD57" s="1059">
        <v>2025</v>
      </c>
      <c r="BE57" s="1059">
        <v>2025</v>
      </c>
      <c r="BF57" s="1059">
        <v>2025</v>
      </c>
      <c r="BG57" s="1059">
        <v>2026</v>
      </c>
    </row>
    <row r="58" spans="1:59" s="267" customFormat="1" ht="14.1" customHeight="1" x14ac:dyDescent="0.2">
      <c r="C58" s="268">
        <f t="shared" ref="C58:AG58" si="33">SUM(C15:C33)</f>
        <v>4903</v>
      </c>
      <c r="D58" s="268">
        <f t="shared" si="33"/>
        <v>2557</v>
      </c>
      <c r="E58" s="268">
        <f t="shared" si="33"/>
        <v>-4997</v>
      </c>
      <c r="F58" s="268">
        <f t="shared" si="33"/>
        <v>-8454</v>
      </c>
      <c r="G58" s="268">
        <f t="shared" si="33"/>
        <v>2023</v>
      </c>
      <c r="H58" s="268">
        <f t="shared" si="33"/>
        <v>5187</v>
      </c>
      <c r="I58" s="268">
        <f t="shared" si="33"/>
        <v>1481</v>
      </c>
      <c r="J58" s="268">
        <f t="shared" si="33"/>
        <v>5144</v>
      </c>
      <c r="K58" s="268">
        <f t="shared" si="33"/>
        <v>10742</v>
      </c>
      <c r="L58" s="268">
        <f t="shared" si="33"/>
        <v>0</v>
      </c>
      <c r="M58" s="268">
        <f t="shared" si="33"/>
        <v>0</v>
      </c>
      <c r="N58" s="268">
        <f t="shared" si="33"/>
        <v>878</v>
      </c>
      <c r="O58" s="268">
        <f t="shared" si="33"/>
        <v>0</v>
      </c>
      <c r="P58" s="268">
        <f t="shared" si="33"/>
        <v>3704.1926200000003</v>
      </c>
      <c r="Q58" s="268">
        <f t="shared" si="33"/>
        <v>0</v>
      </c>
      <c r="R58" s="268">
        <f t="shared" si="33"/>
        <v>25058.168579999998</v>
      </c>
      <c r="S58" s="268">
        <f t="shared" si="33"/>
        <v>0</v>
      </c>
      <c r="T58" s="268">
        <f t="shared" si="33"/>
        <v>0</v>
      </c>
      <c r="U58" s="268">
        <f t="shared" si="33"/>
        <v>0</v>
      </c>
      <c r="V58" s="268">
        <f t="shared" si="33"/>
        <v>0</v>
      </c>
      <c r="W58" s="268">
        <f t="shared" si="33"/>
        <v>0</v>
      </c>
      <c r="X58" s="268">
        <f t="shared" si="33"/>
        <v>8284.9666199999992</v>
      </c>
      <c r="Y58" s="268">
        <f t="shared" si="33"/>
        <v>5733</v>
      </c>
      <c r="Z58" s="268">
        <f t="shared" si="33"/>
        <v>-16855.072989999946</v>
      </c>
      <c r="AA58" s="268">
        <f t="shared" si="33"/>
        <v>0</v>
      </c>
      <c r="AB58" s="268">
        <f t="shared" si="33"/>
        <v>0</v>
      </c>
      <c r="AC58" s="268">
        <f t="shared" si="33"/>
        <v>5251.7599300000002</v>
      </c>
      <c r="AD58" s="268">
        <f t="shared" si="33"/>
        <v>12881.039347457499</v>
      </c>
      <c r="AE58" s="268">
        <f t="shared" si="33"/>
        <v>0</v>
      </c>
      <c r="AF58" s="268">
        <f t="shared" si="33"/>
        <v>0</v>
      </c>
      <c r="AG58" s="268">
        <f t="shared" si="33"/>
        <v>-50391.444189999995</v>
      </c>
      <c r="AH58" s="268">
        <f>SUM(AH15:AH33)</f>
        <v>2254</v>
      </c>
      <c r="AI58" s="268">
        <v>3317</v>
      </c>
      <c r="AJ58" s="268">
        <f>SUM(AJ15:AJ33)</f>
        <v>0</v>
      </c>
      <c r="AK58" s="268">
        <f>SUM(AK15:AK33)</f>
        <v>0</v>
      </c>
      <c r="AL58" s="268">
        <f>SUM(AL15:AL33)</f>
        <v>5220.2719999999999</v>
      </c>
      <c r="AM58" s="268"/>
      <c r="AN58" s="268">
        <f>SUM(AN15:AN33)</f>
        <v>-5732.7137899999998</v>
      </c>
      <c r="AO58" s="268">
        <f>SUM(AO15:AO33)</f>
        <v>1159</v>
      </c>
      <c r="AP58" s="268"/>
      <c r="AQ58" s="268"/>
      <c r="AR58" s="268">
        <f>SUM(AR15:AR33)</f>
        <v>0</v>
      </c>
      <c r="AS58" s="268">
        <f>SUM(AS15:AS33)</f>
        <v>6645.02</v>
      </c>
      <c r="AT58" s="268">
        <f>SUM(AT15:AT33)</f>
        <v>-5458.7727579526618</v>
      </c>
      <c r="AU58" s="268">
        <f>SUM(AU15:AU33)</f>
        <v>0</v>
      </c>
      <c r="AV58" s="268">
        <v>0</v>
      </c>
      <c r="AW58" s="268">
        <f>SUM(AW15:AW33)</f>
        <v>0</v>
      </c>
      <c r="AX58" s="791"/>
      <c r="AY58" s="791"/>
      <c r="AZ58" s="791"/>
      <c r="BA58" s="791"/>
      <c r="BB58" s="791"/>
      <c r="BC58" s="791"/>
      <c r="BD58" s="791"/>
      <c r="BE58" s="791"/>
      <c r="BF58" s="791"/>
      <c r="BG58" s="791"/>
    </row>
    <row r="59" spans="1:59" s="267" customFormat="1" ht="14.1" customHeight="1" x14ac:dyDescent="0.2">
      <c r="AH59" s="1050"/>
      <c r="AI59" s="1050"/>
      <c r="AJ59" s="1050"/>
      <c r="AK59" s="1050"/>
      <c r="AL59" s="1050"/>
      <c r="AM59" s="1050"/>
      <c r="AN59" s="1050"/>
      <c r="AO59" s="1050"/>
      <c r="AP59" s="1050"/>
      <c r="AQ59" s="1050"/>
      <c r="AR59" s="1050"/>
      <c r="AS59" s="1050"/>
      <c r="AT59" s="1050"/>
      <c r="AU59" s="1050"/>
      <c r="AV59" s="1050"/>
      <c r="AW59" s="1050"/>
      <c r="AX59" s="1169"/>
      <c r="AY59" s="1169"/>
      <c r="AZ59" s="1169"/>
      <c r="BA59" s="1169"/>
      <c r="BB59" s="1169"/>
      <c r="BC59" s="1169"/>
      <c r="BD59" s="1169"/>
      <c r="BE59" s="1169"/>
      <c r="BF59" s="1169"/>
      <c r="BG59" s="1169"/>
    </row>
    <row r="60" spans="1:59" s="267" customFormat="1" ht="14.1" customHeight="1" x14ac:dyDescent="0.2">
      <c r="AH60" s="1050"/>
      <c r="AI60" s="1050"/>
      <c r="AJ60" s="1050"/>
      <c r="AK60" s="1050"/>
      <c r="AL60" s="1050"/>
      <c r="AM60" s="1050"/>
      <c r="AN60" s="1050"/>
      <c r="AO60" s="1050"/>
      <c r="AP60" s="1050"/>
      <c r="AQ60" s="1050"/>
      <c r="AR60" s="1050"/>
      <c r="AS60" s="1050"/>
      <c r="AT60" s="1050"/>
      <c r="AU60" s="1050"/>
      <c r="AV60" s="1050"/>
      <c r="AW60" s="1050"/>
      <c r="AX60" s="1169"/>
      <c r="AY60" s="1169"/>
      <c r="AZ60" s="1169"/>
      <c r="BA60" s="1169"/>
      <c r="BB60" s="1169"/>
      <c r="BC60" s="1169"/>
      <c r="BD60" s="1169"/>
      <c r="BE60" s="1169"/>
      <c r="BF60" s="1169"/>
      <c r="BG60" s="1169"/>
    </row>
    <row r="61" spans="1:59" s="267" customFormat="1" ht="14.1" customHeight="1" x14ac:dyDescent="0.2">
      <c r="AH61" s="1050"/>
      <c r="AI61" s="1050"/>
      <c r="AJ61" s="1050"/>
      <c r="AK61" s="1050"/>
      <c r="AL61" s="1050"/>
      <c r="AM61" s="1050"/>
      <c r="AN61" s="1050"/>
      <c r="AO61" s="1050"/>
      <c r="AP61" s="1050"/>
      <c r="AQ61" s="1050"/>
      <c r="AR61" s="1050"/>
      <c r="AS61" s="1050"/>
      <c r="AT61" s="1050"/>
      <c r="AU61" s="1050"/>
      <c r="AV61" s="1050"/>
      <c r="AW61" s="1050"/>
      <c r="AX61" s="1169"/>
      <c r="AY61" s="1169"/>
      <c r="AZ61" s="1169"/>
      <c r="BA61" s="1169"/>
      <c r="BB61" s="1169"/>
      <c r="BC61" s="1169"/>
      <c r="BD61" s="1169"/>
      <c r="BE61" s="1169"/>
      <c r="BF61" s="1169"/>
      <c r="BG61" s="1169"/>
    </row>
    <row r="62" spans="1:59" s="267" customFormat="1" ht="14.1" customHeight="1" x14ac:dyDescent="0.2">
      <c r="AH62" s="1050"/>
      <c r="AI62" s="1050"/>
      <c r="AJ62" s="1050"/>
      <c r="AK62" s="1050"/>
      <c r="AL62" s="1050"/>
      <c r="AM62" s="1050"/>
      <c r="AN62" s="1050"/>
      <c r="AO62" s="1050"/>
      <c r="AP62" s="1050"/>
      <c r="AQ62" s="1050"/>
      <c r="AR62" s="1050"/>
      <c r="AS62" s="1050"/>
      <c r="AT62" s="1050"/>
      <c r="AU62" s="1050"/>
      <c r="AV62" s="1050"/>
      <c r="AW62" s="1050"/>
      <c r="AX62" s="1169"/>
      <c r="AY62" s="1169"/>
      <c r="AZ62" s="1169"/>
      <c r="BA62" s="1169"/>
      <c r="BB62" s="1169"/>
      <c r="BC62" s="1169"/>
      <c r="BD62" s="1169"/>
      <c r="BE62" s="1169"/>
      <c r="BF62" s="1169"/>
      <c r="BG62" s="1169"/>
    </row>
    <row r="63" spans="1:59" s="267" customFormat="1" ht="14.1" customHeight="1" x14ac:dyDescent="0.2">
      <c r="AH63" s="1050"/>
      <c r="AI63" s="1050"/>
      <c r="AJ63" s="1050"/>
      <c r="AK63" s="1050"/>
      <c r="AL63" s="1050"/>
      <c r="AM63" s="1050"/>
      <c r="AN63" s="1050"/>
      <c r="AO63" s="1050"/>
      <c r="AP63" s="1050"/>
      <c r="AQ63" s="1050"/>
      <c r="AR63" s="1050"/>
      <c r="AS63" s="1050"/>
      <c r="AT63" s="1050"/>
      <c r="AU63" s="1050"/>
      <c r="AV63" s="1050"/>
      <c r="AW63" s="1050"/>
      <c r="AX63" s="1050"/>
      <c r="AY63" s="1169"/>
      <c r="AZ63" s="1169"/>
      <c r="BA63" s="1169"/>
      <c r="BB63" s="1169"/>
      <c r="BC63" s="1169"/>
      <c r="BD63" s="1169"/>
      <c r="BE63" s="1169"/>
      <c r="BF63" s="1169"/>
      <c r="BG63" s="1169"/>
    </row>
    <row r="64" spans="1:59" s="267" customFormat="1" ht="14.1" customHeight="1" x14ac:dyDescent="0.2">
      <c r="AH64" s="1050"/>
      <c r="AI64" s="1050"/>
      <c r="AJ64" s="1050"/>
      <c r="AK64" s="1050"/>
      <c r="AL64" s="1050"/>
      <c r="AM64" s="1050"/>
      <c r="AN64" s="1050"/>
      <c r="AO64" s="1050"/>
      <c r="AP64" s="1050"/>
      <c r="AQ64" s="1050"/>
      <c r="AR64" s="1050"/>
      <c r="AS64" s="1050"/>
      <c r="AT64" s="1050"/>
      <c r="AU64" s="1050"/>
      <c r="AV64" s="1050"/>
      <c r="AW64" s="1050"/>
      <c r="AX64" s="1050"/>
      <c r="AY64" s="1169"/>
      <c r="AZ64" s="1169"/>
      <c r="BA64" s="1169"/>
      <c r="BB64" s="1169"/>
      <c r="BC64" s="1169"/>
      <c r="BD64" s="1169"/>
      <c r="BE64" s="1169"/>
      <c r="BF64" s="1169"/>
      <c r="BG64" s="1169"/>
    </row>
    <row r="65" spans="1:59" s="267" customFormat="1" ht="14.1" customHeight="1" x14ac:dyDescent="0.2">
      <c r="AH65" s="1050"/>
      <c r="AI65" s="1050"/>
      <c r="AJ65" s="1050"/>
      <c r="AK65" s="1050"/>
      <c r="AL65" s="1050"/>
      <c r="AM65" s="1050"/>
      <c r="AN65" s="1050"/>
      <c r="AO65" s="1050"/>
      <c r="AP65" s="1050"/>
      <c r="AQ65" s="1050"/>
      <c r="AR65" s="1050"/>
      <c r="AS65" s="1050"/>
      <c r="AT65" s="1050"/>
      <c r="AU65" s="1050"/>
      <c r="AV65" s="1050"/>
      <c r="AW65" s="1050"/>
      <c r="AX65" s="1050"/>
      <c r="AY65" s="1169"/>
      <c r="AZ65" s="1169"/>
      <c r="BA65" s="1169"/>
      <c r="BB65" s="1169"/>
      <c r="BC65" s="1169"/>
      <c r="BD65" s="1169"/>
      <c r="BE65" s="1169"/>
      <c r="BF65" s="1169"/>
      <c r="BG65" s="1169"/>
    </row>
    <row r="66" spans="1:59" s="267" customFormat="1" ht="14.1" customHeight="1" x14ac:dyDescent="0.2">
      <c r="AH66" s="1050"/>
      <c r="AI66" s="1050"/>
      <c r="AJ66" s="1050"/>
      <c r="AK66" s="1050"/>
      <c r="AL66" s="1050"/>
      <c r="AM66" s="1050"/>
      <c r="AN66" s="1050"/>
      <c r="AO66" s="1050"/>
      <c r="AP66" s="1050"/>
      <c r="AQ66" s="1050"/>
      <c r="AR66" s="1050"/>
      <c r="AS66" s="1050"/>
      <c r="AT66" s="1050"/>
      <c r="AU66" s="1050"/>
      <c r="AV66" s="1050"/>
      <c r="AW66" s="1050"/>
      <c r="AX66" s="1050"/>
      <c r="AY66" s="1050"/>
      <c r="AZ66" s="1050"/>
      <c r="BA66" s="1050"/>
      <c r="BB66" s="1050"/>
      <c r="BC66" s="1050"/>
      <c r="BD66" s="1050"/>
      <c r="BE66" s="1050"/>
      <c r="BF66" s="1050"/>
      <c r="BG66" s="1050"/>
    </row>
    <row r="67" spans="1:59" s="267" customFormat="1" ht="14.1" customHeight="1" x14ac:dyDescent="0.2">
      <c r="AH67" s="1050"/>
      <c r="AI67" s="1050"/>
      <c r="AJ67" s="1050"/>
      <c r="AK67" s="1050"/>
      <c r="AL67" s="1050"/>
      <c r="AM67" s="1050"/>
      <c r="AN67" s="1050"/>
      <c r="AO67" s="1050"/>
      <c r="AP67" s="1050"/>
      <c r="AQ67" s="1050"/>
      <c r="AR67" s="1050"/>
      <c r="AS67" s="1050"/>
      <c r="AT67" s="1050"/>
      <c r="AU67" s="1050"/>
      <c r="AV67" s="1050"/>
      <c r="AW67" s="1050"/>
      <c r="AX67" s="1050"/>
      <c r="AY67" s="1050"/>
      <c r="AZ67" s="1050"/>
      <c r="BA67" s="1050"/>
      <c r="BB67" s="1050"/>
      <c r="BC67" s="1050"/>
      <c r="BD67" s="1050"/>
      <c r="BE67" s="1050"/>
      <c r="BF67" s="1050"/>
      <c r="BG67" s="1050"/>
    </row>
    <row r="68" spans="1:59" s="267" customFormat="1" ht="14.1" customHeight="1" x14ac:dyDescent="0.2">
      <c r="AH68" s="1050"/>
      <c r="AI68" s="1050"/>
      <c r="AJ68" s="1050"/>
      <c r="AK68" s="1050"/>
      <c r="AL68" s="1050"/>
      <c r="AM68" s="1050"/>
      <c r="AN68" s="1050"/>
      <c r="AO68" s="1050"/>
      <c r="AP68" s="1050"/>
      <c r="AQ68" s="1050"/>
      <c r="AR68" s="1050"/>
      <c r="AS68" s="1050"/>
      <c r="AT68" s="1050"/>
      <c r="AU68" s="1050"/>
      <c r="AV68" s="1050"/>
      <c r="AW68" s="1050"/>
      <c r="AX68" s="1050"/>
      <c r="AY68" s="1050"/>
      <c r="AZ68" s="1050"/>
      <c r="BA68" s="1050"/>
      <c r="BB68" s="1050"/>
      <c r="BC68" s="1050"/>
      <c r="BD68" s="1050"/>
      <c r="BE68" s="1050"/>
      <c r="BF68" s="1050"/>
      <c r="BG68" s="1050"/>
    </row>
    <row r="69" spans="1:59" s="267" customFormat="1" ht="14.1" customHeight="1" x14ac:dyDescent="0.2">
      <c r="AH69" s="1050"/>
      <c r="AI69" s="1050"/>
      <c r="AJ69" s="1050"/>
      <c r="AK69" s="1050"/>
      <c r="AL69" s="1050"/>
      <c r="AM69" s="1050"/>
      <c r="AN69" s="1050"/>
      <c r="AO69" s="1050"/>
      <c r="AP69" s="1050"/>
      <c r="AQ69" s="1050"/>
      <c r="AR69" s="1050"/>
      <c r="AS69" s="1050"/>
      <c r="AT69" s="1050"/>
      <c r="AU69" s="1050"/>
      <c r="AV69" s="1050"/>
      <c r="AW69" s="1050"/>
      <c r="AX69" s="1050"/>
      <c r="AY69" s="1050"/>
      <c r="AZ69" s="1050"/>
      <c r="BA69" s="1050"/>
      <c r="BB69" s="1050"/>
      <c r="BC69" s="1050"/>
      <c r="BD69" s="1050"/>
      <c r="BE69" s="1050"/>
      <c r="BF69" s="1050"/>
      <c r="BG69" s="1050"/>
    </row>
    <row r="70" spans="1:59" s="267" customFormat="1" ht="14.1" customHeight="1" x14ac:dyDescent="0.2">
      <c r="AH70" s="1050"/>
      <c r="AI70" s="1050"/>
      <c r="AJ70" s="1050"/>
      <c r="AK70" s="1050"/>
      <c r="AL70" s="1050"/>
      <c r="AM70" s="1050"/>
      <c r="AN70" s="1050"/>
      <c r="AO70" s="1050"/>
      <c r="AP70" s="1050"/>
      <c r="AQ70" s="1050"/>
      <c r="AR70" s="1050"/>
      <c r="AS70" s="1050"/>
      <c r="AT70" s="1050"/>
      <c r="AU70" s="1050"/>
      <c r="AV70" s="1050"/>
      <c r="AW70" s="1050"/>
      <c r="AX70" s="1050"/>
      <c r="AY70" s="1050"/>
      <c r="AZ70" s="1050"/>
      <c r="BA70" s="1050"/>
      <c r="BB70" s="1050"/>
      <c r="BC70" s="1050"/>
      <c r="BD70" s="1050"/>
      <c r="BE70" s="1050"/>
      <c r="BF70" s="1050"/>
      <c r="BG70" s="1050"/>
    </row>
    <row r="71" spans="1:59" s="267" customFormat="1" ht="14.1" customHeight="1" x14ac:dyDescent="0.2">
      <c r="AH71" s="1050"/>
      <c r="AI71" s="1050"/>
      <c r="AJ71" s="1050"/>
      <c r="AK71" s="1050"/>
      <c r="AL71" s="1050"/>
      <c r="AM71" s="1050"/>
      <c r="AN71" s="1050"/>
      <c r="AO71" s="1050"/>
      <c r="AP71" s="1050"/>
      <c r="AQ71" s="1050"/>
      <c r="AR71" s="1050"/>
      <c r="AS71" s="1050"/>
      <c r="AT71" s="1050"/>
      <c r="AU71" s="1050"/>
      <c r="AV71" s="1050"/>
      <c r="AW71" s="1050"/>
      <c r="AX71" s="1050"/>
      <c r="AY71" s="1050"/>
      <c r="AZ71" s="1050"/>
      <c r="BA71" s="1050"/>
      <c r="BB71" s="1050"/>
      <c r="BC71" s="1050"/>
      <c r="BD71" s="1050"/>
      <c r="BE71" s="1050"/>
      <c r="BF71" s="1050"/>
      <c r="BG71" s="1050"/>
    </row>
    <row r="72" spans="1:59" s="267" customFormat="1" ht="14.1" customHeight="1" x14ac:dyDescent="0.2">
      <c r="AH72" s="1050"/>
      <c r="AI72" s="1050"/>
      <c r="AJ72" s="1050"/>
      <c r="AK72" s="1050"/>
      <c r="AL72" s="1050"/>
      <c r="AM72" s="1050"/>
      <c r="AN72" s="1050"/>
      <c r="AO72" s="1050"/>
      <c r="AP72" s="1050"/>
      <c r="AQ72" s="1050"/>
      <c r="AR72" s="1050"/>
      <c r="AS72" s="1050"/>
      <c r="AT72" s="1050"/>
      <c r="AU72" s="1050"/>
      <c r="AV72" s="1050"/>
      <c r="AW72" s="1050"/>
      <c r="AX72" s="1050"/>
      <c r="AY72" s="1050"/>
      <c r="AZ72" s="1050"/>
      <c r="BA72" s="1050"/>
      <c r="BB72" s="1050"/>
      <c r="BC72" s="1050"/>
      <c r="BD72" s="1050"/>
      <c r="BE72" s="1050"/>
      <c r="BF72" s="1050"/>
      <c r="BG72" s="1050"/>
    </row>
    <row r="73" spans="1:59" s="267" customFormat="1" ht="14.1" customHeight="1" x14ac:dyDescent="0.2">
      <c r="AH73" s="1050"/>
      <c r="AI73" s="1050"/>
      <c r="AJ73" s="1050"/>
      <c r="AK73" s="1050"/>
      <c r="AL73" s="1050"/>
      <c r="AM73" s="1050"/>
      <c r="AN73" s="1050"/>
      <c r="AO73" s="1050"/>
      <c r="AP73" s="1050"/>
      <c r="AQ73" s="1050"/>
      <c r="AR73" s="1050"/>
      <c r="AS73" s="1050"/>
      <c r="AT73" s="1050"/>
      <c r="AU73" s="1050"/>
      <c r="AV73" s="1050"/>
      <c r="AW73" s="1050"/>
      <c r="AX73" s="1050"/>
      <c r="AY73" s="1050"/>
      <c r="AZ73" s="1050"/>
      <c r="BA73" s="1050"/>
      <c r="BB73" s="1050"/>
      <c r="BC73" s="1050"/>
      <c r="BD73" s="1050"/>
      <c r="BE73" s="1050"/>
      <c r="BF73" s="1050"/>
      <c r="BG73" s="1050"/>
    </row>
    <row r="74" spans="1:59" s="267" customFormat="1" ht="14.1" customHeight="1" x14ac:dyDescent="0.2">
      <c r="AH74" s="1050"/>
      <c r="AI74" s="1050"/>
      <c r="AJ74" s="1050"/>
      <c r="AK74" s="1050"/>
      <c r="AL74" s="1050"/>
      <c r="AM74" s="1050"/>
      <c r="AN74" s="1050"/>
      <c r="AO74" s="1050"/>
      <c r="AP74" s="1050"/>
      <c r="AQ74" s="1050"/>
      <c r="AR74" s="1050"/>
      <c r="AS74" s="1050"/>
      <c r="AT74" s="1050"/>
      <c r="AU74" s="1050"/>
      <c r="AV74" s="1050"/>
      <c r="AW74" s="1050"/>
      <c r="AX74" s="1050"/>
      <c r="AY74" s="1050"/>
      <c r="AZ74" s="1050"/>
      <c r="BA74" s="1050"/>
      <c r="BB74" s="1050"/>
      <c r="BC74" s="1050"/>
      <c r="BD74" s="1050"/>
      <c r="BE74" s="1050"/>
      <c r="BF74" s="1050"/>
      <c r="BG74" s="1050"/>
    </row>
    <row r="75" spans="1:59" s="267" customFormat="1" ht="14.1" customHeight="1" x14ac:dyDescent="0.2">
      <c r="AH75" s="1050"/>
      <c r="AI75" s="1050"/>
      <c r="AJ75" s="1050"/>
      <c r="AK75" s="1050"/>
      <c r="AL75" s="1050"/>
      <c r="AM75" s="1050"/>
      <c r="AN75" s="1050"/>
      <c r="AO75" s="1050"/>
      <c r="AP75" s="1050"/>
      <c r="AQ75" s="1050"/>
      <c r="AR75" s="1050"/>
      <c r="AS75" s="1050"/>
      <c r="AT75" s="1050"/>
      <c r="AU75" s="1050"/>
      <c r="AV75" s="1050"/>
      <c r="AW75" s="1050"/>
      <c r="AX75" s="1050"/>
      <c r="AY75" s="1050"/>
      <c r="AZ75" s="1050"/>
      <c r="BA75" s="1050"/>
      <c r="BB75" s="1050"/>
      <c r="BC75" s="1050"/>
      <c r="BD75" s="1050"/>
      <c r="BE75" s="1050"/>
      <c r="BF75" s="1050"/>
      <c r="BG75" s="1050"/>
    </row>
    <row r="76" spans="1:59" s="267" customFormat="1" ht="14.1" customHeight="1" x14ac:dyDescent="0.2">
      <c r="AH76" s="1050"/>
      <c r="AI76" s="1050"/>
      <c r="AJ76" s="1050"/>
      <c r="AK76" s="1050"/>
      <c r="AL76" s="1050"/>
      <c r="AM76" s="1050"/>
      <c r="AN76" s="1050"/>
      <c r="AO76" s="1050"/>
      <c r="AP76" s="1050"/>
      <c r="AQ76" s="1050"/>
      <c r="AR76" s="1050"/>
      <c r="AS76" s="1050"/>
      <c r="AT76" s="1050"/>
      <c r="AU76" s="1050"/>
      <c r="AV76" s="1050"/>
      <c r="AW76" s="1050"/>
      <c r="AX76" s="1050"/>
      <c r="AY76" s="1050"/>
      <c r="AZ76" s="1050"/>
      <c r="BA76" s="1050"/>
      <c r="BB76" s="1050"/>
      <c r="BC76" s="1050"/>
      <c r="BD76" s="1050"/>
      <c r="BE76" s="1050"/>
      <c r="BF76" s="1050"/>
      <c r="BG76" s="1050"/>
    </row>
    <row r="77" spans="1:59" s="267" customFormat="1" ht="14.1" customHeight="1" x14ac:dyDescent="0.2">
      <c r="AH77" s="1050"/>
      <c r="AI77" s="1050"/>
      <c r="AJ77" s="1050"/>
      <c r="AK77" s="1050"/>
      <c r="AL77" s="1050"/>
      <c r="AM77" s="1050"/>
      <c r="AN77" s="1050"/>
      <c r="AO77" s="1050"/>
      <c r="AP77" s="1050"/>
      <c r="AQ77" s="1050"/>
      <c r="AR77" s="1050"/>
      <c r="AS77" s="1050"/>
      <c r="AT77" s="1050"/>
      <c r="AU77" s="1050"/>
      <c r="AV77" s="1050"/>
      <c r="AW77" s="1050"/>
      <c r="AX77" s="1050"/>
      <c r="AY77" s="1050"/>
      <c r="AZ77" s="1050"/>
      <c r="BA77" s="1050"/>
      <c r="BB77" s="1050"/>
      <c r="BC77" s="1050"/>
      <c r="BD77" s="1050"/>
      <c r="BE77" s="1050"/>
      <c r="BF77" s="1050"/>
      <c r="BG77" s="1050"/>
    </row>
    <row r="78" spans="1:59" s="267" customFormat="1" ht="14.1" customHeight="1" x14ac:dyDescent="0.2">
      <c r="AH78" s="1050"/>
      <c r="AI78" s="1050"/>
      <c r="AJ78" s="1050"/>
      <c r="AK78" s="1050"/>
      <c r="AL78" s="1050"/>
      <c r="AM78" s="1050"/>
      <c r="AN78" s="1050"/>
      <c r="AO78" s="1050"/>
      <c r="AP78" s="1050"/>
      <c r="AQ78" s="1050"/>
      <c r="AR78" s="1050"/>
      <c r="AS78" s="1050"/>
      <c r="AT78" s="1050"/>
      <c r="AU78" s="1050"/>
      <c r="AV78" s="1050"/>
      <c r="AW78" s="1050"/>
      <c r="AX78" s="1050"/>
      <c r="AY78" s="1050"/>
      <c r="AZ78" s="1050"/>
      <c r="BA78" s="1050"/>
      <c r="BB78" s="1050"/>
      <c r="BC78" s="1050"/>
      <c r="BD78" s="1050"/>
      <c r="BE78" s="1050"/>
      <c r="BF78" s="1050"/>
      <c r="BG78" s="1050"/>
    </row>
    <row r="79" spans="1:59" s="267" customFormat="1" ht="14.1" customHeight="1" x14ac:dyDescent="0.2">
      <c r="AH79" s="1050"/>
      <c r="AI79" s="1050"/>
      <c r="AJ79" s="1050"/>
      <c r="AK79" s="1050"/>
      <c r="AL79" s="1050"/>
      <c r="AM79" s="1050"/>
      <c r="AN79" s="1050"/>
      <c r="AO79" s="1050"/>
      <c r="AP79" s="1050"/>
      <c r="AQ79" s="1050"/>
      <c r="AR79" s="1050"/>
      <c r="AS79" s="1050"/>
      <c r="AT79" s="1050"/>
      <c r="AU79" s="1050"/>
      <c r="AV79" s="1050"/>
      <c r="AW79" s="1050"/>
      <c r="AX79" s="1050"/>
      <c r="AY79" s="1050"/>
      <c r="AZ79" s="1050"/>
      <c r="BA79" s="1050"/>
      <c r="BB79" s="1050"/>
      <c r="BC79" s="1050"/>
      <c r="BD79" s="1050"/>
      <c r="BE79" s="1050"/>
      <c r="BF79" s="1050"/>
      <c r="BG79" s="1050"/>
    </row>
    <row r="80" spans="1:59" s="267" customFormat="1" ht="14.1" customHeight="1" x14ac:dyDescent="0.2">
      <c r="A80" s="632"/>
      <c r="B80" s="1127"/>
      <c r="C80" s="627"/>
      <c r="D80" s="627"/>
      <c r="E80" s="627"/>
      <c r="F80" s="627"/>
      <c r="G80" s="627"/>
      <c r="H80" s="627"/>
      <c r="I80" s="627"/>
      <c r="J80" s="627"/>
      <c r="K80" s="627"/>
      <c r="L80" s="627"/>
      <c r="M80" s="627"/>
      <c r="N80" s="627"/>
      <c r="O80" s="627"/>
      <c r="AH80" s="1050"/>
      <c r="AI80" s="1050"/>
      <c r="AJ80" s="1050"/>
      <c r="AK80" s="1050"/>
      <c r="AL80" s="1050"/>
      <c r="AM80" s="1050"/>
      <c r="AN80" s="1050"/>
      <c r="AO80" s="1050"/>
      <c r="AP80" s="1050"/>
      <c r="AQ80" s="1050"/>
      <c r="AR80" s="1050"/>
      <c r="AS80" s="1050"/>
      <c r="AT80" s="1050"/>
      <c r="AU80" s="1050"/>
      <c r="AV80" s="1050"/>
      <c r="AW80" s="1050"/>
      <c r="AX80" s="1050"/>
      <c r="AY80" s="1050"/>
      <c r="AZ80" s="1050"/>
      <c r="BA80" s="1050"/>
      <c r="BB80" s="1050"/>
      <c r="BC80" s="1050"/>
      <c r="BD80" s="1050"/>
      <c r="BE80" s="1050"/>
      <c r="BF80" s="1050"/>
      <c r="BG80" s="1050"/>
    </row>
    <row r="81" spans="1:59" s="267" customFormat="1" ht="14.1" customHeight="1" x14ac:dyDescent="0.2">
      <c r="A81" s="632"/>
      <c r="C81" s="627"/>
      <c r="D81" s="627"/>
      <c r="E81" s="627"/>
      <c r="F81" s="627"/>
      <c r="G81" s="627"/>
      <c r="H81" s="627"/>
      <c r="I81" s="627"/>
      <c r="J81" s="627"/>
      <c r="K81" s="627"/>
      <c r="L81" s="627"/>
      <c r="M81" s="627"/>
      <c r="N81" s="627"/>
      <c r="O81" s="627"/>
      <c r="AH81" s="1050"/>
      <c r="AI81" s="1050"/>
      <c r="AJ81" s="1050"/>
      <c r="AK81" s="1050"/>
      <c r="AL81" s="1050"/>
      <c r="AM81" s="1050"/>
      <c r="AN81" s="1050"/>
      <c r="AO81" s="1050"/>
      <c r="AP81" s="1050"/>
      <c r="AQ81" s="1050"/>
      <c r="AR81" s="1050"/>
      <c r="AS81" s="1050"/>
      <c r="AT81" s="1050"/>
      <c r="AU81" s="1050"/>
      <c r="AV81" s="1050"/>
      <c r="AW81" s="1050"/>
      <c r="AX81" s="1050"/>
      <c r="AY81" s="1050"/>
      <c r="AZ81" s="1050"/>
      <c r="BA81" s="1050"/>
      <c r="BB81" s="1050"/>
      <c r="BC81" s="1050"/>
      <c r="BD81" s="1050"/>
      <c r="BE81" s="1050"/>
      <c r="BF81" s="1050"/>
      <c r="BG81" s="1050"/>
    </row>
    <row r="82" spans="1:59" s="267" customFormat="1" ht="14.1" customHeight="1" x14ac:dyDescent="0.2">
      <c r="AH82" s="1050"/>
      <c r="AI82" s="1050"/>
      <c r="AJ82" s="1050"/>
      <c r="AK82" s="1050"/>
      <c r="AL82" s="1050"/>
      <c r="AM82" s="1050"/>
      <c r="AN82" s="1050"/>
      <c r="AO82" s="1050"/>
      <c r="AP82" s="1050"/>
      <c r="AQ82" s="1050"/>
      <c r="AR82" s="1050"/>
      <c r="AS82" s="1050"/>
      <c r="AT82" s="1050"/>
      <c r="AU82" s="1050"/>
      <c r="AV82" s="1050"/>
      <c r="AW82" s="1050"/>
      <c r="AX82" s="1050"/>
      <c r="AY82" s="1050"/>
      <c r="AZ82" s="1050"/>
      <c r="BA82" s="1050"/>
      <c r="BB82" s="1050"/>
      <c r="BC82" s="1050"/>
      <c r="BD82" s="1050"/>
      <c r="BE82" s="1050"/>
      <c r="BF82" s="1050"/>
      <c r="BG82" s="1050"/>
    </row>
    <row r="83" spans="1:59" s="267" customFormat="1" ht="14.1" customHeight="1" x14ac:dyDescent="0.2">
      <c r="E83" s="1128"/>
      <c r="AH83" s="1050"/>
      <c r="AI83" s="1050"/>
      <c r="AJ83" s="1050"/>
      <c r="AK83" s="1050"/>
      <c r="AL83" s="1050"/>
      <c r="AM83" s="1050"/>
      <c r="AN83" s="1050"/>
      <c r="AO83" s="1050"/>
      <c r="AP83" s="1050"/>
      <c r="AQ83" s="1050"/>
      <c r="AR83" s="1050"/>
      <c r="AS83" s="1050"/>
      <c r="AT83" s="1050"/>
      <c r="AU83" s="1050"/>
      <c r="AV83" s="1050"/>
      <c r="AW83" s="1050"/>
      <c r="AX83" s="1050"/>
      <c r="AY83" s="1050"/>
      <c r="AZ83" s="1050"/>
      <c r="BA83" s="1050"/>
      <c r="BB83" s="1050"/>
      <c r="BC83" s="1050"/>
      <c r="BD83" s="1050"/>
      <c r="BE83" s="1050"/>
      <c r="BF83" s="1050"/>
      <c r="BG83" s="1050"/>
    </row>
    <row r="84" spans="1:59" s="267" customFormat="1" ht="14.1" customHeight="1" x14ac:dyDescent="0.2">
      <c r="AH84" s="1050"/>
      <c r="AI84" s="1050"/>
      <c r="AJ84" s="1050"/>
      <c r="AK84" s="1050"/>
      <c r="AL84" s="1050"/>
      <c r="AM84" s="1050"/>
      <c r="AN84" s="1050"/>
      <c r="AO84" s="1050"/>
      <c r="AP84" s="1050"/>
      <c r="AQ84" s="1050"/>
      <c r="AR84" s="1050"/>
      <c r="AS84" s="1050"/>
      <c r="AT84" s="1050"/>
      <c r="AU84" s="1050"/>
      <c r="AV84" s="1050"/>
      <c r="AW84" s="1050"/>
      <c r="AX84" s="1050"/>
      <c r="AY84" s="1050"/>
      <c r="AZ84" s="1050"/>
      <c r="BA84" s="1050"/>
      <c r="BB84" s="1050"/>
      <c r="BC84" s="1050"/>
      <c r="BD84" s="1050"/>
      <c r="BE84" s="1050"/>
      <c r="BF84" s="1050"/>
      <c r="BG84" s="1050"/>
    </row>
    <row r="85" spans="1:59" s="267" customFormat="1" ht="14.1" customHeight="1" x14ac:dyDescent="0.2">
      <c r="AH85" s="1050"/>
      <c r="AI85" s="1050"/>
      <c r="AJ85" s="1050"/>
      <c r="AK85" s="1050"/>
      <c r="AL85" s="1050"/>
      <c r="AM85" s="1050"/>
      <c r="AN85" s="1050"/>
      <c r="AO85" s="1050"/>
      <c r="AP85" s="1050"/>
      <c r="AQ85" s="1050"/>
      <c r="AR85" s="1050"/>
      <c r="AS85" s="1050"/>
      <c r="AT85" s="1050"/>
      <c r="AU85" s="1050"/>
      <c r="AV85" s="1050"/>
      <c r="AW85" s="1050"/>
      <c r="AX85" s="1050"/>
      <c r="AY85" s="1050"/>
      <c r="AZ85" s="1050"/>
      <c r="BA85" s="1050"/>
      <c r="BB85" s="1050"/>
      <c r="BC85" s="1050"/>
      <c r="BD85" s="1050"/>
      <c r="BE85" s="1050"/>
      <c r="BF85" s="1050"/>
      <c r="BG85" s="1050"/>
    </row>
    <row r="86" spans="1:59" s="267" customFormat="1" ht="14.1" customHeight="1" x14ac:dyDescent="0.2">
      <c r="AH86" s="1050"/>
      <c r="AI86" s="1050"/>
      <c r="AJ86" s="1050"/>
      <c r="AK86" s="1050"/>
      <c r="AL86" s="1050"/>
      <c r="AM86" s="1050"/>
      <c r="AN86" s="1050"/>
      <c r="AO86" s="1050"/>
      <c r="AP86" s="1050"/>
      <c r="AQ86" s="1050"/>
      <c r="AR86" s="1050"/>
      <c r="AS86" s="1050"/>
      <c r="AT86" s="1050"/>
      <c r="AU86" s="1050"/>
      <c r="AV86" s="1050"/>
      <c r="AW86" s="1050"/>
      <c r="AX86" s="1050"/>
      <c r="AY86" s="1050"/>
      <c r="AZ86" s="1050"/>
      <c r="BA86" s="1050"/>
      <c r="BB86" s="1050"/>
      <c r="BC86" s="1050"/>
      <c r="BD86" s="1050"/>
      <c r="BE86" s="1050"/>
      <c r="BF86" s="1050"/>
      <c r="BG86" s="1050"/>
    </row>
    <row r="87" spans="1:59" s="267" customFormat="1" ht="14.1" customHeight="1" x14ac:dyDescent="0.2">
      <c r="AH87" s="1050"/>
      <c r="AI87" s="1050"/>
      <c r="AJ87" s="1050"/>
      <c r="AK87" s="1050"/>
      <c r="AL87" s="1050"/>
      <c r="AM87" s="1050"/>
      <c r="AN87" s="1050"/>
      <c r="AO87" s="1050"/>
      <c r="AP87" s="1050"/>
      <c r="AQ87" s="1050"/>
      <c r="AR87" s="1050"/>
      <c r="AS87" s="1050"/>
      <c r="AT87" s="1050"/>
      <c r="AU87" s="1050"/>
      <c r="AV87" s="1050"/>
      <c r="AW87" s="1050"/>
      <c r="AX87" s="1050"/>
      <c r="AY87" s="1050"/>
      <c r="AZ87" s="1050"/>
      <c r="BA87" s="1050"/>
      <c r="BB87" s="1050"/>
      <c r="BC87" s="1050"/>
      <c r="BD87" s="1050"/>
      <c r="BE87" s="1050"/>
      <c r="BF87" s="1050"/>
      <c r="BG87" s="1050"/>
    </row>
    <row r="88" spans="1:59" s="267" customFormat="1" ht="14.1" customHeight="1" x14ac:dyDescent="0.2">
      <c r="AH88" s="1050"/>
      <c r="AI88" s="1050"/>
      <c r="AJ88" s="1050"/>
      <c r="AK88" s="1050"/>
      <c r="AL88" s="1050"/>
      <c r="AM88" s="1050"/>
      <c r="AN88" s="1050"/>
      <c r="AO88" s="1050"/>
      <c r="AP88" s="1050"/>
      <c r="AQ88" s="1050"/>
      <c r="AR88" s="1050"/>
      <c r="AS88" s="1050"/>
      <c r="AT88" s="1050"/>
      <c r="AU88" s="1050"/>
      <c r="AV88" s="1050"/>
      <c r="AW88" s="1050"/>
      <c r="AX88" s="1050"/>
      <c r="AY88" s="1050"/>
      <c r="AZ88" s="1050"/>
      <c r="BA88" s="1050"/>
      <c r="BB88" s="1050"/>
      <c r="BC88" s="1050"/>
      <c r="BD88" s="1050"/>
      <c r="BE88" s="1050"/>
      <c r="BF88" s="1050"/>
      <c r="BG88" s="1050"/>
    </row>
    <row r="89" spans="1:59" s="187" customFormat="1" ht="14.1" customHeight="1" x14ac:dyDescent="0.2">
      <c r="AH89" s="1125"/>
      <c r="AI89" s="1125"/>
      <c r="AJ89" s="1125"/>
      <c r="AK89" s="1125"/>
      <c r="AL89" s="1125"/>
      <c r="AM89" s="1125"/>
      <c r="AN89" s="1125"/>
      <c r="AO89" s="1125"/>
      <c r="AP89" s="1125"/>
      <c r="AQ89" s="1125"/>
      <c r="AR89" s="1125"/>
      <c r="AS89" s="1125"/>
      <c r="AT89" s="1125"/>
      <c r="AU89" s="1125"/>
      <c r="AV89" s="1125"/>
      <c r="AW89" s="1125"/>
      <c r="AX89" s="1125"/>
      <c r="AY89" s="1125"/>
      <c r="AZ89" s="1125"/>
      <c r="BA89" s="1125"/>
      <c r="BB89" s="1125"/>
      <c r="BC89" s="1125"/>
      <c r="BD89" s="1125"/>
      <c r="BE89" s="1125"/>
      <c r="BF89" s="1125"/>
      <c r="BG89" s="1125"/>
    </row>
    <row r="90" spans="1:59" s="187" customFormat="1" ht="14.1" customHeight="1" x14ac:dyDescent="0.2">
      <c r="AH90" s="1125"/>
      <c r="AI90" s="1125"/>
      <c r="AJ90" s="1125"/>
      <c r="AK90" s="1125"/>
      <c r="AL90" s="1125"/>
      <c r="AM90" s="1125"/>
      <c r="AN90" s="1125"/>
      <c r="AO90" s="1125"/>
      <c r="AP90" s="1125"/>
      <c r="AQ90" s="1125"/>
      <c r="AR90" s="1125"/>
      <c r="AS90" s="1125"/>
      <c r="AT90" s="1125"/>
      <c r="AU90" s="1125"/>
      <c r="AV90" s="1125"/>
      <c r="AW90" s="1125"/>
      <c r="AX90" s="1125"/>
      <c r="AY90" s="1125"/>
      <c r="AZ90" s="1125"/>
      <c r="BA90" s="1125"/>
      <c r="BB90" s="1125"/>
      <c r="BC90" s="1125"/>
      <c r="BD90" s="1125"/>
      <c r="BE90" s="1125"/>
      <c r="BF90" s="1125"/>
      <c r="BG90" s="1125"/>
    </row>
    <row r="91" spans="1:59" s="187" customFormat="1" ht="14.1" customHeight="1" x14ac:dyDescent="0.2">
      <c r="AH91" s="1125"/>
      <c r="AI91" s="1125"/>
      <c r="AJ91" s="1125"/>
      <c r="AK91" s="1125"/>
      <c r="AL91" s="1125"/>
      <c r="AM91" s="1125"/>
      <c r="AN91" s="1125"/>
      <c r="AO91" s="1125"/>
      <c r="AP91" s="1125"/>
      <c r="AQ91" s="1125"/>
      <c r="AR91" s="1125"/>
      <c r="AS91" s="1125"/>
      <c r="AT91" s="1125"/>
      <c r="AU91" s="1125"/>
      <c r="AV91" s="1125"/>
      <c r="AW91" s="1125"/>
      <c r="AX91" s="1125"/>
      <c r="AY91" s="1125"/>
      <c r="AZ91" s="1125"/>
      <c r="BA91" s="1125"/>
      <c r="BB91" s="1125"/>
      <c r="BC91" s="1125"/>
      <c r="BD91" s="1125"/>
      <c r="BE91" s="1125"/>
      <c r="BF91" s="1125"/>
      <c r="BG91" s="1125"/>
    </row>
    <row r="92" spans="1:59" s="187" customFormat="1" ht="14.1" customHeight="1" x14ac:dyDescent="0.2">
      <c r="AH92" s="1125"/>
      <c r="AI92" s="1125"/>
      <c r="AJ92" s="1125"/>
      <c r="AK92" s="1125"/>
      <c r="AL92" s="1125"/>
      <c r="AM92" s="1125"/>
      <c r="AN92" s="1125"/>
      <c r="AO92" s="1125"/>
      <c r="AP92" s="1125"/>
      <c r="AQ92" s="1125"/>
      <c r="AR92" s="1125"/>
      <c r="AS92" s="1125"/>
      <c r="AT92" s="1125"/>
      <c r="AU92" s="1125"/>
      <c r="AV92" s="1125"/>
      <c r="AW92" s="1125"/>
      <c r="AX92" s="1125"/>
      <c r="AY92" s="1125"/>
      <c r="AZ92" s="1125"/>
      <c r="BA92" s="1125"/>
      <c r="BB92" s="1125"/>
      <c r="BC92" s="1125"/>
      <c r="BD92" s="1125"/>
      <c r="BE92" s="1125"/>
      <c r="BF92" s="1125"/>
      <c r="BG92" s="1125"/>
    </row>
    <row r="93" spans="1:59" ht="14.1" customHeight="1" x14ac:dyDescent="0.2"/>
    <row r="94" spans="1:59" ht="14.1" customHeight="1" x14ac:dyDescent="0.2"/>
  </sheetData>
  <mergeCells count="1">
    <mergeCell ref="M3:M4"/>
  </mergeCells>
  <pageMargins left="0.78740157499999996" right="0.78740157499999996" top="0.984251969" bottom="0.984251969" header="0.49212598499999999" footer="0.49212598499999999"/>
  <pageSetup paperSize="9"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9">
    <tabColor rgb="FFFAB766"/>
    <pageSetUpPr autoPageBreaks="0"/>
  </sheetPr>
  <dimension ref="A1:AW122"/>
  <sheetViews>
    <sheetView showGridLines="0" zoomScaleNormal="100" workbookViewId="0">
      <pane xSplit="2" ySplit="10" topLeftCell="AQ11" activePane="bottomRight" state="frozen"/>
      <selection activeCell="K34" sqref="K34"/>
      <selection pane="topRight" activeCell="K34" sqref="K34"/>
      <selection pane="bottomLeft" activeCell="K34" sqref="K34"/>
      <selection pane="bottomRight" activeCell="AT18" sqref="AT18"/>
    </sheetView>
  </sheetViews>
  <sheetFormatPr defaultRowHeight="12.75" outlineLevelRow="2" x14ac:dyDescent="0.2"/>
  <cols>
    <col min="1" max="1" width="1.42578125" style="267" hidden="1" customWidth="1"/>
    <col min="2" max="2" width="45.42578125" style="40" customWidth="1"/>
    <col min="3" max="3" width="10.85546875" style="138" customWidth="1"/>
    <col min="4" max="4" width="10.85546875" style="131" customWidth="1"/>
    <col min="5" max="47" width="10.85546875" customWidth="1"/>
    <col min="48" max="48" width="11.140625" bestFit="1" customWidth="1"/>
  </cols>
  <sheetData>
    <row r="1" spans="1:47" x14ac:dyDescent="0.2">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45"/>
      <c r="AE1" s="545"/>
      <c r="AF1" s="545"/>
      <c r="AG1" s="545"/>
      <c r="AH1" s="545"/>
      <c r="AI1" s="545"/>
      <c r="AJ1" s="545"/>
      <c r="AK1" s="545"/>
      <c r="AL1" s="545"/>
      <c r="AM1" s="545"/>
      <c r="AN1" s="545"/>
      <c r="AO1" s="545"/>
      <c r="AP1" s="545"/>
      <c r="AQ1" s="545"/>
      <c r="AR1" s="545"/>
      <c r="AS1" s="545"/>
      <c r="AT1" s="545"/>
      <c r="AU1" s="545"/>
    </row>
    <row r="2" spans="1:47" x14ac:dyDescent="0.2">
      <c r="C2" s="545"/>
      <c r="D2" s="545"/>
      <c r="E2" s="545"/>
      <c r="F2" s="545"/>
      <c r="G2" s="545"/>
      <c r="H2" s="545"/>
      <c r="I2" s="545"/>
      <c r="J2" s="545"/>
      <c r="K2" s="545"/>
      <c r="L2" s="545"/>
      <c r="M2" s="545"/>
      <c r="N2" s="545"/>
      <c r="O2" s="545"/>
      <c r="P2" s="545"/>
      <c r="Q2" s="545"/>
      <c r="R2" s="545"/>
      <c r="S2" s="545"/>
      <c r="T2" s="545"/>
      <c r="U2" s="545"/>
      <c r="V2" s="545"/>
      <c r="W2" s="545"/>
      <c r="X2" s="545"/>
      <c r="Y2" s="545"/>
      <c r="Z2" s="545"/>
      <c r="AA2" s="545"/>
      <c r="AB2" s="545"/>
      <c r="AC2" s="545"/>
      <c r="AD2" s="545"/>
      <c r="AE2" s="545"/>
      <c r="AF2" s="545"/>
      <c r="AG2" s="545"/>
      <c r="AH2" s="545"/>
      <c r="AI2" s="545"/>
      <c r="AJ2" s="545"/>
      <c r="AK2" s="545"/>
      <c r="AL2" s="545"/>
      <c r="AM2" s="545"/>
      <c r="AN2" s="545"/>
      <c r="AO2" s="545"/>
      <c r="AP2" s="545"/>
      <c r="AQ2" s="545"/>
      <c r="AR2" s="545"/>
      <c r="AS2" s="545"/>
      <c r="AT2" s="545"/>
      <c r="AU2" s="545"/>
    </row>
    <row r="3" spans="1:47" x14ac:dyDescent="0.2">
      <c r="C3" s="131"/>
      <c r="R3" s="328"/>
      <c r="S3" s="328"/>
      <c r="T3" s="328"/>
      <c r="U3" s="328"/>
      <c r="V3" s="328"/>
      <c r="W3" s="328"/>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row>
    <row r="4" spans="1:47" x14ac:dyDescent="0.2">
      <c r="B4" s="9" t="s">
        <v>337</v>
      </c>
      <c r="C4" s="131"/>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row>
    <row r="5" spans="1:47" x14ac:dyDescent="0.2">
      <c r="B5" s="113" t="s">
        <v>459</v>
      </c>
      <c r="C5" s="115" t="s">
        <v>87</v>
      </c>
      <c r="D5" s="115" t="s">
        <v>88</v>
      </c>
      <c r="E5" s="132" t="s">
        <v>378</v>
      </c>
      <c r="F5" s="132" t="s">
        <v>406</v>
      </c>
      <c r="G5" s="132" t="s">
        <v>467</v>
      </c>
      <c r="H5" s="132" t="s">
        <v>501</v>
      </c>
      <c r="I5" s="132" t="s">
        <v>511</v>
      </c>
      <c r="J5" s="132" t="s">
        <v>538</v>
      </c>
      <c r="K5" s="132" t="s">
        <v>567</v>
      </c>
      <c r="L5" s="132" t="s">
        <v>575</v>
      </c>
      <c r="M5" s="132" t="s">
        <v>595</v>
      </c>
      <c r="N5" s="132" t="s">
        <v>596</v>
      </c>
      <c r="O5" s="132" t="s">
        <v>623</v>
      </c>
      <c r="P5" s="132" t="s">
        <v>624</v>
      </c>
      <c r="Q5" s="132" t="s">
        <v>625</v>
      </c>
      <c r="R5" s="132" t="s">
        <v>626</v>
      </c>
      <c r="S5" s="132" t="s">
        <v>798</v>
      </c>
      <c r="T5" s="132" t="s">
        <v>799</v>
      </c>
      <c r="U5" s="132" t="s">
        <v>800</v>
      </c>
      <c r="V5" s="132" t="s">
        <v>801</v>
      </c>
      <c r="W5" s="132" t="s">
        <v>913</v>
      </c>
      <c r="X5" s="132" t="s">
        <v>914</v>
      </c>
      <c r="Y5" s="132" t="s">
        <v>923</v>
      </c>
      <c r="Z5" s="132" t="s">
        <v>924</v>
      </c>
      <c r="AA5" s="132" t="s">
        <v>1049</v>
      </c>
      <c r="AB5" s="132" t="s">
        <v>1023</v>
      </c>
      <c r="AC5" s="132" t="s">
        <v>1024</v>
      </c>
      <c r="AD5" s="132" t="s">
        <v>1050</v>
      </c>
      <c r="AE5" s="132" t="s">
        <v>1114</v>
      </c>
      <c r="AF5" s="132" t="s">
        <v>1119</v>
      </c>
      <c r="AG5" s="132" t="s">
        <v>1121</v>
      </c>
      <c r="AH5" s="132" t="s">
        <v>1123</v>
      </c>
      <c r="AI5" s="132" t="s">
        <v>1176</v>
      </c>
      <c r="AJ5" s="132" t="s">
        <v>1177</v>
      </c>
      <c r="AK5" s="132" t="s">
        <v>1179</v>
      </c>
      <c r="AL5" s="132" t="s">
        <v>1181</v>
      </c>
      <c r="AM5" s="132" t="s">
        <v>1243</v>
      </c>
      <c r="AN5" s="132" t="s">
        <v>1250</v>
      </c>
      <c r="AO5" s="132" t="s">
        <v>1251</v>
      </c>
      <c r="AP5" s="132" t="s">
        <v>1252</v>
      </c>
      <c r="AQ5" s="132" t="s">
        <v>1311</v>
      </c>
      <c r="AR5" s="132" t="s">
        <v>1313</v>
      </c>
      <c r="AS5" s="132" t="s">
        <v>1315</v>
      </c>
      <c r="AT5" s="132" t="s">
        <v>1317</v>
      </c>
      <c r="AU5" s="132" t="s">
        <v>1344</v>
      </c>
    </row>
    <row r="6" spans="1:47" ht="25.5" hidden="1" outlineLevel="1" x14ac:dyDescent="0.2">
      <c r="B6" s="185" t="s">
        <v>389</v>
      </c>
      <c r="C6" s="186">
        <f t="shared" ref="C6:R6" si="0">+C63+SUM(C88:C90)</f>
        <v>54433.999999999971</v>
      </c>
      <c r="D6" s="186">
        <f t="shared" si="0"/>
        <v>-38044</v>
      </c>
      <c r="E6" s="186">
        <f t="shared" si="0"/>
        <v>70041.174780000001</v>
      </c>
      <c r="F6" s="186">
        <f t="shared" si="0"/>
        <v>25579</v>
      </c>
      <c r="G6" s="186">
        <f t="shared" si="0"/>
        <v>51186.999720000022</v>
      </c>
      <c r="H6" s="186">
        <f t="shared" si="0"/>
        <v>-2641.9999999999982</v>
      </c>
      <c r="I6" s="186">
        <f t="shared" si="0"/>
        <v>28377</v>
      </c>
      <c r="J6" s="186">
        <f t="shared" si="0"/>
        <v>7437.0000000000018</v>
      </c>
      <c r="K6" s="186">
        <f t="shared" si="0"/>
        <v>16727.027199999993</v>
      </c>
      <c r="L6" s="186">
        <f t="shared" si="0"/>
        <v>18182.445259999968</v>
      </c>
      <c r="M6" s="186">
        <f t="shared" si="0"/>
        <v>33546.934711548151</v>
      </c>
      <c r="N6" s="186">
        <f t="shared" si="0"/>
        <v>16545.937288451845</v>
      </c>
      <c r="O6" s="186">
        <f t="shared" si="0"/>
        <v>47325</v>
      </c>
      <c r="P6" s="186">
        <f t="shared" si="0"/>
        <v>11895</v>
      </c>
      <c r="Q6" s="186">
        <f t="shared" si="0"/>
        <v>33009.324519999936</v>
      </c>
      <c r="R6" s="186">
        <f t="shared" si="0"/>
        <v>12660.218080000042</v>
      </c>
      <c r="S6" s="186">
        <f t="shared" ref="S6:X6" si="1">+S63</f>
        <v>55636</v>
      </c>
      <c r="T6" s="186">
        <f t="shared" si="1"/>
        <v>51412.371810000062</v>
      </c>
      <c r="U6" s="186">
        <f t="shared" si="1"/>
        <v>45622.193179999958</v>
      </c>
      <c r="V6" s="186">
        <f t="shared" si="1"/>
        <v>24899.259119999992</v>
      </c>
      <c r="W6" s="186">
        <f t="shared" si="1"/>
        <v>73009.393389999968</v>
      </c>
      <c r="X6" s="186">
        <f t="shared" si="1"/>
        <v>83569.515780000002</v>
      </c>
      <c r="Y6" s="186">
        <f>+Y63</f>
        <v>3533.416119999958</v>
      </c>
      <c r="Z6" s="186">
        <f>+Z63</f>
        <v>43612.838950000027</v>
      </c>
      <c r="AA6" s="186">
        <f>+AA63</f>
        <v>57920.245349999932</v>
      </c>
      <c r="AB6" s="186">
        <v>6722.9608511999832</v>
      </c>
      <c r="AC6" s="186">
        <v>38576.960199999994</v>
      </c>
      <c r="AD6" s="186">
        <f t="shared" ref="AD6:AI6" si="2">+AD63</f>
        <v>-49718.516980000059</v>
      </c>
      <c r="AE6" s="186">
        <f t="shared" si="2"/>
        <v>85359.709109999967</v>
      </c>
      <c r="AF6" s="186">
        <f t="shared" si="2"/>
        <v>-76.3009444250456</v>
      </c>
      <c r="AG6" s="186">
        <f t="shared" si="2"/>
        <v>59550.003068400016</v>
      </c>
      <c r="AH6" s="186">
        <f t="shared" si="2"/>
        <v>62957.361847199965</v>
      </c>
      <c r="AI6" s="186">
        <f t="shared" si="2"/>
        <v>87055.848997799796</v>
      </c>
      <c r="AJ6" s="186">
        <f t="shared" ref="AJ6:AU6" si="3">+AJ63</f>
        <v>45814.318640000201</v>
      </c>
      <c r="AK6" s="186">
        <f t="shared" si="3"/>
        <v>67668.701230000093</v>
      </c>
      <c r="AL6" s="186">
        <f t="shared" si="3"/>
        <v>15897.691510000186</v>
      </c>
      <c r="AM6" s="186">
        <f t="shared" si="3"/>
        <v>84444.066839999767</v>
      </c>
      <c r="AN6" s="186">
        <f t="shared" si="3"/>
        <v>49445.657680000062</v>
      </c>
      <c r="AO6" s="186">
        <f t="shared" si="3"/>
        <v>68562.687500000116</v>
      </c>
      <c r="AP6" s="186">
        <f t="shared" si="3"/>
        <v>56234.962249699864</v>
      </c>
      <c r="AQ6" s="186">
        <f t="shared" si="3"/>
        <v>110278.68429999988</v>
      </c>
      <c r="AR6" s="186">
        <f t="shared" si="3"/>
        <v>59550.508879999805</v>
      </c>
      <c r="AS6" s="186">
        <f t="shared" si="3"/>
        <v>41726.982880000054</v>
      </c>
      <c r="AT6" s="186">
        <f t="shared" si="3"/>
        <v>31683.377919999795</v>
      </c>
      <c r="AU6" s="186">
        <f t="shared" si="3"/>
        <v>100426</v>
      </c>
    </row>
    <row r="7" spans="1:47" s="232" customFormat="1" ht="25.5" hidden="1" outlineLevel="1" x14ac:dyDescent="0.2">
      <c r="A7" s="267"/>
      <c r="B7" s="233" t="s">
        <v>390</v>
      </c>
      <c r="C7" s="234">
        <f t="shared" ref="C7:E9" si="4">-C88</f>
        <v>0</v>
      </c>
      <c r="D7" s="234">
        <f t="shared" si="4"/>
        <v>0</v>
      </c>
      <c r="E7" s="234">
        <f t="shared" si="4"/>
        <v>0</v>
      </c>
      <c r="F7" s="234">
        <f t="shared" ref="F7:G9" si="5">-F88</f>
        <v>0</v>
      </c>
      <c r="G7" s="234">
        <f t="shared" si="5"/>
        <v>0</v>
      </c>
      <c r="H7" s="234">
        <f t="shared" ref="H7:I9" si="6">-H88</f>
        <v>0</v>
      </c>
      <c r="I7" s="234">
        <f t="shared" si="6"/>
        <v>0</v>
      </c>
      <c r="J7" s="234">
        <v>0</v>
      </c>
      <c r="K7" s="234">
        <v>0</v>
      </c>
      <c r="L7" s="234">
        <v>0</v>
      </c>
      <c r="M7" s="234">
        <v>0</v>
      </c>
      <c r="N7" s="234">
        <v>0</v>
      </c>
      <c r="O7" s="234">
        <v>0</v>
      </c>
      <c r="P7" s="234"/>
      <c r="Q7" s="234">
        <v>0</v>
      </c>
      <c r="R7" s="234">
        <v>0</v>
      </c>
      <c r="S7" s="234">
        <v>0</v>
      </c>
      <c r="T7" s="234"/>
      <c r="U7" s="234">
        <v>0</v>
      </c>
      <c r="V7" s="234">
        <v>0</v>
      </c>
      <c r="W7" s="234">
        <v>0</v>
      </c>
      <c r="X7" s="234">
        <v>0</v>
      </c>
      <c r="Y7" s="234">
        <v>0</v>
      </c>
      <c r="Z7" s="234">
        <v>0</v>
      </c>
      <c r="AA7" s="234">
        <v>0</v>
      </c>
      <c r="AB7" s="234">
        <v>0</v>
      </c>
      <c r="AC7" s="234">
        <v>0</v>
      </c>
      <c r="AD7" s="234">
        <v>0</v>
      </c>
      <c r="AE7" s="234"/>
      <c r="AF7" s="234">
        <v>0</v>
      </c>
      <c r="AG7" s="234">
        <v>0</v>
      </c>
      <c r="AH7" s="234">
        <v>0</v>
      </c>
      <c r="AI7" s="234">
        <v>0</v>
      </c>
      <c r="AJ7" s="234">
        <v>0</v>
      </c>
      <c r="AK7" s="234">
        <v>0</v>
      </c>
      <c r="AL7" s="234">
        <v>0</v>
      </c>
      <c r="AM7" s="234">
        <v>0</v>
      </c>
      <c r="AN7" s="234" t="s">
        <v>160</v>
      </c>
      <c r="AO7" s="234" t="s">
        <v>160</v>
      </c>
      <c r="AP7" s="234"/>
      <c r="AQ7" s="234"/>
      <c r="AR7" s="234">
        <v>0</v>
      </c>
      <c r="AS7" s="234">
        <v>0</v>
      </c>
      <c r="AT7" s="234">
        <v>0</v>
      </c>
      <c r="AU7" s="234">
        <v>0</v>
      </c>
    </row>
    <row r="8" spans="1:47" s="232" customFormat="1" ht="25.5" hidden="1" outlineLevel="1" x14ac:dyDescent="0.2">
      <c r="A8" s="267"/>
      <c r="B8" s="233" t="s">
        <v>391</v>
      </c>
      <c r="C8" s="234">
        <f t="shared" si="4"/>
        <v>0</v>
      </c>
      <c r="D8" s="234">
        <f t="shared" si="4"/>
        <v>0</v>
      </c>
      <c r="E8" s="234">
        <f t="shared" si="4"/>
        <v>0</v>
      </c>
      <c r="F8" s="234">
        <f t="shared" si="5"/>
        <v>0</v>
      </c>
      <c r="G8" s="234">
        <f t="shared" si="5"/>
        <v>0</v>
      </c>
      <c r="H8" s="234">
        <f t="shared" si="6"/>
        <v>0</v>
      </c>
      <c r="I8" s="234">
        <f t="shared" si="6"/>
        <v>0</v>
      </c>
      <c r="J8" s="234">
        <v>0</v>
      </c>
      <c r="K8" s="234">
        <v>0</v>
      </c>
      <c r="L8" s="234">
        <v>0</v>
      </c>
      <c r="M8" s="234">
        <v>0</v>
      </c>
      <c r="N8" s="234">
        <v>0</v>
      </c>
      <c r="O8" s="234">
        <v>0</v>
      </c>
      <c r="P8" s="234"/>
      <c r="Q8" s="234">
        <v>0</v>
      </c>
      <c r="R8" s="234">
        <v>0</v>
      </c>
      <c r="S8" s="234">
        <v>0</v>
      </c>
      <c r="T8" s="234"/>
      <c r="U8" s="234">
        <v>0</v>
      </c>
      <c r="V8" s="234">
        <v>0</v>
      </c>
      <c r="W8" s="234">
        <v>0</v>
      </c>
      <c r="X8" s="234">
        <v>0</v>
      </c>
      <c r="Y8" s="234">
        <v>0</v>
      </c>
      <c r="Z8" s="234">
        <v>0</v>
      </c>
      <c r="AA8" s="234">
        <v>0</v>
      </c>
      <c r="AB8" s="234">
        <v>0</v>
      </c>
      <c r="AC8" s="234">
        <v>0</v>
      </c>
      <c r="AD8" s="234">
        <v>0</v>
      </c>
      <c r="AE8" s="234"/>
      <c r="AF8" s="234">
        <v>0</v>
      </c>
      <c r="AG8" s="234">
        <v>0</v>
      </c>
      <c r="AH8" s="234">
        <v>0</v>
      </c>
      <c r="AI8" s="234">
        <v>0</v>
      </c>
      <c r="AJ8" s="234">
        <v>0</v>
      </c>
      <c r="AK8" s="234">
        <v>0</v>
      </c>
      <c r="AL8" s="234">
        <v>0</v>
      </c>
      <c r="AM8" s="234">
        <v>0</v>
      </c>
      <c r="AN8" s="234" t="s">
        <v>160</v>
      </c>
      <c r="AO8" s="234" t="s">
        <v>160</v>
      </c>
      <c r="AP8" s="234"/>
      <c r="AQ8" s="234"/>
      <c r="AR8" s="234">
        <v>0</v>
      </c>
      <c r="AS8" s="234">
        <v>0</v>
      </c>
      <c r="AT8" s="234">
        <v>0</v>
      </c>
      <c r="AU8" s="234">
        <v>0</v>
      </c>
    </row>
    <row r="9" spans="1:47" s="232" customFormat="1" hidden="1" outlineLevel="1" x14ac:dyDescent="0.2">
      <c r="A9" s="267"/>
      <c r="B9" s="233" t="s">
        <v>392</v>
      </c>
      <c r="C9" s="234">
        <f t="shared" si="4"/>
        <v>0</v>
      </c>
      <c r="D9" s="234">
        <f t="shared" si="4"/>
        <v>0</v>
      </c>
      <c r="E9" s="234">
        <f t="shared" si="4"/>
        <v>0</v>
      </c>
      <c r="F9" s="234">
        <f t="shared" si="5"/>
        <v>0</v>
      </c>
      <c r="G9" s="234">
        <f t="shared" si="5"/>
        <v>0</v>
      </c>
      <c r="H9" s="234">
        <f t="shared" si="6"/>
        <v>0</v>
      </c>
      <c r="I9" s="234">
        <f t="shared" si="6"/>
        <v>0</v>
      </c>
      <c r="J9" s="234">
        <v>0</v>
      </c>
      <c r="K9" s="234">
        <v>0</v>
      </c>
      <c r="L9" s="234">
        <v>0</v>
      </c>
      <c r="M9" s="234">
        <v>0</v>
      </c>
      <c r="N9" s="234">
        <v>0</v>
      </c>
      <c r="O9" s="234">
        <v>0</v>
      </c>
      <c r="P9" s="234"/>
      <c r="Q9" s="234">
        <v>0</v>
      </c>
      <c r="R9" s="234">
        <v>0</v>
      </c>
      <c r="S9" s="234">
        <v>0</v>
      </c>
      <c r="T9" s="234"/>
      <c r="U9" s="234">
        <v>0</v>
      </c>
      <c r="V9" s="234">
        <v>0</v>
      </c>
      <c r="W9" s="234">
        <v>0</v>
      </c>
      <c r="X9" s="234">
        <v>0</v>
      </c>
      <c r="Y9" s="234">
        <v>0</v>
      </c>
      <c r="Z9" s="234">
        <v>0</v>
      </c>
      <c r="AA9" s="234">
        <v>0</v>
      </c>
      <c r="AB9" s="234">
        <v>0</v>
      </c>
      <c r="AC9" s="234">
        <v>0</v>
      </c>
      <c r="AD9" s="234">
        <v>0</v>
      </c>
      <c r="AE9" s="234"/>
      <c r="AF9" s="234">
        <v>0</v>
      </c>
      <c r="AG9" s="234">
        <v>0</v>
      </c>
      <c r="AH9" s="234">
        <v>0</v>
      </c>
      <c r="AI9" s="234">
        <v>0</v>
      </c>
      <c r="AJ9" s="234">
        <v>0</v>
      </c>
      <c r="AK9" s="234">
        <v>0</v>
      </c>
      <c r="AL9" s="234">
        <v>0</v>
      </c>
      <c r="AM9" s="234">
        <v>0</v>
      </c>
      <c r="AN9" s="234" t="s">
        <v>160</v>
      </c>
      <c r="AO9" s="234" t="s">
        <v>160</v>
      </c>
      <c r="AP9" s="234"/>
      <c r="AQ9" s="234"/>
      <c r="AR9" s="234">
        <v>0</v>
      </c>
      <c r="AS9" s="234">
        <v>0</v>
      </c>
      <c r="AT9" s="234">
        <v>0</v>
      </c>
      <c r="AU9" s="234">
        <v>0</v>
      </c>
    </row>
    <row r="10" spans="1:47" s="232" customFormat="1" ht="25.5" hidden="1" outlineLevel="1" x14ac:dyDescent="0.2">
      <c r="A10" s="267"/>
      <c r="B10" s="233" t="s">
        <v>401</v>
      </c>
      <c r="C10" s="234">
        <v>5405.6363199999896</v>
      </c>
      <c r="D10" s="234">
        <v>2003.9024199999999</v>
      </c>
      <c r="E10" s="234">
        <v>297.32211999999998</v>
      </c>
      <c r="F10" s="234">
        <v>0</v>
      </c>
      <c r="G10" s="234">
        <v>0</v>
      </c>
      <c r="H10" s="234">
        <v>0</v>
      </c>
      <c r="I10" s="234">
        <v>0</v>
      </c>
      <c r="J10" s="234">
        <v>0</v>
      </c>
      <c r="K10" s="234">
        <v>0</v>
      </c>
      <c r="L10" s="234">
        <v>0</v>
      </c>
      <c r="M10" s="234">
        <v>0</v>
      </c>
      <c r="N10" s="234">
        <v>0</v>
      </c>
      <c r="O10" s="234">
        <v>0</v>
      </c>
      <c r="P10" s="234"/>
      <c r="Q10" s="234">
        <v>0</v>
      </c>
      <c r="R10" s="234">
        <v>0</v>
      </c>
      <c r="S10" s="234">
        <v>0</v>
      </c>
      <c r="T10" s="234"/>
      <c r="U10" s="234">
        <v>0</v>
      </c>
      <c r="V10" s="234">
        <v>0</v>
      </c>
      <c r="W10" s="234">
        <v>0</v>
      </c>
      <c r="X10" s="234">
        <v>0</v>
      </c>
      <c r="Y10" s="234">
        <v>0</v>
      </c>
      <c r="Z10" s="234">
        <v>0</v>
      </c>
      <c r="AA10" s="234">
        <v>0</v>
      </c>
      <c r="AB10" s="234">
        <v>0</v>
      </c>
      <c r="AC10" s="234">
        <v>0</v>
      </c>
      <c r="AD10" s="234">
        <v>0</v>
      </c>
      <c r="AE10" s="234"/>
      <c r="AF10" s="234">
        <v>0</v>
      </c>
      <c r="AG10" s="234">
        <v>0</v>
      </c>
      <c r="AH10" s="234">
        <v>0</v>
      </c>
      <c r="AI10" s="234">
        <v>0</v>
      </c>
      <c r="AJ10" s="234">
        <v>0</v>
      </c>
      <c r="AK10" s="234">
        <v>0</v>
      </c>
      <c r="AL10" s="234">
        <v>0</v>
      </c>
      <c r="AM10" s="234">
        <v>0</v>
      </c>
      <c r="AN10" s="234" t="s">
        <v>160</v>
      </c>
      <c r="AO10" s="234" t="s">
        <v>160</v>
      </c>
      <c r="AP10" s="234"/>
      <c r="AQ10" s="234"/>
      <c r="AR10" s="234">
        <v>0</v>
      </c>
      <c r="AS10" s="234">
        <v>0</v>
      </c>
      <c r="AT10" s="234">
        <v>0</v>
      </c>
      <c r="AU10" s="234">
        <v>0</v>
      </c>
    </row>
    <row r="11" spans="1:47" ht="25.5" collapsed="1" x14ac:dyDescent="0.2">
      <c r="B11" s="185" t="s">
        <v>639</v>
      </c>
      <c r="C11" s="136">
        <f>+C6-SUM(C7:C10)</f>
        <v>49028.36367999998</v>
      </c>
      <c r="D11" s="136">
        <f>+D6-SUM(D7:D10)</f>
        <v>-40047.902419999999</v>
      </c>
      <c r="E11" s="136">
        <f t="shared" ref="E11:L11" si="7">+E6-SUM(E7:E10)</f>
        <v>69743.852660000004</v>
      </c>
      <c r="F11" s="136">
        <f t="shared" si="7"/>
        <v>25579</v>
      </c>
      <c r="G11" s="136">
        <f t="shared" si="7"/>
        <v>51186.999720000022</v>
      </c>
      <c r="H11" s="136">
        <f t="shared" si="7"/>
        <v>-2641.9999999999982</v>
      </c>
      <c r="I11" s="136">
        <f t="shared" si="7"/>
        <v>28377</v>
      </c>
      <c r="J11" s="136">
        <f t="shared" si="7"/>
        <v>7437.0000000000018</v>
      </c>
      <c r="K11" s="136">
        <f t="shared" si="7"/>
        <v>16727.027199999993</v>
      </c>
      <c r="L11" s="136">
        <f t="shared" si="7"/>
        <v>18182.445259999968</v>
      </c>
      <c r="M11" s="136">
        <f t="shared" ref="M11:S11" si="8">+M6-SUM(M7:M10)</f>
        <v>33546.934711548151</v>
      </c>
      <c r="N11" s="136">
        <f t="shared" si="8"/>
        <v>16545.937288451845</v>
      </c>
      <c r="O11" s="136">
        <f t="shared" si="8"/>
        <v>47325</v>
      </c>
      <c r="P11" s="136">
        <f t="shared" si="8"/>
        <v>11895</v>
      </c>
      <c r="Q11" s="136">
        <f t="shared" si="8"/>
        <v>33009.324519999936</v>
      </c>
      <c r="R11" s="136">
        <f t="shared" si="8"/>
        <v>12660.218080000042</v>
      </c>
      <c r="S11" s="136">
        <f t="shared" si="8"/>
        <v>55636</v>
      </c>
      <c r="T11" s="136">
        <f t="shared" ref="T11:AA11" si="9">+T6-SUM(T7:T10)</f>
        <v>51412.371810000062</v>
      </c>
      <c r="U11" s="136">
        <f t="shared" si="9"/>
        <v>45622.193179999958</v>
      </c>
      <c r="V11" s="136">
        <f t="shared" si="9"/>
        <v>24899.259119999992</v>
      </c>
      <c r="W11" s="822">
        <f t="shared" si="9"/>
        <v>73009.393389999968</v>
      </c>
      <c r="X11" s="136">
        <f t="shared" si="9"/>
        <v>83569.515780000002</v>
      </c>
      <c r="Y11" s="136">
        <f t="shared" si="9"/>
        <v>3533.416119999958</v>
      </c>
      <c r="Z11" s="136">
        <f t="shared" si="9"/>
        <v>43612.838950000027</v>
      </c>
      <c r="AA11" s="136">
        <f t="shared" si="9"/>
        <v>57920.245349999932</v>
      </c>
      <c r="AB11" s="136">
        <f t="shared" ref="AB11:AL11" si="10">+AB6-SUM(AB7:AB10)</f>
        <v>6722.9608511999832</v>
      </c>
      <c r="AC11" s="136">
        <f t="shared" si="10"/>
        <v>38576.960199999994</v>
      </c>
      <c r="AD11" s="136">
        <f t="shared" si="10"/>
        <v>-49718.516980000059</v>
      </c>
      <c r="AE11" s="136">
        <f t="shared" si="10"/>
        <v>85359.709109999967</v>
      </c>
      <c r="AF11" s="136">
        <f t="shared" si="10"/>
        <v>-76.3009444250456</v>
      </c>
      <c r="AG11" s="136">
        <f t="shared" si="10"/>
        <v>59550.003068400016</v>
      </c>
      <c r="AH11" s="136">
        <f t="shared" si="10"/>
        <v>62957.361847199965</v>
      </c>
      <c r="AI11" s="136">
        <f t="shared" si="10"/>
        <v>87055.848997799796</v>
      </c>
      <c r="AJ11" s="136">
        <f t="shared" si="10"/>
        <v>45814.318640000201</v>
      </c>
      <c r="AK11" s="136">
        <f t="shared" si="10"/>
        <v>67668.701230000093</v>
      </c>
      <c r="AL11" s="136">
        <f t="shared" si="10"/>
        <v>15897.691510000186</v>
      </c>
      <c r="AM11" s="136">
        <f>+AM6-SUM(AM7:AM10)</f>
        <v>84444.066839999767</v>
      </c>
      <c r="AN11" s="136">
        <f>+AN6-SUM(AN7:AN10)</f>
        <v>49445.657680000062</v>
      </c>
      <c r="AO11" s="136">
        <f>+AO6-SUM(AO7:AO10)</f>
        <v>68562.687500000116</v>
      </c>
      <c r="AP11" s="136">
        <f>+AP6-SUM(AP7:AP10)</f>
        <v>56234.962249699864</v>
      </c>
      <c r="AQ11" s="136">
        <v>110278</v>
      </c>
      <c r="AR11" s="136">
        <v>59550.315700000123</v>
      </c>
      <c r="AS11" s="136">
        <v>41726.806820000318</v>
      </c>
      <c r="AT11" s="136">
        <v>31683.823940000264</v>
      </c>
      <c r="AU11" s="136">
        <f>+AU6-SUM(AU7:AU10)</f>
        <v>100426</v>
      </c>
    </row>
    <row r="12" spans="1:47" ht="25.5" x14ac:dyDescent="0.2">
      <c r="B12" s="185" t="s">
        <v>640</v>
      </c>
      <c r="C12" s="136">
        <f t="shared" ref="C12:L12" si="11">+C66+C65</f>
        <v>-11655</v>
      </c>
      <c r="D12" s="136">
        <f t="shared" si="11"/>
        <v>-18076</v>
      </c>
      <c r="E12" s="136">
        <f t="shared" si="11"/>
        <v>-24512</v>
      </c>
      <c r="F12" s="136">
        <f t="shared" si="11"/>
        <v>-15090</v>
      </c>
      <c r="G12" s="136">
        <f t="shared" si="11"/>
        <v>-10828</v>
      </c>
      <c r="H12" s="136">
        <f t="shared" si="11"/>
        <v>-11244</v>
      </c>
      <c r="I12" s="136">
        <f t="shared" si="11"/>
        <v>-4304</v>
      </c>
      <c r="J12" s="136">
        <f t="shared" si="11"/>
        <v>-6620</v>
      </c>
      <c r="K12" s="136">
        <f t="shared" si="11"/>
        <v>-5300.027199999985</v>
      </c>
      <c r="L12" s="136">
        <f t="shared" si="11"/>
        <v>-6918.85</v>
      </c>
      <c r="M12" s="136">
        <f t="shared" ref="M12:S12" si="12">+M66+M65</f>
        <v>-6577.0201200000001</v>
      </c>
      <c r="N12" s="136">
        <f t="shared" si="12"/>
        <v>-5385.2518799999998</v>
      </c>
      <c r="O12" s="136">
        <f t="shared" si="12"/>
        <v>-3136</v>
      </c>
      <c r="P12" s="136">
        <f t="shared" si="12"/>
        <v>-3791</v>
      </c>
      <c r="Q12" s="136">
        <f t="shared" si="12"/>
        <v>-15137.324519999936</v>
      </c>
      <c r="R12" s="136">
        <f t="shared" si="12"/>
        <v>-11168.218080000042</v>
      </c>
      <c r="S12" s="136">
        <f t="shared" si="12"/>
        <v>-9354</v>
      </c>
      <c r="T12" s="136">
        <f t="shared" ref="T12:AA12" si="13">+T66+T65</f>
        <v>-14768.371810000062</v>
      </c>
      <c r="U12" s="136">
        <f t="shared" si="13"/>
        <v>-3487.6281899999376</v>
      </c>
      <c r="V12" s="136">
        <f t="shared" si="13"/>
        <v>-11298</v>
      </c>
      <c r="W12" s="136">
        <f t="shared" si="13"/>
        <v>-5535</v>
      </c>
      <c r="X12" s="136">
        <f t="shared" si="13"/>
        <v>-4534</v>
      </c>
      <c r="Y12" s="136">
        <f t="shared" si="13"/>
        <v>-4723</v>
      </c>
      <c r="Z12" s="136">
        <f t="shared" si="13"/>
        <v>-3159</v>
      </c>
      <c r="AA12" s="136">
        <f t="shared" si="13"/>
        <v>-4813</v>
      </c>
      <c r="AB12" s="136">
        <f t="shared" ref="AB12:AL12" si="14">+AB66+AB65</f>
        <v>-8470</v>
      </c>
      <c r="AC12" s="136">
        <f t="shared" si="14"/>
        <v>-9638</v>
      </c>
      <c r="AD12" s="136">
        <f t="shared" si="14"/>
        <v>-5663</v>
      </c>
      <c r="AE12" s="136">
        <f t="shared" si="14"/>
        <v>-5791</v>
      </c>
      <c r="AF12" s="136">
        <f t="shared" si="14"/>
        <v>-9259</v>
      </c>
      <c r="AG12" s="136">
        <f t="shared" si="14"/>
        <v>-7154</v>
      </c>
      <c r="AH12" s="136">
        <f t="shared" si="14"/>
        <v>-7897</v>
      </c>
      <c r="AI12" s="136">
        <f t="shared" si="14"/>
        <v>-19450</v>
      </c>
      <c r="AJ12" s="136">
        <f t="shared" si="14"/>
        <v>-4662</v>
      </c>
      <c r="AK12" s="136">
        <f t="shared" si="14"/>
        <v>-9741</v>
      </c>
      <c r="AL12" s="136">
        <f t="shared" si="14"/>
        <v>-8841</v>
      </c>
      <c r="AM12" s="136">
        <f>+AM66+AM65</f>
        <v>-16032</v>
      </c>
      <c r="AN12" s="136">
        <f>+AN66+AN65</f>
        <v>-13366</v>
      </c>
      <c r="AO12" s="136">
        <f>+AO66+AO65</f>
        <v>-6901</v>
      </c>
      <c r="AP12" s="136">
        <f>+AP66+AP65</f>
        <v>-20471</v>
      </c>
      <c r="AQ12" s="136">
        <v>-10416</v>
      </c>
      <c r="AR12" s="136">
        <v>-10342</v>
      </c>
      <c r="AS12" s="136">
        <v>-18621</v>
      </c>
      <c r="AT12" s="136">
        <v>-44356</v>
      </c>
      <c r="AU12" s="136">
        <f>+AU66+AU65</f>
        <v>-20694</v>
      </c>
    </row>
    <row r="13" spans="1:47" x14ac:dyDescent="0.2">
      <c r="B13" s="816" t="s">
        <v>920</v>
      </c>
      <c r="C13" s="136"/>
      <c r="D13" s="136"/>
      <c r="E13" s="136"/>
      <c r="F13" s="136"/>
      <c r="G13" s="136"/>
      <c r="H13" s="136"/>
      <c r="I13" s="136"/>
      <c r="J13" s="136"/>
      <c r="K13" s="136"/>
      <c r="L13" s="136"/>
      <c r="M13" s="136"/>
      <c r="N13" s="136"/>
      <c r="O13" s="136"/>
      <c r="P13" s="136"/>
      <c r="Q13" s="136"/>
      <c r="R13" s="136"/>
      <c r="S13" s="136">
        <f t="shared" ref="S13:X13" si="15">+S83</f>
        <v>-5514</v>
      </c>
      <c r="T13" s="136">
        <f t="shared" si="15"/>
        <v>-6540</v>
      </c>
      <c r="U13" s="136">
        <f t="shared" si="15"/>
        <v>-7697</v>
      </c>
      <c r="V13" s="136">
        <f t="shared" si="15"/>
        <v>-10243</v>
      </c>
      <c r="W13" s="136">
        <f t="shared" si="15"/>
        <v>-8318</v>
      </c>
      <c r="X13" s="136">
        <f t="shared" si="15"/>
        <v>-6744</v>
      </c>
      <c r="Y13" s="136">
        <f t="shared" ref="Y13:AF13" si="16">+Y83</f>
        <v>-7498</v>
      </c>
      <c r="Z13" s="136">
        <f t="shared" si="16"/>
        <v>-7879</v>
      </c>
      <c r="AA13" s="136">
        <f t="shared" si="16"/>
        <v>-8938</v>
      </c>
      <c r="AB13" s="136">
        <f t="shared" si="16"/>
        <v>-7989</v>
      </c>
      <c r="AC13" s="136">
        <f t="shared" si="16"/>
        <v>-7821</v>
      </c>
      <c r="AD13" s="136">
        <f t="shared" si="16"/>
        <v>-7801</v>
      </c>
      <c r="AE13" s="136">
        <f t="shared" si="16"/>
        <v>-7337</v>
      </c>
      <c r="AF13" s="136">
        <f t="shared" si="16"/>
        <v>-7711</v>
      </c>
      <c r="AG13" s="136">
        <f t="shared" ref="AG13:AL13" si="17">+AG83</f>
        <v>-11299</v>
      </c>
      <c r="AH13" s="136">
        <f t="shared" si="17"/>
        <v>-8738</v>
      </c>
      <c r="AI13" s="136">
        <f t="shared" si="17"/>
        <v>-8139</v>
      </c>
      <c r="AJ13" s="136">
        <f t="shared" si="17"/>
        <v>-7850</v>
      </c>
      <c r="AK13" s="136">
        <f t="shared" si="17"/>
        <v>-8241</v>
      </c>
      <c r="AL13" s="136">
        <f t="shared" si="17"/>
        <v>-8760</v>
      </c>
      <c r="AM13" s="136">
        <f>+AM83</f>
        <v>-7662</v>
      </c>
      <c r="AN13" s="136">
        <f>+AN83</f>
        <v>-7743</v>
      </c>
      <c r="AO13" s="136">
        <f>+AO83</f>
        <v>-8056</v>
      </c>
      <c r="AP13" s="136">
        <f>+AP83</f>
        <v>-8107</v>
      </c>
      <c r="AQ13" s="136">
        <v>-7443</v>
      </c>
      <c r="AR13" s="136">
        <v>-7680</v>
      </c>
      <c r="AS13" s="136">
        <v>-7862</v>
      </c>
      <c r="AT13" s="136">
        <v>-8476</v>
      </c>
      <c r="AU13" s="136">
        <f>+AU83</f>
        <v>-8516</v>
      </c>
    </row>
    <row r="14" spans="1:47" x14ac:dyDescent="0.2">
      <c r="B14" s="123" t="s">
        <v>400</v>
      </c>
      <c r="C14" s="134">
        <f>+C12+C11</f>
        <v>37373.36367999998</v>
      </c>
      <c r="D14" s="134">
        <f>+D12+D11</f>
        <v>-58123.902419999999</v>
      </c>
      <c r="E14" s="134">
        <f t="shared" ref="E14:R14" si="18">+E12+E11</f>
        <v>45231.852660000004</v>
      </c>
      <c r="F14" s="134">
        <f t="shared" si="18"/>
        <v>10489</v>
      </c>
      <c r="G14" s="134">
        <f t="shared" si="18"/>
        <v>40358.999720000022</v>
      </c>
      <c r="H14" s="134">
        <f t="shared" si="18"/>
        <v>-13885.999999999998</v>
      </c>
      <c r="I14" s="134">
        <f t="shared" si="18"/>
        <v>24073</v>
      </c>
      <c r="J14" s="134">
        <f t="shared" si="18"/>
        <v>817.00000000000182</v>
      </c>
      <c r="K14" s="134">
        <f t="shared" si="18"/>
        <v>11427.000000000007</v>
      </c>
      <c r="L14" s="134">
        <f t="shared" si="18"/>
        <v>11263.595259999967</v>
      </c>
      <c r="M14" s="134">
        <f t="shared" si="18"/>
        <v>26969.914591548149</v>
      </c>
      <c r="N14" s="134">
        <f t="shared" si="18"/>
        <v>11160.685408451845</v>
      </c>
      <c r="O14" s="134">
        <f t="shared" si="18"/>
        <v>44189</v>
      </c>
      <c r="P14" s="134">
        <f t="shared" si="18"/>
        <v>8104</v>
      </c>
      <c r="Q14" s="134">
        <f t="shared" si="18"/>
        <v>17872</v>
      </c>
      <c r="R14" s="134">
        <f t="shared" si="18"/>
        <v>1492</v>
      </c>
      <c r="S14" s="134">
        <f t="shared" ref="S14:X14" si="19">+S12+S11+S13</f>
        <v>40768</v>
      </c>
      <c r="T14" s="134">
        <f t="shared" si="19"/>
        <v>30104</v>
      </c>
      <c r="U14" s="134">
        <f t="shared" si="19"/>
        <v>34437.564990000021</v>
      </c>
      <c r="V14" s="134">
        <f t="shared" si="19"/>
        <v>3358.2591199999915</v>
      </c>
      <c r="W14" s="134">
        <f t="shared" si="19"/>
        <v>59156.393389999968</v>
      </c>
      <c r="X14" s="134">
        <f t="shared" si="19"/>
        <v>72291.515780000002</v>
      </c>
      <c r="Y14" s="134">
        <f>+Y12+Y11+Y13</f>
        <v>-8687.583880000042</v>
      </c>
      <c r="Z14" s="134">
        <f>+Z12+Z11+Z13</f>
        <v>32574.838950000027</v>
      </c>
      <c r="AA14" s="134">
        <f>+AA12+AA11+AA13</f>
        <v>44169.245349999932</v>
      </c>
      <c r="AB14" s="134">
        <f>+AB12+AB11+AB13</f>
        <v>-9736.0391488000168</v>
      </c>
      <c r="AC14" s="134">
        <v>21117.960199999994</v>
      </c>
      <c r="AD14" s="134">
        <f t="shared" ref="AD14:AI14" si="20">+AD12+AD11+AD13</f>
        <v>-63182.516980000059</v>
      </c>
      <c r="AE14" s="134">
        <f t="shared" si="20"/>
        <v>72231.709109999967</v>
      </c>
      <c r="AF14" s="134">
        <f t="shared" si="20"/>
        <v>-17046.300944425046</v>
      </c>
      <c r="AG14" s="134">
        <f t="shared" si="20"/>
        <v>41097.003068400016</v>
      </c>
      <c r="AH14" s="134">
        <f t="shared" si="20"/>
        <v>46322.361847199965</v>
      </c>
      <c r="AI14" s="134">
        <f t="shared" si="20"/>
        <v>59466.848997799796</v>
      </c>
      <c r="AJ14" s="134">
        <f>+AJ12+AJ11+AJ13</f>
        <v>33302.318640000201</v>
      </c>
      <c r="AK14" s="134">
        <f>+AK12+AK11+AK13</f>
        <v>49686.701230000093</v>
      </c>
      <c r="AL14" s="134">
        <f>+AL12+AL11+AL13</f>
        <v>-1703.3084899998139</v>
      </c>
      <c r="AM14" s="134">
        <f t="shared" ref="AM14:AR14" si="21">+AM12+AM11+AM13</f>
        <v>60750.066839999767</v>
      </c>
      <c r="AN14" s="134">
        <f t="shared" si="21"/>
        <v>28336.657680000062</v>
      </c>
      <c r="AO14" s="134">
        <f>+AO12+AO11+AO13</f>
        <v>53605.687500000116</v>
      </c>
      <c r="AP14" s="134">
        <f>+AP12+AP11+AP13</f>
        <v>27656.962249699864</v>
      </c>
      <c r="AQ14" s="134">
        <f>+AQ12+AQ11+AQ13</f>
        <v>92419</v>
      </c>
      <c r="AR14" s="134">
        <f t="shared" si="21"/>
        <v>41528.315700000123</v>
      </c>
      <c r="AS14" s="134">
        <f>+AS12+AS11+AS13</f>
        <v>15243.806820000318</v>
      </c>
      <c r="AT14" s="134">
        <f>+AT12+AT11+AT13</f>
        <v>-21148.176059999736</v>
      </c>
      <c r="AU14" s="134">
        <f>+AU12+AU11+AU13</f>
        <v>71216</v>
      </c>
    </row>
    <row r="15" spans="1:47" x14ac:dyDescent="0.2">
      <c r="B15" s="187"/>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row>
    <row r="16" spans="1:47" x14ac:dyDescent="0.2">
      <c r="D16" s="138"/>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row>
    <row r="17" spans="2:47" x14ac:dyDescent="0.2">
      <c r="B17" s="113" t="s">
        <v>455</v>
      </c>
      <c r="C17" s="197" t="str">
        <f t="shared" ref="C17:M17" si="22">C5</f>
        <v>1T15</v>
      </c>
      <c r="D17" s="197" t="str">
        <f t="shared" si="22"/>
        <v>2T15</v>
      </c>
      <c r="E17" s="197" t="str">
        <f t="shared" si="22"/>
        <v>3T15</v>
      </c>
      <c r="F17" s="197" t="str">
        <f t="shared" si="22"/>
        <v>4T15</v>
      </c>
      <c r="G17" s="197" t="str">
        <f t="shared" si="22"/>
        <v>1T16</v>
      </c>
      <c r="H17" s="197" t="str">
        <f t="shared" si="22"/>
        <v>2T16</v>
      </c>
      <c r="I17" s="197" t="str">
        <f t="shared" si="22"/>
        <v>3T16</v>
      </c>
      <c r="J17" s="197" t="str">
        <f t="shared" si="22"/>
        <v>4T16</v>
      </c>
      <c r="K17" s="197" t="str">
        <f t="shared" si="22"/>
        <v>1T17</v>
      </c>
      <c r="L17" s="197" t="str">
        <f t="shared" si="22"/>
        <v>2T17</v>
      </c>
      <c r="M17" s="197" t="str">
        <f t="shared" si="22"/>
        <v>3T17</v>
      </c>
      <c r="N17" s="197" t="str">
        <f t="shared" ref="N17:V17" si="23">N5</f>
        <v>4T17</v>
      </c>
      <c r="O17" s="197" t="str">
        <f t="shared" si="23"/>
        <v>1T18</v>
      </c>
      <c r="P17" s="197" t="str">
        <f t="shared" si="23"/>
        <v>2T18</v>
      </c>
      <c r="Q17" s="197" t="str">
        <f t="shared" si="23"/>
        <v>3T18</v>
      </c>
      <c r="R17" s="197" t="str">
        <f t="shared" si="23"/>
        <v>4T18</v>
      </c>
      <c r="S17" s="197" t="str">
        <f t="shared" si="23"/>
        <v>1T19</v>
      </c>
      <c r="T17" s="197" t="str">
        <f t="shared" si="23"/>
        <v>2T19</v>
      </c>
      <c r="U17" s="197" t="str">
        <f t="shared" si="23"/>
        <v>3T19</v>
      </c>
      <c r="V17" s="197" t="str">
        <f t="shared" si="23"/>
        <v>4T19</v>
      </c>
      <c r="W17" s="197" t="str">
        <f t="shared" ref="W17:AF17" si="24">W5</f>
        <v>1T20</v>
      </c>
      <c r="X17" s="197" t="str">
        <f t="shared" si="24"/>
        <v>2T20</v>
      </c>
      <c r="Y17" s="197" t="str">
        <f t="shared" si="24"/>
        <v>3T20</v>
      </c>
      <c r="Z17" s="197" t="str">
        <f t="shared" si="24"/>
        <v>4T20</v>
      </c>
      <c r="AA17" s="197" t="str">
        <f t="shared" si="24"/>
        <v>1T21</v>
      </c>
      <c r="AB17" s="197" t="str">
        <f t="shared" si="24"/>
        <v>2T21</v>
      </c>
      <c r="AC17" s="197" t="str">
        <f t="shared" si="24"/>
        <v>3T21</v>
      </c>
      <c r="AD17" s="197" t="str">
        <f t="shared" si="24"/>
        <v>4T21</v>
      </c>
      <c r="AE17" s="197" t="str">
        <f t="shared" si="24"/>
        <v>1T22</v>
      </c>
      <c r="AF17" s="197" t="str">
        <f t="shared" si="24"/>
        <v>2T22</v>
      </c>
      <c r="AG17" s="197" t="str">
        <f t="shared" ref="AG17:AR17" si="25">AG5</f>
        <v>3T22</v>
      </c>
      <c r="AH17" s="197" t="str">
        <f t="shared" si="25"/>
        <v>4T22</v>
      </c>
      <c r="AI17" s="197" t="str">
        <f t="shared" si="25"/>
        <v>1T23</v>
      </c>
      <c r="AJ17" s="197" t="str">
        <f t="shared" si="25"/>
        <v>2T23</v>
      </c>
      <c r="AK17" s="197" t="str">
        <f t="shared" si="25"/>
        <v>3T23</v>
      </c>
      <c r="AL17" s="197" t="str">
        <f t="shared" si="25"/>
        <v>4T23</v>
      </c>
      <c r="AM17" s="197" t="str">
        <f t="shared" si="25"/>
        <v>1T24</v>
      </c>
      <c r="AN17" s="197" t="str">
        <f t="shared" si="25"/>
        <v>2T24</v>
      </c>
      <c r="AO17" s="197" t="str">
        <f t="shared" si="25"/>
        <v>3T24</v>
      </c>
      <c r="AP17" s="197" t="str">
        <f t="shared" si="25"/>
        <v>4T24</v>
      </c>
      <c r="AQ17" s="197" t="str">
        <f t="shared" si="25"/>
        <v>1T25</v>
      </c>
      <c r="AR17" s="197" t="str">
        <f t="shared" si="25"/>
        <v>2T25</v>
      </c>
      <c r="AS17" s="197" t="str">
        <f>AS5</f>
        <v>3T25</v>
      </c>
      <c r="AT17" s="197" t="str">
        <f>AT5</f>
        <v>4T25</v>
      </c>
      <c r="AU17" s="197" t="str">
        <f>AU5</f>
        <v>1T26</v>
      </c>
    </row>
    <row r="18" spans="2:47" x14ac:dyDescent="0.2">
      <c r="B18" s="133" t="s">
        <v>696</v>
      </c>
      <c r="C18" s="134">
        <f>DRE!T28</f>
        <v>7499.9999999999709</v>
      </c>
      <c r="D18" s="134">
        <f>DRE!U28</f>
        <v>1183</v>
      </c>
      <c r="E18" s="134">
        <f>DRE!V28</f>
        <v>5101.3234399999501</v>
      </c>
      <c r="F18" s="134">
        <f>DRE!W28</f>
        <v>-3853.5034754000353</v>
      </c>
      <c r="G18" s="134">
        <f>DRE!X28</f>
        <v>-1903.0002799999793</v>
      </c>
      <c r="H18" s="134">
        <f>DRE!Y28</f>
        <v>-688.32862999998008</v>
      </c>
      <c r="I18" s="134">
        <f>DRE!Z28</f>
        <v>3841.5552999999754</v>
      </c>
      <c r="J18" s="134">
        <f>DRE!AA28</f>
        <v>12576.107320000019</v>
      </c>
      <c r="K18" s="134">
        <f>DRE!AB28</f>
        <v>5452.2331999999906</v>
      </c>
      <c r="L18" s="134">
        <f>DRE!AC28</f>
        <v>24056.729979999967</v>
      </c>
      <c r="M18" s="134">
        <f>DRE!AD28</f>
        <v>15286.860620000039</v>
      </c>
      <c r="N18" s="134">
        <f>DRE!AE28</f>
        <v>58966.291639999938</v>
      </c>
      <c r="O18" s="134">
        <f>DRE!AF28</f>
        <v>13996.041430000012</v>
      </c>
      <c r="P18" s="134">
        <f>DRE!AG28</f>
        <v>28185.873939999947</v>
      </c>
      <c r="Q18" s="134">
        <f>DRE!AH28</f>
        <v>31106.591149999935</v>
      </c>
      <c r="R18" s="134">
        <f>DRE!AI28</f>
        <v>34961.001910000043</v>
      </c>
      <c r="S18" s="134">
        <f>DRE!AJ28</f>
        <v>26622.405009999984</v>
      </c>
      <c r="T18" s="134">
        <f>DRE!AK28</f>
        <v>32513.429780000064</v>
      </c>
      <c r="U18" s="134">
        <f>DRE!AL28</f>
        <v>91391.468380000093</v>
      </c>
      <c r="V18" s="134">
        <f>DRE!AM28</f>
        <v>43444.958539999992</v>
      </c>
      <c r="W18" s="134">
        <f>DRE!AN30</f>
        <v>19286.424459999962</v>
      </c>
      <c r="X18" s="134">
        <f>DRE!AO30</f>
        <v>-4362.8403299999954</v>
      </c>
      <c r="Y18" s="134">
        <f>DRE!AP30</f>
        <v>29939.285839999957</v>
      </c>
      <c r="Z18" s="134">
        <f>DRE!AQ28</f>
        <v>28646.496590000024</v>
      </c>
      <c r="AA18" s="134">
        <f>DRE!AR28</f>
        <v>20158.245349999932</v>
      </c>
      <c r="AB18" s="134">
        <f>DRE!AS28</f>
        <v>24155.960851199983</v>
      </c>
      <c r="AC18" s="134">
        <f>DRE!AT28</f>
        <v>34192.960199999994</v>
      </c>
      <c r="AD18" s="134">
        <f>DRE!AU28</f>
        <v>29278.483019999941</v>
      </c>
      <c r="AE18" s="134">
        <f>DRE!AV28</f>
        <v>18782.709109999967</v>
      </c>
      <c r="AF18" s="134">
        <f>DRE!AW28</f>
        <v>30580.699055574954</v>
      </c>
      <c r="AG18" s="134">
        <f>DRE!AX28</f>
        <v>53469.003068400016</v>
      </c>
      <c r="AH18" s="134">
        <f>DRE!AY28</f>
        <v>56832.361847199965</v>
      </c>
      <c r="AI18" s="134">
        <f>DRE!AZ28</f>
        <v>34722.848997799796</v>
      </c>
      <c r="AJ18" s="134">
        <f>DRE!BA28</f>
        <v>39856.318640000201</v>
      </c>
      <c r="AK18" s="134">
        <f>DRE!BB28</f>
        <v>56312.701230000086</v>
      </c>
      <c r="AL18" s="134">
        <f>DRE!BC28</f>
        <v>51020.691510000186</v>
      </c>
      <c r="AM18" s="134">
        <f>DRE!BD28</f>
        <v>37515.066839999767</v>
      </c>
      <c r="AN18" s="134">
        <f>DRE!BE28</f>
        <v>63514.657680000062</v>
      </c>
      <c r="AO18" s="134">
        <f>DRE!BF28</f>
        <v>84445.687500000116</v>
      </c>
      <c r="AP18" s="134">
        <f>DRE!BG28</f>
        <v>85136.962249699864</v>
      </c>
      <c r="AQ18" s="134">
        <f>DRE!BH28</f>
        <v>43734.684299999877</v>
      </c>
      <c r="AR18" s="134">
        <f>DRE!BI28</f>
        <v>67118.508879999805</v>
      </c>
      <c r="AS18" s="134">
        <f>DRE!BJ28</f>
        <v>79890.982880000054</v>
      </c>
      <c r="AT18" s="134">
        <f>DRE!BK28</f>
        <v>52218.377919999795</v>
      </c>
      <c r="AU18" s="134">
        <v>38785</v>
      </c>
    </row>
    <row r="19" spans="2:47" x14ac:dyDescent="0.2">
      <c r="B19" s="135" t="s">
        <v>137</v>
      </c>
      <c r="C19" s="136">
        <v>6412.0000000000009</v>
      </c>
      <c r="D19" s="136">
        <v>7111.9999999999991</v>
      </c>
      <c r="E19" s="136">
        <v>6673</v>
      </c>
      <c r="F19" s="136">
        <v>7719</v>
      </c>
      <c r="G19" s="136">
        <v>7205</v>
      </c>
      <c r="H19" s="136">
        <v>9299</v>
      </c>
      <c r="I19" s="136">
        <v>6737</v>
      </c>
      <c r="J19" s="136">
        <v>6859</v>
      </c>
      <c r="K19" s="136">
        <v>6572</v>
      </c>
      <c r="L19" s="136">
        <v>6832</v>
      </c>
      <c r="M19" s="136">
        <v>7305</v>
      </c>
      <c r="N19" s="136">
        <v>7435</v>
      </c>
      <c r="O19" s="136">
        <v>6910</v>
      </c>
      <c r="P19" s="136">
        <v>8910</v>
      </c>
      <c r="Q19" s="136">
        <v>6854</v>
      </c>
      <c r="R19" s="136">
        <v>6616</v>
      </c>
      <c r="S19" s="136">
        <v>6470</v>
      </c>
      <c r="T19" s="136">
        <v>6502</v>
      </c>
      <c r="U19" s="136">
        <v>6554</v>
      </c>
      <c r="V19" s="136">
        <v>6284</v>
      </c>
      <c r="W19" s="136">
        <v>6272</v>
      </c>
      <c r="X19" s="136">
        <v>5955</v>
      </c>
      <c r="Y19" s="136">
        <v>5671</v>
      </c>
      <c r="Z19" s="136">
        <v>5527</v>
      </c>
      <c r="AA19" s="136">
        <v>5447</v>
      </c>
      <c r="AB19" s="136">
        <v>5539</v>
      </c>
      <c r="AC19" s="136">
        <v>5488</v>
      </c>
      <c r="AD19" s="136">
        <v>5541</v>
      </c>
      <c r="AE19" s="136">
        <v>5518</v>
      </c>
      <c r="AF19" s="136">
        <v>5451</v>
      </c>
      <c r="AG19" s="136">
        <v>5513</v>
      </c>
      <c r="AH19" s="136">
        <v>5643</v>
      </c>
      <c r="AI19" s="136">
        <v>6003</v>
      </c>
      <c r="AJ19" s="136">
        <v>6051</v>
      </c>
      <c r="AK19" s="136">
        <v>6147</v>
      </c>
      <c r="AL19" s="136">
        <v>6141</v>
      </c>
      <c r="AM19" s="136">
        <v>6324</v>
      </c>
      <c r="AN19" s="136">
        <v>6355</v>
      </c>
      <c r="AO19" s="136">
        <v>6566</v>
      </c>
      <c r="AP19" s="136">
        <v>6901</v>
      </c>
      <c r="AQ19" s="136">
        <v>7591</v>
      </c>
      <c r="AR19" s="136">
        <v>7605</v>
      </c>
      <c r="AS19" s="136">
        <v>7838</v>
      </c>
      <c r="AT19" s="136">
        <v>8225</v>
      </c>
      <c r="AU19" s="136">
        <v>8868</v>
      </c>
    </row>
    <row r="20" spans="2:47" x14ac:dyDescent="0.2">
      <c r="B20" s="135" t="s">
        <v>815</v>
      </c>
      <c r="C20" s="136" t="s">
        <v>160</v>
      </c>
      <c r="D20" s="136" t="s">
        <v>160</v>
      </c>
      <c r="E20" s="136" t="s">
        <v>160</v>
      </c>
      <c r="F20" s="136" t="s">
        <v>160</v>
      </c>
      <c r="G20" s="136" t="s">
        <v>160</v>
      </c>
      <c r="H20" s="136" t="s">
        <v>160</v>
      </c>
      <c r="I20" s="136" t="s">
        <v>160</v>
      </c>
      <c r="J20" s="136" t="s">
        <v>160</v>
      </c>
      <c r="K20" s="136" t="s">
        <v>160</v>
      </c>
      <c r="L20" s="136" t="s">
        <v>160</v>
      </c>
      <c r="M20" s="136" t="s">
        <v>160</v>
      </c>
      <c r="N20" s="136" t="s">
        <v>160</v>
      </c>
      <c r="O20" s="136" t="s">
        <v>160</v>
      </c>
      <c r="P20" s="136" t="s">
        <v>160</v>
      </c>
      <c r="Q20" s="136" t="s">
        <v>160</v>
      </c>
      <c r="R20" s="136" t="s">
        <v>160</v>
      </c>
      <c r="S20" s="136">
        <v>8930</v>
      </c>
      <c r="T20" s="136">
        <v>7143</v>
      </c>
      <c r="U20" s="136">
        <v>8275</v>
      </c>
      <c r="V20" s="136">
        <v>8446</v>
      </c>
      <c r="W20" s="136">
        <v>7881</v>
      </c>
      <c r="X20" s="136">
        <v>7886</v>
      </c>
      <c r="Y20" s="136">
        <v>7525</v>
      </c>
      <c r="Z20" s="136">
        <v>7333</v>
      </c>
      <c r="AA20" s="136">
        <v>7513</v>
      </c>
      <c r="AB20" s="136">
        <v>7300</v>
      </c>
      <c r="AC20" s="136">
        <v>7107</v>
      </c>
      <c r="AD20" s="136">
        <v>6930</v>
      </c>
      <c r="AE20" s="136">
        <v>7970</v>
      </c>
      <c r="AF20" s="136">
        <v>8240</v>
      </c>
      <c r="AG20" s="136">
        <v>7033</v>
      </c>
      <c r="AH20" s="136">
        <v>7727</v>
      </c>
      <c r="AI20" s="136">
        <v>7410</v>
      </c>
      <c r="AJ20" s="136">
        <v>7342</v>
      </c>
      <c r="AK20" s="136">
        <v>7638</v>
      </c>
      <c r="AL20" s="136">
        <v>8032</v>
      </c>
      <c r="AM20" s="136">
        <v>7514</v>
      </c>
      <c r="AN20" s="136">
        <v>7573</v>
      </c>
      <c r="AO20" s="136">
        <v>7278</v>
      </c>
      <c r="AP20" s="136">
        <v>7124</v>
      </c>
      <c r="AQ20" s="136">
        <v>7457</v>
      </c>
      <c r="AR20" s="136">
        <v>7462</v>
      </c>
      <c r="AS20" s="136">
        <v>7747</v>
      </c>
      <c r="AT20" s="136">
        <v>7795</v>
      </c>
      <c r="AU20" s="136">
        <v>7845</v>
      </c>
    </row>
    <row r="21" spans="2:47" x14ac:dyDescent="0.2">
      <c r="B21" s="135" t="s">
        <v>725</v>
      </c>
      <c r="C21" s="136">
        <v>-1841</v>
      </c>
      <c r="D21" s="136">
        <v>215.99999999999997</v>
      </c>
      <c r="E21" s="136">
        <v>146</v>
      </c>
      <c r="F21" s="136">
        <v>12744</v>
      </c>
      <c r="G21" s="136">
        <f>-956-G58</f>
        <v>1204</v>
      </c>
      <c r="H21" s="136">
        <v>-555</v>
      </c>
      <c r="I21" s="136">
        <f>-1387-I58</f>
        <v>672</v>
      </c>
      <c r="J21" s="136">
        <f>-692-J58</f>
        <v>395</v>
      </c>
      <c r="K21" s="136">
        <f>-229-K58</f>
        <v>276</v>
      </c>
      <c r="L21" s="333">
        <v>20892.511780000001</v>
      </c>
      <c r="M21" s="136">
        <v>6259.2143399999986</v>
      </c>
      <c r="N21" s="136">
        <v>11012.273880000001</v>
      </c>
      <c r="O21" s="136">
        <v>10299</v>
      </c>
      <c r="P21" s="136">
        <v>2110.9891300000527</v>
      </c>
      <c r="Q21" s="136">
        <v>3847</v>
      </c>
      <c r="R21" s="136">
        <v>16226</v>
      </c>
      <c r="S21" s="136">
        <v>4445</v>
      </c>
      <c r="T21" s="136">
        <v>4554</v>
      </c>
      <c r="U21" s="136">
        <v>6059</v>
      </c>
      <c r="V21" s="136">
        <v>6042</v>
      </c>
      <c r="W21" s="136">
        <v>5845</v>
      </c>
      <c r="X21" s="136">
        <v>2080</v>
      </c>
      <c r="Y21" s="136">
        <v>5588</v>
      </c>
      <c r="Z21" s="136">
        <v>1782</v>
      </c>
      <c r="AA21" s="136">
        <v>1091</v>
      </c>
      <c r="AB21" s="136">
        <v>1148</v>
      </c>
      <c r="AC21" s="136">
        <v>114</v>
      </c>
      <c r="AD21" s="136">
        <v>2582</v>
      </c>
      <c r="AE21" s="136">
        <v>-26</v>
      </c>
      <c r="AF21" s="136">
        <v>27</v>
      </c>
      <c r="AG21" s="136">
        <v>6436</v>
      </c>
      <c r="AH21" s="136">
        <v>415</v>
      </c>
      <c r="AI21" s="136">
        <v>478</v>
      </c>
      <c r="AJ21" s="136">
        <v>197</v>
      </c>
      <c r="AK21" s="136">
        <v>369</v>
      </c>
      <c r="AL21" s="136">
        <v>1068</v>
      </c>
      <c r="AM21" s="136">
        <v>894</v>
      </c>
      <c r="AN21" s="136">
        <v>480</v>
      </c>
      <c r="AO21" s="136">
        <v>-23</v>
      </c>
      <c r="AP21" s="136">
        <v>476</v>
      </c>
      <c r="AQ21" s="136">
        <v>380</v>
      </c>
      <c r="AR21" s="136">
        <v>206</v>
      </c>
      <c r="AS21" s="136">
        <v>169</v>
      </c>
      <c r="AT21" s="136">
        <v>926</v>
      </c>
      <c r="AU21" s="136">
        <v>-760</v>
      </c>
    </row>
    <row r="22" spans="2:47" x14ac:dyDescent="0.2">
      <c r="B22" s="135" t="s">
        <v>808</v>
      </c>
      <c r="C22" s="136">
        <v>0</v>
      </c>
      <c r="D22" s="136">
        <v>0</v>
      </c>
      <c r="E22" s="136">
        <v>0</v>
      </c>
      <c r="F22" s="136">
        <v>0</v>
      </c>
      <c r="G22" s="136">
        <v>0</v>
      </c>
      <c r="H22" s="136">
        <v>0</v>
      </c>
      <c r="I22" s="136">
        <v>0</v>
      </c>
      <c r="J22" s="136">
        <v>0</v>
      </c>
      <c r="K22" s="136">
        <v>0</v>
      </c>
      <c r="L22" s="136">
        <v>0</v>
      </c>
      <c r="M22" s="136">
        <v>0</v>
      </c>
      <c r="N22" s="136">
        <v>0</v>
      </c>
      <c r="O22" s="136">
        <v>0</v>
      </c>
      <c r="P22" s="136">
        <v>0</v>
      </c>
      <c r="Q22" s="136">
        <v>0</v>
      </c>
      <c r="R22" s="136">
        <v>0</v>
      </c>
      <c r="S22" s="136">
        <v>1307</v>
      </c>
      <c r="T22" s="136">
        <v>1616</v>
      </c>
      <c r="U22" s="136">
        <v>1718</v>
      </c>
      <c r="V22" s="136">
        <v>1799</v>
      </c>
      <c r="W22" s="136">
        <v>1573</v>
      </c>
      <c r="X22" s="136">
        <v>1492</v>
      </c>
      <c r="Y22" s="136">
        <v>1260</v>
      </c>
      <c r="Z22" s="136">
        <v>1126</v>
      </c>
      <c r="AA22" s="136">
        <v>1511</v>
      </c>
      <c r="AB22" s="136">
        <v>1165</v>
      </c>
      <c r="AC22" s="136">
        <v>1256</v>
      </c>
      <c r="AD22" s="136">
        <v>1089</v>
      </c>
      <c r="AE22" s="136">
        <v>1243</v>
      </c>
      <c r="AF22" s="136">
        <v>1073</v>
      </c>
      <c r="AG22" s="136">
        <v>1422</v>
      </c>
      <c r="AH22" s="136">
        <v>1514</v>
      </c>
      <c r="AI22" s="136">
        <v>1829</v>
      </c>
      <c r="AJ22" s="136">
        <v>2733</v>
      </c>
      <c r="AK22" s="136">
        <v>2518</v>
      </c>
      <c r="AL22" s="136">
        <v>2492</v>
      </c>
      <c r="AM22" s="136">
        <v>2389</v>
      </c>
      <c r="AN22" s="136">
        <v>2352</v>
      </c>
      <c r="AO22" s="136">
        <v>2229</v>
      </c>
      <c r="AP22" s="136">
        <v>1867</v>
      </c>
      <c r="AQ22" s="136">
        <v>3118</v>
      </c>
      <c r="AR22" s="136">
        <v>2944</v>
      </c>
      <c r="AS22" s="136">
        <v>2986</v>
      </c>
      <c r="AT22" s="136">
        <v>2690</v>
      </c>
      <c r="AU22" s="136">
        <v>2310</v>
      </c>
    </row>
    <row r="23" spans="2:47" ht="25.5" x14ac:dyDescent="0.2">
      <c r="B23" s="135" t="s">
        <v>781</v>
      </c>
      <c r="C23" s="136">
        <v>15487</v>
      </c>
      <c r="D23" s="136">
        <v>4659.0000000000009</v>
      </c>
      <c r="E23" s="136">
        <v>21574</v>
      </c>
      <c r="F23" s="136">
        <v>13253</v>
      </c>
      <c r="G23" s="136">
        <v>12307</v>
      </c>
      <c r="H23" s="136">
        <v>12501</v>
      </c>
      <c r="I23" s="136">
        <v>12759</v>
      </c>
      <c r="J23" s="136">
        <v>11783</v>
      </c>
      <c r="K23" s="136">
        <v>8528</v>
      </c>
      <c r="L23" s="136">
        <v>6348</v>
      </c>
      <c r="M23" s="136">
        <v>7405.0679899999996</v>
      </c>
      <c r="N23" s="136">
        <v>4431.9320100000004</v>
      </c>
      <c r="O23" s="136">
        <v>3734</v>
      </c>
      <c r="P23" s="136">
        <v>3010</v>
      </c>
      <c r="Q23" s="136">
        <v>6771</v>
      </c>
      <c r="R23" s="136">
        <v>961</v>
      </c>
      <c r="S23" s="136">
        <v>3566</v>
      </c>
      <c r="T23" s="136">
        <v>1031</v>
      </c>
      <c r="U23" s="136">
        <v>6522</v>
      </c>
      <c r="V23" s="136">
        <v>705</v>
      </c>
      <c r="W23" s="136">
        <v>17007</v>
      </c>
      <c r="X23" s="136">
        <v>7129</v>
      </c>
      <c r="Y23" s="136">
        <v>-501</v>
      </c>
      <c r="Z23" s="136">
        <v>2312</v>
      </c>
      <c r="AA23" s="136">
        <v>2312</v>
      </c>
      <c r="AB23" s="136">
        <v>2177</v>
      </c>
      <c r="AC23" s="136">
        <v>2577</v>
      </c>
      <c r="AD23" s="136">
        <v>3201</v>
      </c>
      <c r="AE23" s="136">
        <v>3957</v>
      </c>
      <c r="AF23" s="136">
        <v>2320</v>
      </c>
      <c r="AG23" s="136">
        <v>2564</v>
      </c>
      <c r="AH23" s="136">
        <v>2739</v>
      </c>
      <c r="AI23" s="136">
        <v>3682</v>
      </c>
      <c r="AJ23" s="136">
        <v>3293</v>
      </c>
      <c r="AK23" s="136">
        <v>2518</v>
      </c>
      <c r="AL23" s="136">
        <v>3127</v>
      </c>
      <c r="AM23" s="136">
        <v>3111</v>
      </c>
      <c r="AN23" s="136">
        <v>2960</v>
      </c>
      <c r="AO23" s="136">
        <v>3222</v>
      </c>
      <c r="AP23" s="136">
        <v>3186</v>
      </c>
      <c r="AQ23" s="136">
        <v>3523</v>
      </c>
      <c r="AR23" s="136">
        <v>4047</v>
      </c>
      <c r="AS23" s="136">
        <v>4167</v>
      </c>
      <c r="AT23" s="136">
        <v>3502</v>
      </c>
      <c r="AU23" s="136">
        <v>4651</v>
      </c>
    </row>
    <row r="24" spans="2:47" x14ac:dyDescent="0.2">
      <c r="B24" s="135" t="s">
        <v>225</v>
      </c>
      <c r="C24" s="136">
        <v>-373</v>
      </c>
      <c r="D24" s="136">
        <v>-256</v>
      </c>
      <c r="E24" s="136">
        <v>-785</v>
      </c>
      <c r="F24" s="136">
        <v>-453</v>
      </c>
      <c r="G24" s="136">
        <v>797</v>
      </c>
      <c r="H24" s="136">
        <v>908</v>
      </c>
      <c r="I24" s="136">
        <v>19</v>
      </c>
      <c r="J24" s="136">
        <v>466</v>
      </c>
      <c r="K24" s="136">
        <v>322</v>
      </c>
      <c r="L24" s="136">
        <v>382</v>
      </c>
      <c r="M24" s="136">
        <v>656</v>
      </c>
      <c r="N24" s="136">
        <v>-597</v>
      </c>
      <c r="O24" s="136">
        <v>425</v>
      </c>
      <c r="P24" s="136">
        <v>226</v>
      </c>
      <c r="Q24" s="136">
        <v>-342</v>
      </c>
      <c r="R24" s="136">
        <v>-680</v>
      </c>
      <c r="S24" s="136">
        <v>529</v>
      </c>
      <c r="T24" s="136">
        <v>-322</v>
      </c>
      <c r="U24" s="136">
        <v>-844</v>
      </c>
      <c r="V24" s="136">
        <v>-2349</v>
      </c>
      <c r="W24" s="136">
        <v>-1394</v>
      </c>
      <c r="X24" s="136">
        <v>-2412</v>
      </c>
      <c r="Y24" s="136">
        <v>-2632</v>
      </c>
      <c r="Z24" s="136">
        <v>162</v>
      </c>
      <c r="AA24" s="136">
        <v>-810</v>
      </c>
      <c r="AB24" s="136">
        <v>-2402</v>
      </c>
      <c r="AC24" s="136">
        <v>-1799</v>
      </c>
      <c r="AD24" s="136">
        <v>-4232</v>
      </c>
      <c r="AE24" s="136">
        <v>-3013</v>
      </c>
      <c r="AF24" s="136">
        <v>-3006</v>
      </c>
      <c r="AG24" s="136">
        <v>-2436</v>
      </c>
      <c r="AH24" s="136">
        <v>-2118</v>
      </c>
      <c r="AI24" s="136">
        <v>-3838</v>
      </c>
      <c r="AJ24" s="136">
        <v>-2884</v>
      </c>
      <c r="AK24" s="136">
        <v>-5094</v>
      </c>
      <c r="AL24" s="136">
        <v>-4440</v>
      </c>
      <c r="AM24" s="136">
        <v>-6604</v>
      </c>
      <c r="AN24" s="136">
        <v>-9362</v>
      </c>
      <c r="AO24" s="136">
        <v>-7433</v>
      </c>
      <c r="AP24" s="136">
        <v>-5865</v>
      </c>
      <c r="AQ24" s="136">
        <v>-6307</v>
      </c>
      <c r="AR24" s="136">
        <v>-8942</v>
      </c>
      <c r="AS24" s="136">
        <v>-7375</v>
      </c>
      <c r="AT24" s="136">
        <v>-4187</v>
      </c>
      <c r="AU24" s="136">
        <v>-1431</v>
      </c>
    </row>
    <row r="25" spans="2:47" x14ac:dyDescent="0.2">
      <c r="B25" s="135" t="s">
        <v>896</v>
      </c>
      <c r="C25" s="136">
        <v>69.000000000000014</v>
      </c>
      <c r="D25" s="136">
        <v>107.99999999999999</v>
      </c>
      <c r="E25" s="136">
        <v>-213</v>
      </c>
      <c r="F25" s="136">
        <v>370</v>
      </c>
      <c r="G25" s="136">
        <v>35</v>
      </c>
      <c r="H25" s="136">
        <v>133</v>
      </c>
      <c r="I25" s="136">
        <v>830</v>
      </c>
      <c r="J25" s="136">
        <v>1944</v>
      </c>
      <c r="K25" s="136">
        <v>152</v>
      </c>
      <c r="L25" s="136">
        <v>-78</v>
      </c>
      <c r="M25" s="136">
        <v>232</v>
      </c>
      <c r="N25" s="136">
        <v>510</v>
      </c>
      <c r="O25" s="136">
        <v>406</v>
      </c>
      <c r="P25" s="136">
        <v>22</v>
      </c>
      <c r="Q25" s="136">
        <v>-21</v>
      </c>
      <c r="R25" s="136">
        <v>819</v>
      </c>
      <c r="S25" s="136">
        <v>71</v>
      </c>
      <c r="T25" s="136">
        <v>-23</v>
      </c>
      <c r="U25" s="136">
        <v>-12</v>
      </c>
      <c r="V25" s="136">
        <v>2852</v>
      </c>
      <c r="W25" s="136">
        <v>-16</v>
      </c>
      <c r="X25" s="136">
        <v>-25</v>
      </c>
      <c r="Y25" s="136">
        <v>229</v>
      </c>
      <c r="Z25" s="136">
        <v>1708</v>
      </c>
      <c r="AA25" s="136">
        <v>-76</v>
      </c>
      <c r="AB25" s="136">
        <v>633</v>
      </c>
      <c r="AC25" s="136">
        <v>-148</v>
      </c>
      <c r="AD25" s="136">
        <v>5</v>
      </c>
      <c r="AE25" s="136">
        <v>71</v>
      </c>
      <c r="AF25" s="136">
        <v>15</v>
      </c>
      <c r="AG25" s="136">
        <v>65</v>
      </c>
      <c r="AH25" s="136">
        <v>33</v>
      </c>
      <c r="AI25" s="136">
        <v>-19</v>
      </c>
      <c r="AJ25" s="136">
        <v>-1</v>
      </c>
      <c r="AK25" s="136">
        <v>-189</v>
      </c>
      <c r="AL25" s="136">
        <v>385</v>
      </c>
      <c r="AM25" s="136">
        <v>-423</v>
      </c>
      <c r="AN25" s="136">
        <v>-146</v>
      </c>
      <c r="AO25" s="136">
        <v>-82</v>
      </c>
      <c r="AP25" s="136">
        <v>-127</v>
      </c>
      <c r="AQ25" s="136">
        <v>716</v>
      </c>
      <c r="AR25" s="136">
        <v>-953</v>
      </c>
      <c r="AS25" s="136">
        <v>-244</v>
      </c>
      <c r="AT25" s="136">
        <v>-6</v>
      </c>
      <c r="AU25" s="136">
        <v>-118</v>
      </c>
    </row>
    <row r="26" spans="2:47" ht="25.5" x14ac:dyDescent="0.2">
      <c r="B26" s="135" t="s">
        <v>1018</v>
      </c>
      <c r="C26" s="136">
        <v>-460.00000000000006</v>
      </c>
      <c r="D26" s="136">
        <v>-273.99999999999994</v>
      </c>
      <c r="E26" s="136">
        <v>1122</v>
      </c>
      <c r="F26" s="136">
        <v>812</v>
      </c>
      <c r="G26" s="136">
        <v>628</v>
      </c>
      <c r="H26" s="136">
        <v>-92</v>
      </c>
      <c r="I26" s="136">
        <v>-424</v>
      </c>
      <c r="J26" s="136">
        <v>755</v>
      </c>
      <c r="K26" s="136">
        <v>169</v>
      </c>
      <c r="L26" s="136">
        <v>-20</v>
      </c>
      <c r="M26" s="136">
        <v>-81</v>
      </c>
      <c r="N26" s="136">
        <v>25</v>
      </c>
      <c r="O26" s="136">
        <v>63</v>
      </c>
      <c r="P26" s="136">
        <v>-1001</v>
      </c>
      <c r="Q26" s="136">
        <v>283</v>
      </c>
      <c r="R26" s="136">
        <v>1751</v>
      </c>
      <c r="S26" s="136">
        <v>76</v>
      </c>
      <c r="T26" s="136">
        <v>-1492</v>
      </c>
      <c r="U26" s="136">
        <v>132</v>
      </c>
      <c r="V26" s="136">
        <v>-825</v>
      </c>
      <c r="W26" s="136">
        <v>-80</v>
      </c>
      <c r="X26" s="136">
        <v>69</v>
      </c>
      <c r="Y26" s="136">
        <v>111</v>
      </c>
      <c r="Z26" s="136">
        <v>-34</v>
      </c>
      <c r="AA26" s="136">
        <v>147</v>
      </c>
      <c r="AB26" s="136">
        <v>38</v>
      </c>
      <c r="AC26" s="136">
        <v>295</v>
      </c>
      <c r="AD26" s="136">
        <v>659</v>
      </c>
      <c r="AE26" s="136">
        <v>116</v>
      </c>
      <c r="AF26" s="136">
        <v>333</v>
      </c>
      <c r="AG26" s="136">
        <v>-54</v>
      </c>
      <c r="AH26" s="136">
        <v>12</v>
      </c>
      <c r="AI26" s="136">
        <v>385</v>
      </c>
      <c r="AJ26" s="136">
        <v>464</v>
      </c>
      <c r="AK26" s="136">
        <v>249</v>
      </c>
      <c r="AL26" s="136">
        <v>36</v>
      </c>
      <c r="AM26" s="136">
        <v>19</v>
      </c>
      <c r="AN26" s="136">
        <v>195</v>
      </c>
      <c r="AO26" s="136">
        <v>825</v>
      </c>
      <c r="AP26" s="136">
        <v>2122</v>
      </c>
      <c r="AQ26" s="136">
        <v>725</v>
      </c>
      <c r="AR26" s="136">
        <v>-648</v>
      </c>
      <c r="AS26" s="136">
        <v>-674</v>
      </c>
      <c r="AT26" s="136">
        <v>-267</v>
      </c>
      <c r="AU26" s="136">
        <v>962</v>
      </c>
    </row>
    <row r="27" spans="2:47" x14ac:dyDescent="0.2">
      <c r="B27" s="135" t="s">
        <v>876</v>
      </c>
      <c r="C27" s="136">
        <v>0</v>
      </c>
      <c r="D27" s="136">
        <v>0</v>
      </c>
      <c r="E27" s="136">
        <v>0</v>
      </c>
      <c r="F27" s="136">
        <v>0</v>
      </c>
      <c r="G27" s="136">
        <v>0</v>
      </c>
      <c r="H27" s="136">
        <v>0</v>
      </c>
      <c r="I27" s="136">
        <v>0</v>
      </c>
      <c r="J27" s="136">
        <v>0</v>
      </c>
      <c r="K27" s="136">
        <v>0</v>
      </c>
      <c r="L27" s="136">
        <v>0</v>
      </c>
      <c r="M27" s="136">
        <v>0</v>
      </c>
      <c r="N27" s="136">
        <v>0</v>
      </c>
      <c r="O27" s="136">
        <v>0</v>
      </c>
      <c r="P27" s="136">
        <v>0</v>
      </c>
      <c r="Q27" s="136">
        <v>0</v>
      </c>
      <c r="R27" s="136">
        <v>0</v>
      </c>
      <c r="S27" s="136">
        <v>0</v>
      </c>
      <c r="T27" s="136">
        <v>0</v>
      </c>
      <c r="U27" s="136">
        <v>-10</v>
      </c>
      <c r="V27" s="136">
        <v>-105</v>
      </c>
      <c r="W27" s="136">
        <v>2</v>
      </c>
      <c r="X27" s="136">
        <v>-38</v>
      </c>
      <c r="Y27" s="136">
        <v>-36</v>
      </c>
      <c r="Z27" s="136">
        <v>-35</v>
      </c>
      <c r="AA27" s="136">
        <v>-2</v>
      </c>
      <c r="AB27" s="136">
        <v>-1</v>
      </c>
      <c r="AC27" s="136">
        <v>0</v>
      </c>
      <c r="AD27" s="136">
        <v>3</v>
      </c>
      <c r="AE27" s="136">
        <v>0</v>
      </c>
      <c r="AF27" s="136">
        <v>0</v>
      </c>
      <c r="AG27" s="136">
        <v>0</v>
      </c>
      <c r="AH27" s="136">
        <v>0</v>
      </c>
      <c r="AI27" s="136">
        <v>0</v>
      </c>
      <c r="AJ27" s="136">
        <v>0</v>
      </c>
      <c r="AK27" s="136">
        <v>0</v>
      </c>
      <c r="AL27" s="136">
        <v>0</v>
      </c>
      <c r="AM27" s="136">
        <v>0</v>
      </c>
      <c r="AN27" s="136">
        <v>0</v>
      </c>
      <c r="AO27" s="136">
        <v>0</v>
      </c>
      <c r="AP27" s="136">
        <v>0</v>
      </c>
      <c r="AQ27" s="136">
        <v>0</v>
      </c>
      <c r="AR27" s="136">
        <v>0</v>
      </c>
      <c r="AS27" s="136">
        <v>0</v>
      </c>
      <c r="AT27" s="136">
        <v>0</v>
      </c>
      <c r="AU27" s="136">
        <v>0</v>
      </c>
    </row>
    <row r="28" spans="2:47" x14ac:dyDescent="0.2">
      <c r="B28" s="135" t="s">
        <v>724</v>
      </c>
      <c r="C28" s="136">
        <v>0</v>
      </c>
      <c r="D28" s="136">
        <v>0</v>
      </c>
      <c r="E28" s="136">
        <v>0</v>
      </c>
      <c r="F28" s="136">
        <v>0</v>
      </c>
      <c r="G28" s="136">
        <v>0</v>
      </c>
      <c r="H28" s="136">
        <v>0</v>
      </c>
      <c r="I28" s="136">
        <v>0</v>
      </c>
      <c r="J28" s="136">
        <v>0</v>
      </c>
      <c r="K28" s="136">
        <v>0</v>
      </c>
      <c r="L28" s="136">
        <v>0</v>
      </c>
      <c r="M28" s="136">
        <v>0</v>
      </c>
      <c r="N28" s="136">
        <v>-50498</v>
      </c>
      <c r="O28" s="136">
        <v>0</v>
      </c>
      <c r="P28" s="136">
        <v>0</v>
      </c>
      <c r="Q28" s="136">
        <v>0</v>
      </c>
      <c r="R28" s="333">
        <v>-10599</v>
      </c>
      <c r="S28" s="136">
        <v>0</v>
      </c>
      <c r="T28" s="136">
        <v>0</v>
      </c>
      <c r="U28" s="333">
        <v>-91391</v>
      </c>
      <c r="V28" s="136">
        <v>-745</v>
      </c>
      <c r="W28" s="136">
        <v>0</v>
      </c>
      <c r="X28" s="136">
        <v>0</v>
      </c>
      <c r="Y28" s="136">
        <v>0</v>
      </c>
      <c r="Z28" s="136">
        <v>0</v>
      </c>
      <c r="AA28" s="136">
        <v>0</v>
      </c>
      <c r="AB28" s="136">
        <v>-8978</v>
      </c>
      <c r="AC28" s="136">
        <v>0</v>
      </c>
      <c r="AD28" s="136">
        <v>0</v>
      </c>
      <c r="AE28" s="136">
        <v>0</v>
      </c>
      <c r="AF28" s="136">
        <v>0</v>
      </c>
      <c r="AG28" s="136">
        <v>0</v>
      </c>
      <c r="AH28" s="136">
        <v>-15341</v>
      </c>
      <c r="AI28" s="136">
        <v>0</v>
      </c>
      <c r="AJ28" s="136">
        <v>0</v>
      </c>
      <c r="AK28" s="136">
        <v>0</v>
      </c>
      <c r="AL28" s="136">
        <v>0</v>
      </c>
      <c r="AM28" s="136">
        <v>0</v>
      </c>
      <c r="AN28" s="136">
        <v>0</v>
      </c>
      <c r="AO28" s="136">
        <v>0</v>
      </c>
      <c r="AP28" s="136">
        <v>0</v>
      </c>
      <c r="AQ28" s="136">
        <v>0</v>
      </c>
      <c r="AR28" s="136">
        <v>0</v>
      </c>
      <c r="AS28" s="136">
        <v>0</v>
      </c>
      <c r="AT28" s="136">
        <v>0</v>
      </c>
      <c r="AU28" s="136">
        <v>0</v>
      </c>
    </row>
    <row r="29" spans="2:47" x14ac:dyDescent="0.2">
      <c r="B29" s="135" t="s">
        <v>80</v>
      </c>
      <c r="C29" s="136">
        <f>-DRE!T25</f>
        <v>3229</v>
      </c>
      <c r="D29" s="136">
        <f>-DRE!U25</f>
        <v>512</v>
      </c>
      <c r="E29" s="136">
        <f>-DRE!V25</f>
        <v>3070.77151</v>
      </c>
      <c r="F29" s="136">
        <f>-DRE!W25</f>
        <v>-5565.3430946000008</v>
      </c>
      <c r="G29" s="136">
        <f>-DRE!X25</f>
        <v>-185</v>
      </c>
      <c r="H29" s="136">
        <f>-DRE!Y25</f>
        <v>1210</v>
      </c>
      <c r="I29" s="136">
        <f>-DRE!Z25</f>
        <v>3177.8091100000011</v>
      </c>
      <c r="J29" s="136">
        <f>-DRE!AA25</f>
        <v>8770.0601499999993</v>
      </c>
      <c r="K29" s="136">
        <f>-DRE!AB25</f>
        <v>4298.9160000000002</v>
      </c>
      <c r="L29" s="136">
        <f>-DRE!AC25</f>
        <v>-7766.8676799999994</v>
      </c>
      <c r="M29" s="136">
        <f>-DRE!AD25</f>
        <v>8879.3011299999998</v>
      </c>
      <c r="N29" s="136">
        <f>-DRE!AE25</f>
        <v>8319.4488999999994</v>
      </c>
      <c r="O29" s="136">
        <f>-DRE!AF25</f>
        <v>6233</v>
      </c>
      <c r="P29" s="136">
        <f>-DRE!AG25</f>
        <v>7000.1369300000006</v>
      </c>
      <c r="Q29" s="136">
        <f>-DRE!AH25</f>
        <v>9929.7333699999999</v>
      </c>
      <c r="R29" s="136">
        <f>-DRE!AI25</f>
        <v>12883.216170000002</v>
      </c>
      <c r="S29" s="136">
        <f>-DRE!AJ25</f>
        <v>11575.73976</v>
      </c>
      <c r="T29" s="136">
        <f>-DRE!AK25</f>
        <v>10923.94203</v>
      </c>
      <c r="U29" s="136">
        <f>-DRE!AL25</f>
        <v>40057.514449999995</v>
      </c>
      <c r="V29" s="136">
        <f>-DRE!AM25</f>
        <v>8769.3005799999992</v>
      </c>
      <c r="W29" s="136">
        <f>-DRE!AN25</f>
        <v>6850.96893</v>
      </c>
      <c r="X29" s="136">
        <f>-DRE!AO25</f>
        <v>-4624.6438899999994</v>
      </c>
      <c r="Y29" s="136">
        <f>-DRE!AP25</f>
        <v>12021.130280000001</v>
      </c>
      <c r="Z29" s="136">
        <f>-DRE!AQ25</f>
        <v>9295.3423600000006</v>
      </c>
      <c r="AA29" s="136">
        <v>4534</v>
      </c>
      <c r="AB29" s="136">
        <v>3877</v>
      </c>
      <c r="AC29" s="136">
        <v>436</v>
      </c>
      <c r="AD29" s="136">
        <v>2298</v>
      </c>
      <c r="AE29" s="136">
        <v>1923</v>
      </c>
      <c r="AF29" s="136">
        <v>-13</v>
      </c>
      <c r="AG29" s="136">
        <v>-2447</v>
      </c>
      <c r="AH29" s="136">
        <v>5886</v>
      </c>
      <c r="AI29" s="136">
        <v>-4612</v>
      </c>
      <c r="AJ29" s="136">
        <v>1391</v>
      </c>
      <c r="AK29" s="136">
        <v>-1322</v>
      </c>
      <c r="AL29" s="136">
        <v>417</v>
      </c>
      <c r="AM29" s="136">
        <v>3346</v>
      </c>
      <c r="AN29" s="136">
        <v>-3226</v>
      </c>
      <c r="AO29" s="136">
        <v>-1269</v>
      </c>
      <c r="AP29" s="136">
        <v>185</v>
      </c>
      <c r="AQ29" s="136">
        <v>4185</v>
      </c>
      <c r="AR29" s="136">
        <v>-1536</v>
      </c>
      <c r="AS29" s="136">
        <v>-1787</v>
      </c>
      <c r="AT29" s="136">
        <v>6635</v>
      </c>
      <c r="AU29" s="136">
        <v>-724</v>
      </c>
    </row>
    <row r="30" spans="2:47" x14ac:dyDescent="0.2">
      <c r="B30" s="135" t="s">
        <v>1104</v>
      </c>
      <c r="C30" s="136">
        <v>0</v>
      </c>
      <c r="D30" s="136">
        <v>0</v>
      </c>
      <c r="E30" s="136">
        <v>0</v>
      </c>
      <c r="F30" s="136">
        <v>0</v>
      </c>
      <c r="G30" s="136">
        <v>0</v>
      </c>
      <c r="H30" s="136">
        <v>0</v>
      </c>
      <c r="I30" s="136">
        <v>0</v>
      </c>
      <c r="J30" s="136">
        <v>0</v>
      </c>
      <c r="K30" s="136">
        <v>0</v>
      </c>
      <c r="L30" s="136">
        <v>0</v>
      </c>
      <c r="M30" s="136">
        <v>0</v>
      </c>
      <c r="N30" s="136">
        <v>0</v>
      </c>
      <c r="O30" s="136">
        <v>0</v>
      </c>
      <c r="P30" s="136">
        <v>0</v>
      </c>
      <c r="Q30" s="136">
        <v>0</v>
      </c>
      <c r="R30" s="136">
        <v>0</v>
      </c>
      <c r="S30" s="136">
        <v>0</v>
      </c>
      <c r="T30" s="136">
        <v>0</v>
      </c>
      <c r="U30" s="136">
        <v>0</v>
      </c>
      <c r="V30" s="136">
        <v>0</v>
      </c>
      <c r="W30" s="136">
        <v>0</v>
      </c>
      <c r="X30" s="136">
        <v>0</v>
      </c>
      <c r="Y30" s="136">
        <v>0</v>
      </c>
      <c r="Z30" s="136">
        <v>0</v>
      </c>
      <c r="AA30" s="136">
        <v>0</v>
      </c>
      <c r="AB30" s="136">
        <v>0</v>
      </c>
      <c r="AC30" s="136">
        <v>-2238</v>
      </c>
      <c r="AD30" s="136">
        <v>2238</v>
      </c>
      <c r="AE30" s="136">
        <v>0</v>
      </c>
      <c r="AF30" s="136">
        <v>0</v>
      </c>
      <c r="AG30" s="136">
        <v>0</v>
      </c>
      <c r="AH30" s="136">
        <v>0</v>
      </c>
      <c r="AI30" s="136">
        <v>0</v>
      </c>
      <c r="AJ30" s="136">
        <v>0</v>
      </c>
      <c r="AK30" s="136">
        <v>0</v>
      </c>
      <c r="AL30" s="136">
        <v>0</v>
      </c>
      <c r="AM30" s="136">
        <v>0</v>
      </c>
      <c r="AN30" s="136">
        <v>0</v>
      </c>
      <c r="AO30" s="136">
        <v>0</v>
      </c>
      <c r="AP30" s="136">
        <v>0</v>
      </c>
      <c r="AQ30" s="136">
        <v>0</v>
      </c>
      <c r="AR30" s="136">
        <v>0</v>
      </c>
      <c r="AS30" s="136">
        <v>0</v>
      </c>
      <c r="AT30" s="136">
        <v>0</v>
      </c>
      <c r="AU30" s="136">
        <v>0</v>
      </c>
    </row>
    <row r="31" spans="2:47" x14ac:dyDescent="0.2">
      <c r="B31" s="135" t="s">
        <v>1164</v>
      </c>
      <c r="C31" s="136" t="s">
        <v>160</v>
      </c>
      <c r="D31" s="136" t="s">
        <v>160</v>
      </c>
      <c r="E31" s="136" t="s">
        <v>160</v>
      </c>
      <c r="F31" s="136" t="s">
        <v>160</v>
      </c>
      <c r="G31" s="136" t="s">
        <v>160</v>
      </c>
      <c r="H31" s="136" t="s">
        <v>160</v>
      </c>
      <c r="I31" s="136" t="s">
        <v>160</v>
      </c>
      <c r="J31" s="136" t="s">
        <v>160</v>
      </c>
      <c r="K31" s="136" t="s">
        <v>160</v>
      </c>
      <c r="L31" s="136" t="s">
        <v>160</v>
      </c>
      <c r="M31" s="136" t="s">
        <v>160</v>
      </c>
      <c r="N31" s="136" t="s">
        <v>160</v>
      </c>
      <c r="O31" s="136" t="s">
        <v>160</v>
      </c>
      <c r="P31" s="136" t="s">
        <v>160</v>
      </c>
      <c r="Q31" s="136" t="s">
        <v>160</v>
      </c>
      <c r="R31" s="136" t="s">
        <v>160</v>
      </c>
      <c r="S31" s="136" t="s">
        <v>160</v>
      </c>
      <c r="T31" s="136" t="s">
        <v>160</v>
      </c>
      <c r="U31" s="136" t="s">
        <v>160</v>
      </c>
      <c r="V31" s="136" t="s">
        <v>160</v>
      </c>
      <c r="W31" s="136" t="s">
        <v>160</v>
      </c>
      <c r="X31" s="136" t="s">
        <v>160</v>
      </c>
      <c r="Y31" s="136" t="s">
        <v>160</v>
      </c>
      <c r="Z31" s="136" t="s">
        <v>160</v>
      </c>
      <c r="AA31" s="136">
        <v>0</v>
      </c>
      <c r="AB31" s="136">
        <v>0</v>
      </c>
      <c r="AC31" s="136" t="s">
        <v>160</v>
      </c>
      <c r="AD31" s="136">
        <v>-2592</v>
      </c>
      <c r="AE31" s="136">
        <v>0</v>
      </c>
      <c r="AF31" s="136">
        <v>0</v>
      </c>
      <c r="AG31" s="136">
        <v>-847</v>
      </c>
      <c r="AH31" s="136">
        <v>0</v>
      </c>
      <c r="AI31" s="136">
        <v>0</v>
      </c>
      <c r="AJ31" s="136">
        <v>0</v>
      </c>
      <c r="AK31" s="136">
        <v>0</v>
      </c>
      <c r="AL31" s="136">
        <v>0</v>
      </c>
      <c r="AM31" s="136">
        <v>0</v>
      </c>
      <c r="AN31" s="136">
        <v>0</v>
      </c>
      <c r="AO31" s="136">
        <v>0</v>
      </c>
      <c r="AP31" s="136">
        <v>0</v>
      </c>
      <c r="AQ31" s="136">
        <v>0</v>
      </c>
      <c r="AR31" s="136">
        <v>0</v>
      </c>
      <c r="AS31" s="136">
        <v>0</v>
      </c>
      <c r="AT31" s="136">
        <v>0</v>
      </c>
      <c r="AU31" s="136">
        <v>0</v>
      </c>
    </row>
    <row r="32" spans="2:47" hidden="1" outlineLevel="1" x14ac:dyDescent="0.2">
      <c r="B32" s="230" t="s">
        <v>742</v>
      </c>
      <c r="C32" s="136" t="s">
        <v>160</v>
      </c>
      <c r="D32" s="136" t="s">
        <v>160</v>
      </c>
      <c r="E32" s="136" t="s">
        <v>160</v>
      </c>
      <c r="F32" s="136" t="s">
        <v>160</v>
      </c>
      <c r="G32" s="136" t="s">
        <v>160</v>
      </c>
      <c r="H32" s="136" t="s">
        <v>160</v>
      </c>
      <c r="I32" s="136" t="s">
        <v>160</v>
      </c>
      <c r="J32" s="136" t="s">
        <v>160</v>
      </c>
      <c r="K32" s="136" t="s">
        <v>160</v>
      </c>
      <c r="L32" s="231" t="s">
        <v>160</v>
      </c>
      <c r="M32" s="136" t="s">
        <v>160</v>
      </c>
      <c r="N32" s="136" t="s">
        <v>160</v>
      </c>
      <c r="O32" s="136">
        <v>2527</v>
      </c>
      <c r="P32" s="136">
        <v>0</v>
      </c>
      <c r="Q32" s="136">
        <v>0</v>
      </c>
      <c r="R32" s="136">
        <v>0</v>
      </c>
      <c r="S32" s="136">
        <v>0</v>
      </c>
      <c r="T32" s="136">
        <v>0</v>
      </c>
      <c r="U32" s="136">
        <v>0</v>
      </c>
      <c r="V32" s="136">
        <v>0</v>
      </c>
      <c r="W32" s="136">
        <v>0</v>
      </c>
      <c r="X32" s="136">
        <v>0</v>
      </c>
      <c r="Y32" s="136">
        <v>0</v>
      </c>
      <c r="Z32" s="136">
        <v>0</v>
      </c>
      <c r="AA32" s="136">
        <v>0</v>
      </c>
      <c r="AB32" s="136">
        <v>0</v>
      </c>
      <c r="AC32" s="136">
        <v>0</v>
      </c>
      <c r="AD32" s="136">
        <v>0</v>
      </c>
      <c r="AE32" s="136">
        <v>0</v>
      </c>
      <c r="AF32" s="136">
        <v>0</v>
      </c>
      <c r="AG32" s="136">
        <v>0</v>
      </c>
      <c r="AH32" s="136">
        <v>0</v>
      </c>
      <c r="AI32" s="136">
        <v>0</v>
      </c>
      <c r="AJ32" s="136">
        <v>0</v>
      </c>
      <c r="AK32" s="136">
        <v>0</v>
      </c>
      <c r="AL32" s="136">
        <v>0</v>
      </c>
      <c r="AM32" s="136">
        <v>0</v>
      </c>
      <c r="AN32" s="136"/>
      <c r="AO32" s="136"/>
      <c r="AP32" s="136">
        <v>0</v>
      </c>
      <c r="AQ32" s="136"/>
      <c r="AR32" s="136">
        <v>0</v>
      </c>
      <c r="AS32" s="136">
        <v>0</v>
      </c>
      <c r="AT32" s="136">
        <v>0</v>
      </c>
      <c r="AU32" s="136">
        <v>0</v>
      </c>
    </row>
    <row r="33" spans="1:47" hidden="1" outlineLevel="1" x14ac:dyDescent="0.2">
      <c r="B33" s="230" t="s">
        <v>776</v>
      </c>
      <c r="C33" s="136">
        <v>0</v>
      </c>
      <c r="D33" s="136">
        <v>0</v>
      </c>
      <c r="E33" s="136">
        <v>0</v>
      </c>
      <c r="F33" s="136">
        <v>0</v>
      </c>
      <c r="G33" s="136">
        <v>0</v>
      </c>
      <c r="H33" s="136">
        <v>0</v>
      </c>
      <c r="I33" s="136">
        <v>0</v>
      </c>
      <c r="J33" s="136">
        <v>0</v>
      </c>
      <c r="K33" s="136">
        <v>0</v>
      </c>
      <c r="L33" s="231">
        <v>0</v>
      </c>
      <c r="M33" s="136">
        <v>0</v>
      </c>
      <c r="N33" s="136">
        <v>0</v>
      </c>
      <c r="O33" s="136">
        <v>0</v>
      </c>
      <c r="P33" s="136">
        <v>0</v>
      </c>
      <c r="Q33" s="136">
        <v>-3735</v>
      </c>
      <c r="R33" s="136">
        <v>2034</v>
      </c>
      <c r="S33" s="136">
        <v>-1028</v>
      </c>
      <c r="T33" s="136">
        <v>1669</v>
      </c>
      <c r="U33" s="136">
        <v>-3849</v>
      </c>
      <c r="V33" s="136">
        <v>1546</v>
      </c>
      <c r="W33" s="136">
        <v>-15165</v>
      </c>
      <c r="X33" s="136">
        <v>-4243</v>
      </c>
      <c r="Y33" s="136">
        <v>3089</v>
      </c>
      <c r="Z33" s="136">
        <v>0</v>
      </c>
      <c r="AA33" s="136">
        <v>0</v>
      </c>
      <c r="AB33" s="136">
        <v>0</v>
      </c>
      <c r="AC33" s="136">
        <v>0</v>
      </c>
      <c r="AD33" s="136">
        <v>0</v>
      </c>
      <c r="AE33" s="136">
        <v>0</v>
      </c>
      <c r="AF33" s="136">
        <v>0</v>
      </c>
      <c r="AG33" s="136">
        <v>0</v>
      </c>
      <c r="AH33" s="136">
        <v>0</v>
      </c>
      <c r="AI33" s="136">
        <v>0</v>
      </c>
      <c r="AJ33" s="136">
        <v>0</v>
      </c>
      <c r="AK33" s="136">
        <v>0</v>
      </c>
      <c r="AL33" s="136">
        <v>0</v>
      </c>
      <c r="AM33" s="136">
        <v>0</v>
      </c>
      <c r="AN33" s="136"/>
      <c r="AO33" s="136"/>
      <c r="AP33" s="136">
        <v>0</v>
      </c>
      <c r="AQ33" s="136"/>
      <c r="AR33" s="136">
        <v>0</v>
      </c>
      <c r="AS33" s="136">
        <v>0</v>
      </c>
      <c r="AT33" s="136">
        <v>0</v>
      </c>
      <c r="AU33" s="136">
        <v>0</v>
      </c>
    </row>
    <row r="34" spans="1:47" hidden="1" outlineLevel="1" x14ac:dyDescent="0.2">
      <c r="B34" s="230" t="s">
        <v>746</v>
      </c>
      <c r="C34" s="136" t="s">
        <v>160</v>
      </c>
      <c r="D34" s="136" t="s">
        <v>160</v>
      </c>
      <c r="E34" s="136" t="s">
        <v>160</v>
      </c>
      <c r="F34" s="136" t="s">
        <v>160</v>
      </c>
      <c r="G34" s="136" t="s">
        <v>160</v>
      </c>
      <c r="H34" s="136" t="s">
        <v>160</v>
      </c>
      <c r="I34" s="136" t="s">
        <v>160</v>
      </c>
      <c r="J34" s="136" t="s">
        <v>160</v>
      </c>
      <c r="K34" s="136" t="s">
        <v>160</v>
      </c>
      <c r="L34" s="231" t="s">
        <v>160</v>
      </c>
      <c r="M34" s="136" t="s">
        <v>160</v>
      </c>
      <c r="N34" s="136" t="s">
        <v>160</v>
      </c>
      <c r="O34" s="136">
        <v>-1842</v>
      </c>
      <c r="P34" s="136">
        <v>0</v>
      </c>
      <c r="Q34" s="136">
        <v>0</v>
      </c>
      <c r="R34" s="136">
        <v>0</v>
      </c>
      <c r="S34" s="136">
        <v>0</v>
      </c>
      <c r="T34" s="136">
        <v>0</v>
      </c>
      <c r="U34" s="136">
        <v>0</v>
      </c>
      <c r="V34" s="136">
        <v>0</v>
      </c>
      <c r="W34" s="136">
        <v>0</v>
      </c>
      <c r="X34" s="136">
        <v>0</v>
      </c>
      <c r="Y34" s="136">
        <v>0</v>
      </c>
      <c r="Z34" s="136">
        <v>0</v>
      </c>
      <c r="AA34" s="136">
        <v>0</v>
      </c>
      <c r="AB34" s="136">
        <v>0</v>
      </c>
      <c r="AC34" s="136">
        <v>0</v>
      </c>
      <c r="AD34" s="136">
        <v>0</v>
      </c>
      <c r="AE34" s="136">
        <v>0</v>
      </c>
      <c r="AF34" s="136">
        <v>0</v>
      </c>
      <c r="AG34" s="136">
        <v>0</v>
      </c>
      <c r="AH34" s="136">
        <v>0</v>
      </c>
      <c r="AI34" s="136">
        <v>0</v>
      </c>
      <c r="AJ34" s="136">
        <v>0</v>
      </c>
      <c r="AK34" s="136">
        <v>0</v>
      </c>
      <c r="AL34" s="136">
        <v>0</v>
      </c>
      <c r="AM34" s="136">
        <v>0</v>
      </c>
      <c r="AN34" s="136"/>
      <c r="AO34" s="136"/>
      <c r="AP34" s="136">
        <v>0</v>
      </c>
      <c r="AQ34" s="136"/>
      <c r="AR34" s="136">
        <v>0</v>
      </c>
      <c r="AS34" s="136">
        <v>0</v>
      </c>
      <c r="AT34" s="136">
        <v>0</v>
      </c>
      <c r="AU34" s="136">
        <v>0</v>
      </c>
    </row>
    <row r="35" spans="1:47" ht="23.25" hidden="1" customHeight="1" outlineLevel="1" x14ac:dyDescent="0.2">
      <c r="B35" s="230" t="s">
        <v>634</v>
      </c>
      <c r="C35" s="136">
        <v>0</v>
      </c>
      <c r="D35" s="136">
        <v>0</v>
      </c>
      <c r="E35" s="136">
        <v>0</v>
      </c>
      <c r="F35" s="136">
        <v>0</v>
      </c>
      <c r="G35" s="136">
        <v>0</v>
      </c>
      <c r="H35" s="136">
        <v>0</v>
      </c>
      <c r="I35" s="136">
        <v>0</v>
      </c>
      <c r="J35" s="136">
        <v>0</v>
      </c>
      <c r="K35" s="136">
        <v>0</v>
      </c>
      <c r="L35" s="231">
        <v>0</v>
      </c>
      <c r="M35" s="136">
        <v>5733</v>
      </c>
      <c r="N35" s="136">
        <v>5731</v>
      </c>
      <c r="O35" s="136">
        <v>0</v>
      </c>
      <c r="P35" s="136">
        <v>0</v>
      </c>
      <c r="Q35" s="136">
        <v>0</v>
      </c>
      <c r="R35" s="136">
        <v>1907</v>
      </c>
      <c r="S35" s="136">
        <v>0</v>
      </c>
      <c r="T35" s="136">
        <v>0</v>
      </c>
      <c r="U35" s="136">
        <v>0</v>
      </c>
      <c r="V35" s="136">
        <v>0</v>
      </c>
      <c r="W35" s="136">
        <v>0</v>
      </c>
      <c r="X35" s="136">
        <v>0</v>
      </c>
      <c r="Y35" s="136">
        <v>0</v>
      </c>
      <c r="Z35" s="136">
        <v>0</v>
      </c>
      <c r="AA35" s="136">
        <v>0</v>
      </c>
      <c r="AB35" s="136">
        <v>0</v>
      </c>
      <c r="AC35" s="136">
        <v>0</v>
      </c>
      <c r="AD35" s="136">
        <v>0</v>
      </c>
      <c r="AE35" s="136">
        <v>0</v>
      </c>
      <c r="AF35" s="136">
        <v>0</v>
      </c>
      <c r="AG35" s="136">
        <v>0</v>
      </c>
      <c r="AH35" s="136">
        <v>0</v>
      </c>
      <c r="AI35" s="136">
        <v>0</v>
      </c>
      <c r="AJ35" s="136">
        <v>0</v>
      </c>
      <c r="AK35" s="136">
        <v>0</v>
      </c>
      <c r="AL35" s="136">
        <v>0</v>
      </c>
      <c r="AM35" s="136">
        <v>0</v>
      </c>
      <c r="AN35" s="136"/>
      <c r="AO35" s="136"/>
      <c r="AP35" s="136">
        <v>0</v>
      </c>
      <c r="AQ35" s="136"/>
      <c r="AR35" s="136">
        <v>0</v>
      </c>
      <c r="AS35" s="136">
        <v>0</v>
      </c>
      <c r="AT35" s="136">
        <v>0</v>
      </c>
      <c r="AU35" s="136">
        <v>0</v>
      </c>
    </row>
    <row r="36" spans="1:47" hidden="1" outlineLevel="1" x14ac:dyDescent="0.2">
      <c r="B36" s="230" t="s">
        <v>580</v>
      </c>
      <c r="C36" s="136">
        <v>0</v>
      </c>
      <c r="D36" s="136">
        <v>0</v>
      </c>
      <c r="E36" s="136">
        <v>0</v>
      </c>
      <c r="F36" s="136">
        <v>0</v>
      </c>
      <c r="G36" s="136">
        <v>0</v>
      </c>
      <c r="H36" s="136">
        <v>0</v>
      </c>
      <c r="I36" s="136">
        <v>0</v>
      </c>
      <c r="J36" s="136">
        <v>0</v>
      </c>
      <c r="K36" s="136">
        <v>0</v>
      </c>
      <c r="L36" s="231">
        <v>1365</v>
      </c>
      <c r="M36" s="136">
        <v>0</v>
      </c>
      <c r="N36" s="136">
        <v>0</v>
      </c>
      <c r="O36" s="136">
        <v>0</v>
      </c>
      <c r="P36" s="136">
        <v>0</v>
      </c>
      <c r="Q36" s="136">
        <v>0</v>
      </c>
      <c r="R36" s="136">
        <v>0</v>
      </c>
      <c r="S36" s="136">
        <v>0</v>
      </c>
      <c r="T36" s="136">
        <v>0</v>
      </c>
      <c r="U36" s="136">
        <v>0</v>
      </c>
      <c r="V36" s="136">
        <v>0</v>
      </c>
      <c r="W36" s="136">
        <v>0</v>
      </c>
      <c r="X36" s="136">
        <v>0</v>
      </c>
      <c r="Y36" s="136">
        <v>0</v>
      </c>
      <c r="Z36" s="136">
        <v>0</v>
      </c>
      <c r="AA36" s="136">
        <v>0</v>
      </c>
      <c r="AB36" s="136">
        <v>0</v>
      </c>
      <c r="AC36" s="136">
        <v>0</v>
      </c>
      <c r="AD36" s="136" t="s">
        <v>160</v>
      </c>
      <c r="AE36" s="136" t="s">
        <v>160</v>
      </c>
      <c r="AF36" s="136" t="s">
        <v>160</v>
      </c>
      <c r="AG36" s="136" t="s">
        <v>160</v>
      </c>
      <c r="AH36" s="136" t="s">
        <v>160</v>
      </c>
      <c r="AI36" s="136" t="s">
        <v>160</v>
      </c>
      <c r="AJ36" s="136" t="s">
        <v>160</v>
      </c>
      <c r="AK36" s="136" t="s">
        <v>160</v>
      </c>
      <c r="AL36" s="136" t="s">
        <v>160</v>
      </c>
      <c r="AM36" s="136" t="s">
        <v>160</v>
      </c>
      <c r="AN36" s="136"/>
      <c r="AO36" s="136"/>
      <c r="AP36" s="136" t="s">
        <v>160</v>
      </c>
      <c r="AQ36" s="136"/>
      <c r="AR36" s="136" t="s">
        <v>160</v>
      </c>
      <c r="AS36" s="136" t="s">
        <v>160</v>
      </c>
      <c r="AT36" s="136" t="s">
        <v>160</v>
      </c>
      <c r="AU36" s="136" t="s">
        <v>160</v>
      </c>
    </row>
    <row r="37" spans="1:47" ht="25.5" hidden="1" outlineLevel="2" x14ac:dyDescent="0.2">
      <c r="B37" s="230" t="s">
        <v>1071</v>
      </c>
      <c r="C37" s="231" t="s">
        <v>160</v>
      </c>
      <c r="D37" s="136" t="s">
        <v>160</v>
      </c>
      <c r="E37" s="136" t="s">
        <v>160</v>
      </c>
      <c r="F37" s="136" t="s">
        <v>160</v>
      </c>
      <c r="G37" s="136" t="s">
        <v>160</v>
      </c>
      <c r="H37" s="136" t="s">
        <v>160</v>
      </c>
      <c r="I37" s="136" t="s">
        <v>160</v>
      </c>
      <c r="J37" s="136" t="s">
        <v>160</v>
      </c>
      <c r="K37" s="136" t="s">
        <v>160</v>
      </c>
      <c r="L37" s="136" t="s">
        <v>160</v>
      </c>
      <c r="M37" s="136" t="s">
        <v>160</v>
      </c>
      <c r="N37" s="136" t="s">
        <v>160</v>
      </c>
      <c r="O37" s="136" t="s">
        <v>160</v>
      </c>
      <c r="P37" s="136" t="s">
        <v>160</v>
      </c>
      <c r="Q37" s="136" t="s">
        <v>160</v>
      </c>
      <c r="R37" s="136" t="s">
        <v>160</v>
      </c>
      <c r="S37" s="136" t="s">
        <v>160</v>
      </c>
      <c r="T37" s="136" t="s">
        <v>160</v>
      </c>
      <c r="U37" s="136" t="s">
        <v>160</v>
      </c>
      <c r="V37" s="136" t="s">
        <v>160</v>
      </c>
      <c r="W37" s="136" t="s">
        <v>160</v>
      </c>
      <c r="X37" s="136" t="s">
        <v>160</v>
      </c>
      <c r="Y37" s="136" t="s">
        <v>160</v>
      </c>
      <c r="Z37" s="136" t="s">
        <v>160</v>
      </c>
      <c r="AA37" s="136" t="s">
        <v>160</v>
      </c>
      <c r="AB37" s="136" t="s">
        <v>160</v>
      </c>
      <c r="AC37" s="136" t="s">
        <v>160</v>
      </c>
      <c r="AD37" s="136" t="s">
        <v>160</v>
      </c>
      <c r="AE37" s="136" t="s">
        <v>160</v>
      </c>
      <c r="AF37" s="136" t="s">
        <v>160</v>
      </c>
      <c r="AG37" s="136" t="s">
        <v>160</v>
      </c>
      <c r="AH37" s="136" t="s">
        <v>160</v>
      </c>
      <c r="AI37" s="136" t="s">
        <v>160</v>
      </c>
      <c r="AJ37" s="136" t="s">
        <v>160</v>
      </c>
      <c r="AK37" s="136" t="s">
        <v>160</v>
      </c>
      <c r="AL37" s="136" t="s">
        <v>160</v>
      </c>
      <c r="AM37" s="136" t="s">
        <v>160</v>
      </c>
      <c r="AN37" s="136"/>
      <c r="AO37" s="136"/>
      <c r="AP37" s="136" t="s">
        <v>160</v>
      </c>
      <c r="AQ37" s="136"/>
      <c r="AR37" s="136" t="s">
        <v>160</v>
      </c>
      <c r="AS37" s="136" t="s">
        <v>160</v>
      </c>
      <c r="AT37" s="136" t="s">
        <v>160</v>
      </c>
      <c r="AU37" s="136" t="s">
        <v>160</v>
      </c>
    </row>
    <row r="38" spans="1:47" s="232" customFormat="1" hidden="1" outlineLevel="2" x14ac:dyDescent="0.2">
      <c r="A38" s="267"/>
      <c r="B38" s="230" t="s">
        <v>340</v>
      </c>
      <c r="C38" s="231">
        <v>272.00000000000006</v>
      </c>
      <c r="D38" s="231">
        <v>301.99999999999994</v>
      </c>
      <c r="E38" s="231">
        <v>367</v>
      </c>
      <c r="F38" s="231">
        <v>358</v>
      </c>
      <c r="G38" s="231">
        <v>358</v>
      </c>
      <c r="H38" s="231">
        <v>383</v>
      </c>
      <c r="I38" s="231">
        <v>408</v>
      </c>
      <c r="J38" s="231">
        <v>384</v>
      </c>
      <c r="K38" s="231">
        <v>137</v>
      </c>
      <c r="L38" s="231">
        <v>0</v>
      </c>
      <c r="M38" s="231">
        <v>-137</v>
      </c>
      <c r="N38" s="231">
        <v>137</v>
      </c>
      <c r="O38" s="231">
        <v>0</v>
      </c>
      <c r="P38" s="231">
        <v>0</v>
      </c>
      <c r="Q38" s="231">
        <v>0</v>
      </c>
      <c r="R38" s="231">
        <v>0</v>
      </c>
      <c r="S38" s="231">
        <v>0</v>
      </c>
      <c r="T38" s="231">
        <v>0</v>
      </c>
      <c r="U38" s="231">
        <v>0</v>
      </c>
      <c r="V38" s="136">
        <v>0</v>
      </c>
      <c r="W38" s="136">
        <v>0</v>
      </c>
      <c r="X38" s="136">
        <v>0</v>
      </c>
      <c r="Y38" s="136">
        <v>0</v>
      </c>
      <c r="Z38" s="136">
        <v>0</v>
      </c>
      <c r="AA38" s="136">
        <v>0</v>
      </c>
      <c r="AB38" s="136">
        <v>0</v>
      </c>
      <c r="AC38" s="136">
        <v>0</v>
      </c>
      <c r="AD38" s="136">
        <v>0</v>
      </c>
      <c r="AE38" s="136">
        <v>0</v>
      </c>
      <c r="AF38" s="136">
        <v>0</v>
      </c>
      <c r="AG38" s="136">
        <v>0</v>
      </c>
      <c r="AH38" s="136">
        <v>0</v>
      </c>
      <c r="AI38" s="136">
        <v>0</v>
      </c>
      <c r="AJ38" s="136">
        <v>0</v>
      </c>
      <c r="AK38" s="136">
        <v>0</v>
      </c>
      <c r="AL38" s="136">
        <v>0</v>
      </c>
      <c r="AM38" s="136">
        <v>0</v>
      </c>
      <c r="AN38" s="136"/>
      <c r="AO38" s="136"/>
      <c r="AP38" s="136">
        <v>0</v>
      </c>
      <c r="AQ38" s="136"/>
      <c r="AR38" s="136">
        <v>0</v>
      </c>
      <c r="AS38" s="136">
        <v>0</v>
      </c>
      <c r="AT38" s="136">
        <v>0</v>
      </c>
      <c r="AU38" s="136">
        <v>0</v>
      </c>
    </row>
    <row r="39" spans="1:47" s="232" customFormat="1" hidden="1" outlineLevel="2" x14ac:dyDescent="0.2">
      <c r="A39" s="267"/>
      <c r="B39" s="230" t="s">
        <v>341</v>
      </c>
      <c r="C39" s="231">
        <v>-1825</v>
      </c>
      <c r="D39" s="231">
        <v>-1207</v>
      </c>
      <c r="E39" s="231">
        <v>-55</v>
      </c>
      <c r="F39" s="231">
        <v>0</v>
      </c>
      <c r="G39" s="231">
        <v>0</v>
      </c>
      <c r="H39" s="231">
        <v>0</v>
      </c>
      <c r="I39" s="231">
        <v>0</v>
      </c>
      <c r="J39" s="231">
        <v>0</v>
      </c>
      <c r="K39" s="231">
        <v>0</v>
      </c>
      <c r="L39" s="231">
        <v>0</v>
      </c>
      <c r="M39" s="231">
        <v>0</v>
      </c>
      <c r="N39" s="231">
        <v>0</v>
      </c>
      <c r="O39" s="231">
        <v>0</v>
      </c>
      <c r="P39" s="231">
        <v>0</v>
      </c>
      <c r="Q39" s="231">
        <v>0</v>
      </c>
      <c r="R39" s="231">
        <v>0</v>
      </c>
      <c r="S39" s="231">
        <v>0</v>
      </c>
      <c r="T39" s="231">
        <v>0</v>
      </c>
      <c r="U39" s="231">
        <v>0</v>
      </c>
      <c r="V39" s="136">
        <v>0</v>
      </c>
      <c r="W39" s="136">
        <v>0</v>
      </c>
      <c r="X39" s="136">
        <v>0</v>
      </c>
      <c r="Y39" s="136">
        <v>0</v>
      </c>
      <c r="Z39" s="136">
        <v>0</v>
      </c>
      <c r="AA39" s="136">
        <v>0</v>
      </c>
      <c r="AB39" s="136">
        <v>0</v>
      </c>
      <c r="AC39" s="136">
        <v>0</v>
      </c>
      <c r="AD39" s="136">
        <v>0</v>
      </c>
      <c r="AE39" s="136">
        <v>0</v>
      </c>
      <c r="AF39" s="136">
        <v>0</v>
      </c>
      <c r="AG39" s="136">
        <v>0</v>
      </c>
      <c r="AH39" s="136">
        <v>0</v>
      </c>
      <c r="AI39" s="136">
        <v>0</v>
      </c>
      <c r="AJ39" s="136">
        <v>0</v>
      </c>
      <c r="AK39" s="136">
        <v>0</v>
      </c>
      <c r="AL39" s="136">
        <v>0</v>
      </c>
      <c r="AM39" s="136">
        <v>0</v>
      </c>
      <c r="AN39" s="136"/>
      <c r="AO39" s="136"/>
      <c r="AP39" s="136">
        <v>0</v>
      </c>
      <c r="AQ39" s="136"/>
      <c r="AR39" s="136">
        <v>0</v>
      </c>
      <c r="AS39" s="136">
        <v>0</v>
      </c>
      <c r="AT39" s="136">
        <v>0</v>
      </c>
      <c r="AU39" s="136">
        <v>0</v>
      </c>
    </row>
    <row r="40" spans="1:47" s="232" customFormat="1" ht="25.5" hidden="1" outlineLevel="2" x14ac:dyDescent="0.2">
      <c r="A40" s="267"/>
      <c r="B40" s="230" t="s">
        <v>339</v>
      </c>
      <c r="C40" s="231">
        <v>4</v>
      </c>
      <c r="D40" s="231">
        <v>0</v>
      </c>
      <c r="E40" s="231">
        <v>-4</v>
      </c>
      <c r="F40" s="231">
        <v>4811</v>
      </c>
      <c r="G40" s="231">
        <v>2283</v>
      </c>
      <c r="H40" s="231">
        <v>0</v>
      </c>
      <c r="I40" s="231">
        <f>6902-2283</f>
        <v>4619</v>
      </c>
      <c r="J40" s="231">
        <v>0</v>
      </c>
      <c r="K40" s="231">
        <v>0</v>
      </c>
      <c r="L40" s="231">
        <v>0</v>
      </c>
      <c r="M40" s="231">
        <v>0</v>
      </c>
      <c r="N40" s="231">
        <v>-3719</v>
      </c>
      <c r="O40" s="231">
        <v>0</v>
      </c>
      <c r="P40" s="231">
        <v>0</v>
      </c>
      <c r="Q40" s="231">
        <v>0</v>
      </c>
      <c r="R40" s="231">
        <v>0</v>
      </c>
      <c r="S40" s="231">
        <v>0</v>
      </c>
      <c r="T40" s="231">
        <v>0</v>
      </c>
      <c r="U40" s="231">
        <v>0</v>
      </c>
      <c r="V40" s="136">
        <v>0</v>
      </c>
      <c r="W40" s="136">
        <v>0</v>
      </c>
      <c r="X40" s="136">
        <v>0</v>
      </c>
      <c r="Y40" s="136">
        <v>0</v>
      </c>
      <c r="Z40" s="136">
        <v>0</v>
      </c>
      <c r="AA40" s="136">
        <v>0</v>
      </c>
      <c r="AB40" s="136">
        <v>0</v>
      </c>
      <c r="AC40" s="136">
        <v>0</v>
      </c>
      <c r="AD40" s="136">
        <v>0</v>
      </c>
      <c r="AE40" s="136">
        <v>0</v>
      </c>
      <c r="AF40" s="136">
        <v>0</v>
      </c>
      <c r="AG40" s="136">
        <v>0</v>
      </c>
      <c r="AH40" s="136">
        <v>0</v>
      </c>
      <c r="AI40" s="136">
        <v>0</v>
      </c>
      <c r="AJ40" s="136">
        <v>0</v>
      </c>
      <c r="AK40" s="136">
        <v>0</v>
      </c>
      <c r="AL40" s="136">
        <v>0</v>
      </c>
      <c r="AM40" s="136">
        <v>0</v>
      </c>
      <c r="AN40" s="136"/>
      <c r="AO40" s="136"/>
      <c r="AP40" s="136">
        <v>0</v>
      </c>
      <c r="AQ40" s="136"/>
      <c r="AR40" s="136">
        <v>0</v>
      </c>
      <c r="AS40" s="136">
        <v>0</v>
      </c>
      <c r="AT40" s="136">
        <v>0</v>
      </c>
      <c r="AU40" s="136">
        <v>0</v>
      </c>
    </row>
    <row r="41" spans="1:47" s="232" customFormat="1" hidden="1" outlineLevel="2" x14ac:dyDescent="0.2">
      <c r="A41" s="267"/>
      <c r="B41" s="230" t="s">
        <v>777</v>
      </c>
      <c r="C41" s="231">
        <v>0</v>
      </c>
      <c r="D41" s="231">
        <v>0</v>
      </c>
      <c r="E41" s="231">
        <v>0</v>
      </c>
      <c r="F41" s="231">
        <v>0</v>
      </c>
      <c r="G41" s="231">
        <v>0</v>
      </c>
      <c r="H41" s="231">
        <v>0</v>
      </c>
      <c r="I41" s="231">
        <v>0</v>
      </c>
      <c r="J41" s="231">
        <v>0</v>
      </c>
      <c r="K41" s="231">
        <v>0</v>
      </c>
      <c r="L41" s="231">
        <v>0</v>
      </c>
      <c r="M41" s="231">
        <v>-471</v>
      </c>
      <c r="N41" s="231">
        <v>0</v>
      </c>
      <c r="O41" s="231">
        <v>0</v>
      </c>
      <c r="P41" s="231">
        <v>0</v>
      </c>
      <c r="Q41" s="231">
        <v>0</v>
      </c>
      <c r="R41" s="231">
        <v>0</v>
      </c>
      <c r="S41" s="231">
        <v>0</v>
      </c>
      <c r="T41" s="231">
        <v>0</v>
      </c>
      <c r="U41" s="231">
        <v>0</v>
      </c>
      <c r="V41" s="136">
        <v>0</v>
      </c>
      <c r="W41" s="136">
        <v>0</v>
      </c>
      <c r="X41" s="136">
        <v>0</v>
      </c>
      <c r="Y41" s="136">
        <v>0</v>
      </c>
      <c r="Z41" s="136">
        <v>0</v>
      </c>
      <c r="AA41" s="136">
        <v>0</v>
      </c>
      <c r="AB41" s="136">
        <v>0</v>
      </c>
      <c r="AC41" s="136">
        <v>0</v>
      </c>
      <c r="AD41" s="136">
        <v>0</v>
      </c>
      <c r="AE41" s="136">
        <v>0</v>
      </c>
      <c r="AF41" s="136">
        <v>0</v>
      </c>
      <c r="AG41" s="136">
        <v>0</v>
      </c>
      <c r="AH41" s="136">
        <v>0</v>
      </c>
      <c r="AI41" s="136">
        <v>0</v>
      </c>
      <c r="AJ41" s="136">
        <v>0</v>
      </c>
      <c r="AK41" s="136">
        <v>0</v>
      </c>
      <c r="AL41" s="136">
        <v>0</v>
      </c>
      <c r="AM41" s="136">
        <v>0</v>
      </c>
      <c r="AN41" s="136"/>
      <c r="AO41" s="136"/>
      <c r="AP41" s="136">
        <v>0</v>
      </c>
      <c r="AQ41" s="136"/>
      <c r="AR41" s="136">
        <v>0</v>
      </c>
      <c r="AS41" s="136">
        <v>0</v>
      </c>
      <c r="AT41" s="136">
        <v>0</v>
      </c>
      <c r="AU41" s="136">
        <v>0</v>
      </c>
    </row>
    <row r="42" spans="1:47" s="232" customFormat="1" hidden="1" outlineLevel="2" x14ac:dyDescent="0.2">
      <c r="A42" s="267"/>
      <c r="B42" s="230" t="s">
        <v>338</v>
      </c>
      <c r="C42" s="231">
        <v>0</v>
      </c>
      <c r="D42" s="231">
        <v>0</v>
      </c>
      <c r="E42" s="231">
        <v>0</v>
      </c>
      <c r="F42" s="231">
        <v>0</v>
      </c>
      <c r="G42" s="231">
        <v>0</v>
      </c>
      <c r="H42" s="231">
        <v>0</v>
      </c>
      <c r="I42" s="231">
        <v>0</v>
      </c>
      <c r="J42" s="231">
        <v>0</v>
      </c>
      <c r="K42" s="231">
        <v>0</v>
      </c>
      <c r="L42" s="231">
        <v>223</v>
      </c>
      <c r="M42" s="231">
        <v>-223</v>
      </c>
      <c r="N42" s="231">
        <v>0</v>
      </c>
      <c r="O42" s="231">
        <v>0</v>
      </c>
      <c r="P42" s="231">
        <v>0</v>
      </c>
      <c r="Q42" s="231">
        <v>0</v>
      </c>
      <c r="R42" s="231">
        <v>0</v>
      </c>
      <c r="S42" s="231">
        <v>0</v>
      </c>
      <c r="T42" s="231">
        <v>0</v>
      </c>
      <c r="U42" s="231">
        <v>0</v>
      </c>
      <c r="V42" s="136">
        <v>0</v>
      </c>
      <c r="W42" s="136">
        <v>0</v>
      </c>
      <c r="X42" s="136">
        <v>0</v>
      </c>
      <c r="Y42" s="136">
        <v>0</v>
      </c>
      <c r="Z42" s="136">
        <v>0</v>
      </c>
      <c r="AA42" s="136">
        <v>0</v>
      </c>
      <c r="AB42" s="136">
        <v>0</v>
      </c>
      <c r="AC42" s="136">
        <v>0</v>
      </c>
      <c r="AD42" s="136">
        <v>0</v>
      </c>
      <c r="AE42" s="136">
        <v>0</v>
      </c>
      <c r="AF42" s="136">
        <v>0</v>
      </c>
      <c r="AG42" s="136">
        <v>0</v>
      </c>
      <c r="AH42" s="136">
        <v>0</v>
      </c>
      <c r="AI42" s="136">
        <v>0</v>
      </c>
      <c r="AJ42" s="136">
        <v>0</v>
      </c>
      <c r="AK42" s="136">
        <v>0</v>
      </c>
      <c r="AL42" s="136">
        <v>0</v>
      </c>
      <c r="AM42" s="136">
        <v>0</v>
      </c>
      <c r="AN42" s="136"/>
      <c r="AO42" s="136"/>
      <c r="AP42" s="136">
        <v>0</v>
      </c>
      <c r="AQ42" s="136"/>
      <c r="AR42" s="136">
        <v>0</v>
      </c>
      <c r="AS42" s="136">
        <v>0</v>
      </c>
      <c r="AT42" s="136">
        <v>0</v>
      </c>
      <c r="AU42" s="136">
        <v>0</v>
      </c>
    </row>
    <row r="43" spans="1:47" s="232" customFormat="1" hidden="1" outlineLevel="2" x14ac:dyDescent="0.2">
      <c r="A43" s="267"/>
      <c r="B43" s="230" t="s">
        <v>726</v>
      </c>
      <c r="C43" s="231">
        <v>110</v>
      </c>
      <c r="D43" s="231">
        <v>110</v>
      </c>
      <c r="E43" s="231">
        <v>-603</v>
      </c>
      <c r="F43" s="231">
        <v>-1730</v>
      </c>
      <c r="G43" s="231">
        <v>0</v>
      </c>
      <c r="H43" s="231">
        <v>-44</v>
      </c>
      <c r="I43" s="231">
        <v>0</v>
      </c>
      <c r="J43" s="231">
        <v>0</v>
      </c>
      <c r="K43" s="231">
        <v>0</v>
      </c>
      <c r="L43" s="231">
        <v>0</v>
      </c>
      <c r="M43" s="231">
        <v>0</v>
      </c>
      <c r="N43" s="231">
        <v>0</v>
      </c>
      <c r="O43" s="231">
        <v>0</v>
      </c>
      <c r="P43" s="231">
        <v>0</v>
      </c>
      <c r="Q43" s="231">
        <v>0</v>
      </c>
      <c r="R43" s="231">
        <v>0</v>
      </c>
      <c r="S43" s="231">
        <v>0</v>
      </c>
      <c r="T43" s="231">
        <v>0</v>
      </c>
      <c r="U43" s="231">
        <v>0</v>
      </c>
      <c r="V43" s="136">
        <v>0</v>
      </c>
      <c r="W43" s="136">
        <v>0</v>
      </c>
      <c r="X43" s="136">
        <v>0</v>
      </c>
      <c r="Y43" s="136">
        <v>0</v>
      </c>
      <c r="Z43" s="136">
        <v>0</v>
      </c>
      <c r="AA43" s="136">
        <v>0</v>
      </c>
      <c r="AB43" s="136">
        <v>0</v>
      </c>
      <c r="AC43" s="136">
        <v>0</v>
      </c>
      <c r="AD43" s="136">
        <v>0</v>
      </c>
      <c r="AE43" s="136">
        <v>0</v>
      </c>
      <c r="AF43" s="136">
        <v>0</v>
      </c>
      <c r="AG43" s="136">
        <v>0</v>
      </c>
      <c r="AH43" s="136">
        <v>0</v>
      </c>
      <c r="AI43" s="136">
        <v>0</v>
      </c>
      <c r="AJ43" s="136">
        <v>0</v>
      </c>
      <c r="AK43" s="136">
        <v>0</v>
      </c>
      <c r="AL43" s="136">
        <v>0</v>
      </c>
      <c r="AM43" s="136">
        <v>0</v>
      </c>
      <c r="AN43" s="136"/>
      <c r="AO43" s="136"/>
      <c r="AP43" s="136">
        <v>0</v>
      </c>
      <c r="AQ43" s="136"/>
      <c r="AR43" s="136">
        <v>0</v>
      </c>
      <c r="AS43" s="136">
        <v>0</v>
      </c>
      <c r="AT43" s="136">
        <v>0</v>
      </c>
      <c r="AU43" s="136">
        <v>0</v>
      </c>
    </row>
    <row r="44" spans="1:47" s="232" customFormat="1" hidden="1" outlineLevel="2" x14ac:dyDescent="0.2">
      <c r="A44" s="267"/>
      <c r="B44" s="230" t="s">
        <v>338</v>
      </c>
      <c r="C44" s="231" t="s">
        <v>160</v>
      </c>
      <c r="D44" s="231" t="s">
        <v>160</v>
      </c>
      <c r="E44" s="231" t="s">
        <v>160</v>
      </c>
      <c r="F44" s="231" t="s">
        <v>160</v>
      </c>
      <c r="G44" s="231" t="s">
        <v>160</v>
      </c>
      <c r="H44" s="231" t="s">
        <v>160</v>
      </c>
      <c r="I44" s="231" t="s">
        <v>160</v>
      </c>
      <c r="J44" s="231" t="s">
        <v>160</v>
      </c>
      <c r="K44" s="231" t="s">
        <v>160</v>
      </c>
      <c r="L44" s="231" t="s">
        <v>160</v>
      </c>
      <c r="M44" s="231" t="s">
        <v>160</v>
      </c>
      <c r="N44" s="231" t="s">
        <v>160</v>
      </c>
      <c r="O44" s="231">
        <v>0</v>
      </c>
      <c r="P44" s="231">
        <v>0</v>
      </c>
      <c r="Q44" s="231">
        <v>0</v>
      </c>
      <c r="R44" s="231">
        <v>0</v>
      </c>
      <c r="S44" s="231">
        <v>0</v>
      </c>
      <c r="T44" s="231">
        <v>0</v>
      </c>
      <c r="U44" s="231">
        <v>0</v>
      </c>
      <c r="V44" s="136" t="s">
        <v>160</v>
      </c>
      <c r="W44" s="136" t="s">
        <v>160</v>
      </c>
      <c r="X44" s="136">
        <v>0</v>
      </c>
      <c r="Y44" s="136" t="s">
        <v>160</v>
      </c>
      <c r="Z44" s="136" t="s">
        <v>160</v>
      </c>
      <c r="AA44" s="136" t="s">
        <v>160</v>
      </c>
      <c r="AB44" s="136" t="s">
        <v>160</v>
      </c>
      <c r="AC44" s="136" t="s">
        <v>160</v>
      </c>
      <c r="AD44" s="136" t="s">
        <v>160</v>
      </c>
      <c r="AE44" s="136" t="s">
        <v>160</v>
      </c>
      <c r="AF44" s="136" t="s">
        <v>160</v>
      </c>
      <c r="AG44" s="136" t="s">
        <v>160</v>
      </c>
      <c r="AH44" s="136" t="s">
        <v>160</v>
      </c>
      <c r="AI44" s="136" t="s">
        <v>160</v>
      </c>
      <c r="AJ44" s="136" t="s">
        <v>160</v>
      </c>
      <c r="AK44" s="136" t="s">
        <v>160</v>
      </c>
      <c r="AL44" s="136" t="s">
        <v>160</v>
      </c>
      <c r="AM44" s="136" t="s">
        <v>160</v>
      </c>
      <c r="AN44" s="136"/>
      <c r="AO44" s="136"/>
      <c r="AP44" s="136" t="s">
        <v>160</v>
      </c>
      <c r="AQ44" s="136"/>
      <c r="AR44" s="136" t="s">
        <v>160</v>
      </c>
      <c r="AS44" s="136" t="s">
        <v>160</v>
      </c>
      <c r="AT44" s="136" t="s">
        <v>160</v>
      </c>
      <c r="AU44" s="136" t="s">
        <v>160</v>
      </c>
    </row>
    <row r="45" spans="1:47" collapsed="1" x14ac:dyDescent="0.2">
      <c r="B45" s="133" t="s">
        <v>342</v>
      </c>
      <c r="C45" s="134">
        <f t="shared" ref="C45:AF45" si="26">SUM(C19:C44)</f>
        <v>21084</v>
      </c>
      <c r="D45" s="134">
        <f t="shared" si="26"/>
        <v>11282</v>
      </c>
      <c r="E45" s="134">
        <f t="shared" si="26"/>
        <v>31292.771509999999</v>
      </c>
      <c r="F45" s="134">
        <f t="shared" si="26"/>
        <v>32318.656905399999</v>
      </c>
      <c r="G45" s="134">
        <f t="shared" si="26"/>
        <v>24632</v>
      </c>
      <c r="H45" s="134">
        <f t="shared" si="26"/>
        <v>23743</v>
      </c>
      <c r="I45" s="134">
        <f t="shared" si="26"/>
        <v>28797.809110000002</v>
      </c>
      <c r="J45" s="134">
        <f t="shared" si="26"/>
        <v>31356.060149999998</v>
      </c>
      <c r="K45" s="134">
        <f t="shared" si="26"/>
        <v>20454.916000000001</v>
      </c>
      <c r="L45" s="134">
        <f t="shared" si="26"/>
        <v>28177.644100000001</v>
      </c>
      <c r="M45" s="134">
        <f t="shared" si="26"/>
        <v>35557.583459999994</v>
      </c>
      <c r="N45" s="134">
        <f t="shared" si="26"/>
        <v>-17212.345209999999</v>
      </c>
      <c r="O45" s="134">
        <f t="shared" si="26"/>
        <v>28755</v>
      </c>
      <c r="P45" s="134">
        <f t="shared" si="26"/>
        <v>20278.126060000053</v>
      </c>
      <c r="Q45" s="134">
        <f t="shared" si="26"/>
        <v>23586.733370000002</v>
      </c>
      <c r="R45" s="134">
        <f t="shared" si="26"/>
        <v>31918.21617</v>
      </c>
      <c r="S45" s="134">
        <f t="shared" si="26"/>
        <v>35941.739759999997</v>
      </c>
      <c r="T45" s="134">
        <f t="shared" si="26"/>
        <v>31601.942029999998</v>
      </c>
      <c r="U45" s="134">
        <f t="shared" si="26"/>
        <v>-26788.485550000005</v>
      </c>
      <c r="V45" s="134">
        <f t="shared" si="26"/>
        <v>32419.300579999999</v>
      </c>
      <c r="W45" s="134">
        <f t="shared" si="26"/>
        <v>28775.968930000003</v>
      </c>
      <c r="X45" s="134">
        <f t="shared" si="26"/>
        <v>13268.356110000001</v>
      </c>
      <c r="Y45" s="134">
        <f t="shared" si="26"/>
        <v>32325.130280000001</v>
      </c>
      <c r="Z45" s="134">
        <f t="shared" si="26"/>
        <v>29176.342360000002</v>
      </c>
      <c r="AA45" s="134">
        <f t="shared" si="26"/>
        <v>21667</v>
      </c>
      <c r="AB45" s="134">
        <f t="shared" si="26"/>
        <v>10496</v>
      </c>
      <c r="AC45" s="134">
        <f t="shared" si="26"/>
        <v>13088</v>
      </c>
      <c r="AD45" s="134">
        <f t="shared" si="26"/>
        <v>17722</v>
      </c>
      <c r="AE45" s="134">
        <f t="shared" si="26"/>
        <v>17759</v>
      </c>
      <c r="AF45" s="134">
        <f t="shared" si="26"/>
        <v>14440</v>
      </c>
      <c r="AG45" s="134">
        <f t="shared" ref="AG45:AR45" si="27">SUM(AG19:AG44)</f>
        <v>17249</v>
      </c>
      <c r="AH45" s="134">
        <f t="shared" si="27"/>
        <v>6510</v>
      </c>
      <c r="AI45" s="134">
        <f t="shared" si="27"/>
        <v>11318</v>
      </c>
      <c r="AJ45" s="134">
        <f t="shared" si="27"/>
        <v>18586</v>
      </c>
      <c r="AK45" s="134">
        <f t="shared" si="27"/>
        <v>12834</v>
      </c>
      <c r="AL45" s="134">
        <f t="shared" si="27"/>
        <v>17258</v>
      </c>
      <c r="AM45" s="134">
        <f t="shared" si="27"/>
        <v>16570</v>
      </c>
      <c r="AN45" s="134">
        <f t="shared" si="27"/>
        <v>7181</v>
      </c>
      <c r="AO45" s="134">
        <f t="shared" si="27"/>
        <v>11313</v>
      </c>
      <c r="AP45" s="134">
        <f t="shared" si="27"/>
        <v>15869</v>
      </c>
      <c r="AQ45" s="134">
        <f t="shared" si="27"/>
        <v>21388</v>
      </c>
      <c r="AR45" s="134">
        <f t="shared" si="27"/>
        <v>10185</v>
      </c>
      <c r="AS45" s="134">
        <f>SUM(AS19:AS44)</f>
        <v>12827</v>
      </c>
      <c r="AT45" s="134">
        <f>SUM(AT19:AT44)</f>
        <v>25313</v>
      </c>
      <c r="AU45" s="134">
        <f>SUM(AU19:AU44)</f>
        <v>21603</v>
      </c>
    </row>
    <row r="46" spans="1:47" x14ac:dyDescent="0.2">
      <c r="A46" s="267" t="s">
        <v>36</v>
      </c>
      <c r="B46" s="221" t="s">
        <v>36</v>
      </c>
      <c r="C46" s="136">
        <v>66929</v>
      </c>
      <c r="D46" s="136">
        <v>-34459</v>
      </c>
      <c r="E46" s="136">
        <v>38406</v>
      </c>
      <c r="F46" s="136">
        <f>-6072-1.1534299999621</f>
        <v>-6073.1534299999621</v>
      </c>
      <c r="G46" s="136">
        <v>57721</v>
      </c>
      <c r="H46" s="136">
        <f>-9385+0.328629999979967</f>
        <v>-9384.67137000002</v>
      </c>
      <c r="I46" s="136">
        <v>12715</v>
      </c>
      <c r="J46" s="136">
        <v>-28573</v>
      </c>
      <c r="K46" s="136">
        <v>37956</v>
      </c>
      <c r="L46" s="136">
        <v>-7089</v>
      </c>
      <c r="M46" s="136">
        <v>-14113</v>
      </c>
      <c r="N46" s="136">
        <v>-33772</v>
      </c>
      <c r="O46" s="136">
        <v>18432</v>
      </c>
      <c r="P46" s="136">
        <v>-25427</v>
      </c>
      <c r="Q46" s="136">
        <v>-14881</v>
      </c>
      <c r="R46" s="136">
        <v>-37496</v>
      </c>
      <c r="S46" s="136">
        <v>23546</v>
      </c>
      <c r="T46" s="136">
        <v>-11781</v>
      </c>
      <c r="U46" s="136">
        <v>-7027.9344200001142</v>
      </c>
      <c r="V46" s="136">
        <v>-37575</v>
      </c>
      <c r="W46" s="136">
        <v>52801</v>
      </c>
      <c r="X46" s="136">
        <v>80939</v>
      </c>
      <c r="Y46" s="136">
        <v>-72384</v>
      </c>
      <c r="Z46" s="136">
        <v>-12387</v>
      </c>
      <c r="AA46" s="136">
        <v>42871</v>
      </c>
      <c r="AB46" s="136">
        <v>-28006</v>
      </c>
      <c r="AC46" s="136">
        <v>357</v>
      </c>
      <c r="AD46" s="136">
        <v>-106892</v>
      </c>
      <c r="AE46" s="136">
        <v>78857</v>
      </c>
      <c r="AF46" s="136">
        <v>-43097</v>
      </c>
      <c r="AG46" s="136">
        <v>-22593</v>
      </c>
      <c r="AH46" s="136">
        <v>-24978</v>
      </c>
      <c r="AI46" s="136">
        <v>53735</v>
      </c>
      <c r="AJ46" s="136">
        <v>-4576</v>
      </c>
      <c r="AK46" s="136">
        <v>-16959</v>
      </c>
      <c r="AL46" s="136">
        <v>-64789</v>
      </c>
      <c r="AM46" s="136">
        <v>51296</v>
      </c>
      <c r="AN46" s="136">
        <v>-48947</v>
      </c>
      <c r="AO46" s="136">
        <v>-53222</v>
      </c>
      <c r="AP46" s="136">
        <v>-44717</v>
      </c>
      <c r="AQ46" s="136">
        <v>108807</v>
      </c>
      <c r="AR46" s="136">
        <v>-37102</v>
      </c>
      <c r="AS46" s="136">
        <v>-51726</v>
      </c>
      <c r="AT46" s="136">
        <v>-23096</v>
      </c>
      <c r="AU46" s="136">
        <v>28979</v>
      </c>
    </row>
    <row r="47" spans="1:47" x14ac:dyDescent="0.2">
      <c r="B47" s="135" t="s">
        <v>19</v>
      </c>
      <c r="C47" s="136">
        <v>-1060.0000000000009</v>
      </c>
      <c r="D47" s="136">
        <v>-5834.9999999999991</v>
      </c>
      <c r="E47" s="136">
        <v>2528</v>
      </c>
      <c r="F47" s="136">
        <v>-5956</v>
      </c>
      <c r="G47" s="136">
        <v>3337</v>
      </c>
      <c r="H47" s="136">
        <v>2644</v>
      </c>
      <c r="I47" s="136">
        <v>825</v>
      </c>
      <c r="J47" s="136">
        <f>-3970-0.167470000014873</f>
        <v>-3970.1674700000149</v>
      </c>
      <c r="K47" s="136">
        <v>-2387</v>
      </c>
      <c r="L47" s="333">
        <v>-16288</v>
      </c>
      <c r="M47" s="136">
        <v>5716.9661399999986</v>
      </c>
      <c r="N47" s="136">
        <v>4131.0338600000014</v>
      </c>
      <c r="O47" s="136">
        <v>13519</v>
      </c>
      <c r="P47" s="136">
        <v>5015</v>
      </c>
      <c r="Q47" s="136">
        <v>-539</v>
      </c>
      <c r="R47" s="136">
        <v>-392</v>
      </c>
      <c r="S47" s="136">
        <v>-721</v>
      </c>
      <c r="T47" s="136">
        <v>-851</v>
      </c>
      <c r="U47" s="136">
        <v>449</v>
      </c>
      <c r="V47" s="136">
        <v>-265</v>
      </c>
      <c r="W47" s="136">
        <v>10914</v>
      </c>
      <c r="X47" s="136">
        <v>-376</v>
      </c>
      <c r="Y47" s="136">
        <v>10810</v>
      </c>
      <c r="Z47" s="136">
        <v>10777</v>
      </c>
      <c r="AA47" s="136">
        <v>2424</v>
      </c>
      <c r="AB47" s="136">
        <f>-22167+17956</f>
        <v>-4211</v>
      </c>
      <c r="AC47" s="136">
        <v>823</v>
      </c>
      <c r="AD47" s="136">
        <f>3987-SUM(AA47:AC47)</f>
        <v>4951</v>
      </c>
      <c r="AE47" s="136">
        <v>3119</v>
      </c>
      <c r="AF47" s="136">
        <v>9468</v>
      </c>
      <c r="AG47" s="136">
        <v>29264</v>
      </c>
      <c r="AH47" s="136">
        <v>15980</v>
      </c>
      <c r="AI47" s="136">
        <v>13876</v>
      </c>
      <c r="AJ47" s="136">
        <v>5332</v>
      </c>
      <c r="AK47" s="136">
        <v>18505</v>
      </c>
      <c r="AL47" s="136">
        <v>16682</v>
      </c>
      <c r="AM47" s="136">
        <v>11743</v>
      </c>
      <c r="AN47" s="136">
        <v>22211</v>
      </c>
      <c r="AO47" s="136">
        <v>37291</v>
      </c>
      <c r="AP47" s="136">
        <v>32839</v>
      </c>
      <c r="AQ47" s="136">
        <v>11009</v>
      </c>
      <c r="AR47" s="136">
        <v>23376</v>
      </c>
      <c r="AS47" s="136">
        <v>31612</v>
      </c>
      <c r="AT47" s="136">
        <v>-77492</v>
      </c>
      <c r="AU47" s="136">
        <v>5694</v>
      </c>
    </row>
    <row r="48" spans="1:47" x14ac:dyDescent="0.2">
      <c r="A48" s="267" t="s">
        <v>27</v>
      </c>
      <c r="B48" s="221" t="s">
        <v>27</v>
      </c>
      <c r="C48" s="136">
        <v>-894</v>
      </c>
      <c r="D48" s="136">
        <v>-545</v>
      </c>
      <c r="E48" s="136">
        <f>-344+0.0798300000460586</f>
        <v>-343.92016999995394</v>
      </c>
      <c r="F48" s="136">
        <v>5617</v>
      </c>
      <c r="G48" s="136">
        <v>-329</v>
      </c>
      <c r="H48" s="136">
        <v>59</v>
      </c>
      <c r="I48" s="136">
        <v>550</v>
      </c>
      <c r="J48" s="136">
        <v>62</v>
      </c>
      <c r="K48" s="136">
        <v>994</v>
      </c>
      <c r="L48" s="136">
        <v>2594</v>
      </c>
      <c r="M48" s="136">
        <v>-6318.2797</v>
      </c>
      <c r="N48" s="136">
        <v>2055.2797</v>
      </c>
      <c r="O48" s="136">
        <v>-419</v>
      </c>
      <c r="P48" s="136">
        <v>-730</v>
      </c>
      <c r="Q48" s="136">
        <v>-412</v>
      </c>
      <c r="R48" s="136">
        <v>-369</v>
      </c>
      <c r="S48" s="136">
        <v>-467</v>
      </c>
      <c r="T48" s="136">
        <v>-745</v>
      </c>
      <c r="U48" s="136">
        <v>-2415</v>
      </c>
      <c r="V48" s="136">
        <v>-109</v>
      </c>
      <c r="W48" s="136">
        <v>-595</v>
      </c>
      <c r="X48" s="136">
        <v>216</v>
      </c>
      <c r="Y48" s="136">
        <v>-160</v>
      </c>
      <c r="Z48" s="136">
        <v>-381</v>
      </c>
      <c r="AA48" s="136">
        <v>-232</v>
      </c>
      <c r="AB48" s="136">
        <v>-26</v>
      </c>
      <c r="AC48" s="136">
        <v>104</v>
      </c>
      <c r="AD48" s="136">
        <v>-237</v>
      </c>
      <c r="AE48" s="136">
        <v>-1046</v>
      </c>
      <c r="AF48" s="136">
        <v>55</v>
      </c>
      <c r="AG48" s="136">
        <v>1251</v>
      </c>
      <c r="AH48" s="136">
        <v>-246</v>
      </c>
      <c r="AI48" s="136">
        <v>-215</v>
      </c>
      <c r="AJ48" s="136">
        <v>-48</v>
      </c>
      <c r="AK48" s="136">
        <v>-124</v>
      </c>
      <c r="AL48" s="136">
        <v>-636</v>
      </c>
      <c r="AM48" s="136">
        <v>-244</v>
      </c>
      <c r="AN48" s="136">
        <v>-1935</v>
      </c>
      <c r="AO48" s="136">
        <v>-335</v>
      </c>
      <c r="AP48" s="136">
        <v>208</v>
      </c>
      <c r="AQ48" s="136">
        <v>186</v>
      </c>
      <c r="AR48" s="136">
        <v>275</v>
      </c>
      <c r="AS48" s="136">
        <v>338</v>
      </c>
      <c r="AT48" s="136">
        <v>-423</v>
      </c>
      <c r="AU48" s="136">
        <v>-376</v>
      </c>
    </row>
    <row r="49" spans="1:47" x14ac:dyDescent="0.2">
      <c r="B49" s="135" t="s">
        <v>343</v>
      </c>
      <c r="C49" s="136">
        <v>-4070</v>
      </c>
      <c r="D49" s="136">
        <v>724.00000000000023</v>
      </c>
      <c r="E49" s="136">
        <v>5157</v>
      </c>
      <c r="F49" s="136">
        <v>3711</v>
      </c>
      <c r="G49" s="136">
        <v>-2445</v>
      </c>
      <c r="H49" s="136">
        <v>6657</v>
      </c>
      <c r="I49" s="136">
        <v>2837</v>
      </c>
      <c r="J49" s="136">
        <v>3916</v>
      </c>
      <c r="K49" s="136">
        <v>-7186</v>
      </c>
      <c r="L49" s="136">
        <v>4139</v>
      </c>
      <c r="M49" s="333">
        <v>4963.43</v>
      </c>
      <c r="N49" s="136">
        <v>4310.0006700000267</v>
      </c>
      <c r="O49" s="136">
        <v>-6925</v>
      </c>
      <c r="P49" s="136">
        <v>-664</v>
      </c>
      <c r="Q49" s="136">
        <v>-403</v>
      </c>
      <c r="R49" s="136">
        <v>-1254</v>
      </c>
      <c r="S49" s="136">
        <v>-1059</v>
      </c>
      <c r="T49" s="136">
        <v>-328</v>
      </c>
      <c r="U49" s="333">
        <v>2539</v>
      </c>
      <c r="V49" s="136">
        <v>3581</v>
      </c>
      <c r="W49" s="136">
        <v>-3414</v>
      </c>
      <c r="X49" s="136">
        <v>-961</v>
      </c>
      <c r="Y49" s="136">
        <v>-1</v>
      </c>
      <c r="Z49" s="136">
        <v>1815</v>
      </c>
      <c r="AA49" s="136">
        <v>-4683</v>
      </c>
      <c r="AB49" s="136">
        <v>2467</v>
      </c>
      <c r="AC49" s="136">
        <v>797</v>
      </c>
      <c r="AD49" s="136">
        <v>-179</v>
      </c>
      <c r="AE49" s="136">
        <v>-950</v>
      </c>
      <c r="AF49" s="136">
        <v>27</v>
      </c>
      <c r="AG49" s="136">
        <v>-12816</v>
      </c>
      <c r="AH49" s="136">
        <v>6066</v>
      </c>
      <c r="AI49" s="136">
        <v>660</v>
      </c>
      <c r="AJ49" s="136">
        <v>1518</v>
      </c>
      <c r="AK49" s="136">
        <v>-1303</v>
      </c>
      <c r="AL49" s="136">
        <v>809</v>
      </c>
      <c r="AM49" s="136">
        <v>2116</v>
      </c>
      <c r="AN49" s="136">
        <v>-1449</v>
      </c>
      <c r="AO49" s="136">
        <v>-3081</v>
      </c>
      <c r="AP49" s="136">
        <v>-2453</v>
      </c>
      <c r="AQ49" s="136">
        <v>-4720</v>
      </c>
      <c r="AR49" s="136">
        <v>4019</v>
      </c>
      <c r="AS49" s="136">
        <v>-24618</v>
      </c>
      <c r="AT49" s="136">
        <v>290</v>
      </c>
      <c r="AU49" s="136">
        <v>2505</v>
      </c>
    </row>
    <row r="50" spans="1:47" x14ac:dyDescent="0.2">
      <c r="B50" s="135" t="s">
        <v>164</v>
      </c>
      <c r="C50" s="136">
        <v>-3423</v>
      </c>
      <c r="D50" s="136">
        <v>-9275</v>
      </c>
      <c r="E50" s="136">
        <v>293</v>
      </c>
      <c r="F50" s="136">
        <v>5915</v>
      </c>
      <c r="G50" s="136">
        <v>-11500</v>
      </c>
      <c r="H50" s="136">
        <v>-3013</v>
      </c>
      <c r="I50" s="136">
        <f>1508-0.364409999976488</f>
        <v>1507.6355900000235</v>
      </c>
      <c r="J50" s="136">
        <v>10765</v>
      </c>
      <c r="K50" s="136">
        <f>-19975-1348-172.122</f>
        <v>-21495.121999999999</v>
      </c>
      <c r="L50" s="136">
        <f>46-1242-271.15-35.6</f>
        <v>-1502.75</v>
      </c>
      <c r="M50" s="136">
        <v>4221.6201199999996</v>
      </c>
      <c r="N50" s="136">
        <v>6471.2518799999998</v>
      </c>
      <c r="O50" s="136">
        <v>-2459</v>
      </c>
      <c r="P50" s="136">
        <v>-5047</v>
      </c>
      <c r="Q50" s="136">
        <v>3542</v>
      </c>
      <c r="R50" s="136">
        <v>7025</v>
      </c>
      <c r="S50" s="136">
        <v>-2031</v>
      </c>
      <c r="T50" s="136">
        <v>-1232</v>
      </c>
      <c r="U50" s="136">
        <v>-1019</v>
      </c>
      <c r="V50" s="136">
        <v>6599</v>
      </c>
      <c r="W50" s="136">
        <v>-14917</v>
      </c>
      <c r="X50" s="136">
        <v>-3851</v>
      </c>
      <c r="Y50" s="136">
        <v>11326</v>
      </c>
      <c r="Z50" s="136">
        <v>1666</v>
      </c>
      <c r="AA50" s="136">
        <v>-5557</v>
      </c>
      <c r="AB50" s="136">
        <v>4194</v>
      </c>
      <c r="AC50" s="136">
        <v>7429</v>
      </c>
      <c r="AD50" s="136">
        <v>9279</v>
      </c>
      <c r="AE50" s="136">
        <v>-7153</v>
      </c>
      <c r="AF50" s="136">
        <v>-8279</v>
      </c>
      <c r="AG50" s="136">
        <v>-4515</v>
      </c>
      <c r="AH50" s="136">
        <v>6611</v>
      </c>
      <c r="AI50" s="136">
        <v>1484</v>
      </c>
      <c r="AJ50" s="136">
        <v>-1237</v>
      </c>
      <c r="AK50" s="136">
        <v>5107</v>
      </c>
      <c r="AL50" s="136">
        <v>4401</v>
      </c>
      <c r="AM50" s="136">
        <v>-4058</v>
      </c>
      <c r="AN50" s="136">
        <v>10355</v>
      </c>
      <c r="AO50" s="136">
        <v>-3860</v>
      </c>
      <c r="AP50" s="136">
        <v>9556</v>
      </c>
      <c r="AQ50" s="136">
        <v>-13890</v>
      </c>
      <c r="AR50" s="136">
        <v>3222</v>
      </c>
      <c r="AS50" s="136">
        <v>6841</v>
      </c>
      <c r="AT50" s="136">
        <v>-2141</v>
      </c>
      <c r="AU50" s="136">
        <v>15042</v>
      </c>
    </row>
    <row r="51" spans="1:47" x14ac:dyDescent="0.2">
      <c r="B51" s="135" t="s">
        <v>20</v>
      </c>
      <c r="C51" s="136">
        <v>-1435</v>
      </c>
      <c r="D51" s="136">
        <v>-2526</v>
      </c>
      <c r="E51" s="136">
        <v>3275</v>
      </c>
      <c r="F51" s="136">
        <v>-1134</v>
      </c>
      <c r="G51" s="136">
        <v>-2625</v>
      </c>
      <c r="H51" s="136">
        <v>1245</v>
      </c>
      <c r="I51" s="136">
        <v>3295</v>
      </c>
      <c r="J51" s="136">
        <v>-4334</v>
      </c>
      <c r="K51" s="136">
        <v>173</v>
      </c>
      <c r="L51" s="136">
        <v>335</v>
      </c>
      <c r="M51" s="136">
        <v>4102.7799199999999</v>
      </c>
      <c r="N51" s="136">
        <v>-1991.7799199999999</v>
      </c>
      <c r="O51" s="136">
        <v>-2702</v>
      </c>
      <c r="P51" s="136">
        <v>1628</v>
      </c>
      <c r="Q51" s="136">
        <v>4050</v>
      </c>
      <c r="R51" s="136">
        <v>-2079</v>
      </c>
      <c r="S51" s="136">
        <v>-3663</v>
      </c>
      <c r="T51" s="136">
        <v>3670</v>
      </c>
      <c r="U51" s="136">
        <v>3894</v>
      </c>
      <c r="V51" s="136">
        <v>-1899</v>
      </c>
      <c r="W51" s="136">
        <v>-4263</v>
      </c>
      <c r="X51" s="136">
        <v>2867</v>
      </c>
      <c r="Y51" s="136">
        <v>1262</v>
      </c>
      <c r="Z51" s="136">
        <v>-5388</v>
      </c>
      <c r="AA51" s="136">
        <v>-2726</v>
      </c>
      <c r="AB51" s="136">
        <v>3727</v>
      </c>
      <c r="AC51" s="136">
        <v>3857</v>
      </c>
      <c r="AD51" s="136">
        <v>-1143</v>
      </c>
      <c r="AE51" s="136">
        <v>-4197</v>
      </c>
      <c r="AF51" s="136">
        <v>2589</v>
      </c>
      <c r="AG51" s="136">
        <v>4130</v>
      </c>
      <c r="AH51" s="136">
        <v>-632</v>
      </c>
      <c r="AI51" s="136">
        <v>-3778</v>
      </c>
      <c r="AJ51" s="136">
        <v>5054</v>
      </c>
      <c r="AK51" s="136">
        <v>4744</v>
      </c>
      <c r="AL51" s="136">
        <v>-2152</v>
      </c>
      <c r="AM51" s="136">
        <v>-5004</v>
      </c>
      <c r="AN51" s="136">
        <v>4905</v>
      </c>
      <c r="AO51" s="136">
        <v>5729</v>
      </c>
      <c r="AP51" s="136">
        <v>-2429</v>
      </c>
      <c r="AQ51" s="136">
        <v>-3947</v>
      </c>
      <c r="AR51" s="136">
        <v>8075</v>
      </c>
      <c r="AS51" s="136">
        <v>6636</v>
      </c>
      <c r="AT51" s="136">
        <v>-1660</v>
      </c>
      <c r="AU51" s="136">
        <v>-5155</v>
      </c>
    </row>
    <row r="52" spans="1:47" x14ac:dyDescent="0.2">
      <c r="B52" s="135" t="s">
        <v>25</v>
      </c>
      <c r="C52" s="136">
        <v>0</v>
      </c>
      <c r="D52" s="136">
        <v>11200</v>
      </c>
      <c r="E52" s="136">
        <v>6222</v>
      </c>
      <c r="F52" s="136">
        <v>-648</v>
      </c>
      <c r="G52" s="136">
        <v>1162</v>
      </c>
      <c r="H52" s="136">
        <v>162</v>
      </c>
      <c r="I52" s="136">
        <v>-5395</v>
      </c>
      <c r="J52" s="136">
        <v>265</v>
      </c>
      <c r="K52" s="136">
        <v>287</v>
      </c>
      <c r="L52" s="136">
        <v>-225</v>
      </c>
      <c r="M52" s="136">
        <v>-208</v>
      </c>
      <c r="N52" s="136">
        <v>-154</v>
      </c>
      <c r="O52" s="136">
        <v>-565</v>
      </c>
      <c r="P52" s="136">
        <v>52</v>
      </c>
      <c r="Q52" s="136">
        <v>0</v>
      </c>
      <c r="R52" s="136">
        <v>702</v>
      </c>
      <c r="S52" s="136">
        <v>-937</v>
      </c>
      <c r="T52" s="333">
        <v>13519</v>
      </c>
      <c r="U52" s="136">
        <v>1885</v>
      </c>
      <c r="V52" s="136">
        <v>-169</v>
      </c>
      <c r="W52" s="136">
        <v>203</v>
      </c>
      <c r="X52" s="136">
        <v>492</v>
      </c>
      <c r="Y52" s="136">
        <v>-125</v>
      </c>
      <c r="Z52" s="136">
        <v>-50</v>
      </c>
      <c r="AA52" s="136">
        <v>-84</v>
      </c>
      <c r="AB52" s="136">
        <v>100</v>
      </c>
      <c r="AC52" s="136">
        <v>415</v>
      </c>
      <c r="AD52" s="136">
        <v>-283</v>
      </c>
      <c r="AE52" s="136">
        <v>-36</v>
      </c>
      <c r="AF52" s="136">
        <v>64</v>
      </c>
      <c r="AG52" s="136">
        <v>27</v>
      </c>
      <c r="AH52" s="136">
        <v>496</v>
      </c>
      <c r="AI52" s="136">
        <v>-73</v>
      </c>
      <c r="AJ52" s="136">
        <v>-215</v>
      </c>
      <c r="AK52" s="136">
        <v>51</v>
      </c>
      <c r="AL52" s="136">
        <v>51</v>
      </c>
      <c r="AM52" s="136">
        <v>338</v>
      </c>
      <c r="AN52" s="136">
        <v>-318</v>
      </c>
      <c r="AO52" s="136">
        <v>-617</v>
      </c>
      <c r="AP52" s="136">
        <v>282</v>
      </c>
      <c r="AQ52" s="136">
        <v>-34</v>
      </c>
      <c r="AR52" s="136">
        <v>-71</v>
      </c>
      <c r="AS52" s="136">
        <v>6548</v>
      </c>
      <c r="AT52" s="136">
        <v>18</v>
      </c>
      <c r="AU52" s="136">
        <v>284</v>
      </c>
    </row>
    <row r="53" spans="1:47" x14ac:dyDescent="0.2">
      <c r="B53" s="135" t="s">
        <v>727</v>
      </c>
      <c r="C53" s="136">
        <v>-13513</v>
      </c>
      <c r="D53" s="136">
        <v>2208.9999999999995</v>
      </c>
      <c r="E53" s="136">
        <v>-8236</v>
      </c>
      <c r="F53" s="136">
        <v>8964</v>
      </c>
      <c r="G53" s="136">
        <v>995</v>
      </c>
      <c r="H53" s="136">
        <v>-7865</v>
      </c>
      <c r="I53" s="136">
        <v>-3086</v>
      </c>
      <c r="J53" s="136">
        <v>3421</v>
      </c>
      <c r="K53" s="136">
        <v>1442</v>
      </c>
      <c r="L53" s="136">
        <v>-1976</v>
      </c>
      <c r="M53" s="136">
        <v>2616</v>
      </c>
      <c r="N53" s="136">
        <v>8107</v>
      </c>
      <c r="O53" s="136">
        <v>-3378</v>
      </c>
      <c r="P53" s="136">
        <v>551</v>
      </c>
      <c r="Q53" s="136">
        <v>3018</v>
      </c>
      <c r="R53" s="136">
        <v>5637</v>
      </c>
      <c r="S53" s="136">
        <f>-7809-1.14476999998442</f>
        <v>-7810.1447699999844</v>
      </c>
      <c r="T53" s="136">
        <v>1619</v>
      </c>
      <c r="U53" s="136">
        <v>7385.1447699999844</v>
      </c>
      <c r="V53" s="136">
        <v>-223</v>
      </c>
      <c r="W53" s="136">
        <v>-5412</v>
      </c>
      <c r="X53" s="136">
        <v>3024</v>
      </c>
      <c r="Y53" s="136">
        <v>994</v>
      </c>
      <c r="Z53" s="136">
        <v>-857</v>
      </c>
      <c r="AA53" s="136">
        <v>-4032</v>
      </c>
      <c r="AB53" s="136">
        <v>4616</v>
      </c>
      <c r="AC53" s="136">
        <v>-9445</v>
      </c>
      <c r="AD53" s="136">
        <v>5067</v>
      </c>
      <c r="AE53" s="136">
        <v>-6370</v>
      </c>
      <c r="AF53" s="136">
        <v>6119</v>
      </c>
      <c r="AG53" s="136">
        <v>4996</v>
      </c>
      <c r="AH53" s="136">
        <v>8723</v>
      </c>
      <c r="AI53" s="136">
        <v>-6801</v>
      </c>
      <c r="AJ53" s="136">
        <v>-1906</v>
      </c>
      <c r="AK53" s="136">
        <v>3114</v>
      </c>
      <c r="AL53" s="136">
        <v>10766</v>
      </c>
      <c r="AM53" s="136">
        <v>-8146</v>
      </c>
      <c r="AN53" s="136">
        <v>9128</v>
      </c>
      <c r="AO53" s="136">
        <v>4947</v>
      </c>
      <c r="AP53" s="136">
        <v>8431</v>
      </c>
      <c r="AQ53" s="136">
        <v>-12518</v>
      </c>
      <c r="AR53" s="136">
        <v>-1204</v>
      </c>
      <c r="AS53" s="136">
        <v>7933</v>
      </c>
      <c r="AT53" s="136">
        <v>96577</v>
      </c>
      <c r="AU53" s="136">
        <v>15165</v>
      </c>
    </row>
    <row r="54" spans="1:47" x14ac:dyDescent="0.2">
      <c r="B54" s="133" t="s">
        <v>345</v>
      </c>
      <c r="C54" s="134">
        <f t="shared" ref="C54:L54" si="28">SUM(C46:C53)</f>
        <v>42534</v>
      </c>
      <c r="D54" s="134">
        <f t="shared" si="28"/>
        <v>-38507</v>
      </c>
      <c r="E54" s="134">
        <f t="shared" si="28"/>
        <v>47301.079830000046</v>
      </c>
      <c r="F54" s="134">
        <f t="shared" si="28"/>
        <v>10395.846570000038</v>
      </c>
      <c r="G54" s="134">
        <f t="shared" si="28"/>
        <v>46316</v>
      </c>
      <c r="H54" s="134">
        <f t="shared" si="28"/>
        <v>-9495.67137000002</v>
      </c>
      <c r="I54" s="134">
        <f t="shared" si="28"/>
        <v>13248.635590000024</v>
      </c>
      <c r="J54" s="134">
        <f t="shared" si="28"/>
        <v>-18448.167470000015</v>
      </c>
      <c r="K54" s="134">
        <f t="shared" si="28"/>
        <v>9783.8780000000006</v>
      </c>
      <c r="L54" s="134">
        <f t="shared" si="28"/>
        <v>-20012.75</v>
      </c>
      <c r="M54" s="134">
        <f t="shared" ref="M54:R54" si="29">SUM(M46:M53)</f>
        <v>981.5164799999975</v>
      </c>
      <c r="N54" s="134">
        <f t="shared" si="29"/>
        <v>-10843.213809999972</v>
      </c>
      <c r="O54" s="134">
        <f t="shared" si="29"/>
        <v>15503</v>
      </c>
      <c r="P54" s="134">
        <f t="shared" si="29"/>
        <v>-24622</v>
      </c>
      <c r="Q54" s="134">
        <f t="shared" si="29"/>
        <v>-5625</v>
      </c>
      <c r="R54" s="134">
        <f t="shared" si="29"/>
        <v>-28226</v>
      </c>
      <c r="S54" s="134">
        <f t="shared" ref="S54:X54" si="30">SUM(S46:S53)</f>
        <v>6857.8552300000156</v>
      </c>
      <c r="T54" s="134">
        <f t="shared" si="30"/>
        <v>3871</v>
      </c>
      <c r="U54" s="134">
        <f t="shared" si="30"/>
        <v>5690.2103499998702</v>
      </c>
      <c r="V54" s="134">
        <f t="shared" si="30"/>
        <v>-30060</v>
      </c>
      <c r="W54" s="134">
        <f t="shared" si="30"/>
        <v>35317</v>
      </c>
      <c r="X54" s="134">
        <f t="shared" si="30"/>
        <v>82350</v>
      </c>
      <c r="Y54" s="134">
        <f t="shared" ref="Y54:AF54" si="31">SUM(Y46:Y53)</f>
        <v>-48278</v>
      </c>
      <c r="Z54" s="134">
        <f t="shared" si="31"/>
        <v>-4805</v>
      </c>
      <c r="AA54" s="134">
        <f t="shared" si="31"/>
        <v>27981</v>
      </c>
      <c r="AB54" s="134">
        <f t="shared" si="31"/>
        <v>-17139</v>
      </c>
      <c r="AC54" s="134">
        <f t="shared" si="31"/>
        <v>4337</v>
      </c>
      <c r="AD54" s="134">
        <f t="shared" si="31"/>
        <v>-89437</v>
      </c>
      <c r="AE54" s="134">
        <f t="shared" si="31"/>
        <v>62224</v>
      </c>
      <c r="AF54" s="134">
        <f t="shared" si="31"/>
        <v>-33054</v>
      </c>
      <c r="AG54" s="134">
        <f>SUM(AG46:AG53)</f>
        <v>-256</v>
      </c>
      <c r="AH54" s="134">
        <f>SUM(AH46:AH53)</f>
        <v>12020</v>
      </c>
      <c r="AI54" s="134">
        <f>SUM(AI46:AI53)</f>
        <v>58888</v>
      </c>
      <c r="AJ54" s="134">
        <f>SUM(AJ46:AJ53)</f>
        <v>3922</v>
      </c>
      <c r="AK54" s="134">
        <v>13135</v>
      </c>
      <c r="AL54" s="134">
        <f t="shared" ref="AL54:AU54" si="32">SUM(AL46:AL53)</f>
        <v>-34868</v>
      </c>
      <c r="AM54" s="134">
        <f t="shared" si="32"/>
        <v>48041</v>
      </c>
      <c r="AN54" s="134">
        <f t="shared" si="32"/>
        <v>-6050</v>
      </c>
      <c r="AO54" s="134">
        <f t="shared" si="32"/>
        <v>-13148</v>
      </c>
      <c r="AP54" s="134">
        <f t="shared" si="32"/>
        <v>1717</v>
      </c>
      <c r="AQ54" s="134">
        <f t="shared" si="32"/>
        <v>84893</v>
      </c>
      <c r="AR54" s="134">
        <f t="shared" si="32"/>
        <v>590</v>
      </c>
      <c r="AS54" s="134">
        <f t="shared" si="32"/>
        <v>-16436</v>
      </c>
      <c r="AT54" s="134">
        <f t="shared" si="32"/>
        <v>-7927</v>
      </c>
      <c r="AU54" s="134">
        <f t="shared" si="32"/>
        <v>62138</v>
      </c>
    </row>
    <row r="55" spans="1:47" x14ac:dyDescent="0.2">
      <c r="B55" s="135" t="s">
        <v>578</v>
      </c>
      <c r="C55" s="136">
        <v>-1413.9999999999998</v>
      </c>
      <c r="D55" s="136">
        <v>-1113.0000000000002</v>
      </c>
      <c r="E55" s="136">
        <v>0</v>
      </c>
      <c r="F55" s="136">
        <v>-152</v>
      </c>
      <c r="G55" s="136">
        <v>-18</v>
      </c>
      <c r="H55" s="136">
        <v>-14</v>
      </c>
      <c r="I55" s="136">
        <v>-11</v>
      </c>
      <c r="J55" s="136">
        <v>-9</v>
      </c>
      <c r="K55" s="136">
        <v>-9</v>
      </c>
      <c r="L55" s="136">
        <v>-60</v>
      </c>
      <c r="M55" s="136">
        <v>-1181.0045452418799</v>
      </c>
      <c r="N55" s="136">
        <v>-1525.9954547581201</v>
      </c>
      <c r="O55" s="136">
        <v>-914</v>
      </c>
      <c r="P55" s="136">
        <v>-1331</v>
      </c>
      <c r="Q55" s="136">
        <v>-314</v>
      </c>
      <c r="R55" s="136">
        <v>-1514</v>
      </c>
      <c r="S55" s="136">
        <v>0</v>
      </c>
      <c r="T55" s="136">
        <v>-441</v>
      </c>
      <c r="U55" s="136">
        <v>-1112</v>
      </c>
      <c r="V55" s="136">
        <v>-276</v>
      </c>
      <c r="W55" s="136">
        <v>-3987</v>
      </c>
      <c r="X55" s="136">
        <v>-105</v>
      </c>
      <c r="Y55" s="136">
        <v>-853</v>
      </c>
      <c r="Z55" s="136">
        <v>-1580</v>
      </c>
      <c r="AA55" s="136">
        <v>-1534</v>
      </c>
      <c r="AB55" s="136">
        <v>-3913</v>
      </c>
      <c r="AC55" s="136">
        <v>-2005</v>
      </c>
      <c r="AD55" s="136">
        <v>-1991</v>
      </c>
      <c r="AE55" s="136">
        <v>-3593</v>
      </c>
      <c r="AF55" s="136">
        <v>-3159</v>
      </c>
      <c r="AG55" s="136">
        <v>-4543</v>
      </c>
      <c r="AH55" s="136">
        <v>1</v>
      </c>
      <c r="AI55" s="136">
        <v>-5056</v>
      </c>
      <c r="AJ55" s="136">
        <v>-2392</v>
      </c>
      <c r="AK55" s="136">
        <v>-4245</v>
      </c>
      <c r="AL55" s="136">
        <v>-2339</v>
      </c>
      <c r="AM55" s="136">
        <v>-3403</v>
      </c>
      <c r="AN55" s="136">
        <v>-2940</v>
      </c>
      <c r="AO55" s="136">
        <v>-3509</v>
      </c>
      <c r="AP55" s="136">
        <v>-2869</v>
      </c>
      <c r="AQ55" s="136">
        <v>-4738</v>
      </c>
      <c r="AR55" s="136">
        <v>-2040</v>
      </c>
      <c r="AS55" s="136">
        <v>-6181</v>
      </c>
      <c r="AT55" s="136">
        <v>-2309</v>
      </c>
      <c r="AU55" s="136">
        <v>-4379</v>
      </c>
    </row>
    <row r="56" spans="1:47" x14ac:dyDescent="0.2">
      <c r="B56" s="135" t="s">
        <v>346</v>
      </c>
      <c r="C56" s="136">
        <v>-12205.000000000002</v>
      </c>
      <c r="D56" s="136">
        <v>-10084.999999999998</v>
      </c>
      <c r="E56" s="136">
        <v>-13489</v>
      </c>
      <c r="F56" s="136">
        <v>-11747</v>
      </c>
      <c r="G56" s="136">
        <v>-14299</v>
      </c>
      <c r="H56" s="136">
        <v>-11453</v>
      </c>
      <c r="I56" s="136">
        <v>-13308</v>
      </c>
      <c r="J56" s="136">
        <v>-11673</v>
      </c>
      <c r="K56" s="136">
        <v>-13066</v>
      </c>
      <c r="L56" s="136">
        <v>-6758</v>
      </c>
      <c r="M56" s="136">
        <v>-9845.3321332100022</v>
      </c>
      <c r="N56" s="136">
        <v>257.33213321000221</v>
      </c>
      <c r="O56" s="136">
        <f>-4725-0.041430000012042</f>
        <v>-4725.041430000012</v>
      </c>
      <c r="P56" s="136">
        <v>-3115</v>
      </c>
      <c r="Q56" s="136">
        <v>-1712</v>
      </c>
      <c r="R56" s="136">
        <v>-2105</v>
      </c>
      <c r="S56" s="136">
        <v>-1703</v>
      </c>
      <c r="T56" s="136">
        <v>-2055</v>
      </c>
      <c r="U56" s="136">
        <v>0</v>
      </c>
      <c r="V56" s="136">
        <v>-1937</v>
      </c>
      <c r="W56" s="136">
        <v>0</v>
      </c>
      <c r="X56" s="136">
        <v>0</v>
      </c>
      <c r="Y56" s="136">
        <v>-1698</v>
      </c>
      <c r="Z56" s="136">
        <v>-364</v>
      </c>
      <c r="AA56" s="136">
        <v>0</v>
      </c>
      <c r="AB56" s="136">
        <v>-540</v>
      </c>
      <c r="AC56" s="136">
        <v>-204</v>
      </c>
      <c r="AD56" s="136">
        <v>0</v>
      </c>
      <c r="AE56" s="136">
        <v>0</v>
      </c>
      <c r="AF56" s="136">
        <v>0</v>
      </c>
      <c r="AG56" s="136">
        <v>0</v>
      </c>
      <c r="AH56" s="136">
        <v>0</v>
      </c>
      <c r="AI56" s="136">
        <v>0</v>
      </c>
      <c r="AJ56" s="136">
        <v>0</v>
      </c>
      <c r="AK56" s="136">
        <v>0</v>
      </c>
      <c r="AL56" s="136">
        <v>0</v>
      </c>
      <c r="AM56" s="136">
        <v>0</v>
      </c>
      <c r="AN56" s="136">
        <v>0</v>
      </c>
      <c r="AO56" s="136">
        <v>0</v>
      </c>
      <c r="AP56" s="136">
        <v>0</v>
      </c>
      <c r="AQ56" s="136">
        <v>0</v>
      </c>
      <c r="AR56" s="136">
        <v>0</v>
      </c>
      <c r="AS56" s="136">
        <v>0</v>
      </c>
      <c r="AT56" s="136">
        <v>0</v>
      </c>
      <c r="AU56" s="136">
        <v>0</v>
      </c>
    </row>
    <row r="57" spans="1:47" x14ac:dyDescent="0.2">
      <c r="B57" s="135" t="s">
        <v>1017</v>
      </c>
      <c r="C57" s="136">
        <v>0</v>
      </c>
      <c r="D57" s="136">
        <v>0</v>
      </c>
      <c r="E57" s="136">
        <v>0</v>
      </c>
      <c r="F57" s="136">
        <v>0</v>
      </c>
      <c r="G57" s="136">
        <v>0</v>
      </c>
      <c r="H57" s="136">
        <v>0</v>
      </c>
      <c r="I57" s="136">
        <v>0</v>
      </c>
      <c r="J57" s="136">
        <v>0</v>
      </c>
      <c r="K57" s="136">
        <v>0</v>
      </c>
      <c r="L57" s="136">
        <v>0</v>
      </c>
      <c r="M57" s="136">
        <v>0</v>
      </c>
      <c r="N57" s="136">
        <v>0</v>
      </c>
      <c r="O57" s="136">
        <v>0</v>
      </c>
      <c r="P57" s="136">
        <v>0</v>
      </c>
      <c r="Q57" s="136">
        <v>0</v>
      </c>
      <c r="R57" s="136">
        <v>0</v>
      </c>
      <c r="S57" s="136">
        <v>-766</v>
      </c>
      <c r="T57" s="136">
        <v>-1609</v>
      </c>
      <c r="U57" s="136">
        <v>-1624</v>
      </c>
      <c r="V57" s="136">
        <v>-2095</v>
      </c>
      <c r="W57" s="136">
        <v>-1556</v>
      </c>
      <c r="X57" s="136">
        <v>-1192</v>
      </c>
      <c r="Y57" s="136">
        <v>-1085</v>
      </c>
      <c r="Z57" s="136">
        <v>-1227</v>
      </c>
      <c r="AA57" s="136">
        <v>-1547</v>
      </c>
      <c r="AB57" s="136">
        <v>-1607</v>
      </c>
      <c r="AC57" s="136">
        <v>-1313</v>
      </c>
      <c r="AD57" s="136">
        <v>-1163</v>
      </c>
      <c r="AE57" s="136">
        <v>-1700</v>
      </c>
      <c r="AF57" s="136">
        <v>-1688</v>
      </c>
      <c r="AG57" s="136">
        <v>-1994</v>
      </c>
      <c r="AH57" s="136">
        <v>-1641</v>
      </c>
      <c r="AI57" s="136">
        <v>-1768</v>
      </c>
      <c r="AJ57" s="136">
        <v>-2470</v>
      </c>
      <c r="AK57" s="136">
        <v>-1865</v>
      </c>
      <c r="AL57" s="136">
        <v>-3194</v>
      </c>
      <c r="AM57" s="136">
        <v>-2421</v>
      </c>
      <c r="AN57" s="136">
        <v>-2305</v>
      </c>
      <c r="AO57" s="136">
        <v>-2131</v>
      </c>
      <c r="AP57" s="136">
        <v>-1956</v>
      </c>
      <c r="AQ57" s="136">
        <v>-3265</v>
      </c>
      <c r="AR57" s="136">
        <v>-3402</v>
      </c>
      <c r="AS57" s="136">
        <v>-3228</v>
      </c>
      <c r="AT57" s="136">
        <v>-3013</v>
      </c>
      <c r="AU57" s="136">
        <v>-2659</v>
      </c>
    </row>
    <row r="58" spans="1:47" x14ac:dyDescent="0.2">
      <c r="B58" s="135" t="s">
        <v>728</v>
      </c>
      <c r="C58" s="136">
        <v>0</v>
      </c>
      <c r="D58" s="136">
        <v>0</v>
      </c>
      <c r="E58" s="136">
        <v>0</v>
      </c>
      <c r="F58" s="136">
        <v>0</v>
      </c>
      <c r="G58" s="136">
        <v>-2160</v>
      </c>
      <c r="H58" s="136">
        <v>-4223</v>
      </c>
      <c r="I58" s="136">
        <v>-2059</v>
      </c>
      <c r="J58" s="136">
        <v>-1087</v>
      </c>
      <c r="K58" s="136">
        <v>-505</v>
      </c>
      <c r="L58" s="136">
        <v>-4463.1788200000001</v>
      </c>
      <c r="M58" s="136">
        <v>-1336.2103999999999</v>
      </c>
      <c r="N58" s="136">
        <v>-3828.61078</v>
      </c>
      <c r="O58" s="136">
        <v>-4564</v>
      </c>
      <c r="P58" s="136">
        <v>-2897</v>
      </c>
      <c r="Q58" s="136">
        <v>-8197</v>
      </c>
      <c r="R58" s="136">
        <v>-7273</v>
      </c>
      <c r="S58" s="136">
        <v>-4570</v>
      </c>
      <c r="T58" s="136">
        <v>-4687</v>
      </c>
      <c r="U58" s="333">
        <v>-11365</v>
      </c>
      <c r="V58" s="136">
        <v>-6348</v>
      </c>
      <c r="W58" s="136">
        <v>-3835</v>
      </c>
      <c r="X58" s="136">
        <v>-4373</v>
      </c>
      <c r="Y58" s="136">
        <v>-3922</v>
      </c>
      <c r="Z58" s="136">
        <v>-4100</v>
      </c>
      <c r="AA58" s="136">
        <v>-1646</v>
      </c>
      <c r="AB58" s="136">
        <v>-1872</v>
      </c>
      <c r="AC58" s="136">
        <v>-5614</v>
      </c>
      <c r="AD58" s="136">
        <v>-1479</v>
      </c>
      <c r="AE58" s="136">
        <v>-995</v>
      </c>
      <c r="AF58" s="136">
        <v>-4017</v>
      </c>
      <c r="AG58" s="136">
        <v>-1321</v>
      </c>
      <c r="AH58" s="136">
        <v>-3243</v>
      </c>
      <c r="AI58" s="136">
        <v>-263</v>
      </c>
      <c r="AJ58" s="136">
        <v>-1959</v>
      </c>
      <c r="AK58" s="136">
        <v>-415</v>
      </c>
      <c r="AL58" s="136">
        <v>-136</v>
      </c>
      <c r="AM58" s="136">
        <v>-265</v>
      </c>
      <c r="AN58" s="136">
        <v>-9</v>
      </c>
      <c r="AO58" s="136">
        <v>-1131</v>
      </c>
      <c r="AP58" s="136">
        <v>-6935</v>
      </c>
      <c r="AQ58" s="136">
        <v>-130</v>
      </c>
      <c r="AR58" s="136">
        <v>-191</v>
      </c>
      <c r="AS58" s="136">
        <v>-1086</v>
      </c>
      <c r="AT58" s="136">
        <v>-1405</v>
      </c>
      <c r="AU58" s="136">
        <v>102</v>
      </c>
    </row>
    <row r="59" spans="1:47" x14ac:dyDescent="0.2">
      <c r="B59" s="135" t="s">
        <v>348</v>
      </c>
      <c r="C59" s="136">
        <v>-3048</v>
      </c>
      <c r="D59" s="136">
        <v>-803.99999999999977</v>
      </c>
      <c r="E59" s="136">
        <v>-182</v>
      </c>
      <c r="F59" s="136">
        <v>-1068</v>
      </c>
      <c r="G59" s="136">
        <v>-1381</v>
      </c>
      <c r="H59" s="136">
        <v>-511</v>
      </c>
      <c r="I59" s="136">
        <v>-2133</v>
      </c>
      <c r="J59" s="136">
        <v>-5278</v>
      </c>
      <c r="K59" s="136">
        <v>-5384</v>
      </c>
      <c r="L59" s="136">
        <v>-2758</v>
      </c>
      <c r="M59" s="136">
        <v>-5916.4787699999979</v>
      </c>
      <c r="N59" s="136">
        <v>-8472.5212300000021</v>
      </c>
      <c r="O59" s="136">
        <v>-726</v>
      </c>
      <c r="P59" s="136">
        <v>-4604</v>
      </c>
      <c r="Q59" s="136">
        <v>-5836</v>
      </c>
      <c r="R59" s="136">
        <v>-15101</v>
      </c>
      <c r="S59" s="136">
        <v>-6747</v>
      </c>
      <c r="T59" s="136">
        <v>-7782</v>
      </c>
      <c r="U59" s="136">
        <v>-10570</v>
      </c>
      <c r="V59" s="136">
        <v>-10249</v>
      </c>
      <c r="W59" s="136">
        <v>-992</v>
      </c>
      <c r="X59" s="136">
        <v>-2016</v>
      </c>
      <c r="Y59" s="136">
        <v>-2895</v>
      </c>
      <c r="Z59" s="136">
        <v>-2134</v>
      </c>
      <c r="AA59" s="136">
        <v>-7159</v>
      </c>
      <c r="AB59" s="136">
        <v>-2858</v>
      </c>
      <c r="AC59" s="136">
        <v>-3905</v>
      </c>
      <c r="AD59" s="136">
        <v>-2649</v>
      </c>
      <c r="AE59" s="136">
        <v>-7118</v>
      </c>
      <c r="AF59" s="136">
        <v>-3179</v>
      </c>
      <c r="AG59" s="136">
        <v>-3054</v>
      </c>
      <c r="AH59" s="136">
        <v>-7522</v>
      </c>
      <c r="AI59" s="136">
        <v>-10786</v>
      </c>
      <c r="AJ59" s="136">
        <v>-9729</v>
      </c>
      <c r="AK59" s="136">
        <v>-8088</v>
      </c>
      <c r="AL59" s="136">
        <v>-11844</v>
      </c>
      <c r="AM59" s="136">
        <v>-11593</v>
      </c>
      <c r="AN59" s="136">
        <v>-9946</v>
      </c>
      <c r="AO59" s="136">
        <v>-7277</v>
      </c>
      <c r="AP59" s="136">
        <v>-34728</v>
      </c>
      <c r="AQ59" s="136">
        <v>-31604</v>
      </c>
      <c r="AR59" s="136">
        <v>-12710</v>
      </c>
      <c r="AS59" s="136">
        <v>-24060</v>
      </c>
      <c r="AT59" s="136">
        <v>-31194</v>
      </c>
      <c r="AU59" s="136">
        <v>-15164</v>
      </c>
    </row>
    <row r="60" spans="1:47" s="232" customFormat="1" ht="25.5" hidden="1" outlineLevel="1" x14ac:dyDescent="0.2">
      <c r="A60" s="267"/>
      <c r="B60" s="230" t="s">
        <v>579</v>
      </c>
      <c r="C60" s="231">
        <v>-17</v>
      </c>
      <c r="D60" s="231">
        <v>0</v>
      </c>
      <c r="E60" s="231">
        <v>17</v>
      </c>
      <c r="F60" s="231">
        <v>-315</v>
      </c>
      <c r="G60" s="231">
        <v>0</v>
      </c>
      <c r="H60" s="231">
        <v>0</v>
      </c>
      <c r="I60" s="231">
        <v>0</v>
      </c>
      <c r="J60" s="231">
        <v>0</v>
      </c>
      <c r="K60" s="231">
        <v>0</v>
      </c>
      <c r="L60" s="231">
        <v>0</v>
      </c>
      <c r="M60" s="231">
        <v>0</v>
      </c>
      <c r="N60" s="231">
        <v>-39</v>
      </c>
      <c r="O60" s="231">
        <v>0</v>
      </c>
      <c r="P60" s="231">
        <v>0</v>
      </c>
      <c r="Q60" s="231">
        <v>0</v>
      </c>
      <c r="R60" s="231">
        <v>0</v>
      </c>
      <c r="S60" s="231">
        <v>0</v>
      </c>
      <c r="T60" s="231"/>
      <c r="U60" s="231">
        <v>0</v>
      </c>
      <c r="V60" s="136">
        <v>0</v>
      </c>
      <c r="W60" s="136">
        <v>0</v>
      </c>
      <c r="X60" s="136">
        <v>0</v>
      </c>
      <c r="Y60" s="136">
        <v>0</v>
      </c>
      <c r="Z60" s="136">
        <v>0</v>
      </c>
      <c r="AA60" s="136">
        <v>0</v>
      </c>
      <c r="AB60" s="136">
        <v>0</v>
      </c>
      <c r="AC60" s="136">
        <v>0</v>
      </c>
      <c r="AD60" s="136">
        <v>0</v>
      </c>
      <c r="AE60" s="136">
        <v>0</v>
      </c>
      <c r="AF60" s="136">
        <v>0</v>
      </c>
      <c r="AG60" s="136">
        <v>0</v>
      </c>
      <c r="AH60" s="136">
        <v>0</v>
      </c>
      <c r="AI60" s="136">
        <v>0</v>
      </c>
      <c r="AJ60" s="136">
        <v>0</v>
      </c>
      <c r="AK60" s="136">
        <v>0</v>
      </c>
      <c r="AL60" s="136">
        <v>0</v>
      </c>
      <c r="AM60" s="136">
        <v>0</v>
      </c>
      <c r="AN60" s="136"/>
      <c r="AO60" s="136"/>
      <c r="AP60" s="136">
        <v>0</v>
      </c>
      <c r="AQ60" s="136">
        <v>0</v>
      </c>
      <c r="AR60" s="136">
        <v>0</v>
      </c>
      <c r="AS60" s="136">
        <v>0</v>
      </c>
      <c r="AT60" s="136">
        <v>0</v>
      </c>
      <c r="AU60" s="136">
        <v>0</v>
      </c>
    </row>
    <row r="61" spans="1:47" s="232" customFormat="1" hidden="1" outlineLevel="1" x14ac:dyDescent="0.2">
      <c r="A61" s="267"/>
      <c r="B61" s="230" t="s">
        <v>355</v>
      </c>
      <c r="C61" s="231"/>
      <c r="D61" s="231"/>
      <c r="E61" s="231"/>
      <c r="F61" s="231"/>
      <c r="G61" s="231"/>
      <c r="H61" s="231"/>
      <c r="I61" s="231"/>
      <c r="J61" s="231"/>
      <c r="K61" s="231"/>
      <c r="L61" s="231"/>
      <c r="M61" s="231"/>
      <c r="N61" s="231">
        <v>-756</v>
      </c>
      <c r="O61" s="231">
        <v>0</v>
      </c>
      <c r="P61" s="231">
        <v>0</v>
      </c>
      <c r="Q61" s="231">
        <v>0</v>
      </c>
      <c r="R61" s="231">
        <v>0</v>
      </c>
      <c r="S61" s="231">
        <v>0</v>
      </c>
      <c r="T61" s="231"/>
      <c r="U61" s="231">
        <v>0</v>
      </c>
      <c r="V61" s="136">
        <v>0</v>
      </c>
      <c r="W61" s="136">
        <v>0</v>
      </c>
      <c r="X61" s="136">
        <v>0</v>
      </c>
      <c r="Y61" s="136">
        <v>0</v>
      </c>
      <c r="Z61" s="136">
        <v>0</v>
      </c>
      <c r="AA61" s="136">
        <v>0</v>
      </c>
      <c r="AB61" s="136">
        <v>0</v>
      </c>
      <c r="AC61" s="136">
        <v>0</v>
      </c>
      <c r="AD61" s="136">
        <v>0</v>
      </c>
      <c r="AE61" s="136">
        <v>0</v>
      </c>
      <c r="AF61" s="136">
        <v>0</v>
      </c>
      <c r="AG61" s="136">
        <v>0</v>
      </c>
      <c r="AH61" s="136">
        <v>0</v>
      </c>
      <c r="AI61" s="136">
        <v>0</v>
      </c>
      <c r="AJ61" s="136">
        <v>0</v>
      </c>
      <c r="AK61" s="136">
        <v>0</v>
      </c>
      <c r="AL61" s="136">
        <v>0</v>
      </c>
      <c r="AM61" s="136">
        <v>0</v>
      </c>
      <c r="AN61" s="136"/>
      <c r="AO61" s="136"/>
      <c r="AP61" s="136">
        <v>0</v>
      </c>
      <c r="AQ61" s="136">
        <v>0</v>
      </c>
      <c r="AR61" s="136">
        <v>0</v>
      </c>
      <c r="AS61" s="136">
        <v>0</v>
      </c>
      <c r="AT61" s="136">
        <v>0</v>
      </c>
      <c r="AU61" s="136">
        <v>0</v>
      </c>
    </row>
    <row r="62" spans="1:47" s="232" customFormat="1" hidden="1" outlineLevel="1" x14ac:dyDescent="0.2">
      <c r="A62" s="267"/>
      <c r="B62" s="230" t="s">
        <v>347</v>
      </c>
      <c r="C62" s="231">
        <v>0</v>
      </c>
      <c r="D62" s="231">
        <v>0</v>
      </c>
      <c r="E62" s="231">
        <v>0</v>
      </c>
      <c r="F62" s="231">
        <v>0</v>
      </c>
      <c r="G62" s="231">
        <v>0</v>
      </c>
      <c r="H62" s="231">
        <v>0</v>
      </c>
      <c r="I62" s="231">
        <v>0</v>
      </c>
      <c r="J62" s="231">
        <v>0</v>
      </c>
      <c r="K62" s="231">
        <v>0</v>
      </c>
      <c r="L62" s="231">
        <v>0</v>
      </c>
      <c r="M62" s="231">
        <v>0</v>
      </c>
      <c r="N62" s="231">
        <v>0</v>
      </c>
      <c r="O62" s="231" t="s">
        <v>160</v>
      </c>
      <c r="P62" s="231" t="s">
        <v>160</v>
      </c>
      <c r="Q62" s="231" t="s">
        <v>160</v>
      </c>
      <c r="R62" s="231" t="s">
        <v>160</v>
      </c>
      <c r="S62" s="231">
        <v>0</v>
      </c>
      <c r="T62" s="231"/>
      <c r="U62" s="231">
        <v>0</v>
      </c>
      <c r="V62" s="136">
        <v>0</v>
      </c>
      <c r="W62" s="136">
        <v>0</v>
      </c>
      <c r="X62" s="136">
        <v>0</v>
      </c>
      <c r="Y62" s="136">
        <v>0</v>
      </c>
      <c r="Z62" s="136">
        <v>0</v>
      </c>
      <c r="AA62" s="136">
        <v>0</v>
      </c>
      <c r="AB62" s="136">
        <v>0</v>
      </c>
      <c r="AC62" s="136">
        <v>0</v>
      </c>
      <c r="AD62" s="136">
        <v>0</v>
      </c>
      <c r="AE62" s="136">
        <v>0</v>
      </c>
      <c r="AF62" s="136">
        <v>0</v>
      </c>
      <c r="AG62" s="136">
        <v>0</v>
      </c>
      <c r="AH62" s="136">
        <v>0</v>
      </c>
      <c r="AI62" s="136">
        <v>0</v>
      </c>
      <c r="AJ62" s="136">
        <v>0</v>
      </c>
      <c r="AK62" s="136">
        <v>0</v>
      </c>
      <c r="AL62" s="136">
        <v>0</v>
      </c>
      <c r="AM62" s="136">
        <v>0</v>
      </c>
      <c r="AN62" s="136"/>
      <c r="AO62" s="136"/>
      <c r="AP62" s="136">
        <v>0</v>
      </c>
      <c r="AQ62" s="136">
        <v>0</v>
      </c>
      <c r="AR62" s="136">
        <v>0</v>
      </c>
      <c r="AS62" s="136">
        <v>0</v>
      </c>
      <c r="AT62" s="136">
        <v>0</v>
      </c>
      <c r="AU62" s="136">
        <v>0</v>
      </c>
    </row>
    <row r="63" spans="1:47" ht="25.5" collapsed="1" x14ac:dyDescent="0.2">
      <c r="B63" s="133" t="s">
        <v>349</v>
      </c>
      <c r="C63" s="134">
        <f t="shared" ref="C63:AF63" si="33">SUM(C55:C62,C54,C45,C18)</f>
        <v>54433.999999999971</v>
      </c>
      <c r="D63" s="134">
        <f t="shared" si="33"/>
        <v>-38044</v>
      </c>
      <c r="E63" s="134">
        <f t="shared" si="33"/>
        <v>70041.174780000001</v>
      </c>
      <c r="F63" s="134">
        <f t="shared" si="33"/>
        <v>25579</v>
      </c>
      <c r="G63" s="134">
        <f t="shared" si="33"/>
        <v>51186.999720000022</v>
      </c>
      <c r="H63" s="134">
        <f t="shared" si="33"/>
        <v>-2641.9999999999982</v>
      </c>
      <c r="I63" s="134">
        <f t="shared" si="33"/>
        <v>28377</v>
      </c>
      <c r="J63" s="134">
        <f t="shared" si="33"/>
        <v>7437.0000000000018</v>
      </c>
      <c r="K63" s="134">
        <f t="shared" si="33"/>
        <v>16727.027199999993</v>
      </c>
      <c r="L63" s="134">
        <f t="shared" si="33"/>
        <v>18182.445259999968</v>
      </c>
      <c r="M63" s="134">
        <f t="shared" si="33"/>
        <v>33546.934711548151</v>
      </c>
      <c r="N63" s="134">
        <f t="shared" si="33"/>
        <v>16545.937288451845</v>
      </c>
      <c r="O63" s="134">
        <f t="shared" si="33"/>
        <v>47325</v>
      </c>
      <c r="P63" s="134">
        <f t="shared" si="33"/>
        <v>11895</v>
      </c>
      <c r="Q63" s="134">
        <f t="shared" si="33"/>
        <v>33009.324519999936</v>
      </c>
      <c r="R63" s="134">
        <f t="shared" si="33"/>
        <v>12660.218080000042</v>
      </c>
      <c r="S63" s="134">
        <f t="shared" si="33"/>
        <v>55636</v>
      </c>
      <c r="T63" s="134">
        <f t="shared" si="33"/>
        <v>51412.371810000062</v>
      </c>
      <c r="U63" s="134">
        <f t="shared" si="33"/>
        <v>45622.193179999958</v>
      </c>
      <c r="V63" s="134">
        <f t="shared" si="33"/>
        <v>24899.259119999992</v>
      </c>
      <c r="W63" s="134">
        <f t="shared" si="33"/>
        <v>73009.393389999968</v>
      </c>
      <c r="X63" s="134">
        <f t="shared" si="33"/>
        <v>83569.515780000002</v>
      </c>
      <c r="Y63" s="134">
        <f t="shared" si="33"/>
        <v>3533.416119999958</v>
      </c>
      <c r="Z63" s="134">
        <f t="shared" si="33"/>
        <v>43612.838950000027</v>
      </c>
      <c r="AA63" s="134">
        <f t="shared" si="33"/>
        <v>57920.245349999932</v>
      </c>
      <c r="AB63" s="134">
        <f t="shared" si="33"/>
        <v>6722.9608511999832</v>
      </c>
      <c r="AC63" s="134">
        <f t="shared" si="33"/>
        <v>38576.960199999994</v>
      </c>
      <c r="AD63" s="134">
        <f t="shared" si="33"/>
        <v>-49718.516980000059</v>
      </c>
      <c r="AE63" s="134">
        <f t="shared" si="33"/>
        <v>85359.709109999967</v>
      </c>
      <c r="AF63" s="134">
        <f t="shared" si="33"/>
        <v>-76.3009444250456</v>
      </c>
      <c r="AG63" s="134">
        <f>SUM(AG55:AG62,AG54,AG45,AG18)</f>
        <v>59550.003068400016</v>
      </c>
      <c r="AH63" s="134">
        <f>SUM(AH55:AH62,AH54,AH45,AH18)</f>
        <v>62957.361847199965</v>
      </c>
      <c r="AI63" s="134">
        <v>87055.848997799796</v>
      </c>
      <c r="AJ63" s="134">
        <f t="shared" ref="AJ63:AR63" si="34">SUM(AJ55:AJ62,AJ54,AJ45,AJ18)</f>
        <v>45814.318640000201</v>
      </c>
      <c r="AK63" s="134">
        <f t="shared" si="34"/>
        <v>67668.701230000093</v>
      </c>
      <c r="AL63" s="134">
        <f t="shared" si="34"/>
        <v>15897.691510000186</v>
      </c>
      <c r="AM63" s="134">
        <f t="shared" si="34"/>
        <v>84444.066839999767</v>
      </c>
      <c r="AN63" s="134">
        <f t="shared" si="34"/>
        <v>49445.657680000062</v>
      </c>
      <c r="AO63" s="134">
        <f t="shared" si="34"/>
        <v>68562.687500000116</v>
      </c>
      <c r="AP63" s="134">
        <f t="shared" si="34"/>
        <v>56234.962249699864</v>
      </c>
      <c r="AQ63" s="134">
        <f>SUM(AQ55:AQ62,AQ54,AQ45,AQ18)</f>
        <v>110278.68429999988</v>
      </c>
      <c r="AR63" s="134">
        <f t="shared" si="34"/>
        <v>59550.508879999805</v>
      </c>
      <c r="AS63" s="134">
        <f>SUM(AS55:AS62,AS54,AS45,AS18)</f>
        <v>41726.982880000054</v>
      </c>
      <c r="AT63" s="134">
        <f>SUM(AT55:AT62,AT54,AT45,AT18)</f>
        <v>31683.377919999795</v>
      </c>
      <c r="AU63" s="134">
        <f>SUM(AU55:AU62,AU54,AU45,AU18)</f>
        <v>100426</v>
      </c>
    </row>
    <row r="64" spans="1:47" x14ac:dyDescent="0.2">
      <c r="B64" s="135" t="s">
        <v>729</v>
      </c>
      <c r="C64" s="136">
        <v>0</v>
      </c>
      <c r="D64" s="136">
        <v>0</v>
      </c>
      <c r="E64" s="136">
        <v>1244</v>
      </c>
      <c r="F64" s="136">
        <v>0</v>
      </c>
      <c r="G64" s="136">
        <v>0</v>
      </c>
      <c r="H64" s="136">
        <v>0</v>
      </c>
      <c r="I64" s="136">
        <v>0</v>
      </c>
      <c r="J64" s="136">
        <v>0</v>
      </c>
      <c r="K64" s="136">
        <v>0</v>
      </c>
      <c r="L64" s="136">
        <v>735</v>
      </c>
      <c r="M64" s="136">
        <v>0</v>
      </c>
      <c r="N64" s="136">
        <v>1</v>
      </c>
      <c r="O64" s="136">
        <v>0</v>
      </c>
      <c r="P64" s="136">
        <v>244</v>
      </c>
      <c r="Q64" s="136">
        <v>0</v>
      </c>
      <c r="R64" s="136">
        <v>0</v>
      </c>
      <c r="S64" s="136">
        <v>0</v>
      </c>
      <c r="T64" s="136">
        <v>267</v>
      </c>
      <c r="U64" s="136">
        <v>0</v>
      </c>
      <c r="V64" s="136">
        <v>0</v>
      </c>
      <c r="W64" s="136">
        <v>0</v>
      </c>
      <c r="X64" s="136">
        <v>1567</v>
      </c>
      <c r="Y64" s="136">
        <v>3775</v>
      </c>
      <c r="Z64" s="136">
        <v>2000</v>
      </c>
      <c r="AA64" s="136">
        <v>0</v>
      </c>
      <c r="AB64" s="136">
        <v>1684</v>
      </c>
      <c r="AC64" s="136">
        <v>2754</v>
      </c>
      <c r="AD64" s="136">
        <v>2150</v>
      </c>
      <c r="AE64" s="136">
        <v>1144</v>
      </c>
      <c r="AF64" s="136">
        <v>2195</v>
      </c>
      <c r="AG64" s="136">
        <v>2043</v>
      </c>
      <c r="AH64" s="136">
        <v>1300</v>
      </c>
      <c r="AI64" s="136">
        <v>2100</v>
      </c>
      <c r="AJ64" s="136">
        <v>3102</v>
      </c>
      <c r="AK64" s="136">
        <v>4000</v>
      </c>
      <c r="AL64" s="136">
        <v>5500</v>
      </c>
      <c r="AM64" s="136">
        <v>0</v>
      </c>
      <c r="AN64" s="136">
        <v>3181</v>
      </c>
      <c r="AO64" s="136">
        <v>17473</v>
      </c>
      <c r="AP64" s="136">
        <v>6500</v>
      </c>
      <c r="AQ64" s="136">
        <v>0</v>
      </c>
      <c r="AR64" s="136">
        <v>5526</v>
      </c>
      <c r="AS64" s="136">
        <v>4750</v>
      </c>
      <c r="AT64" s="136">
        <v>14351</v>
      </c>
      <c r="AU64" s="136">
        <v>0</v>
      </c>
    </row>
    <row r="65" spans="1:47" x14ac:dyDescent="0.2">
      <c r="A65" s="267" t="s">
        <v>730</v>
      </c>
      <c r="B65" s="221" t="s">
        <v>730</v>
      </c>
      <c r="C65" s="136">
        <v>-93</v>
      </c>
      <c r="D65" s="136">
        <v>-357</v>
      </c>
      <c r="E65" s="136">
        <v>-245</v>
      </c>
      <c r="F65" s="136">
        <v>-160</v>
      </c>
      <c r="G65" s="136">
        <v>-323</v>
      </c>
      <c r="H65" s="136">
        <v>-908</v>
      </c>
      <c r="I65" s="136">
        <v>-311</v>
      </c>
      <c r="J65" s="136">
        <v>-318</v>
      </c>
      <c r="K65" s="136">
        <f>-1244+172.122</f>
        <v>-1071.8779999999999</v>
      </c>
      <c r="L65" s="136">
        <f>-878+271.15</f>
        <v>-606.85</v>
      </c>
      <c r="M65" s="136">
        <v>-1173.2957699999997</v>
      </c>
      <c r="N65" s="136">
        <v>-1315.9762300000004</v>
      </c>
      <c r="O65" s="136">
        <v>-1150</v>
      </c>
      <c r="P65" s="136">
        <v>-611</v>
      </c>
      <c r="Q65" s="136">
        <v>-1486</v>
      </c>
      <c r="R65" s="136">
        <v>-2053</v>
      </c>
      <c r="S65" s="136">
        <v>-1700</v>
      </c>
      <c r="T65" s="136">
        <v>-820</v>
      </c>
      <c r="U65" s="136">
        <v>-797</v>
      </c>
      <c r="V65" s="136">
        <v>-1068</v>
      </c>
      <c r="W65" s="136">
        <v>-1749</v>
      </c>
      <c r="X65" s="136">
        <v>-898</v>
      </c>
      <c r="Y65" s="136">
        <v>-682</v>
      </c>
      <c r="Z65" s="136">
        <v>-696</v>
      </c>
      <c r="AA65" s="136">
        <v>-1546</v>
      </c>
      <c r="AB65" s="136">
        <v>-1234</v>
      </c>
      <c r="AC65" s="136">
        <v>-822</v>
      </c>
      <c r="AD65" s="136">
        <v>-1674</v>
      </c>
      <c r="AE65" s="136">
        <v>-2418</v>
      </c>
      <c r="AF65" s="136">
        <v>-288</v>
      </c>
      <c r="AG65" s="136">
        <v>-1354</v>
      </c>
      <c r="AH65" s="136">
        <v>-3676</v>
      </c>
      <c r="AI65" s="136">
        <v>-2964</v>
      </c>
      <c r="AJ65" s="136">
        <v>-1225</v>
      </c>
      <c r="AK65" s="136">
        <v>-1124</v>
      </c>
      <c r="AL65" s="136">
        <v>-1714</v>
      </c>
      <c r="AM65" s="136">
        <v>-2419</v>
      </c>
      <c r="AN65" s="136">
        <v>-4085</v>
      </c>
      <c r="AO65" s="136">
        <v>-2779</v>
      </c>
      <c r="AP65" s="136">
        <v>-6459</v>
      </c>
      <c r="AQ65" s="136">
        <v>-5299</v>
      </c>
      <c r="AR65" s="136">
        <v>-2647</v>
      </c>
      <c r="AS65" s="136">
        <v>-2181</v>
      </c>
      <c r="AT65" s="136">
        <v>-4743</v>
      </c>
      <c r="AU65" s="136">
        <v>-4622</v>
      </c>
    </row>
    <row r="66" spans="1:47" x14ac:dyDescent="0.2">
      <c r="A66" s="267" t="s">
        <v>731</v>
      </c>
      <c r="B66" s="221" t="s">
        <v>731</v>
      </c>
      <c r="C66" s="136">
        <v>-11562</v>
      </c>
      <c r="D66" s="136">
        <v>-17719</v>
      </c>
      <c r="E66" s="136">
        <v>-24267</v>
      </c>
      <c r="F66" s="136">
        <v>-14930</v>
      </c>
      <c r="G66" s="136">
        <v>-10505</v>
      </c>
      <c r="H66" s="136">
        <v>-10336</v>
      </c>
      <c r="I66" s="136">
        <v>-3993</v>
      </c>
      <c r="J66" s="136">
        <v>-6302</v>
      </c>
      <c r="K66" s="136">
        <f>-5576+1348-0.149199999985285</f>
        <v>-4228.1491999999853</v>
      </c>
      <c r="L66" s="136">
        <f>-7554+1242</f>
        <v>-6312</v>
      </c>
      <c r="M66" s="136">
        <v>-5403.7243500000004</v>
      </c>
      <c r="N66" s="136">
        <v>-4069.2756499999996</v>
      </c>
      <c r="O66" s="136">
        <v>-1986</v>
      </c>
      <c r="P66" s="136">
        <v>-3180</v>
      </c>
      <c r="Q66" s="136">
        <f>-13652+0.675480000063544</f>
        <v>-13651.324519999936</v>
      </c>
      <c r="R66" s="136">
        <f>-9115-0.218080000042391</f>
        <v>-9115.2180800000424</v>
      </c>
      <c r="S66" s="136">
        <v>-7654</v>
      </c>
      <c r="T66" s="136">
        <f>-13949+0.628189999937604</f>
        <v>-13948.371810000062</v>
      </c>
      <c r="U66" s="136">
        <v>-2690.6281899999376</v>
      </c>
      <c r="V66" s="136">
        <v>-10230</v>
      </c>
      <c r="W66" s="136">
        <v>-3786</v>
      </c>
      <c r="X66" s="136">
        <v>-3636</v>
      </c>
      <c r="Y66" s="136">
        <v>-4041</v>
      </c>
      <c r="Z66" s="136">
        <v>-2463</v>
      </c>
      <c r="AA66" s="136">
        <v>-3267</v>
      </c>
      <c r="AB66" s="136">
        <v>-7236</v>
      </c>
      <c r="AC66" s="136">
        <v>-8816</v>
      </c>
      <c r="AD66" s="136">
        <v>-3989</v>
      </c>
      <c r="AE66" s="136">
        <v>-3373</v>
      </c>
      <c r="AF66" s="136">
        <v>-8971</v>
      </c>
      <c r="AG66" s="136">
        <v>-5800</v>
      </c>
      <c r="AH66" s="136">
        <v>-4221</v>
      </c>
      <c r="AI66" s="136">
        <v>-16486</v>
      </c>
      <c r="AJ66" s="136">
        <v>-3437</v>
      </c>
      <c r="AK66" s="136">
        <v>-8617</v>
      </c>
      <c r="AL66" s="136">
        <v>-7127</v>
      </c>
      <c r="AM66" s="136">
        <v>-13613</v>
      </c>
      <c r="AN66" s="136">
        <v>-9281</v>
      </c>
      <c r="AO66" s="136">
        <v>-4122</v>
      </c>
      <c r="AP66" s="136">
        <v>-14012</v>
      </c>
      <c r="AQ66" s="136">
        <v>-5117</v>
      </c>
      <c r="AR66" s="136">
        <v>-7695</v>
      </c>
      <c r="AS66" s="136">
        <v>-16440</v>
      </c>
      <c r="AT66" s="136">
        <v>-39613</v>
      </c>
      <c r="AU66" s="136">
        <v>-16072</v>
      </c>
    </row>
    <row r="67" spans="1:47" ht="25.5" x14ac:dyDescent="0.2">
      <c r="B67" s="135" t="s">
        <v>1351</v>
      </c>
      <c r="C67" s="136">
        <v>0</v>
      </c>
      <c r="D67" s="136">
        <v>0</v>
      </c>
      <c r="E67" s="136">
        <v>0</v>
      </c>
      <c r="F67" s="136">
        <v>0</v>
      </c>
      <c r="G67" s="136">
        <v>0</v>
      </c>
      <c r="H67" s="136">
        <v>0</v>
      </c>
      <c r="I67" s="136">
        <v>0</v>
      </c>
      <c r="J67" s="136">
        <v>0</v>
      </c>
      <c r="K67" s="136">
        <v>0</v>
      </c>
      <c r="L67" s="136">
        <v>0</v>
      </c>
      <c r="M67" s="136">
        <v>0</v>
      </c>
      <c r="N67" s="136">
        <v>0</v>
      </c>
      <c r="O67" s="136">
        <v>0</v>
      </c>
      <c r="P67" s="136">
        <v>0</v>
      </c>
      <c r="Q67" s="136">
        <v>0</v>
      </c>
      <c r="R67" s="136">
        <v>0</v>
      </c>
      <c r="S67" s="136">
        <v>0</v>
      </c>
      <c r="T67" s="136">
        <v>0</v>
      </c>
      <c r="U67" s="136">
        <v>0</v>
      </c>
      <c r="V67" s="136">
        <v>0</v>
      </c>
      <c r="W67" s="136">
        <v>0</v>
      </c>
      <c r="X67" s="136">
        <v>0</v>
      </c>
      <c r="Y67" s="136">
        <v>0</v>
      </c>
      <c r="Z67" s="136">
        <v>0</v>
      </c>
      <c r="AA67" s="136">
        <v>0</v>
      </c>
      <c r="AB67" s="136">
        <v>0</v>
      </c>
      <c r="AC67" s="136">
        <v>0</v>
      </c>
      <c r="AD67" s="136">
        <v>0</v>
      </c>
      <c r="AE67" s="136">
        <v>0</v>
      </c>
      <c r="AF67" s="136">
        <v>0</v>
      </c>
      <c r="AG67" s="136">
        <v>0</v>
      </c>
      <c r="AH67" s="136">
        <v>0</v>
      </c>
      <c r="AI67" s="136">
        <v>0</v>
      </c>
      <c r="AJ67" s="136">
        <v>0</v>
      </c>
      <c r="AK67" s="136">
        <v>0</v>
      </c>
      <c r="AL67" s="136">
        <v>0</v>
      </c>
      <c r="AM67" s="136">
        <v>0</v>
      </c>
      <c r="AN67" s="136">
        <v>0</v>
      </c>
      <c r="AO67" s="136">
        <v>0</v>
      </c>
      <c r="AP67" s="136">
        <v>0</v>
      </c>
      <c r="AQ67" s="136">
        <v>0</v>
      </c>
      <c r="AR67" s="136">
        <v>0</v>
      </c>
      <c r="AS67" s="136">
        <v>-9381</v>
      </c>
      <c r="AT67" s="136">
        <v>0</v>
      </c>
      <c r="AU67" s="136">
        <v>0</v>
      </c>
    </row>
    <row r="68" spans="1:47" x14ac:dyDescent="0.2">
      <c r="B68" s="135" t="s">
        <v>352</v>
      </c>
      <c r="C68" s="136">
        <v>615</v>
      </c>
      <c r="D68" s="136">
        <v>383</v>
      </c>
      <c r="E68" s="136">
        <v>609</v>
      </c>
      <c r="F68" s="136">
        <v>298</v>
      </c>
      <c r="G68" s="136">
        <v>787</v>
      </c>
      <c r="H68" s="136">
        <v>722</v>
      </c>
      <c r="I68" s="136">
        <v>436</v>
      </c>
      <c r="J68" s="136">
        <v>387</v>
      </c>
      <c r="K68" s="136">
        <v>3</v>
      </c>
      <c r="L68" s="136">
        <f>114+35.6</f>
        <v>149.6</v>
      </c>
      <c r="M68" s="136">
        <v>156.97</v>
      </c>
      <c r="N68" s="136">
        <v>306.42999999999995</v>
      </c>
      <c r="O68" s="136">
        <v>0</v>
      </c>
      <c r="P68" s="136">
        <v>351</v>
      </c>
      <c r="Q68" s="136">
        <v>2</v>
      </c>
      <c r="R68" s="136">
        <v>25</v>
      </c>
      <c r="S68" s="136">
        <v>360</v>
      </c>
      <c r="T68" s="136">
        <v>49</v>
      </c>
      <c r="U68" s="136">
        <v>143</v>
      </c>
      <c r="V68" s="136">
        <v>896</v>
      </c>
      <c r="W68" s="136">
        <v>45</v>
      </c>
      <c r="X68" s="136">
        <v>37</v>
      </c>
      <c r="Y68" s="136">
        <v>17</v>
      </c>
      <c r="Z68" s="136">
        <v>449</v>
      </c>
      <c r="AA68" s="136">
        <v>353</v>
      </c>
      <c r="AB68" s="136">
        <v>213</v>
      </c>
      <c r="AC68" s="136">
        <v>182</v>
      </c>
      <c r="AD68" s="136">
        <v>83</v>
      </c>
      <c r="AE68" s="136">
        <v>0</v>
      </c>
      <c r="AF68" s="136">
        <v>410</v>
      </c>
      <c r="AG68" s="136">
        <v>309</v>
      </c>
      <c r="AH68" s="136">
        <v>-97</v>
      </c>
      <c r="AI68" s="136">
        <v>182</v>
      </c>
      <c r="AJ68" s="136">
        <v>0</v>
      </c>
      <c r="AK68" s="136">
        <v>440</v>
      </c>
      <c r="AL68" s="136">
        <v>713</v>
      </c>
      <c r="AM68" s="136">
        <v>597</v>
      </c>
      <c r="AN68" s="136">
        <v>472</v>
      </c>
      <c r="AO68" s="136">
        <v>690</v>
      </c>
      <c r="AP68" s="136">
        <v>1053</v>
      </c>
      <c r="AQ68" s="136">
        <v>-61</v>
      </c>
      <c r="AR68" s="136">
        <v>889</v>
      </c>
      <c r="AS68" s="136">
        <v>364</v>
      </c>
      <c r="AT68" s="136">
        <v>240</v>
      </c>
      <c r="AU68" s="136">
        <v>131</v>
      </c>
    </row>
    <row r="69" spans="1:47" x14ac:dyDescent="0.2">
      <c r="B69" s="135" t="s">
        <v>1297</v>
      </c>
      <c r="C69" s="136">
        <v>0</v>
      </c>
      <c r="D69" s="136">
        <v>0</v>
      </c>
      <c r="E69" s="136">
        <v>0</v>
      </c>
      <c r="F69" s="136">
        <v>0</v>
      </c>
      <c r="G69" s="136">
        <v>0</v>
      </c>
      <c r="H69" s="136">
        <v>0</v>
      </c>
      <c r="I69" s="136">
        <v>0</v>
      </c>
      <c r="J69" s="136">
        <v>0</v>
      </c>
      <c r="K69" s="136">
        <v>0</v>
      </c>
      <c r="L69" s="136">
        <v>0</v>
      </c>
      <c r="M69" s="136">
        <v>0</v>
      </c>
      <c r="N69" s="136">
        <v>0</v>
      </c>
      <c r="O69" s="136">
        <v>0</v>
      </c>
      <c r="P69" s="136">
        <v>0</v>
      </c>
      <c r="Q69" s="136">
        <v>0</v>
      </c>
      <c r="R69" s="136">
        <v>0</v>
      </c>
      <c r="S69" s="136">
        <v>0</v>
      </c>
      <c r="T69" s="136">
        <v>0</v>
      </c>
      <c r="U69" s="136">
        <v>0</v>
      </c>
      <c r="V69" s="136">
        <v>0</v>
      </c>
      <c r="W69" s="136">
        <v>0</v>
      </c>
      <c r="X69" s="136">
        <v>0</v>
      </c>
      <c r="Y69" s="136">
        <v>0</v>
      </c>
      <c r="Z69" s="136">
        <v>0</v>
      </c>
      <c r="AA69" s="136">
        <v>0</v>
      </c>
      <c r="AB69" s="136">
        <v>0</v>
      </c>
      <c r="AC69" s="136">
        <v>0</v>
      </c>
      <c r="AD69" s="136">
        <v>0</v>
      </c>
      <c r="AE69" s="136">
        <v>0</v>
      </c>
      <c r="AF69" s="136">
        <v>0</v>
      </c>
      <c r="AG69" s="136">
        <v>0</v>
      </c>
      <c r="AH69" s="136">
        <v>0</v>
      </c>
      <c r="AI69" s="136">
        <v>0</v>
      </c>
      <c r="AJ69" s="136">
        <v>0</v>
      </c>
      <c r="AK69" s="136">
        <v>0</v>
      </c>
      <c r="AL69" s="136">
        <v>0</v>
      </c>
      <c r="AM69" s="136">
        <v>0</v>
      </c>
      <c r="AN69" s="136">
        <v>0</v>
      </c>
      <c r="AO69" s="136">
        <v>-10000</v>
      </c>
      <c r="AP69" s="136">
        <v>0</v>
      </c>
      <c r="AQ69" s="136">
        <v>0</v>
      </c>
      <c r="AR69" s="136">
        <v>0</v>
      </c>
      <c r="AS69" s="136">
        <v>0</v>
      </c>
      <c r="AT69" s="136">
        <v>0</v>
      </c>
      <c r="AU69" s="136">
        <v>0</v>
      </c>
    </row>
    <row r="70" spans="1:47" x14ac:dyDescent="0.2">
      <c r="B70" s="135" t="s">
        <v>635</v>
      </c>
      <c r="C70" s="136" t="s">
        <v>160</v>
      </c>
      <c r="D70" s="136" t="s">
        <v>160</v>
      </c>
      <c r="E70" s="136" t="s">
        <v>160</v>
      </c>
      <c r="F70" s="136" t="s">
        <v>160</v>
      </c>
      <c r="G70" s="136" t="s">
        <v>160</v>
      </c>
      <c r="H70" s="136" t="s">
        <v>160</v>
      </c>
      <c r="I70" s="136">
        <v>0</v>
      </c>
      <c r="J70" s="136">
        <v>0</v>
      </c>
      <c r="K70" s="136">
        <v>-12697</v>
      </c>
      <c r="L70" s="136">
        <v>0</v>
      </c>
      <c r="M70" s="136">
        <v>156</v>
      </c>
      <c r="N70" s="136">
        <v>-137</v>
      </c>
      <c r="O70" s="136">
        <v>0</v>
      </c>
      <c r="P70" s="136">
        <v>0</v>
      </c>
      <c r="Q70" s="136">
        <v>0</v>
      </c>
      <c r="R70" s="136">
        <v>0</v>
      </c>
      <c r="S70" s="136">
        <v>0</v>
      </c>
      <c r="T70" s="136"/>
      <c r="U70" s="136">
        <v>0</v>
      </c>
      <c r="V70" s="136">
        <v>0</v>
      </c>
      <c r="W70" s="136">
        <v>0</v>
      </c>
      <c r="X70" s="136">
        <v>0</v>
      </c>
      <c r="Y70" s="136">
        <v>0</v>
      </c>
      <c r="Z70" s="136">
        <v>0</v>
      </c>
      <c r="AA70" s="136">
        <v>0</v>
      </c>
      <c r="AB70" s="136">
        <v>0</v>
      </c>
      <c r="AC70" s="136">
        <v>0</v>
      </c>
      <c r="AD70" s="136">
        <v>0</v>
      </c>
      <c r="AE70" s="136">
        <v>0</v>
      </c>
      <c r="AF70" s="136">
        <v>-4000</v>
      </c>
      <c r="AG70" s="136">
        <v>-1866</v>
      </c>
      <c r="AH70" s="136">
        <v>0</v>
      </c>
      <c r="AI70" s="136">
        <v>0</v>
      </c>
      <c r="AJ70" s="136">
        <v>-1851</v>
      </c>
      <c r="AK70" s="136">
        <v>-1152</v>
      </c>
      <c r="AL70" s="136">
        <v>0</v>
      </c>
      <c r="AM70" s="136">
        <v>0</v>
      </c>
      <c r="AN70" s="136">
        <v>0</v>
      </c>
      <c r="AO70" s="136">
        <v>0</v>
      </c>
      <c r="AP70" s="136">
        <v>-6000</v>
      </c>
      <c r="AQ70" s="136">
        <v>0</v>
      </c>
      <c r="AR70" s="136">
        <v>0</v>
      </c>
      <c r="AS70" s="136">
        <v>0</v>
      </c>
      <c r="AT70" s="136">
        <v>0</v>
      </c>
      <c r="AU70" s="136">
        <v>0</v>
      </c>
    </row>
    <row r="71" spans="1:47" hidden="1" outlineLevel="1" x14ac:dyDescent="0.2">
      <c r="B71" s="230" t="s">
        <v>1115</v>
      </c>
      <c r="C71" s="231" t="s">
        <v>160</v>
      </c>
      <c r="D71" s="231" t="s">
        <v>160</v>
      </c>
      <c r="E71" s="231" t="s">
        <v>160</v>
      </c>
      <c r="F71" s="231" t="s">
        <v>160</v>
      </c>
      <c r="G71" s="231" t="s">
        <v>160</v>
      </c>
      <c r="H71" s="231" t="s">
        <v>160</v>
      </c>
      <c r="I71" s="231" t="s">
        <v>160</v>
      </c>
      <c r="J71" s="231" t="s">
        <v>160</v>
      </c>
      <c r="K71" s="231" t="s">
        <v>160</v>
      </c>
      <c r="L71" s="231" t="s">
        <v>160</v>
      </c>
      <c r="M71" s="231">
        <v>0</v>
      </c>
      <c r="N71" s="231" t="s">
        <v>160</v>
      </c>
      <c r="O71" s="231">
        <v>0</v>
      </c>
      <c r="P71" s="231">
        <v>0</v>
      </c>
      <c r="Q71" s="231">
        <v>0</v>
      </c>
      <c r="R71" s="231">
        <v>0</v>
      </c>
      <c r="S71" s="231">
        <v>0</v>
      </c>
      <c r="T71" s="231">
        <v>0</v>
      </c>
      <c r="U71" s="231">
        <v>0</v>
      </c>
      <c r="V71" s="231">
        <v>0</v>
      </c>
      <c r="W71" s="231">
        <v>0</v>
      </c>
      <c r="X71" s="231">
        <v>0</v>
      </c>
      <c r="Y71" s="231">
        <v>0</v>
      </c>
      <c r="Z71" s="231">
        <v>0</v>
      </c>
      <c r="AA71" s="231">
        <v>0</v>
      </c>
      <c r="AB71" s="231">
        <v>0</v>
      </c>
      <c r="AC71" s="231">
        <v>0</v>
      </c>
      <c r="AD71" s="231">
        <v>3775</v>
      </c>
      <c r="AE71" s="231">
        <v>0</v>
      </c>
      <c r="AF71" s="231">
        <v>0</v>
      </c>
      <c r="AG71" s="231">
        <v>0</v>
      </c>
      <c r="AH71" s="231">
        <v>0</v>
      </c>
      <c r="AI71" s="231">
        <v>0</v>
      </c>
      <c r="AJ71" s="231">
        <v>0</v>
      </c>
      <c r="AK71" s="231">
        <v>0</v>
      </c>
      <c r="AL71" s="231">
        <v>0</v>
      </c>
      <c r="AM71" s="231">
        <v>0</v>
      </c>
      <c r="AN71" s="231">
        <v>0</v>
      </c>
      <c r="AO71" s="231">
        <v>0</v>
      </c>
      <c r="AP71" s="231">
        <v>0</v>
      </c>
      <c r="AQ71" s="231">
        <v>0</v>
      </c>
      <c r="AR71" s="231">
        <v>0</v>
      </c>
      <c r="AS71" s="231">
        <v>0</v>
      </c>
      <c r="AT71" s="231">
        <v>0</v>
      </c>
      <c r="AU71" s="231">
        <v>0</v>
      </c>
    </row>
    <row r="72" spans="1:47" ht="25.5" hidden="1" outlineLevel="1" x14ac:dyDescent="0.2">
      <c r="B72" s="230" t="s">
        <v>1155</v>
      </c>
      <c r="C72" s="231" t="s">
        <v>160</v>
      </c>
      <c r="D72" s="231" t="s">
        <v>160</v>
      </c>
      <c r="E72" s="231" t="s">
        <v>160</v>
      </c>
      <c r="F72" s="231" t="s">
        <v>160</v>
      </c>
      <c r="G72" s="231" t="s">
        <v>160</v>
      </c>
      <c r="H72" s="231" t="s">
        <v>160</v>
      </c>
      <c r="I72" s="231" t="s">
        <v>160</v>
      </c>
      <c r="J72" s="231" t="s">
        <v>160</v>
      </c>
      <c r="K72" s="231" t="s">
        <v>160</v>
      </c>
      <c r="L72" s="231" t="s">
        <v>160</v>
      </c>
      <c r="M72" s="231">
        <v>0</v>
      </c>
      <c r="N72" s="231" t="s">
        <v>160</v>
      </c>
      <c r="O72" s="231">
        <v>0</v>
      </c>
      <c r="P72" s="231">
        <v>0</v>
      </c>
      <c r="Q72" s="231">
        <v>0</v>
      </c>
      <c r="R72" s="231">
        <v>0</v>
      </c>
      <c r="S72" s="231">
        <v>0</v>
      </c>
      <c r="T72" s="231">
        <v>0</v>
      </c>
      <c r="U72" s="231">
        <v>0</v>
      </c>
      <c r="V72" s="231">
        <v>0</v>
      </c>
      <c r="W72" s="231">
        <v>0</v>
      </c>
      <c r="X72" s="231">
        <v>0</v>
      </c>
      <c r="Y72" s="231">
        <v>0</v>
      </c>
      <c r="Z72" s="231">
        <v>0</v>
      </c>
      <c r="AA72" s="231">
        <v>0</v>
      </c>
      <c r="AB72" s="231">
        <v>0</v>
      </c>
      <c r="AC72" s="231">
        <v>0</v>
      </c>
      <c r="AD72" s="231">
        <v>0</v>
      </c>
      <c r="AE72" s="231">
        <v>0</v>
      </c>
      <c r="AF72" s="231">
        <v>0</v>
      </c>
      <c r="AG72" s="231">
        <v>525</v>
      </c>
      <c r="AH72" s="231">
        <v>-1</v>
      </c>
      <c r="AI72" s="231">
        <v>0</v>
      </c>
      <c r="AJ72" s="231">
        <v>0</v>
      </c>
      <c r="AK72" s="231">
        <v>0</v>
      </c>
      <c r="AL72" s="231">
        <v>0</v>
      </c>
      <c r="AM72" s="231">
        <v>0</v>
      </c>
      <c r="AN72" s="231">
        <v>0</v>
      </c>
      <c r="AO72" s="231">
        <v>0</v>
      </c>
      <c r="AP72" s="231">
        <v>0</v>
      </c>
      <c r="AQ72" s="231">
        <v>0</v>
      </c>
      <c r="AR72" s="231">
        <v>0</v>
      </c>
      <c r="AS72" s="231">
        <v>0</v>
      </c>
      <c r="AT72" s="231">
        <v>0</v>
      </c>
      <c r="AU72" s="231">
        <v>0</v>
      </c>
    </row>
    <row r="73" spans="1:47" hidden="1" outlineLevel="1" x14ac:dyDescent="0.2">
      <c r="B73" s="230" t="s">
        <v>1156</v>
      </c>
      <c r="C73" s="231" t="s">
        <v>160</v>
      </c>
      <c r="D73" s="231" t="s">
        <v>160</v>
      </c>
      <c r="E73" s="231" t="s">
        <v>160</v>
      </c>
      <c r="F73" s="231" t="s">
        <v>160</v>
      </c>
      <c r="G73" s="231" t="s">
        <v>160</v>
      </c>
      <c r="H73" s="231" t="s">
        <v>160</v>
      </c>
      <c r="I73" s="231" t="s">
        <v>160</v>
      </c>
      <c r="J73" s="231" t="s">
        <v>160</v>
      </c>
      <c r="K73" s="231" t="s">
        <v>160</v>
      </c>
      <c r="L73" s="231" t="s">
        <v>160</v>
      </c>
      <c r="M73" s="231">
        <v>0</v>
      </c>
      <c r="N73" s="231" t="s">
        <v>160</v>
      </c>
      <c r="O73" s="231">
        <v>0</v>
      </c>
      <c r="P73" s="231">
        <v>0</v>
      </c>
      <c r="Q73" s="231">
        <v>0</v>
      </c>
      <c r="R73" s="231">
        <v>0</v>
      </c>
      <c r="S73" s="231">
        <v>0</v>
      </c>
      <c r="T73" s="231">
        <v>0</v>
      </c>
      <c r="U73" s="231">
        <v>0</v>
      </c>
      <c r="V73" s="231">
        <v>0</v>
      </c>
      <c r="W73" s="231">
        <v>0</v>
      </c>
      <c r="X73" s="231">
        <v>0</v>
      </c>
      <c r="Y73" s="231">
        <v>0</v>
      </c>
      <c r="Z73" s="231">
        <v>0</v>
      </c>
      <c r="AA73" s="231">
        <v>0</v>
      </c>
      <c r="AB73" s="231">
        <v>0</v>
      </c>
      <c r="AC73" s="231">
        <v>0</v>
      </c>
      <c r="AD73" s="231">
        <v>0</v>
      </c>
      <c r="AE73" s="231">
        <v>0</v>
      </c>
      <c r="AF73" s="231">
        <v>0</v>
      </c>
      <c r="AG73" s="231">
        <v>0</v>
      </c>
      <c r="AH73" s="231">
        <v>0</v>
      </c>
      <c r="AI73" s="231">
        <v>0</v>
      </c>
      <c r="AJ73" s="231">
        <v>0</v>
      </c>
      <c r="AK73" s="231">
        <v>0</v>
      </c>
      <c r="AL73" s="231">
        <v>0</v>
      </c>
      <c r="AM73" s="231">
        <v>0</v>
      </c>
      <c r="AN73" s="231">
        <v>0</v>
      </c>
      <c r="AO73" s="231" t="s">
        <v>160</v>
      </c>
      <c r="AP73" s="231">
        <v>0</v>
      </c>
      <c r="AQ73" s="231" t="s">
        <v>160</v>
      </c>
      <c r="AR73" s="231" t="s">
        <v>160</v>
      </c>
      <c r="AS73" s="231" t="s">
        <v>160</v>
      </c>
      <c r="AT73" s="231" t="s">
        <v>160</v>
      </c>
      <c r="AU73" s="231" t="s">
        <v>160</v>
      </c>
    </row>
    <row r="74" spans="1:47" hidden="1" outlineLevel="1" x14ac:dyDescent="0.2">
      <c r="B74" s="230" t="s">
        <v>353</v>
      </c>
      <c r="C74" s="231">
        <v>40199</v>
      </c>
      <c r="D74" s="231">
        <v>0</v>
      </c>
      <c r="E74" s="231">
        <v>41867</v>
      </c>
      <c r="F74" s="231">
        <v>0</v>
      </c>
      <c r="G74" s="231">
        <v>0</v>
      </c>
      <c r="H74" s="231">
        <v>0</v>
      </c>
      <c r="I74" s="231">
        <v>0</v>
      </c>
      <c r="J74" s="231">
        <v>0</v>
      </c>
      <c r="K74" s="231">
        <v>0</v>
      </c>
      <c r="L74" s="231">
        <v>0</v>
      </c>
      <c r="M74" s="231">
        <v>0</v>
      </c>
      <c r="N74" s="231">
        <v>0</v>
      </c>
      <c r="O74" s="231">
        <v>0</v>
      </c>
      <c r="P74" s="231">
        <v>0</v>
      </c>
      <c r="Q74" s="231">
        <v>0</v>
      </c>
      <c r="R74" s="231">
        <v>0</v>
      </c>
      <c r="S74" s="231">
        <v>0</v>
      </c>
      <c r="T74" s="231"/>
      <c r="U74" s="231">
        <v>0</v>
      </c>
      <c r="V74" s="136">
        <v>0</v>
      </c>
      <c r="W74" s="136">
        <v>0</v>
      </c>
      <c r="X74" s="136">
        <v>0</v>
      </c>
      <c r="Y74" s="136">
        <v>0</v>
      </c>
      <c r="Z74" s="136">
        <v>0</v>
      </c>
      <c r="AA74" s="136">
        <v>0</v>
      </c>
      <c r="AB74" s="136">
        <v>0</v>
      </c>
      <c r="AC74" s="136">
        <v>0</v>
      </c>
      <c r="AD74" s="136">
        <v>0</v>
      </c>
      <c r="AE74" s="136">
        <v>0</v>
      </c>
      <c r="AF74" s="136">
        <v>0</v>
      </c>
      <c r="AG74" s="136">
        <v>0</v>
      </c>
      <c r="AH74" s="136">
        <v>0</v>
      </c>
      <c r="AI74" s="136">
        <v>0</v>
      </c>
      <c r="AJ74" s="136">
        <v>0</v>
      </c>
      <c r="AK74" s="136">
        <v>0</v>
      </c>
      <c r="AL74" s="136">
        <v>0</v>
      </c>
      <c r="AM74" s="136">
        <v>0</v>
      </c>
      <c r="AN74" s="136"/>
      <c r="AO74" s="136"/>
      <c r="AP74" s="136">
        <v>0</v>
      </c>
      <c r="AQ74" s="136"/>
      <c r="AR74" s="136">
        <v>0</v>
      </c>
      <c r="AS74" s="136">
        <v>0</v>
      </c>
      <c r="AT74" s="136">
        <v>0</v>
      </c>
      <c r="AU74" s="136">
        <v>0</v>
      </c>
    </row>
    <row r="75" spans="1:47" hidden="1" outlineLevel="1" x14ac:dyDescent="0.2">
      <c r="B75" s="230" t="s">
        <v>778</v>
      </c>
      <c r="C75" s="231" t="s">
        <v>160</v>
      </c>
      <c r="D75" s="231" t="s">
        <v>160</v>
      </c>
      <c r="E75" s="231" t="s">
        <v>160</v>
      </c>
      <c r="F75" s="231" t="s">
        <v>160</v>
      </c>
      <c r="G75" s="231" t="s">
        <v>160</v>
      </c>
      <c r="H75" s="231" t="s">
        <v>160</v>
      </c>
      <c r="I75" s="231" t="s">
        <v>160</v>
      </c>
      <c r="J75" s="231" t="s">
        <v>160</v>
      </c>
      <c r="K75" s="231" t="s">
        <v>160</v>
      </c>
      <c r="L75" s="231" t="s">
        <v>160</v>
      </c>
      <c r="M75" s="231">
        <v>0</v>
      </c>
      <c r="N75" s="231">
        <v>0</v>
      </c>
      <c r="O75" s="231">
        <v>0</v>
      </c>
      <c r="P75" s="231" t="s">
        <v>160</v>
      </c>
      <c r="Q75" s="231">
        <v>491</v>
      </c>
      <c r="R75" s="231">
        <v>0</v>
      </c>
      <c r="S75" s="231">
        <v>0</v>
      </c>
      <c r="T75" s="231">
        <v>0</v>
      </c>
      <c r="U75" s="231">
        <v>320</v>
      </c>
      <c r="V75" s="136">
        <v>0</v>
      </c>
      <c r="W75" s="136">
        <v>0</v>
      </c>
      <c r="X75" s="136">
        <v>0</v>
      </c>
      <c r="Y75" s="136">
        <v>0</v>
      </c>
      <c r="Z75" s="136">
        <v>0</v>
      </c>
      <c r="AA75" s="136">
        <v>0</v>
      </c>
      <c r="AB75" s="136">
        <v>0</v>
      </c>
      <c r="AC75" s="136">
        <v>0</v>
      </c>
      <c r="AD75" s="136">
        <v>0</v>
      </c>
      <c r="AE75" s="136">
        <v>0</v>
      </c>
      <c r="AF75" s="136">
        <v>0</v>
      </c>
      <c r="AG75" s="136">
        <v>0</v>
      </c>
      <c r="AH75" s="136">
        <v>0</v>
      </c>
      <c r="AI75" s="136">
        <v>0</v>
      </c>
      <c r="AJ75" s="136">
        <v>0</v>
      </c>
      <c r="AK75" s="136">
        <v>0</v>
      </c>
      <c r="AL75" s="136">
        <v>0</v>
      </c>
      <c r="AM75" s="136">
        <v>0</v>
      </c>
      <c r="AN75" s="136"/>
      <c r="AO75" s="136"/>
      <c r="AP75" s="136">
        <v>0</v>
      </c>
      <c r="AQ75" s="136"/>
      <c r="AR75" s="136">
        <v>0</v>
      </c>
      <c r="AS75" s="136">
        <v>0</v>
      </c>
      <c r="AT75" s="136">
        <v>0</v>
      </c>
      <c r="AU75" s="136">
        <v>0</v>
      </c>
    </row>
    <row r="76" spans="1:47" ht="25.5" hidden="1" outlineLevel="1" x14ac:dyDescent="0.2">
      <c r="B76" s="230" t="s">
        <v>752</v>
      </c>
      <c r="C76" s="231" t="s">
        <v>160</v>
      </c>
      <c r="D76" s="231" t="s">
        <v>160</v>
      </c>
      <c r="E76" s="231" t="s">
        <v>160</v>
      </c>
      <c r="F76" s="231" t="s">
        <v>160</v>
      </c>
      <c r="G76" s="231" t="s">
        <v>160</v>
      </c>
      <c r="H76" s="231" t="s">
        <v>160</v>
      </c>
      <c r="I76" s="231" t="s">
        <v>160</v>
      </c>
      <c r="J76" s="231" t="s">
        <v>160</v>
      </c>
      <c r="K76" s="231" t="s">
        <v>160</v>
      </c>
      <c r="L76" s="231" t="s">
        <v>160</v>
      </c>
      <c r="M76" s="231">
        <v>0</v>
      </c>
      <c r="N76" s="231" t="s">
        <v>160</v>
      </c>
      <c r="O76" s="231">
        <v>-655</v>
      </c>
      <c r="P76" s="231">
        <v>0</v>
      </c>
      <c r="Q76" s="231">
        <v>0</v>
      </c>
      <c r="R76" s="231">
        <v>0</v>
      </c>
      <c r="S76" s="231">
        <v>0</v>
      </c>
      <c r="T76" s="231">
        <v>0</v>
      </c>
      <c r="U76" s="231">
        <v>0</v>
      </c>
      <c r="V76" s="136">
        <v>0</v>
      </c>
      <c r="W76" s="136">
        <v>0</v>
      </c>
      <c r="X76" s="136">
        <v>0</v>
      </c>
      <c r="Y76" s="136">
        <v>0</v>
      </c>
      <c r="Z76" s="136">
        <v>0</v>
      </c>
      <c r="AA76" s="136">
        <v>0</v>
      </c>
      <c r="AB76" s="136">
        <v>0</v>
      </c>
      <c r="AC76" s="136">
        <v>0</v>
      </c>
      <c r="AD76" s="136">
        <v>0</v>
      </c>
      <c r="AE76" s="136">
        <v>0</v>
      </c>
      <c r="AF76" s="136">
        <v>0</v>
      </c>
      <c r="AG76" s="136">
        <v>0</v>
      </c>
      <c r="AH76" s="136">
        <v>0</v>
      </c>
      <c r="AI76" s="136">
        <v>0</v>
      </c>
      <c r="AJ76" s="136">
        <v>0</v>
      </c>
      <c r="AK76" s="136">
        <v>0</v>
      </c>
      <c r="AL76" s="136">
        <v>0</v>
      </c>
      <c r="AM76" s="136">
        <v>0</v>
      </c>
      <c r="AN76" s="136"/>
      <c r="AO76" s="136"/>
      <c r="AP76" s="136">
        <v>0</v>
      </c>
      <c r="AQ76" s="136"/>
      <c r="AR76" s="136">
        <v>0</v>
      </c>
      <c r="AS76" s="136">
        <v>0</v>
      </c>
      <c r="AT76" s="136">
        <v>0</v>
      </c>
      <c r="AU76" s="136">
        <v>0</v>
      </c>
    </row>
    <row r="77" spans="1:47" hidden="1" outlineLevel="1" x14ac:dyDescent="0.2">
      <c r="B77" s="230" t="s">
        <v>351</v>
      </c>
      <c r="C77" s="231">
        <v>0</v>
      </c>
      <c r="D77" s="231">
        <v>0</v>
      </c>
      <c r="E77" s="231">
        <v>0</v>
      </c>
      <c r="F77" s="231">
        <v>0</v>
      </c>
      <c r="G77" s="231">
        <v>0</v>
      </c>
      <c r="H77" s="231">
        <v>0</v>
      </c>
      <c r="I77" s="231">
        <v>0</v>
      </c>
      <c r="J77" s="231">
        <v>0</v>
      </c>
      <c r="K77" s="231">
        <v>0</v>
      </c>
      <c r="L77" s="231">
        <v>0</v>
      </c>
      <c r="M77" s="231">
        <v>0</v>
      </c>
      <c r="N77" s="231">
        <v>0</v>
      </c>
      <c r="O77" s="231">
        <v>0</v>
      </c>
      <c r="P77" s="231">
        <v>0</v>
      </c>
      <c r="Q77" s="231">
        <v>0</v>
      </c>
      <c r="R77" s="231">
        <v>0</v>
      </c>
      <c r="S77" s="231">
        <v>0</v>
      </c>
      <c r="T77" s="231"/>
      <c r="U77" s="231">
        <v>0</v>
      </c>
      <c r="V77" s="136">
        <v>0</v>
      </c>
      <c r="W77" s="136">
        <v>0</v>
      </c>
      <c r="X77" s="136">
        <v>0</v>
      </c>
      <c r="Y77" s="136">
        <v>0</v>
      </c>
      <c r="Z77" s="136">
        <v>0</v>
      </c>
      <c r="AA77" s="136">
        <v>0</v>
      </c>
      <c r="AB77" s="136">
        <v>0</v>
      </c>
      <c r="AC77" s="136">
        <v>0</v>
      </c>
      <c r="AD77" s="136">
        <v>0</v>
      </c>
      <c r="AE77" s="136">
        <v>0</v>
      </c>
      <c r="AF77" s="136">
        <v>0</v>
      </c>
      <c r="AG77" s="136">
        <v>0</v>
      </c>
      <c r="AH77" s="136">
        <v>0</v>
      </c>
      <c r="AI77" s="136">
        <v>0</v>
      </c>
      <c r="AJ77" s="136">
        <v>0</v>
      </c>
      <c r="AK77" s="136">
        <v>0</v>
      </c>
      <c r="AL77" s="136">
        <v>0</v>
      </c>
      <c r="AM77" s="136">
        <v>0</v>
      </c>
      <c r="AN77" s="136"/>
      <c r="AO77" s="136"/>
      <c r="AP77" s="136">
        <v>0</v>
      </c>
      <c r="AQ77" s="136"/>
      <c r="AR77" s="136">
        <v>0</v>
      </c>
      <c r="AS77" s="136">
        <v>0</v>
      </c>
      <c r="AT77" s="136">
        <v>0</v>
      </c>
      <c r="AU77" s="136">
        <v>0</v>
      </c>
    </row>
    <row r="78" spans="1:47" hidden="1" outlineLevel="1" x14ac:dyDescent="0.2">
      <c r="B78" s="230" t="s">
        <v>350</v>
      </c>
      <c r="C78" s="231">
        <v>0</v>
      </c>
      <c r="D78" s="231">
        <v>0</v>
      </c>
      <c r="E78" s="231">
        <v>0</v>
      </c>
      <c r="F78" s="231">
        <v>0</v>
      </c>
      <c r="G78" s="231">
        <v>0</v>
      </c>
      <c r="H78" s="231">
        <v>0</v>
      </c>
      <c r="I78" s="231">
        <v>0</v>
      </c>
      <c r="J78" s="231">
        <v>0</v>
      </c>
      <c r="K78" s="231">
        <v>0</v>
      </c>
      <c r="L78" s="231">
        <v>0</v>
      </c>
      <c r="M78" s="231">
        <v>0</v>
      </c>
      <c r="N78" s="231">
        <v>0</v>
      </c>
      <c r="O78" s="231">
        <v>0</v>
      </c>
      <c r="P78" s="231">
        <v>0</v>
      </c>
      <c r="Q78" s="231">
        <v>0</v>
      </c>
      <c r="R78" s="231">
        <v>0</v>
      </c>
      <c r="S78" s="231">
        <v>0</v>
      </c>
      <c r="T78" s="231"/>
      <c r="U78" s="231">
        <v>0</v>
      </c>
      <c r="V78" s="136">
        <v>0</v>
      </c>
      <c r="W78" s="136">
        <v>0</v>
      </c>
      <c r="X78" s="136">
        <v>0</v>
      </c>
      <c r="Y78" s="136">
        <v>0</v>
      </c>
      <c r="Z78" s="136">
        <v>0</v>
      </c>
      <c r="AA78" s="136">
        <v>0</v>
      </c>
      <c r="AB78" s="136">
        <v>0</v>
      </c>
      <c r="AC78" s="136">
        <v>0</v>
      </c>
      <c r="AD78" s="136">
        <v>0</v>
      </c>
      <c r="AE78" s="136">
        <v>0</v>
      </c>
      <c r="AF78" s="136">
        <v>0</v>
      </c>
      <c r="AG78" s="136">
        <v>0</v>
      </c>
      <c r="AH78" s="136">
        <v>0</v>
      </c>
      <c r="AI78" s="136">
        <v>0</v>
      </c>
      <c r="AJ78" s="136">
        <v>0</v>
      </c>
      <c r="AK78" s="136">
        <v>0</v>
      </c>
      <c r="AL78" s="136">
        <v>0</v>
      </c>
      <c r="AM78" s="136">
        <v>0</v>
      </c>
      <c r="AN78" s="136"/>
      <c r="AO78" s="136"/>
      <c r="AP78" s="136">
        <v>0</v>
      </c>
      <c r="AQ78" s="136"/>
      <c r="AR78" s="136">
        <v>0</v>
      </c>
      <c r="AS78" s="136">
        <v>0</v>
      </c>
      <c r="AT78" s="136">
        <v>0</v>
      </c>
      <c r="AU78" s="136">
        <v>0</v>
      </c>
    </row>
    <row r="79" spans="1:47" ht="25.5" collapsed="1" x14ac:dyDescent="0.2">
      <c r="B79" s="133" t="s">
        <v>354</v>
      </c>
      <c r="C79" s="134">
        <f t="shared" ref="C79:AQ79" si="35">SUM(C64:C78)</f>
        <v>29159</v>
      </c>
      <c r="D79" s="134">
        <f t="shared" si="35"/>
        <v>-17693</v>
      </c>
      <c r="E79" s="134">
        <f t="shared" si="35"/>
        <v>19208</v>
      </c>
      <c r="F79" s="134">
        <f t="shared" si="35"/>
        <v>-14792</v>
      </c>
      <c r="G79" s="134">
        <f t="shared" si="35"/>
        <v>-10041</v>
      </c>
      <c r="H79" s="134">
        <f t="shared" si="35"/>
        <v>-10522</v>
      </c>
      <c r="I79" s="134">
        <f t="shared" si="35"/>
        <v>-3868</v>
      </c>
      <c r="J79" s="134">
        <f t="shared" si="35"/>
        <v>-6233</v>
      </c>
      <c r="K79" s="134">
        <f t="shared" si="35"/>
        <v>-17994.027199999986</v>
      </c>
      <c r="L79" s="134">
        <f t="shared" si="35"/>
        <v>-6034.25</v>
      </c>
      <c r="M79" s="134">
        <f t="shared" si="35"/>
        <v>-6264.0501199999999</v>
      </c>
      <c r="N79" s="134">
        <f t="shared" si="35"/>
        <v>-5214.8218799999995</v>
      </c>
      <c r="O79" s="134">
        <f t="shared" si="35"/>
        <v>-3791</v>
      </c>
      <c r="P79" s="134">
        <f t="shared" si="35"/>
        <v>-3196</v>
      </c>
      <c r="Q79" s="134">
        <f t="shared" si="35"/>
        <v>-14644.324519999936</v>
      </c>
      <c r="R79" s="134">
        <f t="shared" si="35"/>
        <v>-11143.218080000042</v>
      </c>
      <c r="S79" s="134">
        <f t="shared" si="35"/>
        <v>-8994</v>
      </c>
      <c r="T79" s="134">
        <f t="shared" si="35"/>
        <v>-14452.371810000062</v>
      </c>
      <c r="U79" s="134">
        <f t="shared" si="35"/>
        <v>-3024.6281899999376</v>
      </c>
      <c r="V79" s="134">
        <f t="shared" si="35"/>
        <v>-10402</v>
      </c>
      <c r="W79" s="134">
        <f t="shared" si="35"/>
        <v>-5490</v>
      </c>
      <c r="X79" s="134">
        <f t="shared" si="35"/>
        <v>-2930</v>
      </c>
      <c r="Y79" s="134">
        <f t="shared" si="35"/>
        <v>-931</v>
      </c>
      <c r="Z79" s="134">
        <f t="shared" si="35"/>
        <v>-710</v>
      </c>
      <c r="AA79" s="134">
        <f t="shared" si="35"/>
        <v>-4460</v>
      </c>
      <c r="AB79" s="134">
        <f t="shared" si="35"/>
        <v>-6573</v>
      </c>
      <c r="AC79" s="134">
        <f t="shared" si="35"/>
        <v>-6702</v>
      </c>
      <c r="AD79" s="134">
        <f t="shared" si="35"/>
        <v>345</v>
      </c>
      <c r="AE79" s="134">
        <f t="shared" si="35"/>
        <v>-4647</v>
      </c>
      <c r="AF79" s="134">
        <f t="shared" si="35"/>
        <v>-10654</v>
      </c>
      <c r="AG79" s="134">
        <f t="shared" si="35"/>
        <v>-6143</v>
      </c>
      <c r="AH79" s="134">
        <f t="shared" si="35"/>
        <v>-6695</v>
      </c>
      <c r="AI79" s="134">
        <f t="shared" si="35"/>
        <v>-17168</v>
      </c>
      <c r="AJ79" s="134">
        <f t="shared" si="35"/>
        <v>-3411</v>
      </c>
      <c r="AK79" s="134">
        <f t="shared" si="35"/>
        <v>-6453</v>
      </c>
      <c r="AL79" s="134">
        <f t="shared" si="35"/>
        <v>-2628</v>
      </c>
      <c r="AM79" s="134">
        <f t="shared" si="35"/>
        <v>-15435</v>
      </c>
      <c r="AN79" s="134">
        <f t="shared" si="35"/>
        <v>-9713</v>
      </c>
      <c r="AO79" s="134">
        <f t="shared" si="35"/>
        <v>1262</v>
      </c>
      <c r="AP79" s="134">
        <f t="shared" si="35"/>
        <v>-18918</v>
      </c>
      <c r="AQ79" s="134">
        <f t="shared" si="35"/>
        <v>-10477</v>
      </c>
      <c r="AR79" s="134">
        <f>SUM(AR64:AR78)</f>
        <v>-3927</v>
      </c>
      <c r="AS79" s="134">
        <f>SUM(AS64:AS78)</f>
        <v>-22888</v>
      </c>
      <c r="AT79" s="134">
        <f>SUM(AT64:AT78)</f>
        <v>-29765</v>
      </c>
      <c r="AU79" s="134">
        <f>SUM(AU64:AU78)</f>
        <v>-20563</v>
      </c>
    </row>
    <row r="80" spans="1:47" x14ac:dyDescent="0.2">
      <c r="B80" s="135" t="s">
        <v>733</v>
      </c>
      <c r="C80" s="136">
        <v>0</v>
      </c>
      <c r="D80" s="136">
        <v>0</v>
      </c>
      <c r="E80" s="136">
        <v>-5000</v>
      </c>
      <c r="F80" s="136">
        <v>0</v>
      </c>
      <c r="G80" s="136">
        <v>0</v>
      </c>
      <c r="H80" s="136">
        <v>0</v>
      </c>
      <c r="I80" s="136">
        <v>0</v>
      </c>
      <c r="J80" s="136">
        <v>0</v>
      </c>
      <c r="K80" s="136">
        <v>0</v>
      </c>
      <c r="L80" s="136">
        <v>-8000</v>
      </c>
      <c r="M80" s="136">
        <v>-14750</v>
      </c>
      <c r="N80" s="136">
        <v>-7643</v>
      </c>
      <c r="O80" s="136">
        <v>0</v>
      </c>
      <c r="P80" s="136">
        <v>-38856</v>
      </c>
      <c r="Q80" s="136">
        <v>-21090</v>
      </c>
      <c r="R80" s="136">
        <v>-15554</v>
      </c>
      <c r="S80" s="136">
        <v>0</v>
      </c>
      <c r="T80" s="136">
        <v>-28306</v>
      </c>
      <c r="U80" s="136">
        <v>-29568</v>
      </c>
      <c r="V80" s="136">
        <v>-45696</v>
      </c>
      <c r="W80" s="136">
        <v>0</v>
      </c>
      <c r="X80" s="136">
        <v>0</v>
      </c>
      <c r="Y80" s="136">
        <v>0</v>
      </c>
      <c r="Z80" s="136">
        <v>-22431</v>
      </c>
      <c r="AA80" s="136">
        <v>0</v>
      </c>
      <c r="AB80" s="136">
        <v>-12541</v>
      </c>
      <c r="AC80" s="136">
        <v>-22157</v>
      </c>
      <c r="AD80" s="136">
        <v>-17118</v>
      </c>
      <c r="AE80" s="136">
        <v>0</v>
      </c>
      <c r="AF80" s="136">
        <v>-22339</v>
      </c>
      <c r="AG80" s="136">
        <v>-24589</v>
      </c>
      <c r="AH80" s="136">
        <v>-27035</v>
      </c>
      <c r="AI80" s="136">
        <v>0</v>
      </c>
      <c r="AJ80" s="136">
        <v>-39563</v>
      </c>
      <c r="AK80" s="136">
        <v>-37648</v>
      </c>
      <c r="AL80" s="136">
        <v>-35606</v>
      </c>
      <c r="AM80" s="136">
        <v>0</v>
      </c>
      <c r="AN80" s="136">
        <v>-47713</v>
      </c>
      <c r="AO80" s="136">
        <v>-80444</v>
      </c>
      <c r="AP80" s="136">
        <v>-52001</v>
      </c>
      <c r="AQ80" s="136">
        <v>0</v>
      </c>
      <c r="AR80" s="136">
        <v>-38903</v>
      </c>
      <c r="AS80" s="136">
        <v>-89016</v>
      </c>
      <c r="AT80" s="136">
        <v>-164185</v>
      </c>
      <c r="AU80" s="136">
        <v>0</v>
      </c>
    </row>
    <row r="81" spans="1:47" x14ac:dyDescent="0.2">
      <c r="A81" s="267" t="s">
        <v>732</v>
      </c>
      <c r="B81" s="221" t="s">
        <v>732</v>
      </c>
      <c r="C81" s="136">
        <v>0</v>
      </c>
      <c r="D81" s="136">
        <v>0</v>
      </c>
      <c r="E81" s="136">
        <v>0</v>
      </c>
      <c r="F81" s="136">
        <v>0</v>
      </c>
      <c r="G81" s="136">
        <v>0</v>
      </c>
      <c r="H81" s="136">
        <v>0</v>
      </c>
      <c r="I81" s="136">
        <v>0</v>
      </c>
      <c r="J81" s="136">
        <v>0</v>
      </c>
      <c r="K81" s="136">
        <v>1342</v>
      </c>
      <c r="L81" s="136">
        <f>53132-0.195259999964037</f>
        <v>53131.804740000036</v>
      </c>
      <c r="M81" s="136">
        <v>0</v>
      </c>
      <c r="N81" s="136">
        <v>0</v>
      </c>
      <c r="O81" s="136">
        <v>0</v>
      </c>
      <c r="P81" s="136">
        <v>0</v>
      </c>
      <c r="Q81" s="136">
        <v>50000</v>
      </c>
      <c r="R81" s="136">
        <v>0</v>
      </c>
      <c r="S81" s="136">
        <v>30000</v>
      </c>
      <c r="T81" s="136">
        <v>0</v>
      </c>
      <c r="U81" s="136">
        <v>0</v>
      </c>
      <c r="V81" s="136">
        <v>0</v>
      </c>
      <c r="W81" s="136">
        <v>0</v>
      </c>
      <c r="X81" s="136">
        <v>90000</v>
      </c>
      <c r="Y81" s="136">
        <v>45000</v>
      </c>
      <c r="Z81" s="136">
        <v>0</v>
      </c>
      <c r="AA81" s="136">
        <v>0</v>
      </c>
      <c r="AB81" s="136">
        <v>0</v>
      </c>
      <c r="AC81" s="136">
        <v>0</v>
      </c>
      <c r="AD81" s="136">
        <v>0</v>
      </c>
      <c r="AE81" s="136">
        <v>0</v>
      </c>
      <c r="AF81" s="136">
        <v>0</v>
      </c>
      <c r="AG81" s="136">
        <v>0</v>
      </c>
      <c r="AH81" s="136">
        <v>32568</v>
      </c>
      <c r="AI81" s="136">
        <v>0</v>
      </c>
      <c r="AJ81" s="136">
        <v>0</v>
      </c>
      <c r="AK81" s="136">
        <v>51266</v>
      </c>
      <c r="AL81" s="136">
        <v>5005</v>
      </c>
      <c r="AM81" s="136">
        <v>5910</v>
      </c>
      <c r="AN81" s="136">
        <v>8729</v>
      </c>
      <c r="AO81" s="136">
        <v>0</v>
      </c>
      <c r="AP81" s="136">
        <v>0</v>
      </c>
      <c r="AQ81" s="136">
        <v>6522</v>
      </c>
      <c r="AR81" s="136">
        <v>0</v>
      </c>
      <c r="AS81" s="136">
        <v>0</v>
      </c>
      <c r="AT81" s="136">
        <v>40000</v>
      </c>
      <c r="AU81" s="136">
        <v>0</v>
      </c>
    </row>
    <row r="82" spans="1:47" x14ac:dyDescent="0.2">
      <c r="B82" s="135" t="s">
        <v>1077</v>
      </c>
      <c r="C82" s="136">
        <v>-917</v>
      </c>
      <c r="D82" s="136">
        <v>-163067</v>
      </c>
      <c r="E82" s="136">
        <v>-805</v>
      </c>
      <c r="F82" s="136">
        <v>-613</v>
      </c>
      <c r="G82" s="136">
        <v>-20422</v>
      </c>
      <c r="H82" s="136">
        <v>-306</v>
      </c>
      <c r="I82" s="136">
        <v>-300</v>
      </c>
      <c r="J82" s="136">
        <v>-50257</v>
      </c>
      <c r="K82" s="136">
        <v>-66920</v>
      </c>
      <c r="L82" s="136">
        <v>-263</v>
      </c>
      <c r="M82" s="136">
        <v>-50255.884591548151</v>
      </c>
      <c r="N82" s="136">
        <v>-263.11540845184936</v>
      </c>
      <c r="O82" s="136">
        <v>-66800</v>
      </c>
      <c r="P82" s="136">
        <v>-4620</v>
      </c>
      <c r="Q82" s="136">
        <v>-40000</v>
      </c>
      <c r="R82" s="136">
        <v>0</v>
      </c>
      <c r="S82" s="136">
        <v>-46676</v>
      </c>
      <c r="T82" s="136">
        <v>-3333</v>
      </c>
      <c r="U82" s="136">
        <v>0</v>
      </c>
      <c r="V82" s="136">
        <v>-3334</v>
      </c>
      <c r="W82" s="136">
        <v>0</v>
      </c>
      <c r="X82" s="136">
        <v>-3333</v>
      </c>
      <c r="Y82" s="136">
        <v>-96373</v>
      </c>
      <c r="Z82" s="136">
        <v>0</v>
      </c>
      <c r="AA82" s="136">
        <v>0</v>
      </c>
      <c r="AB82" s="136">
        <v>-40000</v>
      </c>
      <c r="AC82" s="136">
        <v>0</v>
      </c>
      <c r="AD82" s="136">
        <v>0</v>
      </c>
      <c r="AE82" s="136">
        <v>-10000</v>
      </c>
      <c r="AF82" s="136">
        <v>-50000</v>
      </c>
      <c r="AG82" s="136">
        <v>0</v>
      </c>
      <c r="AH82" s="136">
        <v>0</v>
      </c>
      <c r="AI82" s="136">
        <v>-10000</v>
      </c>
      <c r="AJ82" s="136">
        <v>0</v>
      </c>
      <c r="AK82" s="136">
        <v>-45000</v>
      </c>
      <c r="AL82" s="136">
        <v>0</v>
      </c>
      <c r="AM82" s="136">
        <v>0</v>
      </c>
      <c r="AN82" s="136">
        <v>-10000</v>
      </c>
      <c r="AO82" s="136">
        <v>0</v>
      </c>
      <c r="AP82" s="136">
        <v>0</v>
      </c>
      <c r="AQ82" s="136">
        <v>-1018</v>
      </c>
      <c r="AR82" s="136">
        <v>-1087</v>
      </c>
      <c r="AS82" s="136">
        <v>-23448</v>
      </c>
      <c r="AT82" s="136">
        <v>-1062</v>
      </c>
      <c r="AU82" s="136">
        <v>-1018</v>
      </c>
    </row>
    <row r="83" spans="1:47" x14ac:dyDescent="0.2">
      <c r="B83" s="135" t="s">
        <v>1016</v>
      </c>
      <c r="C83" s="136">
        <v>0</v>
      </c>
      <c r="D83" s="136">
        <v>0</v>
      </c>
      <c r="E83" s="136">
        <v>0</v>
      </c>
      <c r="F83" s="136">
        <v>0</v>
      </c>
      <c r="G83" s="136">
        <v>0</v>
      </c>
      <c r="H83" s="136">
        <v>0</v>
      </c>
      <c r="I83" s="136">
        <v>0</v>
      </c>
      <c r="J83" s="136">
        <v>0</v>
      </c>
      <c r="K83" s="136">
        <v>0</v>
      </c>
      <c r="L83" s="136">
        <v>0</v>
      </c>
      <c r="M83" s="136">
        <v>0</v>
      </c>
      <c r="N83" s="136">
        <v>0</v>
      </c>
      <c r="O83" s="136">
        <v>0</v>
      </c>
      <c r="P83" s="136">
        <v>0</v>
      </c>
      <c r="Q83" s="136">
        <v>0</v>
      </c>
      <c r="R83" s="136">
        <v>0</v>
      </c>
      <c r="S83" s="136">
        <v>-5514</v>
      </c>
      <c r="T83" s="136">
        <v>-6540</v>
      </c>
      <c r="U83" s="136">
        <v>-7697</v>
      </c>
      <c r="V83" s="136">
        <v>-10243</v>
      </c>
      <c r="W83" s="136">
        <v>-8318</v>
      </c>
      <c r="X83" s="136">
        <v>-6744</v>
      </c>
      <c r="Y83" s="136">
        <v>-7498</v>
      </c>
      <c r="Z83" s="136">
        <v>-7879</v>
      </c>
      <c r="AA83" s="136">
        <v>-8938</v>
      </c>
      <c r="AB83" s="136">
        <v>-7989</v>
      </c>
      <c r="AC83" s="136">
        <v>-7821</v>
      </c>
      <c r="AD83" s="136">
        <v>-7801</v>
      </c>
      <c r="AE83" s="136">
        <v>-7337</v>
      </c>
      <c r="AF83" s="136">
        <v>-7711</v>
      </c>
      <c r="AG83" s="136">
        <v>-11299</v>
      </c>
      <c r="AH83" s="136">
        <v>-8738</v>
      </c>
      <c r="AI83" s="136">
        <v>-8139</v>
      </c>
      <c r="AJ83" s="136">
        <v>-7850</v>
      </c>
      <c r="AK83" s="136">
        <v>-8241</v>
      </c>
      <c r="AL83" s="136">
        <v>-8760</v>
      </c>
      <c r="AM83" s="136">
        <v>-7662</v>
      </c>
      <c r="AN83" s="136">
        <v>-7743</v>
      </c>
      <c r="AO83" s="136">
        <v>-8056</v>
      </c>
      <c r="AP83" s="136">
        <v>-8107</v>
      </c>
      <c r="AQ83" s="136">
        <v>-7443</v>
      </c>
      <c r="AR83" s="136">
        <v>-7680</v>
      </c>
      <c r="AS83" s="136">
        <v>-7862</v>
      </c>
      <c r="AT83" s="136">
        <v>-8476</v>
      </c>
      <c r="AU83" s="136">
        <v>-8516</v>
      </c>
    </row>
    <row r="84" spans="1:47" ht="12" customHeight="1" x14ac:dyDescent="0.2">
      <c r="B84" s="135" t="s">
        <v>1101</v>
      </c>
      <c r="C84" s="136">
        <v>-16</v>
      </c>
      <c r="D84" s="136">
        <v>-5.0000000000000009</v>
      </c>
      <c r="E84" s="136">
        <v>0</v>
      </c>
      <c r="F84" s="136">
        <v>-2666</v>
      </c>
      <c r="G84" s="136">
        <v>-2290</v>
      </c>
      <c r="H84" s="136">
        <v>-7</v>
      </c>
      <c r="I84" s="136">
        <f>-3790+2283</f>
        <v>-1507</v>
      </c>
      <c r="J84" s="136">
        <v>-7</v>
      </c>
      <c r="K84" s="136">
        <v>0</v>
      </c>
      <c r="L84" s="136">
        <v>0</v>
      </c>
      <c r="M84" s="136">
        <v>0</v>
      </c>
      <c r="N84" s="136">
        <v>0</v>
      </c>
      <c r="O84" s="136">
        <v>0</v>
      </c>
      <c r="P84" s="136">
        <v>0</v>
      </c>
      <c r="Q84" s="136">
        <v>0</v>
      </c>
      <c r="R84" s="136">
        <v>0</v>
      </c>
      <c r="S84" s="136">
        <v>0</v>
      </c>
      <c r="T84" s="136"/>
      <c r="U84" s="136">
        <v>0</v>
      </c>
      <c r="V84" s="136">
        <v>0</v>
      </c>
      <c r="W84" s="136">
        <v>0</v>
      </c>
      <c r="X84" s="136">
        <v>0</v>
      </c>
      <c r="Y84" s="136">
        <v>0</v>
      </c>
      <c r="Z84" s="136">
        <v>0</v>
      </c>
      <c r="AA84" s="136">
        <v>0</v>
      </c>
      <c r="AB84" s="136">
        <v>0</v>
      </c>
      <c r="AC84" s="136">
        <v>-25005</v>
      </c>
      <c r="AD84" s="136">
        <v>0</v>
      </c>
      <c r="AE84" s="136">
        <v>0</v>
      </c>
      <c r="AF84" s="136">
        <v>0</v>
      </c>
      <c r="AG84" s="136">
        <v>0</v>
      </c>
      <c r="AH84" s="136">
        <v>0</v>
      </c>
      <c r="AI84" s="136">
        <v>0</v>
      </c>
      <c r="AJ84" s="136">
        <v>0</v>
      </c>
      <c r="AK84" s="136">
        <v>0</v>
      </c>
      <c r="AL84" s="136">
        <v>0</v>
      </c>
      <c r="AM84" s="136">
        <v>0</v>
      </c>
      <c r="AN84" s="136">
        <v>0</v>
      </c>
      <c r="AO84" s="136">
        <v>0</v>
      </c>
      <c r="AP84" s="136">
        <v>0</v>
      </c>
      <c r="AQ84" s="136">
        <v>0</v>
      </c>
      <c r="AR84" s="136">
        <v>0</v>
      </c>
      <c r="AS84" s="136">
        <v>0</v>
      </c>
      <c r="AT84" s="136">
        <v>0</v>
      </c>
      <c r="AU84" s="136">
        <v>0</v>
      </c>
    </row>
    <row r="85" spans="1:47" hidden="1" outlineLevel="1" x14ac:dyDescent="0.2">
      <c r="B85" s="230" t="s">
        <v>773</v>
      </c>
      <c r="C85" s="231">
        <v>-3634</v>
      </c>
      <c r="D85" s="231">
        <v>43431</v>
      </c>
      <c r="E85" s="231">
        <v>-8198</v>
      </c>
      <c r="F85" s="231">
        <v>0</v>
      </c>
      <c r="G85" s="231">
        <v>0</v>
      </c>
      <c r="H85" s="231">
        <v>0</v>
      </c>
      <c r="I85" s="231">
        <v>0</v>
      </c>
      <c r="J85" s="231">
        <v>0</v>
      </c>
      <c r="K85" s="231">
        <v>0</v>
      </c>
      <c r="L85" s="231">
        <v>0</v>
      </c>
      <c r="M85" s="231">
        <v>0</v>
      </c>
      <c r="N85" s="231">
        <v>0</v>
      </c>
      <c r="O85" s="231">
        <v>0</v>
      </c>
      <c r="P85" s="231">
        <v>0</v>
      </c>
      <c r="Q85" s="231">
        <v>0</v>
      </c>
      <c r="R85" s="231">
        <v>-385</v>
      </c>
      <c r="S85" s="231">
        <v>0</v>
      </c>
      <c r="T85" s="231">
        <v>0</v>
      </c>
      <c r="U85" s="231">
        <v>0</v>
      </c>
      <c r="V85" s="231">
        <v>0</v>
      </c>
      <c r="W85" s="231">
        <v>-593</v>
      </c>
      <c r="X85" s="231">
        <v>0</v>
      </c>
      <c r="Y85" s="231">
        <v>17560</v>
      </c>
      <c r="Z85" s="231">
        <v>0</v>
      </c>
      <c r="AA85" s="231">
        <v>0</v>
      </c>
      <c r="AB85" s="231">
        <v>0</v>
      </c>
      <c r="AC85" s="231">
        <v>0</v>
      </c>
      <c r="AD85" s="231">
        <v>0</v>
      </c>
      <c r="AE85" s="231">
        <v>0</v>
      </c>
      <c r="AF85" s="231">
        <v>0</v>
      </c>
      <c r="AG85" s="136">
        <v>0</v>
      </c>
      <c r="AH85" s="136">
        <v>0</v>
      </c>
      <c r="AI85" s="136">
        <v>0</v>
      </c>
      <c r="AJ85" s="136">
        <v>0</v>
      </c>
      <c r="AK85" s="136">
        <v>0</v>
      </c>
      <c r="AL85" s="136">
        <v>0</v>
      </c>
      <c r="AM85" s="136">
        <v>0</v>
      </c>
      <c r="AN85" s="136"/>
      <c r="AO85" s="136"/>
      <c r="AP85" s="136">
        <v>0</v>
      </c>
      <c r="AQ85" s="136"/>
      <c r="AR85" s="136">
        <v>0</v>
      </c>
      <c r="AS85" s="136">
        <v>0</v>
      </c>
      <c r="AT85" s="136">
        <v>0</v>
      </c>
      <c r="AU85" s="136">
        <v>0</v>
      </c>
    </row>
    <row r="86" spans="1:47" hidden="1" outlineLevel="1" x14ac:dyDescent="0.2">
      <c r="B86" s="230" t="s">
        <v>344</v>
      </c>
      <c r="C86" s="231">
        <v>77</v>
      </c>
      <c r="D86" s="231">
        <v>-77</v>
      </c>
      <c r="E86" s="231">
        <v>0</v>
      </c>
      <c r="F86" s="231">
        <v>0</v>
      </c>
      <c r="G86" s="231">
        <v>0</v>
      </c>
      <c r="H86" s="231">
        <v>0</v>
      </c>
      <c r="I86" s="231">
        <v>0</v>
      </c>
      <c r="J86" s="231">
        <v>0</v>
      </c>
      <c r="K86" s="231">
        <v>0</v>
      </c>
      <c r="L86" s="231">
        <v>0</v>
      </c>
      <c r="M86" s="231">
        <v>0</v>
      </c>
      <c r="N86" s="231">
        <v>0</v>
      </c>
      <c r="O86" s="231">
        <v>0</v>
      </c>
      <c r="P86" s="231">
        <v>0</v>
      </c>
      <c r="Q86" s="231">
        <v>0</v>
      </c>
      <c r="R86" s="231">
        <v>0</v>
      </c>
      <c r="S86" s="231">
        <v>0</v>
      </c>
      <c r="T86" s="231"/>
      <c r="U86" s="231">
        <v>0</v>
      </c>
      <c r="V86" s="231">
        <v>0</v>
      </c>
      <c r="W86" s="231">
        <v>0</v>
      </c>
      <c r="X86" s="231">
        <v>0</v>
      </c>
      <c r="Y86" s="231">
        <v>0</v>
      </c>
      <c r="Z86" s="231">
        <v>0</v>
      </c>
      <c r="AA86" s="231">
        <v>0</v>
      </c>
      <c r="AB86" s="231">
        <v>0</v>
      </c>
      <c r="AC86" s="231">
        <v>0</v>
      </c>
      <c r="AD86" s="231">
        <v>0</v>
      </c>
      <c r="AE86" s="231">
        <v>0</v>
      </c>
      <c r="AF86" s="231">
        <v>0</v>
      </c>
      <c r="AG86" s="231">
        <v>0</v>
      </c>
      <c r="AH86" s="231">
        <v>0</v>
      </c>
      <c r="AI86" s="136">
        <v>0</v>
      </c>
      <c r="AJ86" s="136">
        <v>0</v>
      </c>
      <c r="AK86" s="136">
        <v>0</v>
      </c>
      <c r="AL86" s="136">
        <v>0</v>
      </c>
      <c r="AM86" s="136">
        <v>0</v>
      </c>
      <c r="AN86" s="136"/>
      <c r="AO86" s="136"/>
      <c r="AP86" s="136">
        <v>0</v>
      </c>
      <c r="AQ86" s="136"/>
      <c r="AR86" s="136">
        <v>0</v>
      </c>
      <c r="AS86" s="136">
        <v>0</v>
      </c>
      <c r="AT86" s="136">
        <v>0</v>
      </c>
      <c r="AU86" s="136">
        <v>0</v>
      </c>
    </row>
    <row r="87" spans="1:47" ht="25.5" collapsed="1" x14ac:dyDescent="0.2">
      <c r="B87" s="133" t="s">
        <v>356</v>
      </c>
      <c r="C87" s="134">
        <f t="shared" ref="C87:AF87" si="36">SUM(C80:C86)</f>
        <v>-4490</v>
      </c>
      <c r="D87" s="134">
        <f t="shared" si="36"/>
        <v>-119718</v>
      </c>
      <c r="E87" s="134">
        <f t="shared" si="36"/>
        <v>-14003</v>
      </c>
      <c r="F87" s="134">
        <f t="shared" si="36"/>
        <v>-3279</v>
      </c>
      <c r="G87" s="134">
        <f t="shared" si="36"/>
        <v>-22712</v>
      </c>
      <c r="H87" s="134">
        <f t="shared" si="36"/>
        <v>-313</v>
      </c>
      <c r="I87" s="134">
        <f t="shared" si="36"/>
        <v>-1807</v>
      </c>
      <c r="J87" s="134">
        <f t="shared" si="36"/>
        <v>-50264</v>
      </c>
      <c r="K87" s="134">
        <f t="shared" si="36"/>
        <v>-65578</v>
      </c>
      <c r="L87" s="134">
        <f t="shared" si="36"/>
        <v>44868.804740000036</v>
      </c>
      <c r="M87" s="134">
        <f t="shared" si="36"/>
        <v>-65005.884591548151</v>
      </c>
      <c r="N87" s="134">
        <f t="shared" si="36"/>
        <v>-7906.1154084518494</v>
      </c>
      <c r="O87" s="134">
        <f t="shared" si="36"/>
        <v>-66800</v>
      </c>
      <c r="P87" s="134">
        <f t="shared" si="36"/>
        <v>-43476</v>
      </c>
      <c r="Q87" s="134">
        <f t="shared" si="36"/>
        <v>-11090</v>
      </c>
      <c r="R87" s="134">
        <f t="shared" si="36"/>
        <v>-15939</v>
      </c>
      <c r="S87" s="134">
        <f t="shared" si="36"/>
        <v>-22190</v>
      </c>
      <c r="T87" s="134">
        <f t="shared" si="36"/>
        <v>-38179</v>
      </c>
      <c r="U87" s="134">
        <f t="shared" si="36"/>
        <v>-37265</v>
      </c>
      <c r="V87" s="134">
        <f t="shared" si="36"/>
        <v>-59273</v>
      </c>
      <c r="W87" s="134">
        <f t="shared" si="36"/>
        <v>-8911</v>
      </c>
      <c r="X87" s="134">
        <f t="shared" si="36"/>
        <v>79923</v>
      </c>
      <c r="Y87" s="134">
        <f t="shared" si="36"/>
        <v>-41311</v>
      </c>
      <c r="Z87" s="134">
        <f t="shared" si="36"/>
        <v>-30310</v>
      </c>
      <c r="AA87" s="134">
        <f t="shared" si="36"/>
        <v>-8938</v>
      </c>
      <c r="AB87" s="134">
        <f t="shared" si="36"/>
        <v>-60530</v>
      </c>
      <c r="AC87" s="134">
        <f t="shared" si="36"/>
        <v>-54983</v>
      </c>
      <c r="AD87" s="134">
        <f t="shared" si="36"/>
        <v>-24919</v>
      </c>
      <c r="AE87" s="134">
        <f t="shared" si="36"/>
        <v>-17337</v>
      </c>
      <c r="AF87" s="134">
        <f t="shared" si="36"/>
        <v>-80050</v>
      </c>
      <c r="AG87" s="134">
        <f t="shared" ref="AG87:AM87" si="37">SUM(AG80:AG86)</f>
        <v>-35888</v>
      </c>
      <c r="AH87" s="134">
        <f t="shared" si="37"/>
        <v>-3205</v>
      </c>
      <c r="AI87" s="134">
        <f t="shared" si="37"/>
        <v>-18139</v>
      </c>
      <c r="AJ87" s="134">
        <f t="shared" si="37"/>
        <v>-47413</v>
      </c>
      <c r="AK87" s="134">
        <f t="shared" si="37"/>
        <v>-39623</v>
      </c>
      <c r="AL87" s="134">
        <f t="shared" si="37"/>
        <v>-39361</v>
      </c>
      <c r="AM87" s="134">
        <f t="shared" si="37"/>
        <v>-1752</v>
      </c>
      <c r="AN87" s="134">
        <f t="shared" ref="AN87:AU87" si="38">SUM(AN80:AN86)</f>
        <v>-56727</v>
      </c>
      <c r="AO87" s="134">
        <f t="shared" si="38"/>
        <v>-88500</v>
      </c>
      <c r="AP87" s="134">
        <f t="shared" si="38"/>
        <v>-60108</v>
      </c>
      <c r="AQ87" s="134">
        <f t="shared" si="38"/>
        <v>-1939</v>
      </c>
      <c r="AR87" s="134">
        <f t="shared" si="38"/>
        <v>-47670</v>
      </c>
      <c r="AS87" s="134">
        <f t="shared" si="38"/>
        <v>-120326</v>
      </c>
      <c r="AT87" s="134">
        <f t="shared" si="38"/>
        <v>-133723</v>
      </c>
      <c r="AU87" s="134">
        <f t="shared" si="38"/>
        <v>-9534</v>
      </c>
    </row>
    <row r="88" spans="1:47" s="232" customFormat="1" ht="25.5" hidden="1" outlineLevel="1" x14ac:dyDescent="0.2">
      <c r="A88" s="267"/>
      <c r="B88" s="230" t="s">
        <v>357</v>
      </c>
      <c r="C88" s="231">
        <v>0</v>
      </c>
      <c r="D88" s="231">
        <v>0</v>
      </c>
      <c r="E88" s="231">
        <v>0</v>
      </c>
      <c r="F88" s="231">
        <v>0</v>
      </c>
      <c r="G88" s="231">
        <v>0</v>
      </c>
      <c r="H88" s="231">
        <v>0</v>
      </c>
      <c r="I88" s="231">
        <v>0</v>
      </c>
      <c r="J88" s="231">
        <v>0</v>
      </c>
      <c r="K88" s="231">
        <v>0</v>
      </c>
      <c r="L88" s="231">
        <v>0</v>
      </c>
      <c r="M88" s="231">
        <v>0</v>
      </c>
      <c r="N88" s="231">
        <v>0</v>
      </c>
      <c r="O88" s="231">
        <v>0</v>
      </c>
      <c r="P88" s="231">
        <v>0</v>
      </c>
      <c r="Q88" s="231">
        <v>0</v>
      </c>
      <c r="R88" s="231">
        <v>0</v>
      </c>
      <c r="S88" s="231">
        <v>0</v>
      </c>
      <c r="T88" s="231">
        <v>0</v>
      </c>
      <c r="U88" s="231">
        <v>0</v>
      </c>
      <c r="V88" s="136">
        <v>0</v>
      </c>
      <c r="W88" s="136">
        <v>0</v>
      </c>
      <c r="X88" s="136">
        <v>0</v>
      </c>
      <c r="Y88" s="136">
        <v>0</v>
      </c>
      <c r="Z88" s="136">
        <v>0</v>
      </c>
      <c r="AA88" s="136">
        <v>0</v>
      </c>
      <c r="AB88" s="136">
        <v>0</v>
      </c>
      <c r="AC88" s="136">
        <v>0</v>
      </c>
      <c r="AD88" s="136">
        <v>0</v>
      </c>
      <c r="AE88" s="136">
        <v>0</v>
      </c>
      <c r="AF88" s="136">
        <v>0</v>
      </c>
      <c r="AG88" s="136">
        <v>0</v>
      </c>
      <c r="AH88" s="136">
        <v>0</v>
      </c>
      <c r="AI88" s="136">
        <v>0</v>
      </c>
      <c r="AJ88" s="136">
        <v>0</v>
      </c>
      <c r="AK88" s="136">
        <v>0</v>
      </c>
      <c r="AL88" s="136">
        <v>0</v>
      </c>
      <c r="AM88" s="136">
        <v>0</v>
      </c>
      <c r="AN88" s="136">
        <v>0</v>
      </c>
      <c r="AO88" s="136"/>
      <c r="AP88" s="136">
        <v>0</v>
      </c>
      <c r="AQ88" s="136">
        <v>0</v>
      </c>
      <c r="AR88" s="136">
        <v>0</v>
      </c>
      <c r="AS88" s="136">
        <v>0</v>
      </c>
      <c r="AT88" s="136">
        <v>0</v>
      </c>
      <c r="AU88" s="136">
        <v>0</v>
      </c>
    </row>
    <row r="89" spans="1:47" s="232" customFormat="1" ht="25.5" hidden="1" outlineLevel="1" x14ac:dyDescent="0.2">
      <c r="A89" s="267"/>
      <c r="B89" s="230" t="s">
        <v>358</v>
      </c>
      <c r="C89" s="231">
        <v>0</v>
      </c>
      <c r="D89" s="231">
        <v>0</v>
      </c>
      <c r="E89" s="231">
        <v>0</v>
      </c>
      <c r="F89" s="231">
        <v>0</v>
      </c>
      <c r="G89" s="231">
        <v>0</v>
      </c>
      <c r="H89" s="231">
        <v>0</v>
      </c>
      <c r="I89" s="231">
        <v>0</v>
      </c>
      <c r="J89" s="231">
        <v>0</v>
      </c>
      <c r="K89" s="231">
        <v>0</v>
      </c>
      <c r="L89" s="231">
        <v>0</v>
      </c>
      <c r="M89" s="231">
        <v>0</v>
      </c>
      <c r="N89" s="231">
        <v>0</v>
      </c>
      <c r="O89" s="231">
        <v>0</v>
      </c>
      <c r="P89" s="231">
        <v>0</v>
      </c>
      <c r="Q89" s="231">
        <v>0</v>
      </c>
      <c r="R89" s="231">
        <v>0</v>
      </c>
      <c r="S89" s="231">
        <v>0</v>
      </c>
      <c r="T89" s="231">
        <v>0</v>
      </c>
      <c r="U89" s="231">
        <v>0</v>
      </c>
      <c r="V89" s="136">
        <v>0</v>
      </c>
      <c r="W89" s="136">
        <v>0</v>
      </c>
      <c r="X89" s="136">
        <v>0</v>
      </c>
      <c r="Y89" s="136">
        <v>0</v>
      </c>
      <c r="Z89" s="136">
        <v>0</v>
      </c>
      <c r="AA89" s="136">
        <v>0</v>
      </c>
      <c r="AB89" s="136">
        <v>0</v>
      </c>
      <c r="AC89" s="136">
        <v>0</v>
      </c>
      <c r="AD89" s="136">
        <v>0</v>
      </c>
      <c r="AE89" s="136">
        <v>0</v>
      </c>
      <c r="AF89" s="136">
        <v>0</v>
      </c>
      <c r="AG89" s="136">
        <v>0</v>
      </c>
      <c r="AH89" s="136">
        <v>0</v>
      </c>
      <c r="AI89" s="136">
        <v>0</v>
      </c>
      <c r="AJ89" s="136">
        <v>0</v>
      </c>
      <c r="AK89" s="136">
        <v>0</v>
      </c>
      <c r="AL89" s="136">
        <v>0</v>
      </c>
      <c r="AM89" s="136">
        <v>0</v>
      </c>
      <c r="AN89" s="136">
        <v>0</v>
      </c>
      <c r="AO89" s="136"/>
      <c r="AP89" s="136">
        <v>0</v>
      </c>
      <c r="AQ89" s="136">
        <v>0</v>
      </c>
      <c r="AR89" s="136">
        <v>0</v>
      </c>
      <c r="AS89" s="136">
        <v>0</v>
      </c>
      <c r="AT89" s="136">
        <v>0</v>
      </c>
      <c r="AU89" s="136">
        <v>0</v>
      </c>
    </row>
    <row r="90" spans="1:47" s="232" customFormat="1" hidden="1" outlineLevel="1" x14ac:dyDescent="0.2">
      <c r="A90" s="267"/>
      <c r="B90" s="230" t="s">
        <v>359</v>
      </c>
      <c r="C90" s="231">
        <v>0</v>
      </c>
      <c r="D90" s="231">
        <v>0</v>
      </c>
      <c r="E90" s="231">
        <v>0</v>
      </c>
      <c r="F90" s="231">
        <v>0</v>
      </c>
      <c r="G90" s="231">
        <v>0</v>
      </c>
      <c r="H90" s="231">
        <v>0</v>
      </c>
      <c r="I90" s="231">
        <v>0</v>
      </c>
      <c r="J90" s="231">
        <v>0</v>
      </c>
      <c r="K90" s="231">
        <v>0</v>
      </c>
      <c r="L90" s="231">
        <v>0</v>
      </c>
      <c r="M90" s="231">
        <v>0</v>
      </c>
      <c r="N90" s="231">
        <v>0</v>
      </c>
      <c r="O90" s="231">
        <v>0</v>
      </c>
      <c r="P90" s="231">
        <v>0</v>
      </c>
      <c r="Q90" s="231">
        <v>0</v>
      </c>
      <c r="R90" s="231">
        <v>0</v>
      </c>
      <c r="S90" s="231">
        <v>0</v>
      </c>
      <c r="T90" s="231">
        <v>0</v>
      </c>
      <c r="U90" s="231">
        <v>0</v>
      </c>
      <c r="V90" s="136">
        <v>0</v>
      </c>
      <c r="W90" s="136">
        <v>0</v>
      </c>
      <c r="X90" s="136">
        <v>0</v>
      </c>
      <c r="Y90" s="136">
        <v>0</v>
      </c>
      <c r="Z90" s="136">
        <v>0</v>
      </c>
      <c r="AA90" s="136">
        <v>0</v>
      </c>
      <c r="AB90" s="136">
        <v>0</v>
      </c>
      <c r="AC90" s="136">
        <v>0</v>
      </c>
      <c r="AD90" s="136">
        <v>0</v>
      </c>
      <c r="AE90" s="136">
        <v>0</v>
      </c>
      <c r="AF90" s="136">
        <v>0</v>
      </c>
      <c r="AG90" s="136">
        <v>0</v>
      </c>
      <c r="AH90" s="136">
        <v>0</v>
      </c>
      <c r="AI90" s="136">
        <v>0</v>
      </c>
      <c r="AJ90" s="136">
        <v>0</v>
      </c>
      <c r="AK90" s="136">
        <v>0</v>
      </c>
      <c r="AL90" s="136">
        <v>0</v>
      </c>
      <c r="AM90" s="136">
        <v>0</v>
      </c>
      <c r="AN90" s="136">
        <v>0</v>
      </c>
      <c r="AO90" s="136"/>
      <c r="AP90" s="136">
        <v>0</v>
      </c>
      <c r="AQ90" s="136">
        <v>0</v>
      </c>
      <c r="AR90" s="136">
        <v>0</v>
      </c>
      <c r="AS90" s="136">
        <v>0</v>
      </c>
      <c r="AT90" s="136">
        <v>0</v>
      </c>
      <c r="AU90" s="136">
        <v>0</v>
      </c>
    </row>
    <row r="91" spans="1:47" collapsed="1" x14ac:dyDescent="0.2">
      <c r="B91" s="133" t="s">
        <v>360</v>
      </c>
      <c r="C91" s="134">
        <v>0</v>
      </c>
      <c r="D91" s="134">
        <f>SUM(D88:D90)</f>
        <v>0</v>
      </c>
      <c r="E91" s="134">
        <f>SUM(E88:E90)</f>
        <v>0</v>
      </c>
      <c r="F91" s="134">
        <v>0</v>
      </c>
      <c r="G91" s="134">
        <v>0</v>
      </c>
      <c r="H91" s="134">
        <v>0</v>
      </c>
      <c r="I91" s="134">
        <v>0</v>
      </c>
      <c r="J91" s="134">
        <v>0</v>
      </c>
      <c r="K91" s="134">
        <v>0</v>
      </c>
      <c r="L91" s="134">
        <v>0</v>
      </c>
      <c r="M91" s="134">
        <v>0</v>
      </c>
      <c r="N91" s="134">
        <v>0</v>
      </c>
      <c r="O91" s="134">
        <v>0</v>
      </c>
      <c r="P91" s="134">
        <v>0</v>
      </c>
      <c r="Q91" s="134">
        <v>0</v>
      </c>
      <c r="R91" s="134">
        <v>0</v>
      </c>
      <c r="S91" s="134">
        <v>0</v>
      </c>
      <c r="T91" s="134">
        <v>0</v>
      </c>
      <c r="U91" s="134">
        <v>0</v>
      </c>
      <c r="V91" s="134">
        <v>0</v>
      </c>
      <c r="W91" s="134">
        <v>0</v>
      </c>
      <c r="X91" s="134">
        <v>0</v>
      </c>
      <c r="Y91" s="134">
        <v>0</v>
      </c>
      <c r="Z91" s="134">
        <v>0</v>
      </c>
      <c r="AA91" s="134">
        <v>0</v>
      </c>
      <c r="AB91" s="134">
        <v>0</v>
      </c>
      <c r="AC91" s="134">
        <v>0</v>
      </c>
      <c r="AD91" s="134"/>
      <c r="AE91" s="134"/>
      <c r="AF91" s="134">
        <v>0</v>
      </c>
      <c r="AG91" s="134">
        <v>0</v>
      </c>
      <c r="AH91" s="134">
        <v>0</v>
      </c>
      <c r="AI91" s="134">
        <v>0</v>
      </c>
      <c r="AJ91" s="134">
        <v>0</v>
      </c>
      <c r="AK91" s="134">
        <v>0</v>
      </c>
      <c r="AL91" s="134">
        <v>0</v>
      </c>
      <c r="AM91" s="134">
        <v>0</v>
      </c>
      <c r="AN91" s="134">
        <v>0</v>
      </c>
      <c r="AO91" s="134"/>
      <c r="AP91" s="134">
        <v>0</v>
      </c>
      <c r="AQ91" s="134">
        <v>0</v>
      </c>
      <c r="AR91" s="134">
        <v>0</v>
      </c>
      <c r="AS91" s="134">
        <v>0</v>
      </c>
      <c r="AT91" s="134">
        <v>0</v>
      </c>
      <c r="AU91" s="134">
        <v>0</v>
      </c>
    </row>
    <row r="92" spans="1:47" x14ac:dyDescent="0.2">
      <c r="B92" s="133" t="s">
        <v>460</v>
      </c>
      <c r="C92" s="134">
        <f t="shared" ref="C92:AR92" si="39">SUM(C91,C87,C79,C63)</f>
        <v>79102.999999999971</v>
      </c>
      <c r="D92" s="134">
        <f t="shared" si="39"/>
        <v>-175455</v>
      </c>
      <c r="E92" s="134">
        <f t="shared" si="39"/>
        <v>75246.174780000001</v>
      </c>
      <c r="F92" s="134">
        <f t="shared" si="39"/>
        <v>7508</v>
      </c>
      <c r="G92" s="134">
        <f t="shared" si="39"/>
        <v>18433.999720000022</v>
      </c>
      <c r="H92" s="134">
        <f t="shared" si="39"/>
        <v>-13476.999999999998</v>
      </c>
      <c r="I92" s="134">
        <f t="shared" si="39"/>
        <v>22702</v>
      </c>
      <c r="J92" s="134">
        <f t="shared" si="39"/>
        <v>-49060</v>
      </c>
      <c r="K92" s="134">
        <f t="shared" si="39"/>
        <v>-66844.999999999985</v>
      </c>
      <c r="L92" s="134">
        <f t="shared" si="39"/>
        <v>57017</v>
      </c>
      <c r="M92" s="134">
        <f t="shared" si="39"/>
        <v>-37723</v>
      </c>
      <c r="N92" s="134">
        <f t="shared" si="39"/>
        <v>3424.9999999999964</v>
      </c>
      <c r="O92" s="134">
        <f t="shared" si="39"/>
        <v>-23266</v>
      </c>
      <c r="P92" s="134">
        <f t="shared" si="39"/>
        <v>-34777</v>
      </c>
      <c r="Q92" s="134">
        <f t="shared" si="39"/>
        <v>7275</v>
      </c>
      <c r="R92" s="134">
        <f t="shared" si="39"/>
        <v>-14422</v>
      </c>
      <c r="S92" s="134">
        <f t="shared" si="39"/>
        <v>24452</v>
      </c>
      <c r="T92" s="134">
        <f t="shared" si="39"/>
        <v>-1219</v>
      </c>
      <c r="U92" s="134">
        <f t="shared" si="39"/>
        <v>5332.5649900000208</v>
      </c>
      <c r="V92" s="134">
        <f t="shared" si="39"/>
        <v>-44775.740880000012</v>
      </c>
      <c r="W92" s="134">
        <f t="shared" si="39"/>
        <v>58608.393389999968</v>
      </c>
      <c r="X92" s="134">
        <f t="shared" si="39"/>
        <v>160562.51578000002</v>
      </c>
      <c r="Y92" s="134">
        <f t="shared" si="39"/>
        <v>-38708.583880000042</v>
      </c>
      <c r="Z92" s="134">
        <f t="shared" si="39"/>
        <v>12592.838950000027</v>
      </c>
      <c r="AA92" s="134">
        <f t="shared" si="39"/>
        <v>44522.245349999932</v>
      </c>
      <c r="AB92" s="134">
        <f t="shared" si="39"/>
        <v>-60380.039148800017</v>
      </c>
      <c r="AC92" s="134">
        <f t="shared" si="39"/>
        <v>-23108.039800000006</v>
      </c>
      <c r="AD92" s="134">
        <f t="shared" si="39"/>
        <v>-74292.516980000059</v>
      </c>
      <c r="AE92" s="134">
        <f t="shared" si="39"/>
        <v>63375.709109999967</v>
      </c>
      <c r="AF92" s="134">
        <f t="shared" si="39"/>
        <v>-90780.300944425049</v>
      </c>
      <c r="AG92" s="134">
        <f t="shared" si="39"/>
        <v>17519.003068400016</v>
      </c>
      <c r="AH92" s="134">
        <f t="shared" si="39"/>
        <v>53057.361847199965</v>
      </c>
      <c r="AI92" s="134">
        <f t="shared" si="39"/>
        <v>51748.848997799796</v>
      </c>
      <c r="AJ92" s="134">
        <f t="shared" si="39"/>
        <v>-5009.6813599997986</v>
      </c>
      <c r="AK92" s="134">
        <f t="shared" si="39"/>
        <v>21592.701230000093</v>
      </c>
      <c r="AL92" s="134">
        <f t="shared" si="39"/>
        <v>-26091.308489999814</v>
      </c>
      <c r="AM92" s="134">
        <f t="shared" si="39"/>
        <v>67257.066839999767</v>
      </c>
      <c r="AN92" s="134">
        <f t="shared" si="39"/>
        <v>-16994.342319999938</v>
      </c>
      <c r="AO92" s="134">
        <f t="shared" si="39"/>
        <v>-18675.312499999884</v>
      </c>
      <c r="AP92" s="134">
        <f t="shared" si="39"/>
        <v>-22791.037750300136</v>
      </c>
      <c r="AQ92" s="134">
        <f>SUM(AQ91,AQ87,AQ79,AQ63)</f>
        <v>97862.684299999877</v>
      </c>
      <c r="AR92" s="134">
        <f t="shared" si="39"/>
        <v>7953.5088799998048</v>
      </c>
      <c r="AS92" s="134">
        <f>SUM(AS91,AS87,AS79,AS63)</f>
        <v>-101487.01711999995</v>
      </c>
      <c r="AT92" s="134">
        <f>SUM(AT91,AT87,AT79,AT63)</f>
        <v>-131804.6220800002</v>
      </c>
      <c r="AU92" s="134">
        <f>SUM(AU91,AU87,AU79,AU63)</f>
        <v>70329</v>
      </c>
    </row>
    <row r="93" spans="1:47" x14ac:dyDescent="0.2">
      <c r="B93" s="135" t="s">
        <v>361</v>
      </c>
      <c r="C93" s="136">
        <f>+BP!V7</f>
        <v>227857</v>
      </c>
      <c r="D93" s="136">
        <f>+BP!W7</f>
        <v>306960</v>
      </c>
      <c r="E93" s="136">
        <f>+BP!X7</f>
        <v>131505</v>
      </c>
      <c r="F93" s="136">
        <f>+BP!Y7</f>
        <v>206751</v>
      </c>
      <c r="G93" s="136">
        <f>+BP!Z7</f>
        <v>214259</v>
      </c>
      <c r="H93" s="136">
        <f>+BP!AA7</f>
        <v>232693</v>
      </c>
      <c r="I93" s="136">
        <f>+BP!AB7</f>
        <v>219216</v>
      </c>
      <c r="J93" s="136">
        <f>+BP!AC7</f>
        <v>241918</v>
      </c>
      <c r="K93" s="136">
        <f>+BP!AD7</f>
        <v>192858</v>
      </c>
      <c r="L93" s="136">
        <f>+BP!AE7</f>
        <v>126013</v>
      </c>
      <c r="M93" s="136">
        <f>+BP!AF7</f>
        <v>183030</v>
      </c>
      <c r="N93" s="136">
        <f>+BP!AG7</f>
        <v>145307</v>
      </c>
      <c r="O93" s="136">
        <f>+BP!AH7</f>
        <v>148732</v>
      </c>
      <c r="P93" s="136">
        <f t="shared" ref="P93:V93" si="40">+O94</f>
        <v>125466</v>
      </c>
      <c r="Q93" s="136">
        <f t="shared" si="40"/>
        <v>90689</v>
      </c>
      <c r="R93" s="136">
        <f t="shared" si="40"/>
        <v>97964</v>
      </c>
      <c r="S93" s="136">
        <f t="shared" si="40"/>
        <v>83542</v>
      </c>
      <c r="T93" s="136">
        <f t="shared" si="40"/>
        <v>107994</v>
      </c>
      <c r="U93" s="136">
        <f t="shared" si="40"/>
        <v>106775</v>
      </c>
      <c r="V93" s="136">
        <f t="shared" si="40"/>
        <v>112108</v>
      </c>
      <c r="W93" s="136">
        <f t="shared" ref="W93:AC93" si="41">+V94</f>
        <v>67332</v>
      </c>
      <c r="X93" s="136">
        <f t="shared" si="41"/>
        <v>125940</v>
      </c>
      <c r="Y93" s="136">
        <f t="shared" si="41"/>
        <v>286503</v>
      </c>
      <c r="Z93" s="136">
        <f t="shared" si="41"/>
        <v>247793</v>
      </c>
      <c r="AA93" s="136">
        <f t="shared" si="41"/>
        <v>260387</v>
      </c>
      <c r="AB93" s="136">
        <f t="shared" si="41"/>
        <v>304909</v>
      </c>
      <c r="AC93" s="136">
        <f t="shared" si="41"/>
        <v>244529</v>
      </c>
      <c r="AD93" s="136">
        <f t="shared" ref="AD93:AM93" si="42">+AC94</f>
        <v>221421</v>
      </c>
      <c r="AE93" s="136">
        <f t="shared" si="42"/>
        <v>147128</v>
      </c>
      <c r="AF93" s="136">
        <f t="shared" si="42"/>
        <v>210504</v>
      </c>
      <c r="AG93" s="136">
        <f t="shared" si="42"/>
        <v>119723</v>
      </c>
      <c r="AH93" s="136">
        <f t="shared" si="42"/>
        <v>137242</v>
      </c>
      <c r="AI93" s="136">
        <f t="shared" si="42"/>
        <v>190299</v>
      </c>
      <c r="AJ93" s="136">
        <f t="shared" si="42"/>
        <v>242048</v>
      </c>
      <c r="AK93" s="136">
        <f t="shared" si="42"/>
        <v>237038</v>
      </c>
      <c r="AL93" s="136">
        <f t="shared" si="42"/>
        <v>258630</v>
      </c>
      <c r="AM93" s="136">
        <f t="shared" si="42"/>
        <v>232539</v>
      </c>
      <c r="AN93" s="136">
        <f t="shared" ref="AN93:AU93" si="43">+AM94</f>
        <v>299796</v>
      </c>
      <c r="AO93" s="136">
        <f t="shared" si="43"/>
        <v>282802</v>
      </c>
      <c r="AP93" s="136">
        <f t="shared" si="43"/>
        <v>264126</v>
      </c>
      <c r="AQ93" s="136">
        <f t="shared" si="43"/>
        <v>241335</v>
      </c>
      <c r="AR93" s="136">
        <f t="shared" si="43"/>
        <v>339197</v>
      </c>
      <c r="AS93" s="136">
        <f t="shared" si="43"/>
        <v>347151</v>
      </c>
      <c r="AT93" s="136">
        <f t="shared" si="43"/>
        <v>245664</v>
      </c>
      <c r="AU93" s="136">
        <f t="shared" si="43"/>
        <v>113860</v>
      </c>
    </row>
    <row r="94" spans="1:47" x14ac:dyDescent="0.2">
      <c r="B94" s="237" t="s">
        <v>362</v>
      </c>
      <c r="C94" s="238">
        <f>BP!W7</f>
        <v>306960</v>
      </c>
      <c r="D94" s="238">
        <f>BP!X7</f>
        <v>131505</v>
      </c>
      <c r="E94" s="238">
        <f>BP!Y7</f>
        <v>206751</v>
      </c>
      <c r="F94" s="238">
        <f>BP!Z7</f>
        <v>214259</v>
      </c>
      <c r="G94" s="238">
        <f>BP!AA7</f>
        <v>232693</v>
      </c>
      <c r="H94" s="238">
        <f>BP!AB7</f>
        <v>219216</v>
      </c>
      <c r="I94" s="238">
        <f>BP!AC7</f>
        <v>241918</v>
      </c>
      <c r="J94" s="238">
        <f>BP!AD7</f>
        <v>192858</v>
      </c>
      <c r="K94" s="238">
        <f>BP!AE7</f>
        <v>126013</v>
      </c>
      <c r="L94" s="238">
        <f>BP!AF7</f>
        <v>183030</v>
      </c>
      <c r="M94" s="238">
        <f>BP!AG7</f>
        <v>145307</v>
      </c>
      <c r="N94" s="238">
        <f>BP!AH7</f>
        <v>148732</v>
      </c>
      <c r="O94" s="238">
        <f>BP!AI7</f>
        <v>125466</v>
      </c>
      <c r="P94" s="238">
        <f>BP!AJ7</f>
        <v>90689</v>
      </c>
      <c r="Q94" s="238">
        <f>BP!AK7</f>
        <v>97964</v>
      </c>
      <c r="R94" s="238">
        <f>BP!AL7</f>
        <v>83542</v>
      </c>
      <c r="S94" s="238">
        <f>BP!AM7</f>
        <v>107994</v>
      </c>
      <c r="T94" s="238">
        <f>BP!AN7</f>
        <v>106775</v>
      </c>
      <c r="U94" s="238">
        <f>BP!AO7</f>
        <v>112108</v>
      </c>
      <c r="V94" s="238">
        <f>BP!AP7</f>
        <v>67332</v>
      </c>
      <c r="W94" s="238">
        <f>BP!AQ7</f>
        <v>125940</v>
      </c>
      <c r="X94" s="238">
        <f>BP!AR7</f>
        <v>286503</v>
      </c>
      <c r="Y94" s="238">
        <f>BP!AS7</f>
        <v>247793</v>
      </c>
      <c r="Z94" s="238">
        <f>BP!AT7</f>
        <v>260387</v>
      </c>
      <c r="AA94" s="238">
        <f>BP!AU7</f>
        <v>304909</v>
      </c>
      <c r="AB94" s="238">
        <f>BP!AV7</f>
        <v>244529</v>
      </c>
      <c r="AC94" s="238">
        <f>BP!AW7</f>
        <v>221421</v>
      </c>
      <c r="AD94" s="238">
        <f>BP!AX7</f>
        <v>147128</v>
      </c>
      <c r="AE94" s="238">
        <f>BP!AY7</f>
        <v>210504</v>
      </c>
      <c r="AF94" s="238">
        <f>BP!AZ7</f>
        <v>119723</v>
      </c>
      <c r="AG94" s="238">
        <f>BP!BA7</f>
        <v>137242</v>
      </c>
      <c r="AH94" s="238">
        <f>BP!BB7</f>
        <v>190299</v>
      </c>
      <c r="AI94" s="238">
        <f>BP!BC7</f>
        <v>242048</v>
      </c>
      <c r="AJ94" s="238">
        <f>BP!BD7</f>
        <v>237038</v>
      </c>
      <c r="AK94" s="238">
        <f>BP!BE7</f>
        <v>258630</v>
      </c>
      <c r="AL94" s="238">
        <f>BP!BF7</f>
        <v>232539</v>
      </c>
      <c r="AM94" s="238">
        <f>BP!BG7</f>
        <v>299796</v>
      </c>
      <c r="AN94" s="238">
        <f>BP!BH7</f>
        <v>282802</v>
      </c>
      <c r="AO94" s="238">
        <f>BP!BI7</f>
        <v>264126</v>
      </c>
      <c r="AP94" s="238">
        <f>BP!BJ7</f>
        <v>241335</v>
      </c>
      <c r="AQ94" s="238">
        <f>BP!BK7</f>
        <v>339197</v>
      </c>
      <c r="AR94" s="238">
        <f>BP!BL7</f>
        <v>347151</v>
      </c>
      <c r="AS94" s="238">
        <f>BP!BM7</f>
        <v>245664</v>
      </c>
      <c r="AT94" s="238">
        <f>BP!BN7</f>
        <v>113860</v>
      </c>
      <c r="AU94" s="238">
        <f>BP!BO7</f>
        <v>184189</v>
      </c>
    </row>
    <row r="95" spans="1:47" x14ac:dyDescent="0.2">
      <c r="B95" s="60" t="s">
        <v>237</v>
      </c>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37"/>
      <c r="AL95" s="137"/>
      <c r="AM95" s="1216"/>
      <c r="AN95" s="1216"/>
      <c r="AO95" s="1216"/>
      <c r="AP95" s="1216"/>
      <c r="AQ95" s="1216"/>
      <c r="AR95" s="1216"/>
      <c r="AS95" s="1216"/>
      <c r="AT95" s="1216"/>
      <c r="AU95" s="1216"/>
    </row>
    <row r="96" spans="1:47" s="978" customFormat="1" x14ac:dyDescent="0.2">
      <c r="A96" s="979"/>
      <c r="C96" s="980">
        <f t="shared" ref="C96:T96" si="44">+C94-C93-C92</f>
        <v>0</v>
      </c>
      <c r="D96" s="980">
        <f t="shared" si="44"/>
        <v>0</v>
      </c>
      <c r="E96" s="980">
        <f t="shared" si="44"/>
        <v>-0.17478000000119209</v>
      </c>
      <c r="F96" s="980">
        <f t="shared" si="44"/>
        <v>0</v>
      </c>
      <c r="G96" s="980">
        <f t="shared" si="44"/>
        <v>2.7999997837468982E-4</v>
      </c>
      <c r="H96" s="980">
        <f t="shared" si="44"/>
        <v>0</v>
      </c>
      <c r="I96" s="980">
        <f t="shared" si="44"/>
        <v>0</v>
      </c>
      <c r="J96" s="980">
        <f t="shared" si="44"/>
        <v>0</v>
      </c>
      <c r="K96" s="980">
        <f t="shared" si="44"/>
        <v>0</v>
      </c>
      <c r="L96" s="980">
        <f t="shared" si="44"/>
        <v>0</v>
      </c>
      <c r="M96" s="980">
        <f t="shared" si="44"/>
        <v>0</v>
      </c>
      <c r="N96" s="980">
        <f t="shared" si="44"/>
        <v>3.637978807091713E-12</v>
      </c>
      <c r="O96" s="980">
        <f t="shared" si="44"/>
        <v>0</v>
      </c>
      <c r="P96" s="980">
        <f t="shared" si="44"/>
        <v>0</v>
      </c>
      <c r="Q96" s="980">
        <f t="shared" si="44"/>
        <v>0</v>
      </c>
      <c r="R96" s="980">
        <f t="shared" si="44"/>
        <v>0</v>
      </c>
      <c r="S96" s="980">
        <f t="shared" si="44"/>
        <v>0</v>
      </c>
      <c r="T96" s="980">
        <f t="shared" si="44"/>
        <v>0</v>
      </c>
      <c r="U96" s="999">
        <f>+U94-U93-U92</f>
        <v>0.43500999997922918</v>
      </c>
      <c r="V96" s="999">
        <v>-0.25911999999516411</v>
      </c>
      <c r="W96" s="999">
        <f t="shared" ref="W96:AF96" si="45">+W94-W93-W92</f>
        <v>-0.393389999968349</v>
      </c>
      <c r="X96" s="999">
        <f t="shared" si="45"/>
        <v>0.48421999998390675</v>
      </c>
      <c r="Y96" s="999">
        <f t="shared" si="45"/>
        <v>-1.4161199999580276</v>
      </c>
      <c r="Z96" s="999">
        <f t="shared" si="45"/>
        <v>1.1610499999733292</v>
      </c>
      <c r="AA96" s="999">
        <f t="shared" si="45"/>
        <v>-0.24534999993193196</v>
      </c>
      <c r="AB96" s="999">
        <f t="shared" si="45"/>
        <v>3.9148800016846508E-2</v>
      </c>
      <c r="AC96" s="999">
        <f t="shared" si="45"/>
        <v>3.980000000592554E-2</v>
      </c>
      <c r="AD96" s="999">
        <f t="shared" si="45"/>
        <v>-0.48301999994146172</v>
      </c>
      <c r="AE96" s="999">
        <f t="shared" si="45"/>
        <v>0.29089000003295951</v>
      </c>
      <c r="AF96" s="999">
        <f t="shared" si="45"/>
        <v>-0.69905557495076209</v>
      </c>
      <c r="AG96" s="999">
        <f t="shared" ref="AG96:AR96" si="46">+AG94-AG93-AG92</f>
        <v>-3.0684000157634728E-3</v>
      </c>
      <c r="AH96" s="999">
        <f t="shared" si="46"/>
        <v>-0.36184719996526837</v>
      </c>
      <c r="AI96" s="999">
        <f t="shared" si="46"/>
        <v>0.15100220020394772</v>
      </c>
      <c r="AJ96" s="999">
        <f t="shared" si="46"/>
        <v>-0.31864000020141248</v>
      </c>
      <c r="AK96" s="999">
        <f t="shared" si="46"/>
        <v>-0.70123000009334646</v>
      </c>
      <c r="AL96" s="999">
        <f t="shared" si="46"/>
        <v>0.30848999981390079</v>
      </c>
      <c r="AM96" s="999">
        <f t="shared" si="46"/>
        <v>-6.6839999766671099E-2</v>
      </c>
      <c r="AN96" s="999">
        <f t="shared" si="46"/>
        <v>0.34231999993789941</v>
      </c>
      <c r="AO96" s="999">
        <f t="shared" si="46"/>
        <v>-0.68750000011641532</v>
      </c>
      <c r="AP96" s="999">
        <f t="shared" si="46"/>
        <v>3.7750300136394799E-2</v>
      </c>
      <c r="AQ96" s="999">
        <f t="shared" si="46"/>
        <v>-0.68429999987711199</v>
      </c>
      <c r="AR96" s="999">
        <f t="shared" si="46"/>
        <v>0.49112000019522384</v>
      </c>
      <c r="AS96" s="999">
        <f>+AS94-AS93-AS92</f>
        <v>1.7119999945862219E-2</v>
      </c>
      <c r="AT96" s="999">
        <f>+AT94-AT93-AT92</f>
        <v>0.62208000020473264</v>
      </c>
      <c r="AU96" s="999">
        <f>+AU94-AU93-AU92</f>
        <v>0</v>
      </c>
    </row>
    <row r="97" spans="1:49" s="328" customFormat="1" x14ac:dyDescent="0.2">
      <c r="A97" s="907"/>
      <c r="C97" s="1091"/>
      <c r="D97" s="1092"/>
    </row>
    <row r="98" spans="1:49" s="1055" customFormat="1" x14ac:dyDescent="0.2">
      <c r="A98" s="547"/>
      <c r="C98" s="1056"/>
      <c r="D98" s="1057"/>
      <c r="AI98" s="1193"/>
      <c r="AJ98" s="1193"/>
      <c r="AK98" s="1193"/>
      <c r="AL98" s="1193"/>
    </row>
    <row r="99" spans="1:49" s="1055" customFormat="1" x14ac:dyDescent="0.2">
      <c r="C99" s="1058"/>
      <c r="D99" s="1058"/>
      <c r="E99" s="1058"/>
      <c r="F99" s="547"/>
      <c r="G99" s="547"/>
      <c r="H99" s="547"/>
      <c r="I99" s="547"/>
      <c r="J99" s="547"/>
      <c r="K99" s="547"/>
      <c r="L99" s="547"/>
      <c r="M99" s="547"/>
      <c r="N99" s="547"/>
      <c r="O99" s="547" t="s">
        <v>885</v>
      </c>
      <c r="P99" s="547" t="s">
        <v>885</v>
      </c>
      <c r="Q99" s="547"/>
      <c r="R99" s="547"/>
      <c r="S99" s="547" t="s">
        <v>884</v>
      </c>
      <c r="T99" s="547" t="s">
        <v>884</v>
      </c>
      <c r="U99" s="547"/>
      <c r="V99" s="547"/>
      <c r="W99" s="547" t="s">
        <v>928</v>
      </c>
      <c r="X99" s="547" t="s">
        <v>928</v>
      </c>
      <c r="Y99" s="547"/>
      <c r="Z99" s="547"/>
      <c r="AA99" s="547" t="s">
        <v>1074</v>
      </c>
      <c r="AB99" s="547" t="s">
        <v>1074</v>
      </c>
      <c r="AC99" s="547"/>
      <c r="AD99" s="547"/>
      <c r="AE99" s="547" t="s">
        <v>1134</v>
      </c>
      <c r="AF99" s="547" t="s">
        <v>1134</v>
      </c>
      <c r="AG99" s="547"/>
      <c r="AH99" s="547"/>
      <c r="AI99" s="547" t="s">
        <v>1208</v>
      </c>
      <c r="AJ99" s="547" t="s">
        <v>1208</v>
      </c>
      <c r="AK99" s="547"/>
      <c r="AL99" s="547"/>
      <c r="AM99" s="547" t="s">
        <v>1259</v>
      </c>
      <c r="AN99" s="547" t="s">
        <v>1259</v>
      </c>
      <c r="AO99" s="547"/>
      <c r="AP99" s="547"/>
      <c r="AQ99" s="330" t="s">
        <v>1325</v>
      </c>
      <c r="AR99" s="330" t="s">
        <v>1325</v>
      </c>
      <c r="AS99" s="330"/>
      <c r="AT99" s="330"/>
      <c r="AU99" s="330" t="s">
        <v>1377</v>
      </c>
      <c r="AV99" s="457"/>
      <c r="AW99" s="457"/>
    </row>
    <row r="100" spans="1:49" s="1055" customFormat="1" x14ac:dyDescent="0.2">
      <c r="C100" s="547"/>
      <c r="D100" s="547"/>
      <c r="E100" s="547"/>
      <c r="F100" s="547"/>
      <c r="G100" s="547"/>
      <c r="H100" s="547"/>
      <c r="I100" s="547"/>
      <c r="J100" s="547"/>
      <c r="K100" s="547"/>
      <c r="L100" s="547"/>
      <c r="M100" s="547"/>
      <c r="N100" s="547"/>
      <c r="O100" s="547" t="s">
        <v>926</v>
      </c>
      <c r="P100" s="547" t="s">
        <v>926</v>
      </c>
      <c r="Q100" s="547" t="s">
        <v>926</v>
      </c>
      <c r="R100" s="547"/>
      <c r="S100" s="547" t="s">
        <v>925</v>
      </c>
      <c r="T100" s="547" t="s">
        <v>925</v>
      </c>
      <c r="U100" s="547" t="s">
        <v>925</v>
      </c>
      <c r="V100" s="547"/>
      <c r="W100" s="547" t="s">
        <v>927</v>
      </c>
      <c r="X100" s="547" t="s">
        <v>927</v>
      </c>
      <c r="Y100" s="547" t="s">
        <v>927</v>
      </c>
      <c r="Z100" s="547"/>
      <c r="AA100" s="547" t="s">
        <v>1075</v>
      </c>
      <c r="AB100" s="547" t="s">
        <v>1075</v>
      </c>
      <c r="AC100" s="547" t="s">
        <v>1075</v>
      </c>
      <c r="AD100" s="547"/>
      <c r="AE100" s="547" t="s">
        <v>1126</v>
      </c>
      <c r="AF100" s="547" t="s">
        <v>1126</v>
      </c>
      <c r="AG100" s="547" t="s">
        <v>1126</v>
      </c>
      <c r="AH100" s="547"/>
      <c r="AI100" s="547" t="s">
        <v>1209</v>
      </c>
      <c r="AJ100" s="547" t="s">
        <v>1209</v>
      </c>
      <c r="AK100" s="547" t="s">
        <v>1209</v>
      </c>
      <c r="AL100" s="547"/>
      <c r="AM100" s="547" t="s">
        <v>1260</v>
      </c>
      <c r="AN100" s="547" t="s">
        <v>1260</v>
      </c>
      <c r="AO100" s="547" t="s">
        <v>1260</v>
      </c>
      <c r="AP100" s="547"/>
      <c r="AQ100" s="544" t="s">
        <v>1324</v>
      </c>
      <c r="AR100" s="544" t="s">
        <v>1324</v>
      </c>
      <c r="AS100" s="544" t="s">
        <v>1324</v>
      </c>
      <c r="AT100" s="544"/>
      <c r="AU100" s="544" t="s">
        <v>1378</v>
      </c>
      <c r="AV100" s="457"/>
      <c r="AW100" s="457"/>
    </row>
    <row r="101" spans="1:49" s="1055" customFormat="1" x14ac:dyDescent="0.2">
      <c r="C101" s="824">
        <f>D101</f>
        <v>2015</v>
      </c>
      <c r="D101" s="824">
        <f>E101</f>
        <v>2015</v>
      </c>
      <c r="E101" s="824">
        <f>F101</f>
        <v>2015</v>
      </c>
      <c r="F101" s="824">
        <f>G101-1</f>
        <v>2015</v>
      </c>
      <c r="G101" s="824">
        <f>H101</f>
        <v>2016</v>
      </c>
      <c r="H101" s="824">
        <f>I101</f>
        <v>2016</v>
      </c>
      <c r="I101" s="824">
        <f>J101</f>
        <v>2016</v>
      </c>
      <c r="J101" s="824">
        <f>K101-1</f>
        <v>2016</v>
      </c>
      <c r="K101" s="824">
        <f>L101</f>
        <v>2017</v>
      </c>
      <c r="L101" s="824">
        <f>M101</f>
        <v>2017</v>
      </c>
      <c r="M101" s="824">
        <f>N101</f>
        <v>2017</v>
      </c>
      <c r="N101" s="824">
        <f>O101-1</f>
        <v>2017</v>
      </c>
      <c r="O101" s="824">
        <f>P101</f>
        <v>2018</v>
      </c>
      <c r="P101" s="824">
        <f>Q101</f>
        <v>2018</v>
      </c>
      <c r="Q101" s="824">
        <f>R101</f>
        <v>2018</v>
      </c>
      <c r="R101" s="824">
        <f>S101-1</f>
        <v>2018</v>
      </c>
      <c r="S101" s="1059">
        <v>2019</v>
      </c>
      <c r="T101" s="1059">
        <v>2019</v>
      </c>
      <c r="U101" s="1059">
        <v>2019</v>
      </c>
      <c r="V101" s="1059">
        <v>2019</v>
      </c>
      <c r="W101" s="1059">
        <v>2020</v>
      </c>
      <c r="X101" s="1059">
        <v>2020</v>
      </c>
      <c r="Y101" s="1059">
        <v>2020</v>
      </c>
      <c r="Z101" s="1059">
        <v>2020</v>
      </c>
      <c r="AA101" s="1059">
        <v>2021</v>
      </c>
      <c r="AB101" s="1059">
        <v>2021</v>
      </c>
      <c r="AC101" s="1059">
        <v>2021</v>
      </c>
      <c r="AD101" s="1059">
        <v>2021</v>
      </c>
      <c r="AE101" s="1059">
        <v>2022</v>
      </c>
      <c r="AF101" s="1059">
        <v>2022</v>
      </c>
      <c r="AG101" s="1059">
        <v>2022</v>
      </c>
      <c r="AH101" s="1059">
        <v>2022</v>
      </c>
      <c r="AI101" s="1059">
        <v>2023</v>
      </c>
      <c r="AJ101" s="1059">
        <v>2023</v>
      </c>
      <c r="AK101" s="1059">
        <v>2023</v>
      </c>
      <c r="AL101" s="1059">
        <v>2023</v>
      </c>
      <c r="AM101" s="1059">
        <v>2024</v>
      </c>
      <c r="AN101" s="1059">
        <v>2024</v>
      </c>
      <c r="AO101" s="1059">
        <v>2024</v>
      </c>
      <c r="AP101" s="1059">
        <v>2024</v>
      </c>
      <c r="AQ101" s="1093">
        <v>2025</v>
      </c>
      <c r="AR101" s="1093">
        <v>2025</v>
      </c>
      <c r="AS101" s="1093">
        <v>2025</v>
      </c>
      <c r="AT101" s="1093">
        <v>2025</v>
      </c>
      <c r="AU101" s="1093">
        <v>2026</v>
      </c>
      <c r="AV101" s="1200"/>
      <c r="AW101" s="1200"/>
    </row>
    <row r="102" spans="1:49" s="544" customFormat="1" x14ac:dyDescent="0.2">
      <c r="AG102" s="40"/>
      <c r="AH102" s="40"/>
      <c r="AI102" s="328"/>
      <c r="AJ102" s="328"/>
      <c r="AK102" s="328"/>
      <c r="AL102" s="328"/>
    </row>
    <row r="103" spans="1:49" s="544" customFormat="1" x14ac:dyDescent="0.2">
      <c r="C103" s="1055"/>
      <c r="D103" s="1055"/>
      <c r="E103" s="1055"/>
      <c r="F103" s="1055"/>
      <c r="G103" s="1055"/>
      <c r="H103" s="1055"/>
      <c r="I103" s="1055"/>
      <c r="J103" s="1055"/>
      <c r="K103" s="1055"/>
      <c r="L103" s="1055"/>
      <c r="M103" s="1055"/>
      <c r="N103" s="1055"/>
      <c r="O103" s="1055"/>
      <c r="P103" s="1055"/>
      <c r="Q103" s="1055"/>
      <c r="R103" s="1055"/>
      <c r="S103" s="1055"/>
      <c r="T103" s="1055"/>
      <c r="U103" s="1055"/>
      <c r="V103" s="1055"/>
      <c r="W103" s="1055"/>
      <c r="X103" s="1055"/>
      <c r="Y103" s="1055"/>
      <c r="Z103" s="1055"/>
      <c r="AA103" s="1055"/>
      <c r="AB103" s="1055"/>
      <c r="AC103" s="1055"/>
      <c r="AD103" s="1055"/>
      <c r="AE103" s="1055"/>
      <c r="AF103" s="1055"/>
      <c r="AG103" s="1170"/>
      <c r="AH103" s="1170"/>
      <c r="AI103" s="1193"/>
      <c r="AJ103" s="1193"/>
      <c r="AK103" s="1193"/>
      <c r="AL103" s="1193"/>
      <c r="AM103" s="1193"/>
      <c r="AN103" s="1055"/>
      <c r="AO103" s="1055"/>
      <c r="AP103" s="1055"/>
      <c r="AQ103" s="1055"/>
      <c r="AR103" s="1055"/>
      <c r="AS103" s="1055"/>
      <c r="AT103" s="1055"/>
      <c r="AU103" s="1055"/>
    </row>
    <row r="104" spans="1:49" s="544" customFormat="1" x14ac:dyDescent="0.2">
      <c r="AG104" s="40"/>
      <c r="AH104" s="40"/>
      <c r="AI104" s="40"/>
      <c r="AJ104" s="40"/>
      <c r="AK104" s="40"/>
      <c r="AL104" s="328"/>
      <c r="AM104" s="328"/>
      <c r="AN104" s="328"/>
      <c r="AO104" s="328"/>
      <c r="AP104" s="328"/>
      <c r="AQ104" s="328"/>
      <c r="AR104" s="328"/>
      <c r="AS104" s="328"/>
      <c r="AT104" s="328"/>
      <c r="AU104" s="328"/>
    </row>
    <row r="105" spans="1:49" s="1107" customFormat="1" x14ac:dyDescent="0.2">
      <c r="A105" s="544"/>
      <c r="B105" s="1107">
        <v>1</v>
      </c>
      <c r="C105" s="1107">
        <v>2</v>
      </c>
      <c r="D105" s="1107">
        <v>3</v>
      </c>
      <c r="E105" s="1107">
        <v>4</v>
      </c>
      <c r="F105" s="1107">
        <v>5</v>
      </c>
      <c r="G105" s="1107">
        <v>6</v>
      </c>
      <c r="H105" s="1107">
        <v>7</v>
      </c>
      <c r="I105" s="1107">
        <v>8</v>
      </c>
      <c r="J105" s="1107">
        <v>9</v>
      </c>
      <c r="K105" s="1107">
        <v>10</v>
      </c>
      <c r="L105" s="1107">
        <v>11</v>
      </c>
      <c r="M105" s="1107">
        <v>12</v>
      </c>
      <c r="N105" s="1107">
        <v>13</v>
      </c>
      <c r="O105" s="1107">
        <v>14</v>
      </c>
      <c r="P105" s="1107">
        <v>15</v>
      </c>
      <c r="Q105" s="1107">
        <v>16</v>
      </c>
      <c r="R105" s="1107">
        <v>17</v>
      </c>
      <c r="S105" s="1107">
        <v>18</v>
      </c>
      <c r="T105" s="1107">
        <v>19</v>
      </c>
      <c r="U105" s="1107">
        <v>20</v>
      </c>
      <c r="V105" s="1107">
        <v>21</v>
      </c>
      <c r="W105" s="1107">
        <v>22</v>
      </c>
      <c r="X105" s="1107">
        <v>23</v>
      </c>
      <c r="Y105" s="1107">
        <v>24</v>
      </c>
      <c r="Z105" s="1107">
        <v>25</v>
      </c>
      <c r="AA105" s="1107">
        <v>26</v>
      </c>
      <c r="AB105" s="1107">
        <v>27</v>
      </c>
      <c r="AC105" s="1107">
        <v>28</v>
      </c>
      <c r="AD105" s="1107">
        <v>29</v>
      </c>
      <c r="AE105" s="1107">
        <v>30</v>
      </c>
      <c r="AF105" s="1107">
        <v>31</v>
      </c>
      <c r="AG105" s="1171"/>
      <c r="AH105" s="1171"/>
      <c r="AI105" s="1171"/>
      <c r="AJ105" s="1171"/>
      <c r="AK105" s="1171"/>
      <c r="AL105" s="1201"/>
      <c r="AM105" s="1201"/>
      <c r="AN105" s="1201"/>
      <c r="AO105" s="1201"/>
      <c r="AP105" s="1201"/>
      <c r="AQ105" s="1201"/>
      <c r="AR105" s="1201"/>
      <c r="AS105" s="1201"/>
      <c r="AT105" s="1201"/>
      <c r="AU105" s="1201"/>
    </row>
    <row r="106" spans="1:49" s="544" customFormat="1" x14ac:dyDescent="0.2">
      <c r="AG106" s="40"/>
      <c r="AH106" s="40"/>
      <c r="AI106" s="40"/>
      <c r="AJ106" s="40"/>
      <c r="AK106" s="40"/>
      <c r="AL106" s="40"/>
      <c r="AM106" s="40"/>
      <c r="AN106" s="328"/>
      <c r="AO106" s="328"/>
      <c r="AP106" s="328"/>
      <c r="AQ106" s="328"/>
      <c r="AR106" s="328"/>
      <c r="AS106" s="328"/>
      <c r="AT106" s="328"/>
      <c r="AU106" s="328"/>
    </row>
    <row r="107" spans="1:49" s="544" customFormat="1" x14ac:dyDescent="0.2">
      <c r="AG107" s="40"/>
      <c r="AH107" s="40"/>
      <c r="AI107" s="40"/>
      <c r="AJ107" s="40"/>
      <c r="AK107" s="40"/>
      <c r="AL107" s="40"/>
      <c r="AM107" s="40"/>
      <c r="AN107" s="40"/>
      <c r="AO107" s="328"/>
      <c r="AP107" s="328"/>
      <c r="AQ107" s="328"/>
      <c r="AR107" s="328"/>
      <c r="AS107" s="328"/>
      <c r="AT107" s="328"/>
      <c r="AU107" s="328"/>
    </row>
    <row r="108" spans="1:49" s="544" customFormat="1" x14ac:dyDescent="0.2">
      <c r="AG108" s="40"/>
      <c r="AH108" s="40"/>
      <c r="AI108" s="40"/>
      <c r="AJ108" s="40"/>
      <c r="AK108" s="40"/>
      <c r="AL108" s="40"/>
      <c r="AM108" s="40"/>
      <c r="AN108" s="40"/>
      <c r="AO108" s="328"/>
      <c r="AP108" s="328"/>
      <c r="AQ108" s="328"/>
      <c r="AR108" s="328"/>
      <c r="AS108" s="328"/>
      <c r="AT108" s="328"/>
      <c r="AU108" s="328"/>
    </row>
    <row r="109" spans="1:49" s="544" customFormat="1" x14ac:dyDescent="0.2">
      <c r="A109" s="267"/>
      <c r="C109" s="546"/>
      <c r="D109" s="545"/>
      <c r="AG109" s="40"/>
      <c r="AH109" s="40"/>
      <c r="AI109" s="40"/>
      <c r="AJ109" s="40"/>
      <c r="AK109" s="40"/>
      <c r="AL109" s="40"/>
      <c r="AM109" s="40"/>
      <c r="AN109" s="40"/>
      <c r="AO109" s="328"/>
      <c r="AP109" s="328"/>
      <c r="AQ109" s="328"/>
      <c r="AR109" s="328"/>
      <c r="AS109" s="328"/>
      <c r="AT109" s="328"/>
      <c r="AU109" s="328"/>
    </row>
    <row r="110" spans="1:49" s="544" customFormat="1" x14ac:dyDescent="0.2">
      <c r="A110" s="267"/>
      <c r="C110" s="546"/>
      <c r="D110" s="545"/>
      <c r="AG110" s="40"/>
      <c r="AH110" s="40"/>
      <c r="AI110" s="40"/>
      <c r="AJ110" s="40"/>
      <c r="AK110" s="40"/>
      <c r="AL110" s="40"/>
      <c r="AM110" s="40"/>
      <c r="AN110" s="40"/>
      <c r="AO110" s="40"/>
      <c r="AP110" s="40"/>
      <c r="AQ110" s="40"/>
      <c r="AR110" s="40"/>
      <c r="AS110" s="40"/>
      <c r="AT110" s="40"/>
      <c r="AU110" s="40"/>
    </row>
    <row r="111" spans="1:49" s="544" customFormat="1" x14ac:dyDescent="0.2">
      <c r="A111" s="267"/>
      <c r="C111" s="546"/>
      <c r="D111" s="545"/>
      <c r="AG111" s="40"/>
      <c r="AH111" s="40"/>
      <c r="AI111" s="40"/>
      <c r="AJ111" s="40"/>
      <c r="AK111" s="40"/>
      <c r="AL111" s="40"/>
      <c r="AM111" s="40"/>
      <c r="AN111" s="40"/>
      <c r="AO111" s="40"/>
      <c r="AP111" s="40"/>
      <c r="AQ111" s="40"/>
      <c r="AR111" s="40"/>
      <c r="AS111" s="40"/>
      <c r="AT111" s="40"/>
      <c r="AU111" s="40"/>
    </row>
    <row r="112" spans="1:49" s="544" customFormat="1" x14ac:dyDescent="0.2">
      <c r="A112" s="267"/>
      <c r="C112" s="546"/>
      <c r="D112" s="545"/>
      <c r="AG112" s="40"/>
      <c r="AH112" s="40"/>
      <c r="AI112" s="40"/>
      <c r="AJ112" s="40"/>
      <c r="AK112" s="40"/>
      <c r="AL112" s="40"/>
      <c r="AM112" s="40"/>
      <c r="AN112" s="40"/>
      <c r="AO112" s="40"/>
      <c r="AP112" s="40"/>
      <c r="AQ112" s="40"/>
      <c r="AR112" s="40"/>
      <c r="AS112" s="40"/>
      <c r="AT112" s="40"/>
      <c r="AU112" s="40"/>
    </row>
    <row r="113" spans="1:47" s="544" customFormat="1" x14ac:dyDescent="0.2">
      <c r="A113" s="267"/>
      <c r="C113" s="546"/>
      <c r="D113" s="545"/>
      <c r="AG113" s="40"/>
      <c r="AH113" s="40"/>
      <c r="AI113" s="40"/>
      <c r="AJ113" s="40"/>
      <c r="AK113" s="40"/>
      <c r="AL113" s="40"/>
      <c r="AM113" s="40"/>
      <c r="AN113" s="40"/>
      <c r="AO113" s="40"/>
      <c r="AP113" s="40"/>
      <c r="AQ113" s="40"/>
      <c r="AR113" s="40"/>
      <c r="AS113" s="40"/>
      <c r="AT113" s="40"/>
      <c r="AU113" s="40"/>
    </row>
    <row r="114" spans="1:47" s="544" customFormat="1" x14ac:dyDescent="0.2">
      <c r="A114" s="267"/>
      <c r="C114" s="546"/>
      <c r="D114" s="545"/>
      <c r="AG114" s="40"/>
      <c r="AH114" s="40"/>
      <c r="AI114" s="40"/>
      <c r="AJ114" s="40"/>
      <c r="AK114" s="40"/>
      <c r="AL114" s="40"/>
      <c r="AM114" s="40"/>
      <c r="AN114" s="40"/>
      <c r="AO114" s="40"/>
      <c r="AP114" s="40"/>
      <c r="AQ114" s="40"/>
      <c r="AR114" s="40"/>
      <c r="AS114" s="40"/>
      <c r="AT114" s="40"/>
      <c r="AU114" s="40"/>
    </row>
    <row r="115" spans="1:47" s="544" customFormat="1" x14ac:dyDescent="0.2">
      <c r="A115" s="267"/>
      <c r="C115" s="546"/>
      <c r="D115" s="545"/>
    </row>
    <row r="116" spans="1:47" s="544" customFormat="1" x14ac:dyDescent="0.2">
      <c r="A116" s="267"/>
      <c r="C116" s="546"/>
      <c r="D116" s="545"/>
    </row>
    <row r="117" spans="1:47" s="544" customFormat="1" x14ac:dyDescent="0.2">
      <c r="A117" s="267"/>
      <c r="C117" s="546"/>
      <c r="D117" s="545"/>
    </row>
    <row r="118" spans="1:47" s="544" customFormat="1" x14ac:dyDescent="0.2">
      <c r="A118" s="267"/>
      <c r="C118" s="546"/>
      <c r="D118" s="545"/>
    </row>
    <row r="119" spans="1:47" s="544" customFormat="1" x14ac:dyDescent="0.2">
      <c r="A119" s="267"/>
      <c r="C119" s="546"/>
      <c r="D119" s="545"/>
    </row>
    <row r="120" spans="1:47" s="544" customFormat="1" x14ac:dyDescent="0.2">
      <c r="A120" s="267"/>
      <c r="C120" s="546"/>
      <c r="D120" s="545"/>
    </row>
    <row r="121" spans="1:47" s="544" customFormat="1" x14ac:dyDescent="0.2">
      <c r="A121" s="267"/>
      <c r="C121" s="546"/>
      <c r="D121" s="545"/>
    </row>
    <row r="122" spans="1:47" s="544" customFormat="1" x14ac:dyDescent="0.2">
      <c r="A122" s="267"/>
      <c r="C122" s="546"/>
      <c r="D122" s="545"/>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cf778f-a274-4d0c-8650-1f54cf81030a">
      <Terms xmlns="http://schemas.microsoft.com/office/infopath/2007/PartnerControls"/>
    </lcf76f155ced4ddcb4097134ff3c332f>
    <TaxCatchAll xmlns="345cf64b-68ea-4429-946b-7fdedc4d1d31" xsi:nil="true"/>
  </documentManagement>
</p:properties>
</file>

<file path=customXml/item2.xml><?xml version="1.0" encoding="utf-8"?>
<sisl xmlns:xsd="http://www.w3.org/2001/XMLSchema" xmlns:xsi="http://www.w3.org/2001/XMLSchema-instance" xmlns="http://www.boldonjames.com/2008/01/sie/internal/label" sislVersion="0" policy="48e0a426-e65c-4014-aea4-d04bb802e535" origin="userSelected">
  <element uid="34c9aaed-8947-4806-87fd-0b64c7f25038" value=""/>
</sisl>
</file>

<file path=customXml/item3.xml><?xml version="1.0" encoding="utf-8"?>
<ct:contentTypeSchema xmlns:ct="http://schemas.microsoft.com/office/2006/metadata/contentType" xmlns:ma="http://schemas.microsoft.com/office/2006/metadata/properties/metaAttributes" ct:_="" ma:_="" ma:contentTypeName="Documento" ma:contentTypeID="0x010100E4FE2006B172AD4A9119391596BA80FC" ma:contentTypeVersion="13" ma:contentTypeDescription="Crie um novo documento." ma:contentTypeScope="" ma:versionID="8518c535c68ff52bf1452e97449fa0d3">
  <xsd:schema xmlns:xsd="http://www.w3.org/2001/XMLSchema" xmlns:xs="http://www.w3.org/2001/XMLSchema" xmlns:p="http://schemas.microsoft.com/office/2006/metadata/properties" xmlns:ns2="85cf778f-a274-4d0c-8650-1f54cf81030a" xmlns:ns3="345cf64b-68ea-4429-946b-7fdedc4d1d31" targetNamespace="http://schemas.microsoft.com/office/2006/metadata/properties" ma:root="true" ma:fieldsID="02fef0caa5f9b0905e0cfcf8172ce9fd" ns2:_="" ns3:_="">
    <xsd:import namespace="85cf778f-a274-4d0c-8650-1f54cf81030a"/>
    <xsd:import namespace="345cf64b-68ea-4429-946b-7fdedc4d1d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cf778f-a274-4d0c-8650-1f54cf810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c53bd68f-f1cc-4b81-b95b-ea9b844cd076"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5cf64b-68ea-4429-946b-7fdedc4d1d3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45a791-c1b3-4cf6-992f-d1db59c313ce}" ma:internalName="TaxCatchAll" ma:showField="CatchAllData" ma:web="345cf64b-68ea-4429-946b-7fdedc4d1d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F3EEE0-AE5D-4855-A461-36249DF38D63}">
  <ds:schemaRefs>
    <ds:schemaRef ds:uri="http://schemas.microsoft.com/office/2006/metadata/properties"/>
    <ds:schemaRef ds:uri="http://schemas.microsoft.com/office/infopath/2007/PartnerControls"/>
    <ds:schemaRef ds:uri="85cf778f-a274-4d0c-8650-1f54cf81030a"/>
    <ds:schemaRef ds:uri="345cf64b-68ea-4429-946b-7fdedc4d1d31"/>
  </ds:schemaRefs>
</ds:datastoreItem>
</file>

<file path=customXml/itemProps2.xml><?xml version="1.0" encoding="utf-8"?>
<ds:datastoreItem xmlns:ds="http://schemas.openxmlformats.org/officeDocument/2006/customXml" ds:itemID="{78074314-5F28-4285-8091-5752E2F5714B}">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66B22921-E100-427D-8DFC-AC68AC981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cf778f-a274-4d0c-8650-1f54cf81030a"/>
    <ds:schemaRef ds:uri="345cf64b-68ea-4429-946b-7fdedc4d1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7CF71F-4547-4167-A621-5124CB4F7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48</vt:i4>
      </vt:variant>
    </vt:vector>
  </HeadingPairs>
  <TitlesOfParts>
    <vt:vector size="48" baseType="lpstr">
      <vt:lpstr>Menu</vt:lpstr>
      <vt:lpstr>Análise Rápida</vt:lpstr>
      <vt:lpstr>Dados Operacionais Auto</vt:lpstr>
      <vt:lpstr>BP</vt:lpstr>
      <vt:lpstr>DRE</vt:lpstr>
      <vt:lpstr>Auto</vt:lpstr>
      <vt:lpstr>LI</vt:lpstr>
      <vt:lpstr>Consolidado</vt:lpstr>
      <vt:lpstr>DFC</vt:lpstr>
      <vt:lpstr>DVA</vt:lpstr>
      <vt:lpstr>DMPL</vt:lpstr>
      <vt:lpstr>Indicadores</vt:lpstr>
      <vt:lpstr>Dividendos</vt:lpstr>
      <vt:lpstr>Estimativas</vt:lpstr>
      <vt:lpstr>Dados Mercado</vt:lpstr>
      <vt:lpstr>Anexos</vt:lpstr>
      <vt:lpstr>Análise de Sensibilidade</vt:lpstr>
      <vt:lpstr>Risco de Liquidez</vt:lpstr>
      <vt:lpstr>Gestão de Capital</vt:lpstr>
      <vt:lpstr>Caixa e Equivalente de Caixa</vt:lpstr>
      <vt:lpstr>Contas a Receber</vt:lpstr>
      <vt:lpstr>Contas a Receber Aging</vt:lpstr>
      <vt:lpstr>Contas a Receber Mov PDD</vt:lpstr>
      <vt:lpstr>Demais Contas a Receber</vt:lpstr>
      <vt:lpstr>Impostos a Recuperar</vt:lpstr>
      <vt:lpstr>Investimentos A</vt:lpstr>
      <vt:lpstr>Investimentos C</vt:lpstr>
      <vt:lpstr>Investimentos E</vt:lpstr>
      <vt:lpstr>Investimentos F</vt:lpstr>
      <vt:lpstr>Imobilizado </vt:lpstr>
      <vt:lpstr>Empréstimos e Financiamentos</vt:lpstr>
      <vt:lpstr>Intangível</vt:lpstr>
      <vt:lpstr>Salários e Encargos Sociais</vt:lpstr>
      <vt:lpstr>Riscos Judiciais</vt:lpstr>
      <vt:lpstr>Despesas de IR e CSLL</vt:lpstr>
      <vt:lpstr>IR e CS Diferidos</vt:lpstr>
      <vt:lpstr>Demais Contas a Pagar</vt:lpstr>
      <vt:lpstr>Outras receitas e despesas</vt:lpstr>
      <vt:lpstr>Receita</vt:lpstr>
      <vt:lpstr>Despesas por Natureza</vt:lpstr>
      <vt:lpstr>Despesas por Natureza 1</vt:lpstr>
      <vt:lpstr>Resultado Financeiro</vt:lpstr>
      <vt:lpstr>Remuneração Administração</vt:lpstr>
      <vt:lpstr>Arrendamento Operacional</vt:lpstr>
      <vt:lpstr>Partes Relacionadas</vt:lpstr>
      <vt:lpstr>Direito de Uso</vt:lpstr>
      <vt:lpstr>Arrendamento Mercantil</vt:lpstr>
      <vt:lpstr>Operações Descontinuadas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Nunes</dc:creator>
  <cp:keywords>b-class-4</cp:keywords>
  <cp:lastModifiedBy>Ian Nunes Costa E Costa</cp:lastModifiedBy>
  <cp:lastPrinted>2026-04-15T11:54:39Z</cp:lastPrinted>
  <dcterms:created xsi:type="dcterms:W3CDTF">2014-03-28T17:58:32Z</dcterms:created>
  <dcterms:modified xsi:type="dcterms:W3CDTF">2026-07-21T18:48:50Z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c7e2ed0a-d5a2-4ff1-b864-239880175ff6</vt:lpwstr>
  </property>
  <property fmtid="{D5CDD505-2E9C-101B-9397-08002B2CF9AE}" pid="3" name="bjClsUserRVM">
    <vt:lpwstr>[]</vt:lpwstr>
  </property>
  <property fmtid="{D5CDD505-2E9C-101B-9397-08002B2CF9AE}" pid="4" name="bjSaver">
    <vt:lpwstr>uw0vihqGLDGkEWvo0TsjZNMiCPsPNCgu</vt:lpwstr>
  </property>
  <property fmtid="{D5CDD505-2E9C-101B-9397-08002B2CF9AE}" pid="5" name="bjDocumentLabelXML">
    <vt:lpwstr>&lt;?xml version="1.0" encoding="us-ascii"?&gt;&lt;sisl xmlns:xsd="http://www.w3.org/2001/XMLSchema" xmlns:xsi="http://www.w3.org/2001/XMLSchema-instance" sislVersion="0" policy="48e0a426-e65c-4014-aea4-d04bb802e535" origin="userSelected" xmlns="http://www.boldonj</vt:lpwstr>
  </property>
  <property fmtid="{D5CDD505-2E9C-101B-9397-08002B2CF9AE}" pid="6" name="bjDocumentLabelXML-0">
    <vt:lpwstr>ames.com/2008/01/sie/internal/label"&gt;&lt;element uid="34c9aaed-8947-4806-87fd-0b64c7f25038" value="" /&gt;&lt;/sisl&gt;</vt:lpwstr>
  </property>
  <property fmtid="{D5CDD505-2E9C-101B-9397-08002B2CF9AE}" pid="7" name="bjDocumentSecurityLabel">
    <vt:lpwstr>Confidencial</vt:lpwstr>
  </property>
  <property fmtid="{D5CDD505-2E9C-101B-9397-08002B2CF9AE}" pid="8" name="bjLeftFooterLabel-first">
    <vt:lpwstr>&amp;"Arial,Regular"&amp;09&amp;B&amp;K000000Classificação: &amp;K993300Confidencial</vt:lpwstr>
  </property>
  <property fmtid="{D5CDD505-2E9C-101B-9397-08002B2CF9AE}" pid="9" name="bjLeftFooterLabel-even">
    <vt:lpwstr>&amp;"Arial,Regular"&amp;09&amp;B&amp;K000000Classificação: &amp;K993300Confidencial</vt:lpwstr>
  </property>
  <property fmtid="{D5CDD505-2E9C-101B-9397-08002B2CF9AE}" pid="10" name="bjLeftFooterLabel">
    <vt:lpwstr>&amp;"Arial,Regular"&amp;09&amp;B&amp;K000000Classificação: &amp;K993300Confidencial</vt:lpwstr>
  </property>
  <property fmtid="{D5CDD505-2E9C-101B-9397-08002B2CF9AE}" pid="11" name="MSIP_Label_251f2f31-8cf1-4fa8-9c87-e75b15e7f4b0_Enabled">
    <vt:lpwstr>true</vt:lpwstr>
  </property>
  <property fmtid="{D5CDD505-2E9C-101B-9397-08002B2CF9AE}" pid="12" name="MSIP_Label_251f2f31-8cf1-4fa8-9c87-e75b15e7f4b0_SetDate">
    <vt:lpwstr>2025-09-02T13:53:07Z</vt:lpwstr>
  </property>
  <property fmtid="{D5CDD505-2E9C-101B-9397-08002B2CF9AE}" pid="13" name="MSIP_Label_251f2f31-8cf1-4fa8-9c87-e75b15e7f4b0_Method">
    <vt:lpwstr>Standard</vt:lpwstr>
  </property>
  <property fmtid="{D5CDD505-2E9C-101B-9397-08002B2CF9AE}" pid="14" name="MSIP_Label_251f2f31-8cf1-4fa8-9c87-e75b15e7f4b0_Name">
    <vt:lpwstr>Restrito</vt:lpwstr>
  </property>
  <property fmtid="{D5CDD505-2E9C-101B-9397-08002B2CF9AE}" pid="15" name="MSIP_Label_251f2f31-8cf1-4fa8-9c87-e75b15e7f4b0_SiteId">
    <vt:lpwstr>c2286486-94a4-43c1-93a3-f5ac60a90b4e</vt:lpwstr>
  </property>
  <property fmtid="{D5CDD505-2E9C-101B-9397-08002B2CF9AE}" pid="16" name="MSIP_Label_251f2f31-8cf1-4fa8-9c87-e75b15e7f4b0_ActionId">
    <vt:lpwstr>6235da8d-0776-4da2-a200-aa0b63ecbea3</vt:lpwstr>
  </property>
  <property fmtid="{D5CDD505-2E9C-101B-9397-08002B2CF9AE}" pid="17" name="MSIP_Label_251f2f31-8cf1-4fa8-9c87-e75b15e7f4b0_ContentBits">
    <vt:lpwstr>2</vt:lpwstr>
  </property>
  <property fmtid="{D5CDD505-2E9C-101B-9397-08002B2CF9AE}" pid="18" name="MSIP_Label_251f2f31-8cf1-4fa8-9c87-e75b15e7f4b0_Tag">
    <vt:lpwstr>10, 3, 0, 1</vt:lpwstr>
  </property>
  <property fmtid="{D5CDD505-2E9C-101B-9397-08002B2CF9AE}" pid="19" name="ContentTypeId">
    <vt:lpwstr>0x010100E4FE2006B172AD4A9119391596BA80FC</vt:lpwstr>
  </property>
  <property fmtid="{D5CDD505-2E9C-101B-9397-08002B2CF9AE}" pid="20" name="Order">
    <vt:r8>244966300</vt:r8>
  </property>
  <property fmtid="{D5CDD505-2E9C-101B-9397-08002B2CF9AE}" pid="21" name="MediaServiceImageTags">
    <vt:lpwstr/>
  </property>
</Properties>
</file>